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drawings/drawing73.xml" ContentType="application/vnd.openxmlformats-officedocument.drawing+xml"/>
  <Override PartName="/xl/drawings/drawing72.xml" ContentType="application/vnd.openxmlformats-officedocument.drawing+xml"/>
  <Override PartName="/xl/drawings/drawing71.xml" ContentType="application/vnd.openxmlformats-officedocument.drawing+xml"/>
  <Override PartName="/xl/drawings/drawing70.xml" ContentType="application/vnd.openxmlformats-officedocument.drawing+xml"/>
  <Override PartName="/xl/drawings/drawing69.xml" ContentType="application/vnd.openxmlformats-officedocument.drawing+xml"/>
  <Override PartName="/xl/drawings/drawing68.xml" ContentType="application/vnd.openxmlformats-officedocument.drawing+xml"/>
  <Override PartName="/xl/drawings/drawing67.xml" ContentType="application/vnd.openxmlformats-officedocument.drawing+xml"/>
  <Override PartName="/xl/drawings/drawing66.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83.xml" ContentType="application/vnd.openxmlformats-officedocument.drawing+xml"/>
  <Override PartName="/xl/drawings/drawing82.xml" ContentType="application/vnd.openxmlformats-officedocument.drawing+xml"/>
  <Override PartName="/xl/drawings/drawing81.xml" ContentType="application/vnd.openxmlformats-officedocument.drawing+xml"/>
  <Override PartName="/xl/drawings/drawing80.xml" ContentType="application/vnd.openxmlformats-officedocument.drawing+xml"/>
  <Override PartName="/xl/drawings/drawing79.xml" ContentType="application/vnd.openxmlformats-officedocument.drawing+xml"/>
  <Override PartName="/xl/drawings/drawing78.xml" ContentType="application/vnd.openxmlformats-officedocument.drawing+xml"/>
  <Override PartName="/xl/drawings/drawing77.xml" ContentType="application/vnd.openxmlformats-officedocument.drawing+xml"/>
  <Override PartName="/xl/drawings/drawing65.xml" ContentType="application/vnd.openxmlformats-officedocument.drawing+xml"/>
  <Override PartName="/xl/drawings/drawing64.xml" ContentType="application/vnd.openxmlformats-officedocument.drawing+xml"/>
  <Override PartName="/xl/drawings/drawing63.xml" ContentType="application/vnd.openxmlformats-officedocument.drawing+xml"/>
  <Override PartName="/xl/drawings/drawing54.xml" ContentType="application/vnd.openxmlformats-officedocument.drawing+xml"/>
  <Override PartName="/xl/drawings/drawing53.xml" ContentType="application/vnd.openxmlformats-officedocument.drawing+xml"/>
  <Override PartName="/xl/drawings/drawing52.xml" ContentType="application/vnd.openxmlformats-officedocument.drawing+xml"/>
  <Override PartName="/xl/drawings/drawing51.xml" ContentType="application/vnd.openxmlformats-officedocument.drawing+xml"/>
  <Override PartName="/xl/drawings/drawing50.xml" ContentType="application/vnd.openxmlformats-officedocument.drawing+xml"/>
  <Override PartName="/xl/drawings/drawing49.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62.xml" ContentType="application/vnd.openxmlformats-officedocument.drawing+xml"/>
  <Override PartName="/xl/drawings/drawing61.xml" ContentType="application/vnd.openxmlformats-officedocument.drawing+xml"/>
  <Override PartName="/xl/drawings/drawing60.xml" ContentType="application/vnd.openxmlformats-officedocument.drawing+xml"/>
  <Override PartName="/xl/drawings/drawing59.xml" ContentType="application/vnd.openxmlformats-officedocument.drawing+xml"/>
  <Override PartName="/xl/drawings/drawing58.xml" ContentType="application/vnd.openxmlformats-officedocument.drawing+xml"/>
  <Override PartName="/xl/drawings/drawing57.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113.xml" ContentType="application/vnd.openxmlformats-officedocument.drawing+xml"/>
  <Override PartName="/xl/drawings/drawing112.xml" ContentType="application/vnd.openxmlformats-officedocument.drawing+xml"/>
  <Override PartName="/xl/drawings/drawing111.xml" ContentType="application/vnd.openxmlformats-officedocument.drawing+xml"/>
  <Override PartName="/xl/drawings/drawing110.xml" ContentType="application/vnd.openxmlformats-officedocument.drawing+xml"/>
  <Override PartName="/xl/drawings/drawing109.xml" ContentType="application/vnd.openxmlformats-officedocument.drawing+xml"/>
  <Override PartName="/xl/drawings/drawing108.xml" ContentType="application/vnd.openxmlformats-officedocument.drawing+xml"/>
  <Override PartName="/xl/drawings/drawing107.xml" ContentType="application/vnd.openxmlformats-officedocument.drawing+xml"/>
  <Override PartName="/xl/drawings/drawing106.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worksheets/sheet3.xml" ContentType="application/vnd.openxmlformats-officedocument.spreadsheetml.worksheet+xml"/>
  <Override PartName="/xl/drawings/drawing121.xml" ContentType="application/vnd.openxmlformats-officedocument.drawing+xml"/>
  <Override PartName="/xl/drawings/drawing120.xml" ContentType="application/vnd.openxmlformats-officedocument.drawing+xml"/>
  <Override PartName="/xl/drawings/drawing119.xml" ContentType="application/vnd.openxmlformats-officedocument.drawing+xml"/>
  <Override PartName="/xl/drawings/drawing118.xml" ContentType="application/vnd.openxmlformats-officedocument.drawing+xml"/>
  <Override PartName="/xl/drawings/drawing117.xml" ContentType="application/vnd.openxmlformats-officedocument.drawing+xml"/>
  <Override PartName="/xl/drawings/drawing105.xml" ContentType="application/vnd.openxmlformats-officedocument.drawing+xml"/>
  <Override PartName="/xl/drawings/drawing104.xml" ContentType="application/vnd.openxmlformats-officedocument.drawing+xml"/>
  <Override PartName="/xl/drawings/drawing93.xml" ContentType="application/vnd.openxmlformats-officedocument.drawing+xml"/>
  <Override PartName="/xl/drawings/drawing92.xml" ContentType="application/vnd.openxmlformats-officedocument.drawing+xml"/>
  <Override PartName="/xl/drawings/drawing91.xml" ContentType="application/vnd.openxmlformats-officedocument.drawing+xml"/>
  <Override PartName="/xl/drawings/drawing90.xml" ContentType="application/vnd.openxmlformats-officedocument.drawing+xml"/>
  <Override PartName="/xl/drawings/drawing89.xml" ContentType="application/vnd.openxmlformats-officedocument.drawing+xml"/>
  <Override PartName="/xl/drawings/drawing88.xml" ContentType="application/vnd.openxmlformats-officedocument.drawing+xml"/>
  <Override PartName="/xl/drawings/drawing87.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103.xml" ContentType="application/vnd.openxmlformats-officedocument.drawing+xml"/>
  <Override PartName="/xl/drawings/drawing102.xml" ContentType="application/vnd.openxmlformats-officedocument.drawing+xml"/>
  <Override PartName="/xl/drawings/drawing101.xml" ContentType="application/vnd.openxmlformats-officedocument.drawing+xml"/>
  <Override PartName="/xl/drawings/drawing100.xml" ContentType="application/vnd.openxmlformats-officedocument.drawing+xml"/>
  <Override PartName="/xl/drawings/drawing99.xml" ContentType="application/vnd.openxmlformats-officedocument.drawing+xml"/>
  <Override PartName="/xl/drawings/drawing98.xml" ContentType="application/vnd.openxmlformats-officedocument.drawing+xml"/>
  <Override PartName="/xl/drawings/drawing97.xml" ContentType="application/vnd.openxmlformats-officedocument.drawing+xml"/>
  <Override PartName="/xl/worksheets/sheet1.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08.xml" ContentType="application/vnd.openxmlformats-officedocument.spreadsheetml.worksheet+xml"/>
  <Override PartName="/xl/worksheets/sheet107.xml" ContentType="application/vnd.openxmlformats-officedocument.spreadsheetml.worksheet+xml"/>
  <Override PartName="/xl/worksheets/sheet106.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drawings/drawing26.xml" ContentType="application/vnd.openxmlformats-officedocument.drawing+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18.xml" ContentType="application/vnd.openxmlformats-officedocument.spreadsheetml.worksheet+xml"/>
  <Override PartName="/xl/drawings/drawing37.xml" ContentType="application/vnd.openxmlformats-officedocument.drawing+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drawings/drawing39.xml" ContentType="application/vnd.openxmlformats-officedocument.drawing+xml"/>
  <Override PartName="/xl/worksheets/sheet87.xml" ContentType="application/vnd.openxmlformats-officedocument.spreadsheetml.worksheet+xml"/>
  <Override PartName="/xl/worksheets/sheet86.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drawings/drawing38.xml" ContentType="application/vnd.openxmlformats-officedocument.drawing+xml"/>
  <Override PartName="/xl/worksheets/sheet102.xml" ContentType="application/vnd.openxmlformats-officedocument.spreadsheetml.worksheet+xml"/>
  <Override PartName="/xl/worksheets/sheet101.xml" ContentType="application/vnd.openxmlformats-officedocument.spreadsheetml.worksheet+xml"/>
  <Override PartName="/xl/drawings/drawing14.xml" ContentType="application/vnd.openxmlformats-officedocument.drawing+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96.xml" ContentType="application/vnd.openxmlformats-officedocument.spreadsheetml.worksheet+xml"/>
  <Override PartName="/xl/drawings/drawing27.xml" ContentType="application/vnd.openxmlformats-officedocument.drawing+xml"/>
  <Override PartName="/xl/drawings/drawing36.xml" ContentType="application/vnd.openxmlformats-officedocument.drawing+xml"/>
  <Override PartName="/xl/theme/theme1.xml" ContentType="application/vnd.openxmlformats-officedocument.theme+xml"/>
  <Override PartName="/xl/drawings/drawing9.xml" ContentType="application/vnd.openxmlformats-officedocument.drawing+xml"/>
  <Override PartName="/xl/drawings/drawing33.xml" ContentType="application/vnd.openxmlformats-officedocument.drawing+xml"/>
  <Override PartName="/xl/drawings/drawing8.xml" ContentType="application/vnd.openxmlformats-officedocument.drawing+xml"/>
  <Override PartName="/xl/drawings/drawing30.xml" ContentType="application/vnd.openxmlformats-officedocument.drawing+xml"/>
  <Override PartName="/xl/drawings/drawing19.xml" ContentType="application/vnd.openxmlformats-officedocument.drawing+xml"/>
  <Override PartName="/xl/drawings/drawing7.xml" ContentType="application/vnd.openxmlformats-officedocument.drawing+xml"/>
  <Override PartName="/xl/drawings/drawing20.xml" ContentType="application/vnd.openxmlformats-officedocument.drawing+xml"/>
  <Override PartName="/xl/drawings/drawing34.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drawings/drawing17.xml" ContentType="application/vnd.openxmlformats-officedocument.drawing+xml"/>
  <Override PartName="/xl/drawings/drawing13.xml" ContentType="application/vnd.openxmlformats-officedocument.drawing+xml"/>
  <Override PartName="/xl/drawings/drawing31.xml" ContentType="application/vnd.openxmlformats-officedocument.drawing+xml"/>
  <Override PartName="/xl/drawings/drawing15.xml" ContentType="application/vnd.openxmlformats-officedocument.drawing+xml"/>
  <Override PartName="/xl/drawings/drawing12.xml" ContentType="application/vnd.openxmlformats-officedocument.drawing+xml"/>
  <Override PartName="/xl/drawings/drawing32.xml" ContentType="application/vnd.openxmlformats-officedocument.drawing+xml"/>
  <Override PartName="/xl/drawings/drawing16.xml" ContentType="application/vnd.openxmlformats-officedocument.drawing+xml"/>
  <Override PartName="/xl/drawings/drawing11.xml" ContentType="application/vnd.openxmlformats-officedocument.drawing+xml"/>
  <Override PartName="/xl/drawings/drawing6.xml" ContentType="application/vnd.openxmlformats-officedocument.drawing+xml"/>
  <Override PartName="/xl/drawings/drawing24.xml" ContentType="application/vnd.openxmlformats-officedocument.drawing+xml"/>
  <Override PartName="/xl/drawings/drawing48.xml" ContentType="application/vnd.openxmlformats-officedocument.drawing+xml"/>
  <Override PartName="/xl/drawings/drawing28.xml" ContentType="application/vnd.openxmlformats-officedocument.drawing+xml"/>
  <Override PartName="/xl/drawings/drawing2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xl/drawings/drawing2.xml" ContentType="application/vnd.openxmlformats-officedocument.drawing+xml"/>
  <Override PartName="/xl/drawings/drawing21.xml" ContentType="application/vnd.openxmlformats-officedocument.drawing+xml"/>
  <Override PartName="/xl/drawings/drawing5.xml" ContentType="application/vnd.openxmlformats-officedocument.drawing+xml"/>
  <Override PartName="/xl/drawings/drawing22.xml" ContentType="application/vnd.openxmlformats-officedocument.drawing+xml"/>
  <Override PartName="/xl/drawings/drawing4.xml" ContentType="application/vnd.openxmlformats-officedocument.drawing+xml"/>
  <Override PartName="/xl/drawings/drawing35.xml" ContentType="application/vnd.openxmlformats-officedocument.drawing+xml"/>
  <Override PartName="/xl/drawings/drawing3.xml" ContentType="application/vnd.openxmlformats-officedocument.drawing+xml"/>
  <Override PartName="/xl/drawings/drawing23.xml" ContentType="application/vnd.openxmlformats-officedocument.drawing+xml"/>
  <Override PartName="/xl/drawings/drawing29.xml" ContentType="application/vnd.openxmlformats-officedocument.drawing+xml"/>
  <Override PartName="/xl/worksheets/sheet85.xml" ContentType="application/vnd.openxmlformats-officedocument.spreadsheetml.worksheet+xml"/>
  <Override PartName="/xl/worksheets/sheet100.xml" ContentType="application/vnd.openxmlformats-officedocument.spreadsheetml.worksheet+xml"/>
  <Override PartName="/xl/worksheets/sheet84.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drawings/drawing44.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33.xml" ContentType="application/vnd.openxmlformats-officedocument.spreadsheetml.worksheet+xml"/>
  <Override PartName="/xl/worksheets/sheet35.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drawings/drawing43.xml" ContentType="application/vnd.openxmlformats-officedocument.drawing+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drawings/drawing47.xml" ContentType="application/vnd.openxmlformats-officedocument.drawing+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drawings/drawing45.xml" ContentType="application/vnd.openxmlformats-officedocument.drawing+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drawings/drawing46.xml" ContentType="application/vnd.openxmlformats-officedocument.drawing+xml"/>
  <Override PartName="/xl/worksheets/sheet16.xml" ContentType="application/vnd.openxmlformats-officedocument.spreadsheetml.worksheet+xml"/>
  <Override PartName="/xl/worksheets/sheet43.xml" ContentType="application/vnd.openxmlformats-officedocument.spreadsheetml.worksheet+xml"/>
  <Override PartName="/xl/worksheets/sheet34.xml" ContentType="application/vnd.openxmlformats-officedocument.spreadsheetml.worksheet+xml"/>
  <Override PartName="/xl/worksheets/sheet72.xml" ContentType="application/vnd.openxmlformats-officedocument.spreadsheetml.worksheet+xml"/>
  <Override PartName="/xl/worksheets/sheet77.xml" ContentType="application/vnd.openxmlformats-officedocument.spreadsheetml.worksheet+xml"/>
  <Override PartName="/xl/worksheets/sheet61.xml" ContentType="application/vnd.openxmlformats-officedocument.spreadsheetml.worksheet+xml"/>
  <Override PartName="/xl/worksheets/sheet76.xml" ContentType="application/vnd.openxmlformats-officedocument.spreadsheetml.worksheet+xml"/>
  <Override PartName="/xl/worksheets/sheet62.xml" ContentType="application/vnd.openxmlformats-officedocument.spreadsheetml.worksheet+xml"/>
  <Override PartName="/xl/worksheets/sheet60.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73.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1.xml" ContentType="application/vnd.openxmlformats-officedocument.spreadsheetml.worksheet+xml"/>
  <Override PartName="/xl/worksheets/sheet74.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40.xml" ContentType="application/vnd.openxmlformats-officedocument.drawing+xml"/>
  <Override PartName="/xl/worksheets/sheet57.xml" ContentType="application/vnd.openxmlformats-officedocument.spreadsheetml.worksheet+xml"/>
  <Override PartName="/xl/worksheets/sheet78.xml" ContentType="application/vnd.openxmlformats-officedocument.spreadsheetml.worksheet+xml"/>
  <Override PartName="/xl/worksheets/sheet55.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56.xml" ContentType="application/vnd.openxmlformats-officedocument.spreadsheetml.worksheet+xml"/>
  <Override PartName="/xl/worksheets/sheet48.xml" ContentType="application/vnd.openxmlformats-officedocument.spreadsheetml.worksheet+xml"/>
  <Override PartName="/xl/drawings/drawing42.xml" ContentType="application/vnd.openxmlformats-officedocument.drawing+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52.xml" ContentType="application/vnd.openxmlformats-officedocument.spreadsheetml.worksheet+xml"/>
  <Override PartName="/xl/drawings/drawing41.xml" ContentType="application/vnd.openxmlformats-officedocument.drawing+xml"/>
  <Override PartName="/xl/worksheets/sheet54.xml" ContentType="application/vnd.openxmlformats-officedocument.spreadsheetml.worksheet+xml"/>
  <Override PartName="/xl/worksheets/sheet53.xml" ContentType="application/vnd.openxmlformats-officedocument.spreadsheetml.worksheet+xml"/>
  <Override PartName="/xl/worksheets/sheet51.xml" ContentType="application/vnd.openxmlformats-officedocument.spreadsheetml.worksheet+xml"/>
  <Override PartName="/xl/worksheets/sheet81.xml" ContentType="application/vnd.openxmlformats-officedocument.spreadsheetml.worksheet+xml"/>
  <Override PartName="/xl/comments4.xml" ContentType="application/vnd.openxmlformats-officedocument.spreadsheetml.comments+xml"/>
  <Override PartName="/xl/externalLinks/externalLink2.xml" ContentType="application/vnd.openxmlformats-officedocument.spreadsheetml.externalLink+xml"/>
  <Override PartName="/xl/comments1.xml" ContentType="application/vnd.openxmlformats-officedocument.spreadsheetml.comments+xml"/>
  <Override PartName="/xl/externalLinks/externalLink1.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8.xml" ContentType="application/vnd.openxmlformats-officedocument.spreadsheetml.comments+xml"/>
  <Override PartName="/xl/comments7.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1.xml" ContentType="application/vnd.openxmlformats-officedocument.spreadsheetml.comments+xml"/>
  <Override PartName="/xl/comments5.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backupFile="1" codeName="ThisWorkbook" defaultThemeVersion="124226"/>
  <bookViews>
    <workbookView xWindow="-225" yWindow="-195" windowWidth="25470" windowHeight="12525" tabRatio="938" firstSheet="7" activeTab="7"/>
  </bookViews>
  <sheets>
    <sheet name="REMOVE!!-Revision history" sheetId="1" r:id="rId1"/>
    <sheet name="REMOVE!!-FTE Summaries" sheetId="2" r:id="rId2"/>
    <sheet name="RV--Compare to orig 2017 Plan" sheetId="128" r:id="rId3"/>
    <sheet name="Readme First" sheetId="6" r:id="rId4"/>
    <sheet name="Budget Category Descriptions" sheetId="7" r:id="rId5"/>
    <sheet name="Building the 2-yr elec target" sheetId="9" r:id="rId6"/>
    <sheet name="Building the 2-yr gas target" sheetId="10" r:id="rId7"/>
    <sheet name="Portfolio--2017" sheetId="11" r:id="rId8"/>
    <sheet name="2017 Sector View Elect" sheetId="12" r:id="rId9"/>
    <sheet name="2017 Sector View Gas" sheetId="13" r:id="rId10"/>
    <sheet name=" LowIncWx Detail_REM E201_Elec" sheetId="14" r:id="rId11"/>
    <sheet name="REM E214 Title Tab " sheetId="15" r:id="rId12"/>
    <sheet name="HmEnrgAsmt Detail_REM_E214 Elec" sheetId="16" r:id="rId13"/>
    <sheet name="WaterHea_Detail_REM_E214 Elec" sheetId="17" r:id="rId14"/>
    <sheet name="Wx_Detail_REM E214 Elec" sheetId="18" r:id="rId15"/>
    <sheet name="SpcHeat Detail_REM_E214 Elec" sheetId="19" r:id="rId16"/>
    <sheet name="HmAppplc_Detail_REM_E214 Elec" sheetId="20" r:id="rId17"/>
    <sheet name="ShwrHead_Detail_REM_E214  Elec" sheetId="21" r:id="rId18"/>
    <sheet name="Web Tstat Detail_REM E214 Elec" sheetId="22" r:id="rId19"/>
    <sheet name="Lighting Detail_REM_E214 Elec" sheetId="23" r:id="rId20"/>
    <sheet name="MHDS Detail_REM_E214 Elec." sheetId="24" r:id="rId21"/>
    <sheet name="ARRAWx Detail_REM_E214 Elec" sheetId="25" r:id="rId22"/>
    <sheet name="HER Detail_REM_E214 elec." sheetId="26" r:id="rId23"/>
    <sheet name="SFNC Detail_REM E215 Elec" sheetId="27" r:id="rId24"/>
    <sheet name="NCMfgHome Detail_REM E215 Elec" sheetId="28" r:id="rId25"/>
    <sheet name="FuelConv Detail_REM E216 Elec" sheetId="29" r:id="rId26"/>
    <sheet name="MF Retr Detail_REM E217 Elec" sheetId="30" r:id="rId27"/>
    <sheet name="MFNC Detail_REM E218 Elec" sheetId="31" r:id="rId28"/>
    <sheet name="LowIncWx Detail_REM G201 Gas" sheetId="32" r:id="rId29"/>
    <sheet name="REM Gas Sch 214 Title" sheetId="33" r:id="rId30"/>
    <sheet name="HmEnrgyAsmt Detail_REM G214 Gas" sheetId="34" r:id="rId31"/>
    <sheet name="WtrHeat Detail_REM G214 Gas" sheetId="35" r:id="rId32"/>
    <sheet name="Wx Detail_REM G214 Gas" sheetId="36" r:id="rId33"/>
    <sheet name="SpHeat Detail_REM G214 Gas" sheetId="37" r:id="rId34"/>
    <sheet name="ShwrHead Detail_REM G214 Gas" sheetId="38" r:id="rId35"/>
    <sheet name="HmApplSvgs Detail_REM G214 Gas" sheetId="39" r:id="rId36"/>
    <sheet name="MHDS Detail_REM G214 Gas" sheetId="40" r:id="rId37"/>
    <sheet name="WebTstat Detail_REM G214 Gas" sheetId="41" r:id="rId38"/>
    <sheet name="HER Detail_REM G214 gas" sheetId="42" r:id="rId39"/>
    <sheet name="SFNC Detail_REM G215 Gas" sheetId="43" r:id="rId40"/>
    <sheet name="NCMfgHomes Detail_REM G215 Gas" sheetId="44" r:id="rId41"/>
    <sheet name="MF Retr Detail_REM G217 Gas" sheetId="45" r:id="rId42"/>
    <sheet name="MFNC Detail_REM G218 Gas" sheetId="46" r:id="rId43"/>
    <sheet name="CI Retr Detail_BEM E250 Elec" sheetId="47" r:id="rId44"/>
    <sheet name="BusLgtGrants_BEM E250 Elect" sheetId="48" r:id="rId45"/>
    <sheet name="CI NC Detail_BEM E251 Elec" sheetId="49" r:id="rId46"/>
    <sheet name="RCM Detail_BEM E253 Elec" sheetId="50" r:id="rId47"/>
    <sheet name="RCM U-S-B Detail_E253 Elec" sheetId="51" r:id="rId48"/>
    <sheet name="ResAcctSW Detail_PSWE_Elec" sheetId="52" r:id="rId49"/>
    <sheet name="LPSD_Detail_Non-449 Elec" sheetId="53" r:id="rId50"/>
    <sheet name="LPSD_Detail_449_Elec" sheetId="54" r:id="rId51"/>
    <sheet name="TechEval Detail_BEM E261 Elec" sheetId="55" r:id="rId52"/>
    <sheet name="Comm Lgt Mkdn_E262 Elect" sheetId="56" r:id="rId53"/>
    <sheet name="Comm Kit-Laund_E262 Elect" sheetId="57" r:id="rId54"/>
    <sheet name="Comm DI_E262 Elect" sheetId="58" r:id="rId55"/>
    <sheet name="Comm HVAC_E262 Elect" sheetId="59" r:id="rId56"/>
    <sheet name="Comm ExpLgt_E262 Elect" sheetId="60" r:id="rId57"/>
    <sheet name="Sm Agr DI_E262 Elect" sheetId="61" r:id="rId58"/>
    <sheet name="Lodging DI_E262 Elec" sheetId="62" r:id="rId59"/>
    <sheet name="Sm Bus DI_E262 Elect" sheetId="63" r:id="rId60"/>
    <sheet name="CI Retr Detail_BEM G250 Gas" sheetId="64" r:id="rId61"/>
    <sheet name="CI NC Detail_BEM G251 Gas" sheetId="65" r:id="rId62"/>
    <sheet name="RCM Detail_BEM 253 Gas" sheetId="66" r:id="rId63"/>
    <sheet name="ResAcctSW Detail_PSWE_Gas" sheetId="67" r:id="rId64"/>
    <sheet name="TechEval Detail_BEM G261 Gas" sheetId="68" r:id="rId65"/>
    <sheet name="Sm Agr DI_G262 Gas" sheetId="69" r:id="rId66"/>
    <sheet name="Lodging DI_G262_Gas" sheetId="70" r:id="rId67"/>
    <sheet name="Sm Bus DI_G262 Gas" sheetId="71" r:id="rId68"/>
    <sheet name="Comm Kit-Laund_G262 Gas" sheetId="72" r:id="rId69"/>
    <sheet name="Comm DI_G262 Gas" sheetId="73" r:id="rId70"/>
    <sheet name="Comm HVAC_G262 Gas" sheetId="74" r:id="rId71"/>
    <sheet name="REM Pilots E249 Elec" sheetId="75" r:id="rId72"/>
    <sheet name="BEM Pilots E249 Elec" sheetId="76" r:id="rId73"/>
    <sheet name="REM Pilots Detail G249 Gas" sheetId="77" r:id="rId74"/>
    <sheet name="BEM Pilots Detail G249 Gas" sheetId="78" r:id="rId75"/>
    <sheet name="NEEA Detail_E254 elec" sheetId="79" r:id="rId76"/>
    <sheet name="T&amp;D Detail_Reg E292 elec" sheetId="80" r:id="rId77"/>
    <sheet name="NEEA Gas MT_no Sched Gas" sheetId="81" r:id="rId78"/>
    <sheet name="Portf Suppt Cust Eng Elec Title" sheetId="82" r:id="rId79"/>
    <sheet name="Engy Adv Detail_PSCE  Elec" sheetId="83" r:id="rId80"/>
    <sheet name="Events Detail_PSCE Elec" sheetId="84" r:id="rId81"/>
    <sheet name="Brochures Detail_PSCE Elec" sheetId="85" r:id="rId82"/>
    <sheet name="Educatn Detail_PSCE E202 Elec" sheetId="86" r:id="rId83"/>
    <sheet name="Port Suppt_Web Exp Elec Title" sheetId="87" r:id="rId84"/>
    <sheet name="CustOnline Detail_PSWE_Elec" sheetId="88" r:id="rId85"/>
    <sheet name="Mkt Intgn Detail_PSWE_Elec" sheetId="89" r:id="rId86"/>
    <sheet name="ABS Detail_PSWE_Elec" sheetId="90" r:id="rId87"/>
    <sheet name="Rebt Procg Detail_Elect" sheetId="91" r:id="rId88"/>
    <sheet name="Progs Supp Detail_PS_ Elec" sheetId="92" r:id="rId89"/>
    <sheet name="Data &amp; Systm Svcs_Elect" sheetId="93" r:id="rId90"/>
    <sheet name="EEC Detail_PS_Elec" sheetId="94" r:id="rId91"/>
    <sheet name="TradeAlly Detail_PS_ Elec" sheetId="95" r:id="rId92"/>
    <sheet name="CAN_Elect" sheetId="96" r:id="rId93"/>
    <sheet name="Port Supp Cust Engage Gas Title" sheetId="97" r:id="rId94"/>
    <sheet name="Engy Adv Detail_PSCE_Gas" sheetId="98" r:id="rId95"/>
    <sheet name="Events Detail_PSCE_Gas" sheetId="99" r:id="rId96"/>
    <sheet name="Brochure Detail_PSCE_Gas" sheetId="100" r:id="rId97"/>
    <sheet name="Eductn Detail_PSCE_G207 Gas" sheetId="101" r:id="rId98"/>
    <sheet name="Port Supp_Web Exp Gas Title" sheetId="102" r:id="rId99"/>
    <sheet name="CustOnline Detail_PSWE_Gas" sheetId="103" r:id="rId100"/>
    <sheet name="Mkt Intg Detail_PSWE_Gas" sheetId="104" r:id="rId101"/>
    <sheet name="ABS Detail_PSWE_Gas" sheetId="105" r:id="rId102"/>
    <sheet name="Rebt Procg_Detail Gas" sheetId="106" r:id="rId103"/>
    <sheet name="Progs Supp Detail_PS_Gas" sheetId="107" r:id="rId104"/>
    <sheet name="Data &amp; Systm Svcs Detail Gas" sheetId="108" r:id="rId105"/>
    <sheet name="EEC Detail_PS_Gas" sheetId="109" r:id="rId106"/>
    <sheet name="TradeAlly Detail_PS_gas" sheetId="110" r:id="rId107"/>
    <sheet name="CAN_PS_Detail Gas" sheetId="111" r:id="rId108"/>
    <sheet name="SuppCrv Detail_R&amp;C_Elec" sheetId="112" r:id="rId109"/>
    <sheet name="Strat Plan Detail_R&amp;C_Elec" sheetId="113" r:id="rId110"/>
    <sheet name="Mktg Resch Detail_PS_ Elec" sheetId="114" r:id="rId111"/>
    <sheet name="Eval Detail_R&amp;C_Elec" sheetId="115" r:id="rId112"/>
    <sheet name="BECAR Detail_R&amp;C Elec" sheetId="116" r:id="rId113"/>
    <sheet name="Verifctn Team Detail Elec" sheetId="117" r:id="rId114"/>
    <sheet name="Supp Crv Detail_R&amp;C_gas" sheetId="118" r:id="rId115"/>
    <sheet name="Strat Pln Detail_R&amp;C_Gas" sheetId="119" r:id="rId116"/>
    <sheet name="Mktg Rsch Detail_PS_gas" sheetId="120" r:id="rId117"/>
    <sheet name="Eval Detail_R&amp;C_Gas" sheetId="121" r:id="rId118"/>
    <sheet name="Verifctn team Detail Gas" sheetId="122" r:id="rId119"/>
    <sheet name="Net Mtr Details_Oth Elec E150" sheetId="123" r:id="rId120"/>
    <sheet name="ElecVehcl Chg Inctv_E195 Elect" sheetId="124" r:id="rId121"/>
    <sheet name="Demnd Resp_Res_Exxx Elec" sheetId="125" r:id="rId122"/>
    <sheet name="Demnd Resp_Com_Exxx Elec" sheetId="126" r:id="rId123"/>
  </sheets>
  <externalReferences>
    <externalReference r:id="rId124"/>
    <externalReference r:id="rId125"/>
    <externalReference r:id="rId126"/>
  </externalReferences>
  <definedNames>
    <definedName name="ABS_Elec_totbudget_2015">'[1]2015 Sector View Elect'!$S$71</definedName>
    <definedName name="BEM_2yGas_Budget" comment="This is the sum of the 2, single-year BEM gas budgets.">#REF!</definedName>
    <definedName name="BEM_2yrElectric_Budget" comment="This is the sum of the 2, single-year BEM electirc budgets.">#REF!</definedName>
    <definedName name="brochr_elec_totbudget_2015">'[1]2015 Sector View Elect'!$S$66</definedName>
    <definedName name="ciloadctr_elec_totbudget_2015">'[1]2015 Sector View Elect'!$S$96</definedName>
    <definedName name="eductn_elec_totbudget_2015">'[1]2015 Sector View Elect'!$S$67</definedName>
    <definedName name="eecomm_elec_totbudget_2015">'[1]2015 Sector View Elect'!$S$75</definedName>
    <definedName name="ElecVehclChgIncent_Elect_2015">'[1]2015 Sector View Elect'!$S$94</definedName>
    <definedName name="enrgyadv_elec_totbudget_2015">'[1]2015 Sector View Elect'!$S$64</definedName>
    <definedName name="events_elec_totbudget_2015">'[1]2015 Sector View Elect'!$S$65</definedName>
    <definedName name="fuelconv_elec_totsavings_2015">'[1]2015 Sector View Elect'!$T$21</definedName>
    <definedName name="hmappl_elec_totsavings_2015">'[1]2015 Sector View Elect'!$T$14</definedName>
    <definedName name="hmenrgyrpts_elec_totsavings_2015">'[1]2015 Sector View Elect'!$T$18</definedName>
    <definedName name="homep_elec_totsavings_2015">'[1]2015 Sector View Elect'!$T$8</definedName>
    <definedName name="lighting_elec_totsavings_2015">'[1]2015 Sector View Elect'!$T$16</definedName>
    <definedName name="liw_elec_totsavings_2015">'[1]2015 Sector View Elect'!$T$7</definedName>
    <definedName name="lu_labor_title">[2]lookups!$H$6:$H$18</definedName>
    <definedName name="lu_m_life">[2]lookups!$F$6:$F$35</definedName>
    <definedName name="lu_unit_type">[2]lookups!$D$6:$D$11</definedName>
    <definedName name="mfnewconst_elec_totsavings_2015">'[1]2015 Sector View Elect'!$T$23</definedName>
    <definedName name="mftretro_elec_totsavings_2015">'[1]2015 Sector View Elect'!$T$22</definedName>
    <definedName name="MHDS_2015_totsavings_elec">'[1]2015 Sector View Elect'!$T$17</definedName>
    <definedName name="mktint_elec_totbudget_2015">'[1]2015 Sector View Elect'!$S$70</definedName>
    <definedName name="netmtr_elec_totbudget_2015">'[1]2015 Sector View Elect'!$S$93</definedName>
    <definedName name="onlineex_elec_totbudget_2015">'[1]2015 Sector View Elect'!$S$69</definedName>
    <definedName name="OthElec_2015_Totbudget_E">'[1]2015 Sector View Elect'!$S$98</definedName>
    <definedName name="OthElectric_2yrElectirc_Budget" comment="This is the sum of the 2, single-year Other Electric electric budgets.">#REF!</definedName>
    <definedName name="Pilots_2yrElectric_Budget" comment="This is the sum of the 2, single-year electirc Pilot budgets.">#REF!</definedName>
    <definedName name="Pilots_2yrGas_Budgets" comment="This is the sum of the 2, single-year gas Pilots budgets.">#REF!</definedName>
    <definedName name="PortSupp_2015_Totbudget_E">'[1]2015 Sector View Elect'!$S$77</definedName>
    <definedName name="PortSupp_2yrElectric_Budget" comment="This is the sum of the 2, single-year electric Portfolio Support budgets.">#REF!,#REF!,#REF!</definedName>
    <definedName name="PortSupp_2yrGas_Budgets" comment="This is the sum of the 2, single-year Portfolio Support gas budgets.">#REF!,#REF!,#REF!</definedName>
    <definedName name="PrgmsvcAnalytics_Totbudget_Elec_2015">'[1]2015 Sector View Elect'!$S$73</definedName>
    <definedName name="prgmsvcSyst_elec_totbudget_2015">'[1]2015 Sector View Elect'!$S$72</definedName>
    <definedName name="_xlnm.Print_Area" localSheetId="5">'Building the 2-yr elec target'!$E$4:$Q$32</definedName>
    <definedName name="_xlnm.Print_Area" localSheetId="6">'Building the 2-yr gas target'!$C$6:$N$26</definedName>
    <definedName name="_xlnm.Print_Area" localSheetId="60">'CI Retr Detail_BEM G250 Gas'!$A$1:$U$67</definedName>
    <definedName name="_xlnm.Print_Area" localSheetId="28">'LowIncWx Detail_REM G201 Gas'!$A$1:$AE$78</definedName>
    <definedName name="_xlnm.Print_Area" localSheetId="71">'REM Pilots E249 Elec'!$A$1:$AA$71</definedName>
    <definedName name="_xlnm.Print_Titles" localSheetId="54">'Comm DI_E262 Elect'!$1:$1</definedName>
    <definedName name="_xlnm.Print_Titles" localSheetId="55">'Comm HVAC_E262 Elect'!$1:$1</definedName>
    <definedName name="_xlnm.Print_Titles" localSheetId="58">'Lodging DI_E262 Elec'!$1:$1</definedName>
    <definedName name="_xlnm.Print_Titles" localSheetId="66">'Lodging DI_G262_Gas'!$1:$1</definedName>
    <definedName name="_xlnm.Print_Titles" localSheetId="59">'Sm Bus DI_E262 Elect'!$1:$1</definedName>
    <definedName name="RebtProc_Elec_TotBudget_2015">'[1]2015 Sector View Elect'!$S$74</definedName>
    <definedName name="Regional_2yrElectric_Budget" comment="This is the sum of the 2, single-year electric regional budgets.">#REF!</definedName>
    <definedName name="Regional_2yrGas_Budgets" comment="This is the sum of the 2, single-year Regional gas budgets.">#REF!</definedName>
    <definedName name="REM_2yrElectric_Budget" comment="This is the total 2-year REM electric budget, summing the 2, single-year budgets.">#REF!</definedName>
    <definedName name="REM_2yrGas_Budget" comment="This is the sum of the 2, single-year REM gas budgets.">#REF!</definedName>
    <definedName name="Res_and_Compl_2yrElectric_Budget" comment="This is the sum of the 2, single-year electric Research &amp; Compliance electric budgets.">#REF!</definedName>
    <definedName name="Res_Compl_2yrGas_Budget" comment="This is the sum of the 2, single-year gas budgets for Research &amp; Compliance.">#REF!</definedName>
    <definedName name="resdr_elec_totbudget_2015">'[1]2015 Sector View Elect'!$S$97</definedName>
    <definedName name="sfnewconst_elec_totsavings_2015">'[1]2015 Sector View Elect'!$T$19</definedName>
    <definedName name="sfspcht_elec_totsavings_2015">'[1]2015 Sector View Elect'!$T$12</definedName>
    <definedName name="sfwtrht_elec_totsavings_2015">'[1]2015 Sector View Elect'!$T$9</definedName>
    <definedName name="SFWx_ARRA_Totsavings_2015_Elec">'[1]2015 Sector View Elect'!$T$11</definedName>
    <definedName name="sfwx_elec_totsavings_2015">'[1]2015 Sector View Elect'!$T$10</definedName>
    <definedName name="shwrhd_elec_totsavings_2015">'[1]2015 Sector View Elect'!$T$15</definedName>
    <definedName name="trdallysupp_elec_totbudget_2015">'[1]2015 Sector View Elect'!$S$76</definedName>
    <definedName name="Z_074EB09C_6289_46D7_9513_012B68BCA7BF_.wvu.Cols" localSheetId="5" hidden="1">'Building the 2-yr elec target'!$K:$K</definedName>
    <definedName name="Z_074EB09C_6289_46D7_9513_012B68BCA7BF_.wvu.Cols" localSheetId="53" hidden="1">'Comm Kit-Laund_E262 Elect'!$L:$L,'Comm Kit-Laund_E262 Elect'!$O:$P</definedName>
    <definedName name="Z_074EB09C_6289_46D7_9513_012B68BCA7BF_.wvu.PrintArea" localSheetId="5" hidden="1">'Building the 2-yr elec target'!$E$4:$Q$32</definedName>
    <definedName name="Z_074EB09C_6289_46D7_9513_012B68BCA7BF_.wvu.PrintArea" localSheetId="6" hidden="1">'Building the 2-yr gas target'!$C$6:$N$26</definedName>
    <definedName name="Z_074EB09C_6289_46D7_9513_012B68BCA7BF_.wvu.Rows" localSheetId="8" hidden="1">'2017 Sector View Elect'!$41:$41</definedName>
    <definedName name="Z_074EB09C_6289_46D7_9513_012B68BCA7BF_.wvu.Rows" localSheetId="9" hidden="1">'2017 Sector View Gas'!$34:$34</definedName>
    <definedName name="Z_074EB09C_6289_46D7_9513_012B68BCA7BF_.wvu.Rows" localSheetId="5" hidden="1">'Building the 2-yr elec target'!$27:$27</definedName>
  </definedNames>
  <calcPr calcId="145621"/>
  <customWorkbookViews>
    <customWorkbookView name="Lance Rottger - Personal View" guid="{D9EFFE19-D14B-4C6F-BDF4-FF696F73968D}" mergeInterval="0" personalView="1" xWindow="12" yWindow="39" windowWidth="1649" windowHeight="732" tabRatio="907" activeSheetId="41"/>
    <customWorkbookView name="Andy Hemstreet - Personal View" guid="{074EB09C-6289-46D7-9513-012B68BCA7BF}" mergeInterval="0" personalView="1" xWindow="8" yWindow="29" windowWidth="1657" windowHeight="793" tabRatio="938" activeSheetId="57"/>
  </customWorkbookViews>
</workbook>
</file>

<file path=xl/calcChain.xml><?xml version="1.0" encoding="utf-8"?>
<calcChain xmlns="http://schemas.openxmlformats.org/spreadsheetml/2006/main">
  <c r="H91" i="11" l="1"/>
  <c r="H87" i="11"/>
  <c r="H92" i="11"/>
  <c r="J92" i="11"/>
  <c r="J91" i="11"/>
  <c r="E49" i="121" l="1"/>
  <c r="F52" i="121"/>
  <c r="F53" i="121"/>
  <c r="F54" i="121"/>
  <c r="E49" i="115"/>
  <c r="F51" i="115"/>
  <c r="F52" i="115"/>
  <c r="F53" i="115"/>
  <c r="F54" i="115"/>
  <c r="F24" i="111" l="1"/>
  <c r="F25" i="111"/>
  <c r="F23" i="111"/>
  <c r="F22" i="111"/>
  <c r="F15" i="109"/>
  <c r="F18" i="109"/>
  <c r="E15" i="108"/>
  <c r="F19" i="108"/>
  <c r="F15" i="108" s="1"/>
  <c r="F40" i="96"/>
  <c r="F41" i="96"/>
  <c r="F39" i="96"/>
  <c r="F38" i="96"/>
  <c r="F17" i="94"/>
  <c r="F19" i="93"/>
  <c r="F16" i="124" l="1"/>
  <c r="B20" i="124"/>
  <c r="E21" i="14" l="1"/>
  <c r="E12" i="14"/>
  <c r="V114" i="14"/>
  <c r="V115" i="14"/>
  <c r="V15" i="14"/>
  <c r="U15" i="14"/>
  <c r="T15" i="14"/>
  <c r="V113" i="14"/>
  <c r="U115" i="14"/>
  <c r="U18" i="14"/>
  <c r="V18" i="14"/>
  <c r="U19" i="14"/>
  <c r="V19" i="14"/>
  <c r="U20" i="14"/>
  <c r="V20" i="14"/>
  <c r="U21" i="14"/>
  <c r="V21" i="14"/>
  <c r="U22" i="14"/>
  <c r="V22" i="14"/>
  <c r="U23" i="14"/>
  <c r="V23" i="14"/>
  <c r="U24" i="14"/>
  <c r="V24" i="14"/>
  <c r="U25" i="14"/>
  <c r="V25" i="14"/>
  <c r="U26" i="14"/>
  <c r="V26" i="14"/>
  <c r="U27" i="14"/>
  <c r="V27" i="14"/>
  <c r="U28" i="14"/>
  <c r="V28" i="14"/>
  <c r="U29" i="14"/>
  <c r="V29" i="14"/>
  <c r="U30" i="14"/>
  <c r="V30" i="14"/>
  <c r="U31" i="14"/>
  <c r="V31" i="14"/>
  <c r="U32" i="14"/>
  <c r="V32" i="14"/>
  <c r="U33" i="14"/>
  <c r="V33" i="14"/>
  <c r="U34" i="14"/>
  <c r="V34" i="14"/>
  <c r="U35" i="14"/>
  <c r="V35" i="14"/>
  <c r="U36" i="14"/>
  <c r="V36" i="14"/>
  <c r="U37" i="14"/>
  <c r="V37" i="14"/>
  <c r="U38" i="14"/>
  <c r="V38" i="14"/>
  <c r="U39" i="14"/>
  <c r="V39" i="14"/>
  <c r="U40" i="14"/>
  <c r="V40" i="14"/>
  <c r="U41" i="14"/>
  <c r="V41" i="14"/>
  <c r="U42" i="14"/>
  <c r="V42" i="14"/>
  <c r="U43" i="14"/>
  <c r="V43" i="14"/>
  <c r="U44" i="14"/>
  <c r="V44" i="14"/>
  <c r="U45" i="14"/>
  <c r="V45" i="14"/>
  <c r="U46" i="14"/>
  <c r="V46" i="14"/>
  <c r="U47" i="14"/>
  <c r="V47" i="14"/>
  <c r="U48" i="14"/>
  <c r="V48" i="14"/>
  <c r="U49" i="14"/>
  <c r="V49" i="14"/>
  <c r="U50" i="14"/>
  <c r="V50" i="14"/>
  <c r="U51" i="14"/>
  <c r="V51" i="14"/>
  <c r="U52" i="14"/>
  <c r="V52" i="14"/>
  <c r="U53" i="14"/>
  <c r="V53" i="14"/>
  <c r="U54" i="14"/>
  <c r="V54" i="14"/>
  <c r="U55" i="14"/>
  <c r="V55" i="14"/>
  <c r="U56" i="14"/>
  <c r="V56" i="14"/>
  <c r="U57" i="14"/>
  <c r="V57" i="14"/>
  <c r="U58" i="14"/>
  <c r="V58" i="14"/>
  <c r="U59" i="14"/>
  <c r="V59" i="14"/>
  <c r="U60" i="14"/>
  <c r="V60" i="14"/>
  <c r="U61" i="14"/>
  <c r="V61" i="14"/>
  <c r="U62" i="14"/>
  <c r="V62" i="14"/>
  <c r="U63" i="14"/>
  <c r="V63" i="14"/>
  <c r="U64" i="14"/>
  <c r="V64" i="14"/>
  <c r="U65" i="14"/>
  <c r="V65" i="14"/>
  <c r="U66" i="14"/>
  <c r="V66" i="14"/>
  <c r="U67" i="14"/>
  <c r="V67" i="14"/>
  <c r="U68" i="14"/>
  <c r="V68" i="14"/>
  <c r="U69" i="14"/>
  <c r="V69" i="14"/>
  <c r="U70" i="14"/>
  <c r="V70" i="14"/>
  <c r="U71" i="14"/>
  <c r="V71" i="14"/>
  <c r="U72" i="14"/>
  <c r="V72" i="14"/>
  <c r="U73" i="14"/>
  <c r="V73" i="14"/>
  <c r="U74" i="14"/>
  <c r="V74" i="14"/>
  <c r="U75" i="14"/>
  <c r="V75" i="14"/>
  <c r="U76" i="14"/>
  <c r="V76" i="14"/>
  <c r="U77" i="14"/>
  <c r="V77" i="14"/>
  <c r="U78" i="14"/>
  <c r="V78" i="14"/>
  <c r="U79" i="14"/>
  <c r="V79" i="14"/>
  <c r="U80" i="14"/>
  <c r="V80" i="14"/>
  <c r="U81" i="14"/>
  <c r="V81" i="14"/>
  <c r="U82" i="14"/>
  <c r="V82" i="14"/>
  <c r="U83" i="14"/>
  <c r="V83" i="14"/>
  <c r="U84" i="14"/>
  <c r="V84" i="14"/>
  <c r="U85" i="14"/>
  <c r="V85" i="14"/>
  <c r="U86" i="14"/>
  <c r="V86" i="14"/>
  <c r="U87" i="14"/>
  <c r="V87" i="14"/>
  <c r="U88" i="14"/>
  <c r="V88" i="14"/>
  <c r="U89" i="14"/>
  <c r="V89" i="14"/>
  <c r="U90" i="14"/>
  <c r="V90" i="14"/>
  <c r="U91" i="14"/>
  <c r="V91" i="14"/>
  <c r="U92" i="14"/>
  <c r="V92" i="14"/>
  <c r="U93" i="14"/>
  <c r="V93" i="14"/>
  <c r="U94" i="14"/>
  <c r="V94" i="14"/>
  <c r="U95" i="14"/>
  <c r="V95" i="14"/>
  <c r="U96" i="14"/>
  <c r="V96" i="14"/>
  <c r="U97" i="14"/>
  <c r="V97" i="14"/>
  <c r="U98" i="14"/>
  <c r="V98" i="14"/>
  <c r="U99" i="14"/>
  <c r="V99" i="14"/>
  <c r="U100" i="14"/>
  <c r="V100" i="14"/>
  <c r="U101" i="14"/>
  <c r="V101" i="14"/>
  <c r="U102" i="14"/>
  <c r="V102" i="14"/>
  <c r="U103" i="14"/>
  <c r="V103" i="14"/>
  <c r="U104" i="14"/>
  <c r="V104" i="14"/>
  <c r="U105" i="14"/>
  <c r="V105" i="14"/>
  <c r="U106" i="14"/>
  <c r="V106" i="14"/>
  <c r="U107" i="14"/>
  <c r="V107" i="14"/>
  <c r="U108" i="14"/>
  <c r="V108" i="14"/>
  <c r="U109" i="14"/>
  <c r="V109" i="14"/>
  <c r="U110" i="14"/>
  <c r="V110" i="14"/>
  <c r="U111" i="14"/>
  <c r="V111" i="14"/>
  <c r="U112" i="14"/>
  <c r="V112" i="14"/>
  <c r="U113" i="14"/>
  <c r="U114" i="14"/>
  <c r="X114" i="14"/>
  <c r="Y114" i="14"/>
  <c r="AC114" i="14"/>
  <c r="X115" i="14"/>
  <c r="Y115" i="14"/>
  <c r="AC115" i="14"/>
  <c r="X25" i="128"/>
  <c r="X24" i="128"/>
  <c r="W25" i="128"/>
  <c r="Z25" i="128"/>
  <c r="Y25" i="128"/>
  <c r="M25" i="128"/>
  <c r="N25" i="128"/>
  <c r="K25" i="128"/>
  <c r="K24" i="128"/>
  <c r="H25" i="128"/>
  <c r="H24" i="128"/>
  <c r="G25" i="128"/>
  <c r="G24" i="128"/>
  <c r="I25" i="128"/>
  <c r="J25" i="128"/>
  <c r="V31" i="128"/>
  <c r="R42" i="128"/>
  <c r="R40" i="128"/>
  <c r="R39" i="128"/>
  <c r="R31" i="128"/>
  <c r="R29" i="128"/>
  <c r="R28" i="128"/>
  <c r="N41" i="128"/>
  <c r="N39" i="128"/>
  <c r="N37" i="128"/>
  <c r="N28" i="128"/>
  <c r="J41" i="128"/>
  <c r="J39" i="128"/>
  <c r="J28" i="128"/>
  <c r="Q42" i="128"/>
  <c r="Q40" i="128"/>
  <c r="Q39" i="128"/>
  <c r="Q29" i="128"/>
  <c r="Q28" i="128"/>
  <c r="M41" i="128"/>
  <c r="M39" i="128"/>
  <c r="M37" i="128"/>
  <c r="M32" i="128"/>
  <c r="M29" i="128"/>
  <c r="I41" i="128"/>
  <c r="I39" i="128"/>
  <c r="I29" i="128"/>
  <c r="X42" i="128"/>
  <c r="X41" i="128"/>
  <c r="X40" i="128"/>
  <c r="X39" i="128"/>
  <c r="X38" i="128"/>
  <c r="X37" i="128"/>
  <c r="X36" i="128"/>
  <c r="X34" i="128"/>
  <c r="X33" i="128"/>
  <c r="X32" i="128"/>
  <c r="X29" i="128"/>
  <c r="X30" i="128"/>
  <c r="X28" i="128"/>
  <c r="W29" i="128"/>
  <c r="Z29" i="128"/>
  <c r="W37" i="128"/>
  <c r="Z37" i="128"/>
  <c r="W39" i="128"/>
  <c r="Z39" i="128"/>
  <c r="S42" i="128"/>
  <c r="V42" i="128"/>
  <c r="S41" i="128"/>
  <c r="V41" i="128"/>
  <c r="S40" i="128"/>
  <c r="V40" i="128"/>
  <c r="S38" i="128"/>
  <c r="V38" i="128"/>
  <c r="S37" i="128"/>
  <c r="V37" i="128"/>
  <c r="S30" i="128"/>
  <c r="U30" i="128"/>
  <c r="S28" i="128"/>
  <c r="V28" i="128"/>
  <c r="O27" i="128"/>
  <c r="O42" i="128"/>
  <c r="O41" i="128"/>
  <c r="Q41" i="128"/>
  <c r="O40" i="128"/>
  <c r="O38" i="128"/>
  <c r="R38" i="128"/>
  <c r="O37" i="128"/>
  <c r="Q37" i="128"/>
  <c r="O30" i="128"/>
  <c r="R30" i="128"/>
  <c r="O28" i="128"/>
  <c r="K33" i="128"/>
  <c r="K31" i="128"/>
  <c r="W31" i="128"/>
  <c r="K32" i="128"/>
  <c r="N32" i="128"/>
  <c r="K42" i="128"/>
  <c r="N42" i="128"/>
  <c r="K41" i="128"/>
  <c r="K39" i="128"/>
  <c r="K38" i="128"/>
  <c r="N38" i="128"/>
  <c r="K37" i="128"/>
  <c r="K36" i="128"/>
  <c r="W36" i="128"/>
  <c r="K29" i="128"/>
  <c r="N29" i="128"/>
  <c r="K30" i="128"/>
  <c r="N30" i="128"/>
  <c r="K28" i="128"/>
  <c r="M28" i="128"/>
  <c r="G42" i="128"/>
  <c r="J42" i="128"/>
  <c r="G41" i="128"/>
  <c r="G39" i="128"/>
  <c r="G38" i="128"/>
  <c r="J38" i="128"/>
  <c r="G37" i="128"/>
  <c r="J37" i="128"/>
  <c r="G36" i="128"/>
  <c r="I36" i="128"/>
  <c r="G33" i="128"/>
  <c r="I33" i="128"/>
  <c r="G32" i="128"/>
  <c r="J32" i="128"/>
  <c r="G27" i="128"/>
  <c r="G29" i="128"/>
  <c r="J29" i="128"/>
  <c r="G30" i="128"/>
  <c r="J30" i="128"/>
  <c r="G28" i="128"/>
  <c r="I28" i="128"/>
  <c r="Z36" i="128"/>
  <c r="Y36" i="128"/>
  <c r="K27" i="128"/>
  <c r="S27" i="128"/>
  <c r="I37" i="128"/>
  <c r="Q38" i="128"/>
  <c r="U38" i="128"/>
  <c r="Y39" i="128"/>
  <c r="J33" i="128"/>
  <c r="N33" i="128"/>
  <c r="V30" i="128"/>
  <c r="S35" i="128"/>
  <c r="W42" i="128"/>
  <c r="W38" i="128"/>
  <c r="W30" i="128"/>
  <c r="I32" i="128"/>
  <c r="I38" i="128"/>
  <c r="I42" i="128"/>
  <c r="M30" i="128"/>
  <c r="M36" i="128"/>
  <c r="U28" i="128"/>
  <c r="U40" i="128"/>
  <c r="Y29" i="128"/>
  <c r="J36" i="128"/>
  <c r="N36" i="128"/>
  <c r="R37" i="128"/>
  <c r="R41" i="128"/>
  <c r="W41" i="128"/>
  <c r="W33" i="128"/>
  <c r="Q30" i="128"/>
  <c r="U41" i="128"/>
  <c r="Y37" i="128"/>
  <c r="G31" i="128"/>
  <c r="I31" i="128"/>
  <c r="O35" i="128"/>
  <c r="W32" i="128"/>
  <c r="W28" i="128"/>
  <c r="M33" i="128"/>
  <c r="M38" i="128"/>
  <c r="M42" i="128"/>
  <c r="U37" i="128"/>
  <c r="U42" i="128"/>
  <c r="Z32" i="128"/>
  <c r="Y32" i="128"/>
  <c r="Z38" i="128"/>
  <c r="Y38" i="128"/>
  <c r="Z42" i="128"/>
  <c r="Y42" i="128"/>
  <c r="Z33" i="128"/>
  <c r="Y33" i="128"/>
  <c r="Z28" i="128"/>
  <c r="Y28" i="128"/>
  <c r="Z41" i="128"/>
  <c r="Y41" i="128"/>
  <c r="Z30" i="128"/>
  <c r="Y30" i="128"/>
  <c r="W27" i="128"/>
  <c r="S40" i="36"/>
  <c r="U40" i="36"/>
  <c r="V40" i="36"/>
  <c r="X40" i="36"/>
  <c r="Y40" i="36"/>
  <c r="AB15" i="14"/>
  <c r="L15" i="16"/>
  <c r="M15" i="16"/>
  <c r="U24" i="16"/>
  <c r="Z83" i="128"/>
  <c r="V80" i="128"/>
  <c r="V83" i="128"/>
  <c r="V8" i="128"/>
  <c r="V19" i="128"/>
  <c r="R8" i="128"/>
  <c r="R19" i="128"/>
  <c r="S6" i="79"/>
  <c r="Y83" i="128"/>
  <c r="Y91" i="128"/>
  <c r="U80" i="128"/>
  <c r="U53" i="128"/>
  <c r="U51" i="128"/>
  <c r="U31" i="128"/>
  <c r="U8" i="128"/>
  <c r="U19" i="128"/>
  <c r="H94" i="128"/>
  <c r="P84" i="128"/>
  <c r="H84" i="128"/>
  <c r="Q53" i="128"/>
  <c r="Q51" i="128"/>
  <c r="Q31" i="128"/>
  <c r="Q8" i="128"/>
  <c r="Q19" i="128"/>
  <c r="M52" i="128"/>
  <c r="I52" i="128"/>
  <c r="S90" i="128"/>
  <c r="S81" i="128"/>
  <c r="K81" i="128"/>
  <c r="W81" i="128"/>
  <c r="K80" i="128"/>
  <c r="W80" i="128"/>
  <c r="E49" i="119"/>
  <c r="M6" i="119"/>
  <c r="R6" i="119"/>
  <c r="S78" i="13"/>
  <c r="S77" i="128"/>
  <c r="E49" i="113"/>
  <c r="M6" i="113"/>
  <c r="R6" i="113"/>
  <c r="S86" i="12"/>
  <c r="K77" i="128"/>
  <c r="S76" i="128"/>
  <c r="K76" i="128"/>
  <c r="S72" i="128"/>
  <c r="K72" i="128"/>
  <c r="S71" i="128"/>
  <c r="K71" i="128"/>
  <c r="S70" i="128"/>
  <c r="K70" i="128"/>
  <c r="K69" i="128"/>
  <c r="S68" i="128"/>
  <c r="K68" i="128"/>
  <c r="S67" i="128"/>
  <c r="K67" i="128"/>
  <c r="S66" i="128"/>
  <c r="K66" i="128"/>
  <c r="S65" i="128"/>
  <c r="K65" i="128"/>
  <c r="S64" i="128"/>
  <c r="K64" i="128"/>
  <c r="S62" i="128"/>
  <c r="K62" i="128"/>
  <c r="S61" i="128"/>
  <c r="K61" i="128"/>
  <c r="S60" i="128"/>
  <c r="K60" i="128"/>
  <c r="S59" i="128"/>
  <c r="K59" i="128"/>
  <c r="K53" i="128"/>
  <c r="G53" i="128"/>
  <c r="S52" i="128"/>
  <c r="K51" i="128"/>
  <c r="S47" i="128"/>
  <c r="U47" i="128"/>
  <c r="O47" i="128"/>
  <c r="Q47" i="128"/>
  <c r="K47" i="128"/>
  <c r="G47" i="128"/>
  <c r="I47" i="128"/>
  <c r="S46" i="128"/>
  <c r="V46" i="128"/>
  <c r="O46" i="128"/>
  <c r="R46" i="128"/>
  <c r="K46" i="128"/>
  <c r="W46" i="128"/>
  <c r="Z46" i="128"/>
  <c r="G46" i="128"/>
  <c r="J46" i="128"/>
  <c r="S34" i="128"/>
  <c r="V34" i="128"/>
  <c r="O34" i="128"/>
  <c r="R34" i="128"/>
  <c r="K34" i="128"/>
  <c r="G34" i="128"/>
  <c r="S26" i="128"/>
  <c r="O26" i="128"/>
  <c r="K26" i="128"/>
  <c r="W26" i="128"/>
  <c r="G26" i="128"/>
  <c r="S24" i="128"/>
  <c r="S43" i="128"/>
  <c r="O24" i="128"/>
  <c r="O43" i="128"/>
  <c r="S20" i="128"/>
  <c r="O20" i="128"/>
  <c r="K20" i="128"/>
  <c r="W20" i="128"/>
  <c r="K19" i="128"/>
  <c r="W19" i="128"/>
  <c r="G19" i="128"/>
  <c r="S18" i="128"/>
  <c r="O18" i="128"/>
  <c r="K18" i="128"/>
  <c r="W18" i="128"/>
  <c r="G18" i="128"/>
  <c r="S17" i="128"/>
  <c r="O17" i="128"/>
  <c r="K17" i="128"/>
  <c r="W17" i="128"/>
  <c r="G17" i="128"/>
  <c r="K16" i="128"/>
  <c r="G16" i="128"/>
  <c r="S15" i="128"/>
  <c r="O15" i="128"/>
  <c r="K15" i="128"/>
  <c r="W15" i="128"/>
  <c r="G15" i="128"/>
  <c r="S14" i="128"/>
  <c r="O14" i="128"/>
  <c r="K14" i="128"/>
  <c r="W14" i="128"/>
  <c r="G14" i="128"/>
  <c r="S13" i="128"/>
  <c r="O13" i="128"/>
  <c r="K13" i="128"/>
  <c r="W13" i="128"/>
  <c r="G13" i="128"/>
  <c r="S12" i="128"/>
  <c r="O12" i="128"/>
  <c r="K12" i="128"/>
  <c r="W12" i="128"/>
  <c r="S11" i="128"/>
  <c r="O11" i="128"/>
  <c r="K11" i="128"/>
  <c r="S10" i="128"/>
  <c r="O10" i="128"/>
  <c r="K10" i="128"/>
  <c r="G10" i="128"/>
  <c r="S9" i="128"/>
  <c r="V9" i="128"/>
  <c r="O9" i="128"/>
  <c r="R9" i="128"/>
  <c r="K9" i="128"/>
  <c r="G9" i="128"/>
  <c r="K8" i="128"/>
  <c r="W8" i="128"/>
  <c r="S6" i="128"/>
  <c r="O6" i="128"/>
  <c r="F2" i="128"/>
  <c r="W11" i="128"/>
  <c r="M53" i="128"/>
  <c r="W53" i="128"/>
  <c r="Z53" i="128"/>
  <c r="W9" i="128"/>
  <c r="W10" i="128"/>
  <c r="N51" i="128"/>
  <c r="W51" i="128"/>
  <c r="Z51" i="128"/>
  <c r="W59" i="128"/>
  <c r="Z59" i="128"/>
  <c r="W61" i="128"/>
  <c r="Z61" i="128"/>
  <c r="W64" i="128"/>
  <c r="Z64" i="128"/>
  <c r="W66" i="128"/>
  <c r="Z66" i="128"/>
  <c r="W68" i="128"/>
  <c r="Z68" i="128"/>
  <c r="W70" i="128"/>
  <c r="Z70" i="128"/>
  <c r="W72" i="128"/>
  <c r="Z72" i="128"/>
  <c r="W77" i="128"/>
  <c r="W24" i="128"/>
  <c r="W34" i="128"/>
  <c r="M34" i="128"/>
  <c r="M47" i="128"/>
  <c r="W47" i="128"/>
  <c r="V52" i="128"/>
  <c r="W52" i="128"/>
  <c r="Z52" i="128"/>
  <c r="W60" i="128"/>
  <c r="Z60" i="128"/>
  <c r="W62" i="128"/>
  <c r="Z62" i="128"/>
  <c r="W65" i="128"/>
  <c r="Z65" i="128"/>
  <c r="W67" i="128"/>
  <c r="Z67" i="128"/>
  <c r="W71" i="128"/>
  <c r="Z71" i="128"/>
  <c r="W76" i="128"/>
  <c r="U11" i="128"/>
  <c r="V11" i="128"/>
  <c r="I14" i="128"/>
  <c r="J14" i="128"/>
  <c r="I16" i="128"/>
  <c r="J16" i="128"/>
  <c r="Q18" i="128"/>
  <c r="R18" i="128"/>
  <c r="M20" i="128"/>
  <c r="N20" i="128"/>
  <c r="M26" i="128"/>
  <c r="N26" i="128"/>
  <c r="M31" i="128"/>
  <c r="N31" i="128"/>
  <c r="M61" i="128"/>
  <c r="N61" i="128"/>
  <c r="M64" i="128"/>
  <c r="N64" i="128"/>
  <c r="M68" i="128"/>
  <c r="N68" i="128"/>
  <c r="M70" i="128"/>
  <c r="N70" i="128"/>
  <c r="M72" i="128"/>
  <c r="N72" i="128"/>
  <c r="U81" i="128"/>
  <c r="V81" i="128"/>
  <c r="M8" i="128"/>
  <c r="N8" i="128"/>
  <c r="U10" i="128"/>
  <c r="V10" i="128"/>
  <c r="M13" i="128"/>
  <c r="N13" i="128"/>
  <c r="M15" i="128"/>
  <c r="N15" i="128"/>
  <c r="U18" i="128"/>
  <c r="V18" i="128"/>
  <c r="Q26" i="128"/>
  <c r="R26" i="128"/>
  <c r="U61" i="128"/>
  <c r="V61" i="128"/>
  <c r="U64" i="128"/>
  <c r="V64" i="128"/>
  <c r="U66" i="128"/>
  <c r="V66" i="128"/>
  <c r="U68" i="128"/>
  <c r="V68" i="128"/>
  <c r="U70" i="128"/>
  <c r="V70" i="128"/>
  <c r="U72" i="128"/>
  <c r="V72" i="128"/>
  <c r="U77" i="128"/>
  <c r="V77" i="128"/>
  <c r="Q6" i="128"/>
  <c r="R6" i="128"/>
  <c r="M9" i="128"/>
  <c r="N9" i="128"/>
  <c r="M10" i="128"/>
  <c r="N10" i="128"/>
  <c r="Q11" i="128"/>
  <c r="R11" i="128"/>
  <c r="U12" i="128"/>
  <c r="V12" i="128"/>
  <c r="U13" i="128"/>
  <c r="V13" i="128"/>
  <c r="U14" i="128"/>
  <c r="V14" i="128"/>
  <c r="U15" i="128"/>
  <c r="V15" i="128"/>
  <c r="M17" i="128"/>
  <c r="N17" i="128"/>
  <c r="M18" i="128"/>
  <c r="N18" i="128"/>
  <c r="M19" i="128"/>
  <c r="N19" i="128"/>
  <c r="I24" i="128"/>
  <c r="J24" i="128"/>
  <c r="I26" i="128"/>
  <c r="J26" i="128"/>
  <c r="I27" i="128"/>
  <c r="J27" i="128"/>
  <c r="J31" i="128"/>
  <c r="Q34" i="128"/>
  <c r="U35" i="128"/>
  <c r="V35" i="128"/>
  <c r="U60" i="128"/>
  <c r="V60" i="128"/>
  <c r="U62" i="128"/>
  <c r="V62" i="128"/>
  <c r="U65" i="128"/>
  <c r="V65" i="128"/>
  <c r="U67" i="128"/>
  <c r="V67" i="128"/>
  <c r="U71" i="128"/>
  <c r="V71" i="128"/>
  <c r="U76" i="128"/>
  <c r="V76" i="128"/>
  <c r="M81" i="128"/>
  <c r="N81" i="128"/>
  <c r="U6" i="128"/>
  <c r="V6" i="128"/>
  <c r="Q10" i="128"/>
  <c r="R10" i="128"/>
  <c r="I13" i="128"/>
  <c r="J13" i="128"/>
  <c r="I15" i="128"/>
  <c r="J15" i="128"/>
  <c r="Q17" i="128"/>
  <c r="R17" i="128"/>
  <c r="M24" i="128"/>
  <c r="N24" i="128"/>
  <c r="M27" i="128"/>
  <c r="N27" i="128"/>
  <c r="U34" i="128"/>
  <c r="M59" i="128"/>
  <c r="N59" i="128"/>
  <c r="M66" i="128"/>
  <c r="N66" i="128"/>
  <c r="M77" i="128"/>
  <c r="N77" i="128"/>
  <c r="M12" i="128"/>
  <c r="N12" i="128"/>
  <c r="M14" i="128"/>
  <c r="N14" i="128"/>
  <c r="M16" i="128"/>
  <c r="N16" i="128"/>
  <c r="U17" i="128"/>
  <c r="V17" i="128"/>
  <c r="Q20" i="128"/>
  <c r="R20" i="128"/>
  <c r="Q24" i="128"/>
  <c r="R24" i="128"/>
  <c r="Q27" i="128"/>
  <c r="R27" i="128"/>
  <c r="I34" i="128"/>
  <c r="J34" i="128"/>
  <c r="M46" i="128"/>
  <c r="N46" i="128"/>
  <c r="U59" i="128"/>
  <c r="V59" i="128"/>
  <c r="I9" i="128"/>
  <c r="J9" i="128"/>
  <c r="I10" i="128"/>
  <c r="J10" i="128"/>
  <c r="M11" i="128"/>
  <c r="N11" i="128"/>
  <c r="Q12" i="128"/>
  <c r="R12" i="128"/>
  <c r="Q13" i="128"/>
  <c r="R13" i="128"/>
  <c r="Q14" i="128"/>
  <c r="R14" i="128"/>
  <c r="Q15" i="128"/>
  <c r="R15" i="128"/>
  <c r="I17" i="128"/>
  <c r="J17" i="128"/>
  <c r="I18" i="128"/>
  <c r="J18" i="128"/>
  <c r="I19" i="128"/>
  <c r="J19" i="128"/>
  <c r="U20" i="128"/>
  <c r="V20" i="128"/>
  <c r="U24" i="128"/>
  <c r="V24" i="128"/>
  <c r="U26" i="128"/>
  <c r="V26" i="128"/>
  <c r="U27" i="128"/>
  <c r="V27" i="128"/>
  <c r="N34" i="128"/>
  <c r="Q35" i="128"/>
  <c r="R35" i="128"/>
  <c r="I53" i="128"/>
  <c r="J53" i="128"/>
  <c r="M60" i="128"/>
  <c r="N60" i="128"/>
  <c r="M62" i="128"/>
  <c r="N62" i="128"/>
  <c r="M65" i="128"/>
  <c r="N65" i="128"/>
  <c r="M67" i="128"/>
  <c r="N67" i="128"/>
  <c r="M69" i="128"/>
  <c r="N69" i="128"/>
  <c r="M71" i="128"/>
  <c r="N71" i="128"/>
  <c r="M76" i="128"/>
  <c r="N76" i="128"/>
  <c r="M80" i="128"/>
  <c r="N80" i="128"/>
  <c r="U9" i="128"/>
  <c r="G48" i="128"/>
  <c r="I46" i="128"/>
  <c r="K54" i="128"/>
  <c r="M51" i="128"/>
  <c r="S48" i="128"/>
  <c r="U46" i="128"/>
  <c r="S54" i="128"/>
  <c r="U52" i="128"/>
  <c r="Q9" i="128"/>
  <c r="O48" i="128"/>
  <c r="Q46" i="128"/>
  <c r="K63" i="128"/>
  <c r="W63" i="128"/>
  <c r="Z63" i="128"/>
  <c r="S58" i="128"/>
  <c r="S63" i="128"/>
  <c r="K58" i="128"/>
  <c r="W58" i="128"/>
  <c r="Z58" i="128"/>
  <c r="K7" i="128"/>
  <c r="K48" i="128"/>
  <c r="J6" i="66"/>
  <c r="J6" i="65"/>
  <c r="R6" i="65"/>
  <c r="D50" i="65"/>
  <c r="H6" i="64"/>
  <c r="R6" i="64"/>
  <c r="D53" i="64"/>
  <c r="J6" i="64"/>
  <c r="E48" i="48"/>
  <c r="D50" i="48"/>
  <c r="D62" i="47"/>
  <c r="D39" i="47"/>
  <c r="E39" i="47"/>
  <c r="N48" i="128"/>
  <c r="W48" i="128"/>
  <c r="Z48" i="128"/>
  <c r="N7" i="128"/>
  <c r="W54" i="128"/>
  <c r="Z54" i="128"/>
  <c r="U43" i="128"/>
  <c r="V43" i="128"/>
  <c r="U54" i="128"/>
  <c r="V54" i="128"/>
  <c r="M58" i="128"/>
  <c r="N58" i="128"/>
  <c r="U58" i="128"/>
  <c r="V58" i="128"/>
  <c r="U48" i="128"/>
  <c r="V48" i="128"/>
  <c r="I48" i="128"/>
  <c r="J48" i="128"/>
  <c r="M54" i="128"/>
  <c r="N54" i="128"/>
  <c r="U63" i="128"/>
  <c r="V63" i="128"/>
  <c r="Q48" i="128"/>
  <c r="R48" i="128"/>
  <c r="Q43" i="128"/>
  <c r="R43" i="128"/>
  <c r="M63" i="128"/>
  <c r="N63" i="128"/>
  <c r="M48" i="128"/>
  <c r="M7" i="128"/>
  <c r="K73" i="128"/>
  <c r="Y52" i="128"/>
  <c r="Y53" i="128"/>
  <c r="Y51" i="128"/>
  <c r="Y47" i="128"/>
  <c r="Y46" i="128"/>
  <c r="X179" i="61"/>
  <c r="X180" i="61"/>
  <c r="X181" i="61"/>
  <c r="X182" i="61"/>
  <c r="X183" i="61"/>
  <c r="X184" i="61"/>
  <c r="X185" i="61"/>
  <c r="X186" i="61"/>
  <c r="X187" i="61"/>
  <c r="X188" i="61"/>
  <c r="X189" i="61"/>
  <c r="X190" i="61"/>
  <c r="X191" i="61"/>
  <c r="X192" i="61"/>
  <c r="X193" i="61"/>
  <c r="X194" i="61"/>
  <c r="X195" i="61"/>
  <c r="X196" i="61"/>
  <c r="X197" i="61"/>
  <c r="X198" i="61"/>
  <c r="X199" i="61"/>
  <c r="X200" i="61"/>
  <c r="X201" i="61"/>
  <c r="X202" i="61"/>
  <c r="X203" i="61"/>
  <c r="X204" i="61"/>
  <c r="X205" i="61"/>
  <c r="X206" i="61"/>
  <c r="X207" i="61"/>
  <c r="X208" i="61"/>
  <c r="X209" i="61"/>
  <c r="X210" i="61"/>
  <c r="X211" i="61"/>
  <c r="X212" i="61"/>
  <c r="X213" i="61"/>
  <c r="X214" i="61"/>
  <c r="X215" i="61"/>
  <c r="X216" i="61"/>
  <c r="X217" i="61"/>
  <c r="X218" i="61"/>
  <c r="X219" i="61"/>
  <c r="X220" i="61"/>
  <c r="X221" i="61"/>
  <c r="X222" i="61"/>
  <c r="X223" i="61"/>
  <c r="X224" i="61"/>
  <c r="X225" i="61"/>
  <c r="X226" i="61"/>
  <c r="X227" i="61"/>
  <c r="X228" i="61"/>
  <c r="X229" i="61"/>
  <c r="X230" i="61"/>
  <c r="X231" i="61"/>
  <c r="X232" i="61"/>
  <c r="X233" i="61"/>
  <c r="X234" i="61"/>
  <c r="X235" i="61"/>
  <c r="X236" i="61"/>
  <c r="X237" i="61"/>
  <c r="X238" i="61"/>
  <c r="X239" i="61"/>
  <c r="X240" i="61"/>
  <c r="X241" i="61"/>
  <c r="X242" i="61"/>
  <c r="X243" i="61"/>
  <c r="X244" i="61"/>
  <c r="X245" i="61"/>
  <c r="X246" i="61"/>
  <c r="X247" i="61"/>
  <c r="X248" i="61"/>
  <c r="X249" i="61"/>
  <c r="X250" i="61"/>
  <c r="X251" i="61"/>
  <c r="X252" i="61"/>
  <c r="X253" i="61"/>
  <c r="X254" i="61"/>
  <c r="X255" i="61"/>
  <c r="X256" i="61"/>
  <c r="X257" i="61"/>
  <c r="X258" i="61"/>
  <c r="X259" i="61"/>
  <c r="X260" i="61"/>
  <c r="X261" i="61"/>
  <c r="X262" i="61"/>
  <c r="X263" i="61"/>
  <c r="X264" i="61"/>
  <c r="X265" i="61"/>
  <c r="X266" i="61"/>
  <c r="X267" i="61"/>
  <c r="X268" i="61"/>
  <c r="X269" i="61"/>
  <c r="X270" i="61"/>
  <c r="X271" i="61"/>
  <c r="X272" i="61"/>
  <c r="X273" i="61"/>
  <c r="X274" i="61"/>
  <c r="X275" i="61"/>
  <c r="X276" i="61"/>
  <c r="X277" i="61"/>
  <c r="X278" i="61"/>
  <c r="X279" i="61"/>
  <c r="X280" i="61"/>
  <c r="X281" i="61"/>
  <c r="X282" i="61"/>
  <c r="X283" i="61"/>
  <c r="X284" i="61"/>
  <c r="X285" i="61"/>
  <c r="X286" i="61"/>
  <c r="X287" i="61"/>
  <c r="X288" i="61"/>
  <c r="X289" i="61"/>
  <c r="X290" i="61"/>
  <c r="X291" i="61"/>
  <c r="X292" i="61"/>
  <c r="X293" i="61"/>
  <c r="X294" i="61"/>
  <c r="X295" i="61"/>
  <c r="X296" i="61"/>
  <c r="X297" i="61"/>
  <c r="X298" i="61"/>
  <c r="X299" i="61"/>
  <c r="X300" i="61"/>
  <c r="X301" i="61"/>
  <c r="X302" i="61"/>
  <c r="X303" i="61"/>
  <c r="X304" i="61"/>
  <c r="X305" i="61"/>
  <c r="X306" i="61"/>
  <c r="X307" i="61"/>
  <c r="X308" i="61"/>
  <c r="X309" i="61"/>
  <c r="X310" i="61"/>
  <c r="X311" i="61"/>
  <c r="X312" i="61"/>
  <c r="X313" i="61"/>
  <c r="X314" i="61"/>
  <c r="X315" i="61"/>
  <c r="X316" i="61"/>
  <c r="X317" i="61"/>
  <c r="X318" i="61"/>
  <c r="X319" i="61"/>
  <c r="X320" i="61"/>
  <c r="X321" i="61"/>
  <c r="X322" i="61"/>
  <c r="X323" i="61"/>
  <c r="X324" i="61"/>
  <c r="X325" i="61"/>
  <c r="X326" i="61"/>
  <c r="X327" i="61"/>
  <c r="X328" i="61"/>
  <c r="X329" i="61"/>
  <c r="X330" i="61"/>
  <c r="X331" i="61"/>
  <c r="X332" i="61"/>
  <c r="X333" i="61"/>
  <c r="X334" i="61"/>
  <c r="X335" i="61"/>
  <c r="X336" i="61"/>
  <c r="X337" i="61"/>
  <c r="X338" i="61"/>
  <c r="X339" i="61"/>
  <c r="X340" i="61"/>
  <c r="X341" i="61"/>
  <c r="X21" i="61"/>
  <c r="Y48" i="128"/>
  <c r="Y54" i="128"/>
  <c r="M73" i="128"/>
  <c r="N73" i="128"/>
  <c r="Y34" i="128"/>
  <c r="Z34" i="128"/>
  <c r="Y27" i="128"/>
  <c r="Z27" i="128"/>
  <c r="Y31" i="128"/>
  <c r="Z31" i="128"/>
  <c r="Y26" i="128"/>
  <c r="Z26" i="128"/>
  <c r="Y24" i="128"/>
  <c r="Z24" i="128"/>
  <c r="Y17" i="128"/>
  <c r="Z17" i="128"/>
  <c r="Y12" i="128"/>
  <c r="Z12" i="128"/>
  <c r="Y10" i="128"/>
  <c r="Z10" i="128"/>
  <c r="Y20" i="128"/>
  <c r="Z20" i="128"/>
  <c r="Y9" i="128"/>
  <c r="Z9" i="128"/>
  <c r="Y11" i="128"/>
  <c r="Z11" i="128"/>
  <c r="Y14" i="128"/>
  <c r="Z14" i="128"/>
  <c r="Y13" i="128"/>
  <c r="Z13" i="128"/>
  <c r="Y15" i="128"/>
  <c r="Z15" i="128"/>
  <c r="Y8" i="128"/>
  <c r="Z8" i="128"/>
  <c r="E33" i="89"/>
  <c r="E15" i="89"/>
  <c r="Y18" i="128"/>
  <c r="Z18" i="128"/>
  <c r="Y19" i="128"/>
  <c r="Z19" i="128"/>
  <c r="Y72" i="128"/>
  <c r="Y70" i="128"/>
  <c r="Y65" i="128"/>
  <c r="Y59" i="128"/>
  <c r="Y68" i="128"/>
  <c r="Y66" i="128"/>
  <c r="Y58" i="128"/>
  <c r="Y60" i="128"/>
  <c r="Y63" i="128"/>
  <c r="Y61" i="128"/>
  <c r="Y71" i="128"/>
  <c r="Y64" i="128"/>
  <c r="Y62" i="128"/>
  <c r="Y67" i="128"/>
  <c r="U15" i="39"/>
  <c r="S21" i="39"/>
  <c r="U21" i="39"/>
  <c r="V21" i="39"/>
  <c r="X21" i="39"/>
  <c r="Y21" i="39"/>
  <c r="S22" i="39"/>
  <c r="U22" i="39"/>
  <c r="V22" i="39"/>
  <c r="X22" i="39"/>
  <c r="Y22" i="39"/>
  <c r="S23" i="39"/>
  <c r="U23" i="39"/>
  <c r="V23" i="39"/>
  <c r="X23" i="39"/>
  <c r="Y23" i="39"/>
  <c r="S24" i="39"/>
  <c r="U24" i="39"/>
  <c r="V24" i="39"/>
  <c r="X24" i="39"/>
  <c r="Y24" i="39"/>
  <c r="S25" i="39"/>
  <c r="U25" i="39"/>
  <c r="V25" i="39"/>
  <c r="X25" i="39"/>
  <c r="Y25" i="39"/>
  <c r="S26" i="39"/>
  <c r="U26" i="39"/>
  <c r="V26" i="39"/>
  <c r="X26" i="39"/>
  <c r="Y26" i="39"/>
  <c r="S27" i="39"/>
  <c r="U27" i="39"/>
  <c r="V27" i="39"/>
  <c r="X27" i="39"/>
  <c r="Y27" i="39"/>
  <c r="U24" i="36"/>
  <c r="U16" i="36"/>
  <c r="E30" i="70"/>
  <c r="E29" i="70"/>
  <c r="T16" i="74"/>
  <c r="U16" i="74"/>
  <c r="W16" i="74"/>
  <c r="X16" i="74"/>
  <c r="T17" i="74"/>
  <c r="U17" i="74"/>
  <c r="W17" i="74"/>
  <c r="X17" i="74"/>
  <c r="T18" i="74"/>
  <c r="U18" i="74"/>
  <c r="W18" i="74"/>
  <c r="X18" i="74"/>
  <c r="T19" i="74"/>
  <c r="U19" i="74"/>
  <c r="W19" i="74"/>
  <c r="X19" i="74"/>
  <c r="T20" i="74"/>
  <c r="U20" i="74"/>
  <c r="W20" i="74"/>
  <c r="X20" i="74"/>
  <c r="T21" i="74"/>
  <c r="U21" i="74"/>
  <c r="W21" i="74"/>
  <c r="X21" i="74"/>
  <c r="E30" i="72"/>
  <c r="E29" i="72"/>
  <c r="E27" i="72"/>
  <c r="X187" i="62"/>
  <c r="X188" i="62"/>
  <c r="X189" i="62"/>
  <c r="X15" i="62"/>
  <c r="X190" i="62"/>
  <c r="X191" i="62"/>
  <c r="X192" i="62"/>
  <c r="X193" i="62"/>
  <c r="X194" i="62"/>
  <c r="X195" i="62"/>
  <c r="X196" i="62"/>
  <c r="X197" i="62"/>
  <c r="X198" i="62"/>
  <c r="X199" i="62"/>
  <c r="X200" i="62"/>
  <c r="X201" i="62"/>
  <c r="X202" i="62"/>
  <c r="X203" i="62"/>
  <c r="X204" i="62"/>
  <c r="X205" i="62"/>
  <c r="X206" i="62"/>
  <c r="X207" i="62"/>
  <c r="X208" i="62"/>
  <c r="X209" i="62"/>
  <c r="X210" i="62"/>
  <c r="X211" i="62"/>
  <c r="X212" i="62"/>
  <c r="X213" i="62"/>
  <c r="X214" i="62"/>
  <c r="X215" i="62"/>
  <c r="X216" i="62"/>
  <c r="X217" i="62"/>
  <c r="X218" i="62"/>
  <c r="X219" i="62"/>
  <c r="X220" i="62"/>
  <c r="X221" i="62"/>
  <c r="X222" i="62"/>
  <c r="X223" i="62"/>
  <c r="X224" i="62"/>
  <c r="X225" i="62"/>
  <c r="X226" i="62"/>
  <c r="X227" i="62"/>
  <c r="X228" i="62"/>
  <c r="X229" i="62"/>
  <c r="X230" i="62"/>
  <c r="X231" i="62"/>
  <c r="X232" i="62"/>
  <c r="X233" i="62"/>
  <c r="X234" i="62"/>
  <c r="X235" i="62"/>
  <c r="X236" i="62"/>
  <c r="X237" i="62"/>
  <c r="X238" i="62"/>
  <c r="X239" i="62"/>
  <c r="X240" i="62"/>
  <c r="X241" i="62"/>
  <c r="X242" i="62"/>
  <c r="X243" i="62"/>
  <c r="X244" i="62"/>
  <c r="X245" i="62"/>
  <c r="X246" i="62"/>
  <c r="X247" i="62"/>
  <c r="X248" i="62"/>
  <c r="X249" i="62"/>
  <c r="X250" i="62"/>
  <c r="X251" i="62"/>
  <c r="X252" i="62"/>
  <c r="X253" i="62"/>
  <c r="X254" i="62"/>
  <c r="X255" i="62"/>
  <c r="X256" i="62"/>
  <c r="X257" i="62"/>
  <c r="X258" i="62"/>
  <c r="X259" i="62"/>
  <c r="X260" i="62"/>
  <c r="X261" i="62"/>
  <c r="X262" i="62"/>
  <c r="X263" i="62"/>
  <c r="X264" i="62"/>
  <c r="X265" i="62"/>
  <c r="X266" i="62"/>
  <c r="X267" i="62"/>
  <c r="X268" i="62"/>
  <c r="X269" i="62"/>
  <c r="X270" i="62"/>
  <c r="X271" i="62"/>
  <c r="X272" i="62"/>
  <c r="X273" i="62"/>
  <c r="X274" i="62"/>
  <c r="X275" i="62"/>
  <c r="X276" i="62"/>
  <c r="X277" i="62"/>
  <c r="X278" i="62"/>
  <c r="X279" i="62"/>
  <c r="X280" i="62"/>
  <c r="X281" i="62"/>
  <c r="X282" i="62"/>
  <c r="X283" i="62"/>
  <c r="X284" i="62"/>
  <c r="X285" i="62"/>
  <c r="X286" i="62"/>
  <c r="X287" i="62"/>
  <c r="X288" i="62"/>
  <c r="X289" i="62"/>
  <c r="X290" i="62"/>
  <c r="X291" i="62"/>
  <c r="X292" i="62"/>
  <c r="X293" i="62"/>
  <c r="X294" i="62"/>
  <c r="X295" i="62"/>
  <c r="X296" i="62"/>
  <c r="X297" i="62"/>
  <c r="X298" i="62"/>
  <c r="X299" i="62"/>
  <c r="X300" i="62"/>
  <c r="X301" i="62"/>
  <c r="X302" i="62"/>
  <c r="X303" i="62"/>
  <c r="X304" i="62"/>
  <c r="X305" i="62"/>
  <c r="X306" i="62"/>
  <c r="X307" i="62"/>
  <c r="X308" i="62"/>
  <c r="X309" i="62"/>
  <c r="X310" i="62"/>
  <c r="X311" i="62"/>
  <c r="X312" i="62"/>
  <c r="X313" i="62"/>
  <c r="X314" i="62"/>
  <c r="X315" i="62"/>
  <c r="X316" i="62"/>
  <c r="X317" i="62"/>
  <c r="X318" i="62"/>
  <c r="X319" i="62"/>
  <c r="X320" i="62"/>
  <c r="X321" i="62"/>
  <c r="X322" i="62"/>
  <c r="X323" i="62"/>
  <c r="X324" i="62"/>
  <c r="X325" i="62"/>
  <c r="X326" i="62"/>
  <c r="X327" i="62"/>
  <c r="X328" i="62"/>
  <c r="X329" i="62"/>
  <c r="X330" i="62"/>
  <c r="X331" i="62"/>
  <c r="X332" i="62"/>
  <c r="X333" i="62"/>
  <c r="X334" i="62"/>
  <c r="X335" i="62"/>
  <c r="X336" i="62"/>
  <c r="X337" i="62"/>
  <c r="X338" i="62"/>
  <c r="X339" i="62"/>
  <c r="X340" i="62"/>
  <c r="X341" i="62"/>
  <c r="X342" i="62"/>
  <c r="X343" i="62"/>
  <c r="X344" i="62"/>
  <c r="X345" i="62"/>
  <c r="X346" i="62"/>
  <c r="X347" i="62"/>
  <c r="X348" i="62"/>
  <c r="X349" i="62"/>
  <c r="X350" i="62"/>
  <c r="X351" i="62"/>
  <c r="X352" i="62"/>
  <c r="X353" i="62"/>
  <c r="X354" i="62"/>
  <c r="X355" i="62"/>
  <c r="X356" i="62"/>
  <c r="X357" i="62"/>
  <c r="X358" i="62"/>
  <c r="X359" i="62"/>
  <c r="X360" i="62"/>
  <c r="X361" i="62"/>
  <c r="X362" i="62"/>
  <c r="X363" i="62"/>
  <c r="X364" i="62"/>
  <c r="X365" i="62"/>
  <c r="X366" i="62"/>
  <c r="X367" i="62"/>
  <c r="X368" i="62"/>
  <c r="X369" i="62"/>
  <c r="X370" i="62"/>
  <c r="U187" i="62"/>
  <c r="U188" i="62"/>
  <c r="U189" i="62"/>
  <c r="U15"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U255" i="62"/>
  <c r="U256" i="62"/>
  <c r="U257" i="62"/>
  <c r="U258" i="62"/>
  <c r="U259" i="62"/>
  <c r="U260" i="62"/>
  <c r="U261" i="62"/>
  <c r="U262" i="62"/>
  <c r="U263" i="62"/>
  <c r="U264" i="62"/>
  <c r="U265" i="62"/>
  <c r="U266" i="62"/>
  <c r="U267" i="62"/>
  <c r="U268" i="62"/>
  <c r="U269" i="62"/>
  <c r="U270" i="62"/>
  <c r="U271" i="62"/>
  <c r="U272" i="62"/>
  <c r="U273" i="62"/>
  <c r="U274" i="62"/>
  <c r="U275" i="62"/>
  <c r="U276" i="62"/>
  <c r="U277" i="62"/>
  <c r="U278" i="62"/>
  <c r="U279" i="62"/>
  <c r="U280" i="62"/>
  <c r="U281" i="62"/>
  <c r="U282" i="62"/>
  <c r="U283" i="62"/>
  <c r="U284" i="62"/>
  <c r="U285" i="62"/>
  <c r="U286" i="62"/>
  <c r="U287" i="62"/>
  <c r="U288" i="62"/>
  <c r="U289" i="62"/>
  <c r="U290" i="62"/>
  <c r="U291" i="62"/>
  <c r="U292" i="62"/>
  <c r="U293" i="62"/>
  <c r="U294" i="62"/>
  <c r="U295" i="62"/>
  <c r="U296" i="62"/>
  <c r="U297" i="62"/>
  <c r="U298" i="62"/>
  <c r="U299" i="62"/>
  <c r="U300" i="62"/>
  <c r="U301" i="62"/>
  <c r="U302" i="62"/>
  <c r="U303" i="62"/>
  <c r="U304" i="62"/>
  <c r="U305" i="62"/>
  <c r="U306" i="62"/>
  <c r="U307" i="62"/>
  <c r="U308" i="62"/>
  <c r="U309" i="62"/>
  <c r="U310" i="62"/>
  <c r="U311" i="62"/>
  <c r="U312" i="62"/>
  <c r="U313" i="62"/>
  <c r="U314" i="62"/>
  <c r="U315" i="62"/>
  <c r="U316" i="62"/>
  <c r="U317" i="62"/>
  <c r="U318" i="62"/>
  <c r="U319" i="62"/>
  <c r="U320" i="62"/>
  <c r="U321" i="62"/>
  <c r="U322" i="62"/>
  <c r="U323" i="62"/>
  <c r="U324" i="62"/>
  <c r="U325" i="62"/>
  <c r="U326" i="62"/>
  <c r="U327" i="62"/>
  <c r="U328" i="62"/>
  <c r="U329" i="62"/>
  <c r="U330" i="62"/>
  <c r="U331" i="62"/>
  <c r="U332" i="62"/>
  <c r="U333" i="62"/>
  <c r="U334" i="62"/>
  <c r="U335" i="62"/>
  <c r="U336" i="62"/>
  <c r="U337" i="62"/>
  <c r="U338" i="62"/>
  <c r="U339" i="62"/>
  <c r="U340" i="62"/>
  <c r="U341" i="62"/>
  <c r="U342" i="62"/>
  <c r="U343" i="62"/>
  <c r="U344" i="62"/>
  <c r="U345" i="62"/>
  <c r="U346" i="62"/>
  <c r="U347" i="62"/>
  <c r="U348" i="62"/>
  <c r="U349" i="62"/>
  <c r="U350" i="62"/>
  <c r="U351" i="62"/>
  <c r="U352" i="62"/>
  <c r="U353" i="62"/>
  <c r="U354" i="62"/>
  <c r="U355" i="62"/>
  <c r="U356" i="62"/>
  <c r="U357" i="62"/>
  <c r="U358" i="62"/>
  <c r="U359" i="62"/>
  <c r="U360" i="62"/>
  <c r="U361" i="62"/>
  <c r="U362" i="62"/>
  <c r="U363" i="62"/>
  <c r="U364" i="62"/>
  <c r="U365" i="62"/>
  <c r="U366" i="62"/>
  <c r="U367" i="62"/>
  <c r="U368" i="62"/>
  <c r="U369" i="62"/>
  <c r="U370" i="62"/>
  <c r="U16" i="61"/>
  <c r="U179" i="61"/>
  <c r="U180" i="61"/>
  <c r="U181" i="61"/>
  <c r="U182" i="61"/>
  <c r="U183" i="61"/>
  <c r="U184" i="61"/>
  <c r="U185" i="61"/>
  <c r="U186" i="61"/>
  <c r="U187" i="61"/>
  <c r="U188" i="61"/>
  <c r="U189" i="61"/>
  <c r="U190" i="61"/>
  <c r="U191" i="61"/>
  <c r="U192" i="61"/>
  <c r="U193" i="61"/>
  <c r="U194" i="61"/>
  <c r="U195" i="61"/>
  <c r="U196" i="61"/>
  <c r="U197" i="61"/>
  <c r="U198" i="61"/>
  <c r="U199" i="61"/>
  <c r="U200" i="61"/>
  <c r="U201" i="61"/>
  <c r="U202" i="61"/>
  <c r="U203" i="61"/>
  <c r="U204" i="61"/>
  <c r="U205" i="61"/>
  <c r="U206" i="61"/>
  <c r="U207" i="61"/>
  <c r="U208" i="61"/>
  <c r="U209" i="61"/>
  <c r="U210" i="61"/>
  <c r="U211" i="61"/>
  <c r="U212" i="61"/>
  <c r="U213" i="61"/>
  <c r="U214" i="61"/>
  <c r="U215" i="61"/>
  <c r="U216" i="61"/>
  <c r="U217" i="61"/>
  <c r="U218" i="61"/>
  <c r="U219" i="61"/>
  <c r="U220" i="61"/>
  <c r="U221" i="61"/>
  <c r="U222" i="61"/>
  <c r="U223" i="61"/>
  <c r="U224" i="61"/>
  <c r="U225" i="61"/>
  <c r="U226" i="61"/>
  <c r="U227" i="61"/>
  <c r="U228" i="61"/>
  <c r="U229" i="61"/>
  <c r="U230" i="61"/>
  <c r="U231" i="61"/>
  <c r="U232" i="61"/>
  <c r="U233" i="61"/>
  <c r="U234" i="61"/>
  <c r="U235" i="61"/>
  <c r="U236" i="61"/>
  <c r="U237" i="61"/>
  <c r="U238" i="61"/>
  <c r="U239" i="61"/>
  <c r="U240" i="61"/>
  <c r="U241" i="61"/>
  <c r="U242" i="61"/>
  <c r="U243" i="61"/>
  <c r="U244" i="61"/>
  <c r="U245" i="61"/>
  <c r="U246" i="61"/>
  <c r="U247" i="61"/>
  <c r="U248" i="61"/>
  <c r="U249" i="61"/>
  <c r="U250" i="61"/>
  <c r="U251" i="61"/>
  <c r="U252" i="61"/>
  <c r="U253" i="61"/>
  <c r="U254" i="61"/>
  <c r="U255" i="61"/>
  <c r="U256" i="61"/>
  <c r="U257" i="61"/>
  <c r="U258" i="61"/>
  <c r="U259" i="61"/>
  <c r="U260" i="61"/>
  <c r="U261" i="61"/>
  <c r="U262" i="61"/>
  <c r="U263" i="61"/>
  <c r="U264" i="61"/>
  <c r="U265" i="61"/>
  <c r="U266" i="61"/>
  <c r="U267" i="61"/>
  <c r="U268" i="61"/>
  <c r="U269" i="61"/>
  <c r="U270" i="61"/>
  <c r="U271" i="61"/>
  <c r="U272" i="61"/>
  <c r="U273" i="61"/>
  <c r="U274" i="61"/>
  <c r="U275" i="61"/>
  <c r="U276" i="61"/>
  <c r="U277" i="61"/>
  <c r="U278" i="61"/>
  <c r="U279" i="61"/>
  <c r="U280" i="61"/>
  <c r="U281" i="61"/>
  <c r="U282" i="61"/>
  <c r="U283" i="61"/>
  <c r="U284" i="61"/>
  <c r="U285" i="61"/>
  <c r="U286" i="61"/>
  <c r="U287" i="61"/>
  <c r="U288" i="61"/>
  <c r="U289" i="61"/>
  <c r="U290" i="61"/>
  <c r="U291" i="61"/>
  <c r="U292" i="61"/>
  <c r="U293" i="61"/>
  <c r="U294" i="61"/>
  <c r="U295" i="61"/>
  <c r="U296" i="61"/>
  <c r="U297" i="61"/>
  <c r="U298" i="61"/>
  <c r="U299" i="61"/>
  <c r="U300" i="61"/>
  <c r="U301" i="61"/>
  <c r="U302" i="61"/>
  <c r="U303" i="61"/>
  <c r="U304" i="61"/>
  <c r="U305" i="61"/>
  <c r="U306" i="61"/>
  <c r="U307" i="61"/>
  <c r="U308" i="61"/>
  <c r="U309" i="61"/>
  <c r="U310" i="61"/>
  <c r="U311" i="61"/>
  <c r="U312" i="61"/>
  <c r="U313" i="61"/>
  <c r="U314" i="61"/>
  <c r="U315" i="61"/>
  <c r="U316" i="61"/>
  <c r="U317" i="61"/>
  <c r="U318" i="61"/>
  <c r="U319" i="61"/>
  <c r="U320" i="61"/>
  <c r="U321" i="61"/>
  <c r="U322" i="61"/>
  <c r="U323" i="61"/>
  <c r="U324" i="61"/>
  <c r="U325" i="61"/>
  <c r="U326" i="61"/>
  <c r="U327" i="61"/>
  <c r="U328" i="61"/>
  <c r="U329" i="61"/>
  <c r="U330" i="61"/>
  <c r="U331" i="61"/>
  <c r="U332" i="61"/>
  <c r="U333" i="61"/>
  <c r="U334" i="61"/>
  <c r="U335" i="61"/>
  <c r="U336" i="61"/>
  <c r="U337" i="61"/>
  <c r="U338" i="61"/>
  <c r="U339" i="61"/>
  <c r="X459" i="61"/>
  <c r="W459" i="61"/>
  <c r="U459" i="61"/>
  <c r="T459" i="61"/>
  <c r="V459" i="61" s="1"/>
  <c r="S459" i="61"/>
  <c r="X458" i="61"/>
  <c r="Y458" i="61"/>
  <c r="W458" i="61"/>
  <c r="U458" i="61"/>
  <c r="V458" i="61" s="1"/>
  <c r="T458" i="61"/>
  <c r="S458" i="61"/>
  <c r="X457" i="61"/>
  <c r="Y457" i="61"/>
  <c r="U457" i="61"/>
  <c r="V457" i="61"/>
  <c r="S457" i="61"/>
  <c r="Y456" i="61"/>
  <c r="X456" i="61"/>
  <c r="U456" i="61"/>
  <c r="V456" i="61" s="1"/>
  <c r="S456" i="61"/>
  <c r="X455" i="61"/>
  <c r="Y455" i="61"/>
  <c r="U455" i="61"/>
  <c r="V455" i="61"/>
  <c r="S455" i="61"/>
  <c r="Y454" i="61"/>
  <c r="X454" i="61"/>
  <c r="U454" i="61"/>
  <c r="V454" i="61" s="1"/>
  <c r="S454" i="61"/>
  <c r="X453" i="61"/>
  <c r="Y453" i="61"/>
  <c r="U453" i="61"/>
  <c r="V453" i="61"/>
  <c r="S453" i="61"/>
  <c r="Y452" i="61"/>
  <c r="X452" i="61"/>
  <c r="U452" i="61"/>
  <c r="V452" i="61" s="1"/>
  <c r="S452" i="61"/>
  <c r="X451" i="61"/>
  <c r="Y451" i="61"/>
  <c r="U451" i="61"/>
  <c r="V451" i="61"/>
  <c r="S451" i="61"/>
  <c r="Y450" i="61"/>
  <c r="X450" i="61"/>
  <c r="U450" i="61"/>
  <c r="V450" i="61" s="1"/>
  <c r="S450" i="61"/>
  <c r="X449" i="61"/>
  <c r="Y449" i="61"/>
  <c r="U449" i="61"/>
  <c r="V449" i="61"/>
  <c r="S449" i="61"/>
  <c r="Y448" i="61"/>
  <c r="X448" i="61"/>
  <c r="U448" i="61"/>
  <c r="V448" i="61" s="1"/>
  <c r="S448" i="61"/>
  <c r="X447" i="61"/>
  <c r="Y447" i="61"/>
  <c r="U447" i="61"/>
  <c r="V447" i="61"/>
  <c r="S447" i="61"/>
  <c r="Y446" i="61"/>
  <c r="X446" i="61"/>
  <c r="U446" i="61"/>
  <c r="V446" i="61" s="1"/>
  <c r="S446" i="61"/>
  <c r="X445" i="61"/>
  <c r="Y445" i="61"/>
  <c r="U445" i="61"/>
  <c r="V445" i="61"/>
  <c r="S445" i="61"/>
  <c r="Y444" i="61"/>
  <c r="X444" i="61"/>
  <c r="U444" i="61"/>
  <c r="V444" i="61" s="1"/>
  <c r="S444" i="61"/>
  <c r="X443" i="61"/>
  <c r="Y443" i="61"/>
  <c r="U443" i="61"/>
  <c r="V443" i="61"/>
  <c r="S443" i="61"/>
  <c r="Y442" i="61"/>
  <c r="X442" i="61"/>
  <c r="U442" i="61"/>
  <c r="V442" i="61" s="1"/>
  <c r="S442" i="61"/>
  <c r="X441" i="61"/>
  <c r="Y441" i="61"/>
  <c r="U441" i="61"/>
  <c r="V441" i="61"/>
  <c r="S441" i="61"/>
  <c r="Y440" i="61"/>
  <c r="X440" i="61"/>
  <c r="U440" i="61"/>
  <c r="V440" i="61" s="1"/>
  <c r="S440" i="61"/>
  <c r="X439" i="61"/>
  <c r="Y439" i="61"/>
  <c r="U439" i="61"/>
  <c r="V439" i="61"/>
  <c r="S439" i="61"/>
  <c r="Y438" i="61"/>
  <c r="X438" i="61"/>
  <c r="U438" i="61"/>
  <c r="V438" i="61" s="1"/>
  <c r="S438" i="61"/>
  <c r="X437" i="61"/>
  <c r="Y437" i="61"/>
  <c r="U437" i="61"/>
  <c r="V437" i="61"/>
  <c r="S437" i="61"/>
  <c r="Y436" i="61"/>
  <c r="X436" i="61"/>
  <c r="U436" i="61"/>
  <c r="V436" i="61" s="1"/>
  <c r="S436" i="61"/>
  <c r="X435" i="61"/>
  <c r="Y435" i="61"/>
  <c r="U435" i="61"/>
  <c r="V435" i="61"/>
  <c r="S435" i="61"/>
  <c r="Y434" i="61"/>
  <c r="X434" i="61"/>
  <c r="U434" i="61"/>
  <c r="V434" i="61" s="1"/>
  <c r="S434" i="61"/>
  <c r="X433" i="61"/>
  <c r="Y433" i="61"/>
  <c r="U433" i="61"/>
  <c r="V433" i="61"/>
  <c r="S433" i="61"/>
  <c r="Y432" i="61"/>
  <c r="X432" i="61"/>
  <c r="U432" i="61"/>
  <c r="V432" i="61" s="1"/>
  <c r="S432" i="61"/>
  <c r="X431" i="61"/>
  <c r="Y431" i="61"/>
  <c r="U431" i="61"/>
  <c r="V431" i="61"/>
  <c r="S431" i="61"/>
  <c r="Y430" i="61"/>
  <c r="X430" i="61"/>
  <c r="U430" i="61"/>
  <c r="V430" i="61" s="1"/>
  <c r="S430" i="61"/>
  <c r="X429" i="61"/>
  <c r="Y429" i="61"/>
  <c r="U429" i="61"/>
  <c r="V429" i="61"/>
  <c r="S429" i="61"/>
  <c r="Y428" i="61"/>
  <c r="X428" i="61"/>
  <c r="U428" i="61"/>
  <c r="V428" i="61" s="1"/>
  <c r="S428" i="61"/>
  <c r="X427" i="61"/>
  <c r="Y427" i="61"/>
  <c r="U427" i="61"/>
  <c r="V427" i="61"/>
  <c r="S427" i="61"/>
  <c r="Y426" i="61"/>
  <c r="X426" i="61"/>
  <c r="U426" i="61"/>
  <c r="V426" i="61" s="1"/>
  <c r="S426" i="61"/>
  <c r="X425" i="61"/>
  <c r="Y425" i="61"/>
  <c r="U425" i="61"/>
  <c r="V425" i="61"/>
  <c r="S425" i="61"/>
  <c r="Y424" i="61"/>
  <c r="X424" i="61"/>
  <c r="U424" i="61"/>
  <c r="V424" i="61" s="1"/>
  <c r="S424" i="61"/>
  <c r="X423" i="61"/>
  <c r="Y423" i="61"/>
  <c r="U423" i="61"/>
  <c r="V423" i="61"/>
  <c r="S423" i="61"/>
  <c r="Y422" i="61"/>
  <c r="X422" i="61"/>
  <c r="U422" i="61"/>
  <c r="V422" i="61" s="1"/>
  <c r="S422" i="61"/>
  <c r="X421" i="61"/>
  <c r="Y421" i="61"/>
  <c r="U421" i="61"/>
  <c r="V421" i="61"/>
  <c r="S421" i="61"/>
  <c r="Y420" i="61"/>
  <c r="X420" i="61"/>
  <c r="U420" i="61"/>
  <c r="V420" i="61" s="1"/>
  <c r="S420" i="61"/>
  <c r="X419" i="61"/>
  <c r="Y419" i="61"/>
  <c r="U419" i="61"/>
  <c r="V419" i="61"/>
  <c r="S419" i="61"/>
  <c r="Y418" i="61"/>
  <c r="X418" i="61"/>
  <c r="U418" i="61"/>
  <c r="V418" i="61" s="1"/>
  <c r="S418" i="61"/>
  <c r="X417" i="61"/>
  <c r="Y417" i="61"/>
  <c r="U417" i="61"/>
  <c r="V417" i="61"/>
  <c r="S417" i="61"/>
  <c r="Y416" i="61"/>
  <c r="X416" i="61"/>
  <c r="U416" i="61"/>
  <c r="V416" i="61" s="1"/>
  <c r="S416" i="61"/>
  <c r="X415" i="61"/>
  <c r="Y415" i="61"/>
  <c r="U415" i="61"/>
  <c r="V415" i="61"/>
  <c r="S415" i="61"/>
  <c r="Y414" i="61"/>
  <c r="X414" i="61"/>
  <c r="U414" i="61"/>
  <c r="V414" i="61" s="1"/>
  <c r="S414" i="61"/>
  <c r="X413" i="61"/>
  <c r="Y413" i="61"/>
  <c r="U413" i="61"/>
  <c r="V413" i="61"/>
  <c r="S413" i="61"/>
  <c r="Y412" i="61"/>
  <c r="X412" i="61"/>
  <c r="U412" i="61"/>
  <c r="V412" i="61" s="1"/>
  <c r="S412" i="61"/>
  <c r="X411" i="61"/>
  <c r="Y411" i="61"/>
  <c r="U411" i="61"/>
  <c r="V411" i="61"/>
  <c r="S411" i="61"/>
  <c r="Y410" i="61"/>
  <c r="X410" i="61"/>
  <c r="U410" i="61"/>
  <c r="V410" i="61" s="1"/>
  <c r="S410" i="61"/>
  <c r="X409" i="61"/>
  <c r="Y409" i="61"/>
  <c r="U409" i="61"/>
  <c r="V409" i="61"/>
  <c r="S409" i="61"/>
  <c r="Y408" i="61"/>
  <c r="X408" i="61"/>
  <c r="U408" i="61"/>
  <c r="V408" i="61" s="1"/>
  <c r="S408" i="61"/>
  <c r="X407" i="61"/>
  <c r="Y407" i="61"/>
  <c r="U407" i="61"/>
  <c r="V407" i="61"/>
  <c r="S407" i="61"/>
  <c r="Y406" i="61"/>
  <c r="X406" i="61"/>
  <c r="U406" i="61"/>
  <c r="V406" i="61" s="1"/>
  <c r="S406" i="61"/>
  <c r="X405" i="61"/>
  <c r="Y405" i="61"/>
  <c r="U405" i="61"/>
  <c r="V405" i="61"/>
  <c r="S405" i="61"/>
  <c r="Y404" i="61"/>
  <c r="X404" i="61"/>
  <c r="U404" i="61"/>
  <c r="V404" i="61" s="1"/>
  <c r="S404" i="61"/>
  <c r="X403" i="61"/>
  <c r="Y403" i="61"/>
  <c r="U403" i="61"/>
  <c r="V403" i="61"/>
  <c r="S403" i="61"/>
  <c r="Y402" i="61"/>
  <c r="X402" i="61"/>
  <c r="U402" i="61"/>
  <c r="V402" i="61" s="1"/>
  <c r="S402" i="61"/>
  <c r="X401" i="61"/>
  <c r="Y401" i="61"/>
  <c r="U401" i="61"/>
  <c r="V401" i="61"/>
  <c r="S401" i="61"/>
  <c r="Y400" i="61"/>
  <c r="X400" i="61"/>
  <c r="U400" i="61"/>
  <c r="V400" i="61" s="1"/>
  <c r="S400" i="61"/>
  <c r="X399" i="61"/>
  <c r="Y399" i="61"/>
  <c r="U399" i="61"/>
  <c r="V399" i="61"/>
  <c r="S399" i="61"/>
  <c r="Y398" i="61"/>
  <c r="X398" i="61"/>
  <c r="U398" i="61"/>
  <c r="V398" i="61" s="1"/>
  <c r="S398" i="61"/>
  <c r="X397" i="61"/>
  <c r="Y397" i="61"/>
  <c r="U397" i="61"/>
  <c r="V397" i="61"/>
  <c r="S397" i="61"/>
  <c r="Y396" i="61"/>
  <c r="X396" i="61"/>
  <c r="U396" i="61"/>
  <c r="V396" i="61" s="1"/>
  <c r="S396" i="61"/>
  <c r="X395" i="61"/>
  <c r="Y395" i="61"/>
  <c r="U395" i="61"/>
  <c r="V395" i="61"/>
  <c r="S395" i="61"/>
  <c r="Y394" i="61"/>
  <c r="X394" i="61"/>
  <c r="U394" i="61"/>
  <c r="V394" i="61" s="1"/>
  <c r="S394" i="61"/>
  <c r="X393" i="61"/>
  <c r="Y393" i="61"/>
  <c r="U393" i="61"/>
  <c r="V393" i="61"/>
  <c r="S393" i="61"/>
  <c r="Y392" i="61"/>
  <c r="X392" i="61"/>
  <c r="U392" i="61"/>
  <c r="V392" i="61" s="1"/>
  <c r="S392" i="61"/>
  <c r="X391" i="61"/>
  <c r="Y391" i="61"/>
  <c r="U391" i="61"/>
  <c r="V391" i="61"/>
  <c r="S391" i="61"/>
  <c r="Y390" i="61"/>
  <c r="X390" i="61"/>
  <c r="U390" i="61"/>
  <c r="V390" i="61" s="1"/>
  <c r="S390" i="61"/>
  <c r="X389" i="61"/>
  <c r="Y389" i="61"/>
  <c r="U389" i="61"/>
  <c r="V389" i="61"/>
  <c r="S389" i="61"/>
  <c r="Y388" i="61"/>
  <c r="X388" i="61"/>
  <c r="U388" i="61"/>
  <c r="V388" i="61" s="1"/>
  <c r="S388" i="61"/>
  <c r="X387" i="61"/>
  <c r="Y387" i="61"/>
  <c r="U387" i="61"/>
  <c r="V387" i="61"/>
  <c r="S387" i="61"/>
  <c r="Y386" i="61"/>
  <c r="X386" i="61"/>
  <c r="U386" i="61"/>
  <c r="V386" i="61" s="1"/>
  <c r="S386" i="61"/>
  <c r="X385" i="61"/>
  <c r="Y385" i="61"/>
  <c r="U385" i="61"/>
  <c r="V385" i="61"/>
  <c r="S385" i="61"/>
  <c r="Y384" i="61"/>
  <c r="X384" i="61"/>
  <c r="U384" i="61"/>
  <c r="V384" i="61" s="1"/>
  <c r="S384" i="61"/>
  <c r="X383" i="61"/>
  <c r="Y383" i="61"/>
  <c r="U383" i="61"/>
  <c r="V383" i="61"/>
  <c r="S383" i="61"/>
  <c r="Y382" i="61"/>
  <c r="X382" i="61"/>
  <c r="U382" i="61"/>
  <c r="V382" i="61" s="1"/>
  <c r="S382" i="61"/>
  <c r="X381" i="61"/>
  <c r="Y381" i="61"/>
  <c r="U381" i="61"/>
  <c r="V381" i="61"/>
  <c r="S381" i="61"/>
  <c r="Y380" i="61"/>
  <c r="X380" i="61"/>
  <c r="U380" i="61"/>
  <c r="V380" i="61" s="1"/>
  <c r="S380" i="61"/>
  <c r="X379" i="61"/>
  <c r="Y379" i="61"/>
  <c r="U379" i="61"/>
  <c r="V379" i="61"/>
  <c r="S379" i="61"/>
  <c r="Y378" i="61"/>
  <c r="X378" i="61"/>
  <c r="U378" i="61"/>
  <c r="V378" i="61" s="1"/>
  <c r="S378" i="61"/>
  <c r="X377" i="61"/>
  <c r="Y377" i="61"/>
  <c r="U377" i="61"/>
  <c r="V377" i="61"/>
  <c r="S377" i="61"/>
  <c r="Y376" i="61"/>
  <c r="X376" i="61"/>
  <c r="U376" i="61"/>
  <c r="V376" i="61" s="1"/>
  <c r="S376" i="61"/>
  <c r="X375" i="61"/>
  <c r="Y375" i="61"/>
  <c r="U375" i="61"/>
  <c r="V375" i="61"/>
  <c r="S375" i="61"/>
  <c r="Y374" i="61"/>
  <c r="X374" i="61"/>
  <c r="U374" i="61"/>
  <c r="V374" i="61" s="1"/>
  <c r="S374" i="61"/>
  <c r="X373" i="61"/>
  <c r="Y373" i="61"/>
  <c r="U373" i="61"/>
  <c r="V373" i="61"/>
  <c r="S373" i="61"/>
  <c r="Y372" i="61"/>
  <c r="X372" i="61"/>
  <c r="U372" i="61"/>
  <c r="V372" i="61" s="1"/>
  <c r="S372" i="61"/>
  <c r="X371" i="61"/>
  <c r="Y371" i="61"/>
  <c r="U371" i="61"/>
  <c r="V371" i="61"/>
  <c r="S371" i="61"/>
  <c r="Y370" i="61"/>
  <c r="X370" i="61"/>
  <c r="U370" i="61"/>
  <c r="V370" i="61" s="1"/>
  <c r="S370" i="61"/>
  <c r="X369" i="61"/>
  <c r="Y369" i="61"/>
  <c r="U369" i="61"/>
  <c r="V369" i="61"/>
  <c r="S369" i="61"/>
  <c r="Y368" i="61"/>
  <c r="X368" i="61"/>
  <c r="U368" i="61"/>
  <c r="V368" i="61" s="1"/>
  <c r="S368" i="61"/>
  <c r="X367" i="61"/>
  <c r="Y367" i="61"/>
  <c r="U367" i="61"/>
  <c r="V367" i="61"/>
  <c r="S367" i="61"/>
  <c r="Y366" i="61"/>
  <c r="X366" i="61"/>
  <c r="U366" i="61"/>
  <c r="V366" i="61" s="1"/>
  <c r="S366" i="61"/>
  <c r="X365" i="61"/>
  <c r="Y365" i="61"/>
  <c r="U365" i="61"/>
  <c r="V365" i="61"/>
  <c r="S365" i="61"/>
  <c r="Y364" i="61"/>
  <c r="X364" i="61"/>
  <c r="U364" i="61"/>
  <c r="V364" i="61" s="1"/>
  <c r="S364" i="61"/>
  <c r="X363" i="61"/>
  <c r="Y363" i="61"/>
  <c r="U363" i="61"/>
  <c r="V363" i="61"/>
  <c r="S363" i="61"/>
  <c r="Y362" i="61"/>
  <c r="X362" i="61"/>
  <c r="U362" i="61"/>
  <c r="V362" i="61" s="1"/>
  <c r="S362" i="61"/>
  <c r="X361" i="61"/>
  <c r="Y361" i="61"/>
  <c r="U361" i="61"/>
  <c r="V361" i="61"/>
  <c r="S361" i="61"/>
  <c r="Y360" i="61"/>
  <c r="X360" i="61"/>
  <c r="U360" i="61"/>
  <c r="V360" i="61" s="1"/>
  <c r="S360" i="61"/>
  <c r="X359" i="61"/>
  <c r="Y359" i="61"/>
  <c r="U359" i="61"/>
  <c r="V359" i="61"/>
  <c r="S359" i="61"/>
  <c r="X358" i="61"/>
  <c r="Y358" i="61" s="1"/>
  <c r="U358" i="61"/>
  <c r="V358" i="61" s="1"/>
  <c r="S358" i="61"/>
  <c r="X357" i="61"/>
  <c r="Y357" i="61"/>
  <c r="U357" i="61"/>
  <c r="V357" i="61"/>
  <c r="S357" i="61"/>
  <c r="X356" i="61"/>
  <c r="Y356" i="61" s="1"/>
  <c r="U356" i="61"/>
  <c r="V356" i="61" s="1"/>
  <c r="V353" i="61" s="1"/>
  <c r="S356" i="61"/>
  <c r="X355" i="61"/>
  <c r="Y355" i="61"/>
  <c r="U355" i="61"/>
  <c r="V355" i="61"/>
  <c r="S355" i="61"/>
  <c r="X354" i="61"/>
  <c r="X353" i="61" s="1"/>
  <c r="U354" i="61"/>
  <c r="U353" i="61" s="1"/>
  <c r="S354" i="61"/>
  <c r="L353" i="61" s="1"/>
  <c r="M353" i="61"/>
  <c r="V354" i="61"/>
  <c r="Y459" i="61"/>
  <c r="X15" i="63"/>
  <c r="X178" i="63"/>
  <c r="X179" i="63"/>
  <c r="X180" i="63"/>
  <c r="X181" i="63"/>
  <c r="X182" i="63"/>
  <c r="X183" i="63"/>
  <c r="X184" i="63"/>
  <c r="X185" i="63"/>
  <c r="X186" i="63"/>
  <c r="X187" i="63"/>
  <c r="X188" i="63"/>
  <c r="X189" i="63"/>
  <c r="X190" i="63"/>
  <c r="X191" i="63"/>
  <c r="X192" i="63"/>
  <c r="X193" i="63"/>
  <c r="X194" i="63"/>
  <c r="X195" i="63"/>
  <c r="X196" i="63"/>
  <c r="X197" i="63"/>
  <c r="X198" i="63"/>
  <c r="X199" i="63"/>
  <c r="X200" i="63"/>
  <c r="X201" i="63"/>
  <c r="X202" i="63"/>
  <c r="X203" i="63"/>
  <c r="X204" i="63"/>
  <c r="X205" i="63"/>
  <c r="X206" i="63"/>
  <c r="X207" i="63"/>
  <c r="X208" i="63"/>
  <c r="X209" i="63"/>
  <c r="X210" i="63"/>
  <c r="X211" i="63"/>
  <c r="X212" i="63"/>
  <c r="X213" i="63"/>
  <c r="X214" i="63"/>
  <c r="X215" i="63"/>
  <c r="X216" i="63"/>
  <c r="X217" i="63"/>
  <c r="X218" i="63"/>
  <c r="X219" i="63"/>
  <c r="X220" i="63"/>
  <c r="X221" i="63"/>
  <c r="X222" i="63"/>
  <c r="X223" i="63"/>
  <c r="X224" i="63"/>
  <c r="X225" i="63"/>
  <c r="X226" i="63"/>
  <c r="X227" i="63"/>
  <c r="X228" i="63"/>
  <c r="X229" i="63"/>
  <c r="X230" i="63"/>
  <c r="X231" i="63"/>
  <c r="X232" i="63"/>
  <c r="X233" i="63"/>
  <c r="X234" i="63"/>
  <c r="X235" i="63"/>
  <c r="X236" i="63"/>
  <c r="X237" i="63"/>
  <c r="X238" i="63"/>
  <c r="X239" i="63"/>
  <c r="X240" i="63"/>
  <c r="X241" i="63"/>
  <c r="X242" i="63"/>
  <c r="X243" i="63"/>
  <c r="X244" i="63"/>
  <c r="X245" i="63"/>
  <c r="X246" i="63"/>
  <c r="X247" i="63"/>
  <c r="X248" i="63"/>
  <c r="X249" i="63"/>
  <c r="X250" i="63"/>
  <c r="X251" i="63"/>
  <c r="X252" i="63"/>
  <c r="X253" i="63"/>
  <c r="X254" i="63"/>
  <c r="X255" i="63"/>
  <c r="X256" i="63"/>
  <c r="X257" i="63"/>
  <c r="X258" i="63"/>
  <c r="X259" i="63"/>
  <c r="X260" i="63"/>
  <c r="X261" i="63"/>
  <c r="X262" i="63"/>
  <c r="X263" i="63"/>
  <c r="X264" i="63"/>
  <c r="X265" i="63"/>
  <c r="X266" i="63"/>
  <c r="X267" i="63"/>
  <c r="X268" i="63"/>
  <c r="X269" i="63"/>
  <c r="X270" i="63"/>
  <c r="X271" i="63"/>
  <c r="X272" i="63"/>
  <c r="X273" i="63"/>
  <c r="X274" i="63"/>
  <c r="X275" i="63"/>
  <c r="X276" i="63"/>
  <c r="X277" i="63"/>
  <c r="X278" i="63"/>
  <c r="X279" i="63"/>
  <c r="X280" i="63"/>
  <c r="X281" i="63"/>
  <c r="X282" i="63"/>
  <c r="X283" i="63"/>
  <c r="X284" i="63"/>
  <c r="X285" i="63"/>
  <c r="X286" i="63"/>
  <c r="X287" i="63"/>
  <c r="X288" i="63"/>
  <c r="X289" i="63"/>
  <c r="X290" i="63"/>
  <c r="X291" i="63"/>
  <c r="X292" i="63"/>
  <c r="X293" i="63"/>
  <c r="X294" i="63"/>
  <c r="X295" i="63"/>
  <c r="X296" i="63"/>
  <c r="X297" i="63"/>
  <c r="X298" i="63"/>
  <c r="X299" i="63"/>
  <c r="X300" i="63"/>
  <c r="X301" i="63"/>
  <c r="X302" i="63"/>
  <c r="X303" i="63"/>
  <c r="X304" i="63"/>
  <c r="X305" i="63"/>
  <c r="X306" i="63"/>
  <c r="X307" i="63"/>
  <c r="X308" i="63"/>
  <c r="X309" i="63"/>
  <c r="X310" i="63"/>
  <c r="X311" i="63"/>
  <c r="X312" i="63"/>
  <c r="X313" i="63"/>
  <c r="X314" i="63"/>
  <c r="X315" i="63"/>
  <c r="X316" i="63"/>
  <c r="X317" i="63"/>
  <c r="X318" i="63"/>
  <c r="X319" i="63"/>
  <c r="X320" i="63"/>
  <c r="X321" i="63"/>
  <c r="X322" i="63"/>
  <c r="X323" i="63"/>
  <c r="X324" i="63"/>
  <c r="X325" i="63"/>
  <c r="X326" i="63"/>
  <c r="X327" i="63"/>
  <c r="X328" i="63"/>
  <c r="X329" i="63"/>
  <c r="X330" i="63"/>
  <c r="X331" i="63"/>
  <c r="X332" i="63"/>
  <c r="X333" i="63"/>
  <c r="X334" i="63"/>
  <c r="X335" i="63"/>
  <c r="X336" i="63"/>
  <c r="X337" i="63"/>
  <c r="X338" i="63"/>
  <c r="X339" i="63"/>
  <c r="X340" i="63"/>
  <c r="X341" i="63"/>
  <c r="X342" i="63"/>
  <c r="X343" i="63"/>
  <c r="X344" i="63"/>
  <c r="X345" i="63"/>
  <c r="X346" i="63"/>
  <c r="X347" i="63"/>
  <c r="X348" i="63"/>
  <c r="X349" i="63"/>
  <c r="X350" i="63"/>
  <c r="X351" i="63"/>
  <c r="X352" i="63"/>
  <c r="X353" i="63"/>
  <c r="X354" i="63"/>
  <c r="X355" i="63"/>
  <c r="X356" i="63"/>
  <c r="X357" i="63"/>
  <c r="X358" i="63"/>
  <c r="X359" i="63"/>
  <c r="X360" i="63"/>
  <c r="U15" i="63"/>
  <c r="U178" i="63"/>
  <c r="U179" i="63"/>
  <c r="U180" i="63"/>
  <c r="U181" i="63"/>
  <c r="U182" i="63"/>
  <c r="U183" i="63"/>
  <c r="U184" i="63"/>
  <c r="U185" i="63"/>
  <c r="U186" i="63"/>
  <c r="U187" i="63"/>
  <c r="U188" i="63"/>
  <c r="U189" i="63"/>
  <c r="U190" i="63"/>
  <c r="U191" i="63"/>
  <c r="U192" i="63"/>
  <c r="U193" i="63"/>
  <c r="U194" i="63"/>
  <c r="U195" i="63"/>
  <c r="U196" i="63"/>
  <c r="U197" i="63"/>
  <c r="U198" i="63"/>
  <c r="U199" i="63"/>
  <c r="U200" i="63"/>
  <c r="U201" i="63"/>
  <c r="U202" i="63"/>
  <c r="U203" i="63"/>
  <c r="U204" i="63"/>
  <c r="U205" i="63"/>
  <c r="U206" i="63"/>
  <c r="U207" i="63"/>
  <c r="U208" i="63"/>
  <c r="U209" i="63"/>
  <c r="U210" i="63"/>
  <c r="U211" i="63"/>
  <c r="U212" i="63"/>
  <c r="U213" i="63"/>
  <c r="U214" i="63"/>
  <c r="U215" i="63"/>
  <c r="U216" i="63"/>
  <c r="U217" i="63"/>
  <c r="U218" i="63"/>
  <c r="U219" i="63"/>
  <c r="U220" i="63"/>
  <c r="U221" i="63"/>
  <c r="U222" i="63"/>
  <c r="U223" i="63"/>
  <c r="U224" i="63"/>
  <c r="U225" i="63"/>
  <c r="U226" i="63"/>
  <c r="U227" i="63"/>
  <c r="U228" i="63"/>
  <c r="U229" i="63"/>
  <c r="U230" i="63"/>
  <c r="U231" i="63"/>
  <c r="U232" i="63"/>
  <c r="U233" i="63"/>
  <c r="U234" i="63"/>
  <c r="U235" i="63"/>
  <c r="U236" i="63"/>
  <c r="U237" i="63"/>
  <c r="U238" i="63"/>
  <c r="U239" i="63"/>
  <c r="U240" i="63"/>
  <c r="U241" i="63"/>
  <c r="U242" i="63"/>
  <c r="U243" i="63"/>
  <c r="U244" i="63"/>
  <c r="U245" i="63"/>
  <c r="U246" i="63"/>
  <c r="U247" i="63"/>
  <c r="U248" i="63"/>
  <c r="U249" i="63"/>
  <c r="U250" i="63"/>
  <c r="U251" i="63"/>
  <c r="U252" i="63"/>
  <c r="U253" i="63"/>
  <c r="U254" i="63"/>
  <c r="U255" i="63"/>
  <c r="U256" i="63"/>
  <c r="U257" i="63"/>
  <c r="U258" i="63"/>
  <c r="U259" i="63"/>
  <c r="U260" i="63"/>
  <c r="U261" i="63"/>
  <c r="U262" i="63"/>
  <c r="U263" i="63"/>
  <c r="U264" i="63"/>
  <c r="U265" i="63"/>
  <c r="U266" i="63"/>
  <c r="U267" i="63"/>
  <c r="U268" i="63"/>
  <c r="U269" i="63"/>
  <c r="U270" i="63"/>
  <c r="U271" i="63"/>
  <c r="U272" i="63"/>
  <c r="U273" i="63"/>
  <c r="U274" i="63"/>
  <c r="U275" i="63"/>
  <c r="U276" i="63"/>
  <c r="U277" i="63"/>
  <c r="U278" i="63"/>
  <c r="U279" i="63"/>
  <c r="U280" i="63"/>
  <c r="U281" i="63"/>
  <c r="U282" i="63"/>
  <c r="U283" i="63"/>
  <c r="U284" i="63"/>
  <c r="U285" i="63"/>
  <c r="U286" i="63"/>
  <c r="U287" i="63"/>
  <c r="U288" i="63"/>
  <c r="U289" i="63"/>
  <c r="U290" i="63"/>
  <c r="U291" i="63"/>
  <c r="U292" i="63"/>
  <c r="U293" i="63"/>
  <c r="U294" i="63"/>
  <c r="U295" i="63"/>
  <c r="U296" i="63"/>
  <c r="U297" i="63"/>
  <c r="U298" i="63"/>
  <c r="U299" i="63"/>
  <c r="U300" i="63"/>
  <c r="U301" i="63"/>
  <c r="U302" i="63"/>
  <c r="U303" i="63"/>
  <c r="U304" i="63"/>
  <c r="U305" i="63"/>
  <c r="U306" i="63"/>
  <c r="U307" i="63"/>
  <c r="U308" i="63"/>
  <c r="U309" i="63"/>
  <c r="U310" i="63"/>
  <c r="U311" i="63"/>
  <c r="U312" i="63"/>
  <c r="U313" i="63"/>
  <c r="U314" i="63"/>
  <c r="U315" i="63"/>
  <c r="U316" i="63"/>
  <c r="U317" i="63"/>
  <c r="U318" i="63"/>
  <c r="U319" i="63"/>
  <c r="U320" i="63"/>
  <c r="U321" i="63"/>
  <c r="U322" i="63"/>
  <c r="U323" i="63"/>
  <c r="U324" i="63"/>
  <c r="U325" i="63"/>
  <c r="U326" i="63"/>
  <c r="U327" i="63"/>
  <c r="U328" i="63"/>
  <c r="U329" i="63"/>
  <c r="U330" i="63"/>
  <c r="U331" i="63"/>
  <c r="U332" i="63"/>
  <c r="U333" i="63"/>
  <c r="U334" i="63"/>
  <c r="U335" i="63"/>
  <c r="U336" i="63"/>
  <c r="U337" i="63"/>
  <c r="U338" i="63"/>
  <c r="U339" i="63"/>
  <c r="U340" i="63"/>
  <c r="U341" i="63"/>
  <c r="U342" i="63"/>
  <c r="U343" i="63"/>
  <c r="U344" i="63"/>
  <c r="U345" i="63"/>
  <c r="U346" i="63"/>
  <c r="U347" i="63"/>
  <c r="U348" i="63"/>
  <c r="U349" i="63"/>
  <c r="U350" i="63"/>
  <c r="U351" i="63"/>
  <c r="U352" i="63"/>
  <c r="U353" i="63"/>
  <c r="U354" i="63"/>
  <c r="U355" i="63"/>
  <c r="U356" i="63"/>
  <c r="U357" i="63"/>
  <c r="U358" i="63"/>
  <c r="U359" i="63"/>
  <c r="U360" i="63"/>
  <c r="X533" i="63"/>
  <c r="Y533" i="63"/>
  <c r="U533" i="63"/>
  <c r="V533" i="63"/>
  <c r="S533" i="63"/>
  <c r="X532" i="63"/>
  <c r="Y532" i="63"/>
  <c r="V532" i="63"/>
  <c r="U532" i="63"/>
  <c r="S532" i="63"/>
  <c r="X531" i="63"/>
  <c r="Y531" i="63"/>
  <c r="U531" i="63"/>
  <c r="V531" i="63"/>
  <c r="S531" i="63"/>
  <c r="Y530" i="63"/>
  <c r="X530" i="63"/>
  <c r="U530" i="63"/>
  <c r="V530" i="63"/>
  <c r="S530" i="63"/>
  <c r="X529" i="63"/>
  <c r="Y529" i="63"/>
  <c r="U529" i="63"/>
  <c r="V529" i="63"/>
  <c r="S529" i="63"/>
  <c r="X528" i="63"/>
  <c r="Y528" i="63"/>
  <c r="V528" i="63"/>
  <c r="U528" i="63"/>
  <c r="S528" i="63"/>
  <c r="X527" i="63"/>
  <c r="Y527" i="63"/>
  <c r="U527" i="63"/>
  <c r="V527" i="63"/>
  <c r="S527" i="63"/>
  <c r="Y526" i="63"/>
  <c r="X526" i="63"/>
  <c r="V526" i="63"/>
  <c r="U526" i="63"/>
  <c r="S526" i="63"/>
  <c r="X525" i="63"/>
  <c r="Y525" i="63"/>
  <c r="V525" i="63"/>
  <c r="U525" i="63"/>
  <c r="S525" i="63"/>
  <c r="X524" i="63"/>
  <c r="Y524" i="63"/>
  <c r="V524" i="63"/>
  <c r="U524" i="63"/>
  <c r="S524" i="63"/>
  <c r="Y523" i="63"/>
  <c r="X523" i="63"/>
  <c r="U523" i="63"/>
  <c r="V523" i="63"/>
  <c r="S523" i="63"/>
  <c r="Y522" i="63"/>
  <c r="X522" i="63"/>
  <c r="U522" i="63"/>
  <c r="V522" i="63"/>
  <c r="S522" i="63"/>
  <c r="X521" i="63"/>
  <c r="Y521" i="63"/>
  <c r="U521" i="63"/>
  <c r="V521" i="63"/>
  <c r="S521" i="63"/>
  <c r="Y520" i="63"/>
  <c r="X520" i="63"/>
  <c r="V520" i="63"/>
  <c r="U520" i="63"/>
  <c r="S520" i="63"/>
  <c r="X519" i="63"/>
  <c r="Y519" i="63"/>
  <c r="U519" i="63"/>
  <c r="V519" i="63"/>
  <c r="S519" i="63"/>
  <c r="Y518" i="63"/>
  <c r="X518" i="63"/>
  <c r="V518" i="63"/>
  <c r="U518" i="63"/>
  <c r="S518" i="63"/>
  <c r="X517" i="63"/>
  <c r="Y517" i="63"/>
  <c r="V517" i="63"/>
  <c r="U517" i="63"/>
  <c r="S517" i="63"/>
  <c r="X516" i="63"/>
  <c r="Y516" i="63"/>
  <c r="V516" i="63"/>
  <c r="U516" i="63"/>
  <c r="S516" i="63"/>
  <c r="Y515" i="63"/>
  <c r="X515" i="63"/>
  <c r="U515" i="63"/>
  <c r="V515" i="63"/>
  <c r="S515" i="63"/>
  <c r="Y514" i="63"/>
  <c r="X514" i="63"/>
  <c r="U514" i="63"/>
  <c r="V514" i="63"/>
  <c r="S514" i="63"/>
  <c r="X513" i="63"/>
  <c r="Y513" i="63"/>
  <c r="U513" i="63"/>
  <c r="V513" i="63"/>
  <c r="S513" i="63"/>
  <c r="Y512" i="63"/>
  <c r="X512" i="63"/>
  <c r="V512" i="63"/>
  <c r="U512" i="63"/>
  <c r="S512" i="63"/>
  <c r="X511" i="63"/>
  <c r="Y511" i="63"/>
  <c r="U511" i="63"/>
  <c r="V511" i="63"/>
  <c r="S511" i="63"/>
  <c r="Y510" i="63"/>
  <c r="X510" i="63"/>
  <c r="V510" i="63"/>
  <c r="U510" i="63"/>
  <c r="S510" i="63"/>
  <c r="X509" i="63"/>
  <c r="Y509" i="63"/>
  <c r="V509" i="63"/>
  <c r="U509" i="63"/>
  <c r="S509" i="63"/>
  <c r="X508" i="63"/>
  <c r="Y508" i="63"/>
  <c r="V508" i="63"/>
  <c r="U508" i="63"/>
  <c r="S508" i="63"/>
  <c r="Y507" i="63"/>
  <c r="X507" i="63"/>
  <c r="U507" i="63"/>
  <c r="V507" i="63"/>
  <c r="S507" i="63"/>
  <c r="Y506" i="63"/>
  <c r="X506" i="63"/>
  <c r="U506" i="63"/>
  <c r="V506" i="63"/>
  <c r="S506" i="63"/>
  <c r="X505" i="63"/>
  <c r="Y505" i="63"/>
  <c r="U505" i="63"/>
  <c r="V505" i="63"/>
  <c r="S505" i="63"/>
  <c r="Y504" i="63"/>
  <c r="X504" i="63"/>
  <c r="V504" i="63"/>
  <c r="U504" i="63"/>
  <c r="S504" i="63"/>
  <c r="X503" i="63"/>
  <c r="Y503" i="63"/>
  <c r="U503" i="63"/>
  <c r="V503" i="63"/>
  <c r="S503" i="63"/>
  <c r="Y502" i="63"/>
  <c r="X502" i="63"/>
  <c r="V502" i="63"/>
  <c r="U502" i="63"/>
  <c r="S502" i="63"/>
  <c r="X501" i="63"/>
  <c r="Y501" i="63"/>
  <c r="V501" i="63"/>
  <c r="U501" i="63"/>
  <c r="S501" i="63"/>
  <c r="X500" i="63"/>
  <c r="Y500" i="63"/>
  <c r="V500" i="63"/>
  <c r="U500" i="63"/>
  <c r="S500" i="63"/>
  <c r="Y499" i="63"/>
  <c r="X499" i="63"/>
  <c r="U499" i="63"/>
  <c r="V499" i="63"/>
  <c r="S499" i="63"/>
  <c r="Y498" i="63"/>
  <c r="X498" i="63"/>
  <c r="U498" i="63"/>
  <c r="V498" i="63"/>
  <c r="S498" i="63"/>
  <c r="X497" i="63"/>
  <c r="Y497" i="63"/>
  <c r="U497" i="63"/>
  <c r="V497" i="63"/>
  <c r="S497" i="63"/>
  <c r="Y496" i="63"/>
  <c r="X496" i="63"/>
  <c r="V496" i="63"/>
  <c r="U496" i="63"/>
  <c r="S496" i="63"/>
  <c r="X495" i="63"/>
  <c r="Y495" i="63"/>
  <c r="U495" i="63"/>
  <c r="V495" i="63"/>
  <c r="S495" i="63"/>
  <c r="Y494" i="63"/>
  <c r="X494" i="63"/>
  <c r="V494" i="63"/>
  <c r="U494" i="63"/>
  <c r="S494" i="63"/>
  <c r="X493" i="63"/>
  <c r="Y493" i="63"/>
  <c r="V493" i="63"/>
  <c r="U493" i="63"/>
  <c r="S493" i="63"/>
  <c r="X492" i="63"/>
  <c r="Y492" i="63"/>
  <c r="V492" i="63"/>
  <c r="U492" i="63"/>
  <c r="S492" i="63"/>
  <c r="Y491" i="63"/>
  <c r="X491" i="63"/>
  <c r="U491" i="63"/>
  <c r="V491" i="63"/>
  <c r="S491" i="63"/>
  <c r="Y490" i="63"/>
  <c r="X490" i="63"/>
  <c r="U490" i="63"/>
  <c r="V490" i="63"/>
  <c r="S490" i="63"/>
  <c r="X489" i="63"/>
  <c r="Y489" i="63"/>
  <c r="U489" i="63"/>
  <c r="V489" i="63"/>
  <c r="S489" i="63"/>
  <c r="Y488" i="63"/>
  <c r="X488" i="63"/>
  <c r="V488" i="63"/>
  <c r="U488" i="63"/>
  <c r="S488" i="63"/>
  <c r="X487" i="63"/>
  <c r="Y487" i="63"/>
  <c r="U487" i="63"/>
  <c r="V487" i="63"/>
  <c r="S487" i="63"/>
  <c r="Y486" i="63"/>
  <c r="X486" i="63"/>
  <c r="V486" i="63"/>
  <c r="U486" i="63"/>
  <c r="S486" i="63"/>
  <c r="X485" i="63"/>
  <c r="Y485" i="63"/>
  <c r="V485" i="63"/>
  <c r="U485" i="63"/>
  <c r="S485" i="63"/>
  <c r="X484" i="63"/>
  <c r="Y484" i="63"/>
  <c r="V484" i="63"/>
  <c r="U484" i="63"/>
  <c r="S484" i="63"/>
  <c r="Y483" i="63"/>
  <c r="X483" i="63"/>
  <c r="U483" i="63"/>
  <c r="V483" i="63"/>
  <c r="S483" i="63"/>
  <c r="Y482" i="63"/>
  <c r="X482" i="63"/>
  <c r="U482" i="63"/>
  <c r="V482" i="63"/>
  <c r="S482" i="63"/>
  <c r="X481" i="63"/>
  <c r="Y481" i="63"/>
  <c r="U481" i="63"/>
  <c r="V481" i="63"/>
  <c r="S481" i="63"/>
  <c r="Y480" i="63"/>
  <c r="X480" i="63"/>
  <c r="V480" i="63"/>
  <c r="U480" i="63"/>
  <c r="S480" i="63"/>
  <c r="X479" i="63"/>
  <c r="Y479" i="63"/>
  <c r="U479" i="63"/>
  <c r="V479" i="63"/>
  <c r="S479" i="63"/>
  <c r="Y478" i="63"/>
  <c r="X478" i="63"/>
  <c r="V478" i="63"/>
  <c r="U478" i="63"/>
  <c r="S478" i="63"/>
  <c r="X477" i="63"/>
  <c r="Y477" i="63"/>
  <c r="V477" i="63"/>
  <c r="U477" i="63"/>
  <c r="S477" i="63"/>
  <c r="X476" i="63"/>
  <c r="Y476" i="63"/>
  <c r="V476" i="63"/>
  <c r="U476" i="63"/>
  <c r="S476" i="63"/>
  <c r="Y475" i="63"/>
  <c r="X475" i="63"/>
  <c r="U475" i="63"/>
  <c r="V475" i="63"/>
  <c r="S475" i="63"/>
  <c r="Y474" i="63"/>
  <c r="X474" i="63"/>
  <c r="U474" i="63"/>
  <c r="V474" i="63"/>
  <c r="S474" i="63"/>
  <c r="X473" i="63"/>
  <c r="Y473" i="63"/>
  <c r="U473" i="63"/>
  <c r="V473" i="63"/>
  <c r="S473" i="63"/>
  <c r="Y472" i="63"/>
  <c r="X472" i="63"/>
  <c r="V472" i="63"/>
  <c r="U472" i="63"/>
  <c r="S472" i="63"/>
  <c r="X471" i="63"/>
  <c r="Y471" i="63"/>
  <c r="U471" i="63"/>
  <c r="V471" i="63"/>
  <c r="S471" i="63"/>
  <c r="Y470" i="63"/>
  <c r="X470" i="63"/>
  <c r="V470" i="63"/>
  <c r="U470" i="63"/>
  <c r="S470" i="63"/>
  <c r="X469" i="63"/>
  <c r="Y469" i="63"/>
  <c r="V469" i="63"/>
  <c r="U469" i="63"/>
  <c r="S469" i="63"/>
  <c r="X468" i="63"/>
  <c r="Y468" i="63"/>
  <c r="V468" i="63"/>
  <c r="U468" i="63"/>
  <c r="S468" i="63"/>
  <c r="Y467" i="63"/>
  <c r="X467" i="63"/>
  <c r="U467" i="63"/>
  <c r="V467" i="63"/>
  <c r="S467" i="63"/>
  <c r="Y466" i="63"/>
  <c r="X466" i="63"/>
  <c r="U466" i="63"/>
  <c r="V466" i="63"/>
  <c r="S466" i="63"/>
  <c r="X465" i="63"/>
  <c r="Y465" i="63"/>
  <c r="U465" i="63"/>
  <c r="V465" i="63"/>
  <c r="S465" i="63"/>
  <c r="Y464" i="63"/>
  <c r="X464" i="63"/>
  <c r="V464" i="63"/>
  <c r="U464" i="63"/>
  <c r="S464" i="63"/>
  <c r="X463" i="63"/>
  <c r="Y463" i="63"/>
  <c r="U463" i="63"/>
  <c r="V463" i="63"/>
  <c r="S463" i="63"/>
  <c r="Y462" i="63"/>
  <c r="X462" i="63"/>
  <c r="V462" i="63"/>
  <c r="U462" i="63"/>
  <c r="S462" i="63"/>
  <c r="X461" i="63"/>
  <c r="Y461" i="63"/>
  <c r="V461" i="63"/>
  <c r="U461" i="63"/>
  <c r="S461" i="63"/>
  <c r="X460" i="63"/>
  <c r="Y460" i="63"/>
  <c r="V460" i="63"/>
  <c r="U460" i="63"/>
  <c r="S460" i="63"/>
  <c r="Y459" i="63"/>
  <c r="X459" i="63"/>
  <c r="U459" i="63"/>
  <c r="V459" i="63"/>
  <c r="S459" i="63"/>
  <c r="Y458" i="63"/>
  <c r="X458" i="63"/>
  <c r="U458" i="63"/>
  <c r="V458" i="63"/>
  <c r="S458" i="63"/>
  <c r="X457" i="63"/>
  <c r="Y457" i="63"/>
  <c r="U457" i="63"/>
  <c r="V457" i="63"/>
  <c r="S457" i="63"/>
  <c r="Y456" i="63"/>
  <c r="X456" i="63"/>
  <c r="V456" i="63"/>
  <c r="U456" i="63"/>
  <c r="S456" i="63"/>
  <c r="X455" i="63"/>
  <c r="Y455" i="63"/>
  <c r="U455" i="63"/>
  <c r="V455" i="63"/>
  <c r="S455" i="63"/>
  <c r="Y454" i="63"/>
  <c r="X454" i="63"/>
  <c r="V454" i="63"/>
  <c r="U454" i="63"/>
  <c r="S454" i="63"/>
  <c r="X453" i="63"/>
  <c r="Y453" i="63"/>
  <c r="V453" i="63"/>
  <c r="U453" i="63"/>
  <c r="S453" i="63"/>
  <c r="X452" i="63"/>
  <c r="Y452" i="63"/>
  <c r="V452" i="63"/>
  <c r="U452" i="63"/>
  <c r="S452" i="63"/>
  <c r="Y451" i="63"/>
  <c r="X451" i="63"/>
  <c r="U451" i="63"/>
  <c r="V451" i="63"/>
  <c r="S451" i="63"/>
  <c r="Y450" i="63"/>
  <c r="X450" i="63"/>
  <c r="U450" i="63"/>
  <c r="V450" i="63"/>
  <c r="S450" i="63"/>
  <c r="X449" i="63"/>
  <c r="Y449" i="63"/>
  <c r="U449" i="63"/>
  <c r="V449" i="63"/>
  <c r="S449" i="63"/>
  <c r="Y448" i="63"/>
  <c r="X448" i="63"/>
  <c r="V448" i="63"/>
  <c r="U448" i="63"/>
  <c r="S448" i="63"/>
  <c r="X447" i="63"/>
  <c r="Y447" i="63"/>
  <c r="U447" i="63"/>
  <c r="V447" i="63"/>
  <c r="S447" i="63"/>
  <c r="Y446" i="63"/>
  <c r="X446" i="63"/>
  <c r="V446" i="63"/>
  <c r="U446" i="63"/>
  <c r="S446" i="63"/>
  <c r="X445" i="63"/>
  <c r="Y445" i="63"/>
  <c r="V445" i="63"/>
  <c r="U445" i="63"/>
  <c r="S445" i="63"/>
  <c r="X444" i="63"/>
  <c r="Y444" i="63"/>
  <c r="V444" i="63"/>
  <c r="U444" i="63"/>
  <c r="S444" i="63"/>
  <c r="Y443" i="63"/>
  <c r="X443" i="63"/>
  <c r="U443" i="63"/>
  <c r="V443" i="63"/>
  <c r="S443" i="63"/>
  <c r="Y442" i="63"/>
  <c r="X442" i="63"/>
  <c r="U442" i="63"/>
  <c r="V442" i="63"/>
  <c r="S442" i="63"/>
  <c r="X441" i="63"/>
  <c r="Y441" i="63"/>
  <c r="U441" i="63"/>
  <c r="V441" i="63"/>
  <c r="S441" i="63"/>
  <c r="Y440" i="63"/>
  <c r="X440" i="63"/>
  <c r="V440" i="63"/>
  <c r="U440" i="63"/>
  <c r="S440" i="63"/>
  <c r="X439" i="63"/>
  <c r="Y439" i="63"/>
  <c r="U439" i="63"/>
  <c r="V439" i="63"/>
  <c r="S439" i="63"/>
  <c r="Y438" i="63"/>
  <c r="X438" i="63"/>
  <c r="V438" i="63"/>
  <c r="U438" i="63"/>
  <c r="S438" i="63"/>
  <c r="X437" i="63"/>
  <c r="Y437" i="63"/>
  <c r="V437" i="63"/>
  <c r="U437" i="63"/>
  <c r="S437" i="63"/>
  <c r="X436" i="63"/>
  <c r="Y436" i="63"/>
  <c r="V436" i="63"/>
  <c r="U436" i="63"/>
  <c r="S436" i="63"/>
  <c r="Y435" i="63"/>
  <c r="X435" i="63"/>
  <c r="U435" i="63"/>
  <c r="V435" i="63"/>
  <c r="S435" i="63"/>
  <c r="Y434" i="63"/>
  <c r="X434" i="63"/>
  <c r="U434" i="63"/>
  <c r="V434" i="63"/>
  <c r="S434" i="63"/>
  <c r="X433" i="63"/>
  <c r="Y433" i="63"/>
  <c r="U433" i="63"/>
  <c r="V433" i="63"/>
  <c r="S433" i="63"/>
  <c r="Y432" i="63"/>
  <c r="X432" i="63"/>
  <c r="V432" i="63"/>
  <c r="U432" i="63"/>
  <c r="S432" i="63"/>
  <c r="X431" i="63"/>
  <c r="Y431" i="63"/>
  <c r="U431" i="63"/>
  <c r="V431" i="63"/>
  <c r="S431" i="63"/>
  <c r="Y430" i="63"/>
  <c r="X430" i="63"/>
  <c r="V430" i="63"/>
  <c r="U430" i="63"/>
  <c r="S430" i="63"/>
  <c r="X429" i="63"/>
  <c r="Y429" i="63"/>
  <c r="V429" i="63"/>
  <c r="U429" i="63"/>
  <c r="S429" i="63"/>
  <c r="X428" i="63"/>
  <c r="Y428" i="63"/>
  <c r="V428" i="63"/>
  <c r="U428" i="63"/>
  <c r="S428" i="63"/>
  <c r="Y427" i="63"/>
  <c r="X427" i="63"/>
  <c r="U427" i="63"/>
  <c r="V427" i="63"/>
  <c r="S427" i="63"/>
  <c r="Y426" i="63"/>
  <c r="X426" i="63"/>
  <c r="U426" i="63"/>
  <c r="V426" i="63"/>
  <c r="S426" i="63"/>
  <c r="X425" i="63"/>
  <c r="Y425" i="63"/>
  <c r="U425" i="63"/>
  <c r="V425" i="63"/>
  <c r="S425" i="63"/>
  <c r="Y424" i="63"/>
  <c r="X424" i="63"/>
  <c r="V424" i="63"/>
  <c r="U424" i="63"/>
  <c r="S424" i="63"/>
  <c r="X423" i="63"/>
  <c r="Y423" i="63"/>
  <c r="U423" i="63"/>
  <c r="V423" i="63"/>
  <c r="S423" i="63"/>
  <c r="Y422" i="63"/>
  <c r="X422" i="63"/>
  <c r="V422" i="63"/>
  <c r="U422" i="63"/>
  <c r="S422" i="63"/>
  <c r="X421" i="63"/>
  <c r="Y421" i="63"/>
  <c r="V421" i="63"/>
  <c r="U421" i="63"/>
  <c r="S421" i="63"/>
  <c r="X420" i="63"/>
  <c r="Y420" i="63"/>
  <c r="V420" i="63"/>
  <c r="U420" i="63"/>
  <c r="S420" i="63"/>
  <c r="Y419" i="63"/>
  <c r="X419" i="63"/>
  <c r="U419" i="63"/>
  <c r="V419" i="63"/>
  <c r="S419" i="63"/>
  <c r="Y418" i="63"/>
  <c r="X418" i="63"/>
  <c r="U418" i="63"/>
  <c r="V418" i="63"/>
  <c r="S418" i="63"/>
  <c r="X417" i="63"/>
  <c r="Y417" i="63"/>
  <c r="U417" i="63"/>
  <c r="V417" i="63"/>
  <c r="S417" i="63"/>
  <c r="Y416" i="63"/>
  <c r="X416" i="63"/>
  <c r="V416" i="63"/>
  <c r="U416" i="63"/>
  <c r="S416" i="63"/>
  <c r="X415" i="63"/>
  <c r="Y415" i="63"/>
  <c r="U415" i="63"/>
  <c r="V415" i="63"/>
  <c r="S415" i="63"/>
  <c r="Y414" i="63"/>
  <c r="X414" i="63"/>
  <c r="V414" i="63"/>
  <c r="U414" i="63"/>
  <c r="S414" i="63"/>
  <c r="X413" i="63"/>
  <c r="Y413" i="63"/>
  <c r="V413" i="63"/>
  <c r="U413" i="63"/>
  <c r="S413" i="63"/>
  <c r="X412" i="63"/>
  <c r="Y412" i="63"/>
  <c r="V412" i="63"/>
  <c r="U412" i="63"/>
  <c r="S412" i="63"/>
  <c r="Y411" i="63"/>
  <c r="X411" i="63"/>
  <c r="U411" i="63"/>
  <c r="V411" i="63"/>
  <c r="S411" i="63"/>
  <c r="Y410" i="63"/>
  <c r="X410" i="63"/>
  <c r="U410" i="63"/>
  <c r="V410" i="63"/>
  <c r="S410" i="63"/>
  <c r="X409" i="63"/>
  <c r="Y409" i="63"/>
  <c r="U409" i="63"/>
  <c r="V409" i="63"/>
  <c r="S409" i="63"/>
  <c r="Y408" i="63"/>
  <c r="X408" i="63"/>
  <c r="V408" i="63"/>
  <c r="U408" i="63"/>
  <c r="S408" i="63"/>
  <c r="X407" i="63"/>
  <c r="Y407" i="63"/>
  <c r="U407" i="63"/>
  <c r="V407" i="63"/>
  <c r="S407" i="63"/>
  <c r="Y406" i="63"/>
  <c r="X406" i="63"/>
  <c r="V406" i="63"/>
  <c r="U406" i="63"/>
  <c r="S406" i="63"/>
  <c r="X405" i="63"/>
  <c r="Y405" i="63"/>
  <c r="V405" i="63"/>
  <c r="U405" i="63"/>
  <c r="S405" i="63"/>
  <c r="X404" i="63"/>
  <c r="Y404" i="63"/>
  <c r="V404" i="63"/>
  <c r="U404" i="63"/>
  <c r="S404" i="63"/>
  <c r="Y403" i="63"/>
  <c r="X403" i="63"/>
  <c r="U403" i="63"/>
  <c r="V403" i="63"/>
  <c r="S403" i="63"/>
  <c r="Y402" i="63"/>
  <c r="X402" i="63"/>
  <c r="U402" i="63"/>
  <c r="V402" i="63"/>
  <c r="S402" i="63"/>
  <c r="X401" i="63"/>
  <c r="Y401" i="63"/>
  <c r="U401" i="63"/>
  <c r="V401" i="63"/>
  <c r="S401" i="63"/>
  <c r="Y400" i="63"/>
  <c r="X400" i="63"/>
  <c r="V400" i="63"/>
  <c r="U400" i="63"/>
  <c r="S400" i="63"/>
  <c r="X399" i="63"/>
  <c r="Y399" i="63"/>
  <c r="U399" i="63"/>
  <c r="V399" i="63"/>
  <c r="S399" i="63"/>
  <c r="Y398" i="63"/>
  <c r="X398" i="63"/>
  <c r="V398" i="63"/>
  <c r="U398" i="63"/>
  <c r="S398" i="63"/>
  <c r="X397" i="63"/>
  <c r="Y397" i="63"/>
  <c r="V397" i="63"/>
  <c r="U397" i="63"/>
  <c r="S397" i="63"/>
  <c r="X396" i="63"/>
  <c r="Y396" i="63"/>
  <c r="V396" i="63"/>
  <c r="U396" i="63"/>
  <c r="S396" i="63"/>
  <c r="Y395" i="63"/>
  <c r="X395" i="63"/>
  <c r="U395" i="63"/>
  <c r="V395" i="63"/>
  <c r="S395" i="63"/>
  <c r="Y394" i="63"/>
  <c r="X394" i="63"/>
  <c r="U394" i="63"/>
  <c r="V394" i="63"/>
  <c r="S394" i="63"/>
  <c r="X393" i="63"/>
  <c r="Y393" i="63"/>
  <c r="U393" i="63"/>
  <c r="V393" i="63"/>
  <c r="S393" i="63"/>
  <c r="Y392" i="63"/>
  <c r="X392" i="63"/>
  <c r="V392" i="63"/>
  <c r="U392" i="63"/>
  <c r="S392" i="63"/>
  <c r="X391" i="63"/>
  <c r="Y391" i="63"/>
  <c r="U391" i="63"/>
  <c r="V391" i="63"/>
  <c r="S391" i="63"/>
  <c r="Y390" i="63"/>
  <c r="X390" i="63"/>
  <c r="V390" i="63"/>
  <c r="U390" i="63"/>
  <c r="S390" i="63"/>
  <c r="X389" i="63"/>
  <c r="Y389" i="63"/>
  <c r="V389" i="63"/>
  <c r="U389" i="63"/>
  <c r="S389" i="63"/>
  <c r="X388" i="63"/>
  <c r="Y388" i="63"/>
  <c r="V388" i="63"/>
  <c r="U388" i="63"/>
  <c r="S388" i="63"/>
  <c r="Y387" i="63"/>
  <c r="X387" i="63"/>
  <c r="U387" i="63"/>
  <c r="V387" i="63"/>
  <c r="S387" i="63"/>
  <c r="Y386" i="63"/>
  <c r="X386" i="63"/>
  <c r="U386" i="63"/>
  <c r="V386" i="63"/>
  <c r="S386" i="63"/>
  <c r="X385" i="63"/>
  <c r="Y385" i="63"/>
  <c r="U385" i="63"/>
  <c r="V385" i="63"/>
  <c r="S385" i="63"/>
  <c r="Y384" i="63"/>
  <c r="X384" i="63"/>
  <c r="V384" i="63"/>
  <c r="U384" i="63"/>
  <c r="S384" i="63"/>
  <c r="X383" i="63"/>
  <c r="Y383" i="63"/>
  <c r="U383" i="63"/>
  <c r="V383" i="63"/>
  <c r="S383" i="63"/>
  <c r="Y382" i="63"/>
  <c r="X382" i="63"/>
  <c r="V382" i="63"/>
  <c r="U382" i="63"/>
  <c r="S382" i="63"/>
  <c r="X381" i="63"/>
  <c r="Y381" i="63"/>
  <c r="V381" i="63"/>
  <c r="U381" i="63"/>
  <c r="S381" i="63"/>
  <c r="X380" i="63"/>
  <c r="Y380" i="63"/>
  <c r="V380" i="63"/>
  <c r="U380" i="63"/>
  <c r="S380" i="63"/>
  <c r="Y379" i="63"/>
  <c r="X379" i="63"/>
  <c r="U379" i="63"/>
  <c r="V379" i="63"/>
  <c r="S379" i="63"/>
  <c r="Y378" i="63"/>
  <c r="X378" i="63"/>
  <c r="U378" i="63"/>
  <c r="V378" i="63"/>
  <c r="S378" i="63"/>
  <c r="X377" i="63"/>
  <c r="Y377" i="63"/>
  <c r="U377" i="63"/>
  <c r="V377" i="63"/>
  <c r="S377" i="63"/>
  <c r="Y376" i="63"/>
  <c r="X376" i="63"/>
  <c r="V376" i="63"/>
  <c r="U376" i="63"/>
  <c r="S376" i="63"/>
  <c r="X375" i="63"/>
  <c r="Y375" i="63"/>
  <c r="U375" i="63"/>
  <c r="V375" i="63"/>
  <c r="S375" i="63"/>
  <c r="Y374" i="63"/>
  <c r="X374" i="63"/>
  <c r="V374" i="63"/>
  <c r="U374" i="63"/>
  <c r="S374" i="63"/>
  <c r="X373" i="63"/>
  <c r="Y373" i="63"/>
  <c r="V373" i="63"/>
  <c r="U373" i="63"/>
  <c r="U371" i="63"/>
  <c r="S373" i="63"/>
  <c r="X372" i="63"/>
  <c r="Y372" i="63"/>
  <c r="Y371" i="63"/>
  <c r="V372" i="63"/>
  <c r="U372" i="63"/>
  <c r="S372" i="63"/>
  <c r="M371" i="63"/>
  <c r="L371" i="63"/>
  <c r="X15" i="59"/>
  <c r="X23" i="59"/>
  <c r="X24" i="59"/>
  <c r="L15" i="59"/>
  <c r="U18" i="59"/>
  <c r="U19" i="59"/>
  <c r="U20" i="59"/>
  <c r="U21" i="59"/>
  <c r="U22" i="59"/>
  <c r="U23" i="59"/>
  <c r="U24" i="59"/>
  <c r="L15" i="57"/>
  <c r="M15" i="57"/>
  <c r="X15" i="57"/>
  <c r="X66" i="57"/>
  <c r="X67" i="57"/>
  <c r="X68" i="57"/>
  <c r="X69" i="57"/>
  <c r="X70" i="57"/>
  <c r="X71" i="57"/>
  <c r="X72" i="57"/>
  <c r="X73" i="57"/>
  <c r="X74" i="57"/>
  <c r="X75" i="57"/>
  <c r="X76" i="57"/>
  <c r="X77" i="57"/>
  <c r="X78" i="57"/>
  <c r="X54" i="57"/>
  <c r="X55" i="57"/>
  <c r="X56" i="57"/>
  <c r="X57" i="57"/>
  <c r="X58" i="57"/>
  <c r="X59" i="57"/>
  <c r="X60" i="57"/>
  <c r="X61" i="57"/>
  <c r="X62" i="57"/>
  <c r="X63" i="57"/>
  <c r="X64" i="57"/>
  <c r="X65" i="57"/>
  <c r="U66" i="57"/>
  <c r="U67" i="57"/>
  <c r="U15" i="57"/>
  <c r="U68" i="57"/>
  <c r="U69" i="57"/>
  <c r="U70" i="57"/>
  <c r="U71" i="57"/>
  <c r="U72" i="57"/>
  <c r="U73" i="57"/>
  <c r="U74" i="57"/>
  <c r="U75" i="57"/>
  <c r="U76" i="57"/>
  <c r="U77" i="57"/>
  <c r="U78" i="57"/>
  <c r="U54" i="57"/>
  <c r="U55" i="57"/>
  <c r="U56" i="57"/>
  <c r="U57" i="57"/>
  <c r="U58" i="57"/>
  <c r="U59" i="57"/>
  <c r="U60" i="57"/>
  <c r="U61" i="57"/>
  <c r="U62" i="57"/>
  <c r="U63" i="57"/>
  <c r="U64" i="57"/>
  <c r="U65" i="57"/>
  <c r="U16" i="57"/>
  <c r="X58" i="72"/>
  <c r="X57" i="72"/>
  <c r="X56" i="72"/>
  <c r="X55" i="72"/>
  <c r="X54" i="72"/>
  <c r="X53" i="72"/>
  <c r="X52" i="72"/>
  <c r="X51" i="72"/>
  <c r="X50" i="72"/>
  <c r="X49" i="72"/>
  <c r="X48" i="72"/>
  <c r="X47" i="72"/>
  <c r="U58" i="72"/>
  <c r="U57" i="72"/>
  <c r="U56" i="72"/>
  <c r="U55" i="72"/>
  <c r="U54" i="72"/>
  <c r="U53" i="72"/>
  <c r="U52" i="72"/>
  <c r="U51" i="72"/>
  <c r="U50" i="72"/>
  <c r="U49" i="72"/>
  <c r="X371" i="63"/>
  <c r="V371" i="63"/>
  <c r="L15" i="31"/>
  <c r="L15" i="30"/>
  <c r="Y15" i="30"/>
  <c r="X15" i="30"/>
  <c r="U73" i="30"/>
  <c r="V73" i="30"/>
  <c r="X73" i="30"/>
  <c r="Y73" i="30"/>
  <c r="U74" i="30"/>
  <c r="V74" i="30"/>
  <c r="X74" i="30"/>
  <c r="Y74" i="30"/>
  <c r="U75" i="30"/>
  <c r="V75" i="30"/>
  <c r="X75" i="30"/>
  <c r="Y75" i="30"/>
  <c r="U76" i="30"/>
  <c r="V76" i="30"/>
  <c r="X76" i="30"/>
  <c r="Y76" i="30"/>
  <c r="U77" i="30"/>
  <c r="V77" i="30"/>
  <c r="X77" i="30"/>
  <c r="Y77" i="30"/>
  <c r="U78" i="30"/>
  <c r="V78" i="30"/>
  <c r="X78" i="30"/>
  <c r="Y78" i="30"/>
  <c r="U79" i="30"/>
  <c r="V79" i="30"/>
  <c r="X79" i="30"/>
  <c r="Y79" i="30"/>
  <c r="U80" i="30"/>
  <c r="V80" i="30"/>
  <c r="X80" i="30"/>
  <c r="Y80" i="30"/>
  <c r="U81" i="30"/>
  <c r="V81" i="30"/>
  <c r="X81" i="30"/>
  <c r="Y81" i="30"/>
  <c r="U82" i="30"/>
  <c r="V82" i="30"/>
  <c r="X82" i="30"/>
  <c r="Y82" i="30"/>
  <c r="U83" i="30"/>
  <c r="V83" i="30"/>
  <c r="X83" i="30"/>
  <c r="Y83" i="30"/>
  <c r="U84" i="30"/>
  <c r="V84" i="30"/>
  <c r="X84" i="30"/>
  <c r="Y84" i="30"/>
  <c r="U85" i="30"/>
  <c r="V85" i="30"/>
  <c r="X85" i="30"/>
  <c r="Y85" i="30"/>
  <c r="U86" i="30"/>
  <c r="V86" i="30"/>
  <c r="X86" i="30"/>
  <c r="Y86" i="30"/>
  <c r="S73" i="30"/>
  <c r="S74" i="30"/>
  <c r="S75" i="30"/>
  <c r="S76" i="30"/>
  <c r="S77" i="30"/>
  <c r="S78" i="30"/>
  <c r="S79" i="30"/>
  <c r="S80" i="30"/>
  <c r="S81" i="30"/>
  <c r="S82" i="30"/>
  <c r="S83" i="30"/>
  <c r="S84" i="30"/>
  <c r="S85" i="30"/>
  <c r="S86" i="30"/>
  <c r="X29" i="23"/>
  <c r="S29" i="23"/>
  <c r="U29" i="23"/>
  <c r="V29" i="23"/>
  <c r="Y29" i="23"/>
  <c r="Y15" i="23"/>
  <c r="E37" i="23"/>
  <c r="M15" i="20"/>
  <c r="L15" i="20"/>
  <c r="U37" i="20"/>
  <c r="V37" i="20"/>
  <c r="X37" i="20"/>
  <c r="Y37" i="20"/>
  <c r="S37" i="20"/>
  <c r="S41" i="20"/>
  <c r="U41" i="20"/>
  <c r="V41" i="20"/>
  <c r="X41" i="20"/>
  <c r="Y41" i="20"/>
  <c r="S42" i="20"/>
  <c r="U42" i="20"/>
  <c r="V42" i="20"/>
  <c r="X42" i="20"/>
  <c r="Y42" i="20"/>
  <c r="S43" i="20"/>
  <c r="U43" i="20"/>
  <c r="V43" i="20"/>
  <c r="X43" i="20"/>
  <c r="Y43" i="20"/>
  <c r="S44" i="20"/>
  <c r="U44" i="20"/>
  <c r="V44" i="20"/>
  <c r="X44" i="20"/>
  <c r="Y44" i="20"/>
  <c r="S45" i="20"/>
  <c r="U45" i="20"/>
  <c r="V45" i="20"/>
  <c r="X45" i="20"/>
  <c r="Y45" i="20"/>
  <c r="S46" i="20"/>
  <c r="U46" i="20"/>
  <c r="V46" i="20"/>
  <c r="X46" i="20"/>
  <c r="Y46" i="20"/>
  <c r="W20" i="75"/>
  <c r="Y20" i="75"/>
  <c r="X20" i="75"/>
  <c r="W21" i="75"/>
  <c r="Y21" i="75"/>
  <c r="X21" i="75"/>
  <c r="W22" i="75"/>
  <c r="X22" i="75"/>
  <c r="Y22" i="75"/>
  <c r="W23" i="75"/>
  <c r="X23" i="75"/>
  <c r="Y23" i="75"/>
  <c r="T20" i="75"/>
  <c r="V20" i="75"/>
  <c r="U20" i="75"/>
  <c r="T21" i="75"/>
  <c r="V21" i="75"/>
  <c r="U21" i="75"/>
  <c r="T22" i="75"/>
  <c r="U22" i="75"/>
  <c r="V22" i="75"/>
  <c r="T23" i="75"/>
  <c r="U23" i="75"/>
  <c r="V23" i="75"/>
  <c r="S20" i="75"/>
  <c r="S21" i="75"/>
  <c r="S22" i="75"/>
  <c r="S23" i="75"/>
  <c r="X21" i="77"/>
  <c r="Y21" i="77"/>
  <c r="X20" i="77"/>
  <c r="Y20" i="77"/>
  <c r="U21" i="77"/>
  <c r="V21" i="77"/>
  <c r="U20" i="77"/>
  <c r="V20" i="77"/>
  <c r="S21" i="77"/>
  <c r="S20" i="77"/>
  <c r="E30" i="29"/>
  <c r="E29" i="29"/>
  <c r="Y47" i="18"/>
  <c r="Y48" i="18"/>
  <c r="Y49" i="18"/>
  <c r="Y50" i="18"/>
  <c r="Y51" i="18"/>
  <c r="Y52" i="18"/>
  <c r="Y53" i="18"/>
  <c r="Y54" i="18"/>
  <c r="Y55" i="18"/>
  <c r="Y56" i="18"/>
  <c r="Y57" i="18"/>
  <c r="Y58" i="18"/>
  <c r="Y59" i="18"/>
  <c r="X47" i="18"/>
  <c r="X48" i="18"/>
  <c r="X49" i="18"/>
  <c r="X50" i="18"/>
  <c r="X51" i="18"/>
  <c r="X52" i="18"/>
  <c r="X53" i="18"/>
  <c r="X54" i="18"/>
  <c r="X55" i="18"/>
  <c r="X56" i="18"/>
  <c r="X57" i="18"/>
  <c r="X58" i="18"/>
  <c r="X59" i="18"/>
  <c r="V47" i="18"/>
  <c r="V48" i="18"/>
  <c r="V49" i="18"/>
  <c r="V50" i="18"/>
  <c r="V51" i="18"/>
  <c r="V52" i="18"/>
  <c r="V53" i="18"/>
  <c r="V54" i="18"/>
  <c r="V55" i="18"/>
  <c r="V56" i="18"/>
  <c r="V57" i="18"/>
  <c r="V58" i="18"/>
  <c r="V59" i="18"/>
  <c r="U47" i="18"/>
  <c r="U15" i="18"/>
  <c r="U48" i="18"/>
  <c r="U49" i="18"/>
  <c r="U50" i="18"/>
  <c r="U51" i="18"/>
  <c r="U52" i="18"/>
  <c r="U53" i="18"/>
  <c r="U54" i="18"/>
  <c r="U55" i="18"/>
  <c r="U56" i="18"/>
  <c r="U57" i="18"/>
  <c r="U58" i="18"/>
  <c r="U59" i="18"/>
  <c r="E30" i="18"/>
  <c r="E29" i="18"/>
  <c r="X23" i="19"/>
  <c r="V23" i="19"/>
  <c r="U23" i="19"/>
  <c r="S23" i="19"/>
  <c r="L15" i="19"/>
  <c r="E43" i="42"/>
  <c r="Y18" i="16"/>
  <c r="Y19" i="16"/>
  <c r="Y20" i="16"/>
  <c r="Y21" i="16"/>
  <c r="Y22" i="16"/>
  <c r="Y23" i="16"/>
  <c r="Y24" i="16"/>
  <c r="Y25" i="16"/>
  <c r="Y26" i="16"/>
  <c r="Y27" i="16"/>
  <c r="Y28" i="16"/>
  <c r="Y29" i="16"/>
  <c r="Y30" i="16"/>
  <c r="Y31" i="16"/>
  <c r="Y32" i="16"/>
  <c r="Y33" i="16"/>
  <c r="Y34" i="16"/>
  <c r="Y35" i="16"/>
  <c r="Y36" i="16"/>
  <c r="Y37" i="16"/>
  <c r="Y38" i="16"/>
  <c r="X18" i="16"/>
  <c r="X19" i="16"/>
  <c r="X20" i="16"/>
  <c r="X21" i="16"/>
  <c r="X22" i="16"/>
  <c r="X23" i="16"/>
  <c r="X24" i="16"/>
  <c r="X25" i="16"/>
  <c r="X26" i="16"/>
  <c r="X27" i="16"/>
  <c r="X28" i="16"/>
  <c r="X29" i="16"/>
  <c r="X30" i="16"/>
  <c r="X31" i="16"/>
  <c r="X32" i="16"/>
  <c r="X33" i="16"/>
  <c r="X34" i="16"/>
  <c r="X35" i="16"/>
  <c r="X36" i="16"/>
  <c r="X37" i="16"/>
  <c r="X38" i="16"/>
  <c r="V19" i="16"/>
  <c r="V21" i="16"/>
  <c r="V22" i="16"/>
  <c r="V23" i="16"/>
  <c r="V24" i="16"/>
  <c r="V25" i="16"/>
  <c r="V26" i="16"/>
  <c r="V30" i="16"/>
  <c r="V31" i="16"/>
  <c r="V32" i="16"/>
  <c r="V33" i="16"/>
  <c r="V34" i="16"/>
  <c r="V35" i="16"/>
  <c r="V36" i="16"/>
  <c r="V37" i="16"/>
  <c r="V38" i="16"/>
  <c r="U18" i="16"/>
  <c r="V18" i="16"/>
  <c r="U19" i="16"/>
  <c r="U20" i="16"/>
  <c r="U21" i="16"/>
  <c r="U22" i="16"/>
  <c r="U23" i="16"/>
  <c r="U25" i="16"/>
  <c r="U26" i="16"/>
  <c r="U27" i="16"/>
  <c r="V27" i="16"/>
  <c r="U28" i="16"/>
  <c r="V28" i="16"/>
  <c r="U29" i="16"/>
  <c r="V29" i="16"/>
  <c r="U30" i="16"/>
  <c r="U31" i="16"/>
  <c r="U32" i="16"/>
  <c r="U33" i="16"/>
  <c r="U34" i="16"/>
  <c r="U35" i="16"/>
  <c r="U36" i="16"/>
  <c r="U37" i="16"/>
  <c r="U38" i="16"/>
  <c r="S18" i="16"/>
  <c r="S19" i="16"/>
  <c r="S20" i="16"/>
  <c r="S21" i="16"/>
  <c r="S22" i="16"/>
  <c r="S23" i="16"/>
  <c r="S24" i="16"/>
  <c r="S25" i="16"/>
  <c r="S26" i="16"/>
  <c r="S27" i="16"/>
  <c r="S28" i="16"/>
  <c r="S29" i="16"/>
  <c r="S30" i="16"/>
  <c r="S31" i="16"/>
  <c r="S32" i="16"/>
  <c r="S33" i="16"/>
  <c r="S34" i="16"/>
  <c r="S35" i="16"/>
  <c r="S36" i="16"/>
  <c r="S37" i="16"/>
  <c r="S38" i="16"/>
  <c r="V20" i="16"/>
  <c r="U15" i="16"/>
  <c r="X39" i="36"/>
  <c r="Y39" i="36"/>
  <c r="X38" i="36"/>
  <c r="Y38" i="36"/>
  <c r="Y37" i="36"/>
  <c r="X37" i="36"/>
  <c r="X36" i="36"/>
  <c r="Y36" i="36"/>
  <c r="Y35" i="36"/>
  <c r="X35" i="36"/>
  <c r="X34" i="36"/>
  <c r="Y34" i="36"/>
  <c r="U39" i="36"/>
  <c r="V39" i="36"/>
  <c r="U38" i="36"/>
  <c r="V38" i="36"/>
  <c r="U37" i="36"/>
  <c r="V37" i="36"/>
  <c r="U36" i="36"/>
  <c r="V36" i="36"/>
  <c r="U35" i="36"/>
  <c r="V35" i="36"/>
  <c r="U34" i="36"/>
  <c r="V34" i="36"/>
  <c r="S39" i="36"/>
  <c r="S38" i="36"/>
  <c r="S37" i="36"/>
  <c r="S36" i="36"/>
  <c r="S35" i="36"/>
  <c r="S34" i="36"/>
  <c r="X19" i="32"/>
  <c r="X20" i="32"/>
  <c r="X21" i="32"/>
  <c r="X22" i="32"/>
  <c r="X23" i="32"/>
  <c r="X24" i="32"/>
  <c r="X25" i="32"/>
  <c r="X26" i="32"/>
  <c r="X27" i="32"/>
  <c r="X28" i="32"/>
  <c r="X29" i="32"/>
  <c r="X30" i="32"/>
  <c r="X31" i="32"/>
  <c r="X32" i="32"/>
  <c r="X33" i="32"/>
  <c r="X34" i="32"/>
  <c r="X35" i="32"/>
  <c r="X36" i="32"/>
  <c r="X37" i="32"/>
  <c r="X38" i="32"/>
  <c r="X39" i="32"/>
  <c r="X40" i="32"/>
  <c r="X41" i="32"/>
  <c r="X42" i="32"/>
  <c r="X43" i="32"/>
  <c r="X44" i="32"/>
  <c r="X45" i="32"/>
  <c r="X46" i="32"/>
  <c r="X47" i="32"/>
  <c r="X48" i="32"/>
  <c r="X49" i="32"/>
  <c r="X50" i="32"/>
  <c r="X51" i="32"/>
  <c r="X52" i="32"/>
  <c r="X53" i="32"/>
  <c r="X54" i="32"/>
  <c r="X55" i="32"/>
  <c r="X56" i="32"/>
  <c r="X18" i="32"/>
  <c r="W19" i="32"/>
  <c r="W20" i="32"/>
  <c r="W21" i="32"/>
  <c r="W22" i="32"/>
  <c r="W23" i="32"/>
  <c r="W24" i="32"/>
  <c r="W25" i="32"/>
  <c r="W26" i="32"/>
  <c r="W27" i="32"/>
  <c r="W28" i="32"/>
  <c r="W29" i="32"/>
  <c r="W30" i="32"/>
  <c r="W31" i="32"/>
  <c r="W32" i="32"/>
  <c r="W33" i="32"/>
  <c r="W34" i="32"/>
  <c r="W35" i="32"/>
  <c r="W36" i="32"/>
  <c r="W37" i="32"/>
  <c r="W38" i="32"/>
  <c r="W39" i="32"/>
  <c r="W40" i="32"/>
  <c r="W41" i="32"/>
  <c r="W42" i="32"/>
  <c r="W43" i="32"/>
  <c r="W44" i="32"/>
  <c r="W45" i="32"/>
  <c r="W46" i="32"/>
  <c r="W47" i="32"/>
  <c r="W48" i="32"/>
  <c r="W49" i="32"/>
  <c r="W50" i="32"/>
  <c r="W51" i="32"/>
  <c r="W52" i="32"/>
  <c r="W53" i="32"/>
  <c r="W54" i="32"/>
  <c r="W55" i="32"/>
  <c r="W56" i="32"/>
  <c r="W18" i="32"/>
  <c r="U19" i="32"/>
  <c r="U20" i="32"/>
  <c r="U21" i="32"/>
  <c r="U22" i="32"/>
  <c r="U15" i="32"/>
  <c r="U23" i="32"/>
  <c r="U24" i="32"/>
  <c r="U25" i="32"/>
  <c r="U26" i="32"/>
  <c r="U27" i="32"/>
  <c r="U28" i="32"/>
  <c r="U29" i="32"/>
  <c r="U30" i="32"/>
  <c r="U31" i="32"/>
  <c r="U32" i="32"/>
  <c r="U33" i="32"/>
  <c r="U34" i="32"/>
  <c r="U35" i="32"/>
  <c r="U36" i="32"/>
  <c r="U37" i="32"/>
  <c r="U38" i="32"/>
  <c r="U39" i="32"/>
  <c r="U40" i="32"/>
  <c r="U41" i="32"/>
  <c r="U42" i="32"/>
  <c r="U43" i="32"/>
  <c r="U44" i="32"/>
  <c r="U45" i="32"/>
  <c r="U46" i="32"/>
  <c r="U47" i="32"/>
  <c r="U48" i="32"/>
  <c r="U49" i="32"/>
  <c r="U50" i="32"/>
  <c r="U51" i="32"/>
  <c r="U52" i="32"/>
  <c r="U53" i="32"/>
  <c r="U54" i="32"/>
  <c r="U55" i="32"/>
  <c r="U56" i="32"/>
  <c r="U18" i="32"/>
  <c r="T18" i="32"/>
  <c r="X19" i="14"/>
  <c r="S115" i="14"/>
  <c r="E33" i="83"/>
  <c r="E34" i="83"/>
  <c r="J98" i="12"/>
  <c r="L98" i="12"/>
  <c r="Q98" i="12"/>
  <c r="R98" i="12"/>
  <c r="J97" i="12"/>
  <c r="L97" i="12"/>
  <c r="Q97" i="12"/>
  <c r="R97" i="12"/>
  <c r="F64" i="126"/>
  <c r="F63" i="126"/>
  <c r="F62" i="126"/>
  <c r="E61" i="126"/>
  <c r="O6" i="126"/>
  <c r="P98" i="12"/>
  <c r="F59" i="126"/>
  <c r="F58" i="126"/>
  <c r="F57" i="126"/>
  <c r="F56" i="126"/>
  <c r="E55" i="126"/>
  <c r="F55" i="126"/>
  <c r="F53" i="126"/>
  <c r="F52" i="126"/>
  <c r="F51" i="126"/>
  <c r="F50" i="126"/>
  <c r="E49" i="126"/>
  <c r="M6" i="126" s="1"/>
  <c r="F49" i="126"/>
  <c r="F47" i="126"/>
  <c r="F46" i="126"/>
  <c r="F45" i="126"/>
  <c r="F44" i="126"/>
  <c r="E43" i="126"/>
  <c r="F43" i="126"/>
  <c r="F35" i="126"/>
  <c r="F31" i="126"/>
  <c r="E30" i="126"/>
  <c r="F25" i="126"/>
  <c r="F24" i="126"/>
  <c r="F23" i="126"/>
  <c r="F21" i="126"/>
  <c r="F22" i="126"/>
  <c r="E21" i="126"/>
  <c r="E34" i="126"/>
  <c r="F34" i="126"/>
  <c r="F30" i="126"/>
  <c r="B20" i="126"/>
  <c r="F19" i="126"/>
  <c r="F18" i="126"/>
  <c r="F17" i="126"/>
  <c r="F16" i="126"/>
  <c r="E15" i="126"/>
  <c r="E29" i="126"/>
  <c r="E27" i="126" s="1"/>
  <c r="J6" i="126" s="1"/>
  <c r="K98" i="12" s="1"/>
  <c r="N6" i="126"/>
  <c r="O98" i="12"/>
  <c r="K6" i="126"/>
  <c r="I6" i="126"/>
  <c r="H6" i="126"/>
  <c r="I98" i="12"/>
  <c r="F64" i="125"/>
  <c r="F63" i="125"/>
  <c r="F62" i="125"/>
  <c r="E61" i="125"/>
  <c r="O6" i="125"/>
  <c r="P97" i="12"/>
  <c r="F59" i="125"/>
  <c r="F58" i="125"/>
  <c r="F57" i="125"/>
  <c r="F56" i="125"/>
  <c r="E55" i="125"/>
  <c r="N6" i="125"/>
  <c r="O97" i="12"/>
  <c r="F53" i="125"/>
  <c r="F52" i="125"/>
  <c r="F51" i="125"/>
  <c r="F50" i="125"/>
  <c r="E49" i="125"/>
  <c r="F47" i="125"/>
  <c r="F46" i="125"/>
  <c r="F45" i="125"/>
  <c r="F44" i="125"/>
  <c r="E43" i="125"/>
  <c r="F43" i="125"/>
  <c r="F35" i="125"/>
  <c r="F34" i="125"/>
  <c r="E34" i="125"/>
  <c r="F31" i="125"/>
  <c r="F25" i="125"/>
  <c r="F24" i="125"/>
  <c r="F23" i="125"/>
  <c r="F21" i="125"/>
  <c r="F22" i="125"/>
  <c r="E21" i="125"/>
  <c r="E30" i="125"/>
  <c r="B20" i="125"/>
  <c r="F19" i="125"/>
  <c r="F18" i="125"/>
  <c r="F17" i="125"/>
  <c r="F15" i="125" s="1"/>
  <c r="F16" i="125"/>
  <c r="E15" i="125"/>
  <c r="E29" i="125" s="1"/>
  <c r="K6" i="125"/>
  <c r="I6" i="125"/>
  <c r="K74" i="11" a="1"/>
  <c r="J77" i="11"/>
  <c r="L6" i="126"/>
  <c r="M98" i="12"/>
  <c r="H6" i="125"/>
  <c r="I97" i="12" s="1"/>
  <c r="F61" i="126"/>
  <c r="L6" i="125"/>
  <c r="M97" i="12"/>
  <c r="F15" i="126"/>
  <c r="F30" i="125"/>
  <c r="F55" i="125"/>
  <c r="F49" i="125"/>
  <c r="F61" i="125"/>
  <c r="E33" i="126"/>
  <c r="F33" i="126" s="1"/>
  <c r="M6" i="125"/>
  <c r="T4" i="74"/>
  <c r="X85" i="74"/>
  <c r="W85" i="74"/>
  <c r="Y85" i="74"/>
  <c r="V85" i="74"/>
  <c r="U85" i="74"/>
  <c r="T85" i="74"/>
  <c r="S85" i="74"/>
  <c r="Y84" i="74"/>
  <c r="X84" i="74"/>
  <c r="W84" i="74"/>
  <c r="U84" i="74"/>
  <c r="V84" i="74"/>
  <c r="T84" i="74"/>
  <c r="S84" i="74"/>
  <c r="X83" i="74"/>
  <c r="Y83" i="74"/>
  <c r="W83" i="74"/>
  <c r="U83" i="74"/>
  <c r="T83" i="74"/>
  <c r="V83" i="74"/>
  <c r="S83" i="74"/>
  <c r="X82" i="74"/>
  <c r="W82" i="74"/>
  <c r="Y82" i="74"/>
  <c r="U82" i="74"/>
  <c r="T82" i="74"/>
  <c r="V82" i="74"/>
  <c r="S82" i="74"/>
  <c r="X81" i="74"/>
  <c r="W81" i="74"/>
  <c r="Y81" i="74"/>
  <c r="V81" i="74"/>
  <c r="U81" i="74"/>
  <c r="T81" i="74"/>
  <c r="S81" i="74"/>
  <c r="L78" i="74"/>
  <c r="Y80" i="74"/>
  <c r="X80" i="74"/>
  <c r="W80" i="74"/>
  <c r="U80" i="74"/>
  <c r="V80" i="74"/>
  <c r="T80" i="74"/>
  <c r="S80" i="74"/>
  <c r="X79" i="74"/>
  <c r="Y79" i="74"/>
  <c r="W79" i="74"/>
  <c r="U79" i="74"/>
  <c r="U78" i="74"/>
  <c r="T79" i="74"/>
  <c r="T78" i="74"/>
  <c r="S79" i="74"/>
  <c r="W78" i="74"/>
  <c r="M78" i="74"/>
  <c r="T4" i="72"/>
  <c r="X112" i="72"/>
  <c r="W112" i="72"/>
  <c r="Y112" i="72"/>
  <c r="V112" i="72"/>
  <c r="U112" i="72"/>
  <c r="T112" i="72"/>
  <c r="S112" i="72"/>
  <c r="Y111" i="72"/>
  <c r="X111" i="72"/>
  <c r="W111" i="72"/>
  <c r="U111" i="72"/>
  <c r="V111" i="72"/>
  <c r="T111" i="72"/>
  <c r="S111" i="72"/>
  <c r="X110" i="72"/>
  <c r="Y110" i="72"/>
  <c r="W110" i="72"/>
  <c r="U110" i="72"/>
  <c r="T110" i="72"/>
  <c r="V110" i="72"/>
  <c r="S110" i="72"/>
  <c r="X109" i="72"/>
  <c r="W109" i="72"/>
  <c r="Y109" i="72"/>
  <c r="U109" i="72"/>
  <c r="T109" i="72"/>
  <c r="V109" i="72"/>
  <c r="S109" i="72"/>
  <c r="X108" i="72"/>
  <c r="W108" i="72"/>
  <c r="Y108" i="72"/>
  <c r="V108" i="72"/>
  <c r="U108" i="72"/>
  <c r="T108" i="72"/>
  <c r="S108" i="72"/>
  <c r="Y107" i="72"/>
  <c r="X107" i="72"/>
  <c r="W107" i="72"/>
  <c r="U107" i="72"/>
  <c r="V107" i="72"/>
  <c r="T107" i="72"/>
  <c r="S107" i="72"/>
  <c r="X106" i="72"/>
  <c r="Y106" i="72"/>
  <c r="W106" i="72"/>
  <c r="U106" i="72"/>
  <c r="T106" i="72"/>
  <c r="V106" i="72"/>
  <c r="S106" i="72"/>
  <c r="X105" i="72"/>
  <c r="W105" i="72"/>
  <c r="Y105" i="72"/>
  <c r="U105" i="72"/>
  <c r="T105" i="72"/>
  <c r="V105" i="72"/>
  <c r="S105" i="72"/>
  <c r="X104" i="72"/>
  <c r="W104" i="72"/>
  <c r="Y104" i="72"/>
  <c r="V104" i="72"/>
  <c r="U104" i="72"/>
  <c r="T104" i="72"/>
  <c r="S104" i="72"/>
  <c r="Y103" i="72"/>
  <c r="X103" i="72"/>
  <c r="W103" i="72"/>
  <c r="U103" i="72"/>
  <c r="V103" i="72"/>
  <c r="T103" i="72"/>
  <c r="S103" i="72"/>
  <c r="X102" i="72"/>
  <c r="Y102" i="72"/>
  <c r="W102" i="72"/>
  <c r="U102" i="72"/>
  <c r="T102" i="72"/>
  <c r="V102" i="72"/>
  <c r="S102" i="72"/>
  <c r="X101" i="72"/>
  <c r="W101" i="72"/>
  <c r="Y101" i="72"/>
  <c r="U101" i="72"/>
  <c r="T101" i="72"/>
  <c r="V101" i="72"/>
  <c r="S101" i="72"/>
  <c r="X100" i="72"/>
  <c r="W100" i="72"/>
  <c r="Y100" i="72"/>
  <c r="V100" i="72"/>
  <c r="U100" i="72"/>
  <c r="T100" i="72"/>
  <c r="S100" i="72"/>
  <c r="Y99" i="72"/>
  <c r="X99" i="72"/>
  <c r="W99" i="72"/>
  <c r="U99" i="72"/>
  <c r="V99" i="72"/>
  <c r="T99" i="72"/>
  <c r="S99" i="72"/>
  <c r="X98" i="72"/>
  <c r="Y98" i="72"/>
  <c r="W98" i="72"/>
  <c r="U98" i="72"/>
  <c r="T98" i="72"/>
  <c r="V98" i="72"/>
  <c r="S98" i="72"/>
  <c r="X97" i="72"/>
  <c r="W97" i="72"/>
  <c r="Y97" i="72"/>
  <c r="U97" i="72"/>
  <c r="T97" i="72"/>
  <c r="V97" i="72"/>
  <c r="S97" i="72"/>
  <c r="X96" i="72"/>
  <c r="W96" i="72"/>
  <c r="Y96" i="72"/>
  <c r="V96" i="72"/>
  <c r="U96" i="72"/>
  <c r="T96" i="72"/>
  <c r="S96" i="72"/>
  <c r="Y95" i="72"/>
  <c r="X95" i="72"/>
  <c r="W95" i="72"/>
  <c r="U95" i="72"/>
  <c r="V95" i="72"/>
  <c r="T95" i="72"/>
  <c r="S95" i="72"/>
  <c r="X94" i="72"/>
  <c r="Y94" i="72"/>
  <c r="W94" i="72"/>
  <c r="U94" i="72"/>
  <c r="T94" i="72"/>
  <c r="V94" i="72"/>
  <c r="S94" i="72"/>
  <c r="X93" i="72"/>
  <c r="W93" i="72"/>
  <c r="Y93" i="72"/>
  <c r="U93" i="72"/>
  <c r="T93" i="72"/>
  <c r="V93" i="72"/>
  <c r="S93" i="72"/>
  <c r="X92" i="72"/>
  <c r="W92" i="72"/>
  <c r="Y92" i="72"/>
  <c r="V92" i="72"/>
  <c r="U92" i="72"/>
  <c r="T92" i="72"/>
  <c r="S92" i="72"/>
  <c r="Y91" i="72"/>
  <c r="X91" i="72"/>
  <c r="W91" i="72"/>
  <c r="U91" i="72"/>
  <c r="V91" i="72"/>
  <c r="T91" i="72"/>
  <c r="S91" i="72"/>
  <c r="X90" i="72"/>
  <c r="Y90" i="72"/>
  <c r="W90" i="72"/>
  <c r="U90" i="72"/>
  <c r="T90" i="72"/>
  <c r="V90" i="72"/>
  <c r="S90" i="72"/>
  <c r="X89" i="72"/>
  <c r="W89" i="72"/>
  <c r="Y89" i="72"/>
  <c r="U89" i="72"/>
  <c r="T89" i="72"/>
  <c r="V89" i="72"/>
  <c r="S89" i="72"/>
  <c r="X88" i="72"/>
  <c r="W88" i="72"/>
  <c r="Y88" i="72"/>
  <c r="V88" i="72"/>
  <c r="U88" i="72"/>
  <c r="T88" i="72"/>
  <c r="S88" i="72"/>
  <c r="Y87" i="72"/>
  <c r="X87" i="72"/>
  <c r="W87" i="72"/>
  <c r="U87" i="72"/>
  <c r="V87" i="72"/>
  <c r="T87" i="72"/>
  <c r="S87" i="72"/>
  <c r="X86" i="72"/>
  <c r="Y86" i="72"/>
  <c r="W86" i="72"/>
  <c r="U86" i="72"/>
  <c r="T86" i="72"/>
  <c r="V86" i="72"/>
  <c r="S86" i="72"/>
  <c r="X85" i="72"/>
  <c r="W85" i="72"/>
  <c r="Y85" i="72"/>
  <c r="U85" i="72"/>
  <c r="T85" i="72"/>
  <c r="V85" i="72"/>
  <c r="S85" i="72"/>
  <c r="X84" i="72"/>
  <c r="W84" i="72"/>
  <c r="Y84" i="72"/>
  <c r="V84" i="72"/>
  <c r="U84" i="72"/>
  <c r="T84" i="72"/>
  <c r="S84" i="72"/>
  <c r="Y83" i="72"/>
  <c r="X83" i="72"/>
  <c r="W83" i="72"/>
  <c r="U83" i="72"/>
  <c r="V83" i="72"/>
  <c r="T83" i="72"/>
  <c r="S83" i="72"/>
  <c r="X82" i="72"/>
  <c r="Y82" i="72"/>
  <c r="W82" i="72"/>
  <c r="U82" i="72"/>
  <c r="T82" i="72"/>
  <c r="V82" i="72"/>
  <c r="S82" i="72"/>
  <c r="X81" i="72"/>
  <c r="W81" i="72"/>
  <c r="Y81" i="72"/>
  <c r="U81" i="72"/>
  <c r="T81" i="72"/>
  <c r="V81" i="72"/>
  <c r="S81" i="72"/>
  <c r="L79" i="72"/>
  <c r="X80" i="72"/>
  <c r="X79" i="72"/>
  <c r="W80" i="72"/>
  <c r="Y80" i="72"/>
  <c r="V80" i="72"/>
  <c r="U80" i="72"/>
  <c r="T80" i="72"/>
  <c r="T79" i="72"/>
  <c r="S80" i="72"/>
  <c r="U79" i="72"/>
  <c r="M79" i="72"/>
  <c r="T4" i="70"/>
  <c r="X129" i="70"/>
  <c r="Y129" i="70"/>
  <c r="W129" i="70"/>
  <c r="U129" i="70"/>
  <c r="T129" i="70"/>
  <c r="V129" i="70"/>
  <c r="S129" i="70"/>
  <c r="X128" i="70"/>
  <c r="W128" i="70"/>
  <c r="Y128" i="70"/>
  <c r="U128" i="70"/>
  <c r="T128" i="70"/>
  <c r="V128" i="70"/>
  <c r="S128" i="70"/>
  <c r="X127" i="70"/>
  <c r="W127" i="70"/>
  <c r="Y127" i="70"/>
  <c r="V127" i="70"/>
  <c r="U127" i="70"/>
  <c r="T127" i="70"/>
  <c r="S127" i="70"/>
  <c r="Y126" i="70"/>
  <c r="X126" i="70"/>
  <c r="W126" i="70"/>
  <c r="U126" i="70"/>
  <c r="V126" i="70"/>
  <c r="T126" i="70"/>
  <c r="S126" i="70"/>
  <c r="X125" i="70"/>
  <c r="Y125" i="70"/>
  <c r="W125" i="70"/>
  <c r="U125" i="70"/>
  <c r="T125" i="70"/>
  <c r="V125" i="70"/>
  <c r="S125" i="70"/>
  <c r="X124" i="70"/>
  <c r="W124" i="70"/>
  <c r="Y124" i="70"/>
  <c r="U124" i="70"/>
  <c r="T124" i="70"/>
  <c r="V124" i="70"/>
  <c r="S124" i="70"/>
  <c r="X123" i="70"/>
  <c r="W123" i="70"/>
  <c r="Y123" i="70"/>
  <c r="V123" i="70"/>
  <c r="U123" i="70"/>
  <c r="T123" i="70"/>
  <c r="S123" i="70"/>
  <c r="Y122" i="70"/>
  <c r="X122" i="70"/>
  <c r="W122" i="70"/>
  <c r="U122" i="70"/>
  <c r="V122" i="70"/>
  <c r="T122" i="70"/>
  <c r="S122" i="70"/>
  <c r="X121" i="70"/>
  <c r="Y121" i="70"/>
  <c r="W121" i="70"/>
  <c r="U121" i="70"/>
  <c r="T121" i="70"/>
  <c r="V121" i="70"/>
  <c r="S121" i="70"/>
  <c r="X120" i="70"/>
  <c r="W120" i="70"/>
  <c r="Y120" i="70"/>
  <c r="U120" i="70"/>
  <c r="T120" i="70"/>
  <c r="V120" i="70"/>
  <c r="S120" i="70"/>
  <c r="X119" i="70"/>
  <c r="W119" i="70"/>
  <c r="Y119" i="70"/>
  <c r="V119" i="70"/>
  <c r="U119" i="70"/>
  <c r="T119" i="70"/>
  <c r="S119" i="70"/>
  <c r="Y118" i="70"/>
  <c r="X118" i="70"/>
  <c r="W118" i="70"/>
  <c r="U118" i="70"/>
  <c r="V118" i="70"/>
  <c r="T118" i="70"/>
  <c r="S118" i="70"/>
  <c r="X117" i="70"/>
  <c r="Y117" i="70"/>
  <c r="W117" i="70"/>
  <c r="U117" i="70"/>
  <c r="T117" i="70"/>
  <c r="V117" i="70"/>
  <c r="S117" i="70"/>
  <c r="X116" i="70"/>
  <c r="W116" i="70"/>
  <c r="Y116" i="70"/>
  <c r="U116" i="70"/>
  <c r="T116" i="70"/>
  <c r="V116" i="70"/>
  <c r="S116" i="70"/>
  <c r="X115" i="70"/>
  <c r="W115" i="70"/>
  <c r="Y115" i="70"/>
  <c r="V115" i="70"/>
  <c r="U115" i="70"/>
  <c r="T115" i="70"/>
  <c r="S115" i="70"/>
  <c r="Y114" i="70"/>
  <c r="X114" i="70"/>
  <c r="W114" i="70"/>
  <c r="U114" i="70"/>
  <c r="V114" i="70"/>
  <c r="T114" i="70"/>
  <c r="S114" i="70"/>
  <c r="X113" i="70"/>
  <c r="Y113" i="70"/>
  <c r="W113" i="70"/>
  <c r="U113" i="70"/>
  <c r="T113" i="70"/>
  <c r="V113" i="70"/>
  <c r="S113" i="70"/>
  <c r="X112" i="70"/>
  <c r="W112" i="70"/>
  <c r="Y112" i="70"/>
  <c r="U112" i="70"/>
  <c r="T112" i="70"/>
  <c r="V112" i="70"/>
  <c r="S112" i="70"/>
  <c r="X111" i="70"/>
  <c r="W111" i="70"/>
  <c r="Y111" i="70"/>
  <c r="V111" i="70"/>
  <c r="U111" i="70"/>
  <c r="T111" i="70"/>
  <c r="S111" i="70"/>
  <c r="Y110" i="70"/>
  <c r="X110" i="70"/>
  <c r="W110" i="70"/>
  <c r="U110" i="70"/>
  <c r="V110" i="70"/>
  <c r="T110" i="70"/>
  <c r="S110" i="70"/>
  <c r="X109" i="70"/>
  <c r="Y109" i="70"/>
  <c r="W109" i="70"/>
  <c r="U109" i="70"/>
  <c r="T109" i="70"/>
  <c r="V109" i="70"/>
  <c r="S109" i="70"/>
  <c r="X108" i="70"/>
  <c r="W108" i="70"/>
  <c r="Y108" i="70"/>
  <c r="U108" i="70"/>
  <c r="T108" i="70"/>
  <c r="V108" i="70"/>
  <c r="S108" i="70"/>
  <c r="X107" i="70"/>
  <c r="W107" i="70"/>
  <c r="Y107" i="70"/>
  <c r="V107" i="70"/>
  <c r="U107" i="70"/>
  <c r="T107" i="70"/>
  <c r="S107" i="70"/>
  <c r="Y106" i="70"/>
  <c r="X106" i="70"/>
  <c r="W106" i="70"/>
  <c r="U106" i="70"/>
  <c r="V106" i="70"/>
  <c r="T106" i="70"/>
  <c r="S106" i="70"/>
  <c r="X105" i="70"/>
  <c r="Y105" i="70"/>
  <c r="W105" i="70"/>
  <c r="U105" i="70"/>
  <c r="T105" i="70"/>
  <c r="V105" i="70"/>
  <c r="S105" i="70"/>
  <c r="X104" i="70"/>
  <c r="W104" i="70"/>
  <c r="Y104" i="70"/>
  <c r="U104" i="70"/>
  <c r="T104" i="70"/>
  <c r="V104" i="70"/>
  <c r="S104" i="70"/>
  <c r="X103" i="70"/>
  <c r="W103" i="70"/>
  <c r="Y103" i="70"/>
  <c r="V103" i="70"/>
  <c r="U103" i="70"/>
  <c r="T103" i="70"/>
  <c r="S103" i="70"/>
  <c r="Y102" i="70"/>
  <c r="X102" i="70"/>
  <c r="W102" i="70"/>
  <c r="U102" i="70"/>
  <c r="V102" i="70"/>
  <c r="T102" i="70"/>
  <c r="S102" i="70"/>
  <c r="X101" i="70"/>
  <c r="Y101" i="70"/>
  <c r="W101" i="70"/>
  <c r="U101" i="70"/>
  <c r="T101" i="70"/>
  <c r="V101" i="70"/>
  <c r="S101" i="70"/>
  <c r="X100" i="70"/>
  <c r="W100" i="70"/>
  <c r="Y100" i="70"/>
  <c r="U100" i="70"/>
  <c r="T100" i="70"/>
  <c r="V100" i="70"/>
  <c r="S100" i="70"/>
  <c r="X99" i="70"/>
  <c r="W99" i="70"/>
  <c r="Y99" i="70"/>
  <c r="V99" i="70"/>
  <c r="U99" i="70"/>
  <c r="T99" i="70"/>
  <c r="S99" i="70"/>
  <c r="Y98" i="70"/>
  <c r="X98" i="70"/>
  <c r="W98" i="70"/>
  <c r="U98" i="70"/>
  <c r="V98" i="70"/>
  <c r="T98" i="70"/>
  <c r="S98" i="70"/>
  <c r="X97" i="70"/>
  <c r="Y97" i="70"/>
  <c r="W97" i="70"/>
  <c r="U97" i="70"/>
  <c r="T97" i="70"/>
  <c r="V97" i="70"/>
  <c r="S97" i="70"/>
  <c r="X96" i="70"/>
  <c r="W96" i="70"/>
  <c r="Y96" i="70"/>
  <c r="U96" i="70"/>
  <c r="T96" i="70"/>
  <c r="V96" i="70"/>
  <c r="S96" i="70"/>
  <c r="X95" i="70"/>
  <c r="W95" i="70"/>
  <c r="Y95" i="70"/>
  <c r="V95" i="70"/>
  <c r="U95" i="70"/>
  <c r="T95" i="70"/>
  <c r="S95" i="70"/>
  <c r="Y94" i="70"/>
  <c r="X94" i="70"/>
  <c r="W94" i="70"/>
  <c r="U94" i="70"/>
  <c r="V94" i="70"/>
  <c r="T94" i="70"/>
  <c r="S94" i="70"/>
  <c r="X93" i="70"/>
  <c r="Y93" i="70"/>
  <c r="W93" i="70"/>
  <c r="U93" i="70"/>
  <c r="T93" i="70"/>
  <c r="V93" i="70"/>
  <c r="S93" i="70"/>
  <c r="X92" i="70"/>
  <c r="W92" i="70"/>
  <c r="Y92" i="70"/>
  <c r="U92" i="70"/>
  <c r="T92" i="70"/>
  <c r="V92" i="70"/>
  <c r="S92" i="70"/>
  <c r="X91" i="70"/>
  <c r="W91" i="70"/>
  <c r="Y91" i="70"/>
  <c r="V91" i="70"/>
  <c r="U91" i="70"/>
  <c r="T91" i="70"/>
  <c r="S91" i="70"/>
  <c r="Y90" i="70"/>
  <c r="X90" i="70"/>
  <c r="W90" i="70"/>
  <c r="U90" i="70"/>
  <c r="V90" i="70"/>
  <c r="T90" i="70"/>
  <c r="S90" i="70"/>
  <c r="X89" i="70"/>
  <c r="Y89" i="70"/>
  <c r="W89" i="70"/>
  <c r="U89" i="70"/>
  <c r="T89" i="70"/>
  <c r="V89" i="70"/>
  <c r="S89" i="70"/>
  <c r="X88" i="70"/>
  <c r="W88" i="70"/>
  <c r="Y88" i="70"/>
  <c r="U88" i="70"/>
  <c r="T88" i="70"/>
  <c r="V88" i="70"/>
  <c r="S88" i="70"/>
  <c r="X87" i="70"/>
  <c r="W87" i="70"/>
  <c r="Y87" i="70"/>
  <c r="V87" i="70"/>
  <c r="U87" i="70"/>
  <c r="T87" i="70"/>
  <c r="S87" i="70"/>
  <c r="Y86" i="70"/>
  <c r="X86" i="70"/>
  <c r="W86" i="70"/>
  <c r="U86" i="70"/>
  <c r="V86" i="70"/>
  <c r="T86" i="70"/>
  <c r="S86" i="70"/>
  <c r="X85" i="70"/>
  <c r="Y85" i="70"/>
  <c r="W85" i="70"/>
  <c r="U85" i="70"/>
  <c r="T85" i="70"/>
  <c r="V85" i="70"/>
  <c r="S85" i="70"/>
  <c r="X84" i="70"/>
  <c r="W84" i="70"/>
  <c r="Y84" i="70"/>
  <c r="U84" i="70"/>
  <c r="T84" i="70"/>
  <c r="V84" i="70"/>
  <c r="S84" i="70"/>
  <c r="X83" i="70"/>
  <c r="W83" i="70"/>
  <c r="Y83" i="70"/>
  <c r="V83" i="70"/>
  <c r="U83" i="70"/>
  <c r="T83" i="70"/>
  <c r="S83" i="70"/>
  <c r="Y82" i="70"/>
  <c r="X82" i="70"/>
  <c r="W82" i="70"/>
  <c r="U82" i="70"/>
  <c r="V82" i="70"/>
  <c r="T82" i="70"/>
  <c r="S82" i="70"/>
  <c r="X81" i="70"/>
  <c r="Y81" i="70"/>
  <c r="W81" i="70"/>
  <c r="U81" i="70"/>
  <c r="T81" i="70"/>
  <c r="V81" i="70"/>
  <c r="S81" i="70"/>
  <c r="X80" i="70"/>
  <c r="X79" i="70"/>
  <c r="W80" i="70"/>
  <c r="Y80" i="70"/>
  <c r="U80" i="70"/>
  <c r="U79" i="70"/>
  <c r="T80" i="70"/>
  <c r="V80" i="70"/>
  <c r="S80" i="70"/>
  <c r="M79" i="70"/>
  <c r="L79" i="70"/>
  <c r="T4" i="62"/>
  <c r="X554" i="62"/>
  <c r="Y554" i="62"/>
  <c r="U554" i="62"/>
  <c r="V554" i="62"/>
  <c r="S554" i="62"/>
  <c r="X553" i="62"/>
  <c r="Y553" i="62"/>
  <c r="U553" i="62"/>
  <c r="V553" i="62"/>
  <c r="S553" i="62"/>
  <c r="X552" i="62"/>
  <c r="Y552" i="62"/>
  <c r="U552" i="62"/>
  <c r="V552" i="62"/>
  <c r="S552" i="62"/>
  <c r="X551" i="62"/>
  <c r="Y551" i="62"/>
  <c r="U551" i="62"/>
  <c r="V551" i="62"/>
  <c r="S551" i="62"/>
  <c r="X550" i="62"/>
  <c r="Y550" i="62"/>
  <c r="U550" i="62"/>
  <c r="V550" i="62"/>
  <c r="S550" i="62"/>
  <c r="X549" i="62"/>
  <c r="Y549" i="62"/>
  <c r="U549" i="62"/>
  <c r="V549" i="62"/>
  <c r="S549" i="62"/>
  <c r="X548" i="62"/>
  <c r="Y548" i="62"/>
  <c r="U548" i="62"/>
  <c r="V548" i="62"/>
  <c r="S548" i="62"/>
  <c r="X547" i="62"/>
  <c r="Y547" i="62"/>
  <c r="U547" i="62"/>
  <c r="V547" i="62"/>
  <c r="S547" i="62"/>
  <c r="X546" i="62"/>
  <c r="Y546" i="62"/>
  <c r="U546" i="62"/>
  <c r="V546" i="62"/>
  <c r="S546" i="62"/>
  <c r="X545" i="62"/>
  <c r="Y545" i="62"/>
  <c r="U545" i="62"/>
  <c r="V545" i="62"/>
  <c r="S545" i="62"/>
  <c r="X544" i="62"/>
  <c r="Y544" i="62"/>
  <c r="U544" i="62"/>
  <c r="V544" i="62"/>
  <c r="S544" i="62"/>
  <c r="X543" i="62"/>
  <c r="Y543" i="62"/>
  <c r="U543" i="62"/>
  <c r="V543" i="62"/>
  <c r="S543" i="62"/>
  <c r="X542" i="62"/>
  <c r="Y542" i="62"/>
  <c r="U542" i="62"/>
  <c r="V542" i="62"/>
  <c r="S542" i="62"/>
  <c r="X541" i="62"/>
  <c r="Y541" i="62"/>
  <c r="U541" i="62"/>
  <c r="V541" i="62"/>
  <c r="S541" i="62"/>
  <c r="X540" i="62"/>
  <c r="Y540" i="62"/>
  <c r="U540" i="62"/>
  <c r="V540" i="62"/>
  <c r="S540" i="62"/>
  <c r="X539" i="62"/>
  <c r="Y539" i="62"/>
  <c r="U539" i="62"/>
  <c r="V539" i="62"/>
  <c r="S539" i="62"/>
  <c r="X538" i="62"/>
  <c r="Y538" i="62"/>
  <c r="U538" i="62"/>
  <c r="V538" i="62"/>
  <c r="S538" i="62"/>
  <c r="X537" i="62"/>
  <c r="Y537" i="62"/>
  <c r="U537" i="62"/>
  <c r="V537" i="62"/>
  <c r="S537" i="62"/>
  <c r="X536" i="62"/>
  <c r="Y536" i="62"/>
  <c r="U536" i="62"/>
  <c r="V536" i="62"/>
  <c r="S536" i="62"/>
  <c r="X535" i="62"/>
  <c r="Y535" i="62"/>
  <c r="U535" i="62"/>
  <c r="V535" i="62"/>
  <c r="S535" i="62"/>
  <c r="X534" i="62"/>
  <c r="Y534" i="62"/>
  <c r="U534" i="62"/>
  <c r="V534" i="62"/>
  <c r="S534" i="62"/>
  <c r="X533" i="62"/>
  <c r="Y533" i="62"/>
  <c r="U533" i="62"/>
  <c r="V533" i="62"/>
  <c r="S533" i="62"/>
  <c r="X532" i="62"/>
  <c r="Y532" i="62"/>
  <c r="U532" i="62"/>
  <c r="V532" i="62"/>
  <c r="S532" i="62"/>
  <c r="X531" i="62"/>
  <c r="Y531" i="62"/>
  <c r="U531" i="62"/>
  <c r="V531" i="62"/>
  <c r="S531" i="62"/>
  <c r="X530" i="62"/>
  <c r="Y530" i="62"/>
  <c r="U530" i="62"/>
  <c r="V530" i="62"/>
  <c r="S530" i="62"/>
  <c r="X529" i="62"/>
  <c r="Y529" i="62"/>
  <c r="U529" i="62"/>
  <c r="V529" i="62"/>
  <c r="S529" i="62"/>
  <c r="X528" i="62"/>
  <c r="Y528" i="62"/>
  <c r="U528" i="62"/>
  <c r="V528" i="62"/>
  <c r="S528" i="62"/>
  <c r="X527" i="62"/>
  <c r="Y527" i="62"/>
  <c r="U527" i="62"/>
  <c r="V527" i="62"/>
  <c r="S527" i="62"/>
  <c r="X526" i="62"/>
  <c r="Y526" i="62"/>
  <c r="U526" i="62"/>
  <c r="V526" i="62"/>
  <c r="S526" i="62"/>
  <c r="X525" i="62"/>
  <c r="Y525" i="62"/>
  <c r="U525" i="62"/>
  <c r="V525" i="62"/>
  <c r="S525" i="62"/>
  <c r="X524" i="62"/>
  <c r="Y524" i="62"/>
  <c r="U524" i="62"/>
  <c r="V524" i="62"/>
  <c r="S524" i="62"/>
  <c r="X523" i="62"/>
  <c r="Y523" i="62"/>
  <c r="U523" i="62"/>
  <c r="V523" i="62"/>
  <c r="S523" i="62"/>
  <c r="X522" i="62"/>
  <c r="Y522" i="62"/>
  <c r="U522" i="62"/>
  <c r="V522" i="62"/>
  <c r="S522" i="62"/>
  <c r="X521" i="62"/>
  <c r="Y521" i="62"/>
  <c r="U521" i="62"/>
  <c r="V521" i="62"/>
  <c r="S521" i="62"/>
  <c r="X520" i="62"/>
  <c r="Y520" i="62"/>
  <c r="U520" i="62"/>
  <c r="V520" i="62"/>
  <c r="S520" i="62"/>
  <c r="X519" i="62"/>
  <c r="Y519" i="62"/>
  <c r="U519" i="62"/>
  <c r="V519" i="62"/>
  <c r="S519" i="62"/>
  <c r="X518" i="62"/>
  <c r="Y518" i="62"/>
  <c r="U518" i="62"/>
  <c r="V518" i="62"/>
  <c r="S518" i="62"/>
  <c r="X517" i="62"/>
  <c r="Y517" i="62"/>
  <c r="U517" i="62"/>
  <c r="V517" i="62"/>
  <c r="S517" i="62"/>
  <c r="X516" i="62"/>
  <c r="Y516" i="62"/>
  <c r="U516" i="62"/>
  <c r="V516" i="62"/>
  <c r="S516" i="62"/>
  <c r="X515" i="62"/>
  <c r="Y515" i="62"/>
  <c r="U515" i="62"/>
  <c r="V515" i="62"/>
  <c r="S515" i="62"/>
  <c r="X514" i="62"/>
  <c r="Y514" i="62"/>
  <c r="U514" i="62"/>
  <c r="V514" i="62"/>
  <c r="S514" i="62"/>
  <c r="X513" i="62"/>
  <c r="Y513" i="62"/>
  <c r="U513" i="62"/>
  <c r="V513" i="62"/>
  <c r="S513" i="62"/>
  <c r="X512" i="62"/>
  <c r="Y512" i="62"/>
  <c r="U512" i="62"/>
  <c r="V512" i="62"/>
  <c r="S512" i="62"/>
  <c r="X511" i="62"/>
  <c r="Y511" i="62"/>
  <c r="U511" i="62"/>
  <c r="V511" i="62"/>
  <c r="S511" i="62"/>
  <c r="X510" i="62"/>
  <c r="Y510" i="62"/>
  <c r="U510" i="62"/>
  <c r="V510" i="62"/>
  <c r="S510" i="62"/>
  <c r="X509" i="62"/>
  <c r="Y509" i="62"/>
  <c r="U509" i="62"/>
  <c r="V509" i="62"/>
  <c r="S509" i="62"/>
  <c r="X508" i="62"/>
  <c r="Y508" i="62"/>
  <c r="U508" i="62"/>
  <c r="V508" i="62"/>
  <c r="S508" i="62"/>
  <c r="X507" i="62"/>
  <c r="Y507" i="62"/>
  <c r="U507" i="62"/>
  <c r="V507" i="62"/>
  <c r="S507" i="62"/>
  <c r="X506" i="62"/>
  <c r="Y506" i="62"/>
  <c r="U506" i="62"/>
  <c r="V506" i="62"/>
  <c r="S506" i="62"/>
  <c r="X505" i="62"/>
  <c r="Y505" i="62"/>
  <c r="U505" i="62"/>
  <c r="V505" i="62"/>
  <c r="S505" i="62"/>
  <c r="X504" i="62"/>
  <c r="Y504" i="62"/>
  <c r="U504" i="62"/>
  <c r="V504" i="62"/>
  <c r="S504" i="62"/>
  <c r="X503" i="62"/>
  <c r="Y503" i="62"/>
  <c r="U503" i="62"/>
  <c r="V503" i="62"/>
  <c r="S503" i="62"/>
  <c r="X502" i="62"/>
  <c r="Y502" i="62"/>
  <c r="U502" i="62"/>
  <c r="V502" i="62"/>
  <c r="S502" i="62"/>
  <c r="X501" i="62"/>
  <c r="Y501" i="62"/>
  <c r="U501" i="62"/>
  <c r="V501" i="62"/>
  <c r="S501" i="62"/>
  <c r="X500" i="62"/>
  <c r="Y500" i="62"/>
  <c r="U500" i="62"/>
  <c r="V500" i="62"/>
  <c r="S500" i="62"/>
  <c r="X499" i="62"/>
  <c r="Y499" i="62"/>
  <c r="U499" i="62"/>
  <c r="V499" i="62"/>
  <c r="S499" i="62"/>
  <c r="X498" i="62"/>
  <c r="Y498" i="62"/>
  <c r="U498" i="62"/>
  <c r="V498" i="62"/>
  <c r="S498" i="62"/>
  <c r="X497" i="62"/>
  <c r="Y497" i="62"/>
  <c r="U497" i="62"/>
  <c r="V497" i="62"/>
  <c r="S497" i="62"/>
  <c r="X496" i="62"/>
  <c r="Y496" i="62"/>
  <c r="U496" i="62"/>
  <c r="V496" i="62"/>
  <c r="S496" i="62"/>
  <c r="X495" i="62"/>
  <c r="Y495" i="62"/>
  <c r="U495" i="62"/>
  <c r="V495" i="62"/>
  <c r="S495" i="62"/>
  <c r="X494" i="62"/>
  <c r="Y494" i="62"/>
  <c r="U494" i="62"/>
  <c r="V494" i="62"/>
  <c r="S494" i="62"/>
  <c r="X493" i="62"/>
  <c r="Y493" i="62"/>
  <c r="U493" i="62"/>
  <c r="V493" i="62"/>
  <c r="S493" i="62"/>
  <c r="X492" i="62"/>
  <c r="Y492" i="62"/>
  <c r="U492" i="62"/>
  <c r="V492" i="62"/>
  <c r="S492" i="62"/>
  <c r="X491" i="62"/>
  <c r="Y491" i="62"/>
  <c r="U491" i="62"/>
  <c r="V491" i="62"/>
  <c r="S491" i="62"/>
  <c r="X490" i="62"/>
  <c r="Y490" i="62"/>
  <c r="U490" i="62"/>
  <c r="V490" i="62"/>
  <c r="S490" i="62"/>
  <c r="X489" i="62"/>
  <c r="Y489" i="62"/>
  <c r="U489" i="62"/>
  <c r="V489" i="62"/>
  <c r="S489" i="62"/>
  <c r="X488" i="62"/>
  <c r="Y488" i="62"/>
  <c r="U488" i="62"/>
  <c r="V488" i="62"/>
  <c r="S488" i="62"/>
  <c r="X487" i="62"/>
  <c r="Y487" i="62"/>
  <c r="U487" i="62"/>
  <c r="V487" i="62"/>
  <c r="S487" i="62"/>
  <c r="X486" i="62"/>
  <c r="Y486" i="62"/>
  <c r="U486" i="62"/>
  <c r="V486" i="62"/>
  <c r="S486" i="62"/>
  <c r="X485" i="62"/>
  <c r="Y485" i="62"/>
  <c r="U485" i="62"/>
  <c r="V485" i="62"/>
  <c r="S485" i="62"/>
  <c r="X484" i="62"/>
  <c r="Y484" i="62"/>
  <c r="U484" i="62"/>
  <c r="V484" i="62"/>
  <c r="S484" i="62"/>
  <c r="X483" i="62"/>
  <c r="Y483" i="62"/>
  <c r="U483" i="62"/>
  <c r="V483" i="62"/>
  <c r="S483" i="62"/>
  <c r="X482" i="62"/>
  <c r="Y482" i="62"/>
  <c r="U482" i="62"/>
  <c r="V482" i="62"/>
  <c r="S482" i="62"/>
  <c r="X481" i="62"/>
  <c r="Y481" i="62"/>
  <c r="U481" i="62"/>
  <c r="V481" i="62"/>
  <c r="S481" i="62"/>
  <c r="X480" i="62"/>
  <c r="Y480" i="62"/>
  <c r="U480" i="62"/>
  <c r="V480" i="62"/>
  <c r="S480" i="62"/>
  <c r="X479" i="62"/>
  <c r="Y479" i="62"/>
  <c r="U479" i="62"/>
  <c r="V479" i="62"/>
  <c r="S479" i="62"/>
  <c r="X478" i="62"/>
  <c r="Y478" i="62"/>
  <c r="U478" i="62"/>
  <c r="V478" i="62"/>
  <c r="S478" i="62"/>
  <c r="X477" i="62"/>
  <c r="Y477" i="62"/>
  <c r="U477" i="62"/>
  <c r="V477" i="62"/>
  <c r="S477" i="62"/>
  <c r="X476" i="62"/>
  <c r="Y476" i="62"/>
  <c r="U476" i="62"/>
  <c r="V476" i="62"/>
  <c r="S476" i="62"/>
  <c r="X475" i="62"/>
  <c r="Y475" i="62"/>
  <c r="U475" i="62"/>
  <c r="V475" i="62"/>
  <c r="S475" i="62"/>
  <c r="X474" i="62"/>
  <c r="Y474" i="62"/>
  <c r="U474" i="62"/>
  <c r="V474" i="62"/>
  <c r="S474" i="62"/>
  <c r="X473" i="62"/>
  <c r="Y473" i="62"/>
  <c r="U473" i="62"/>
  <c r="V473" i="62"/>
  <c r="S473" i="62"/>
  <c r="X472" i="62"/>
  <c r="Y472" i="62"/>
  <c r="U472" i="62"/>
  <c r="V472" i="62"/>
  <c r="S472" i="62"/>
  <c r="X471" i="62"/>
  <c r="Y471" i="62"/>
  <c r="U471" i="62"/>
  <c r="V471" i="62"/>
  <c r="S471" i="62"/>
  <c r="X470" i="62"/>
  <c r="Y470" i="62"/>
  <c r="U470" i="62"/>
  <c r="V470" i="62"/>
  <c r="S470" i="62"/>
  <c r="X469" i="62"/>
  <c r="Y469" i="62"/>
  <c r="U469" i="62"/>
  <c r="V469" i="62"/>
  <c r="S469" i="62"/>
  <c r="X468" i="62"/>
  <c r="Y468" i="62"/>
  <c r="U468" i="62"/>
  <c r="V468" i="62"/>
  <c r="S468" i="62"/>
  <c r="X467" i="62"/>
  <c r="Y467" i="62"/>
  <c r="U467" i="62"/>
  <c r="V467" i="62"/>
  <c r="S467" i="62"/>
  <c r="X466" i="62"/>
  <c r="Y466" i="62"/>
  <c r="U466" i="62"/>
  <c r="V466" i="62"/>
  <c r="S466" i="62"/>
  <c r="X465" i="62"/>
  <c r="Y465" i="62"/>
  <c r="U465" i="62"/>
  <c r="V465" i="62"/>
  <c r="S465" i="62"/>
  <c r="X464" i="62"/>
  <c r="Y464" i="62"/>
  <c r="U464" i="62"/>
  <c r="V464" i="62"/>
  <c r="S464" i="62"/>
  <c r="X463" i="62"/>
  <c r="Y463" i="62"/>
  <c r="U463" i="62"/>
  <c r="V463" i="62"/>
  <c r="S463" i="62"/>
  <c r="X462" i="62"/>
  <c r="Y462" i="62"/>
  <c r="U462" i="62"/>
  <c r="V462" i="62"/>
  <c r="S462" i="62"/>
  <c r="X461" i="62"/>
  <c r="Y461" i="62"/>
  <c r="U461" i="62"/>
  <c r="V461" i="62"/>
  <c r="S461" i="62"/>
  <c r="X460" i="62"/>
  <c r="Y460" i="62"/>
  <c r="U460" i="62"/>
  <c r="V460" i="62"/>
  <c r="S460" i="62"/>
  <c r="X459" i="62"/>
  <c r="Y459" i="62"/>
  <c r="U459" i="62"/>
  <c r="V459" i="62"/>
  <c r="S459" i="62"/>
  <c r="X458" i="62"/>
  <c r="Y458" i="62"/>
  <c r="U458" i="62"/>
  <c r="V458" i="62"/>
  <c r="S458" i="62"/>
  <c r="X457" i="62"/>
  <c r="Y457" i="62"/>
  <c r="U457" i="62"/>
  <c r="V457" i="62"/>
  <c r="S457" i="62"/>
  <c r="X456" i="62"/>
  <c r="Y456" i="62"/>
  <c r="U456" i="62"/>
  <c r="V456" i="62"/>
  <c r="S456" i="62"/>
  <c r="X455" i="62"/>
  <c r="Y455" i="62"/>
  <c r="U455" i="62"/>
  <c r="V455" i="62"/>
  <c r="S455" i="62"/>
  <c r="X454" i="62"/>
  <c r="Y454" i="62"/>
  <c r="U454" i="62"/>
  <c r="V454" i="62"/>
  <c r="S454" i="62"/>
  <c r="X453" i="62"/>
  <c r="Y453" i="62"/>
  <c r="U453" i="62"/>
  <c r="V453" i="62"/>
  <c r="S453" i="62"/>
  <c r="X452" i="62"/>
  <c r="Y452" i="62"/>
  <c r="U452" i="62"/>
  <c r="V452" i="62"/>
  <c r="S452" i="62"/>
  <c r="X451" i="62"/>
  <c r="Y451" i="62"/>
  <c r="U451" i="62"/>
  <c r="V451" i="62"/>
  <c r="S451" i="62"/>
  <c r="X450" i="62"/>
  <c r="Y450" i="62"/>
  <c r="U450" i="62"/>
  <c r="V450" i="62"/>
  <c r="S450" i="62"/>
  <c r="X449" i="62"/>
  <c r="Y449" i="62"/>
  <c r="U449" i="62"/>
  <c r="V449" i="62"/>
  <c r="S449" i="62"/>
  <c r="X448" i="62"/>
  <c r="Y448" i="62"/>
  <c r="U448" i="62"/>
  <c r="V448" i="62"/>
  <c r="S448" i="62"/>
  <c r="X447" i="62"/>
  <c r="Y447" i="62"/>
  <c r="U447" i="62"/>
  <c r="V447" i="62"/>
  <c r="S447" i="62"/>
  <c r="X446" i="62"/>
  <c r="Y446" i="62"/>
  <c r="U446" i="62"/>
  <c r="V446" i="62"/>
  <c r="S446" i="62"/>
  <c r="X445" i="62"/>
  <c r="Y445" i="62"/>
  <c r="U445" i="62"/>
  <c r="V445" i="62"/>
  <c r="S445" i="62"/>
  <c r="X444" i="62"/>
  <c r="Y444" i="62"/>
  <c r="U444" i="62"/>
  <c r="V444" i="62"/>
  <c r="S444" i="62"/>
  <c r="X443" i="62"/>
  <c r="Y443" i="62"/>
  <c r="U443" i="62"/>
  <c r="V443" i="62"/>
  <c r="S443" i="62"/>
  <c r="X442" i="62"/>
  <c r="Y442" i="62"/>
  <c r="U442" i="62"/>
  <c r="V442" i="62"/>
  <c r="S442" i="62"/>
  <c r="X441" i="62"/>
  <c r="Y441" i="62"/>
  <c r="U441" i="62"/>
  <c r="V441" i="62"/>
  <c r="S441" i="62"/>
  <c r="X440" i="62"/>
  <c r="Y440" i="62"/>
  <c r="U440" i="62"/>
  <c r="V440" i="62"/>
  <c r="S440" i="62"/>
  <c r="X439" i="62"/>
  <c r="Y439" i="62"/>
  <c r="U439" i="62"/>
  <c r="V439" i="62"/>
  <c r="S439" i="62"/>
  <c r="X438" i="62"/>
  <c r="Y438" i="62"/>
  <c r="U438" i="62"/>
  <c r="V438" i="62"/>
  <c r="S438" i="62"/>
  <c r="X437" i="62"/>
  <c r="Y437" i="62"/>
  <c r="U437" i="62"/>
  <c r="V437" i="62"/>
  <c r="S437" i="62"/>
  <c r="X436" i="62"/>
  <c r="Y436" i="62"/>
  <c r="U436" i="62"/>
  <c r="V436" i="62"/>
  <c r="S436" i="62"/>
  <c r="X435" i="62"/>
  <c r="Y435" i="62"/>
  <c r="U435" i="62"/>
  <c r="V435" i="62"/>
  <c r="S435" i="62"/>
  <c r="X434" i="62"/>
  <c r="Y434" i="62"/>
  <c r="U434" i="62"/>
  <c r="V434" i="62"/>
  <c r="S434" i="62"/>
  <c r="X433" i="62"/>
  <c r="Y433" i="62"/>
  <c r="U433" i="62"/>
  <c r="V433" i="62"/>
  <c r="S433" i="62"/>
  <c r="X432" i="62"/>
  <c r="Y432" i="62"/>
  <c r="U432" i="62"/>
  <c r="V432" i="62"/>
  <c r="S432" i="62"/>
  <c r="X431" i="62"/>
  <c r="Y431" i="62"/>
  <c r="U431" i="62"/>
  <c r="V431" i="62"/>
  <c r="S431" i="62"/>
  <c r="X430" i="62"/>
  <c r="Y430" i="62"/>
  <c r="U430" i="62"/>
  <c r="V430" i="62"/>
  <c r="S430" i="62"/>
  <c r="X429" i="62"/>
  <c r="Y429" i="62"/>
  <c r="U429" i="62"/>
  <c r="V429" i="62"/>
  <c r="S429" i="62"/>
  <c r="X428" i="62"/>
  <c r="Y428" i="62"/>
  <c r="U428" i="62"/>
  <c r="V428" i="62"/>
  <c r="S428" i="62"/>
  <c r="X427" i="62"/>
  <c r="Y427" i="62"/>
  <c r="U427" i="62"/>
  <c r="V427" i="62"/>
  <c r="S427" i="62"/>
  <c r="X426" i="62"/>
  <c r="Y426" i="62"/>
  <c r="U426" i="62"/>
  <c r="V426" i="62"/>
  <c r="S426" i="62"/>
  <c r="X425" i="62"/>
  <c r="Y425" i="62"/>
  <c r="U425" i="62"/>
  <c r="V425" i="62"/>
  <c r="S425" i="62"/>
  <c r="X424" i="62"/>
  <c r="Y424" i="62"/>
  <c r="U424" i="62"/>
  <c r="V424" i="62"/>
  <c r="S424" i="62"/>
  <c r="X423" i="62"/>
  <c r="Y423" i="62"/>
  <c r="U423" i="62"/>
  <c r="V423" i="62"/>
  <c r="S423" i="62"/>
  <c r="X422" i="62"/>
  <c r="Y422" i="62"/>
  <c r="U422" i="62"/>
  <c r="V422" i="62"/>
  <c r="S422" i="62"/>
  <c r="X421" i="62"/>
  <c r="Y421" i="62"/>
  <c r="U421" i="62"/>
  <c r="V421" i="62"/>
  <c r="S421" i="62"/>
  <c r="X420" i="62"/>
  <c r="Y420" i="62"/>
  <c r="U420" i="62"/>
  <c r="V420" i="62"/>
  <c r="S420" i="62"/>
  <c r="X419" i="62"/>
  <c r="Y419" i="62"/>
  <c r="U419" i="62"/>
  <c r="V419" i="62"/>
  <c r="S419" i="62"/>
  <c r="X418" i="62"/>
  <c r="Y418" i="62"/>
  <c r="U418" i="62"/>
  <c r="V418" i="62"/>
  <c r="S418" i="62"/>
  <c r="X417" i="62"/>
  <c r="Y417" i="62"/>
  <c r="U417" i="62"/>
  <c r="V417" i="62"/>
  <c r="S417" i="62"/>
  <c r="X416" i="62"/>
  <c r="Y416" i="62"/>
  <c r="U416" i="62"/>
  <c r="V416" i="62"/>
  <c r="S416" i="62"/>
  <c r="X415" i="62"/>
  <c r="Y415" i="62"/>
  <c r="U415" i="62"/>
  <c r="V415" i="62"/>
  <c r="S415" i="62"/>
  <c r="X414" i="62"/>
  <c r="Y414" i="62"/>
  <c r="U414" i="62"/>
  <c r="V414" i="62"/>
  <c r="S414" i="62"/>
  <c r="X413" i="62"/>
  <c r="Y413" i="62"/>
  <c r="U413" i="62"/>
  <c r="V413" i="62"/>
  <c r="S413" i="62"/>
  <c r="X412" i="62"/>
  <c r="Y412" i="62"/>
  <c r="U412" i="62"/>
  <c r="V412" i="62"/>
  <c r="S412" i="62"/>
  <c r="X411" i="62"/>
  <c r="Y411" i="62"/>
  <c r="U411" i="62"/>
  <c r="V411" i="62"/>
  <c r="S411" i="62"/>
  <c r="X410" i="62"/>
  <c r="Y410" i="62"/>
  <c r="U410" i="62"/>
  <c r="V410" i="62"/>
  <c r="S410" i="62"/>
  <c r="X409" i="62"/>
  <c r="Y409" i="62"/>
  <c r="U409" i="62"/>
  <c r="V409" i="62"/>
  <c r="S409" i="62"/>
  <c r="X408" i="62"/>
  <c r="Y408" i="62"/>
  <c r="U408" i="62"/>
  <c r="V408" i="62"/>
  <c r="S408" i="62"/>
  <c r="X407" i="62"/>
  <c r="Y407" i="62"/>
  <c r="U407" i="62"/>
  <c r="V407" i="62"/>
  <c r="S407" i="62"/>
  <c r="X406" i="62"/>
  <c r="Y406" i="62"/>
  <c r="U406" i="62"/>
  <c r="V406" i="62"/>
  <c r="S406" i="62"/>
  <c r="X405" i="62"/>
  <c r="Y405" i="62"/>
  <c r="U405" i="62"/>
  <c r="V405" i="62"/>
  <c r="S405" i="62"/>
  <c r="X404" i="62"/>
  <c r="Y404" i="62"/>
  <c r="U404" i="62"/>
  <c r="V404" i="62"/>
  <c r="S404" i="62"/>
  <c r="X403" i="62"/>
  <c r="Y403" i="62"/>
  <c r="U403" i="62"/>
  <c r="V403" i="62"/>
  <c r="S403" i="62"/>
  <c r="X402" i="62"/>
  <c r="Y402" i="62"/>
  <c r="U402" i="62"/>
  <c r="V402" i="62"/>
  <c r="S402" i="62"/>
  <c r="X401" i="62"/>
  <c r="Y401" i="62"/>
  <c r="U401" i="62"/>
  <c r="V401" i="62"/>
  <c r="S401" i="62"/>
  <c r="X400" i="62"/>
  <c r="Y400" i="62"/>
  <c r="U400" i="62"/>
  <c r="V400" i="62"/>
  <c r="S400" i="62"/>
  <c r="X399" i="62"/>
  <c r="Y399" i="62"/>
  <c r="U399" i="62"/>
  <c r="V399" i="62"/>
  <c r="S399" i="62"/>
  <c r="X398" i="62"/>
  <c r="Y398" i="62"/>
  <c r="U398" i="62"/>
  <c r="V398" i="62"/>
  <c r="S398" i="62"/>
  <c r="X397" i="62"/>
  <c r="Y397" i="62"/>
  <c r="U397" i="62"/>
  <c r="V397" i="62"/>
  <c r="S397" i="62"/>
  <c r="X396" i="62"/>
  <c r="Y396" i="62"/>
  <c r="U396" i="62"/>
  <c r="V396" i="62"/>
  <c r="S396" i="62"/>
  <c r="X395" i="62"/>
  <c r="Y395" i="62"/>
  <c r="U395" i="62"/>
  <c r="V395" i="62"/>
  <c r="S395" i="62"/>
  <c r="X394" i="62"/>
  <c r="Y394" i="62"/>
  <c r="U394" i="62"/>
  <c r="V394" i="62"/>
  <c r="S394" i="62"/>
  <c r="X393" i="62"/>
  <c r="Y393" i="62"/>
  <c r="U393" i="62"/>
  <c r="V393" i="62"/>
  <c r="S393" i="62"/>
  <c r="X392" i="62"/>
  <c r="Y392" i="62"/>
  <c r="U392" i="62"/>
  <c r="V392" i="62"/>
  <c r="S392" i="62"/>
  <c r="X391" i="62"/>
  <c r="Y391" i="62"/>
  <c r="U391" i="62"/>
  <c r="V391" i="62"/>
  <c r="S391" i="62"/>
  <c r="X390" i="62"/>
  <c r="Y390" i="62"/>
  <c r="U390" i="62"/>
  <c r="V390" i="62"/>
  <c r="S390" i="62"/>
  <c r="X389" i="62"/>
  <c r="Y389" i="62"/>
  <c r="U389" i="62"/>
  <c r="V389" i="62"/>
  <c r="S389" i="62"/>
  <c r="X388" i="62"/>
  <c r="Y388" i="62"/>
  <c r="U388" i="62"/>
  <c r="V388" i="62"/>
  <c r="S388" i="62"/>
  <c r="X387" i="62"/>
  <c r="Y387" i="62"/>
  <c r="U387" i="62"/>
  <c r="V387" i="62"/>
  <c r="S387" i="62"/>
  <c r="X386" i="62"/>
  <c r="Y386" i="62"/>
  <c r="U386" i="62"/>
  <c r="V386" i="62"/>
  <c r="S386" i="62"/>
  <c r="X385" i="62"/>
  <c r="Y385" i="62"/>
  <c r="U385" i="62"/>
  <c r="V385" i="62"/>
  <c r="S385" i="62"/>
  <c r="X384" i="62"/>
  <c r="Y384" i="62"/>
  <c r="U384" i="62"/>
  <c r="V384" i="62"/>
  <c r="S384" i="62"/>
  <c r="M383" i="62"/>
  <c r="T4" i="59"/>
  <c r="T4" i="57"/>
  <c r="X85" i="59"/>
  <c r="Y85" i="59"/>
  <c r="U85" i="59"/>
  <c r="V85" i="59"/>
  <c r="S85" i="59"/>
  <c r="Y84" i="59"/>
  <c r="X84" i="59"/>
  <c r="U84" i="59"/>
  <c r="V84" i="59"/>
  <c r="S84" i="59"/>
  <c r="X83" i="59"/>
  <c r="Y83" i="59"/>
  <c r="U83" i="59"/>
  <c r="V83" i="59"/>
  <c r="S83" i="59"/>
  <c r="X82" i="59"/>
  <c r="Y82" i="59"/>
  <c r="V82" i="59"/>
  <c r="U82" i="59"/>
  <c r="S82" i="59"/>
  <c r="X81" i="59"/>
  <c r="Y81" i="59"/>
  <c r="U81" i="59"/>
  <c r="V81" i="59"/>
  <c r="S81" i="59"/>
  <c r="Y80" i="59"/>
  <c r="X80" i="59"/>
  <c r="U80" i="59"/>
  <c r="V80" i="59"/>
  <c r="S80" i="59"/>
  <c r="X79" i="59"/>
  <c r="Y79" i="59"/>
  <c r="Y78" i="59"/>
  <c r="U79" i="59"/>
  <c r="V79" i="59"/>
  <c r="S79" i="59"/>
  <c r="M78" i="59"/>
  <c r="L78" i="59"/>
  <c r="X128" i="57"/>
  <c r="Y128" i="57"/>
  <c r="U128" i="57"/>
  <c r="V128" i="57"/>
  <c r="S128" i="57"/>
  <c r="X127" i="57"/>
  <c r="Y127" i="57"/>
  <c r="U127" i="57"/>
  <c r="V127" i="57"/>
  <c r="S127" i="57"/>
  <c r="X126" i="57"/>
  <c r="Y126" i="57"/>
  <c r="U126" i="57"/>
  <c r="V126" i="57"/>
  <c r="S126" i="57"/>
  <c r="X125" i="57"/>
  <c r="Y125" i="57"/>
  <c r="U125" i="57"/>
  <c r="V125" i="57"/>
  <c r="S125" i="57"/>
  <c r="X124" i="57"/>
  <c r="Y124" i="57"/>
  <c r="U124" i="57"/>
  <c r="V124" i="57"/>
  <c r="S124" i="57"/>
  <c r="X123" i="57"/>
  <c r="Y123" i="57"/>
  <c r="U123" i="57"/>
  <c r="V123" i="57"/>
  <c r="S123" i="57"/>
  <c r="X122" i="57"/>
  <c r="Y122" i="57"/>
  <c r="U122" i="57"/>
  <c r="V122" i="57"/>
  <c r="S122" i="57"/>
  <c r="X121" i="57"/>
  <c r="Y121" i="57"/>
  <c r="U121" i="57"/>
  <c r="V121" i="57"/>
  <c r="S121" i="57"/>
  <c r="X120" i="57"/>
  <c r="Y120" i="57"/>
  <c r="U120" i="57"/>
  <c r="V120" i="57"/>
  <c r="S120" i="57"/>
  <c r="X119" i="57"/>
  <c r="Y119" i="57"/>
  <c r="U119" i="57"/>
  <c r="V119" i="57"/>
  <c r="S119" i="57"/>
  <c r="X118" i="57"/>
  <c r="Y118" i="57"/>
  <c r="U118" i="57"/>
  <c r="V118" i="57"/>
  <c r="S118" i="57"/>
  <c r="X117" i="57"/>
  <c r="Y117" i="57"/>
  <c r="U117" i="57"/>
  <c r="V117" i="57"/>
  <c r="S117" i="57"/>
  <c r="X116" i="57"/>
  <c r="Y116" i="57"/>
  <c r="U116" i="57"/>
  <c r="V116" i="57"/>
  <c r="S116" i="57"/>
  <c r="X115" i="57"/>
  <c r="Y115" i="57"/>
  <c r="U115" i="57"/>
  <c r="V115" i="57"/>
  <c r="S115" i="57"/>
  <c r="X114" i="57"/>
  <c r="Y114" i="57"/>
  <c r="U114" i="57"/>
  <c r="V114" i="57"/>
  <c r="S114" i="57"/>
  <c r="X113" i="57"/>
  <c r="Y113" i="57"/>
  <c r="U113" i="57"/>
  <c r="V113" i="57"/>
  <c r="S113" i="57"/>
  <c r="X112" i="57"/>
  <c r="Y112" i="57"/>
  <c r="U112" i="57"/>
  <c r="V112" i="57"/>
  <c r="S112" i="57"/>
  <c r="X111" i="57"/>
  <c r="Y111" i="57"/>
  <c r="U111" i="57"/>
  <c r="V111" i="57"/>
  <c r="S111" i="57"/>
  <c r="X110" i="57"/>
  <c r="Y110" i="57"/>
  <c r="U110" i="57"/>
  <c r="V110" i="57"/>
  <c r="S110" i="57"/>
  <c r="X109" i="57"/>
  <c r="Y109" i="57"/>
  <c r="U109" i="57"/>
  <c r="V109" i="57"/>
  <c r="S109" i="57"/>
  <c r="X108" i="57"/>
  <c r="Y108" i="57"/>
  <c r="U108" i="57"/>
  <c r="V108" i="57"/>
  <c r="S108" i="57"/>
  <c r="X107" i="57"/>
  <c r="Y107" i="57"/>
  <c r="U107" i="57"/>
  <c r="V107" i="57"/>
  <c r="S107" i="57"/>
  <c r="X106" i="57"/>
  <c r="Y106" i="57"/>
  <c r="U106" i="57"/>
  <c r="V106" i="57"/>
  <c r="S106" i="57"/>
  <c r="X105" i="57"/>
  <c r="Y105" i="57"/>
  <c r="U105" i="57"/>
  <c r="V105" i="57"/>
  <c r="S105" i="57"/>
  <c r="X104" i="57"/>
  <c r="Y104" i="57"/>
  <c r="U104" i="57"/>
  <c r="V104" i="57"/>
  <c r="S104" i="57"/>
  <c r="X103" i="57"/>
  <c r="Y103" i="57"/>
  <c r="U103" i="57"/>
  <c r="V103" i="57"/>
  <c r="S103" i="57"/>
  <c r="X102" i="57"/>
  <c r="Y102" i="57"/>
  <c r="U102" i="57"/>
  <c r="V102" i="57"/>
  <c r="S102" i="57"/>
  <c r="X101" i="57"/>
  <c r="Y101" i="57"/>
  <c r="U101" i="57"/>
  <c r="V101" i="57"/>
  <c r="S101" i="57"/>
  <c r="X100" i="57"/>
  <c r="Y100" i="57"/>
  <c r="U100" i="57"/>
  <c r="V100" i="57"/>
  <c r="S100" i="57"/>
  <c r="X99" i="57"/>
  <c r="Y99" i="57"/>
  <c r="U99" i="57"/>
  <c r="V99" i="57"/>
  <c r="S99" i="57"/>
  <c r="X98" i="57"/>
  <c r="Y98" i="57"/>
  <c r="U98" i="57"/>
  <c r="V98" i="57"/>
  <c r="S98" i="57"/>
  <c r="X97" i="57"/>
  <c r="Y97" i="57"/>
  <c r="U97" i="57"/>
  <c r="V97" i="57"/>
  <c r="S97" i="57"/>
  <c r="X96" i="57"/>
  <c r="Y96" i="57"/>
  <c r="U96" i="57"/>
  <c r="V96" i="57"/>
  <c r="S96" i="57"/>
  <c r="X95" i="57"/>
  <c r="Y95" i="57"/>
  <c r="U95" i="57"/>
  <c r="V95" i="57"/>
  <c r="S95" i="57"/>
  <c r="X94" i="57"/>
  <c r="Y94" i="57"/>
  <c r="U94" i="57"/>
  <c r="V94" i="57"/>
  <c r="S94" i="57"/>
  <c r="X93" i="57"/>
  <c r="Y93" i="57"/>
  <c r="U93" i="57"/>
  <c r="V93" i="57"/>
  <c r="S93" i="57"/>
  <c r="X92" i="57"/>
  <c r="Y92" i="57"/>
  <c r="U92" i="57"/>
  <c r="V92" i="57"/>
  <c r="S92" i="57"/>
  <c r="X91" i="57"/>
  <c r="Y91" i="57"/>
  <c r="U91" i="57"/>
  <c r="S91" i="57"/>
  <c r="M90" i="57"/>
  <c r="U90" i="57"/>
  <c r="X90" i="57"/>
  <c r="Y78" i="74"/>
  <c r="X78" i="74"/>
  <c r="V79" i="74"/>
  <c r="V78" i="74"/>
  <c r="V79" i="72"/>
  <c r="Y79" i="72"/>
  <c r="W79" i="72"/>
  <c r="V79" i="70"/>
  <c r="Y79" i="70"/>
  <c r="W79" i="70"/>
  <c r="T79" i="70"/>
  <c r="L383" i="62"/>
  <c r="U383" i="62"/>
  <c r="L90" i="57"/>
  <c r="Y90" i="57"/>
  <c r="Y383" i="62"/>
  <c r="V383" i="62"/>
  <c r="X383" i="62"/>
  <c r="V91" i="57"/>
  <c r="V90" i="57"/>
  <c r="V78" i="59"/>
  <c r="U78" i="59"/>
  <c r="X78" i="59"/>
  <c r="D36" i="55"/>
  <c r="E36" i="55"/>
  <c r="C36" i="55"/>
  <c r="C37" i="51"/>
  <c r="C39" i="51"/>
  <c r="D37" i="50"/>
  <c r="C37" i="49"/>
  <c r="C40" i="49"/>
  <c r="D37" i="55"/>
  <c r="E37" i="55"/>
  <c r="D38" i="51"/>
  <c r="D37" i="51"/>
  <c r="E37" i="51"/>
  <c r="R5" i="55"/>
  <c r="P6" i="55"/>
  <c r="P5" i="55"/>
  <c r="O6" i="55"/>
  <c r="O5" i="55"/>
  <c r="N6" i="55"/>
  <c r="N5" i="55"/>
  <c r="M6" i="55"/>
  <c r="M5" i="55"/>
  <c r="L6" i="55"/>
  <c r="L5" i="55"/>
  <c r="K6" i="55"/>
  <c r="K5" i="55"/>
  <c r="I6" i="55"/>
  <c r="J5" i="55"/>
  <c r="J4" i="55"/>
  <c r="I5" i="55"/>
  <c r="H6" i="55"/>
  <c r="H5" i="55"/>
  <c r="C47" i="55"/>
  <c r="E44" i="55"/>
  <c r="D44" i="55"/>
  <c r="C44" i="55"/>
  <c r="E34" i="55"/>
  <c r="E32" i="55"/>
  <c r="E30" i="55"/>
  <c r="E27" i="55"/>
  <c r="E25" i="55"/>
  <c r="D25" i="55"/>
  <c r="C25" i="55"/>
  <c r="E17" i="55"/>
  <c r="E15" i="55"/>
  <c r="E14" i="55"/>
  <c r="E13" i="55"/>
  <c r="D15" i="55"/>
  <c r="C15" i="55"/>
  <c r="O6" i="54"/>
  <c r="O4" i="54"/>
  <c r="N6" i="54"/>
  <c r="N4" i="54"/>
  <c r="L6" i="54"/>
  <c r="L4" i="54"/>
  <c r="K6" i="54"/>
  <c r="K4" i="54"/>
  <c r="I6" i="54"/>
  <c r="I4" i="54"/>
  <c r="E47" i="54"/>
  <c r="D47" i="54"/>
  <c r="M6" i="54"/>
  <c r="C47" i="54"/>
  <c r="M4" i="54"/>
  <c r="E46" i="54"/>
  <c r="E45" i="54"/>
  <c r="O6" i="53"/>
  <c r="O4" i="53"/>
  <c r="N6" i="53"/>
  <c r="N4" i="53"/>
  <c r="M4" i="53"/>
  <c r="D47" i="53"/>
  <c r="E47" i="53"/>
  <c r="C47" i="53"/>
  <c r="E46" i="53"/>
  <c r="E45" i="53"/>
  <c r="L6" i="53"/>
  <c r="L4" i="53"/>
  <c r="K6" i="53"/>
  <c r="K4" i="53"/>
  <c r="I6" i="53"/>
  <c r="I4" i="53"/>
  <c r="E16" i="53"/>
  <c r="P6" i="51"/>
  <c r="P5" i="51"/>
  <c r="O6" i="51"/>
  <c r="O5" i="51"/>
  <c r="N6" i="51"/>
  <c r="N5" i="51"/>
  <c r="M6" i="51"/>
  <c r="M5" i="51"/>
  <c r="L6" i="51"/>
  <c r="L5" i="51"/>
  <c r="K6" i="51"/>
  <c r="K5" i="51"/>
  <c r="I6" i="51"/>
  <c r="I5" i="51"/>
  <c r="H6" i="51"/>
  <c r="H5" i="51"/>
  <c r="E38" i="51"/>
  <c r="C38" i="51"/>
  <c r="E47" i="51"/>
  <c r="D47" i="51"/>
  <c r="C47" i="51"/>
  <c r="E16" i="51"/>
  <c r="D16" i="51"/>
  <c r="C16" i="51"/>
  <c r="I4" i="50"/>
  <c r="H4" i="50"/>
  <c r="C39" i="50"/>
  <c r="E28" i="50"/>
  <c r="O6" i="50"/>
  <c r="O4" i="50"/>
  <c r="N6" i="50"/>
  <c r="N4" i="50"/>
  <c r="D33" i="50"/>
  <c r="C33" i="50"/>
  <c r="E33" i="50"/>
  <c r="L4" i="50"/>
  <c r="I6" i="50"/>
  <c r="H6" i="50"/>
  <c r="D26" i="50"/>
  <c r="L6" i="50"/>
  <c r="C26" i="50"/>
  <c r="D16" i="50"/>
  <c r="D39" i="50"/>
  <c r="D49" i="50"/>
  <c r="M6" i="50"/>
  <c r="C49" i="50"/>
  <c r="M4" i="50"/>
  <c r="O6" i="49"/>
  <c r="O4" i="49"/>
  <c r="K6" i="49"/>
  <c r="K4" i="49"/>
  <c r="I6" i="49"/>
  <c r="I4" i="49"/>
  <c r="H4" i="49"/>
  <c r="C49" i="49"/>
  <c r="M4" i="49"/>
  <c r="C16" i="50"/>
  <c r="C37" i="50"/>
  <c r="D16" i="49"/>
  <c r="H6" i="49"/>
  <c r="C16" i="49"/>
  <c r="E16" i="49"/>
  <c r="I6" i="48"/>
  <c r="I4" i="48"/>
  <c r="D29" i="48"/>
  <c r="C29" i="48"/>
  <c r="I6" i="47"/>
  <c r="I4" i="47"/>
  <c r="O6" i="47"/>
  <c r="O4" i="47"/>
  <c r="N6" i="47"/>
  <c r="N4" i="47"/>
  <c r="L6" i="47"/>
  <c r="L4" i="47"/>
  <c r="K6" i="47"/>
  <c r="K4" i="47"/>
  <c r="D49" i="49"/>
  <c r="M6" i="49"/>
  <c r="E21" i="48"/>
  <c r="C19" i="48"/>
  <c r="C41" i="48"/>
  <c r="D19" i="48"/>
  <c r="D41" i="48"/>
  <c r="E17" i="48"/>
  <c r="D43" i="48"/>
  <c r="M6" i="53"/>
  <c r="E37" i="50"/>
  <c r="C40" i="50"/>
  <c r="J4" i="50"/>
  <c r="E26" i="50"/>
  <c r="D39" i="49"/>
  <c r="E39" i="49"/>
  <c r="D37" i="49"/>
  <c r="H4" i="48"/>
  <c r="H6" i="48"/>
  <c r="E38" i="55"/>
  <c r="J5" i="51"/>
  <c r="C49" i="51"/>
  <c r="J4" i="49"/>
  <c r="E39" i="51"/>
  <c r="E40" i="50"/>
  <c r="D40" i="50"/>
  <c r="J6" i="50"/>
  <c r="D40" i="49"/>
  <c r="E19" i="48"/>
  <c r="D13" i="68"/>
  <c r="D35" i="68"/>
  <c r="D37" i="64"/>
  <c r="C16" i="64"/>
  <c r="E17" i="64"/>
  <c r="D16" i="64"/>
  <c r="D13" i="55"/>
  <c r="D38" i="55"/>
  <c r="E43" i="48"/>
  <c r="E39" i="50"/>
  <c r="E43" i="50"/>
  <c r="E34" i="114"/>
  <c r="F34" i="114"/>
  <c r="E34" i="95"/>
  <c r="F34" i="95"/>
  <c r="E37" i="93"/>
  <c r="F37" i="93"/>
  <c r="E34" i="91"/>
  <c r="F34" i="91"/>
  <c r="E34" i="89"/>
  <c r="F34" i="89"/>
  <c r="E34" i="88"/>
  <c r="F34" i="88"/>
  <c r="F34" i="83"/>
  <c r="E34" i="81"/>
  <c r="F34" i="81"/>
  <c r="E34" i="79"/>
  <c r="F34" i="79"/>
  <c r="E34" i="78"/>
  <c r="E33" i="78"/>
  <c r="E34" i="76"/>
  <c r="E33" i="76"/>
  <c r="F33" i="76"/>
  <c r="E34" i="73"/>
  <c r="E33" i="73"/>
  <c r="F33" i="73"/>
  <c r="E34" i="44"/>
  <c r="E33" i="44"/>
  <c r="F33" i="44"/>
  <c r="E34" i="40"/>
  <c r="E33" i="40"/>
  <c r="F33" i="35"/>
  <c r="E34" i="35"/>
  <c r="E33" i="35"/>
  <c r="E34" i="34"/>
  <c r="E33" i="34"/>
  <c r="F33" i="34"/>
  <c r="F33" i="28"/>
  <c r="E34" i="28"/>
  <c r="E33" i="28"/>
  <c r="E29" i="25"/>
  <c r="E34" i="25"/>
  <c r="E33" i="25"/>
  <c r="F33" i="25"/>
  <c r="F34" i="25"/>
  <c r="F35" i="22"/>
  <c r="D37" i="22"/>
  <c r="E37" i="22"/>
  <c r="D34" i="68"/>
  <c r="D36" i="68"/>
  <c r="E35" i="68"/>
  <c r="D38" i="64"/>
  <c r="E38" i="64"/>
  <c r="J6" i="55"/>
  <c r="R6" i="55"/>
  <c r="D47" i="55"/>
  <c r="E47" i="55"/>
  <c r="J6" i="49"/>
  <c r="D39" i="51"/>
  <c r="F33" i="40"/>
  <c r="F37" i="22"/>
  <c r="D39" i="64"/>
  <c r="D49" i="51"/>
  <c r="E49" i="51"/>
  <c r="J6" i="51"/>
  <c r="F51" i="103"/>
  <c r="F52" i="88"/>
  <c r="E94" i="2"/>
  <c r="E93" i="2"/>
  <c r="E83" i="2"/>
  <c r="E84" i="2"/>
  <c r="E85" i="2"/>
  <c r="E86" i="2"/>
  <c r="E87" i="2"/>
  <c r="E82" i="2"/>
  <c r="E65" i="2"/>
  <c r="E66" i="2"/>
  <c r="E67" i="2"/>
  <c r="E68" i="2"/>
  <c r="E69" i="2"/>
  <c r="E70" i="2"/>
  <c r="E71" i="2"/>
  <c r="E72" i="2"/>
  <c r="E73" i="2"/>
  <c r="E74" i="2"/>
  <c r="E75" i="2"/>
  <c r="E76" i="2"/>
  <c r="E64" i="2"/>
  <c r="E58" i="2"/>
  <c r="E57" i="2"/>
  <c r="E51" i="2"/>
  <c r="E50" i="2"/>
  <c r="E29" i="2"/>
  <c r="E30" i="2"/>
  <c r="E31" i="2"/>
  <c r="E32" i="2"/>
  <c r="E33" i="2"/>
  <c r="E34" i="2"/>
  <c r="E35" i="2"/>
  <c r="E36" i="2"/>
  <c r="E37" i="2"/>
  <c r="E38" i="2"/>
  <c r="E39" i="2"/>
  <c r="E40" i="2"/>
  <c r="E41" i="2"/>
  <c r="E42" i="2"/>
  <c r="E43" i="2"/>
  <c r="E44" i="2"/>
  <c r="E28" i="2"/>
  <c r="E8" i="2"/>
  <c r="E9" i="2"/>
  <c r="E10" i="2"/>
  <c r="E11" i="2"/>
  <c r="E12" i="2"/>
  <c r="E13" i="2"/>
  <c r="E14" i="2"/>
  <c r="E15" i="2"/>
  <c r="E16" i="2"/>
  <c r="E17" i="2"/>
  <c r="E18" i="2"/>
  <c r="E19" i="2"/>
  <c r="E20" i="2"/>
  <c r="E21" i="2"/>
  <c r="E22" i="2"/>
  <c r="E7" i="2"/>
  <c r="D94" i="2"/>
  <c r="D93" i="2"/>
  <c r="D83" i="2"/>
  <c r="D84" i="2"/>
  <c r="D85" i="2"/>
  <c r="D86" i="2"/>
  <c r="D87" i="2"/>
  <c r="D82" i="2"/>
  <c r="D65" i="2"/>
  <c r="D66" i="2"/>
  <c r="D67" i="2"/>
  <c r="D68" i="2"/>
  <c r="D69" i="2"/>
  <c r="D70" i="2"/>
  <c r="D71" i="2"/>
  <c r="D72" i="2"/>
  <c r="D73" i="2"/>
  <c r="D74" i="2"/>
  <c r="D75" i="2"/>
  <c r="D76" i="2"/>
  <c r="D64" i="2"/>
  <c r="D58" i="2"/>
  <c r="D57" i="2"/>
  <c r="D51" i="2"/>
  <c r="D50" i="2"/>
  <c r="D29" i="2"/>
  <c r="D30" i="2"/>
  <c r="D31" i="2"/>
  <c r="D32" i="2"/>
  <c r="D33" i="2"/>
  <c r="D34" i="2"/>
  <c r="D35" i="2"/>
  <c r="D36" i="2"/>
  <c r="D37" i="2"/>
  <c r="D38" i="2"/>
  <c r="D39" i="2"/>
  <c r="D40" i="2"/>
  <c r="D41" i="2"/>
  <c r="D42" i="2"/>
  <c r="D43" i="2"/>
  <c r="D44" i="2"/>
  <c r="D28" i="2"/>
  <c r="D8" i="2"/>
  <c r="D9" i="2"/>
  <c r="D10" i="2"/>
  <c r="D11" i="2"/>
  <c r="D12" i="2"/>
  <c r="D13" i="2"/>
  <c r="D14" i="2"/>
  <c r="D15" i="2"/>
  <c r="D16" i="2"/>
  <c r="D17" i="2"/>
  <c r="D18" i="2"/>
  <c r="D19" i="2"/>
  <c r="D20" i="2"/>
  <c r="D21" i="2"/>
  <c r="D22" i="2"/>
  <c r="D7" i="2"/>
  <c r="M59" i="2"/>
  <c r="M95" i="2"/>
  <c r="O94" i="2"/>
  <c r="O95" i="2"/>
  <c r="O93" i="2"/>
  <c r="O86" i="2"/>
  <c r="O58" i="2"/>
  <c r="O57" i="2"/>
  <c r="O59" i="2"/>
  <c r="O29" i="2"/>
  <c r="O32" i="2"/>
  <c r="O34" i="2"/>
  <c r="O35" i="2"/>
  <c r="O37" i="2"/>
  <c r="O41" i="2"/>
  <c r="O14" i="2"/>
  <c r="O20" i="2"/>
  <c r="N31" i="2"/>
  <c r="N19" i="2"/>
  <c r="N15" i="2"/>
  <c r="N12" i="2"/>
  <c r="N9" i="2"/>
  <c r="N8" i="2"/>
  <c r="J36" i="2"/>
  <c r="R36" i="2"/>
  <c r="J32" i="2"/>
  <c r="R32" i="2"/>
  <c r="J19" i="2"/>
  <c r="M28" i="2"/>
  <c r="I36" i="2"/>
  <c r="I34" i="2"/>
  <c r="I32" i="2"/>
  <c r="B26" i="78"/>
  <c r="B23" i="77"/>
  <c r="B22" i="77"/>
  <c r="B26" i="76"/>
  <c r="B23" i="75"/>
  <c r="B22" i="75"/>
  <c r="B22" i="74"/>
  <c r="B26" i="74"/>
  <c r="N40" i="2"/>
  <c r="B22" i="73"/>
  <c r="B26" i="73"/>
  <c r="N39" i="2"/>
  <c r="B22" i="72"/>
  <c r="B26" i="72"/>
  <c r="N38" i="2"/>
  <c r="B22" i="71"/>
  <c r="B26" i="71"/>
  <c r="N44" i="2"/>
  <c r="B22" i="70"/>
  <c r="B26" i="70"/>
  <c r="N43" i="2"/>
  <c r="B22" i="69"/>
  <c r="B26" i="69"/>
  <c r="N42" i="2"/>
  <c r="B22" i="67"/>
  <c r="B26" i="67"/>
  <c r="N33" i="2"/>
  <c r="H18" i="66"/>
  <c r="H17" i="66"/>
  <c r="M31" i="2"/>
  <c r="O31" i="2"/>
  <c r="H17" i="65"/>
  <c r="N30" i="2"/>
  <c r="H16" i="65"/>
  <c r="M30" i="2"/>
  <c r="O30" i="2"/>
  <c r="H18" i="64"/>
  <c r="N28" i="2"/>
  <c r="H17" i="64"/>
  <c r="B22" i="63"/>
  <c r="B26" i="63"/>
  <c r="J44" i="2"/>
  <c r="B26" i="62"/>
  <c r="J43" i="2"/>
  <c r="B22" i="61"/>
  <c r="B26" i="61"/>
  <c r="J42" i="2" s="1"/>
  <c r="B26" i="60"/>
  <c r="J41" i="2"/>
  <c r="R41" i="2"/>
  <c r="B22" i="59"/>
  <c r="B26" i="59"/>
  <c r="J40" i="2"/>
  <c r="B26" i="58"/>
  <c r="J39" i="2"/>
  <c r="B23" i="57"/>
  <c r="B22" i="57"/>
  <c r="B22" i="56"/>
  <c r="B26" i="56"/>
  <c r="J37" i="2"/>
  <c r="R37" i="2"/>
  <c r="K16" i="54"/>
  <c r="J34" i="2"/>
  <c r="R34" i="2"/>
  <c r="K15" i="54"/>
  <c r="K16" i="53"/>
  <c r="J35" i="2"/>
  <c r="R35" i="2"/>
  <c r="K15" i="53"/>
  <c r="I35" i="2"/>
  <c r="B22" i="52"/>
  <c r="B26" i="52"/>
  <c r="J33" i="2"/>
  <c r="H18" i="50"/>
  <c r="J31" i="2"/>
  <c r="H15" i="50"/>
  <c r="I31" i="2"/>
  <c r="H18" i="49"/>
  <c r="J30" i="2"/>
  <c r="H15" i="49"/>
  <c r="I30" i="2"/>
  <c r="H19" i="48"/>
  <c r="J29" i="2"/>
  <c r="R29" i="2"/>
  <c r="H21" i="48"/>
  <c r="I29" i="2"/>
  <c r="H21" i="47"/>
  <c r="J28" i="2"/>
  <c r="H17" i="47"/>
  <c r="I28" i="2"/>
  <c r="B23" i="46"/>
  <c r="B27" i="46"/>
  <c r="N22" i="2"/>
  <c r="B23" i="45"/>
  <c r="B22" i="45"/>
  <c r="B22" i="43"/>
  <c r="B26" i="43"/>
  <c r="N18" i="2"/>
  <c r="B22" i="42"/>
  <c r="B26" i="42"/>
  <c r="N16" i="2"/>
  <c r="B22" i="41"/>
  <c r="B26" i="41"/>
  <c r="N17" i="2"/>
  <c r="B23" i="38"/>
  <c r="B22" i="38"/>
  <c r="B21" i="36"/>
  <c r="B25" i="36"/>
  <c r="N10" i="2"/>
  <c r="B29" i="32"/>
  <c r="B28" i="32"/>
  <c r="B23" i="31"/>
  <c r="B27" i="31"/>
  <c r="J22" i="2"/>
  <c r="B23" i="30"/>
  <c r="B22" i="30"/>
  <c r="B22" i="29"/>
  <c r="B26" i="29"/>
  <c r="J20" i="2"/>
  <c r="R20" i="2"/>
  <c r="B22" i="27"/>
  <c r="B26" i="27"/>
  <c r="J18" i="2"/>
  <c r="B22" i="26"/>
  <c r="B26" i="26"/>
  <c r="J16" i="2"/>
  <c r="B23" i="24"/>
  <c r="B22" i="24"/>
  <c r="B23" i="23"/>
  <c r="B22" i="23"/>
  <c r="B22" i="22"/>
  <c r="B26" i="22"/>
  <c r="J17" i="2"/>
  <c r="B23" i="21"/>
  <c r="B22" i="21"/>
  <c r="B23" i="20"/>
  <c r="B22" i="20"/>
  <c r="B22" i="19"/>
  <c r="B26" i="19"/>
  <c r="J11" i="2"/>
  <c r="B22" i="18"/>
  <c r="B26" i="18"/>
  <c r="J10" i="2"/>
  <c r="B22" i="16"/>
  <c r="B26" i="16"/>
  <c r="J8" i="2"/>
  <c r="B26" i="38"/>
  <c r="N13" i="2"/>
  <c r="K35" i="2"/>
  <c r="K29" i="2"/>
  <c r="R31" i="2"/>
  <c r="R30" i="2"/>
  <c r="K36" i="2"/>
  <c r="K34" i="2"/>
  <c r="R19" i="2"/>
  <c r="B26" i="24"/>
  <c r="J15" i="2"/>
  <c r="R15" i="2"/>
  <c r="R16" i="2"/>
  <c r="R17" i="2"/>
  <c r="B32" i="32"/>
  <c r="N7" i="2"/>
  <c r="B26" i="21"/>
  <c r="J13" i="2"/>
  <c r="R40" i="2"/>
  <c r="R44" i="2"/>
  <c r="R43" i="2"/>
  <c r="R18" i="2"/>
  <c r="K31" i="2"/>
  <c r="R8" i="2"/>
  <c r="R28" i="2"/>
  <c r="O28" i="2"/>
  <c r="K28" i="2"/>
  <c r="K30" i="2"/>
  <c r="K32" i="2"/>
  <c r="R10" i="2"/>
  <c r="R22" i="2"/>
  <c r="R33" i="2"/>
  <c r="R39" i="2"/>
  <c r="N45" i="2"/>
  <c r="B26" i="77"/>
  <c r="B26" i="75"/>
  <c r="B26" i="57"/>
  <c r="J38" i="2"/>
  <c r="R38" i="2"/>
  <c r="B26" i="45"/>
  <c r="N21" i="2"/>
  <c r="B26" i="30"/>
  <c r="J21" i="2"/>
  <c r="B26" i="23"/>
  <c r="J14" i="2"/>
  <c r="R14" i="2"/>
  <c r="B26" i="20"/>
  <c r="J12" i="2"/>
  <c r="R12" i="2"/>
  <c r="Q30" i="2"/>
  <c r="Q32" i="2"/>
  <c r="S32" i="2"/>
  <c r="Q35" i="2"/>
  <c r="S35" i="2"/>
  <c r="M36" i="2"/>
  <c r="O36" i="2"/>
  <c r="Q31" i="2"/>
  <c r="Q28" i="2"/>
  <c r="M19" i="2"/>
  <c r="O19" i="2"/>
  <c r="B20" i="42"/>
  <c r="M16" i="2"/>
  <c r="O16" i="2"/>
  <c r="M15" i="2"/>
  <c r="O15" i="2"/>
  <c r="M12" i="2"/>
  <c r="O12" i="2"/>
  <c r="M9" i="2"/>
  <c r="O9" i="2"/>
  <c r="M8" i="2"/>
  <c r="I58" i="2"/>
  <c r="Q34" i="2"/>
  <c r="S34" i="2"/>
  <c r="Q29" i="2"/>
  <c r="S29" i="2"/>
  <c r="I19" i="2"/>
  <c r="K19" i="2"/>
  <c r="B20" i="26"/>
  <c r="I16" i="2"/>
  <c r="K16" i="2"/>
  <c r="R13" i="2"/>
  <c r="S31" i="2"/>
  <c r="S30" i="2"/>
  <c r="R21" i="2"/>
  <c r="Q58" i="2"/>
  <c r="S58" i="2"/>
  <c r="K58" i="2"/>
  <c r="S28" i="2"/>
  <c r="O8" i="2"/>
  <c r="Q16" i="2"/>
  <c r="S16" i="2"/>
  <c r="Q36" i="2"/>
  <c r="S36" i="2"/>
  <c r="Q19" i="2"/>
  <c r="S19" i="2"/>
  <c r="P6" i="69"/>
  <c r="P4" i="69"/>
  <c r="I35" i="54"/>
  <c r="I53" i="54"/>
  <c r="I54" i="54"/>
  <c r="I35" i="53"/>
  <c r="I54" i="53"/>
  <c r="C12" i="53"/>
  <c r="E54" i="50"/>
  <c r="E54" i="49"/>
  <c r="C12" i="54"/>
  <c r="D12" i="54"/>
  <c r="I36" i="54"/>
  <c r="I37" i="54"/>
  <c r="I36" i="53"/>
  <c r="J45" i="47"/>
  <c r="J44" i="47"/>
  <c r="C17" i="54"/>
  <c r="D17" i="54"/>
  <c r="D18" i="54"/>
  <c r="D17" i="53"/>
  <c r="C17" i="53"/>
  <c r="I37" i="53"/>
  <c r="J46" i="47"/>
  <c r="J12" i="9"/>
  <c r="D41" i="54"/>
  <c r="E41" i="54"/>
  <c r="H6" i="54"/>
  <c r="E17" i="54"/>
  <c r="C18" i="54"/>
  <c r="D18" i="53"/>
  <c r="D41" i="53"/>
  <c r="D18" i="47"/>
  <c r="D19" i="47"/>
  <c r="C18" i="53"/>
  <c r="E17" i="53"/>
  <c r="E18" i="53"/>
  <c r="C18" i="47"/>
  <c r="C19" i="47"/>
  <c r="X186" i="62"/>
  <c r="U186" i="62"/>
  <c r="X185" i="62"/>
  <c r="U185" i="62"/>
  <c r="X184" i="62"/>
  <c r="U184" i="62"/>
  <c r="X183" i="62"/>
  <c r="U183" i="62"/>
  <c r="X182" i="62"/>
  <c r="U182" i="62"/>
  <c r="X181" i="62"/>
  <c r="U181" i="62"/>
  <c r="X180" i="62"/>
  <c r="U180" i="62"/>
  <c r="X179" i="62"/>
  <c r="U179" i="62"/>
  <c r="X178" i="62"/>
  <c r="U178" i="62"/>
  <c r="X177" i="62"/>
  <c r="U177" i="62"/>
  <c r="X176" i="62"/>
  <c r="U176" i="62"/>
  <c r="X175" i="62"/>
  <c r="U175" i="62"/>
  <c r="X174" i="62"/>
  <c r="U174" i="62"/>
  <c r="X173" i="62"/>
  <c r="U173" i="62"/>
  <c r="X172" i="62"/>
  <c r="U172" i="62"/>
  <c r="X171" i="62"/>
  <c r="U171" i="62"/>
  <c r="X170" i="62"/>
  <c r="U170" i="62"/>
  <c r="X169" i="62"/>
  <c r="U169" i="62"/>
  <c r="X168" i="62"/>
  <c r="U168" i="62"/>
  <c r="X167" i="62"/>
  <c r="U167" i="62"/>
  <c r="X166" i="62"/>
  <c r="U166" i="62"/>
  <c r="X165" i="62"/>
  <c r="U165" i="62"/>
  <c r="X164" i="62"/>
  <c r="U164" i="62"/>
  <c r="X163" i="62"/>
  <c r="U163" i="62"/>
  <c r="X162" i="62"/>
  <c r="U162" i="62"/>
  <c r="X161" i="62"/>
  <c r="U161" i="62"/>
  <c r="X160" i="62"/>
  <c r="U160" i="62"/>
  <c r="X159" i="62"/>
  <c r="U159" i="62"/>
  <c r="X158" i="62"/>
  <c r="U158" i="62"/>
  <c r="X157" i="62"/>
  <c r="U157" i="62"/>
  <c r="X156" i="62"/>
  <c r="U156" i="62"/>
  <c r="X155" i="62"/>
  <c r="U155" i="62"/>
  <c r="X154" i="62"/>
  <c r="U154" i="62"/>
  <c r="X153" i="62"/>
  <c r="U153" i="62"/>
  <c r="X152" i="62"/>
  <c r="U152" i="62"/>
  <c r="X151" i="62"/>
  <c r="U151" i="62"/>
  <c r="H4" i="54"/>
  <c r="H4" i="53"/>
  <c r="D43" i="47"/>
  <c r="D45" i="47"/>
  <c r="H6" i="47"/>
  <c r="H4" i="47"/>
  <c r="C43" i="47"/>
  <c r="H6" i="53"/>
  <c r="E41" i="53"/>
  <c r="U48" i="72"/>
  <c r="X53" i="57"/>
  <c r="U53" i="57"/>
  <c r="E22" i="37"/>
  <c r="D22" i="37"/>
  <c r="B22" i="37"/>
  <c r="B26" i="37"/>
  <c r="N11" i="2"/>
  <c r="E22" i="17"/>
  <c r="D22" i="17"/>
  <c r="R11" i="2"/>
  <c r="N23" i="2"/>
  <c r="N97" i="2"/>
  <c r="B22" i="17"/>
  <c r="B26" i="17"/>
  <c r="J9" i="2"/>
  <c r="R9" i="2"/>
  <c r="AB19" i="32"/>
  <c r="AB20" i="32"/>
  <c r="AB21" i="32"/>
  <c r="AB22" i="32"/>
  <c r="AB23" i="32"/>
  <c r="AB24" i="32"/>
  <c r="AB25" i="32"/>
  <c r="AB26" i="32"/>
  <c r="AB27" i="32"/>
  <c r="AB28" i="32"/>
  <c r="AB29" i="32"/>
  <c r="AB30" i="32"/>
  <c r="AB31" i="32"/>
  <c r="AB32" i="32"/>
  <c r="AB33" i="32"/>
  <c r="AB34" i="32"/>
  <c r="AB35" i="32"/>
  <c r="AB36" i="32"/>
  <c r="AB37" i="32"/>
  <c r="AB38" i="32"/>
  <c r="AB39" i="32"/>
  <c r="AB40" i="32"/>
  <c r="AB41" i="32"/>
  <c r="AB42" i="32"/>
  <c r="AB43" i="32"/>
  <c r="AB44" i="32"/>
  <c r="AB45" i="32"/>
  <c r="AB46" i="32"/>
  <c r="AB47" i="32"/>
  <c r="AB48" i="32"/>
  <c r="AB49" i="32"/>
  <c r="AB50" i="32"/>
  <c r="AB51" i="32"/>
  <c r="AB52" i="32"/>
  <c r="AB53" i="32"/>
  <c r="AB54" i="32"/>
  <c r="AB55" i="32"/>
  <c r="AB56" i="32"/>
  <c r="AB18" i="32"/>
  <c r="T56" i="32"/>
  <c r="T19" i="32"/>
  <c r="T20" i="32"/>
  <c r="T21" i="32"/>
  <c r="T22" i="32"/>
  <c r="T23" i="32"/>
  <c r="T24" i="32"/>
  <c r="T25" i="32"/>
  <c r="T26" i="32"/>
  <c r="T27" i="32"/>
  <c r="T28" i="32"/>
  <c r="T29" i="32"/>
  <c r="T30" i="32"/>
  <c r="T31" i="32"/>
  <c r="T32" i="32"/>
  <c r="T33" i="32"/>
  <c r="T34" i="32"/>
  <c r="T35" i="32"/>
  <c r="T36" i="32"/>
  <c r="T37" i="32"/>
  <c r="T38" i="32"/>
  <c r="T39" i="32"/>
  <c r="T40" i="32"/>
  <c r="T41" i="32"/>
  <c r="T42" i="32"/>
  <c r="T43" i="32"/>
  <c r="T44" i="32"/>
  <c r="T45" i="32"/>
  <c r="T46" i="32"/>
  <c r="T47" i="32"/>
  <c r="T48" i="32"/>
  <c r="T49" i="32"/>
  <c r="T50" i="32"/>
  <c r="T51" i="32"/>
  <c r="T52" i="32"/>
  <c r="T53" i="32"/>
  <c r="T54" i="32"/>
  <c r="T55" i="32"/>
  <c r="R18" i="32"/>
  <c r="R19" i="32"/>
  <c r="R20" i="32"/>
  <c r="R21" i="32"/>
  <c r="R22" i="32"/>
  <c r="R23" i="32"/>
  <c r="R24" i="32"/>
  <c r="R25" i="32"/>
  <c r="R26" i="32"/>
  <c r="R27" i="32"/>
  <c r="R28" i="32"/>
  <c r="R29" i="32"/>
  <c r="R30" i="32"/>
  <c r="R31" i="32"/>
  <c r="R32" i="32"/>
  <c r="R33" i="32"/>
  <c r="R34" i="32"/>
  <c r="R35" i="32"/>
  <c r="R36" i="32"/>
  <c r="R37" i="32"/>
  <c r="R38" i="32"/>
  <c r="R39" i="32"/>
  <c r="R40" i="32"/>
  <c r="R41" i="32"/>
  <c r="R42" i="32"/>
  <c r="R43" i="32"/>
  <c r="R44" i="32"/>
  <c r="R45" i="32"/>
  <c r="R46" i="32"/>
  <c r="R47" i="32"/>
  <c r="R48" i="32"/>
  <c r="R49" i="32"/>
  <c r="R50" i="32"/>
  <c r="R51" i="32"/>
  <c r="R52" i="32"/>
  <c r="R53" i="32"/>
  <c r="R54" i="32"/>
  <c r="R55" i="32"/>
  <c r="R56" i="32"/>
  <c r="R17" i="32"/>
  <c r="D19" i="32"/>
  <c r="D18" i="32"/>
  <c r="D17" i="32"/>
  <c r="D16" i="32"/>
  <c r="Q99" i="12"/>
  <c r="E16" i="100"/>
  <c r="F21" i="99"/>
  <c r="E16" i="85"/>
  <c r="E20" i="84"/>
  <c r="E19" i="84"/>
  <c r="E18" i="84"/>
  <c r="E17" i="84"/>
  <c r="E16" i="84"/>
  <c r="C37" i="66"/>
  <c r="E49" i="50"/>
  <c r="B16" i="121"/>
  <c r="B16" i="115"/>
  <c r="D28" i="14"/>
  <c r="B28" i="14"/>
  <c r="B32" i="14"/>
  <c r="J7" i="2"/>
  <c r="D15" i="93"/>
  <c r="E18" i="50"/>
  <c r="E15" i="50"/>
  <c r="E16" i="50"/>
  <c r="D19" i="14"/>
  <c r="D18" i="14"/>
  <c r="D17" i="14"/>
  <c r="D16" i="14"/>
  <c r="J23" i="2"/>
  <c r="R7" i="2"/>
  <c r="R23" i="2"/>
  <c r="Q75" i="12"/>
  <c r="R75" i="12"/>
  <c r="B21" i="46"/>
  <c r="M22" i="2"/>
  <c r="O22" i="2"/>
  <c r="B20" i="29"/>
  <c r="I20" i="2"/>
  <c r="K20" i="2"/>
  <c r="Q20" i="2"/>
  <c r="S20" i="2"/>
  <c r="P32" i="12"/>
  <c r="R32" i="12"/>
  <c r="E52" i="51"/>
  <c r="E18" i="51"/>
  <c r="E15" i="51"/>
  <c r="D54" i="51"/>
  <c r="C54" i="51"/>
  <c r="E53" i="51"/>
  <c r="E46" i="51"/>
  <c r="E45" i="51"/>
  <c r="E44" i="51"/>
  <c r="E43" i="51"/>
  <c r="E35" i="51"/>
  <c r="E33" i="51"/>
  <c r="E32" i="51"/>
  <c r="E31" i="51"/>
  <c r="E28" i="51"/>
  <c r="E26" i="51"/>
  <c r="E25" i="51"/>
  <c r="E24" i="51"/>
  <c r="E23" i="51"/>
  <c r="E22" i="51"/>
  <c r="E21" i="51"/>
  <c r="D12" i="51"/>
  <c r="C12" i="51"/>
  <c r="E11" i="51"/>
  <c r="E10" i="51"/>
  <c r="S6" i="51"/>
  <c r="T32" i="12"/>
  <c r="O32" i="12"/>
  <c r="N32" i="12"/>
  <c r="M32" i="12"/>
  <c r="L32" i="12"/>
  <c r="K32" i="12"/>
  <c r="J32" i="12"/>
  <c r="I32" i="12"/>
  <c r="S5" i="51"/>
  <c r="E54" i="51"/>
  <c r="E12" i="51"/>
  <c r="R5" i="51"/>
  <c r="Q32" i="12"/>
  <c r="I4" i="65"/>
  <c r="H4" i="65"/>
  <c r="C15" i="65"/>
  <c r="L35" i="12"/>
  <c r="N35" i="12"/>
  <c r="R35" i="12"/>
  <c r="R34" i="12"/>
  <c r="E11" i="53"/>
  <c r="E11" i="54"/>
  <c r="E56" i="54"/>
  <c r="E39" i="54"/>
  <c r="C39" i="54"/>
  <c r="C42" i="54"/>
  <c r="E20" i="54"/>
  <c r="E16" i="54"/>
  <c r="E18" i="54"/>
  <c r="D13" i="54"/>
  <c r="P6" i="54"/>
  <c r="Q35" i="12"/>
  <c r="C13" i="54"/>
  <c r="P4" i="54"/>
  <c r="E12" i="54"/>
  <c r="S6" i="54"/>
  <c r="T35" i="12"/>
  <c r="P35" i="12"/>
  <c r="O35" i="12"/>
  <c r="M35" i="12"/>
  <c r="J35" i="12"/>
  <c r="S4" i="54"/>
  <c r="S6" i="49"/>
  <c r="S4" i="49"/>
  <c r="J4" i="54"/>
  <c r="R4" i="54"/>
  <c r="C51" i="54"/>
  <c r="D39" i="54"/>
  <c r="D42" i="54"/>
  <c r="E42" i="54"/>
  <c r="E51" i="54"/>
  <c r="I35" i="12"/>
  <c r="R6" i="51"/>
  <c r="E13" i="54"/>
  <c r="E48" i="50"/>
  <c r="E47" i="50"/>
  <c r="E46" i="50"/>
  <c r="E45" i="50"/>
  <c r="E44" i="50"/>
  <c r="D51" i="64"/>
  <c r="C51" i="64"/>
  <c r="E42" i="64"/>
  <c r="D33" i="64"/>
  <c r="C33" i="64"/>
  <c r="E30" i="64"/>
  <c r="D26" i="64"/>
  <c r="C26" i="64"/>
  <c r="E26" i="64"/>
  <c r="E20" i="64"/>
  <c r="D51" i="54"/>
  <c r="J6" i="54"/>
  <c r="S32" i="12"/>
  <c r="P4" i="65"/>
  <c r="C32" i="65"/>
  <c r="C25" i="65"/>
  <c r="D25" i="65"/>
  <c r="E25" i="65"/>
  <c r="D13" i="65"/>
  <c r="P6" i="65"/>
  <c r="C13" i="65"/>
  <c r="D33" i="66"/>
  <c r="C33" i="66"/>
  <c r="E30" i="66"/>
  <c r="D16" i="66"/>
  <c r="C16" i="66"/>
  <c r="D26" i="66"/>
  <c r="C26" i="66"/>
  <c r="D48" i="65"/>
  <c r="C48" i="65"/>
  <c r="D32" i="65"/>
  <c r="D15" i="65"/>
  <c r="E41" i="65"/>
  <c r="E29" i="65"/>
  <c r="E19" i="65"/>
  <c r="D37" i="66"/>
  <c r="D38" i="66"/>
  <c r="E38" i="66"/>
  <c r="D37" i="65"/>
  <c r="E37" i="65"/>
  <c r="D36" i="65"/>
  <c r="D38" i="65"/>
  <c r="K35" i="12"/>
  <c r="R6" i="54"/>
  <c r="S35" i="12"/>
  <c r="E16" i="66"/>
  <c r="E15" i="65"/>
  <c r="D39" i="66"/>
  <c r="Q30" i="13"/>
  <c r="R30" i="13"/>
  <c r="R28" i="13"/>
  <c r="Q33" i="12"/>
  <c r="R33" i="12"/>
  <c r="R30" i="12"/>
  <c r="F63" i="67"/>
  <c r="F62" i="67"/>
  <c r="E61" i="67"/>
  <c r="D61" i="67"/>
  <c r="F59" i="67"/>
  <c r="F58" i="67"/>
  <c r="F57" i="67"/>
  <c r="F56" i="67"/>
  <c r="E55" i="67"/>
  <c r="N6" i="67"/>
  <c r="O30" i="13"/>
  <c r="D55" i="67"/>
  <c r="F53" i="67"/>
  <c r="F52" i="67"/>
  <c r="F51" i="67"/>
  <c r="E49" i="67"/>
  <c r="M6" i="67"/>
  <c r="N30" i="13"/>
  <c r="F50" i="67"/>
  <c r="D49" i="67"/>
  <c r="F49" i="67"/>
  <c r="F47" i="67"/>
  <c r="F46" i="67"/>
  <c r="F45" i="67"/>
  <c r="F44" i="67"/>
  <c r="E43" i="67"/>
  <c r="L6" i="67"/>
  <c r="M30" i="13"/>
  <c r="D43" i="67"/>
  <c r="F35" i="67"/>
  <c r="F31" i="67"/>
  <c r="D30" i="67"/>
  <c r="F25" i="67"/>
  <c r="F24" i="67"/>
  <c r="F23" i="67"/>
  <c r="F22" i="67"/>
  <c r="F21" i="67"/>
  <c r="E21" i="67"/>
  <c r="E34" i="67"/>
  <c r="D21" i="67"/>
  <c r="I4" i="67"/>
  <c r="B20" i="67"/>
  <c r="M33" i="2"/>
  <c r="O33" i="2"/>
  <c r="F19" i="67"/>
  <c r="F18" i="67"/>
  <c r="F17" i="67"/>
  <c r="F16" i="67"/>
  <c r="E15" i="67"/>
  <c r="E33" i="67"/>
  <c r="D15" i="67"/>
  <c r="D29" i="67"/>
  <c r="O6" i="67"/>
  <c r="P30" i="13"/>
  <c r="K6" i="67"/>
  <c r="L30" i="13"/>
  <c r="I6" i="67"/>
  <c r="J30" i="13"/>
  <c r="O4" i="67"/>
  <c r="N4" i="67"/>
  <c r="L4" i="67"/>
  <c r="K4" i="67"/>
  <c r="E49" i="52"/>
  <c r="M6" i="52"/>
  <c r="N33" i="12"/>
  <c r="F62" i="52"/>
  <c r="E61" i="52"/>
  <c r="O6" i="52"/>
  <c r="P33" i="12"/>
  <c r="D61" i="52"/>
  <c r="F57" i="52"/>
  <c r="F56" i="52"/>
  <c r="E55" i="52"/>
  <c r="D55" i="52"/>
  <c r="N4" i="52"/>
  <c r="F51" i="52"/>
  <c r="D49" i="52"/>
  <c r="F44" i="52"/>
  <c r="E43" i="52"/>
  <c r="L6" i="52"/>
  <c r="M33" i="12"/>
  <c r="D43" i="52"/>
  <c r="F43" i="52"/>
  <c r="F37" i="52"/>
  <c r="E21" i="52"/>
  <c r="E34" i="52"/>
  <c r="D21" i="52"/>
  <c r="I4" i="52"/>
  <c r="B20" i="52"/>
  <c r="I33" i="2"/>
  <c r="F19" i="52"/>
  <c r="F18" i="52"/>
  <c r="F17" i="52"/>
  <c r="F16" i="52"/>
  <c r="E15" i="52"/>
  <c r="E33" i="52"/>
  <c r="F33" i="52"/>
  <c r="D15" i="52"/>
  <c r="D29" i="52"/>
  <c r="N6" i="52"/>
  <c r="O33" i="12"/>
  <c r="K6" i="52"/>
  <c r="L33" i="12"/>
  <c r="O4" i="52"/>
  <c r="K4" i="52"/>
  <c r="F61" i="67"/>
  <c r="L4" i="52"/>
  <c r="E29" i="67"/>
  <c r="F33" i="67"/>
  <c r="E30" i="67"/>
  <c r="F34" i="67"/>
  <c r="F43" i="67"/>
  <c r="F55" i="67"/>
  <c r="F15" i="67"/>
  <c r="F55" i="52"/>
  <c r="F61" i="52"/>
  <c r="E30" i="52"/>
  <c r="F34" i="52"/>
  <c r="K33" i="2"/>
  <c r="Q33" i="2"/>
  <c r="S33" i="2"/>
  <c r="I6" i="52"/>
  <c r="J33" i="12"/>
  <c r="F21" i="52"/>
  <c r="D30" i="52"/>
  <c r="H4" i="52"/>
  <c r="M4" i="67"/>
  <c r="H4" i="67"/>
  <c r="F30" i="67"/>
  <c r="D27" i="67"/>
  <c r="H6" i="67"/>
  <c r="D27" i="52"/>
  <c r="F49" i="52"/>
  <c r="M4" i="52"/>
  <c r="E29" i="52"/>
  <c r="F50" i="52"/>
  <c r="H6" i="52"/>
  <c r="F15" i="52"/>
  <c r="F29" i="67"/>
  <c r="F27" i="67"/>
  <c r="E27" i="67"/>
  <c r="E27" i="52"/>
  <c r="J6" i="52"/>
  <c r="J6" i="67"/>
  <c r="K30" i="13"/>
  <c r="I30" i="13"/>
  <c r="I33" i="12"/>
  <c r="D12" i="67"/>
  <c r="J4" i="67"/>
  <c r="E12" i="67"/>
  <c r="F29" i="52"/>
  <c r="F27" i="52"/>
  <c r="D12" i="52"/>
  <c r="J4" i="52"/>
  <c r="E12" i="52"/>
  <c r="K33" i="12"/>
  <c r="R6" i="52"/>
  <c r="S33" i="12"/>
  <c r="R6" i="67"/>
  <c r="S30" i="13"/>
  <c r="F12" i="67"/>
  <c r="R4" i="67"/>
  <c r="R4" i="52"/>
  <c r="F12" i="52"/>
  <c r="F25" i="14"/>
  <c r="F24" i="14"/>
  <c r="F23" i="14"/>
  <c r="F22" i="14"/>
  <c r="D21" i="14"/>
  <c r="F21" i="14"/>
  <c r="D73" i="32"/>
  <c r="AB15" i="32"/>
  <c r="AA15" i="32"/>
  <c r="Z15" i="32"/>
  <c r="X15" i="32"/>
  <c r="W15" i="32"/>
  <c r="E73" i="32"/>
  <c r="T15" i="32"/>
  <c r="L15" i="32"/>
  <c r="M15" i="32"/>
  <c r="F25" i="32"/>
  <c r="F24" i="32"/>
  <c r="F23" i="32"/>
  <c r="F22" i="32"/>
  <c r="E21" i="32"/>
  <c r="D21" i="32"/>
  <c r="M15" i="22"/>
  <c r="M15" i="21"/>
  <c r="M15" i="23"/>
  <c r="M15" i="26"/>
  <c r="M15" i="36"/>
  <c r="M15" i="37"/>
  <c r="M15" i="38"/>
  <c r="M15" i="39"/>
  <c r="M15" i="41"/>
  <c r="M15" i="42"/>
  <c r="M15" i="45"/>
  <c r="M15" i="46"/>
  <c r="M15" i="56"/>
  <c r="M15" i="59"/>
  <c r="M15" i="63"/>
  <c r="M15" i="71"/>
  <c r="M15" i="72"/>
  <c r="M15" i="74"/>
  <c r="M15" i="77"/>
  <c r="M15" i="78"/>
  <c r="L15" i="78"/>
  <c r="M15" i="70"/>
  <c r="M15" i="69"/>
  <c r="M15" i="18"/>
  <c r="P37" i="13"/>
  <c r="P36" i="13"/>
  <c r="X65" i="70"/>
  <c r="W65" i="70"/>
  <c r="U65" i="70"/>
  <c r="X64" i="70"/>
  <c r="W64" i="70"/>
  <c r="U64" i="70"/>
  <c r="X63" i="70"/>
  <c r="W63" i="70"/>
  <c r="U63" i="70"/>
  <c r="X62" i="70"/>
  <c r="W62" i="70"/>
  <c r="U62" i="70"/>
  <c r="F65" i="70"/>
  <c r="X61" i="70"/>
  <c r="W61" i="70"/>
  <c r="U61" i="70"/>
  <c r="F64" i="70"/>
  <c r="X60" i="70"/>
  <c r="W60" i="70"/>
  <c r="U60" i="70"/>
  <c r="F63" i="70"/>
  <c r="X59" i="70"/>
  <c r="W59" i="70"/>
  <c r="U59" i="70"/>
  <c r="F62" i="70"/>
  <c r="X58" i="70"/>
  <c r="W58" i="70"/>
  <c r="U58" i="70"/>
  <c r="E61" i="70"/>
  <c r="P6" i="70"/>
  <c r="D61" i="70"/>
  <c r="P4" i="70"/>
  <c r="X57" i="70"/>
  <c r="W57" i="70"/>
  <c r="U57" i="70"/>
  <c r="X56" i="70"/>
  <c r="W56" i="70"/>
  <c r="U56" i="70"/>
  <c r="F59" i="70"/>
  <c r="X55" i="70"/>
  <c r="W55" i="70"/>
  <c r="U55" i="70"/>
  <c r="F58" i="70"/>
  <c r="X54" i="70"/>
  <c r="W54" i="70"/>
  <c r="U54" i="70"/>
  <c r="F57" i="70"/>
  <c r="X53" i="70"/>
  <c r="W53" i="70"/>
  <c r="U53" i="70"/>
  <c r="F56" i="70"/>
  <c r="X52" i="70"/>
  <c r="W52" i="70"/>
  <c r="U52" i="70"/>
  <c r="E55" i="70"/>
  <c r="O6" i="70"/>
  <c r="O37" i="13"/>
  <c r="D55" i="70"/>
  <c r="X51" i="70"/>
  <c r="W51" i="70"/>
  <c r="U51" i="70"/>
  <c r="X50" i="70"/>
  <c r="W50" i="70"/>
  <c r="U50" i="70"/>
  <c r="F53" i="70"/>
  <c r="X49" i="70"/>
  <c r="W49" i="70"/>
  <c r="U49" i="70"/>
  <c r="F52" i="70"/>
  <c r="X48" i="70"/>
  <c r="W48" i="70"/>
  <c r="U48" i="70"/>
  <c r="F51" i="70"/>
  <c r="X47" i="70"/>
  <c r="W47" i="70"/>
  <c r="U47" i="70"/>
  <c r="F50" i="70"/>
  <c r="X46" i="70"/>
  <c r="W46" i="70"/>
  <c r="U46" i="70"/>
  <c r="E49" i="70"/>
  <c r="N6" i="70"/>
  <c r="N37" i="13"/>
  <c r="D49" i="70"/>
  <c r="X45" i="70"/>
  <c r="W45" i="70"/>
  <c r="U45" i="70"/>
  <c r="X44" i="70"/>
  <c r="W44" i="70"/>
  <c r="U44" i="70"/>
  <c r="F47" i="70"/>
  <c r="X43" i="70"/>
  <c r="W43" i="70"/>
  <c r="U43" i="70"/>
  <c r="F46" i="70"/>
  <c r="X42" i="70"/>
  <c r="W42" i="70"/>
  <c r="U42" i="70"/>
  <c r="F45" i="70"/>
  <c r="X41" i="70"/>
  <c r="Y41" i="70"/>
  <c r="W41" i="70"/>
  <c r="U41" i="70"/>
  <c r="F44" i="70"/>
  <c r="X40" i="70"/>
  <c r="W40" i="70"/>
  <c r="U40" i="70"/>
  <c r="E43" i="70"/>
  <c r="M6" i="70"/>
  <c r="M37" i="13"/>
  <c r="D43" i="70"/>
  <c r="F43" i="70"/>
  <c r="X39" i="70"/>
  <c r="W39" i="70"/>
  <c r="U39" i="70"/>
  <c r="X38" i="70"/>
  <c r="W38" i="70"/>
  <c r="U38" i="70"/>
  <c r="F41" i="70"/>
  <c r="X37" i="70"/>
  <c r="W37" i="70"/>
  <c r="U37" i="70"/>
  <c r="F40" i="70"/>
  <c r="X36" i="70"/>
  <c r="W36" i="70"/>
  <c r="U36" i="70"/>
  <c r="F39" i="70"/>
  <c r="X35" i="70"/>
  <c r="W35" i="70"/>
  <c r="U35" i="70"/>
  <c r="F38" i="70"/>
  <c r="X34" i="70"/>
  <c r="W34" i="70"/>
  <c r="U34" i="70"/>
  <c r="E37" i="70"/>
  <c r="L6" i="70"/>
  <c r="L37" i="13"/>
  <c r="D37" i="70"/>
  <c r="X33" i="70"/>
  <c r="W33" i="70"/>
  <c r="U33" i="70"/>
  <c r="X32" i="70"/>
  <c r="W32" i="70"/>
  <c r="U32" i="70"/>
  <c r="X31" i="70"/>
  <c r="W31" i="70"/>
  <c r="U31" i="70"/>
  <c r="X30" i="70"/>
  <c r="W30" i="70"/>
  <c r="U30" i="70"/>
  <c r="X29" i="70"/>
  <c r="W29" i="70"/>
  <c r="U29" i="70"/>
  <c r="X28" i="70"/>
  <c r="W28" i="70"/>
  <c r="U28" i="70"/>
  <c r="X27" i="70"/>
  <c r="W27" i="70"/>
  <c r="Y27" i="70"/>
  <c r="U27" i="70"/>
  <c r="X26" i="70"/>
  <c r="W26" i="70"/>
  <c r="U26" i="70"/>
  <c r="X25" i="70"/>
  <c r="W25" i="70"/>
  <c r="U25" i="70"/>
  <c r="F25" i="70"/>
  <c r="X24" i="70"/>
  <c r="W24" i="70"/>
  <c r="U24" i="70"/>
  <c r="F24" i="70"/>
  <c r="X23" i="70"/>
  <c r="W23" i="70"/>
  <c r="U23" i="70"/>
  <c r="F23" i="70"/>
  <c r="X22" i="70"/>
  <c r="W22" i="70"/>
  <c r="U22" i="70"/>
  <c r="F22" i="70"/>
  <c r="X21" i="70"/>
  <c r="W21" i="70"/>
  <c r="U21" i="70"/>
  <c r="E21" i="70"/>
  <c r="E34" i="70"/>
  <c r="D21" i="70"/>
  <c r="J4" i="70"/>
  <c r="X20" i="70"/>
  <c r="W20" i="70"/>
  <c r="U20" i="70"/>
  <c r="B20" i="70"/>
  <c r="M43" i="2"/>
  <c r="X19" i="70"/>
  <c r="W19" i="70"/>
  <c r="U19" i="70"/>
  <c r="F19" i="70"/>
  <c r="X18" i="70"/>
  <c r="W18" i="70"/>
  <c r="U18" i="70"/>
  <c r="F18" i="70"/>
  <c r="X17" i="70"/>
  <c r="W17" i="70"/>
  <c r="U17" i="70"/>
  <c r="F17" i="70"/>
  <c r="X16" i="70"/>
  <c r="W16" i="70"/>
  <c r="U16" i="70"/>
  <c r="F16" i="70"/>
  <c r="E15" i="70"/>
  <c r="E33" i="70"/>
  <c r="D15" i="70"/>
  <c r="R6" i="70"/>
  <c r="R37" i="13"/>
  <c r="R4" i="70"/>
  <c r="X5" i="70"/>
  <c r="W5" i="70"/>
  <c r="V5" i="70"/>
  <c r="U5" i="70"/>
  <c r="Q6" i="111"/>
  <c r="Q4" i="111"/>
  <c r="D56" i="106"/>
  <c r="D45" i="106"/>
  <c r="D44" i="106"/>
  <c r="D56" i="91"/>
  <c r="D45" i="91"/>
  <c r="D44" i="91"/>
  <c r="F65" i="69"/>
  <c r="F64" i="69"/>
  <c r="F63" i="69"/>
  <c r="F62" i="69"/>
  <c r="E61" i="69"/>
  <c r="D61" i="69"/>
  <c r="F59" i="69"/>
  <c r="F58" i="69"/>
  <c r="F57" i="69"/>
  <c r="F56" i="69"/>
  <c r="E55" i="69"/>
  <c r="O6" i="69"/>
  <c r="O36" i="13"/>
  <c r="D55" i="69"/>
  <c r="O4" i="69"/>
  <c r="F53" i="69"/>
  <c r="F52" i="69"/>
  <c r="F51" i="69"/>
  <c r="F50" i="69"/>
  <c r="E49" i="69"/>
  <c r="N6" i="69"/>
  <c r="N36" i="13"/>
  <c r="D49" i="69"/>
  <c r="F47" i="69"/>
  <c r="F46" i="69"/>
  <c r="F45" i="69"/>
  <c r="F44" i="69"/>
  <c r="E43" i="69"/>
  <c r="M6" i="69"/>
  <c r="M36" i="13"/>
  <c r="D43" i="69"/>
  <c r="F41" i="69"/>
  <c r="F40" i="69"/>
  <c r="F39" i="69"/>
  <c r="F38" i="69"/>
  <c r="E37" i="69"/>
  <c r="L6" i="69"/>
  <c r="L36" i="13"/>
  <c r="D37" i="69"/>
  <c r="F25" i="69"/>
  <c r="X24" i="69"/>
  <c r="W24" i="69"/>
  <c r="U24" i="69"/>
  <c r="T24" i="69"/>
  <c r="S24" i="69"/>
  <c r="F24" i="69"/>
  <c r="X23" i="69"/>
  <c r="W23" i="69"/>
  <c r="U23" i="69"/>
  <c r="T23" i="69"/>
  <c r="S23" i="69"/>
  <c r="F23" i="69"/>
  <c r="X22" i="69"/>
  <c r="W22" i="69"/>
  <c r="U22" i="69"/>
  <c r="T22" i="69"/>
  <c r="S22" i="69"/>
  <c r="F22" i="69"/>
  <c r="X21" i="69"/>
  <c r="W21" i="69"/>
  <c r="U21" i="69"/>
  <c r="T21" i="69"/>
  <c r="S21" i="69"/>
  <c r="E21" i="69"/>
  <c r="E34" i="69"/>
  <c r="D21" i="69"/>
  <c r="X20" i="69"/>
  <c r="W20" i="69"/>
  <c r="U20" i="69"/>
  <c r="T20" i="69"/>
  <c r="S20" i="69"/>
  <c r="B20" i="69"/>
  <c r="M42" i="2"/>
  <c r="X19" i="69"/>
  <c r="W19" i="69"/>
  <c r="U19" i="69"/>
  <c r="T19" i="69"/>
  <c r="S19" i="69"/>
  <c r="F19" i="69"/>
  <c r="X18" i="69"/>
  <c r="W18" i="69"/>
  <c r="U18" i="69"/>
  <c r="T18" i="69"/>
  <c r="S18" i="69"/>
  <c r="F18" i="69"/>
  <c r="X17" i="69"/>
  <c r="W17" i="69"/>
  <c r="U17" i="69"/>
  <c r="T17" i="69"/>
  <c r="S17" i="69"/>
  <c r="F17" i="69"/>
  <c r="X16" i="69"/>
  <c r="W16" i="69"/>
  <c r="U16" i="69"/>
  <c r="T16" i="69"/>
  <c r="S16" i="69"/>
  <c r="F16" i="69"/>
  <c r="E15" i="69"/>
  <c r="E33" i="69"/>
  <c r="F33" i="69"/>
  <c r="D15" i="69"/>
  <c r="R6" i="69"/>
  <c r="R36" i="13"/>
  <c r="R4" i="69"/>
  <c r="N4" i="69"/>
  <c r="X5" i="69"/>
  <c r="W5" i="69"/>
  <c r="V5" i="69"/>
  <c r="U5" i="69"/>
  <c r="F33" i="70"/>
  <c r="E27" i="70"/>
  <c r="L15" i="69"/>
  <c r="Q6" i="32"/>
  <c r="Q4" i="32"/>
  <c r="M4" i="70"/>
  <c r="J6" i="70"/>
  <c r="J37" i="13"/>
  <c r="F34" i="70"/>
  <c r="Y28" i="70"/>
  <c r="Y33" i="70"/>
  <c r="Y46" i="70"/>
  <c r="Y50" i="70"/>
  <c r="Y43" i="70"/>
  <c r="Y47" i="70"/>
  <c r="Y37" i="70"/>
  <c r="Y51" i="70"/>
  <c r="Y57" i="70"/>
  <c r="E30" i="69"/>
  <c r="F34" i="69"/>
  <c r="L15" i="70"/>
  <c r="Y30" i="70"/>
  <c r="Y31" i="70"/>
  <c r="Y35" i="70"/>
  <c r="Y39" i="70"/>
  <c r="Y42" i="70"/>
  <c r="Y49" i="70"/>
  <c r="Y59" i="70"/>
  <c r="Y64" i="70"/>
  <c r="F21" i="70"/>
  <c r="Y40" i="70"/>
  <c r="Y44" i="70"/>
  <c r="Y48" i="70"/>
  <c r="Y61" i="70"/>
  <c r="Y20" i="69"/>
  <c r="F43" i="69"/>
  <c r="J6" i="69"/>
  <c r="J36" i="13"/>
  <c r="F21" i="69"/>
  <c r="Y26" i="70"/>
  <c r="Y32" i="70"/>
  <c r="F37" i="70"/>
  <c r="Y36" i="70"/>
  <c r="F49" i="70"/>
  <c r="Y52" i="70"/>
  <c r="Y54" i="70"/>
  <c r="Y56" i="70"/>
  <c r="Y60" i="70"/>
  <c r="Y62" i="70"/>
  <c r="Y65" i="70"/>
  <c r="O43" i="2"/>
  <c r="Y29" i="70"/>
  <c r="Y34" i="70"/>
  <c r="Y38" i="70"/>
  <c r="Y45" i="70"/>
  <c r="Y53" i="70"/>
  <c r="Y55" i="70"/>
  <c r="Y58" i="70"/>
  <c r="Y63" i="70"/>
  <c r="M4" i="69"/>
  <c r="Y17" i="69"/>
  <c r="V21" i="69"/>
  <c r="Y22" i="69"/>
  <c r="V23" i="69"/>
  <c r="Y24" i="69"/>
  <c r="F37" i="69"/>
  <c r="F61" i="69"/>
  <c r="Y16" i="69"/>
  <c r="Y18" i="69"/>
  <c r="O42" i="2"/>
  <c r="Y21" i="69"/>
  <c r="Y23" i="69"/>
  <c r="L4" i="70"/>
  <c r="I6" i="69"/>
  <c r="I36" i="13"/>
  <c r="D29" i="69"/>
  <c r="F21" i="32"/>
  <c r="X15" i="70"/>
  <c r="E67" i="70"/>
  <c r="Q6" i="70"/>
  <c r="Q37" i="13"/>
  <c r="F55" i="70"/>
  <c r="O4" i="70"/>
  <c r="F29" i="70"/>
  <c r="I6" i="70"/>
  <c r="I37" i="13"/>
  <c r="U15" i="70"/>
  <c r="T15" i="70"/>
  <c r="F61" i="70"/>
  <c r="N4" i="70"/>
  <c r="F30" i="70"/>
  <c r="F15" i="70"/>
  <c r="W15" i="70"/>
  <c r="D67" i="70"/>
  <c r="D27" i="70"/>
  <c r="I4" i="70"/>
  <c r="Y19" i="69"/>
  <c r="V18" i="69"/>
  <c r="F49" i="69"/>
  <c r="L4" i="69"/>
  <c r="X15" i="69"/>
  <c r="E67" i="69"/>
  <c r="V17" i="69"/>
  <c r="U15" i="69"/>
  <c r="T6" i="69"/>
  <c r="T36" i="13"/>
  <c r="V16" i="69"/>
  <c r="V20" i="69"/>
  <c r="V19" i="69"/>
  <c r="V22" i="69"/>
  <c r="V24" i="69"/>
  <c r="E29" i="69"/>
  <c r="D30" i="69"/>
  <c r="F55" i="69"/>
  <c r="J4" i="69"/>
  <c r="F15" i="69"/>
  <c r="W15" i="69"/>
  <c r="D67" i="69"/>
  <c r="Q4" i="69"/>
  <c r="I4" i="69"/>
  <c r="T15" i="69"/>
  <c r="T4" i="69"/>
  <c r="D57" i="122"/>
  <c r="D56" i="122"/>
  <c r="D45" i="122"/>
  <c r="D44" i="122"/>
  <c r="D57" i="117"/>
  <c r="D56" i="117"/>
  <c r="E50" i="117"/>
  <c r="D50" i="117"/>
  <c r="D45" i="117"/>
  <c r="D44" i="117"/>
  <c r="F70" i="96"/>
  <c r="F17" i="46"/>
  <c r="S23" i="46"/>
  <c r="U23" i="46"/>
  <c r="V23" i="46"/>
  <c r="S24" i="46"/>
  <c r="U24" i="46"/>
  <c r="V24" i="46"/>
  <c r="S25" i="46"/>
  <c r="U25" i="46"/>
  <c r="V25" i="46"/>
  <c r="X23" i="46"/>
  <c r="X24" i="46"/>
  <c r="Y24" i="46"/>
  <c r="X25" i="46"/>
  <c r="X22" i="46"/>
  <c r="Y22" i="46"/>
  <c r="S17" i="46"/>
  <c r="U17" i="46"/>
  <c r="X17" i="46"/>
  <c r="Y17" i="46"/>
  <c r="B19" i="36"/>
  <c r="M10" i="2"/>
  <c r="O10" i="2"/>
  <c r="S19" i="36"/>
  <c r="U19" i="36"/>
  <c r="V19" i="36"/>
  <c r="X19" i="36"/>
  <c r="S20" i="36"/>
  <c r="U20" i="36"/>
  <c r="X20" i="36"/>
  <c r="S21" i="36"/>
  <c r="U21" i="36"/>
  <c r="V21" i="36"/>
  <c r="X21" i="36"/>
  <c r="Y21" i="36"/>
  <c r="S22" i="36"/>
  <c r="U22" i="36"/>
  <c r="V22" i="36"/>
  <c r="X22" i="36"/>
  <c r="S23" i="36"/>
  <c r="U23" i="36"/>
  <c r="X23" i="36"/>
  <c r="Y23" i="36"/>
  <c r="S24" i="36"/>
  <c r="X24" i="36"/>
  <c r="Y24" i="36"/>
  <c r="S25" i="36"/>
  <c r="U25" i="36"/>
  <c r="X25" i="36"/>
  <c r="Y25" i="36"/>
  <c r="S26" i="36"/>
  <c r="U26" i="36"/>
  <c r="X26" i="36"/>
  <c r="S27" i="36"/>
  <c r="U27" i="36"/>
  <c r="V27" i="36"/>
  <c r="X27" i="36"/>
  <c r="S28" i="36"/>
  <c r="U28" i="36"/>
  <c r="X28" i="36"/>
  <c r="Y28" i="36"/>
  <c r="S29" i="36"/>
  <c r="U29" i="36"/>
  <c r="V29" i="36"/>
  <c r="X29" i="36"/>
  <c r="Y29" i="36"/>
  <c r="S30" i="36"/>
  <c r="U30" i="36"/>
  <c r="V30" i="36"/>
  <c r="X30" i="36"/>
  <c r="S31" i="36"/>
  <c r="U31" i="36"/>
  <c r="X31" i="36"/>
  <c r="Y31" i="36"/>
  <c r="S32" i="36"/>
  <c r="U32" i="36"/>
  <c r="X32" i="36"/>
  <c r="Y32" i="36"/>
  <c r="S33" i="36"/>
  <c r="U33" i="36"/>
  <c r="X33" i="36"/>
  <c r="Y33" i="36"/>
  <c r="S17" i="36"/>
  <c r="U17" i="36"/>
  <c r="X17" i="36"/>
  <c r="Y17" i="36"/>
  <c r="S18" i="36"/>
  <c r="U18" i="36"/>
  <c r="X18" i="36"/>
  <c r="Y18" i="36"/>
  <c r="F17" i="36"/>
  <c r="F18" i="36"/>
  <c r="F70" i="111"/>
  <c r="M15" i="62"/>
  <c r="E37" i="111"/>
  <c r="D37" i="111"/>
  <c r="E21" i="111"/>
  <c r="D21" i="111"/>
  <c r="M15" i="61"/>
  <c r="X150" i="62"/>
  <c r="U150" i="62"/>
  <c r="X149" i="62"/>
  <c r="U149" i="62"/>
  <c r="X148" i="62"/>
  <c r="U148" i="62"/>
  <c r="X147" i="62"/>
  <c r="U147" i="62"/>
  <c r="X146" i="62"/>
  <c r="U146" i="62"/>
  <c r="X145" i="62"/>
  <c r="U145" i="62"/>
  <c r="X144" i="62"/>
  <c r="U144" i="62"/>
  <c r="X143" i="62"/>
  <c r="U143" i="62"/>
  <c r="X142" i="62"/>
  <c r="U142" i="62"/>
  <c r="X141" i="62"/>
  <c r="U141" i="62"/>
  <c r="X140" i="62"/>
  <c r="U140" i="62"/>
  <c r="X139" i="62"/>
  <c r="U139" i="62"/>
  <c r="X138" i="62"/>
  <c r="U138" i="62"/>
  <c r="X137" i="62"/>
  <c r="U137" i="62"/>
  <c r="X136" i="62"/>
  <c r="U136" i="62"/>
  <c r="X135" i="62"/>
  <c r="U135" i="62"/>
  <c r="X134" i="62"/>
  <c r="U134" i="62"/>
  <c r="X133" i="62"/>
  <c r="U133" i="62"/>
  <c r="X132" i="62"/>
  <c r="U132" i="62"/>
  <c r="X131" i="62"/>
  <c r="U131" i="62"/>
  <c r="X130" i="62"/>
  <c r="U130" i="62"/>
  <c r="X129" i="62"/>
  <c r="U129" i="62"/>
  <c r="X128" i="62"/>
  <c r="U128" i="62"/>
  <c r="X127" i="62"/>
  <c r="U127" i="62"/>
  <c r="X126" i="62"/>
  <c r="U126" i="62"/>
  <c r="X125" i="62"/>
  <c r="U125" i="62"/>
  <c r="X124" i="62"/>
  <c r="U124" i="62"/>
  <c r="X123" i="62"/>
  <c r="U123" i="62"/>
  <c r="X122" i="62"/>
  <c r="U122" i="62"/>
  <c r="X121" i="62"/>
  <c r="U121" i="62"/>
  <c r="X120" i="62"/>
  <c r="U120" i="62"/>
  <c r="X119" i="62"/>
  <c r="U119" i="62"/>
  <c r="X118" i="62"/>
  <c r="U118" i="62"/>
  <c r="X117" i="62"/>
  <c r="U117" i="62"/>
  <c r="X116" i="62"/>
  <c r="U116" i="62"/>
  <c r="X115" i="62"/>
  <c r="U115" i="62"/>
  <c r="X114" i="62"/>
  <c r="U114" i="62"/>
  <c r="X113" i="62"/>
  <c r="U113" i="62"/>
  <c r="X112" i="62"/>
  <c r="U112" i="62"/>
  <c r="X111" i="62"/>
  <c r="U111" i="62"/>
  <c r="X110" i="62"/>
  <c r="U110" i="62"/>
  <c r="X109" i="62"/>
  <c r="U109" i="62"/>
  <c r="X108" i="62"/>
  <c r="U108" i="62"/>
  <c r="X107" i="62"/>
  <c r="U107" i="62"/>
  <c r="X106" i="62"/>
  <c r="U106" i="62"/>
  <c r="X105" i="62"/>
  <c r="U105" i="62"/>
  <c r="X104" i="62"/>
  <c r="U104" i="62"/>
  <c r="X103" i="62"/>
  <c r="U103" i="62"/>
  <c r="X102" i="62"/>
  <c r="U102" i="62"/>
  <c r="X101" i="62"/>
  <c r="U101" i="62"/>
  <c r="X100" i="62"/>
  <c r="U100" i="62"/>
  <c r="X99" i="62"/>
  <c r="U99" i="62"/>
  <c r="X98" i="62"/>
  <c r="U98" i="62"/>
  <c r="X97" i="62"/>
  <c r="U97" i="62"/>
  <c r="X96" i="62"/>
  <c r="U96" i="62"/>
  <c r="X95" i="62"/>
  <c r="U95" i="62"/>
  <c r="X94" i="62"/>
  <c r="U94" i="62"/>
  <c r="X93" i="62"/>
  <c r="U93" i="62"/>
  <c r="X92" i="62"/>
  <c r="U92" i="62"/>
  <c r="X91" i="62"/>
  <c r="U91" i="62"/>
  <c r="X90" i="62"/>
  <c r="U90" i="62"/>
  <c r="X89" i="62"/>
  <c r="U89" i="62"/>
  <c r="X88" i="62"/>
  <c r="U88" i="62"/>
  <c r="X87" i="62"/>
  <c r="U87" i="62"/>
  <c r="X86" i="62"/>
  <c r="U86" i="62"/>
  <c r="X85" i="62"/>
  <c r="U85" i="62"/>
  <c r="X84" i="62"/>
  <c r="U84" i="62"/>
  <c r="X83" i="62"/>
  <c r="U83" i="62"/>
  <c r="X82" i="62"/>
  <c r="U82" i="62"/>
  <c r="X81" i="62"/>
  <c r="U81" i="62"/>
  <c r="X80" i="62"/>
  <c r="U80" i="62"/>
  <c r="X79" i="62"/>
  <c r="U79" i="62"/>
  <c r="X78" i="62"/>
  <c r="U78" i="62"/>
  <c r="X77" i="62"/>
  <c r="U77" i="62"/>
  <c r="X76" i="62"/>
  <c r="U76" i="62"/>
  <c r="X75" i="62"/>
  <c r="U75" i="62"/>
  <c r="X74" i="62"/>
  <c r="U74" i="62"/>
  <c r="X73" i="62"/>
  <c r="U73" i="62"/>
  <c r="X72" i="62"/>
  <c r="U72" i="62"/>
  <c r="X71" i="62"/>
  <c r="U71" i="62"/>
  <c r="X70" i="62"/>
  <c r="U70" i="62"/>
  <c r="X69" i="62"/>
  <c r="U69" i="62"/>
  <c r="X68" i="62"/>
  <c r="U68" i="62"/>
  <c r="X67" i="62"/>
  <c r="U67" i="62"/>
  <c r="X66" i="62"/>
  <c r="U66" i="62"/>
  <c r="X65" i="62"/>
  <c r="U65" i="62"/>
  <c r="X64" i="62"/>
  <c r="U64" i="62"/>
  <c r="X63" i="62"/>
  <c r="U63" i="62"/>
  <c r="X62" i="62"/>
  <c r="U62" i="62"/>
  <c r="F65" i="62"/>
  <c r="X61" i="62"/>
  <c r="U61" i="62"/>
  <c r="F64" i="62"/>
  <c r="X60" i="62"/>
  <c r="U60" i="62"/>
  <c r="F63" i="62"/>
  <c r="X59" i="62"/>
  <c r="U59" i="62"/>
  <c r="F62" i="62"/>
  <c r="X58" i="62"/>
  <c r="U58" i="62"/>
  <c r="E61" i="62"/>
  <c r="P6" i="62"/>
  <c r="P45" i="12"/>
  <c r="D61" i="62"/>
  <c r="X57" i="62"/>
  <c r="U57" i="62"/>
  <c r="X56" i="62"/>
  <c r="U56" i="62"/>
  <c r="F59" i="62"/>
  <c r="X55" i="62"/>
  <c r="U55" i="62"/>
  <c r="F58" i="62"/>
  <c r="X54" i="62"/>
  <c r="U54" i="62"/>
  <c r="F57" i="62"/>
  <c r="X53" i="62"/>
  <c r="U53" i="62"/>
  <c r="F56" i="62"/>
  <c r="X52" i="62"/>
  <c r="U52" i="62"/>
  <c r="E55" i="62"/>
  <c r="O6" i="62"/>
  <c r="O45" i="12"/>
  <c r="D55" i="62"/>
  <c r="O4" i="62"/>
  <c r="X51" i="62"/>
  <c r="U51" i="62"/>
  <c r="X50" i="62"/>
  <c r="U50" i="62"/>
  <c r="F53" i="62"/>
  <c r="X49" i="62"/>
  <c r="U49" i="62"/>
  <c r="F52" i="62"/>
  <c r="X48" i="62"/>
  <c r="U48" i="62"/>
  <c r="F51" i="62"/>
  <c r="X47" i="62"/>
  <c r="U47" i="62"/>
  <c r="F50" i="62"/>
  <c r="X46" i="62"/>
  <c r="U46" i="62"/>
  <c r="E49" i="62"/>
  <c r="N6" i="62"/>
  <c r="N45" i="12"/>
  <c r="D49" i="62"/>
  <c r="X45" i="62"/>
  <c r="U45" i="62"/>
  <c r="X44" i="62"/>
  <c r="U44" i="62"/>
  <c r="F47" i="62"/>
  <c r="X43" i="62"/>
  <c r="U43" i="62"/>
  <c r="F46" i="62"/>
  <c r="X42" i="62"/>
  <c r="U42" i="62"/>
  <c r="F45" i="62"/>
  <c r="X41" i="62"/>
  <c r="U41" i="62"/>
  <c r="F44" i="62"/>
  <c r="X40" i="62"/>
  <c r="U40" i="62"/>
  <c r="E43" i="62"/>
  <c r="M6" i="62"/>
  <c r="M45" i="12"/>
  <c r="D43" i="62"/>
  <c r="X39" i="62"/>
  <c r="U39" i="62"/>
  <c r="X38" i="62"/>
  <c r="U38" i="62"/>
  <c r="F41" i="62"/>
  <c r="X37" i="62"/>
  <c r="U37" i="62"/>
  <c r="F40" i="62"/>
  <c r="X36" i="62"/>
  <c r="U36" i="62"/>
  <c r="F39" i="62"/>
  <c r="X35" i="62"/>
  <c r="U35" i="62"/>
  <c r="F38" i="62"/>
  <c r="X34" i="62"/>
  <c r="U34" i="62"/>
  <c r="E37" i="62"/>
  <c r="L6" i="62"/>
  <c r="L45" i="12"/>
  <c r="D37" i="62"/>
  <c r="X33" i="62"/>
  <c r="U33" i="62"/>
  <c r="X32" i="62"/>
  <c r="U32" i="62"/>
  <c r="X31" i="62"/>
  <c r="U31" i="62"/>
  <c r="X30" i="62"/>
  <c r="U30" i="62"/>
  <c r="X29" i="62"/>
  <c r="U29" i="62"/>
  <c r="X28" i="62"/>
  <c r="U28" i="62"/>
  <c r="X27" i="62"/>
  <c r="U27" i="62"/>
  <c r="X26" i="62"/>
  <c r="U26" i="62"/>
  <c r="X25" i="62"/>
  <c r="U25" i="62"/>
  <c r="F25" i="62"/>
  <c r="X24" i="62"/>
  <c r="U24" i="62"/>
  <c r="F24" i="62"/>
  <c r="X23" i="62"/>
  <c r="U23" i="62"/>
  <c r="F23" i="62"/>
  <c r="X22" i="62"/>
  <c r="U22" i="62"/>
  <c r="F22" i="62"/>
  <c r="X21" i="62"/>
  <c r="U21" i="62"/>
  <c r="E21" i="62"/>
  <c r="E34" i="62"/>
  <c r="D21" i="62"/>
  <c r="J4" i="62"/>
  <c r="X20" i="62"/>
  <c r="U20" i="62"/>
  <c r="B20" i="62"/>
  <c r="I43" i="2"/>
  <c r="K43" i="2"/>
  <c r="X19" i="62"/>
  <c r="U19" i="62"/>
  <c r="F19" i="62"/>
  <c r="X18" i="62"/>
  <c r="U18" i="62"/>
  <c r="F18" i="62"/>
  <c r="X17" i="62"/>
  <c r="U17" i="62"/>
  <c r="F17" i="62"/>
  <c r="X16" i="62"/>
  <c r="D67" i="62"/>
  <c r="Q4" i="62"/>
  <c r="U16" i="62"/>
  <c r="E15" i="62"/>
  <c r="E33" i="62"/>
  <c r="F33" i="62"/>
  <c r="F16" i="62"/>
  <c r="D15" i="62"/>
  <c r="D29" i="62"/>
  <c r="R6" i="62"/>
  <c r="R45" i="12"/>
  <c r="R4" i="62"/>
  <c r="P4" i="62"/>
  <c r="M4" i="62"/>
  <c r="L4" i="62"/>
  <c r="X5" i="62"/>
  <c r="W5" i="62"/>
  <c r="V5" i="62"/>
  <c r="U5" i="62"/>
  <c r="W341" i="61"/>
  <c r="U341" i="61"/>
  <c r="T341" i="61"/>
  <c r="V341" i="61" s="1"/>
  <c r="V15" i="61" s="1"/>
  <c r="S341" i="61"/>
  <c r="X178" i="61"/>
  <c r="U178" i="61"/>
  <c r="X177" i="61"/>
  <c r="U177" i="61"/>
  <c r="X176" i="61"/>
  <c r="U176" i="61"/>
  <c r="X175" i="61"/>
  <c r="U175" i="61"/>
  <c r="X174" i="61"/>
  <c r="U174" i="61"/>
  <c r="X173" i="61"/>
  <c r="U173" i="61"/>
  <c r="X172" i="61"/>
  <c r="U172" i="61"/>
  <c r="X171" i="61"/>
  <c r="U171" i="61"/>
  <c r="X170" i="61"/>
  <c r="U170" i="61"/>
  <c r="X169" i="61"/>
  <c r="U169" i="61"/>
  <c r="X168" i="61"/>
  <c r="U168" i="61"/>
  <c r="X167" i="61"/>
  <c r="U167" i="61"/>
  <c r="X166" i="61"/>
  <c r="U166" i="61"/>
  <c r="X165" i="61"/>
  <c r="U165" i="61"/>
  <c r="X164" i="61"/>
  <c r="U164" i="61"/>
  <c r="X163" i="61"/>
  <c r="U163" i="61"/>
  <c r="X162" i="61"/>
  <c r="U162" i="61"/>
  <c r="X161" i="61"/>
  <c r="U161" i="61"/>
  <c r="X160" i="61"/>
  <c r="U160" i="61"/>
  <c r="X159" i="61"/>
  <c r="U159" i="61"/>
  <c r="X158" i="61"/>
  <c r="U158" i="61"/>
  <c r="X157" i="61"/>
  <c r="U157" i="61"/>
  <c r="X156" i="61"/>
  <c r="U156" i="61"/>
  <c r="X155" i="61"/>
  <c r="U155" i="61"/>
  <c r="X154" i="61"/>
  <c r="U154" i="61"/>
  <c r="X153" i="61"/>
  <c r="U153" i="61"/>
  <c r="X152" i="61"/>
  <c r="U152" i="61"/>
  <c r="X151" i="61"/>
  <c r="U151" i="61"/>
  <c r="X150" i="61"/>
  <c r="U150" i="61"/>
  <c r="X149" i="61"/>
  <c r="U149" i="61"/>
  <c r="X148" i="61"/>
  <c r="U148" i="61"/>
  <c r="X147" i="61"/>
  <c r="U147" i="61"/>
  <c r="X146" i="61"/>
  <c r="U146" i="61"/>
  <c r="X145" i="61"/>
  <c r="U145" i="61"/>
  <c r="X144" i="61"/>
  <c r="U144" i="61"/>
  <c r="X143" i="61"/>
  <c r="U143" i="61"/>
  <c r="X142" i="61"/>
  <c r="U142" i="61"/>
  <c r="X141" i="61"/>
  <c r="U141" i="61"/>
  <c r="X140" i="61"/>
  <c r="U140" i="61"/>
  <c r="X139" i="61"/>
  <c r="U139" i="61"/>
  <c r="X138" i="61"/>
  <c r="U138" i="61"/>
  <c r="X137" i="61"/>
  <c r="U137" i="61"/>
  <c r="X136" i="61"/>
  <c r="U136" i="61"/>
  <c r="X135" i="61"/>
  <c r="U135" i="61"/>
  <c r="X134" i="61"/>
  <c r="U134" i="61"/>
  <c r="X133" i="61"/>
  <c r="U133" i="61"/>
  <c r="X132" i="61"/>
  <c r="U132" i="61"/>
  <c r="X131" i="61"/>
  <c r="U131" i="61"/>
  <c r="X130" i="61"/>
  <c r="U130" i="61"/>
  <c r="X129" i="61"/>
  <c r="U129" i="61"/>
  <c r="X128" i="61"/>
  <c r="U128" i="61"/>
  <c r="X127" i="61"/>
  <c r="U127" i="61"/>
  <c r="X126" i="61"/>
  <c r="U126" i="61"/>
  <c r="X125" i="61"/>
  <c r="U125" i="61"/>
  <c r="X124" i="61"/>
  <c r="U124" i="61"/>
  <c r="X123" i="61"/>
  <c r="U123" i="61"/>
  <c r="X122" i="61"/>
  <c r="U122" i="61"/>
  <c r="X121" i="61"/>
  <c r="U121" i="61"/>
  <c r="X120" i="61"/>
  <c r="U120" i="61"/>
  <c r="X119" i="61"/>
  <c r="U119" i="61"/>
  <c r="X118" i="61"/>
  <c r="U118" i="61"/>
  <c r="X117" i="61"/>
  <c r="U117" i="61"/>
  <c r="X116" i="61"/>
  <c r="U116" i="61"/>
  <c r="X115" i="61"/>
  <c r="U115" i="61"/>
  <c r="X114" i="61"/>
  <c r="U114" i="61"/>
  <c r="X113" i="61"/>
  <c r="U113" i="61"/>
  <c r="X112" i="61"/>
  <c r="U112" i="61"/>
  <c r="X111" i="61"/>
  <c r="U111" i="61"/>
  <c r="X110" i="61"/>
  <c r="U110" i="61"/>
  <c r="X109" i="61"/>
  <c r="U109" i="61"/>
  <c r="X108" i="61"/>
  <c r="U108" i="61"/>
  <c r="X107" i="61"/>
  <c r="U107" i="61"/>
  <c r="X106" i="61"/>
  <c r="U106" i="61"/>
  <c r="X105" i="61"/>
  <c r="U105" i="61"/>
  <c r="X104" i="61"/>
  <c r="U104" i="61"/>
  <c r="X103" i="61"/>
  <c r="U103" i="61"/>
  <c r="X102" i="61"/>
  <c r="U102" i="61"/>
  <c r="X101" i="61"/>
  <c r="U101" i="61"/>
  <c r="X100" i="61"/>
  <c r="U100" i="61"/>
  <c r="X99" i="61"/>
  <c r="U99" i="61"/>
  <c r="X98" i="61"/>
  <c r="U98" i="61"/>
  <c r="X97" i="61"/>
  <c r="U97" i="61"/>
  <c r="X96" i="61"/>
  <c r="U96" i="61"/>
  <c r="X95" i="61"/>
  <c r="U95" i="61"/>
  <c r="X94" i="61"/>
  <c r="U94" i="61"/>
  <c r="X93" i="61"/>
  <c r="U93" i="61"/>
  <c r="X92" i="61"/>
  <c r="U92" i="61"/>
  <c r="X91" i="61"/>
  <c r="U91" i="61"/>
  <c r="X90" i="61"/>
  <c r="U90" i="61"/>
  <c r="X89" i="61"/>
  <c r="U89" i="61"/>
  <c r="X88" i="61"/>
  <c r="U88" i="61"/>
  <c r="X87" i="61"/>
  <c r="U87" i="61"/>
  <c r="X86" i="61"/>
  <c r="U86" i="61"/>
  <c r="X85" i="61"/>
  <c r="U85" i="61"/>
  <c r="X84" i="61"/>
  <c r="U84" i="61"/>
  <c r="X83" i="61"/>
  <c r="U83" i="61"/>
  <c r="X82" i="61"/>
  <c r="U82" i="61"/>
  <c r="X81" i="61"/>
  <c r="U81" i="61"/>
  <c r="X80" i="61"/>
  <c r="U80" i="61"/>
  <c r="X79" i="61"/>
  <c r="U79" i="61"/>
  <c r="X78" i="61"/>
  <c r="U78" i="61"/>
  <c r="X77" i="61"/>
  <c r="U77" i="61"/>
  <c r="X76" i="61"/>
  <c r="U76" i="61"/>
  <c r="X75" i="61"/>
  <c r="U75" i="61"/>
  <c r="X74" i="61"/>
  <c r="U74" i="61"/>
  <c r="X73" i="61"/>
  <c r="U73" i="61"/>
  <c r="X72" i="61"/>
  <c r="U72" i="61"/>
  <c r="X71" i="61"/>
  <c r="U71" i="61"/>
  <c r="X70" i="61"/>
  <c r="U70" i="61"/>
  <c r="X69" i="61"/>
  <c r="U69" i="61"/>
  <c r="X68" i="61"/>
  <c r="U68" i="61"/>
  <c r="X67" i="61"/>
  <c r="U67" i="61"/>
  <c r="X66" i="61"/>
  <c r="U66" i="61"/>
  <c r="X65" i="61"/>
  <c r="U65" i="61"/>
  <c r="X64" i="61"/>
  <c r="U64" i="61"/>
  <c r="X63" i="61"/>
  <c r="U63" i="61"/>
  <c r="X62" i="61"/>
  <c r="U62" i="61"/>
  <c r="F65" i="61"/>
  <c r="X61" i="61"/>
  <c r="U61" i="61"/>
  <c r="F64" i="61"/>
  <c r="X60" i="61"/>
  <c r="U60" i="61"/>
  <c r="F63" i="61"/>
  <c r="X59" i="61"/>
  <c r="U59" i="61"/>
  <c r="F62" i="61"/>
  <c r="X58" i="61"/>
  <c r="U58" i="61"/>
  <c r="E61" i="61"/>
  <c r="P6" i="61"/>
  <c r="D61" i="61"/>
  <c r="X57" i="61"/>
  <c r="U57" i="61"/>
  <c r="X56" i="61"/>
  <c r="U56" i="61"/>
  <c r="F59" i="61"/>
  <c r="X55" i="61"/>
  <c r="U55" i="61"/>
  <c r="F58" i="61"/>
  <c r="X54" i="61"/>
  <c r="U54" i="61"/>
  <c r="F57" i="61"/>
  <c r="X53" i="61"/>
  <c r="U53" i="61"/>
  <c r="F56" i="61"/>
  <c r="X52" i="61"/>
  <c r="U52" i="61"/>
  <c r="E55" i="61"/>
  <c r="D55" i="61"/>
  <c r="O4" i="61"/>
  <c r="X51" i="61"/>
  <c r="U51" i="61"/>
  <c r="X50" i="61"/>
  <c r="U50" i="61"/>
  <c r="F53" i="61"/>
  <c r="X49" i="61"/>
  <c r="U49" i="61"/>
  <c r="F52" i="61"/>
  <c r="X48" i="61"/>
  <c r="U48" i="61"/>
  <c r="F51" i="61"/>
  <c r="X47" i="61"/>
  <c r="U47" i="61"/>
  <c r="F50" i="61"/>
  <c r="X46" i="61"/>
  <c r="U46" i="61"/>
  <c r="E49" i="61"/>
  <c r="N6" i="61"/>
  <c r="N44" i="12" s="1"/>
  <c r="N38" i="12" s="1"/>
  <c r="D49" i="61"/>
  <c r="X45" i="61"/>
  <c r="U45" i="61"/>
  <c r="X44" i="61"/>
  <c r="U44" i="61"/>
  <c r="F47" i="61"/>
  <c r="X43" i="61"/>
  <c r="U43" i="61"/>
  <c r="F46" i="61"/>
  <c r="X42" i="61"/>
  <c r="U42" i="61"/>
  <c r="F45" i="61"/>
  <c r="X41" i="61"/>
  <c r="U41" i="61"/>
  <c r="F44" i="61"/>
  <c r="X40" i="61"/>
  <c r="U40" i="61"/>
  <c r="E43" i="61"/>
  <c r="F43" i="61" s="1"/>
  <c r="D43" i="61"/>
  <c r="X39" i="61"/>
  <c r="U39" i="61"/>
  <c r="X38" i="61"/>
  <c r="U38" i="61"/>
  <c r="F41" i="61"/>
  <c r="X37" i="61"/>
  <c r="U37" i="61"/>
  <c r="F40" i="61"/>
  <c r="X36" i="61"/>
  <c r="U36" i="61"/>
  <c r="F39" i="61"/>
  <c r="X35" i="61"/>
  <c r="U35" i="61"/>
  <c r="F38" i="61"/>
  <c r="X34" i="61"/>
  <c r="U34" i="61"/>
  <c r="E37" i="61"/>
  <c r="F37" i="61" s="1"/>
  <c r="D37" i="61"/>
  <c r="L4" i="61"/>
  <c r="X33" i="61"/>
  <c r="U33" i="61"/>
  <c r="X32" i="61"/>
  <c r="U32" i="61"/>
  <c r="X31" i="61"/>
  <c r="U31" i="61"/>
  <c r="X30" i="61"/>
  <c r="U30" i="61"/>
  <c r="X29" i="61"/>
  <c r="U29" i="61"/>
  <c r="X28" i="61"/>
  <c r="U28" i="61"/>
  <c r="X27" i="61"/>
  <c r="U27" i="61"/>
  <c r="X26" i="61"/>
  <c r="U26" i="61"/>
  <c r="X25" i="61"/>
  <c r="U25" i="61"/>
  <c r="F25" i="61"/>
  <c r="X24" i="61"/>
  <c r="U24" i="61"/>
  <c r="F24" i="61"/>
  <c r="X23" i="61"/>
  <c r="U23" i="61"/>
  <c r="F23" i="61"/>
  <c r="X22" i="61"/>
  <c r="U22" i="61"/>
  <c r="F22" i="61"/>
  <c r="U21" i="61"/>
  <c r="E21" i="61"/>
  <c r="D21" i="61"/>
  <c r="X20" i="61"/>
  <c r="U20" i="61"/>
  <c r="B20" i="61"/>
  <c r="I42" i="2" s="1"/>
  <c r="Q42" i="2" s="1"/>
  <c r="Q45" i="2" s="1"/>
  <c r="X19" i="61"/>
  <c r="U19" i="61"/>
  <c r="F19" i="61"/>
  <c r="X18" i="61"/>
  <c r="U18" i="61"/>
  <c r="F18" i="61"/>
  <c r="X17" i="61"/>
  <c r="U17" i="61"/>
  <c r="F17" i="61"/>
  <c r="X16" i="61"/>
  <c r="F16" i="61"/>
  <c r="E15" i="61"/>
  <c r="D15" i="61"/>
  <c r="R6" i="61"/>
  <c r="R44" i="12" s="1"/>
  <c r="R38" i="12" s="1"/>
  <c r="R47" i="12" s="1"/>
  <c r="R104" i="12" s="1"/>
  <c r="P44" i="12"/>
  <c r="P38" i="12" s="1"/>
  <c r="P47" i="12" s="1"/>
  <c r="R4" i="61"/>
  <c r="M4" i="61"/>
  <c r="X5" i="61"/>
  <c r="W5" i="61"/>
  <c r="V5" i="61"/>
  <c r="U5" i="61"/>
  <c r="U25" i="72"/>
  <c r="X25" i="72"/>
  <c r="U26" i="72"/>
  <c r="X26" i="72"/>
  <c r="U27" i="72"/>
  <c r="X27" i="72"/>
  <c r="U28" i="72"/>
  <c r="X28" i="72"/>
  <c r="U29" i="72"/>
  <c r="X29" i="72"/>
  <c r="U30" i="72"/>
  <c r="X30" i="72"/>
  <c r="U31" i="72"/>
  <c r="X31" i="72"/>
  <c r="U32" i="72"/>
  <c r="X32" i="72"/>
  <c r="U33" i="72"/>
  <c r="X33" i="72"/>
  <c r="U34" i="72"/>
  <c r="X34" i="72"/>
  <c r="U35" i="72"/>
  <c r="X35" i="72"/>
  <c r="U36" i="72"/>
  <c r="X36" i="72"/>
  <c r="U37" i="72"/>
  <c r="X37" i="72"/>
  <c r="U38" i="72"/>
  <c r="X38" i="72"/>
  <c r="U39" i="72"/>
  <c r="X39" i="72"/>
  <c r="U40" i="72"/>
  <c r="X40" i="72"/>
  <c r="U41" i="72"/>
  <c r="X41" i="72"/>
  <c r="U42" i="72"/>
  <c r="X42" i="72"/>
  <c r="U43" i="72"/>
  <c r="X43" i="72"/>
  <c r="U44" i="72"/>
  <c r="X44" i="72"/>
  <c r="U45" i="72"/>
  <c r="X45" i="72"/>
  <c r="U46" i="72"/>
  <c r="X46" i="72"/>
  <c r="U47" i="72"/>
  <c r="X24" i="72"/>
  <c r="U24" i="72"/>
  <c r="X23" i="72"/>
  <c r="U23" i="72"/>
  <c r="X22" i="72"/>
  <c r="U22" i="72"/>
  <c r="X21" i="72"/>
  <c r="U21" i="72"/>
  <c r="X20" i="72"/>
  <c r="U20" i="72"/>
  <c r="X19" i="72"/>
  <c r="U19" i="72"/>
  <c r="X18" i="72"/>
  <c r="U18" i="72"/>
  <c r="X17" i="72"/>
  <c r="U17" i="72"/>
  <c r="X16" i="72"/>
  <c r="U16" i="72"/>
  <c r="X17" i="22"/>
  <c r="Y17" i="22"/>
  <c r="U17" i="22"/>
  <c r="S17" i="22"/>
  <c r="X16" i="22"/>
  <c r="U16" i="22"/>
  <c r="T4" i="22"/>
  <c r="S16" i="22"/>
  <c r="L15" i="22"/>
  <c r="F65" i="22"/>
  <c r="F64" i="22"/>
  <c r="F63" i="22"/>
  <c r="F62" i="22"/>
  <c r="E61" i="22"/>
  <c r="D61" i="22"/>
  <c r="P4" i="22"/>
  <c r="F59" i="22"/>
  <c r="F58" i="22"/>
  <c r="F57" i="22"/>
  <c r="F56" i="22"/>
  <c r="E55" i="22"/>
  <c r="O6" i="22"/>
  <c r="O17" i="12"/>
  <c r="D55" i="22"/>
  <c r="F53" i="22"/>
  <c r="F52" i="22"/>
  <c r="F51" i="22"/>
  <c r="F50" i="22"/>
  <c r="E49" i="22"/>
  <c r="N6" i="22"/>
  <c r="D49" i="22"/>
  <c r="F47" i="22"/>
  <c r="F46" i="22"/>
  <c r="F45" i="22"/>
  <c r="F44" i="22"/>
  <c r="E43" i="22"/>
  <c r="M6" i="22"/>
  <c r="M17" i="12"/>
  <c r="D43" i="22"/>
  <c r="F41" i="22"/>
  <c r="F40" i="22"/>
  <c r="F39" i="22"/>
  <c r="F38" i="22"/>
  <c r="F31" i="22"/>
  <c r="F25" i="22"/>
  <c r="F24" i="22"/>
  <c r="F23" i="22"/>
  <c r="F22" i="22"/>
  <c r="E21" i="22"/>
  <c r="E34" i="22"/>
  <c r="D21" i="22"/>
  <c r="D30" i="22"/>
  <c r="B20" i="22"/>
  <c r="I17" i="2"/>
  <c r="F19" i="22"/>
  <c r="F18" i="22"/>
  <c r="F17" i="22"/>
  <c r="F16" i="22"/>
  <c r="E15" i="22"/>
  <c r="E33" i="22"/>
  <c r="D15" i="22"/>
  <c r="R6" i="22"/>
  <c r="R17" i="12"/>
  <c r="L6" i="22"/>
  <c r="L17" i="12"/>
  <c r="R4" i="22"/>
  <c r="O4" i="22"/>
  <c r="L4" i="22"/>
  <c r="X5" i="22"/>
  <c r="W5" i="22"/>
  <c r="V5" i="22"/>
  <c r="U5" i="22"/>
  <c r="Q6" i="96"/>
  <c r="Q4" i="96"/>
  <c r="E37" i="96"/>
  <c r="D37" i="96"/>
  <c r="E21" i="96"/>
  <c r="D21" i="96"/>
  <c r="E67" i="73"/>
  <c r="M15" i="75"/>
  <c r="X177" i="63"/>
  <c r="U177" i="63"/>
  <c r="X176" i="63"/>
  <c r="U176" i="63"/>
  <c r="X175" i="63"/>
  <c r="U175" i="63"/>
  <c r="X174" i="63"/>
  <c r="U174" i="63"/>
  <c r="X173" i="63"/>
  <c r="U173" i="63"/>
  <c r="X172" i="63"/>
  <c r="U172" i="63"/>
  <c r="X171" i="63"/>
  <c r="U171" i="63"/>
  <c r="X170" i="63"/>
  <c r="U170" i="63"/>
  <c r="X169" i="63"/>
  <c r="U169" i="63"/>
  <c r="X168" i="63"/>
  <c r="U168" i="63"/>
  <c r="X167" i="63"/>
  <c r="U167" i="63"/>
  <c r="X166" i="63"/>
  <c r="U166" i="63"/>
  <c r="X165" i="63"/>
  <c r="U165" i="63"/>
  <c r="X164" i="63"/>
  <c r="U164" i="63"/>
  <c r="X163" i="63"/>
  <c r="U163" i="63"/>
  <c r="X162" i="63"/>
  <c r="U162" i="63"/>
  <c r="X161" i="63"/>
  <c r="U161" i="63"/>
  <c r="X160" i="63"/>
  <c r="U160" i="63"/>
  <c r="X159" i="63"/>
  <c r="U159" i="63"/>
  <c r="X158" i="63"/>
  <c r="U158" i="63"/>
  <c r="X157" i="63"/>
  <c r="U157" i="63"/>
  <c r="X156" i="63"/>
  <c r="U156" i="63"/>
  <c r="X155" i="63"/>
  <c r="U155" i="63"/>
  <c r="X154" i="63"/>
  <c r="U154" i="63"/>
  <c r="X153" i="63"/>
  <c r="U153" i="63"/>
  <c r="X152" i="63"/>
  <c r="U152" i="63"/>
  <c r="X151" i="63"/>
  <c r="U151" i="63"/>
  <c r="X150" i="63"/>
  <c r="U150" i="63"/>
  <c r="X149" i="63"/>
  <c r="U149" i="63"/>
  <c r="X148" i="63"/>
  <c r="U148" i="63"/>
  <c r="X147" i="63"/>
  <c r="U147" i="63"/>
  <c r="X146" i="63"/>
  <c r="U146" i="63"/>
  <c r="X145" i="63"/>
  <c r="U145" i="63"/>
  <c r="X144" i="63"/>
  <c r="U144" i="63"/>
  <c r="X143" i="63"/>
  <c r="U143" i="63"/>
  <c r="X142" i="63"/>
  <c r="U142" i="63"/>
  <c r="X141" i="63"/>
  <c r="U141" i="63"/>
  <c r="X140" i="63"/>
  <c r="U140" i="63"/>
  <c r="X139" i="63"/>
  <c r="U139" i="63"/>
  <c r="X138" i="63"/>
  <c r="U138" i="63"/>
  <c r="X137" i="63"/>
  <c r="U137" i="63"/>
  <c r="X136" i="63"/>
  <c r="U136" i="63"/>
  <c r="X135" i="63"/>
  <c r="U135" i="63"/>
  <c r="X134" i="63"/>
  <c r="U134" i="63"/>
  <c r="X133" i="63"/>
  <c r="U133" i="63"/>
  <c r="X132" i="63"/>
  <c r="U132" i="63"/>
  <c r="X131" i="63"/>
  <c r="U131" i="63"/>
  <c r="X130" i="63"/>
  <c r="U130" i="63"/>
  <c r="X129" i="63"/>
  <c r="U129" i="63"/>
  <c r="X128" i="63"/>
  <c r="U128" i="63"/>
  <c r="X127" i="63"/>
  <c r="U127" i="63"/>
  <c r="X126" i="63"/>
  <c r="U126" i="63"/>
  <c r="X125" i="63"/>
  <c r="U125" i="63"/>
  <c r="X124" i="63"/>
  <c r="U124" i="63"/>
  <c r="X123" i="63"/>
  <c r="U123" i="63"/>
  <c r="X122" i="63"/>
  <c r="U122" i="63"/>
  <c r="X121" i="63"/>
  <c r="U121" i="63"/>
  <c r="X120" i="63"/>
  <c r="U120" i="63"/>
  <c r="X119" i="63"/>
  <c r="U119" i="63"/>
  <c r="X118" i="63"/>
  <c r="U118" i="63"/>
  <c r="X117" i="63"/>
  <c r="U117" i="63"/>
  <c r="X116" i="63"/>
  <c r="U116" i="63"/>
  <c r="X115" i="63"/>
  <c r="U115" i="63"/>
  <c r="X114" i="63"/>
  <c r="U114" i="63"/>
  <c r="X113" i="63"/>
  <c r="U113" i="63"/>
  <c r="X112" i="63"/>
  <c r="U112" i="63"/>
  <c r="X111" i="63"/>
  <c r="U111" i="63"/>
  <c r="X110" i="63"/>
  <c r="U110" i="63"/>
  <c r="X109" i="63"/>
  <c r="U109" i="63"/>
  <c r="X108" i="63"/>
  <c r="U108" i="63"/>
  <c r="X107" i="63"/>
  <c r="U107" i="63"/>
  <c r="X106" i="63"/>
  <c r="U106" i="63"/>
  <c r="X105" i="63"/>
  <c r="U105" i="63"/>
  <c r="X104" i="63"/>
  <c r="U104" i="63"/>
  <c r="X103" i="63"/>
  <c r="U103" i="63"/>
  <c r="X102" i="63"/>
  <c r="U102" i="63"/>
  <c r="X101" i="63"/>
  <c r="U101" i="63"/>
  <c r="X100" i="63"/>
  <c r="U100" i="63"/>
  <c r="X99" i="63"/>
  <c r="U99" i="63"/>
  <c r="X98" i="63"/>
  <c r="U98" i="63"/>
  <c r="X97" i="63"/>
  <c r="U97" i="63"/>
  <c r="X96" i="63"/>
  <c r="U96" i="63"/>
  <c r="X95" i="63"/>
  <c r="U95" i="63"/>
  <c r="X94" i="63"/>
  <c r="U94" i="63"/>
  <c r="X93" i="63"/>
  <c r="U93" i="63"/>
  <c r="X92" i="63"/>
  <c r="U92" i="63"/>
  <c r="X91" i="63"/>
  <c r="U91" i="63"/>
  <c r="X90" i="63"/>
  <c r="U90" i="63"/>
  <c r="X89" i="63"/>
  <c r="U89" i="63"/>
  <c r="X88" i="63"/>
  <c r="U88" i="63"/>
  <c r="X87" i="63"/>
  <c r="U87" i="63"/>
  <c r="X86" i="63"/>
  <c r="U86" i="63"/>
  <c r="X85" i="63"/>
  <c r="U85" i="63"/>
  <c r="X84" i="63"/>
  <c r="U84" i="63"/>
  <c r="X83" i="63"/>
  <c r="U83" i="63"/>
  <c r="X82" i="63"/>
  <c r="U82" i="63"/>
  <c r="X81" i="63"/>
  <c r="U81" i="63"/>
  <c r="X80" i="63"/>
  <c r="U80" i="63"/>
  <c r="X79" i="63"/>
  <c r="U79" i="63"/>
  <c r="X78" i="63"/>
  <c r="U78" i="63"/>
  <c r="X77" i="63"/>
  <c r="U77" i="63"/>
  <c r="X76" i="63"/>
  <c r="U76" i="63"/>
  <c r="X75" i="63"/>
  <c r="U75" i="63"/>
  <c r="X74" i="63"/>
  <c r="U74" i="63"/>
  <c r="X73" i="63"/>
  <c r="U73" i="63"/>
  <c r="X72" i="63"/>
  <c r="U72" i="63"/>
  <c r="X71" i="63"/>
  <c r="U71" i="63"/>
  <c r="X70" i="63"/>
  <c r="U70" i="63"/>
  <c r="X69" i="63"/>
  <c r="U69" i="63"/>
  <c r="X68" i="63"/>
  <c r="U68" i="63"/>
  <c r="X67" i="63"/>
  <c r="U67" i="63"/>
  <c r="X66" i="63"/>
  <c r="U66" i="63"/>
  <c r="X65" i="63"/>
  <c r="U65" i="63"/>
  <c r="X64" i="63"/>
  <c r="U64" i="63"/>
  <c r="X63" i="63"/>
  <c r="U63" i="63"/>
  <c r="X62" i="63"/>
  <c r="U62" i="63"/>
  <c r="X61" i="63"/>
  <c r="U61" i="63"/>
  <c r="X60" i="63"/>
  <c r="U60" i="63"/>
  <c r="X59" i="63"/>
  <c r="U59" i="63"/>
  <c r="X58" i="63"/>
  <c r="U58" i="63"/>
  <c r="X57" i="63"/>
  <c r="U57" i="63"/>
  <c r="X56" i="63"/>
  <c r="U56" i="63"/>
  <c r="X55" i="63"/>
  <c r="U55" i="63"/>
  <c r="X54" i="63"/>
  <c r="U54" i="63"/>
  <c r="X53" i="63"/>
  <c r="U53" i="63"/>
  <c r="X52" i="63"/>
  <c r="U52" i="63"/>
  <c r="X51" i="63"/>
  <c r="U51" i="63"/>
  <c r="X50" i="63"/>
  <c r="U50" i="63"/>
  <c r="X49" i="63"/>
  <c r="U49" i="63"/>
  <c r="X48" i="63"/>
  <c r="U48" i="63"/>
  <c r="X47" i="63"/>
  <c r="U47" i="63"/>
  <c r="X46" i="63"/>
  <c r="U46" i="63"/>
  <c r="X45" i="63"/>
  <c r="U45" i="63"/>
  <c r="X44" i="63"/>
  <c r="U44" i="63"/>
  <c r="X43" i="63"/>
  <c r="U43" i="63"/>
  <c r="X42" i="63"/>
  <c r="U42" i="63"/>
  <c r="X41" i="63"/>
  <c r="U41" i="63"/>
  <c r="X40" i="63"/>
  <c r="U40" i="63"/>
  <c r="X39" i="63"/>
  <c r="U39" i="63"/>
  <c r="X38" i="63"/>
  <c r="U38" i="63"/>
  <c r="X37" i="63"/>
  <c r="U37" i="63"/>
  <c r="X36" i="63"/>
  <c r="U36" i="63"/>
  <c r="X35" i="63"/>
  <c r="U35" i="63"/>
  <c r="X34" i="63"/>
  <c r="U34" i="63"/>
  <c r="X33" i="63"/>
  <c r="U33" i="63"/>
  <c r="X32" i="63"/>
  <c r="U32" i="63"/>
  <c r="X31" i="63"/>
  <c r="U31" i="63"/>
  <c r="X30" i="63"/>
  <c r="U30" i="63"/>
  <c r="X29" i="63"/>
  <c r="U29" i="63"/>
  <c r="X28" i="63"/>
  <c r="U28" i="63"/>
  <c r="X27" i="63"/>
  <c r="U27" i="63"/>
  <c r="X26" i="63"/>
  <c r="U26" i="63"/>
  <c r="X25" i="63"/>
  <c r="U25" i="63"/>
  <c r="X24" i="63"/>
  <c r="U24" i="63"/>
  <c r="X23" i="63"/>
  <c r="U23" i="63"/>
  <c r="X22" i="63"/>
  <c r="U22" i="63"/>
  <c r="X21" i="63"/>
  <c r="U21" i="63"/>
  <c r="X20" i="63"/>
  <c r="U20" i="63"/>
  <c r="X19" i="63"/>
  <c r="U19" i="63"/>
  <c r="X18" i="63"/>
  <c r="U18" i="63"/>
  <c r="X17" i="63"/>
  <c r="U17" i="63"/>
  <c r="X16" i="63"/>
  <c r="U16" i="63"/>
  <c r="X52" i="57"/>
  <c r="U52" i="57"/>
  <c r="X51" i="57"/>
  <c r="U51" i="57"/>
  <c r="X50" i="57"/>
  <c r="U50" i="57"/>
  <c r="X49" i="57"/>
  <c r="U49" i="57"/>
  <c r="X48" i="57"/>
  <c r="U48" i="57"/>
  <c r="X47" i="57"/>
  <c r="U47" i="57"/>
  <c r="X46" i="57"/>
  <c r="U46" i="57"/>
  <c r="X45" i="57"/>
  <c r="U45" i="57"/>
  <c r="X44" i="57"/>
  <c r="U44" i="57"/>
  <c r="X43" i="57"/>
  <c r="U43" i="57"/>
  <c r="X42" i="57"/>
  <c r="U42" i="57"/>
  <c r="X41" i="57"/>
  <c r="U41" i="57"/>
  <c r="X40" i="57"/>
  <c r="U40" i="57"/>
  <c r="X39" i="57"/>
  <c r="U39" i="57"/>
  <c r="X38" i="57"/>
  <c r="U38" i="57"/>
  <c r="X37" i="57"/>
  <c r="U37" i="57"/>
  <c r="X36" i="57"/>
  <c r="U36" i="57"/>
  <c r="X35" i="57"/>
  <c r="U35" i="57"/>
  <c r="X34" i="57"/>
  <c r="U34" i="57"/>
  <c r="X33" i="57"/>
  <c r="U33" i="57"/>
  <c r="X32" i="57"/>
  <c r="U32" i="57"/>
  <c r="X31" i="57"/>
  <c r="U31" i="57"/>
  <c r="X30" i="57"/>
  <c r="U30" i="57"/>
  <c r="X29" i="57"/>
  <c r="U29" i="57"/>
  <c r="X28" i="57"/>
  <c r="U28" i="57"/>
  <c r="X27" i="57"/>
  <c r="U27" i="57"/>
  <c r="X26" i="57"/>
  <c r="U26" i="57"/>
  <c r="X25" i="57"/>
  <c r="U25" i="57"/>
  <c r="X24" i="57"/>
  <c r="U24" i="57"/>
  <c r="X23" i="57"/>
  <c r="U23" i="57"/>
  <c r="X22" i="57"/>
  <c r="U22" i="57"/>
  <c r="X21" i="57"/>
  <c r="U21" i="57"/>
  <c r="X20" i="57"/>
  <c r="U20" i="57"/>
  <c r="X19" i="57"/>
  <c r="U19" i="57"/>
  <c r="X18" i="57"/>
  <c r="U18" i="57"/>
  <c r="X17" i="57"/>
  <c r="U17" i="57"/>
  <c r="X16" i="57"/>
  <c r="X22" i="59"/>
  <c r="X21" i="59"/>
  <c r="X20" i="59"/>
  <c r="X19" i="59"/>
  <c r="X18" i="59"/>
  <c r="X17" i="59"/>
  <c r="X16" i="59"/>
  <c r="U17" i="59"/>
  <c r="U16" i="59"/>
  <c r="X18" i="31"/>
  <c r="Y18" i="31"/>
  <c r="U18" i="31"/>
  <c r="V18" i="31"/>
  <c r="S18" i="31"/>
  <c r="X23" i="56"/>
  <c r="X22" i="56"/>
  <c r="X21" i="56"/>
  <c r="X20" i="56"/>
  <c r="X19" i="56"/>
  <c r="X18" i="56"/>
  <c r="X17" i="56"/>
  <c r="X16" i="56"/>
  <c r="Y23" i="56"/>
  <c r="Y22" i="56"/>
  <c r="Y21" i="56"/>
  <c r="Y20" i="56"/>
  <c r="Y19" i="56"/>
  <c r="Y18" i="56"/>
  <c r="Y17" i="56"/>
  <c r="U23" i="56"/>
  <c r="U22" i="56"/>
  <c r="U21" i="56"/>
  <c r="U20" i="56"/>
  <c r="U19" i="56"/>
  <c r="U18" i="56"/>
  <c r="U17" i="56"/>
  <c r="U16" i="56"/>
  <c r="V23" i="56"/>
  <c r="V22" i="56"/>
  <c r="V21" i="56"/>
  <c r="V20" i="56"/>
  <c r="V19" i="56"/>
  <c r="V18" i="56"/>
  <c r="V17" i="56"/>
  <c r="S23" i="56"/>
  <c r="S22" i="56"/>
  <c r="S21" i="56"/>
  <c r="S20" i="56"/>
  <c r="S19" i="56"/>
  <c r="S18" i="56"/>
  <c r="S17" i="56"/>
  <c r="S16" i="56"/>
  <c r="S17" i="71"/>
  <c r="T17" i="71"/>
  <c r="U17" i="71"/>
  <c r="W17" i="71"/>
  <c r="Y17" i="71"/>
  <c r="X17" i="71"/>
  <c r="S18" i="71"/>
  <c r="T18" i="71"/>
  <c r="U18" i="71"/>
  <c r="W18" i="71"/>
  <c r="X18" i="71"/>
  <c r="S19" i="71"/>
  <c r="T19" i="71"/>
  <c r="U19" i="71"/>
  <c r="W19" i="71"/>
  <c r="X19" i="71"/>
  <c r="S20" i="71"/>
  <c r="T20" i="71"/>
  <c r="U20" i="71"/>
  <c r="W20" i="71"/>
  <c r="Y20" i="71"/>
  <c r="X20" i="71"/>
  <c r="S21" i="71"/>
  <c r="T21" i="71"/>
  <c r="V21" i="71"/>
  <c r="U21" i="71"/>
  <c r="W21" i="71"/>
  <c r="X21" i="71"/>
  <c r="S22" i="71"/>
  <c r="T22" i="71"/>
  <c r="U22" i="71"/>
  <c r="W22" i="71"/>
  <c r="X22" i="71"/>
  <c r="S23" i="71"/>
  <c r="T23" i="71"/>
  <c r="U23" i="71"/>
  <c r="W23" i="71"/>
  <c r="X23" i="71"/>
  <c r="S24" i="71"/>
  <c r="T24" i="71"/>
  <c r="U24" i="71"/>
  <c r="W24" i="71"/>
  <c r="X24" i="71"/>
  <c r="S25" i="71"/>
  <c r="T25" i="71"/>
  <c r="U25" i="71"/>
  <c r="W25" i="71"/>
  <c r="X25" i="71"/>
  <c r="S26" i="71"/>
  <c r="T26" i="71"/>
  <c r="U26" i="71"/>
  <c r="W26" i="71"/>
  <c r="X26" i="71"/>
  <c r="S27" i="71"/>
  <c r="T27" i="71"/>
  <c r="U27" i="71"/>
  <c r="W27" i="71"/>
  <c r="X27" i="71"/>
  <c r="S28" i="71"/>
  <c r="T28" i="71"/>
  <c r="U28" i="71"/>
  <c r="W28" i="71"/>
  <c r="X28" i="71"/>
  <c r="S29" i="71"/>
  <c r="T29" i="71"/>
  <c r="U29" i="71"/>
  <c r="W29" i="71"/>
  <c r="X29" i="71"/>
  <c r="S30" i="71"/>
  <c r="T30" i="71"/>
  <c r="U30" i="71"/>
  <c r="W30" i="71"/>
  <c r="X30" i="71"/>
  <c r="S31" i="71"/>
  <c r="T31" i="71"/>
  <c r="U31" i="71"/>
  <c r="W31" i="71"/>
  <c r="X31" i="71"/>
  <c r="S32" i="71"/>
  <c r="T32" i="71"/>
  <c r="U32" i="71"/>
  <c r="W32" i="71"/>
  <c r="X32" i="71"/>
  <c r="S33" i="71"/>
  <c r="T33" i="71"/>
  <c r="U33" i="71"/>
  <c r="W33" i="71"/>
  <c r="X33" i="71"/>
  <c r="S34" i="71"/>
  <c r="T34" i="71"/>
  <c r="U34" i="71"/>
  <c r="W34" i="71"/>
  <c r="X34" i="71"/>
  <c r="S35" i="71"/>
  <c r="T35" i="71"/>
  <c r="U35" i="71"/>
  <c r="W35" i="71"/>
  <c r="X35" i="71"/>
  <c r="S36" i="71"/>
  <c r="T36" i="71"/>
  <c r="U36" i="71"/>
  <c r="W36" i="71"/>
  <c r="X36" i="71"/>
  <c r="S37" i="71"/>
  <c r="T37" i="71"/>
  <c r="U37" i="71"/>
  <c r="W37" i="71"/>
  <c r="X37" i="71"/>
  <c r="S38" i="71"/>
  <c r="T38" i="71"/>
  <c r="U38" i="71"/>
  <c r="W38" i="71"/>
  <c r="X38" i="71"/>
  <c r="S39" i="71"/>
  <c r="T39" i="71"/>
  <c r="U39" i="71"/>
  <c r="W39" i="71"/>
  <c r="X39" i="71"/>
  <c r="S40" i="71"/>
  <c r="T40" i="71"/>
  <c r="U40" i="71"/>
  <c r="W40" i="71"/>
  <c r="X40" i="71"/>
  <c r="S41" i="71"/>
  <c r="T41" i="71"/>
  <c r="U41" i="71"/>
  <c r="W41" i="71"/>
  <c r="X41" i="71"/>
  <c r="S42" i="71"/>
  <c r="T42" i="71"/>
  <c r="U42" i="71"/>
  <c r="W42" i="71"/>
  <c r="X42" i="71"/>
  <c r="S43" i="71"/>
  <c r="T43" i="71"/>
  <c r="U43" i="71"/>
  <c r="W43" i="71"/>
  <c r="X43" i="71"/>
  <c r="S44" i="71"/>
  <c r="T44" i="71"/>
  <c r="U44" i="71"/>
  <c r="W44" i="71"/>
  <c r="X44" i="71"/>
  <c r="S45" i="71"/>
  <c r="T45" i="71"/>
  <c r="U45" i="71"/>
  <c r="W45" i="71"/>
  <c r="X45" i="71"/>
  <c r="S46" i="71"/>
  <c r="T46" i="71"/>
  <c r="U46" i="71"/>
  <c r="W46" i="71"/>
  <c r="X46" i="71"/>
  <c r="S47" i="71"/>
  <c r="T47" i="71"/>
  <c r="U47" i="71"/>
  <c r="W47" i="71"/>
  <c r="X47" i="71"/>
  <c r="S48" i="71"/>
  <c r="T48" i="71"/>
  <c r="U48" i="71"/>
  <c r="W48" i="71"/>
  <c r="X48" i="71"/>
  <c r="S49" i="71"/>
  <c r="T49" i="71"/>
  <c r="U49" i="71"/>
  <c r="W49" i="71"/>
  <c r="X49" i="71"/>
  <c r="S50" i="71"/>
  <c r="T50" i="71"/>
  <c r="U50" i="71"/>
  <c r="W50" i="71"/>
  <c r="X50" i="71"/>
  <c r="S51" i="71"/>
  <c r="T51" i="71"/>
  <c r="U51" i="71"/>
  <c r="W51" i="71"/>
  <c r="X51" i="71"/>
  <c r="S52" i="71"/>
  <c r="T52" i="71"/>
  <c r="U52" i="71"/>
  <c r="W52" i="71"/>
  <c r="X52" i="71"/>
  <c r="X16" i="71"/>
  <c r="W16" i="71"/>
  <c r="U16" i="71"/>
  <c r="T16" i="71"/>
  <c r="S16" i="71"/>
  <c r="F16" i="71"/>
  <c r="F17" i="71"/>
  <c r="F16" i="74"/>
  <c r="F17" i="74"/>
  <c r="F16" i="73"/>
  <c r="F17" i="73"/>
  <c r="F16" i="72"/>
  <c r="F17" i="72"/>
  <c r="B20" i="45"/>
  <c r="M21" i="2"/>
  <c r="O21" i="2"/>
  <c r="S31" i="45"/>
  <c r="U31" i="45"/>
  <c r="V31" i="45"/>
  <c r="X31" i="45"/>
  <c r="Y31" i="45"/>
  <c r="S32" i="45"/>
  <c r="U32" i="45"/>
  <c r="V32" i="45"/>
  <c r="X32" i="45"/>
  <c r="Y32" i="45"/>
  <c r="S33" i="45"/>
  <c r="U33" i="45"/>
  <c r="V33" i="45"/>
  <c r="X33" i="45"/>
  <c r="Y33" i="45"/>
  <c r="S34" i="45"/>
  <c r="U34" i="45"/>
  <c r="V34" i="45"/>
  <c r="X34" i="45"/>
  <c r="Y34" i="45"/>
  <c r="S35" i="45"/>
  <c r="U35" i="45"/>
  <c r="V35" i="45"/>
  <c r="X35" i="45"/>
  <c r="Y35" i="45"/>
  <c r="S36" i="45"/>
  <c r="U36" i="45"/>
  <c r="V36" i="45"/>
  <c r="X36" i="45"/>
  <c r="Y36" i="45"/>
  <c r="S37" i="45"/>
  <c r="U37" i="45"/>
  <c r="V37" i="45"/>
  <c r="X37" i="45"/>
  <c r="Y37" i="45"/>
  <c r="S38" i="45"/>
  <c r="V38" i="45"/>
  <c r="U38" i="45"/>
  <c r="X38" i="45"/>
  <c r="Y38" i="45"/>
  <c r="B20" i="43"/>
  <c r="M18" i="2"/>
  <c r="M15" i="31"/>
  <c r="B21" i="31"/>
  <c r="I22" i="2"/>
  <c r="M15" i="30"/>
  <c r="X72" i="30"/>
  <c r="Y72" i="30"/>
  <c r="U72" i="30"/>
  <c r="S72" i="30"/>
  <c r="X71" i="30"/>
  <c r="U71" i="30"/>
  <c r="V71" i="30"/>
  <c r="S71" i="30"/>
  <c r="X70" i="30"/>
  <c r="Y70" i="30"/>
  <c r="U70" i="30"/>
  <c r="V70" i="30"/>
  <c r="S70" i="30"/>
  <c r="X69" i="30"/>
  <c r="Y69" i="30"/>
  <c r="U69" i="30"/>
  <c r="S69" i="30"/>
  <c r="X68" i="30"/>
  <c r="Y68" i="30"/>
  <c r="U68" i="30"/>
  <c r="V68" i="30"/>
  <c r="S68" i="30"/>
  <c r="X67" i="30"/>
  <c r="Y67" i="30"/>
  <c r="U67" i="30"/>
  <c r="V67" i="30"/>
  <c r="S67" i="30"/>
  <c r="X66" i="30"/>
  <c r="Y66" i="30"/>
  <c r="U66" i="30"/>
  <c r="V66" i="30"/>
  <c r="S66" i="30"/>
  <c r="X65" i="30"/>
  <c r="Y65" i="30"/>
  <c r="U65" i="30"/>
  <c r="V65" i="30"/>
  <c r="S65" i="30"/>
  <c r="X64" i="30"/>
  <c r="Y64" i="30"/>
  <c r="U64" i="30"/>
  <c r="V64" i="30"/>
  <c r="S64" i="30"/>
  <c r="X63" i="30"/>
  <c r="Y63" i="30"/>
  <c r="U63" i="30"/>
  <c r="V63" i="30"/>
  <c r="S63" i="30"/>
  <c r="X62" i="30"/>
  <c r="Y62" i="30"/>
  <c r="U62" i="30"/>
  <c r="V62" i="30"/>
  <c r="S62" i="30"/>
  <c r="X61" i="30"/>
  <c r="Y61" i="30"/>
  <c r="U61" i="30"/>
  <c r="S61" i="30"/>
  <c r="X60" i="30"/>
  <c r="Y60" i="30"/>
  <c r="U60" i="30"/>
  <c r="V60" i="30"/>
  <c r="S60" i="30"/>
  <c r="X59" i="30"/>
  <c r="Y59" i="30"/>
  <c r="U59" i="30"/>
  <c r="V59" i="30"/>
  <c r="S59" i="30"/>
  <c r="X58" i="30"/>
  <c r="Y58" i="30"/>
  <c r="U58" i="30"/>
  <c r="V58" i="30"/>
  <c r="S58" i="30"/>
  <c r="X57" i="30"/>
  <c r="Y57" i="30"/>
  <c r="U57" i="30"/>
  <c r="V57" i="30"/>
  <c r="S57" i="30"/>
  <c r="X56" i="30"/>
  <c r="Y56" i="30"/>
  <c r="U56" i="30"/>
  <c r="V56" i="30"/>
  <c r="S56" i="30"/>
  <c r="X55" i="30"/>
  <c r="Y55" i="30"/>
  <c r="U55" i="30"/>
  <c r="V55" i="30"/>
  <c r="S55" i="30"/>
  <c r="X54" i="30"/>
  <c r="Y54" i="30"/>
  <c r="U54" i="30"/>
  <c r="V54" i="30"/>
  <c r="S54" i="30"/>
  <c r="B20" i="30"/>
  <c r="I21" i="2"/>
  <c r="M15" i="29"/>
  <c r="X23" i="29"/>
  <c r="Y23" i="29"/>
  <c r="U23" i="29"/>
  <c r="S23" i="29"/>
  <c r="X22" i="29"/>
  <c r="Y22" i="29"/>
  <c r="U22" i="29"/>
  <c r="V22" i="29"/>
  <c r="S22" i="29"/>
  <c r="B20" i="27"/>
  <c r="I18" i="2"/>
  <c r="K18" i="2"/>
  <c r="X24" i="18"/>
  <c r="Y24" i="18"/>
  <c r="U24" i="18"/>
  <c r="V24" i="18"/>
  <c r="X23" i="18"/>
  <c r="U23" i="18"/>
  <c r="V23" i="18"/>
  <c r="X22" i="18"/>
  <c r="U22" i="18"/>
  <c r="V22" i="18"/>
  <c r="S24" i="18"/>
  <c r="S23" i="18"/>
  <c r="S22" i="18"/>
  <c r="X46" i="18"/>
  <c r="U46" i="18"/>
  <c r="V46" i="18"/>
  <c r="S46" i="18"/>
  <c r="X45" i="18"/>
  <c r="Y45" i="18"/>
  <c r="U45" i="18"/>
  <c r="S45" i="18"/>
  <c r="X44" i="18"/>
  <c r="U44" i="18"/>
  <c r="S44" i="18"/>
  <c r="X43" i="18"/>
  <c r="U43" i="18"/>
  <c r="V43" i="18"/>
  <c r="S43" i="18"/>
  <c r="X42" i="18"/>
  <c r="U42" i="18"/>
  <c r="V42" i="18"/>
  <c r="S42" i="18"/>
  <c r="X41" i="18"/>
  <c r="Y41" i="18"/>
  <c r="U41" i="18"/>
  <c r="S41" i="18"/>
  <c r="X40" i="18"/>
  <c r="Y40" i="18"/>
  <c r="U40" i="18"/>
  <c r="S40" i="18"/>
  <c r="X39" i="18"/>
  <c r="U39" i="18"/>
  <c r="V39" i="18"/>
  <c r="S39" i="18"/>
  <c r="X38" i="18"/>
  <c r="Y38" i="18"/>
  <c r="U38" i="18"/>
  <c r="S38" i="18"/>
  <c r="B20" i="18"/>
  <c r="I10" i="2"/>
  <c r="M15" i="17"/>
  <c r="B20" i="17"/>
  <c r="I9" i="2"/>
  <c r="M15" i="19"/>
  <c r="B20" i="19"/>
  <c r="I11" i="2"/>
  <c r="D37" i="41"/>
  <c r="B20" i="41"/>
  <c r="M17" i="2"/>
  <c r="O17" i="2"/>
  <c r="X43" i="41"/>
  <c r="Y43" i="41"/>
  <c r="U43" i="41"/>
  <c r="V43" i="41"/>
  <c r="S43" i="41"/>
  <c r="X42" i="41"/>
  <c r="Y42" i="41"/>
  <c r="U42" i="41"/>
  <c r="V42" i="41"/>
  <c r="S42" i="41"/>
  <c r="X41" i="41"/>
  <c r="Y41" i="41"/>
  <c r="U41" i="41"/>
  <c r="V41" i="41"/>
  <c r="S41" i="41"/>
  <c r="X40" i="41"/>
  <c r="Y40" i="41"/>
  <c r="U40" i="41"/>
  <c r="V40" i="41"/>
  <c r="S40" i="41"/>
  <c r="X39" i="41"/>
  <c r="Y39" i="41"/>
  <c r="U39" i="41"/>
  <c r="V39" i="41"/>
  <c r="S39" i="41"/>
  <c r="X38" i="41"/>
  <c r="Y38" i="41"/>
  <c r="U38" i="41"/>
  <c r="V38" i="41"/>
  <c r="S38" i="41"/>
  <c r="X37" i="41"/>
  <c r="Y37" i="41"/>
  <c r="U37" i="41"/>
  <c r="V37" i="41"/>
  <c r="S37" i="41"/>
  <c r="X36" i="41"/>
  <c r="Y36" i="41"/>
  <c r="U36" i="41"/>
  <c r="V36" i="41"/>
  <c r="S36" i="41"/>
  <c r="X35" i="41"/>
  <c r="Y35" i="41"/>
  <c r="U35" i="41"/>
  <c r="V35" i="41"/>
  <c r="S35" i="41"/>
  <c r="X34" i="41"/>
  <c r="Y34" i="41"/>
  <c r="U34" i="41"/>
  <c r="V34" i="41"/>
  <c r="S34" i="41"/>
  <c r="X33" i="41"/>
  <c r="Y33" i="41"/>
  <c r="U33" i="41"/>
  <c r="V33" i="41"/>
  <c r="S33" i="41"/>
  <c r="X32" i="41"/>
  <c r="Y32" i="41"/>
  <c r="U32" i="41"/>
  <c r="V32" i="41"/>
  <c r="S32" i="41"/>
  <c r="X31" i="41"/>
  <c r="Y31" i="41"/>
  <c r="U31" i="41"/>
  <c r="V31" i="41"/>
  <c r="S31" i="41"/>
  <c r="X30" i="41"/>
  <c r="Y30" i="41"/>
  <c r="U30" i="41"/>
  <c r="V30" i="41"/>
  <c r="S30" i="41"/>
  <c r="X29" i="41"/>
  <c r="Y29" i="41"/>
  <c r="U29" i="41"/>
  <c r="V29" i="41"/>
  <c r="S29" i="41"/>
  <c r="X28" i="41"/>
  <c r="Y28" i="41"/>
  <c r="U28" i="41"/>
  <c r="V28" i="41"/>
  <c r="S28" i="41"/>
  <c r="X27" i="41"/>
  <c r="Y27" i="41"/>
  <c r="V27" i="41"/>
  <c r="U27" i="41"/>
  <c r="S27" i="41"/>
  <c r="X26" i="41"/>
  <c r="Y26" i="41"/>
  <c r="U26" i="41"/>
  <c r="V26" i="41"/>
  <c r="S26" i="41"/>
  <c r="X25" i="41"/>
  <c r="Y25" i="41"/>
  <c r="U25" i="41"/>
  <c r="V25" i="41"/>
  <c r="S25" i="41"/>
  <c r="X24" i="41"/>
  <c r="Y24" i="41"/>
  <c r="U24" i="41"/>
  <c r="V24" i="41"/>
  <c r="S24" i="41"/>
  <c r="X23" i="41"/>
  <c r="Y23" i="41"/>
  <c r="U23" i="41"/>
  <c r="V23" i="41"/>
  <c r="S23" i="41"/>
  <c r="X22" i="41"/>
  <c r="Y22" i="41"/>
  <c r="U22" i="41"/>
  <c r="V22" i="41"/>
  <c r="S22" i="41"/>
  <c r="X21" i="41"/>
  <c r="Y21" i="41"/>
  <c r="U21" i="41"/>
  <c r="V21" i="41"/>
  <c r="S21" i="41"/>
  <c r="X20" i="41"/>
  <c r="Y20" i="41"/>
  <c r="U20" i="41"/>
  <c r="V20" i="41"/>
  <c r="S20" i="41"/>
  <c r="X19" i="41"/>
  <c r="Y19" i="41"/>
  <c r="U19" i="41"/>
  <c r="V19" i="41"/>
  <c r="S19" i="41"/>
  <c r="X18" i="41"/>
  <c r="Y18" i="41"/>
  <c r="U18" i="41"/>
  <c r="V18" i="41"/>
  <c r="S18" i="41"/>
  <c r="X17" i="41"/>
  <c r="Y17" i="41"/>
  <c r="U17" i="41"/>
  <c r="V17" i="41"/>
  <c r="S17" i="41"/>
  <c r="M15" i="24"/>
  <c r="X27" i="24"/>
  <c r="Y27" i="24"/>
  <c r="U27" i="24"/>
  <c r="V27" i="24"/>
  <c r="S27" i="24"/>
  <c r="B20" i="23"/>
  <c r="I14" i="2"/>
  <c r="B20" i="24"/>
  <c r="I15" i="2"/>
  <c r="X28" i="23"/>
  <c r="Y28" i="23"/>
  <c r="X27" i="23"/>
  <c r="U28" i="23"/>
  <c r="V28" i="23"/>
  <c r="U27" i="23"/>
  <c r="V27" i="23"/>
  <c r="S28" i="23"/>
  <c r="S27" i="23"/>
  <c r="B20" i="16"/>
  <c r="I8" i="2"/>
  <c r="X16" i="16"/>
  <c r="U16" i="16"/>
  <c r="S16" i="16"/>
  <c r="B20" i="37"/>
  <c r="M11" i="2"/>
  <c r="O11" i="2"/>
  <c r="AC113" i="14"/>
  <c r="AC112" i="14"/>
  <c r="AC111" i="14"/>
  <c r="AC110" i="14"/>
  <c r="AC109" i="14"/>
  <c r="AC108" i="14"/>
  <c r="AC107" i="14"/>
  <c r="AC106" i="14"/>
  <c r="AC105" i="14"/>
  <c r="AC104" i="14"/>
  <c r="AC103" i="14"/>
  <c r="AC102" i="14"/>
  <c r="AC101" i="14"/>
  <c r="AC100" i="14"/>
  <c r="AC99" i="14"/>
  <c r="AC98" i="14"/>
  <c r="AC97" i="14"/>
  <c r="AC96" i="14"/>
  <c r="AC95" i="14"/>
  <c r="AC94" i="14"/>
  <c r="AC93" i="14"/>
  <c r="AC92" i="14"/>
  <c r="AC91" i="14"/>
  <c r="AC90" i="14"/>
  <c r="AC89" i="14"/>
  <c r="AA15" i="14"/>
  <c r="X113" i="14"/>
  <c r="Y113" i="14"/>
  <c r="X112" i="14"/>
  <c r="Y112" i="14"/>
  <c r="X111" i="14"/>
  <c r="Y111" i="14"/>
  <c r="X110" i="14"/>
  <c r="X109" i="14"/>
  <c r="Y109" i="14"/>
  <c r="X108" i="14"/>
  <c r="Y108" i="14"/>
  <c r="X107" i="14"/>
  <c r="Y107" i="14"/>
  <c r="X106" i="14"/>
  <c r="X105" i="14"/>
  <c r="Y105" i="14"/>
  <c r="X104" i="14"/>
  <c r="Y104" i="14"/>
  <c r="X103" i="14"/>
  <c r="Y103" i="14"/>
  <c r="X102" i="14"/>
  <c r="X101" i="14"/>
  <c r="Y101" i="14"/>
  <c r="X100" i="14"/>
  <c r="Y100" i="14"/>
  <c r="X99" i="14"/>
  <c r="Y99" i="14"/>
  <c r="X98" i="14"/>
  <c r="X97" i="14"/>
  <c r="Y97" i="14"/>
  <c r="X96" i="14"/>
  <c r="Y96" i="14"/>
  <c r="X95" i="14"/>
  <c r="Y95" i="14"/>
  <c r="X94" i="14"/>
  <c r="X93" i="14"/>
  <c r="Y93" i="14"/>
  <c r="X92" i="14"/>
  <c r="Y92" i="14"/>
  <c r="X91" i="14"/>
  <c r="Y91" i="14"/>
  <c r="X90" i="14"/>
  <c r="X89" i="14"/>
  <c r="Y89" i="14"/>
  <c r="S114" i="14"/>
  <c r="S113" i="14"/>
  <c r="S112" i="14"/>
  <c r="S111" i="14"/>
  <c r="S110" i="14"/>
  <c r="S109" i="14"/>
  <c r="S108" i="14"/>
  <c r="S107" i="14"/>
  <c r="S106" i="14"/>
  <c r="S105" i="14"/>
  <c r="S104" i="14"/>
  <c r="S103" i="14"/>
  <c r="S102" i="14"/>
  <c r="S101" i="14"/>
  <c r="S100" i="14"/>
  <c r="S99" i="14"/>
  <c r="S98" i="14"/>
  <c r="S97" i="14"/>
  <c r="S96" i="14"/>
  <c r="S95" i="14"/>
  <c r="S94" i="14"/>
  <c r="S93" i="14"/>
  <c r="S92" i="14"/>
  <c r="S91" i="14"/>
  <c r="S90" i="14"/>
  <c r="S89" i="14"/>
  <c r="M15" i="14"/>
  <c r="F19" i="14"/>
  <c r="F18" i="14"/>
  <c r="F17" i="14"/>
  <c r="F16" i="14"/>
  <c r="E37" i="42"/>
  <c r="D37" i="42"/>
  <c r="T6" i="70"/>
  <c r="T37" i="13"/>
  <c r="F30" i="69"/>
  <c r="V52" i="71"/>
  <c r="Y50" i="71"/>
  <c r="V48" i="71"/>
  <c r="Y46" i="71"/>
  <c r="V44" i="71"/>
  <c r="Y42" i="71"/>
  <c r="V40" i="71"/>
  <c r="Y38" i="71"/>
  <c r="V36" i="71"/>
  <c r="Y34" i="71"/>
  <c r="V32" i="71"/>
  <c r="Y30" i="71"/>
  <c r="V28" i="71"/>
  <c r="Y26" i="71"/>
  <c r="L15" i="56"/>
  <c r="U15" i="72"/>
  <c r="T6" i="72"/>
  <c r="X15" i="72"/>
  <c r="V72" i="30"/>
  <c r="X15" i="22"/>
  <c r="E67" i="22"/>
  <c r="Q6" i="22"/>
  <c r="Q17" i="12"/>
  <c r="E34" i="111"/>
  <c r="F34" i="111"/>
  <c r="E34" i="96"/>
  <c r="F34" i="96"/>
  <c r="V50" i="71"/>
  <c r="Y45" i="71"/>
  <c r="V42" i="71"/>
  <c r="Y37" i="71"/>
  <c r="V34" i="71"/>
  <c r="Y29" i="71"/>
  <c r="V26" i="71"/>
  <c r="Y15" i="69"/>
  <c r="F43" i="62"/>
  <c r="F49" i="62"/>
  <c r="F61" i="22"/>
  <c r="F43" i="22"/>
  <c r="U15" i="22"/>
  <c r="T6" i="22"/>
  <c r="T17" i="12"/>
  <c r="G14" i="11"/>
  <c r="E27" i="69"/>
  <c r="K6" i="69"/>
  <c r="K36" i="13"/>
  <c r="Y52" i="71"/>
  <c r="Y48" i="71"/>
  <c r="V46" i="71"/>
  <c r="Y44" i="71"/>
  <c r="V38" i="71"/>
  <c r="V30" i="71"/>
  <c r="V20" i="71"/>
  <c r="Y40" i="71"/>
  <c r="Y36" i="71"/>
  <c r="Y32" i="71"/>
  <c r="Y28" i="71"/>
  <c r="Y18" i="71"/>
  <c r="Y49" i="71"/>
  <c r="Y41" i="71"/>
  <c r="Y33" i="71"/>
  <c r="Y25" i="71"/>
  <c r="L15" i="62"/>
  <c r="E30" i="62"/>
  <c r="F34" i="62"/>
  <c r="L15" i="61"/>
  <c r="I6" i="61"/>
  <c r="I44" i="12" s="1"/>
  <c r="I38" i="12" s="1"/>
  <c r="I47" i="12" s="1"/>
  <c r="F49" i="61"/>
  <c r="U15" i="59"/>
  <c r="E29" i="22"/>
  <c r="F33" i="22"/>
  <c r="P6" i="22"/>
  <c r="P17" i="12"/>
  <c r="E30" i="22"/>
  <c r="F30" i="22"/>
  <c r="F34" i="22"/>
  <c r="L15" i="72"/>
  <c r="V47" i="71"/>
  <c r="V45" i="71"/>
  <c r="V39" i="71"/>
  <c r="V37" i="71"/>
  <c r="V31" i="71"/>
  <c r="V29" i="71"/>
  <c r="T15" i="71"/>
  <c r="V51" i="71"/>
  <c r="V49" i="71"/>
  <c r="V43" i="71"/>
  <c r="V41" i="71"/>
  <c r="V35" i="71"/>
  <c r="V33" i="71"/>
  <c r="V27" i="71"/>
  <c r="V25" i="71"/>
  <c r="D12" i="70"/>
  <c r="Q43" i="2"/>
  <c r="S43" i="2"/>
  <c r="N4" i="61"/>
  <c r="F61" i="61"/>
  <c r="P4" i="61"/>
  <c r="E67" i="59"/>
  <c r="X15" i="56"/>
  <c r="E67" i="56"/>
  <c r="U15" i="56"/>
  <c r="K22" i="2"/>
  <c r="Q22" i="2"/>
  <c r="S22" i="2"/>
  <c r="K21" i="2"/>
  <c r="Q21" i="2"/>
  <c r="S21" i="2"/>
  <c r="K15" i="2"/>
  <c r="Q15" i="2"/>
  <c r="S15" i="2"/>
  <c r="K14" i="2"/>
  <c r="Q14" i="2"/>
  <c r="S14" i="2"/>
  <c r="K17" i="2"/>
  <c r="Q17" i="2"/>
  <c r="S17" i="2"/>
  <c r="F49" i="22"/>
  <c r="V17" i="22"/>
  <c r="M4" i="22"/>
  <c r="Y16" i="22"/>
  <c r="Y15" i="22"/>
  <c r="K11" i="2"/>
  <c r="Q11" i="2"/>
  <c r="S11" i="2"/>
  <c r="K10" i="2"/>
  <c r="Q10" i="2"/>
  <c r="S10" i="2"/>
  <c r="K9" i="2"/>
  <c r="Q9" i="2"/>
  <c r="S9" i="2"/>
  <c r="K8" i="2"/>
  <c r="Q8" i="2"/>
  <c r="S8" i="2"/>
  <c r="L15" i="74"/>
  <c r="Y16" i="71"/>
  <c r="Y51" i="71"/>
  <c r="Y47" i="71"/>
  <c r="Y43" i="71"/>
  <c r="Y39" i="71"/>
  <c r="Y35" i="71"/>
  <c r="Y31" i="71"/>
  <c r="Y27" i="71"/>
  <c r="V24" i="71"/>
  <c r="Y21" i="71"/>
  <c r="E12" i="70"/>
  <c r="Q6" i="69"/>
  <c r="Q36" i="13"/>
  <c r="O18" i="2"/>
  <c r="Q18" i="2"/>
  <c r="L15" i="71"/>
  <c r="U15" i="71"/>
  <c r="X15" i="71"/>
  <c r="E67" i="71"/>
  <c r="Q6" i="71"/>
  <c r="V17" i="71"/>
  <c r="Y27" i="23"/>
  <c r="L15" i="63"/>
  <c r="E67" i="63"/>
  <c r="Y24" i="71"/>
  <c r="Y23" i="71"/>
  <c r="V22" i="71"/>
  <c r="V18" i="71"/>
  <c r="Y22" i="71"/>
  <c r="Y19" i="71"/>
  <c r="W15" i="71"/>
  <c r="V16" i="71"/>
  <c r="V23" i="71"/>
  <c r="V19" i="71"/>
  <c r="U15" i="74"/>
  <c r="V23" i="29"/>
  <c r="E67" i="57"/>
  <c r="V26" i="36"/>
  <c r="Y19" i="36"/>
  <c r="Y27" i="36"/>
  <c r="Y20" i="36"/>
  <c r="V33" i="36"/>
  <c r="V25" i="36"/>
  <c r="V31" i="36"/>
  <c r="V23" i="36"/>
  <c r="V61" i="30"/>
  <c r="V69" i="30"/>
  <c r="Y25" i="46"/>
  <c r="Y23" i="46"/>
  <c r="Y71" i="30"/>
  <c r="V38" i="18"/>
  <c r="V44" i="18"/>
  <c r="Y43" i="18"/>
  <c r="Y46" i="18"/>
  <c r="Y22" i="18"/>
  <c r="Y39" i="18"/>
  <c r="Y44" i="18"/>
  <c r="Y42" i="18"/>
  <c r="Y23" i="18"/>
  <c r="V41" i="18"/>
  <c r="V40" i="18"/>
  <c r="V45" i="18"/>
  <c r="Y16" i="16"/>
  <c r="V16" i="16"/>
  <c r="V32" i="36"/>
  <c r="Y30" i="36"/>
  <c r="V28" i="36"/>
  <c r="Y26" i="36"/>
  <c r="V24" i="36"/>
  <c r="Y22" i="36"/>
  <c r="V20" i="36"/>
  <c r="I6" i="22"/>
  <c r="I17" i="12"/>
  <c r="Y90" i="14"/>
  <c r="Y94" i="14"/>
  <c r="Y98" i="14"/>
  <c r="Y102" i="14"/>
  <c r="Y106" i="14"/>
  <c r="Y110" i="14"/>
  <c r="F27" i="70"/>
  <c r="K4" i="70"/>
  <c r="K6" i="70"/>
  <c r="Q4" i="70"/>
  <c r="F67" i="70"/>
  <c r="F29" i="69"/>
  <c r="V15" i="69"/>
  <c r="O15" i="69"/>
  <c r="D27" i="69"/>
  <c r="D12" i="69"/>
  <c r="F67" i="69"/>
  <c r="V17" i="46"/>
  <c r="V17" i="36"/>
  <c r="V18" i="36"/>
  <c r="I4" i="62"/>
  <c r="N4" i="62"/>
  <c r="J6" i="62"/>
  <c r="J45" i="12"/>
  <c r="E67" i="62"/>
  <c r="T6" i="62"/>
  <c r="T45" i="12"/>
  <c r="F21" i="62"/>
  <c r="F37" i="62"/>
  <c r="F55" i="62"/>
  <c r="F61" i="62"/>
  <c r="T4" i="61"/>
  <c r="D29" i="61"/>
  <c r="D67" i="61"/>
  <c r="Q4" i="61"/>
  <c r="I4" i="61"/>
  <c r="D30" i="61"/>
  <c r="E29" i="62"/>
  <c r="F15" i="62"/>
  <c r="I6" i="62"/>
  <c r="D30" i="62"/>
  <c r="E67" i="72"/>
  <c r="D67" i="22"/>
  <c r="V16" i="22"/>
  <c r="V15" i="22"/>
  <c r="X15" i="74"/>
  <c r="E67" i="74"/>
  <c r="T15" i="74"/>
  <c r="W15" i="74"/>
  <c r="N17" i="12"/>
  <c r="J4" i="22"/>
  <c r="N4" i="22"/>
  <c r="J6" i="22"/>
  <c r="J17" i="12"/>
  <c r="F15" i="22"/>
  <c r="F21" i="22"/>
  <c r="D29" i="22"/>
  <c r="I4" i="22"/>
  <c r="F55" i="22"/>
  <c r="V16" i="56"/>
  <c r="V15" i="56"/>
  <c r="Y16" i="56"/>
  <c r="Y15" i="56"/>
  <c r="E12" i="69"/>
  <c r="E27" i="22"/>
  <c r="E12" i="22"/>
  <c r="E27" i="62"/>
  <c r="K6" i="62"/>
  <c r="K45" i="12"/>
  <c r="F30" i="62"/>
  <c r="S6" i="69"/>
  <c r="S36" i="13"/>
  <c r="Y15" i="61"/>
  <c r="S18" i="2"/>
  <c r="Y15" i="63"/>
  <c r="S4" i="70"/>
  <c r="X4" i="70"/>
  <c r="V15" i="63"/>
  <c r="Y15" i="71"/>
  <c r="V15" i="71"/>
  <c r="S6" i="70"/>
  <c r="S37" i="13"/>
  <c r="K37" i="13"/>
  <c r="F12" i="70"/>
  <c r="K4" i="69"/>
  <c r="S4" i="69"/>
  <c r="F27" i="69"/>
  <c r="F12" i="69"/>
  <c r="Q6" i="62"/>
  <c r="F67" i="62"/>
  <c r="F29" i="62"/>
  <c r="I45" i="12"/>
  <c r="D27" i="62"/>
  <c r="F67" i="22"/>
  <c r="Q4" i="22"/>
  <c r="D27" i="22"/>
  <c r="D12" i="22"/>
  <c r="F29" i="22"/>
  <c r="W6" i="69"/>
  <c r="U6" i="69"/>
  <c r="K6" i="22"/>
  <c r="K17" i="12"/>
  <c r="S6" i="62"/>
  <c r="X6" i="62"/>
  <c r="E12" i="62"/>
  <c r="S6" i="22"/>
  <c r="V6" i="22"/>
  <c r="X6" i="69"/>
  <c r="V6" i="69"/>
  <c r="U4" i="70"/>
  <c r="V6" i="70"/>
  <c r="V4" i="70"/>
  <c r="W6" i="70"/>
  <c r="X6" i="70"/>
  <c r="U6" i="70"/>
  <c r="W4" i="70"/>
  <c r="Q45" i="12"/>
  <c r="F27" i="62"/>
  <c r="K4" i="62"/>
  <c r="D12" i="62"/>
  <c r="K4" i="22"/>
  <c r="F27" i="22"/>
  <c r="F12" i="22"/>
  <c r="W6" i="22"/>
  <c r="S17" i="12"/>
  <c r="H14" i="11"/>
  <c r="X6" i="22"/>
  <c r="W6" i="62"/>
  <c r="V6" i="62"/>
  <c r="U6" i="62"/>
  <c r="S45" i="12"/>
  <c r="F12" i="62"/>
  <c r="U6" i="22"/>
  <c r="W4" i="69"/>
  <c r="X4" i="69"/>
  <c r="V4" i="69"/>
  <c r="U4" i="69"/>
  <c r="S4" i="62"/>
  <c r="S4" i="22"/>
  <c r="X4" i="62"/>
  <c r="V4" i="62"/>
  <c r="W4" i="62"/>
  <c r="U4" i="62"/>
  <c r="X4" i="22"/>
  <c r="U4" i="22"/>
  <c r="V4" i="22"/>
  <c r="W4" i="22"/>
  <c r="E21" i="90"/>
  <c r="D21" i="90"/>
  <c r="E34" i="90"/>
  <c r="F34" i="90"/>
  <c r="U22" i="20"/>
  <c r="V22" i="20"/>
  <c r="X22" i="20"/>
  <c r="Y22" i="20"/>
  <c r="U23" i="20"/>
  <c r="V23" i="20"/>
  <c r="X23" i="20"/>
  <c r="Y23" i="20"/>
  <c r="U24" i="20"/>
  <c r="V24" i="20"/>
  <c r="X24" i="20"/>
  <c r="Y24" i="20"/>
  <c r="U25" i="20"/>
  <c r="V25" i="20"/>
  <c r="X25" i="20"/>
  <c r="Y25" i="20"/>
  <c r="U26" i="20"/>
  <c r="V26" i="20"/>
  <c r="X26" i="20"/>
  <c r="Y26" i="20"/>
  <c r="U27" i="20"/>
  <c r="V27" i="20"/>
  <c r="X27" i="20"/>
  <c r="Y27" i="20"/>
  <c r="U28" i="20"/>
  <c r="V28" i="20"/>
  <c r="X28" i="20"/>
  <c r="Y28" i="20"/>
  <c r="U29" i="20"/>
  <c r="V29" i="20"/>
  <c r="X29" i="20"/>
  <c r="Y29" i="20"/>
  <c r="U30" i="20"/>
  <c r="V30" i="20"/>
  <c r="X30" i="20"/>
  <c r="Y30" i="20"/>
  <c r="U31" i="20"/>
  <c r="V31" i="20"/>
  <c r="X31" i="20"/>
  <c r="Y31" i="20"/>
  <c r="U32" i="20"/>
  <c r="V32" i="20"/>
  <c r="X32" i="20"/>
  <c r="Y32" i="20"/>
  <c r="U33" i="20"/>
  <c r="V33" i="20"/>
  <c r="X33" i="20"/>
  <c r="Y33" i="20"/>
  <c r="U34" i="20"/>
  <c r="X34" i="20"/>
  <c r="Y34" i="20"/>
  <c r="U35" i="20"/>
  <c r="V35" i="20"/>
  <c r="X35" i="20"/>
  <c r="Y35" i="20"/>
  <c r="S22" i="20"/>
  <c r="S23" i="20"/>
  <c r="S24" i="20"/>
  <c r="S25" i="20"/>
  <c r="S26" i="20"/>
  <c r="S27" i="20"/>
  <c r="S28" i="20"/>
  <c r="S29" i="20"/>
  <c r="S30" i="20"/>
  <c r="S31" i="20"/>
  <c r="S32" i="20"/>
  <c r="S33" i="20"/>
  <c r="S34" i="20"/>
  <c r="S35" i="20"/>
  <c r="S16" i="20"/>
  <c r="U16" i="20"/>
  <c r="X16" i="20"/>
  <c r="Y16" i="20"/>
  <c r="S17" i="20"/>
  <c r="U17" i="20"/>
  <c r="V17" i="20"/>
  <c r="X17" i="20"/>
  <c r="Y17" i="20"/>
  <c r="S18" i="20"/>
  <c r="U18" i="20"/>
  <c r="V18" i="20"/>
  <c r="X18" i="20"/>
  <c r="Y18" i="20"/>
  <c r="S19" i="20"/>
  <c r="U19" i="20"/>
  <c r="V19" i="20"/>
  <c r="X19" i="20"/>
  <c r="S20" i="20"/>
  <c r="U20" i="20"/>
  <c r="V20" i="20"/>
  <c r="X20" i="20"/>
  <c r="S21" i="20"/>
  <c r="U21" i="20"/>
  <c r="V21" i="20"/>
  <c r="X21" i="20"/>
  <c r="Y21" i="20"/>
  <c r="B20" i="20"/>
  <c r="I12" i="2"/>
  <c r="F17" i="108"/>
  <c r="F18" i="108"/>
  <c r="F20" i="108"/>
  <c r="F21" i="108"/>
  <c r="V16" i="20"/>
  <c r="K12" i="2"/>
  <c r="Q12" i="2"/>
  <c r="S12" i="2"/>
  <c r="Y20" i="20"/>
  <c r="Y19" i="20"/>
  <c r="V34" i="20"/>
  <c r="S23" i="38"/>
  <c r="U23" i="38"/>
  <c r="V23" i="38"/>
  <c r="X23" i="38"/>
  <c r="Y23" i="38"/>
  <c r="S24" i="38"/>
  <c r="U24" i="38"/>
  <c r="V24" i="38"/>
  <c r="X24" i="38"/>
  <c r="S25" i="38"/>
  <c r="U25" i="38"/>
  <c r="X25" i="38"/>
  <c r="Y25" i="38"/>
  <c r="S26" i="38"/>
  <c r="U26" i="38"/>
  <c r="X26" i="38"/>
  <c r="Y26" i="38"/>
  <c r="S27" i="38"/>
  <c r="U27" i="38"/>
  <c r="V27" i="38"/>
  <c r="X27" i="38"/>
  <c r="Y27" i="38"/>
  <c r="S28" i="38"/>
  <c r="U28" i="38"/>
  <c r="V28" i="38"/>
  <c r="X28" i="38"/>
  <c r="S29" i="38"/>
  <c r="U29" i="38"/>
  <c r="X29" i="38"/>
  <c r="Y29" i="38"/>
  <c r="S30" i="38"/>
  <c r="U30" i="38"/>
  <c r="X30" i="38"/>
  <c r="Y30" i="38"/>
  <c r="S31" i="38"/>
  <c r="U31" i="38"/>
  <c r="V31" i="38"/>
  <c r="X31" i="38"/>
  <c r="Y31" i="38"/>
  <c r="S32" i="38"/>
  <c r="U32" i="38"/>
  <c r="V32" i="38"/>
  <c r="X32" i="38"/>
  <c r="S33" i="38"/>
  <c r="U33" i="38"/>
  <c r="X33" i="38"/>
  <c r="Y33" i="38"/>
  <c r="S34" i="38"/>
  <c r="U34" i="38"/>
  <c r="X34" i="38"/>
  <c r="Y34" i="38"/>
  <c r="S35" i="38"/>
  <c r="U35" i="38"/>
  <c r="V35" i="38"/>
  <c r="X35" i="38"/>
  <c r="Y35" i="38"/>
  <c r="S36" i="38"/>
  <c r="U36" i="38"/>
  <c r="V36" i="38"/>
  <c r="X36" i="38"/>
  <c r="S37" i="38"/>
  <c r="U37" i="38"/>
  <c r="V37" i="38"/>
  <c r="X37" i="38"/>
  <c r="Y37" i="38"/>
  <c r="S16" i="38"/>
  <c r="U16" i="38"/>
  <c r="X16" i="38"/>
  <c r="S17" i="38"/>
  <c r="U17" i="38"/>
  <c r="X17" i="38"/>
  <c r="B20" i="38"/>
  <c r="M13" i="2"/>
  <c r="O13" i="2"/>
  <c r="S25" i="21"/>
  <c r="U25" i="21"/>
  <c r="X25" i="21"/>
  <c r="Y25" i="21"/>
  <c r="S26" i="21"/>
  <c r="U26" i="21"/>
  <c r="V26" i="21"/>
  <c r="X26" i="21"/>
  <c r="Y26" i="21"/>
  <c r="S27" i="21"/>
  <c r="U27" i="21"/>
  <c r="V27" i="21"/>
  <c r="X27" i="21"/>
  <c r="S28" i="21"/>
  <c r="U28" i="21"/>
  <c r="V28" i="21"/>
  <c r="X28" i="21"/>
  <c r="Y28" i="21"/>
  <c r="S29" i="21"/>
  <c r="U29" i="21"/>
  <c r="X29" i="21"/>
  <c r="Y29" i="21"/>
  <c r="S30" i="21"/>
  <c r="U30" i="21"/>
  <c r="V30" i="21"/>
  <c r="X30" i="21"/>
  <c r="Y30" i="21"/>
  <c r="S31" i="21"/>
  <c r="U31" i="21"/>
  <c r="V31" i="21"/>
  <c r="X31" i="21"/>
  <c r="S32" i="21"/>
  <c r="U32" i="21"/>
  <c r="V32" i="21"/>
  <c r="X32" i="21"/>
  <c r="Y32" i="21"/>
  <c r="S33" i="21"/>
  <c r="U33" i="21"/>
  <c r="V33" i="21"/>
  <c r="X33" i="21"/>
  <c r="Y33" i="21"/>
  <c r="S34" i="21"/>
  <c r="U34" i="21"/>
  <c r="V34" i="21"/>
  <c r="X34" i="21"/>
  <c r="Y34" i="21"/>
  <c r="S35" i="21"/>
  <c r="U35" i="21"/>
  <c r="V35" i="21"/>
  <c r="X35" i="21"/>
  <c r="Y35" i="21"/>
  <c r="B20" i="21"/>
  <c r="I13" i="2"/>
  <c r="K13" i="2"/>
  <c r="Q13" i="2"/>
  <c r="S13" i="2"/>
  <c r="V16" i="38"/>
  <c r="Y36" i="38"/>
  <c r="V34" i="38"/>
  <c r="Y32" i="38"/>
  <c r="V30" i="38"/>
  <c r="Y28" i="38"/>
  <c r="V26" i="38"/>
  <c r="Y24" i="38"/>
  <c r="V33" i="38"/>
  <c r="V29" i="38"/>
  <c r="V25" i="38"/>
  <c r="Y17" i="38"/>
  <c r="Y31" i="21"/>
  <c r="V29" i="21"/>
  <c r="Y27" i="21"/>
  <c r="V25" i="21"/>
  <c r="V17" i="38"/>
  <c r="Y16" i="38"/>
  <c r="E37" i="101"/>
  <c r="D37" i="101"/>
  <c r="E37" i="86"/>
  <c r="D37" i="86"/>
  <c r="E21" i="86"/>
  <c r="E34" i="86"/>
  <c r="D21" i="86"/>
  <c r="D30" i="86"/>
  <c r="E20" i="99"/>
  <c r="F20" i="99"/>
  <c r="E19" i="99"/>
  <c r="F19" i="99"/>
  <c r="E18" i="99"/>
  <c r="F18" i="99"/>
  <c r="E17" i="99"/>
  <c r="E16" i="99"/>
  <c r="E22" i="94"/>
  <c r="E35" i="94"/>
  <c r="D22" i="94"/>
  <c r="D31" i="94"/>
  <c r="F17" i="99"/>
  <c r="E31" i="94"/>
  <c r="F35" i="94"/>
  <c r="E30" i="86"/>
  <c r="F34" i="86"/>
  <c r="I4" i="86"/>
  <c r="I6" i="86"/>
  <c r="P4" i="124"/>
  <c r="D43" i="98"/>
  <c r="E58" i="120"/>
  <c r="E57" i="120" s="1"/>
  <c r="N6" i="120" s="1"/>
  <c r="O79" i="13" s="1"/>
  <c r="D58" i="120"/>
  <c r="D57" i="120" s="1"/>
  <c r="E55" i="120"/>
  <c r="D55" i="120"/>
  <c r="E53" i="120"/>
  <c r="D53" i="120"/>
  <c r="E51" i="120"/>
  <c r="D51" i="120"/>
  <c r="E48" i="120"/>
  <c r="D48" i="120"/>
  <c r="E47" i="120"/>
  <c r="D47" i="120"/>
  <c r="E46" i="120"/>
  <c r="D46" i="120"/>
  <c r="E45" i="120"/>
  <c r="D45" i="120"/>
  <c r="E44" i="120"/>
  <c r="D44" i="120"/>
  <c r="E63" i="114"/>
  <c r="D63" i="114"/>
  <c r="E58" i="114"/>
  <c r="E57" i="114" s="1"/>
  <c r="N6" i="114" s="1"/>
  <c r="O87" i="12" s="1"/>
  <c r="D58" i="114"/>
  <c r="D57" i="114" s="1"/>
  <c r="E55" i="114"/>
  <c r="D55" i="114"/>
  <c r="E53" i="114"/>
  <c r="D53" i="114"/>
  <c r="F52" i="114"/>
  <c r="E51" i="114"/>
  <c r="D51" i="114"/>
  <c r="E48" i="114"/>
  <c r="D48" i="114"/>
  <c r="E47" i="114"/>
  <c r="D47" i="114"/>
  <c r="E46" i="114"/>
  <c r="D46" i="114"/>
  <c r="E45" i="114"/>
  <c r="D45" i="114"/>
  <c r="E44" i="114"/>
  <c r="D44" i="114"/>
  <c r="F63" i="123"/>
  <c r="D15" i="123"/>
  <c r="E30" i="114"/>
  <c r="E30" i="111"/>
  <c r="D30" i="114"/>
  <c r="D30" i="111"/>
  <c r="E30" i="88"/>
  <c r="E30" i="89"/>
  <c r="E30" i="90"/>
  <c r="E30" i="91"/>
  <c r="E30" i="95"/>
  <c r="E30" i="96"/>
  <c r="E30" i="83"/>
  <c r="D30" i="88"/>
  <c r="D30" i="89"/>
  <c r="D30" i="90"/>
  <c r="D30" i="91"/>
  <c r="D30" i="95"/>
  <c r="D30" i="96"/>
  <c r="D30" i="83"/>
  <c r="C34" i="68"/>
  <c r="C36" i="65"/>
  <c r="C50" i="65"/>
  <c r="E50" i="65"/>
  <c r="C37" i="64"/>
  <c r="E39" i="53"/>
  <c r="E42" i="48"/>
  <c r="C42" i="48"/>
  <c r="E44" i="47"/>
  <c r="E30" i="25"/>
  <c r="E27" i="25"/>
  <c r="F27" i="25"/>
  <c r="D30" i="25"/>
  <c r="D29" i="25"/>
  <c r="E42" i="53"/>
  <c r="C39" i="53"/>
  <c r="C42" i="53"/>
  <c r="F30" i="96"/>
  <c r="J4" i="53"/>
  <c r="C44" i="47"/>
  <c r="C46" i="47"/>
  <c r="J4" i="47"/>
  <c r="P6" i="93"/>
  <c r="K6" i="93"/>
  <c r="I6" i="93"/>
  <c r="P4" i="93"/>
  <c r="K4" i="93"/>
  <c r="I4" i="93"/>
  <c r="F17" i="93"/>
  <c r="F18" i="93"/>
  <c r="T6" i="76"/>
  <c r="E52" i="108"/>
  <c r="D52" i="108"/>
  <c r="D58" i="108"/>
  <c r="E58" i="108"/>
  <c r="F60" i="108"/>
  <c r="E64" i="108"/>
  <c r="D64" i="108"/>
  <c r="F65" i="93"/>
  <c r="E64" i="93"/>
  <c r="O6" i="93"/>
  <c r="D64" i="93"/>
  <c r="O4" i="93"/>
  <c r="F65" i="88"/>
  <c r="F66" i="88"/>
  <c r="F67" i="88"/>
  <c r="F68" i="88"/>
  <c r="F64" i="88"/>
  <c r="F63" i="88"/>
  <c r="E62" i="88"/>
  <c r="D62" i="88"/>
  <c r="E62" i="103"/>
  <c r="D62" i="103"/>
  <c r="F64" i="103"/>
  <c r="F65" i="103"/>
  <c r="F66" i="103"/>
  <c r="F67" i="103"/>
  <c r="S19" i="64"/>
  <c r="S20" i="64"/>
  <c r="S20" i="65"/>
  <c r="S21" i="65"/>
  <c r="S19" i="66"/>
  <c r="S20" i="66"/>
  <c r="S19" i="68"/>
  <c r="S20" i="68"/>
  <c r="E12" i="64"/>
  <c r="E13" i="64"/>
  <c r="D15" i="114"/>
  <c r="D29" i="114"/>
  <c r="E15" i="114"/>
  <c r="E33" i="114"/>
  <c r="F16" i="114"/>
  <c r="F17" i="114"/>
  <c r="F18" i="114"/>
  <c r="F19" i="114"/>
  <c r="B20" i="114"/>
  <c r="I84" i="2"/>
  <c r="K84" i="2"/>
  <c r="F21" i="114"/>
  <c r="D27" i="114"/>
  <c r="F30" i="114"/>
  <c r="F31" i="114"/>
  <c r="F35" i="114"/>
  <c r="F37" i="114"/>
  <c r="F54" i="114"/>
  <c r="F59" i="114"/>
  <c r="F63" i="114"/>
  <c r="F64" i="114"/>
  <c r="F31" i="95"/>
  <c r="F35" i="95"/>
  <c r="F31" i="98"/>
  <c r="F35" i="98"/>
  <c r="F33" i="99"/>
  <c r="F37" i="99"/>
  <c r="F31" i="100"/>
  <c r="F35" i="100"/>
  <c r="F31" i="101"/>
  <c r="F35" i="101"/>
  <c r="F31" i="103"/>
  <c r="F35" i="103"/>
  <c r="F31" i="104"/>
  <c r="F35" i="104"/>
  <c r="F31" i="105"/>
  <c r="F35" i="105"/>
  <c r="F31" i="106"/>
  <c r="F35" i="106"/>
  <c r="F31" i="107"/>
  <c r="F35" i="107"/>
  <c r="F34" i="108"/>
  <c r="F38" i="108"/>
  <c r="F32" i="109"/>
  <c r="F36" i="109"/>
  <c r="F31" i="110"/>
  <c r="F35" i="110"/>
  <c r="F31" i="111"/>
  <c r="F35" i="111"/>
  <c r="F31" i="112"/>
  <c r="F35" i="112"/>
  <c r="F31" i="113"/>
  <c r="F35" i="113"/>
  <c r="F31" i="115"/>
  <c r="F35" i="115"/>
  <c r="F31" i="116"/>
  <c r="F35" i="116"/>
  <c r="F31" i="117"/>
  <c r="F35" i="117"/>
  <c r="F31" i="118"/>
  <c r="F35" i="118"/>
  <c r="F31" i="119"/>
  <c r="F35" i="119"/>
  <c r="F31" i="120"/>
  <c r="F35" i="120"/>
  <c r="F31" i="121"/>
  <c r="F35" i="121"/>
  <c r="F32" i="94"/>
  <c r="F36" i="94"/>
  <c r="F30" i="95"/>
  <c r="F33" i="108"/>
  <c r="F30" i="111"/>
  <c r="F31" i="94"/>
  <c r="D61" i="123"/>
  <c r="E61" i="123"/>
  <c r="D61" i="122"/>
  <c r="E61" i="122"/>
  <c r="D63" i="120"/>
  <c r="E63" i="120"/>
  <c r="D61" i="117"/>
  <c r="E61" i="117"/>
  <c r="D55" i="123"/>
  <c r="E55" i="123"/>
  <c r="D55" i="122"/>
  <c r="E55" i="122"/>
  <c r="D55" i="117"/>
  <c r="E55" i="117"/>
  <c r="F55" i="25"/>
  <c r="F43" i="25"/>
  <c r="F21" i="25"/>
  <c r="F63" i="25"/>
  <c r="F64" i="25"/>
  <c r="F65" i="25"/>
  <c r="F62" i="25"/>
  <c r="F57" i="25"/>
  <c r="F58" i="25"/>
  <c r="F59" i="25"/>
  <c r="F56" i="25"/>
  <c r="F51" i="25"/>
  <c r="F52" i="25"/>
  <c r="F53" i="25"/>
  <c r="F50" i="25"/>
  <c r="F45" i="25"/>
  <c r="F46" i="25"/>
  <c r="F47" i="25"/>
  <c r="F44" i="25"/>
  <c r="F39" i="25"/>
  <c r="F40" i="25"/>
  <c r="F41" i="25"/>
  <c r="F38" i="25"/>
  <c r="F30" i="25"/>
  <c r="F31" i="25"/>
  <c r="F35" i="25"/>
  <c r="F29" i="25"/>
  <c r="F23" i="25"/>
  <c r="F24" i="25"/>
  <c r="F25" i="25"/>
  <c r="F22" i="25"/>
  <c r="F17" i="25"/>
  <c r="F18" i="25"/>
  <c r="F19" i="25"/>
  <c r="F16" i="25"/>
  <c r="E29" i="114"/>
  <c r="E27" i="114"/>
  <c r="F33" i="114"/>
  <c r="F61" i="123"/>
  <c r="F15" i="114"/>
  <c r="F66" i="31"/>
  <c r="F65" i="31"/>
  <c r="F64" i="31"/>
  <c r="F63" i="31"/>
  <c r="E62" i="31"/>
  <c r="D62" i="31"/>
  <c r="F60" i="31"/>
  <c r="F59" i="31"/>
  <c r="F58" i="31"/>
  <c r="F57" i="31"/>
  <c r="E56" i="31"/>
  <c r="D56" i="31"/>
  <c r="F54" i="31"/>
  <c r="F53" i="31"/>
  <c r="F52" i="31"/>
  <c r="F51" i="31"/>
  <c r="E50" i="31"/>
  <c r="D50" i="31"/>
  <c r="F48" i="31"/>
  <c r="F47" i="31"/>
  <c r="F46" i="31"/>
  <c r="F45" i="31"/>
  <c r="E44" i="31"/>
  <c r="D44" i="31"/>
  <c r="F42" i="31"/>
  <c r="F41" i="31"/>
  <c r="F40" i="31"/>
  <c r="F39" i="31"/>
  <c r="E38" i="31"/>
  <c r="D38" i="31"/>
  <c r="F36" i="31"/>
  <c r="F32" i="31"/>
  <c r="F26" i="31"/>
  <c r="F25" i="31"/>
  <c r="F24" i="31"/>
  <c r="F23" i="31"/>
  <c r="E22" i="31"/>
  <c r="E35" i="31"/>
  <c r="D22" i="31"/>
  <c r="D31" i="31"/>
  <c r="F20" i="31"/>
  <c r="F19" i="31"/>
  <c r="F17" i="31"/>
  <c r="F16" i="31"/>
  <c r="E15" i="31"/>
  <c r="D15" i="31"/>
  <c r="F65" i="30"/>
  <c r="F64" i="30"/>
  <c r="F63" i="30"/>
  <c r="F62" i="30"/>
  <c r="E61" i="30"/>
  <c r="D61" i="30"/>
  <c r="F59" i="30"/>
  <c r="F58" i="30"/>
  <c r="F57" i="30"/>
  <c r="F56" i="30"/>
  <c r="E55" i="30"/>
  <c r="D55" i="30"/>
  <c r="F53" i="30"/>
  <c r="F52" i="30"/>
  <c r="F51" i="30"/>
  <c r="F50" i="30"/>
  <c r="E49" i="30"/>
  <c r="D49" i="30"/>
  <c r="F47" i="30"/>
  <c r="F46" i="30"/>
  <c r="F45" i="30"/>
  <c r="F44" i="30"/>
  <c r="E43" i="30"/>
  <c r="D43" i="30"/>
  <c r="F41" i="30"/>
  <c r="F40" i="30"/>
  <c r="F39" i="30"/>
  <c r="F38" i="30"/>
  <c r="E37" i="30"/>
  <c r="D37" i="30"/>
  <c r="F35" i="30"/>
  <c r="F31" i="30"/>
  <c r="F25" i="30"/>
  <c r="F24" i="30"/>
  <c r="F23" i="30"/>
  <c r="F22" i="30"/>
  <c r="E21" i="30"/>
  <c r="E34" i="30"/>
  <c r="D21" i="30"/>
  <c r="D30" i="30"/>
  <c r="F19" i="30"/>
  <c r="F18" i="30"/>
  <c r="F17" i="30"/>
  <c r="F16" i="30"/>
  <c r="E15" i="30"/>
  <c r="E33" i="30"/>
  <c r="D15" i="30"/>
  <c r="D29" i="30"/>
  <c r="F66" i="46"/>
  <c r="F65" i="46"/>
  <c r="F64" i="46"/>
  <c r="F63" i="46"/>
  <c r="E62" i="46"/>
  <c r="D62" i="46"/>
  <c r="F62" i="46"/>
  <c r="F60" i="46"/>
  <c r="F59" i="46"/>
  <c r="F58" i="46"/>
  <c r="F57" i="46"/>
  <c r="E56" i="46"/>
  <c r="D56" i="46"/>
  <c r="F54" i="46"/>
  <c r="F53" i="46"/>
  <c r="F52" i="46"/>
  <c r="F51" i="46"/>
  <c r="E50" i="46"/>
  <c r="D50" i="46"/>
  <c r="F48" i="46"/>
  <c r="F47" i="46"/>
  <c r="F46" i="46"/>
  <c r="F45" i="46"/>
  <c r="E44" i="46"/>
  <c r="D44" i="46"/>
  <c r="F42" i="46"/>
  <c r="F41" i="46"/>
  <c r="F40" i="46"/>
  <c r="F39" i="46"/>
  <c r="E38" i="46"/>
  <c r="D38" i="46"/>
  <c r="F36" i="46"/>
  <c r="F32" i="46"/>
  <c r="F26" i="46"/>
  <c r="F25" i="46"/>
  <c r="F24" i="46"/>
  <c r="F23" i="46"/>
  <c r="E22" i="46"/>
  <c r="E35" i="46"/>
  <c r="D22" i="46"/>
  <c r="F20" i="46"/>
  <c r="F19" i="46"/>
  <c r="F18" i="46"/>
  <c r="F16" i="46"/>
  <c r="E15" i="46"/>
  <c r="D15" i="46"/>
  <c r="D30" i="46"/>
  <c r="S19" i="30"/>
  <c r="U19" i="30"/>
  <c r="X19" i="30"/>
  <c r="Y19" i="30"/>
  <c r="E43" i="16"/>
  <c r="E43" i="17"/>
  <c r="E43" i="18"/>
  <c r="E43" i="19"/>
  <c r="E43" i="20"/>
  <c r="E43" i="21"/>
  <c r="E43" i="23"/>
  <c r="E43" i="26"/>
  <c r="E43" i="27"/>
  <c r="E43" i="28"/>
  <c r="E43" i="29"/>
  <c r="E43" i="34"/>
  <c r="E43" i="35"/>
  <c r="E42" i="36"/>
  <c r="E43" i="37"/>
  <c r="E43" i="38"/>
  <c r="E43" i="39"/>
  <c r="E43" i="40"/>
  <c r="E43" i="41"/>
  <c r="E43" i="43"/>
  <c r="E43" i="44"/>
  <c r="E43" i="45"/>
  <c r="E43" i="24"/>
  <c r="F63" i="16"/>
  <c r="F64" i="16"/>
  <c r="F65" i="16"/>
  <c r="F63" i="17"/>
  <c r="F64" i="17"/>
  <c r="F65" i="17"/>
  <c r="F63" i="18"/>
  <c r="F64" i="18"/>
  <c r="F65" i="18"/>
  <c r="F63" i="19"/>
  <c r="F64" i="19"/>
  <c r="F65" i="19"/>
  <c r="F64" i="20"/>
  <c r="F65" i="20"/>
  <c r="F66" i="20"/>
  <c r="F63" i="21"/>
  <c r="F64" i="21"/>
  <c r="F65" i="21"/>
  <c r="F64" i="23"/>
  <c r="F65" i="23"/>
  <c r="F66" i="23"/>
  <c r="F63" i="26"/>
  <c r="F64" i="26"/>
  <c r="F65" i="26"/>
  <c r="F63" i="27"/>
  <c r="F64" i="27"/>
  <c r="F65" i="27"/>
  <c r="F63" i="28"/>
  <c r="F64" i="28"/>
  <c r="F65" i="28"/>
  <c r="F63" i="29"/>
  <c r="F64" i="29"/>
  <c r="F65" i="29"/>
  <c r="F63" i="34"/>
  <c r="F64" i="34"/>
  <c r="F65" i="34"/>
  <c r="F63" i="35"/>
  <c r="F64" i="35"/>
  <c r="F65" i="35"/>
  <c r="F62" i="36"/>
  <c r="F63" i="36"/>
  <c r="F64" i="36"/>
  <c r="F63" i="37"/>
  <c r="F64" i="37"/>
  <c r="F65" i="37"/>
  <c r="F63" i="38"/>
  <c r="F64" i="38"/>
  <c r="F65" i="38"/>
  <c r="F63" i="39"/>
  <c r="F64" i="39"/>
  <c r="F65" i="39"/>
  <c r="F63" i="40"/>
  <c r="F64" i="40"/>
  <c r="F65" i="40"/>
  <c r="F63" i="41"/>
  <c r="F64" i="41"/>
  <c r="F65" i="41"/>
  <c r="F63" i="42"/>
  <c r="F64" i="42"/>
  <c r="F65" i="42"/>
  <c r="F63" i="43"/>
  <c r="F64" i="43"/>
  <c r="F65" i="43"/>
  <c r="F63" i="44"/>
  <c r="F64" i="44"/>
  <c r="F65" i="44"/>
  <c r="F63" i="45"/>
  <c r="F64" i="45"/>
  <c r="F65" i="45"/>
  <c r="F63" i="24"/>
  <c r="F64" i="24"/>
  <c r="F65" i="24"/>
  <c r="F62" i="16"/>
  <c r="F62" i="17"/>
  <c r="F62" i="18"/>
  <c r="F62" i="19"/>
  <c r="F63" i="20"/>
  <c r="F62" i="21"/>
  <c r="F63" i="23"/>
  <c r="F62" i="26"/>
  <c r="F62" i="27"/>
  <c r="F62" i="28"/>
  <c r="F62" i="29"/>
  <c r="F62" i="34"/>
  <c r="F62" i="35"/>
  <c r="F61" i="36"/>
  <c r="F62" i="37"/>
  <c r="F62" i="38"/>
  <c r="F62" i="39"/>
  <c r="F62" i="40"/>
  <c r="F62" i="41"/>
  <c r="F62" i="42"/>
  <c r="F62" i="43"/>
  <c r="F62" i="44"/>
  <c r="F62" i="45"/>
  <c r="F62" i="24"/>
  <c r="F57" i="16"/>
  <c r="F58" i="16"/>
  <c r="F59" i="16"/>
  <c r="F57" i="17"/>
  <c r="F58" i="17"/>
  <c r="F59" i="17"/>
  <c r="F57" i="18"/>
  <c r="F58" i="18"/>
  <c r="F59" i="18"/>
  <c r="F57" i="19"/>
  <c r="F58" i="19"/>
  <c r="F59" i="19"/>
  <c r="F58" i="20"/>
  <c r="F59" i="20"/>
  <c r="F60" i="20"/>
  <c r="F57" i="21"/>
  <c r="F58" i="21"/>
  <c r="F59" i="21"/>
  <c r="F58" i="23"/>
  <c r="F59" i="23"/>
  <c r="F60" i="23"/>
  <c r="F57" i="26"/>
  <c r="F58" i="26"/>
  <c r="F59" i="26"/>
  <c r="F57" i="27"/>
  <c r="F58" i="27"/>
  <c r="F59" i="27"/>
  <c r="F57" i="28"/>
  <c r="F58" i="28"/>
  <c r="F59" i="28"/>
  <c r="F57" i="29"/>
  <c r="F58" i="29"/>
  <c r="F59" i="29"/>
  <c r="F57" i="34"/>
  <c r="F58" i="34"/>
  <c r="F59" i="34"/>
  <c r="F57" i="35"/>
  <c r="F58" i="35"/>
  <c r="F59" i="35"/>
  <c r="F56" i="36"/>
  <c r="F57" i="36"/>
  <c r="F58" i="36"/>
  <c r="F57" i="37"/>
  <c r="F58" i="37"/>
  <c r="F59" i="37"/>
  <c r="F57" i="38"/>
  <c r="F58" i="38"/>
  <c r="F59" i="38"/>
  <c r="F57" i="39"/>
  <c r="F58" i="39"/>
  <c r="F59" i="39"/>
  <c r="F57" i="40"/>
  <c r="F58" i="40"/>
  <c r="F59" i="40"/>
  <c r="F57" i="41"/>
  <c r="F58" i="41"/>
  <c r="F59" i="41"/>
  <c r="F57" i="42"/>
  <c r="F58" i="42"/>
  <c r="F59" i="42"/>
  <c r="F57" i="43"/>
  <c r="F58" i="43"/>
  <c r="F59" i="43"/>
  <c r="F57" i="44"/>
  <c r="F58" i="44"/>
  <c r="F59" i="44"/>
  <c r="F57" i="45"/>
  <c r="F58" i="45"/>
  <c r="F59" i="45"/>
  <c r="F57" i="24"/>
  <c r="F58" i="24"/>
  <c r="F59" i="24"/>
  <c r="F56" i="16"/>
  <c r="F56" i="17"/>
  <c r="F56" i="18"/>
  <c r="F56" i="19"/>
  <c r="F57" i="20"/>
  <c r="F56" i="21"/>
  <c r="F57" i="23"/>
  <c r="F56" i="26"/>
  <c r="F56" i="27"/>
  <c r="F56" i="28"/>
  <c r="F56" i="29"/>
  <c r="F56" i="34"/>
  <c r="F56" i="35"/>
  <c r="F55" i="36"/>
  <c r="F56" i="37"/>
  <c r="F56" i="38"/>
  <c r="F56" i="39"/>
  <c r="F56" i="40"/>
  <c r="F56" i="41"/>
  <c r="F56" i="42"/>
  <c r="F56" i="43"/>
  <c r="F56" i="44"/>
  <c r="F56" i="45"/>
  <c r="F56" i="24"/>
  <c r="F51" i="16"/>
  <c r="F52" i="16"/>
  <c r="F53" i="16"/>
  <c r="F51" i="17"/>
  <c r="F52" i="17"/>
  <c r="F53" i="17"/>
  <c r="F51" i="18"/>
  <c r="F52" i="18"/>
  <c r="F53" i="18"/>
  <c r="F51" i="19"/>
  <c r="F52" i="19"/>
  <c r="F53" i="19"/>
  <c r="F51" i="20"/>
  <c r="F53" i="20"/>
  <c r="F54" i="20"/>
  <c r="F51" i="21"/>
  <c r="F52" i="21"/>
  <c r="F53" i="21"/>
  <c r="F51" i="23"/>
  <c r="F53" i="23"/>
  <c r="F54" i="23"/>
  <c r="F51" i="26"/>
  <c r="F52" i="26"/>
  <c r="F53" i="26"/>
  <c r="F51" i="27"/>
  <c r="F52" i="27"/>
  <c r="F53" i="27"/>
  <c r="F51" i="28"/>
  <c r="F52" i="28"/>
  <c r="F53" i="28"/>
  <c r="F51" i="29"/>
  <c r="F52" i="29"/>
  <c r="F53" i="29"/>
  <c r="F51" i="34"/>
  <c r="F52" i="34"/>
  <c r="F53" i="34"/>
  <c r="F51" i="35"/>
  <c r="F52" i="35"/>
  <c r="F53" i="35"/>
  <c r="F50" i="36"/>
  <c r="F51" i="36"/>
  <c r="F52" i="36"/>
  <c r="F51" i="37"/>
  <c r="F52" i="37"/>
  <c r="F53" i="37"/>
  <c r="F51" i="38"/>
  <c r="F52" i="38"/>
  <c r="F53" i="38"/>
  <c r="F51" i="39"/>
  <c r="F52" i="39"/>
  <c r="F53" i="39"/>
  <c r="F51" i="40"/>
  <c r="F52" i="40"/>
  <c r="F53" i="40"/>
  <c r="F51" i="41"/>
  <c r="F52" i="41"/>
  <c r="F53" i="41"/>
  <c r="F51" i="42"/>
  <c r="F52" i="42"/>
  <c r="F53" i="42"/>
  <c r="F51" i="43"/>
  <c r="F52" i="43"/>
  <c r="F53" i="43"/>
  <c r="F51" i="44"/>
  <c r="F52" i="44"/>
  <c r="F53" i="44"/>
  <c r="F51" i="45"/>
  <c r="F52" i="45"/>
  <c r="F53" i="45"/>
  <c r="F51" i="24"/>
  <c r="F52" i="24"/>
  <c r="F53" i="24"/>
  <c r="F50" i="16"/>
  <c r="F50" i="17"/>
  <c r="F50" i="18"/>
  <c r="F50" i="19"/>
  <c r="F50" i="20"/>
  <c r="F50" i="21"/>
  <c r="F50" i="23"/>
  <c r="F50" i="26"/>
  <c r="F50" i="27"/>
  <c r="F50" i="28"/>
  <c r="F50" i="29"/>
  <c r="F50" i="34"/>
  <c r="F50" i="35"/>
  <c r="F49" i="36"/>
  <c r="F50" i="37"/>
  <c r="F50" i="38"/>
  <c r="F50" i="39"/>
  <c r="F50" i="40"/>
  <c r="F50" i="41"/>
  <c r="F50" i="42"/>
  <c r="F50" i="43"/>
  <c r="F50" i="44"/>
  <c r="F50" i="45"/>
  <c r="F50" i="24"/>
  <c r="F61" i="25"/>
  <c r="F49" i="25"/>
  <c r="F37" i="25"/>
  <c r="F37" i="42"/>
  <c r="F15" i="25"/>
  <c r="F45" i="16"/>
  <c r="F46" i="16"/>
  <c r="F47" i="16"/>
  <c r="F45" i="17"/>
  <c r="F46" i="17"/>
  <c r="F47" i="17"/>
  <c r="F45" i="18"/>
  <c r="F46" i="18"/>
  <c r="F47" i="18"/>
  <c r="F45" i="19"/>
  <c r="F46" i="19"/>
  <c r="F47" i="19"/>
  <c r="F45" i="20"/>
  <c r="F46" i="20"/>
  <c r="F47" i="20"/>
  <c r="F45" i="21"/>
  <c r="F46" i="21"/>
  <c r="F47" i="21"/>
  <c r="F45" i="23"/>
  <c r="F46" i="23"/>
  <c r="F47" i="23"/>
  <c r="F45" i="26"/>
  <c r="F46" i="26"/>
  <c r="F47" i="26"/>
  <c r="F45" i="27"/>
  <c r="F46" i="27"/>
  <c r="F47" i="27"/>
  <c r="F45" i="28"/>
  <c r="F46" i="28"/>
  <c r="F47" i="28"/>
  <c r="F45" i="29"/>
  <c r="F46" i="29"/>
  <c r="F47" i="29"/>
  <c r="F45" i="34"/>
  <c r="F46" i="34"/>
  <c r="F47" i="34"/>
  <c r="F45" i="35"/>
  <c r="F46" i="35"/>
  <c r="F47" i="35"/>
  <c r="F44" i="36"/>
  <c r="F45" i="36"/>
  <c r="F46" i="36"/>
  <c r="F45" i="37"/>
  <c r="F46" i="37"/>
  <c r="F47" i="37"/>
  <c r="F45" i="38"/>
  <c r="F46" i="38"/>
  <c r="F47" i="38"/>
  <c r="F45" i="39"/>
  <c r="F46" i="39"/>
  <c r="F47" i="39"/>
  <c r="F45" i="40"/>
  <c r="F46" i="40"/>
  <c r="F47" i="40"/>
  <c r="F45" i="41"/>
  <c r="F46" i="41"/>
  <c r="F47" i="41"/>
  <c r="F45" i="42"/>
  <c r="F46" i="42"/>
  <c r="F47" i="42"/>
  <c r="F45" i="43"/>
  <c r="F46" i="43"/>
  <c r="F47" i="43"/>
  <c r="F45" i="44"/>
  <c r="F46" i="44"/>
  <c r="F47" i="44"/>
  <c r="F45" i="45"/>
  <c r="F46" i="45"/>
  <c r="F47" i="45"/>
  <c r="F45" i="24"/>
  <c r="F46" i="24"/>
  <c r="F47" i="24"/>
  <c r="F44" i="16"/>
  <c r="F44" i="17"/>
  <c r="F44" i="18"/>
  <c r="F44" i="19"/>
  <c r="F44" i="20"/>
  <c r="F44" i="21"/>
  <c r="F44" i="23"/>
  <c r="F44" i="26"/>
  <c r="F44" i="27"/>
  <c r="F44" i="28"/>
  <c r="F44" i="29"/>
  <c r="F44" i="34"/>
  <c r="F44" i="35"/>
  <c r="F43" i="36"/>
  <c r="F44" i="37"/>
  <c r="F44" i="38"/>
  <c r="F44" i="39"/>
  <c r="F44" i="40"/>
  <c r="F44" i="41"/>
  <c r="F44" i="42"/>
  <c r="F44" i="43"/>
  <c r="F44" i="44"/>
  <c r="F44" i="45"/>
  <c r="F44" i="24"/>
  <c r="F39" i="16"/>
  <c r="F40" i="16"/>
  <c r="F41" i="16"/>
  <c r="F39" i="17"/>
  <c r="F40" i="17"/>
  <c r="F41" i="17"/>
  <c r="F39" i="18"/>
  <c r="F40" i="18"/>
  <c r="F41" i="18"/>
  <c r="F39" i="19"/>
  <c r="F40" i="19"/>
  <c r="F41" i="19"/>
  <c r="F39" i="20"/>
  <c r="F40" i="20"/>
  <c r="F41" i="20"/>
  <c r="F39" i="21"/>
  <c r="F40" i="21"/>
  <c r="F41" i="21"/>
  <c r="F39" i="23"/>
  <c r="F40" i="23"/>
  <c r="F41" i="23"/>
  <c r="F39" i="26"/>
  <c r="F40" i="26"/>
  <c r="F41" i="26"/>
  <c r="F39" i="27"/>
  <c r="F40" i="27"/>
  <c r="F41" i="27"/>
  <c r="F39" i="28"/>
  <c r="F40" i="28"/>
  <c r="F41" i="28"/>
  <c r="F39" i="29"/>
  <c r="F40" i="29"/>
  <c r="F41" i="29"/>
  <c r="F39" i="34"/>
  <c r="F40" i="34"/>
  <c r="F41" i="34"/>
  <c r="F39" i="35"/>
  <c r="F40" i="35"/>
  <c r="F41" i="35"/>
  <c r="F38" i="36"/>
  <c r="F39" i="36"/>
  <c r="F40" i="36"/>
  <c r="F39" i="37"/>
  <c r="F40" i="37"/>
  <c r="F41" i="37"/>
  <c r="F39" i="38"/>
  <c r="F40" i="38"/>
  <c r="F41" i="38"/>
  <c r="F39" i="39"/>
  <c r="F40" i="39"/>
  <c r="F41" i="39"/>
  <c r="F39" i="40"/>
  <c r="F40" i="40"/>
  <c r="F41" i="40"/>
  <c r="F39" i="41"/>
  <c r="F40" i="41"/>
  <c r="F41" i="41"/>
  <c r="F39" i="42"/>
  <c r="F40" i="42"/>
  <c r="F41" i="42"/>
  <c r="F39" i="43"/>
  <c r="F40" i="43"/>
  <c r="F41" i="43"/>
  <c r="F39" i="44"/>
  <c r="F40" i="44"/>
  <c r="F41" i="44"/>
  <c r="F39" i="45"/>
  <c r="F40" i="45"/>
  <c r="F41" i="45"/>
  <c r="F39" i="24"/>
  <c r="F40" i="24"/>
  <c r="F41" i="24"/>
  <c r="F38" i="16"/>
  <c r="F38" i="17"/>
  <c r="F38" i="18"/>
  <c r="F38" i="19"/>
  <c r="F38" i="20"/>
  <c r="F38" i="21"/>
  <c r="F38" i="23"/>
  <c r="F38" i="26"/>
  <c r="F38" i="27"/>
  <c r="F38" i="28"/>
  <c r="F38" i="29"/>
  <c r="F38" i="34"/>
  <c r="F38" i="35"/>
  <c r="F37" i="36"/>
  <c r="F38" i="37"/>
  <c r="F38" i="38"/>
  <c r="F38" i="39"/>
  <c r="F38" i="40"/>
  <c r="F38" i="41"/>
  <c r="F38" i="42"/>
  <c r="F38" i="43"/>
  <c r="F38" i="44"/>
  <c r="F38" i="45"/>
  <c r="F38" i="24"/>
  <c r="F35" i="20"/>
  <c r="F35" i="21"/>
  <c r="F35" i="23"/>
  <c r="F35" i="26"/>
  <c r="F35" i="27"/>
  <c r="F35" i="28"/>
  <c r="F35" i="29"/>
  <c r="F35" i="34"/>
  <c r="F35" i="35"/>
  <c r="F34" i="36"/>
  <c r="F35" i="37"/>
  <c r="F35" i="38"/>
  <c r="F35" i="39"/>
  <c r="F35" i="40"/>
  <c r="F35" i="41"/>
  <c r="F35" i="42"/>
  <c r="F35" i="43"/>
  <c r="F35" i="44"/>
  <c r="F35" i="45"/>
  <c r="F35" i="24"/>
  <c r="F31" i="16"/>
  <c r="F31" i="17"/>
  <c r="F31" i="18"/>
  <c r="F31" i="19"/>
  <c r="F31" i="20"/>
  <c r="F31" i="21"/>
  <c r="F31" i="23"/>
  <c r="F31" i="26"/>
  <c r="F31" i="27"/>
  <c r="F31" i="28"/>
  <c r="F31" i="29"/>
  <c r="F31" i="34"/>
  <c r="F31" i="35"/>
  <c r="F30" i="36"/>
  <c r="F31" i="37"/>
  <c r="F31" i="38"/>
  <c r="F31" i="39"/>
  <c r="F31" i="40"/>
  <c r="F31" i="41"/>
  <c r="F31" i="42"/>
  <c r="F31" i="43"/>
  <c r="F31" i="44"/>
  <c r="F31" i="45"/>
  <c r="F31" i="24"/>
  <c r="F23" i="16"/>
  <c r="F24" i="16"/>
  <c r="F25" i="16"/>
  <c r="F23" i="17"/>
  <c r="F24" i="17"/>
  <c r="F25" i="17"/>
  <c r="F23" i="18"/>
  <c r="F24" i="18"/>
  <c r="F25" i="18"/>
  <c r="F23" i="19"/>
  <c r="F24" i="19"/>
  <c r="F25" i="19"/>
  <c r="F23" i="20"/>
  <c r="F24" i="20"/>
  <c r="F25" i="20"/>
  <c r="F23" i="21"/>
  <c r="F24" i="21"/>
  <c r="F25" i="21"/>
  <c r="F23" i="23"/>
  <c r="F24" i="23"/>
  <c r="F25" i="23"/>
  <c r="F23" i="26"/>
  <c r="F24" i="26"/>
  <c r="F25" i="26"/>
  <c r="F23" i="27"/>
  <c r="F24" i="27"/>
  <c r="F25" i="27"/>
  <c r="F23" i="28"/>
  <c r="F24" i="28"/>
  <c r="F25" i="28"/>
  <c r="F23" i="29"/>
  <c r="F24" i="29"/>
  <c r="F25" i="29"/>
  <c r="F23" i="34"/>
  <c r="F24" i="34"/>
  <c r="F25" i="34"/>
  <c r="F23" i="35"/>
  <c r="F24" i="35"/>
  <c r="F25" i="35"/>
  <c r="F22" i="36"/>
  <c r="F23" i="36"/>
  <c r="F24" i="36"/>
  <c r="F23" i="37"/>
  <c r="F24" i="37"/>
  <c r="F25" i="37"/>
  <c r="F23" i="38"/>
  <c r="F24" i="38"/>
  <c r="F25" i="38"/>
  <c r="F23" i="39"/>
  <c r="F24" i="39"/>
  <c r="F25" i="39"/>
  <c r="F23" i="40"/>
  <c r="F24" i="40"/>
  <c r="F25" i="40"/>
  <c r="F23" i="41"/>
  <c r="F24" i="41"/>
  <c r="F25" i="41"/>
  <c r="F23" i="42"/>
  <c r="F24" i="42"/>
  <c r="F25" i="42"/>
  <c r="F23" i="43"/>
  <c r="F24" i="43"/>
  <c r="F25" i="43"/>
  <c r="F23" i="44"/>
  <c r="F24" i="44"/>
  <c r="F25" i="44"/>
  <c r="F23" i="45"/>
  <c r="F24" i="45"/>
  <c r="F25" i="45"/>
  <c r="F23" i="24"/>
  <c r="F24" i="24"/>
  <c r="F25" i="24"/>
  <c r="F22" i="16"/>
  <c r="F22" i="17"/>
  <c r="F22" i="18"/>
  <c r="F22" i="19"/>
  <c r="F22" i="20"/>
  <c r="F22" i="21"/>
  <c r="F22" i="23"/>
  <c r="F22" i="26"/>
  <c r="F22" i="27"/>
  <c r="F22" i="28"/>
  <c r="F22" i="29"/>
  <c r="F22" i="34"/>
  <c r="F22" i="35"/>
  <c r="F21" i="36"/>
  <c r="F22" i="37"/>
  <c r="F22" i="38"/>
  <c r="F22" i="39"/>
  <c r="F22" i="40"/>
  <c r="F22" i="41"/>
  <c r="F22" i="42"/>
  <c r="F22" i="43"/>
  <c r="F22" i="44"/>
  <c r="F22" i="45"/>
  <c r="F22" i="24"/>
  <c r="F17" i="16"/>
  <c r="F18" i="16"/>
  <c r="F19" i="16"/>
  <c r="F17" i="17"/>
  <c r="F18" i="17"/>
  <c r="F19" i="17"/>
  <c r="F17" i="18"/>
  <c r="F18" i="18"/>
  <c r="F19" i="18"/>
  <c r="F17" i="19"/>
  <c r="F18" i="19"/>
  <c r="F19" i="19"/>
  <c r="F17" i="20"/>
  <c r="F18" i="20"/>
  <c r="F19" i="20"/>
  <c r="F17" i="21"/>
  <c r="F18" i="21"/>
  <c r="F19" i="21"/>
  <c r="F17" i="23"/>
  <c r="F18" i="23"/>
  <c r="F19" i="23"/>
  <c r="F17" i="26"/>
  <c r="F18" i="26"/>
  <c r="F19" i="26"/>
  <c r="F17" i="27"/>
  <c r="F18" i="27"/>
  <c r="F19" i="27"/>
  <c r="F17" i="28"/>
  <c r="F18" i="28"/>
  <c r="F19" i="28"/>
  <c r="F17" i="29"/>
  <c r="F18" i="29"/>
  <c r="F19" i="29"/>
  <c r="F17" i="34"/>
  <c r="F18" i="34"/>
  <c r="F19" i="34"/>
  <c r="F17" i="35"/>
  <c r="F18" i="35"/>
  <c r="F19" i="35"/>
  <c r="F17" i="37"/>
  <c r="F18" i="37"/>
  <c r="F19" i="37"/>
  <c r="F17" i="38"/>
  <c r="F18" i="38"/>
  <c r="F19" i="38"/>
  <c r="F17" i="39"/>
  <c r="F18" i="39"/>
  <c r="F19" i="39"/>
  <c r="F17" i="40"/>
  <c r="F18" i="40"/>
  <c r="F19" i="40"/>
  <c r="F17" i="41"/>
  <c r="F18" i="41"/>
  <c r="F19" i="41"/>
  <c r="F17" i="42"/>
  <c r="F18" i="42"/>
  <c r="F19" i="42"/>
  <c r="F17" i="43"/>
  <c r="F18" i="43"/>
  <c r="F19" i="43"/>
  <c r="F17" i="44"/>
  <c r="F18" i="44"/>
  <c r="F19" i="44"/>
  <c r="F17" i="45"/>
  <c r="F18" i="45"/>
  <c r="F19" i="45"/>
  <c r="F17" i="24"/>
  <c r="F18" i="24"/>
  <c r="F19" i="24"/>
  <c r="F16" i="24"/>
  <c r="E30" i="46"/>
  <c r="E34" i="46"/>
  <c r="F34" i="46"/>
  <c r="E30" i="31"/>
  <c r="E34" i="31"/>
  <c r="F34" i="31"/>
  <c r="F29" i="114"/>
  <c r="F27" i="114"/>
  <c r="E31" i="46"/>
  <c r="E28" i="46"/>
  <c r="F35" i="46"/>
  <c r="E31" i="31"/>
  <c r="F35" i="31"/>
  <c r="E29" i="30"/>
  <c r="E27" i="30"/>
  <c r="F33" i="30"/>
  <c r="E30" i="30"/>
  <c r="F30" i="30"/>
  <c r="F34" i="30"/>
  <c r="D27" i="30"/>
  <c r="F38" i="31"/>
  <c r="F44" i="31"/>
  <c r="F37" i="30"/>
  <c r="F55" i="30"/>
  <c r="F56" i="46"/>
  <c r="F50" i="46"/>
  <c r="F38" i="46"/>
  <c r="F22" i="46"/>
  <c r="D31" i="46"/>
  <c r="F30" i="46"/>
  <c r="V19" i="30"/>
  <c r="F49" i="30"/>
  <c r="F50" i="31"/>
  <c r="F62" i="31"/>
  <c r="F15" i="31"/>
  <c r="D30" i="31"/>
  <c r="F43" i="30"/>
  <c r="F21" i="30"/>
  <c r="F61" i="30"/>
  <c r="F56" i="31"/>
  <c r="F44" i="46"/>
  <c r="F22" i="31"/>
  <c r="F15" i="46"/>
  <c r="F15" i="30"/>
  <c r="F27" i="30"/>
  <c r="E28" i="31"/>
  <c r="F31" i="31"/>
  <c r="F29" i="30"/>
  <c r="F31" i="46"/>
  <c r="D28" i="46"/>
  <c r="F28" i="46"/>
  <c r="F30" i="31"/>
  <c r="D28" i="31"/>
  <c r="Q71" i="13"/>
  <c r="R71" i="13"/>
  <c r="Q68" i="13"/>
  <c r="Q67" i="13"/>
  <c r="Q66" i="13"/>
  <c r="Q79" i="12"/>
  <c r="R79" i="12"/>
  <c r="J76" i="12"/>
  <c r="L76" i="12"/>
  <c r="P76" i="12"/>
  <c r="Q76" i="12"/>
  <c r="Q74" i="12"/>
  <c r="F28" i="31"/>
  <c r="F65" i="124"/>
  <c r="F64" i="124"/>
  <c r="F63" i="124"/>
  <c r="E62" i="124"/>
  <c r="O6" i="124"/>
  <c r="P99" i="12"/>
  <c r="D62" i="124"/>
  <c r="O4" i="124"/>
  <c r="F60" i="124"/>
  <c r="F59" i="124"/>
  <c r="F58" i="124"/>
  <c r="F57" i="124"/>
  <c r="E56" i="124"/>
  <c r="N6" i="124" s="1"/>
  <c r="O99" i="12" s="1"/>
  <c r="O100" i="12" s="1"/>
  <c r="D56" i="124"/>
  <c r="N4" i="124"/>
  <c r="F54" i="124"/>
  <c r="F53" i="124"/>
  <c r="F51" i="124"/>
  <c r="F50" i="124"/>
  <c r="E49" i="124"/>
  <c r="M6" i="124" s="1"/>
  <c r="N99" i="12" s="1"/>
  <c r="D49" i="124"/>
  <c r="M4" i="124" s="1"/>
  <c r="R4" i="124" s="1"/>
  <c r="F47" i="124"/>
  <c r="F46" i="124"/>
  <c r="F45" i="124"/>
  <c r="F44" i="124"/>
  <c r="E43" i="124"/>
  <c r="L6" i="124" s="1"/>
  <c r="M99" i="12" s="1"/>
  <c r="M100" i="12" s="1"/>
  <c r="D43" i="124"/>
  <c r="L4" i="124"/>
  <c r="F25" i="124"/>
  <c r="F24" i="124"/>
  <c r="F23" i="124"/>
  <c r="F22" i="124"/>
  <c r="E21" i="124"/>
  <c r="D21" i="124"/>
  <c r="I94" i="2"/>
  <c r="Q94" i="2" s="1"/>
  <c r="F19" i="124"/>
  <c r="F18" i="124"/>
  <c r="F17" i="124"/>
  <c r="E15" i="124"/>
  <c r="H6" i="124" s="1"/>
  <c r="D15" i="124"/>
  <c r="K6" i="124"/>
  <c r="L99" i="12"/>
  <c r="L100" i="12" s="1"/>
  <c r="K4" i="124"/>
  <c r="F65" i="111"/>
  <c r="F64" i="111"/>
  <c r="F63" i="111"/>
  <c r="F62" i="111"/>
  <c r="E61" i="111"/>
  <c r="O6" i="111"/>
  <c r="P71" i="13"/>
  <c r="D61" i="111"/>
  <c r="O4" i="111"/>
  <c r="F57" i="111"/>
  <c r="F56" i="111"/>
  <c r="E55" i="111"/>
  <c r="N6" i="111"/>
  <c r="O71" i="13"/>
  <c r="D55" i="111"/>
  <c r="N4" i="111"/>
  <c r="F51" i="111"/>
  <c r="F50" i="111"/>
  <c r="E49" i="111"/>
  <c r="M6" i="111"/>
  <c r="N71" i="13"/>
  <c r="D49" i="111"/>
  <c r="M4" i="111"/>
  <c r="F44" i="111"/>
  <c r="E43" i="111"/>
  <c r="L6" i="111"/>
  <c r="M71" i="13"/>
  <c r="D43" i="111"/>
  <c r="L4" i="111"/>
  <c r="F37" i="111"/>
  <c r="F21" i="111"/>
  <c r="B20" i="111"/>
  <c r="M76" i="2"/>
  <c r="O76" i="2"/>
  <c r="F19" i="111"/>
  <c r="F18" i="111"/>
  <c r="F17" i="111"/>
  <c r="F16" i="111"/>
  <c r="E15" i="111"/>
  <c r="D15" i="111"/>
  <c r="K6" i="111"/>
  <c r="L71" i="13"/>
  <c r="I6" i="111"/>
  <c r="J71" i="13"/>
  <c r="K4" i="111"/>
  <c r="I4" i="111"/>
  <c r="F66" i="108"/>
  <c r="F65" i="108"/>
  <c r="F64" i="108"/>
  <c r="F62" i="108"/>
  <c r="F61" i="108"/>
  <c r="F59" i="108"/>
  <c r="N6" i="108"/>
  <c r="O68" i="13"/>
  <c r="F56" i="108"/>
  <c r="F55" i="108"/>
  <c r="F54" i="108"/>
  <c r="F53" i="108"/>
  <c r="M6" i="108"/>
  <c r="N68" i="13"/>
  <c r="M4" i="108"/>
  <c r="F50" i="108"/>
  <c r="F49" i="108"/>
  <c r="F48" i="108"/>
  <c r="F47" i="108"/>
  <c r="E46" i="108"/>
  <c r="L6" i="108"/>
  <c r="M68" i="13"/>
  <c r="D46" i="108"/>
  <c r="L4" i="108"/>
  <c r="F28" i="108"/>
  <c r="F27" i="108"/>
  <c r="F26" i="108"/>
  <c r="F25" i="108"/>
  <c r="E24" i="108"/>
  <c r="D24" i="108"/>
  <c r="B23" i="108"/>
  <c r="M73" i="2"/>
  <c r="O73" i="2"/>
  <c r="F22" i="108"/>
  <c r="F16" i="108"/>
  <c r="D15" i="108"/>
  <c r="O6" i="108"/>
  <c r="P68" i="13"/>
  <c r="K6" i="108"/>
  <c r="L68" i="13"/>
  <c r="O4" i="108"/>
  <c r="N4" i="108"/>
  <c r="K4" i="108"/>
  <c r="F63" i="106"/>
  <c r="F62" i="106"/>
  <c r="E61" i="106"/>
  <c r="O6" i="106"/>
  <c r="P66" i="13"/>
  <c r="D61" i="106"/>
  <c r="O4" i="106"/>
  <c r="F59" i="106"/>
  <c r="F58" i="106"/>
  <c r="F57" i="106"/>
  <c r="F56" i="106"/>
  <c r="E55" i="106"/>
  <c r="N6" i="106"/>
  <c r="O66" i="13"/>
  <c r="D55" i="106"/>
  <c r="F53" i="106"/>
  <c r="F52" i="106"/>
  <c r="F51" i="106"/>
  <c r="F50" i="106"/>
  <c r="E49" i="106"/>
  <c r="M6" i="106"/>
  <c r="N66" i="13"/>
  <c r="D49" i="106"/>
  <c r="F47" i="106"/>
  <c r="F46" i="106"/>
  <c r="F45" i="106"/>
  <c r="F44" i="106"/>
  <c r="E43" i="106"/>
  <c r="L6" i="106"/>
  <c r="M66" i="13"/>
  <c r="D43" i="106"/>
  <c r="F25" i="106"/>
  <c r="F24" i="106"/>
  <c r="F23" i="106"/>
  <c r="F22" i="106"/>
  <c r="E21" i="106"/>
  <c r="E34" i="106"/>
  <c r="D21" i="106"/>
  <c r="D30" i="106"/>
  <c r="B20" i="106"/>
  <c r="M71" i="2"/>
  <c r="O71" i="2"/>
  <c r="F19" i="106"/>
  <c r="F18" i="106"/>
  <c r="F17" i="106"/>
  <c r="F16" i="106"/>
  <c r="E15" i="106"/>
  <c r="E33" i="106"/>
  <c r="D15" i="106"/>
  <c r="K6" i="106"/>
  <c r="L66" i="13"/>
  <c r="K4" i="106"/>
  <c r="E61" i="96"/>
  <c r="O6" i="96"/>
  <c r="D61" i="96"/>
  <c r="F57" i="96"/>
  <c r="F56" i="96"/>
  <c r="E55" i="96"/>
  <c r="N6" i="96"/>
  <c r="D55" i="96"/>
  <c r="F51" i="96"/>
  <c r="F50" i="96"/>
  <c r="E49" i="96"/>
  <c r="M6" i="96"/>
  <c r="D49" i="96"/>
  <c r="F44" i="96"/>
  <c r="E43" i="96"/>
  <c r="D43" i="96"/>
  <c r="L4" i="96"/>
  <c r="F37" i="96"/>
  <c r="F21" i="96"/>
  <c r="B20" i="96"/>
  <c r="I76" i="2"/>
  <c r="F19" i="96"/>
  <c r="F18" i="96"/>
  <c r="F17" i="96"/>
  <c r="F16" i="96"/>
  <c r="E15" i="96"/>
  <c r="E33" i="96"/>
  <c r="F33" i="96"/>
  <c r="D15" i="96"/>
  <c r="L6" i="96"/>
  <c r="K6" i="96"/>
  <c r="I6" i="96"/>
  <c r="O4" i="96"/>
  <c r="M4" i="96"/>
  <c r="K4" i="96"/>
  <c r="I4" i="96"/>
  <c r="H4" i="96"/>
  <c r="E33" i="124"/>
  <c r="F33" i="124"/>
  <c r="E34" i="124"/>
  <c r="F34" i="124"/>
  <c r="E33" i="111"/>
  <c r="F33" i="111"/>
  <c r="E32" i="108"/>
  <c r="F32" i="108" s="1"/>
  <c r="F30" i="108" s="1"/>
  <c r="E36" i="108"/>
  <c r="F36" i="108"/>
  <c r="E37" i="108"/>
  <c r="F37" i="108"/>
  <c r="I6" i="106"/>
  <c r="J66" i="13"/>
  <c r="F34" i="106"/>
  <c r="E30" i="106"/>
  <c r="E29" i="106"/>
  <c r="E27" i="106"/>
  <c r="F33" i="106"/>
  <c r="H6" i="96"/>
  <c r="K76" i="2"/>
  <c r="Q76" i="2"/>
  <c r="S76" i="2"/>
  <c r="F49" i="96"/>
  <c r="F55" i="96"/>
  <c r="I6" i="124"/>
  <c r="J99" i="12"/>
  <c r="E30" i="124"/>
  <c r="E29" i="124"/>
  <c r="F29" i="124" s="1"/>
  <c r="F27" i="124" s="1"/>
  <c r="D29" i="111"/>
  <c r="D27" i="111"/>
  <c r="D12" i="111"/>
  <c r="H4" i="108"/>
  <c r="D32" i="108"/>
  <c r="H4" i="106"/>
  <c r="D29" i="106"/>
  <c r="E29" i="111"/>
  <c r="D29" i="96"/>
  <c r="E29" i="96"/>
  <c r="E27" i="96"/>
  <c r="I4" i="124"/>
  <c r="D30" i="124"/>
  <c r="H4" i="124"/>
  <c r="D29" i="124"/>
  <c r="F49" i="106"/>
  <c r="M79" i="12"/>
  <c r="I79" i="12"/>
  <c r="N79" i="12"/>
  <c r="F43" i="96"/>
  <c r="J79" i="12"/>
  <c r="O79" i="12"/>
  <c r="N4" i="96"/>
  <c r="L79" i="12"/>
  <c r="P79" i="12"/>
  <c r="F61" i="96"/>
  <c r="F43" i="106"/>
  <c r="F21" i="106"/>
  <c r="I4" i="108"/>
  <c r="F15" i="106"/>
  <c r="H6" i="108"/>
  <c r="I68" i="13"/>
  <c r="I72" i="13" s="1"/>
  <c r="F15" i="124"/>
  <c r="F21" i="124"/>
  <c r="F43" i="124"/>
  <c r="F62" i="124"/>
  <c r="M4" i="106"/>
  <c r="I4" i="106"/>
  <c r="H6" i="106"/>
  <c r="I66" i="13"/>
  <c r="I6" i="108"/>
  <c r="J68" i="13"/>
  <c r="F46" i="108"/>
  <c r="H6" i="111"/>
  <c r="L4" i="106"/>
  <c r="F24" i="108"/>
  <c r="F52" i="108"/>
  <c r="F55" i="106"/>
  <c r="F58" i="108"/>
  <c r="N4" i="106"/>
  <c r="F61" i="106"/>
  <c r="H4" i="111"/>
  <c r="F49" i="111"/>
  <c r="F55" i="111"/>
  <c r="F61" i="111"/>
  <c r="F43" i="111"/>
  <c r="F56" i="124"/>
  <c r="F35" i="124"/>
  <c r="F31" i="124"/>
  <c r="F15" i="111"/>
  <c r="F15" i="96"/>
  <c r="F64" i="93"/>
  <c r="F60" i="93"/>
  <c r="F59" i="93"/>
  <c r="E58" i="93"/>
  <c r="N6" i="93"/>
  <c r="O76" i="12"/>
  <c r="D58" i="93"/>
  <c r="F54" i="93"/>
  <c r="F53" i="93"/>
  <c r="E52" i="93"/>
  <c r="M6" i="93"/>
  <c r="D52" i="93"/>
  <c r="F47" i="93"/>
  <c r="E46" i="93"/>
  <c r="L6" i="93"/>
  <c r="M76" i="12"/>
  <c r="D46" i="93"/>
  <c r="F40" i="93"/>
  <c r="F24" i="93"/>
  <c r="B23" i="93"/>
  <c r="I73" i="2"/>
  <c r="F22" i="93"/>
  <c r="F21" i="93"/>
  <c r="F20" i="93"/>
  <c r="F16" i="93"/>
  <c r="E15" i="93"/>
  <c r="E36" i="93"/>
  <c r="F36" i="93"/>
  <c r="F62" i="91"/>
  <c r="E61" i="91"/>
  <c r="O6" i="91"/>
  <c r="P74" i="12"/>
  <c r="D61" i="91"/>
  <c r="F57" i="91"/>
  <c r="F56" i="91"/>
  <c r="E55" i="91"/>
  <c r="N6" i="91"/>
  <c r="O74" i="12"/>
  <c r="D55" i="91"/>
  <c r="F51" i="91"/>
  <c r="F50" i="91"/>
  <c r="E49" i="91"/>
  <c r="M6" i="91"/>
  <c r="N74" i="12"/>
  <c r="D49" i="91"/>
  <c r="M4" i="91"/>
  <c r="F44" i="91"/>
  <c r="E43" i="91"/>
  <c r="L6" i="91"/>
  <c r="M74" i="12"/>
  <c r="D43" i="91"/>
  <c r="L4" i="91"/>
  <c r="F37" i="91"/>
  <c r="F21" i="91"/>
  <c r="B20" i="91"/>
  <c r="I71" i="2"/>
  <c r="F19" i="91"/>
  <c r="F18" i="91"/>
  <c r="F17" i="91"/>
  <c r="F16" i="91"/>
  <c r="E15" i="91"/>
  <c r="E33" i="91"/>
  <c r="F33" i="91"/>
  <c r="D15" i="91"/>
  <c r="D29" i="91"/>
  <c r="K6" i="91"/>
  <c r="L74" i="12"/>
  <c r="I6" i="91"/>
  <c r="J74" i="12"/>
  <c r="O4" i="91"/>
  <c r="N4" i="91"/>
  <c r="K4" i="91"/>
  <c r="I4" i="91"/>
  <c r="F67" i="81"/>
  <c r="E61" i="81"/>
  <c r="F62" i="81"/>
  <c r="D61" i="81"/>
  <c r="F59" i="81"/>
  <c r="F58" i="81"/>
  <c r="F57" i="81"/>
  <c r="F56" i="81"/>
  <c r="E55" i="81"/>
  <c r="D55" i="81"/>
  <c r="F53" i="81"/>
  <c r="F52" i="81"/>
  <c r="F51" i="81"/>
  <c r="F50" i="81"/>
  <c r="E49" i="81"/>
  <c r="M6" i="81"/>
  <c r="N51" i="13"/>
  <c r="D49" i="81"/>
  <c r="F47" i="81"/>
  <c r="F46" i="81"/>
  <c r="F45" i="81"/>
  <c r="F44" i="81"/>
  <c r="E43" i="81"/>
  <c r="L6" i="81"/>
  <c r="M51" i="13"/>
  <c r="D43" i="81"/>
  <c r="F30" i="81"/>
  <c r="F29" i="81"/>
  <c r="D27" i="81"/>
  <c r="B20" i="81"/>
  <c r="F19" i="81"/>
  <c r="F18" i="81"/>
  <c r="F17" i="81"/>
  <c r="F16" i="81"/>
  <c r="E15" i="81"/>
  <c r="E33" i="81"/>
  <c r="D15" i="81"/>
  <c r="S6" i="81"/>
  <c r="T51" i="13"/>
  <c r="O52" i="128"/>
  <c r="R52" i="128"/>
  <c r="P6" i="81"/>
  <c r="Q51" i="13"/>
  <c r="N6" i="81"/>
  <c r="O51" i="13"/>
  <c r="K6" i="81"/>
  <c r="L51" i="13"/>
  <c r="I6" i="81"/>
  <c r="J51" i="13"/>
  <c r="H6" i="81"/>
  <c r="I51" i="13"/>
  <c r="I52" i="13"/>
  <c r="S4" i="81"/>
  <c r="P4" i="81"/>
  <c r="N4" i="81"/>
  <c r="L4" i="81"/>
  <c r="K4" i="81"/>
  <c r="I4" i="81"/>
  <c r="D67" i="74"/>
  <c r="F67" i="74"/>
  <c r="F65" i="74"/>
  <c r="F64" i="74"/>
  <c r="F63" i="74"/>
  <c r="F62" i="74"/>
  <c r="E61" i="74"/>
  <c r="D61" i="74"/>
  <c r="P4" i="74"/>
  <c r="F59" i="74"/>
  <c r="F58" i="74"/>
  <c r="F57" i="74"/>
  <c r="F56" i="74"/>
  <c r="E55" i="74"/>
  <c r="O6" i="74"/>
  <c r="O35" i="13"/>
  <c r="D55" i="74"/>
  <c r="F53" i="74"/>
  <c r="F52" i="74"/>
  <c r="F51" i="74"/>
  <c r="F50" i="74"/>
  <c r="E49" i="74"/>
  <c r="N6" i="74"/>
  <c r="N35" i="13"/>
  <c r="D49" i="74"/>
  <c r="N4" i="74"/>
  <c r="F47" i="74"/>
  <c r="F46" i="74"/>
  <c r="F45" i="74"/>
  <c r="F44" i="74"/>
  <c r="E43" i="74"/>
  <c r="M6" i="74"/>
  <c r="M35" i="13"/>
  <c r="D43" i="74"/>
  <c r="F41" i="74"/>
  <c r="F40" i="74"/>
  <c r="F39" i="74"/>
  <c r="F38" i="74"/>
  <c r="E37" i="74"/>
  <c r="L6" i="74"/>
  <c r="L35" i="13"/>
  <c r="D37" i="74"/>
  <c r="L4" i="74"/>
  <c r="F25" i="74"/>
  <c r="F24" i="74"/>
  <c r="F23" i="74"/>
  <c r="F22" i="74"/>
  <c r="E21" i="74"/>
  <c r="D21" i="74"/>
  <c r="J4" i="74"/>
  <c r="B20" i="74"/>
  <c r="M40" i="2"/>
  <c r="O40" i="2"/>
  <c r="F19" i="74"/>
  <c r="F18" i="74"/>
  <c r="E15" i="74"/>
  <c r="E33" i="74"/>
  <c r="F33" i="74"/>
  <c r="D15" i="74"/>
  <c r="T6" i="74"/>
  <c r="T35" i="13"/>
  <c r="R6" i="74"/>
  <c r="R35" i="13"/>
  <c r="Q6" i="74"/>
  <c r="Q35" i="13"/>
  <c r="P6" i="74"/>
  <c r="P35" i="13"/>
  <c r="R4" i="74"/>
  <c r="O4" i="74"/>
  <c r="M4" i="74"/>
  <c r="X5" i="74"/>
  <c r="W5" i="74"/>
  <c r="V5" i="74"/>
  <c r="U5" i="74"/>
  <c r="D67" i="73"/>
  <c r="F67" i="73"/>
  <c r="F65" i="73"/>
  <c r="F64" i="73"/>
  <c r="F63" i="73"/>
  <c r="F62" i="73"/>
  <c r="E61" i="73"/>
  <c r="D61" i="73"/>
  <c r="F59" i="73"/>
  <c r="F58" i="73"/>
  <c r="F57" i="73"/>
  <c r="F56" i="73"/>
  <c r="E55" i="73"/>
  <c r="D55" i="73"/>
  <c r="F55" i="73"/>
  <c r="F53" i="73"/>
  <c r="F52" i="73"/>
  <c r="F51" i="73"/>
  <c r="F50" i="73"/>
  <c r="E49" i="73"/>
  <c r="N6" i="73"/>
  <c r="N34" i="13"/>
  <c r="D49" i="73"/>
  <c r="F47" i="73"/>
  <c r="F46" i="73"/>
  <c r="F45" i="73"/>
  <c r="F44" i="73"/>
  <c r="E43" i="73"/>
  <c r="D43" i="73"/>
  <c r="F43" i="73"/>
  <c r="F41" i="73"/>
  <c r="F40" i="73"/>
  <c r="F39" i="73"/>
  <c r="F38" i="73"/>
  <c r="E37" i="73"/>
  <c r="D37" i="73"/>
  <c r="F25" i="73"/>
  <c r="F24" i="73"/>
  <c r="F23" i="73"/>
  <c r="F22" i="73"/>
  <c r="E21" i="73"/>
  <c r="D21" i="73"/>
  <c r="J5" i="73"/>
  <c r="B20" i="73"/>
  <c r="M39" i="2"/>
  <c r="O39" i="2"/>
  <c r="F19" i="73"/>
  <c r="F18" i="73"/>
  <c r="E15" i="73"/>
  <c r="D15" i="73"/>
  <c r="D29" i="73"/>
  <c r="T6" i="73"/>
  <c r="T34" i="13"/>
  <c r="R6" i="73"/>
  <c r="R34" i="13"/>
  <c r="Q6" i="73"/>
  <c r="Q34" i="13"/>
  <c r="P6" i="73"/>
  <c r="P34" i="13"/>
  <c r="O6" i="73"/>
  <c r="O34" i="13"/>
  <c r="M6" i="73"/>
  <c r="M34" i="13"/>
  <c r="L6" i="73"/>
  <c r="L34" i="13"/>
  <c r="J6" i="73"/>
  <c r="J34" i="13"/>
  <c r="T5" i="73"/>
  <c r="R5" i="73"/>
  <c r="O5" i="73"/>
  <c r="X4" i="73"/>
  <c r="W4" i="73"/>
  <c r="V4" i="73"/>
  <c r="U4" i="73"/>
  <c r="D67" i="72"/>
  <c r="F65" i="72"/>
  <c r="F64" i="72"/>
  <c r="F63" i="72"/>
  <c r="F62" i="72"/>
  <c r="E61" i="72"/>
  <c r="D61" i="72"/>
  <c r="P4" i="72"/>
  <c r="F59" i="72"/>
  <c r="F58" i="72"/>
  <c r="F57" i="72"/>
  <c r="F56" i="72"/>
  <c r="E55" i="72"/>
  <c r="O6" i="72"/>
  <c r="O33" i="13"/>
  <c r="D55" i="72"/>
  <c r="O4" i="72"/>
  <c r="F53" i="72"/>
  <c r="F52" i="72"/>
  <c r="F51" i="72"/>
  <c r="F50" i="72"/>
  <c r="E49" i="72"/>
  <c r="N6" i="72"/>
  <c r="N33" i="13"/>
  <c r="D49" i="72"/>
  <c r="N4" i="72"/>
  <c r="F47" i="72"/>
  <c r="F46" i="72"/>
  <c r="F45" i="72"/>
  <c r="F44" i="72"/>
  <c r="E43" i="72"/>
  <c r="M6" i="72"/>
  <c r="M33" i="13"/>
  <c r="D43" i="72"/>
  <c r="M4" i="72"/>
  <c r="F41" i="72"/>
  <c r="F40" i="72"/>
  <c r="F39" i="72"/>
  <c r="F38" i="72"/>
  <c r="E37" i="72"/>
  <c r="L6" i="72"/>
  <c r="L33" i="13"/>
  <c r="D37" i="72"/>
  <c r="L4" i="72"/>
  <c r="F25" i="72"/>
  <c r="F24" i="72"/>
  <c r="F23" i="72"/>
  <c r="F22" i="72"/>
  <c r="E21" i="72"/>
  <c r="D21" i="72"/>
  <c r="D30" i="72"/>
  <c r="B20" i="72"/>
  <c r="M38" i="2"/>
  <c r="F19" i="72"/>
  <c r="F18" i="72"/>
  <c r="E15" i="72"/>
  <c r="D15" i="72"/>
  <c r="D29" i="72"/>
  <c r="T33" i="13"/>
  <c r="R6" i="72"/>
  <c r="R33" i="13"/>
  <c r="Q6" i="72"/>
  <c r="Q33" i="13"/>
  <c r="P6" i="72"/>
  <c r="P33" i="13"/>
  <c r="R4" i="72"/>
  <c r="X5" i="72"/>
  <c r="W5" i="72"/>
  <c r="V5" i="72"/>
  <c r="U5" i="72"/>
  <c r="D67" i="71"/>
  <c r="F67" i="71"/>
  <c r="F65" i="71"/>
  <c r="F64" i="71"/>
  <c r="F63" i="71"/>
  <c r="F62" i="71"/>
  <c r="E61" i="71"/>
  <c r="D61" i="71"/>
  <c r="F59" i="71"/>
  <c r="F58" i="71"/>
  <c r="F57" i="71"/>
  <c r="F56" i="71"/>
  <c r="E55" i="71"/>
  <c r="O6" i="71"/>
  <c r="O38" i="13"/>
  <c r="D55" i="71"/>
  <c r="F53" i="71"/>
  <c r="F52" i="71"/>
  <c r="F51" i="71"/>
  <c r="F50" i="71"/>
  <c r="E49" i="71"/>
  <c r="D49" i="71"/>
  <c r="F47" i="71"/>
  <c r="F46" i="71"/>
  <c r="F45" i="71"/>
  <c r="F44" i="71"/>
  <c r="E43" i="71"/>
  <c r="M6" i="71"/>
  <c r="M38" i="13"/>
  <c r="D43" i="71"/>
  <c r="F41" i="71"/>
  <c r="F40" i="71"/>
  <c r="F39" i="71"/>
  <c r="F38" i="71"/>
  <c r="E37" i="71"/>
  <c r="L6" i="71"/>
  <c r="L38" i="13"/>
  <c r="D37" i="71"/>
  <c r="F25" i="71"/>
  <c r="F24" i="71"/>
  <c r="F23" i="71"/>
  <c r="F22" i="71"/>
  <c r="E21" i="71"/>
  <c r="E34" i="71"/>
  <c r="D21" i="71"/>
  <c r="B20" i="71"/>
  <c r="M44" i="2"/>
  <c r="F19" i="71"/>
  <c r="F18" i="71"/>
  <c r="E15" i="71"/>
  <c r="E33" i="71"/>
  <c r="F33" i="71"/>
  <c r="D15" i="71"/>
  <c r="D29" i="71"/>
  <c r="T6" i="71"/>
  <c r="T38" i="13"/>
  <c r="R6" i="71"/>
  <c r="R38" i="13"/>
  <c r="Q38" i="13"/>
  <c r="P6" i="71"/>
  <c r="P38" i="13"/>
  <c r="J6" i="71"/>
  <c r="J38" i="13"/>
  <c r="T4" i="71"/>
  <c r="R4" i="71"/>
  <c r="X5" i="71"/>
  <c r="W5" i="71"/>
  <c r="V5" i="71"/>
  <c r="U5" i="71"/>
  <c r="D67" i="63"/>
  <c r="F67" i="63"/>
  <c r="F65" i="63"/>
  <c r="F64" i="63"/>
  <c r="F63" i="63"/>
  <c r="F62" i="63"/>
  <c r="E61" i="63"/>
  <c r="P6" i="63"/>
  <c r="P46" i="12"/>
  <c r="D61" i="63"/>
  <c r="P4" i="63"/>
  <c r="F59" i="63"/>
  <c r="F58" i="63"/>
  <c r="F57" i="63"/>
  <c r="F56" i="63"/>
  <c r="E55" i="63"/>
  <c r="D55" i="63"/>
  <c r="F53" i="63"/>
  <c r="F52" i="63"/>
  <c r="F51" i="63"/>
  <c r="F50" i="63"/>
  <c r="E49" i="63"/>
  <c r="N6" i="63"/>
  <c r="N46" i="12"/>
  <c r="D49" i="63"/>
  <c r="N4" i="63"/>
  <c r="F47" i="63"/>
  <c r="F46" i="63"/>
  <c r="F45" i="63"/>
  <c r="F44" i="63"/>
  <c r="E43" i="63"/>
  <c r="M6" i="63"/>
  <c r="M46" i="12"/>
  <c r="D43" i="63"/>
  <c r="F41" i="63"/>
  <c r="F40" i="63"/>
  <c r="F39" i="63"/>
  <c r="F38" i="63"/>
  <c r="E37" i="63"/>
  <c r="L6" i="63"/>
  <c r="L46" i="12"/>
  <c r="D37" i="63"/>
  <c r="L4" i="63"/>
  <c r="F25" i="63"/>
  <c r="F24" i="63"/>
  <c r="F23" i="63"/>
  <c r="F22" i="63"/>
  <c r="E21" i="63"/>
  <c r="E34" i="63"/>
  <c r="D21" i="63"/>
  <c r="B20" i="63"/>
  <c r="I44" i="2"/>
  <c r="K44" i="2"/>
  <c r="F19" i="63"/>
  <c r="F18" i="63"/>
  <c r="F17" i="63"/>
  <c r="F16" i="63"/>
  <c r="E15" i="63"/>
  <c r="E33" i="63"/>
  <c r="D15" i="63"/>
  <c r="I4" i="63"/>
  <c r="T6" i="63"/>
  <c r="T46" i="12"/>
  <c r="R6" i="63"/>
  <c r="R46" i="12"/>
  <c r="Q6" i="63"/>
  <c r="Q46" i="12"/>
  <c r="O6" i="63"/>
  <c r="O46" i="12"/>
  <c r="J6" i="63"/>
  <c r="J46" i="12"/>
  <c r="T4" i="63"/>
  <c r="R4" i="63"/>
  <c r="X5" i="63"/>
  <c r="W5" i="63"/>
  <c r="V5" i="63"/>
  <c r="U5" i="63"/>
  <c r="E67" i="60"/>
  <c r="Q6" i="60"/>
  <c r="Q43" i="12"/>
  <c r="D67" i="60"/>
  <c r="Q4" i="60"/>
  <c r="F65" i="60"/>
  <c r="F64" i="60"/>
  <c r="F63" i="60"/>
  <c r="F62" i="60"/>
  <c r="E61" i="60"/>
  <c r="P6" i="60"/>
  <c r="P43" i="12"/>
  <c r="D61" i="60"/>
  <c r="F59" i="60"/>
  <c r="F58" i="60"/>
  <c r="F57" i="60"/>
  <c r="F56" i="60"/>
  <c r="E55" i="60"/>
  <c r="O6" i="60"/>
  <c r="O43" i="12"/>
  <c r="D55" i="60"/>
  <c r="O4" i="60"/>
  <c r="F53" i="60"/>
  <c r="F52" i="60"/>
  <c r="F51" i="60"/>
  <c r="F50" i="60"/>
  <c r="E49" i="60"/>
  <c r="N6" i="60"/>
  <c r="N43" i="12"/>
  <c r="D49" i="60"/>
  <c r="N4" i="60"/>
  <c r="F47" i="60"/>
  <c r="F46" i="60"/>
  <c r="F45" i="60"/>
  <c r="F44" i="60"/>
  <c r="E43" i="60"/>
  <c r="M6" i="60"/>
  <c r="M43" i="12"/>
  <c r="D43" i="60"/>
  <c r="M4" i="60"/>
  <c r="F41" i="60"/>
  <c r="F40" i="60"/>
  <c r="F39" i="60"/>
  <c r="F38" i="60"/>
  <c r="E37" i="60"/>
  <c r="L6" i="60"/>
  <c r="L43" i="12"/>
  <c r="D37" i="60"/>
  <c r="F25" i="60"/>
  <c r="F24" i="60"/>
  <c r="F23" i="60"/>
  <c r="F22" i="60"/>
  <c r="E21" i="60"/>
  <c r="D21" i="60"/>
  <c r="J4" i="60"/>
  <c r="B20" i="60"/>
  <c r="I41" i="2"/>
  <c r="F19" i="60"/>
  <c r="F18" i="60"/>
  <c r="F17" i="60"/>
  <c r="F16" i="60"/>
  <c r="E15" i="60"/>
  <c r="E33" i="60"/>
  <c r="F33" i="60"/>
  <c r="D15" i="60"/>
  <c r="D29" i="60"/>
  <c r="T6" i="60"/>
  <c r="T43" i="12"/>
  <c r="R6" i="60"/>
  <c r="R43" i="12"/>
  <c r="T4" i="60"/>
  <c r="R4" i="60"/>
  <c r="I4" i="60"/>
  <c r="X5" i="60"/>
  <c r="W5" i="60"/>
  <c r="V5" i="60"/>
  <c r="U5" i="60"/>
  <c r="D67" i="59"/>
  <c r="F67" i="59"/>
  <c r="F65" i="59"/>
  <c r="F64" i="59"/>
  <c r="F63" i="59"/>
  <c r="F62" i="59"/>
  <c r="E61" i="59"/>
  <c r="P6" i="59"/>
  <c r="P42" i="12"/>
  <c r="D61" i="59"/>
  <c r="F61" i="59"/>
  <c r="F59" i="59"/>
  <c r="F58" i="59"/>
  <c r="F57" i="59"/>
  <c r="F56" i="59"/>
  <c r="E55" i="59"/>
  <c r="O6" i="59"/>
  <c r="O42" i="12"/>
  <c r="D55" i="59"/>
  <c r="O4" i="59"/>
  <c r="F53" i="59"/>
  <c r="F52" i="59"/>
  <c r="F51" i="59"/>
  <c r="F50" i="59"/>
  <c r="E49" i="59"/>
  <c r="N6" i="59"/>
  <c r="N42" i="12"/>
  <c r="D49" i="59"/>
  <c r="F47" i="59"/>
  <c r="F46" i="59"/>
  <c r="F45" i="59"/>
  <c r="F44" i="59"/>
  <c r="E43" i="59"/>
  <c r="M6" i="59"/>
  <c r="M42" i="12"/>
  <c r="D43" i="59"/>
  <c r="M4" i="59"/>
  <c r="F41" i="59"/>
  <c r="F40" i="59"/>
  <c r="F39" i="59"/>
  <c r="F38" i="59"/>
  <c r="E37" i="59"/>
  <c r="L6" i="59"/>
  <c r="L42" i="12"/>
  <c r="D37" i="59"/>
  <c r="F25" i="59"/>
  <c r="F24" i="59"/>
  <c r="F23" i="59"/>
  <c r="F22" i="59"/>
  <c r="E21" i="59"/>
  <c r="D21" i="59"/>
  <c r="B20" i="59"/>
  <c r="I40" i="2"/>
  <c r="F19" i="59"/>
  <c r="F18" i="59"/>
  <c r="F17" i="59"/>
  <c r="F16" i="59"/>
  <c r="E15" i="59"/>
  <c r="E33" i="59"/>
  <c r="F33" i="59"/>
  <c r="D15" i="59"/>
  <c r="T6" i="59"/>
  <c r="T42" i="12"/>
  <c r="R6" i="59"/>
  <c r="R42" i="12"/>
  <c r="Q6" i="59"/>
  <c r="Q42" i="12"/>
  <c r="R4" i="59"/>
  <c r="I4" i="59"/>
  <c r="X5" i="59"/>
  <c r="W5" i="59"/>
  <c r="V5" i="59"/>
  <c r="U5" i="59"/>
  <c r="E67" i="58"/>
  <c r="Q6" i="58"/>
  <c r="Q41" i="12"/>
  <c r="D67" i="58"/>
  <c r="F67" i="58"/>
  <c r="F65" i="58"/>
  <c r="F64" i="58"/>
  <c r="F63" i="58"/>
  <c r="F62" i="58"/>
  <c r="E61" i="58"/>
  <c r="P6" i="58"/>
  <c r="P41" i="12"/>
  <c r="D61" i="58"/>
  <c r="P4" i="58"/>
  <c r="F59" i="58"/>
  <c r="F58" i="58"/>
  <c r="F57" i="58"/>
  <c r="F56" i="58"/>
  <c r="E55" i="58"/>
  <c r="D55" i="58"/>
  <c r="F55" i="58"/>
  <c r="F53" i="58"/>
  <c r="F52" i="58"/>
  <c r="F51" i="58"/>
  <c r="F50" i="58"/>
  <c r="E49" i="58"/>
  <c r="D49" i="58"/>
  <c r="N4" i="58"/>
  <c r="F47" i="58"/>
  <c r="F46" i="58"/>
  <c r="F45" i="58"/>
  <c r="F44" i="58"/>
  <c r="E43" i="58"/>
  <c r="M6" i="58"/>
  <c r="M41" i="12"/>
  <c r="D43" i="58"/>
  <c r="F43" i="58"/>
  <c r="F41" i="58"/>
  <c r="F40" i="58"/>
  <c r="F39" i="58"/>
  <c r="F38" i="58"/>
  <c r="E37" i="58"/>
  <c r="L6" i="58"/>
  <c r="L41" i="12"/>
  <c r="D37" i="58"/>
  <c r="L4" i="58"/>
  <c r="F25" i="58"/>
  <c r="F24" i="58"/>
  <c r="F23" i="58"/>
  <c r="F22" i="58"/>
  <c r="E21" i="58"/>
  <c r="E34" i="58"/>
  <c r="D21" i="58"/>
  <c r="B20" i="58"/>
  <c r="I39" i="2"/>
  <c r="F19" i="58"/>
  <c r="F18" i="58"/>
  <c r="F17" i="58"/>
  <c r="F16" i="58"/>
  <c r="E15" i="58"/>
  <c r="E33" i="58"/>
  <c r="F33" i="58"/>
  <c r="D15" i="58"/>
  <c r="D29" i="58"/>
  <c r="T6" i="58"/>
  <c r="T41" i="12"/>
  <c r="R6" i="58"/>
  <c r="R41" i="12"/>
  <c r="O6" i="58"/>
  <c r="O41" i="12"/>
  <c r="N6" i="58"/>
  <c r="N41" i="12"/>
  <c r="T4" i="58"/>
  <c r="R4" i="58"/>
  <c r="I4" i="58"/>
  <c r="X5" i="58"/>
  <c r="W5" i="58"/>
  <c r="V5" i="58"/>
  <c r="U5" i="58"/>
  <c r="D67" i="57"/>
  <c r="F67" i="57"/>
  <c r="F65" i="57"/>
  <c r="F64" i="57"/>
  <c r="F63" i="57"/>
  <c r="F62" i="57"/>
  <c r="E61" i="57"/>
  <c r="P6" i="57"/>
  <c r="P40" i="12"/>
  <c r="D61" i="57"/>
  <c r="P4" i="57"/>
  <c r="F59" i="57"/>
  <c r="F58" i="57"/>
  <c r="F57" i="57"/>
  <c r="F56" i="57"/>
  <c r="E55" i="57"/>
  <c r="D55" i="57"/>
  <c r="F53" i="57"/>
  <c r="F52" i="57"/>
  <c r="F51" i="57"/>
  <c r="F50" i="57"/>
  <c r="E49" i="57"/>
  <c r="N6" i="57"/>
  <c r="N40" i="12"/>
  <c r="D49" i="57"/>
  <c r="N4" i="57"/>
  <c r="F47" i="57"/>
  <c r="F46" i="57"/>
  <c r="F45" i="57"/>
  <c r="F44" i="57"/>
  <c r="E43" i="57"/>
  <c r="M6" i="57"/>
  <c r="M40" i="12"/>
  <c r="D43" i="57"/>
  <c r="F41" i="57"/>
  <c r="F40" i="57"/>
  <c r="F39" i="57"/>
  <c r="F38" i="57"/>
  <c r="E37" i="57"/>
  <c r="L6" i="57"/>
  <c r="L40" i="12"/>
  <c r="D37" i="57"/>
  <c r="L4" i="57"/>
  <c r="F25" i="57"/>
  <c r="F24" i="57"/>
  <c r="F23" i="57"/>
  <c r="F22" i="57"/>
  <c r="E21" i="57"/>
  <c r="E34" i="57"/>
  <c r="D21" i="57"/>
  <c r="B20" i="57"/>
  <c r="I38" i="2"/>
  <c r="K38" i="2"/>
  <c r="F19" i="57"/>
  <c r="F18" i="57"/>
  <c r="F17" i="57"/>
  <c r="F16" i="57"/>
  <c r="E15" i="57"/>
  <c r="E33" i="57"/>
  <c r="F33" i="57"/>
  <c r="D15" i="57"/>
  <c r="I4" i="57"/>
  <c r="T6" i="57"/>
  <c r="T40" i="12"/>
  <c r="R6" i="57"/>
  <c r="R40" i="12"/>
  <c r="Q6" i="57"/>
  <c r="Q40" i="12"/>
  <c r="O6" i="57"/>
  <c r="O40" i="12"/>
  <c r="R4" i="57"/>
  <c r="X5" i="57"/>
  <c r="W5" i="57"/>
  <c r="V5" i="57"/>
  <c r="U5" i="57"/>
  <c r="D67" i="56"/>
  <c r="F67" i="56"/>
  <c r="F65" i="56"/>
  <c r="F64" i="56"/>
  <c r="F63" i="56"/>
  <c r="F62" i="56"/>
  <c r="E61" i="56"/>
  <c r="P6" i="56"/>
  <c r="P39" i="12"/>
  <c r="D61" i="56"/>
  <c r="F59" i="56"/>
  <c r="F58" i="56"/>
  <c r="F57" i="56"/>
  <c r="F56" i="56"/>
  <c r="E55" i="56"/>
  <c r="O6" i="56"/>
  <c r="O39" i="12"/>
  <c r="D55" i="56"/>
  <c r="F53" i="56"/>
  <c r="F52" i="56"/>
  <c r="F51" i="56"/>
  <c r="F50" i="56"/>
  <c r="E49" i="56"/>
  <c r="N6" i="56"/>
  <c r="N39" i="12"/>
  <c r="D49" i="56"/>
  <c r="N4" i="56"/>
  <c r="F47" i="56"/>
  <c r="F46" i="56"/>
  <c r="F45" i="56"/>
  <c r="F44" i="56"/>
  <c r="E43" i="56"/>
  <c r="M6" i="56"/>
  <c r="M39" i="12"/>
  <c r="D43" i="56"/>
  <c r="F41" i="56"/>
  <c r="F40" i="56"/>
  <c r="F39" i="56"/>
  <c r="F38" i="56"/>
  <c r="E37" i="56"/>
  <c r="D37" i="56"/>
  <c r="F25" i="56"/>
  <c r="F24" i="56"/>
  <c r="F23" i="56"/>
  <c r="F22" i="56"/>
  <c r="E21" i="56"/>
  <c r="D21" i="56"/>
  <c r="B20" i="56"/>
  <c r="I37" i="2"/>
  <c r="F19" i="56"/>
  <c r="F18" i="56"/>
  <c r="F17" i="56"/>
  <c r="F16" i="56"/>
  <c r="E15" i="56"/>
  <c r="E33" i="56"/>
  <c r="F33" i="56"/>
  <c r="D15" i="56"/>
  <c r="T6" i="56"/>
  <c r="T39" i="12"/>
  <c r="R6" i="56"/>
  <c r="R39" i="12"/>
  <c r="Q6" i="56"/>
  <c r="Q39" i="12"/>
  <c r="L6" i="56"/>
  <c r="L39" i="12"/>
  <c r="T4" i="56"/>
  <c r="R4" i="56"/>
  <c r="Q4" i="56"/>
  <c r="O4" i="56"/>
  <c r="M4" i="56"/>
  <c r="J4" i="56"/>
  <c r="X5" i="56"/>
  <c r="W5" i="56"/>
  <c r="V5" i="56"/>
  <c r="U5" i="56"/>
  <c r="O54" i="128"/>
  <c r="R54" i="128"/>
  <c r="Q52" i="128"/>
  <c r="Q4" i="74"/>
  <c r="D30" i="108"/>
  <c r="J4" i="108"/>
  <c r="E30" i="108"/>
  <c r="J6" i="108" s="1"/>
  <c r="F33" i="81"/>
  <c r="E27" i="81"/>
  <c r="J6" i="81"/>
  <c r="K51" i="13"/>
  <c r="F15" i="81"/>
  <c r="F34" i="74"/>
  <c r="E34" i="74"/>
  <c r="E34" i="72"/>
  <c r="F34" i="72"/>
  <c r="E33" i="72"/>
  <c r="F33" i="72"/>
  <c r="F43" i="71"/>
  <c r="F55" i="71"/>
  <c r="F43" i="63"/>
  <c r="F55" i="63"/>
  <c r="E34" i="60"/>
  <c r="F34" i="60"/>
  <c r="E34" i="59"/>
  <c r="F34" i="59"/>
  <c r="E34" i="56"/>
  <c r="F34" i="56"/>
  <c r="F37" i="56"/>
  <c r="F49" i="56"/>
  <c r="F61" i="56"/>
  <c r="E27" i="124"/>
  <c r="E12" i="124" s="1"/>
  <c r="F30" i="124"/>
  <c r="E27" i="111"/>
  <c r="E12" i="111"/>
  <c r="F29" i="111"/>
  <c r="F27" i="111"/>
  <c r="J6" i="106"/>
  <c r="K66" i="13"/>
  <c r="E12" i="106"/>
  <c r="F30" i="106"/>
  <c r="Q71" i="2"/>
  <c r="S71" i="2"/>
  <c r="K71" i="2"/>
  <c r="F61" i="91"/>
  <c r="F61" i="81"/>
  <c r="I6" i="73"/>
  <c r="F37" i="73"/>
  <c r="F49" i="73"/>
  <c r="I5" i="73"/>
  <c r="E30" i="73"/>
  <c r="F34" i="73"/>
  <c r="M4" i="71"/>
  <c r="E30" i="71"/>
  <c r="F34" i="71"/>
  <c r="E30" i="63"/>
  <c r="F34" i="63"/>
  <c r="I6" i="63"/>
  <c r="I46" i="12"/>
  <c r="F33" i="63"/>
  <c r="E30" i="58"/>
  <c r="F34" i="58"/>
  <c r="E30" i="57"/>
  <c r="F34" i="57"/>
  <c r="J6" i="57"/>
  <c r="J40" i="12"/>
  <c r="I6" i="57"/>
  <c r="I40" i="12"/>
  <c r="F43" i="57"/>
  <c r="F55" i="57"/>
  <c r="Q5" i="73"/>
  <c r="M5" i="73"/>
  <c r="M4" i="58"/>
  <c r="J6" i="58"/>
  <c r="J41" i="12"/>
  <c r="Q4" i="58"/>
  <c r="K37" i="2"/>
  <c r="Q37" i="2"/>
  <c r="S37" i="2"/>
  <c r="J6" i="74"/>
  <c r="J35" i="13"/>
  <c r="E30" i="74"/>
  <c r="D29" i="74"/>
  <c r="R32" i="13"/>
  <c r="R39" i="13"/>
  <c r="D30" i="74"/>
  <c r="D30" i="73"/>
  <c r="F30" i="73"/>
  <c r="J4" i="72"/>
  <c r="J6" i="72"/>
  <c r="J33" i="13"/>
  <c r="F30" i="72"/>
  <c r="O38" i="2"/>
  <c r="Q38" i="2"/>
  <c r="S38" i="2"/>
  <c r="O4" i="71"/>
  <c r="D30" i="71"/>
  <c r="J4" i="71"/>
  <c r="O44" i="2"/>
  <c r="Q44" i="2"/>
  <c r="S44" i="2"/>
  <c r="M45" i="2"/>
  <c r="J6" i="60"/>
  <c r="J43" i="12"/>
  <c r="E30" i="60"/>
  <c r="E29" i="60"/>
  <c r="F29" i="60"/>
  <c r="F37" i="60"/>
  <c r="F49" i="60"/>
  <c r="F61" i="60"/>
  <c r="K41" i="2"/>
  <c r="Q41" i="2"/>
  <c r="S41" i="2"/>
  <c r="D30" i="60"/>
  <c r="F67" i="60"/>
  <c r="E29" i="58"/>
  <c r="I6" i="58"/>
  <c r="I41" i="12"/>
  <c r="K39" i="2"/>
  <c r="Q39" i="2"/>
  <c r="S39" i="2"/>
  <c r="D30" i="58"/>
  <c r="F58" i="93"/>
  <c r="N4" i="93"/>
  <c r="Q73" i="2"/>
  <c r="S73" i="2"/>
  <c r="K73" i="2"/>
  <c r="F46" i="93"/>
  <c r="L4" i="93"/>
  <c r="D27" i="124"/>
  <c r="K40" i="2"/>
  <c r="Q40" i="2"/>
  <c r="N6" i="71"/>
  <c r="N38" i="13"/>
  <c r="N32" i="13"/>
  <c r="Q4" i="71"/>
  <c r="T32" i="13"/>
  <c r="F67" i="72"/>
  <c r="D29" i="56"/>
  <c r="I71" i="13"/>
  <c r="H6" i="93"/>
  <c r="I76" i="12"/>
  <c r="E32" i="93"/>
  <c r="E30" i="93"/>
  <c r="J6" i="93"/>
  <c r="K76" i="12"/>
  <c r="D30" i="93"/>
  <c r="H4" i="93"/>
  <c r="D32" i="93"/>
  <c r="N76" i="12"/>
  <c r="F52" i="93"/>
  <c r="M4" i="93"/>
  <c r="E29" i="91"/>
  <c r="E27" i="91"/>
  <c r="H6" i="91"/>
  <c r="I74" i="12"/>
  <c r="F55" i="91"/>
  <c r="Q4" i="72"/>
  <c r="O32" i="13"/>
  <c r="M32" i="13"/>
  <c r="E12" i="96"/>
  <c r="J6" i="96"/>
  <c r="K79" i="12"/>
  <c r="F29" i="96"/>
  <c r="F27" i="96"/>
  <c r="D27" i="96"/>
  <c r="D12" i="96"/>
  <c r="Q32" i="13"/>
  <c r="J6" i="56"/>
  <c r="J39" i="12"/>
  <c r="E30" i="56"/>
  <c r="E29" i="56"/>
  <c r="Q4" i="57"/>
  <c r="D29" i="57"/>
  <c r="Q4" i="59"/>
  <c r="D29" i="63"/>
  <c r="D30" i="56"/>
  <c r="F30" i="56"/>
  <c r="D30" i="57"/>
  <c r="D30" i="59"/>
  <c r="D30" i="63"/>
  <c r="F30" i="63"/>
  <c r="D29" i="59"/>
  <c r="J6" i="59"/>
  <c r="J42" i="12"/>
  <c r="E30" i="59"/>
  <c r="Q4" i="63"/>
  <c r="I4" i="56"/>
  <c r="M4" i="57"/>
  <c r="E29" i="57"/>
  <c r="J4" i="59"/>
  <c r="E29" i="59"/>
  <c r="F37" i="59"/>
  <c r="F49" i="59"/>
  <c r="M4" i="63"/>
  <c r="E29" i="63"/>
  <c r="F37" i="71"/>
  <c r="I6" i="72"/>
  <c r="I33" i="13"/>
  <c r="F49" i="71"/>
  <c r="F61" i="71"/>
  <c r="F61" i="73"/>
  <c r="L32" i="13"/>
  <c r="I4" i="72"/>
  <c r="I4" i="71"/>
  <c r="E29" i="74"/>
  <c r="E29" i="71"/>
  <c r="E29" i="73"/>
  <c r="E27" i="73"/>
  <c r="I6" i="74"/>
  <c r="I35" i="13"/>
  <c r="I4" i="74"/>
  <c r="F49" i="81"/>
  <c r="P32" i="13"/>
  <c r="I39" i="11"/>
  <c r="L4" i="59"/>
  <c r="L4" i="56"/>
  <c r="P4" i="56"/>
  <c r="I6" i="56"/>
  <c r="I39" i="12"/>
  <c r="J4" i="57"/>
  <c r="O4" i="57"/>
  <c r="F37" i="57"/>
  <c r="F49" i="57"/>
  <c r="F61" i="57"/>
  <c r="F43" i="59"/>
  <c r="F55" i="59"/>
  <c r="L4" i="60"/>
  <c r="P4" i="60"/>
  <c r="I6" i="60"/>
  <c r="I43" i="12"/>
  <c r="J4" i="63"/>
  <c r="O4" i="63"/>
  <c r="F37" i="63"/>
  <c r="F49" i="63"/>
  <c r="F61" i="63"/>
  <c r="P4" i="59"/>
  <c r="I6" i="59"/>
  <c r="I42" i="12"/>
  <c r="F43" i="56"/>
  <c r="F55" i="56"/>
  <c r="J4" i="58"/>
  <c r="O4" i="58"/>
  <c r="F37" i="58"/>
  <c r="F49" i="58"/>
  <c r="F61" i="58"/>
  <c r="N4" i="59"/>
  <c r="F43" i="60"/>
  <c r="F55" i="60"/>
  <c r="N4" i="71"/>
  <c r="F43" i="72"/>
  <c r="F55" i="72"/>
  <c r="L5" i="73"/>
  <c r="P5" i="73"/>
  <c r="I34" i="13"/>
  <c r="F37" i="74"/>
  <c r="F49" i="74"/>
  <c r="F61" i="74"/>
  <c r="L4" i="71"/>
  <c r="P4" i="71"/>
  <c r="I6" i="71"/>
  <c r="I38" i="13"/>
  <c r="F37" i="72"/>
  <c r="F49" i="72"/>
  <c r="F61" i="72"/>
  <c r="N5" i="73"/>
  <c r="F43" i="74"/>
  <c r="F55" i="74"/>
  <c r="H4" i="81"/>
  <c r="J4" i="81"/>
  <c r="F43" i="81"/>
  <c r="F49" i="91"/>
  <c r="M4" i="81"/>
  <c r="F55" i="81"/>
  <c r="O4" i="81"/>
  <c r="D12" i="81"/>
  <c r="R6" i="106"/>
  <c r="S66" i="13"/>
  <c r="J54" i="11"/>
  <c r="J4" i="111"/>
  <c r="R4" i="111"/>
  <c r="D12" i="108"/>
  <c r="D27" i="106"/>
  <c r="F29" i="106"/>
  <c r="J4" i="96"/>
  <c r="R4" i="96"/>
  <c r="J4" i="93"/>
  <c r="F15" i="93"/>
  <c r="H4" i="91"/>
  <c r="F43" i="91"/>
  <c r="D27" i="91"/>
  <c r="F15" i="91"/>
  <c r="E12" i="81"/>
  <c r="O6" i="81"/>
  <c r="F15" i="74"/>
  <c r="F21" i="74"/>
  <c r="F15" i="73"/>
  <c r="F21" i="73"/>
  <c r="D27" i="72"/>
  <c r="D12" i="72"/>
  <c r="F15" i="72"/>
  <c r="F21" i="72"/>
  <c r="D27" i="71"/>
  <c r="D12" i="71"/>
  <c r="F15" i="71"/>
  <c r="F21" i="71"/>
  <c r="F15" i="63"/>
  <c r="F21" i="63"/>
  <c r="D27" i="60"/>
  <c r="F15" i="60"/>
  <c r="F21" i="60"/>
  <c r="D27" i="59"/>
  <c r="D12" i="59"/>
  <c r="F15" i="59"/>
  <c r="F21" i="59"/>
  <c r="D27" i="58"/>
  <c r="F15" i="58"/>
  <c r="F21" i="58"/>
  <c r="F15" i="57"/>
  <c r="F21" i="57"/>
  <c r="F15" i="56"/>
  <c r="F21" i="56"/>
  <c r="D60" i="48"/>
  <c r="S6" i="48"/>
  <c r="T28" i="12"/>
  <c r="C60" i="48"/>
  <c r="S4" i="48"/>
  <c r="E56" i="48"/>
  <c r="M6" i="48"/>
  <c r="N28" i="12"/>
  <c r="C50" i="48"/>
  <c r="M4" i="48"/>
  <c r="E49" i="48"/>
  <c r="D42" i="48"/>
  <c r="D44" i="48"/>
  <c r="D52" i="48"/>
  <c r="E39" i="48"/>
  <c r="N6" i="48"/>
  <c r="O28" i="12"/>
  <c r="E36" i="48"/>
  <c r="E35" i="48"/>
  <c r="E31" i="48"/>
  <c r="L6" i="48"/>
  <c r="M28" i="12"/>
  <c r="L4" i="48"/>
  <c r="E28" i="48"/>
  <c r="E27" i="48"/>
  <c r="E26" i="48"/>
  <c r="E25" i="48"/>
  <c r="E24" i="48"/>
  <c r="E29" i="48"/>
  <c r="I28" i="12"/>
  <c r="E18" i="48"/>
  <c r="E13" i="48"/>
  <c r="E12" i="48"/>
  <c r="P6" i="48"/>
  <c r="Q28" i="12"/>
  <c r="O6" i="48"/>
  <c r="P28" i="12"/>
  <c r="K6" i="48"/>
  <c r="L28" i="12"/>
  <c r="J28" i="12"/>
  <c r="P4" i="48"/>
  <c r="O4" i="48"/>
  <c r="K4" i="48"/>
  <c r="Q54" i="128"/>
  <c r="E12" i="108"/>
  <c r="F12" i="108" s="1"/>
  <c r="F30" i="71"/>
  <c r="K6" i="72"/>
  <c r="S6" i="72"/>
  <c r="S33" i="13"/>
  <c r="E27" i="57"/>
  <c r="F30" i="57"/>
  <c r="F32" i="93"/>
  <c r="F30" i="93"/>
  <c r="F29" i="91"/>
  <c r="F27" i="91"/>
  <c r="F12" i="81"/>
  <c r="F27" i="81"/>
  <c r="D27" i="74"/>
  <c r="D12" i="74"/>
  <c r="F29" i="72"/>
  <c r="F30" i="60"/>
  <c r="E27" i="60"/>
  <c r="K6" i="60"/>
  <c r="K43" i="12"/>
  <c r="E27" i="56"/>
  <c r="E12" i="56"/>
  <c r="J6" i="111"/>
  <c r="K71" i="13"/>
  <c r="E12" i="93"/>
  <c r="E27" i="74"/>
  <c r="K6" i="74"/>
  <c r="E27" i="71"/>
  <c r="F27" i="71"/>
  <c r="E27" i="63"/>
  <c r="E12" i="63"/>
  <c r="F12" i="63"/>
  <c r="F29" i="59"/>
  <c r="E27" i="59"/>
  <c r="F27" i="59"/>
  <c r="F30" i="58"/>
  <c r="E27" i="58"/>
  <c r="K6" i="58"/>
  <c r="J4" i="124"/>
  <c r="F27" i="106"/>
  <c r="F30" i="74"/>
  <c r="E12" i="72"/>
  <c r="F29" i="63"/>
  <c r="D27" i="63"/>
  <c r="D12" i="63"/>
  <c r="F29" i="58"/>
  <c r="J32" i="13"/>
  <c r="F29" i="56"/>
  <c r="D27" i="73"/>
  <c r="O45" i="2"/>
  <c r="E12" i="60"/>
  <c r="S40" i="2"/>
  <c r="F12" i="96"/>
  <c r="F30" i="59"/>
  <c r="D27" i="57"/>
  <c r="D12" i="57"/>
  <c r="Q6" i="93"/>
  <c r="S76" i="12"/>
  <c r="H56" i="11"/>
  <c r="F29" i="57"/>
  <c r="I32" i="13"/>
  <c r="J6" i="91"/>
  <c r="K74" i="12"/>
  <c r="E12" i="91"/>
  <c r="F12" i="111"/>
  <c r="R6" i="96"/>
  <c r="S79" i="12"/>
  <c r="H59" i="11"/>
  <c r="K6" i="57"/>
  <c r="E12" i="57"/>
  <c r="D27" i="56"/>
  <c r="D12" i="56"/>
  <c r="K6" i="63"/>
  <c r="K46" i="12"/>
  <c r="F29" i="73"/>
  <c r="F29" i="71"/>
  <c r="F29" i="74"/>
  <c r="E12" i="73"/>
  <c r="K6" i="73"/>
  <c r="K34" i="13"/>
  <c r="Q4" i="93"/>
  <c r="I41" i="11"/>
  <c r="E37" i="48"/>
  <c r="N4" i="48"/>
  <c r="K33" i="13"/>
  <c r="R4" i="81"/>
  <c r="P51" i="13"/>
  <c r="P52" i="13"/>
  <c r="R4" i="108"/>
  <c r="J4" i="106"/>
  <c r="D12" i="106"/>
  <c r="F12" i="106"/>
  <c r="D12" i="93"/>
  <c r="D12" i="91"/>
  <c r="J4" i="91"/>
  <c r="R6" i="81"/>
  <c r="S51" i="13"/>
  <c r="J39" i="11"/>
  <c r="K4" i="74"/>
  <c r="F27" i="73"/>
  <c r="D12" i="73"/>
  <c r="K5" i="73"/>
  <c r="F27" i="72"/>
  <c r="K4" i="72"/>
  <c r="K4" i="71"/>
  <c r="K4" i="63"/>
  <c r="F27" i="60"/>
  <c r="D12" i="60"/>
  <c r="K4" i="60"/>
  <c r="K4" i="59"/>
  <c r="D12" i="58"/>
  <c r="K4" i="58"/>
  <c r="J6" i="48"/>
  <c r="K28" i="12"/>
  <c r="E50" i="48"/>
  <c r="C44" i="48"/>
  <c r="C52" i="48"/>
  <c r="E60" i="48"/>
  <c r="D62" i="48"/>
  <c r="E41" i="48"/>
  <c r="E44" i="48"/>
  <c r="E14" i="48"/>
  <c r="I29" i="11"/>
  <c r="T52" i="13"/>
  <c r="Q52" i="13"/>
  <c r="O52" i="13"/>
  <c r="N52" i="13"/>
  <c r="M52" i="13"/>
  <c r="L52" i="13"/>
  <c r="K52" i="13"/>
  <c r="J52" i="13"/>
  <c r="T52" i="12"/>
  <c r="G34" i="11"/>
  <c r="E52" i="48"/>
  <c r="R6" i="111"/>
  <c r="S71" i="13"/>
  <c r="J59" i="11"/>
  <c r="K6" i="59"/>
  <c r="K42" i="12"/>
  <c r="F12" i="93"/>
  <c r="E12" i="58"/>
  <c r="F12" i="58"/>
  <c r="F27" i="58"/>
  <c r="K35" i="13"/>
  <c r="S6" i="74"/>
  <c r="W6" i="74"/>
  <c r="E12" i="74"/>
  <c r="F12" i="74"/>
  <c r="F27" i="74"/>
  <c r="K6" i="71"/>
  <c r="K38" i="13"/>
  <c r="K32" i="13"/>
  <c r="E12" i="71"/>
  <c r="F12" i="71"/>
  <c r="E12" i="59"/>
  <c r="F12" i="59"/>
  <c r="J4" i="48"/>
  <c r="R4" i="48"/>
  <c r="R6" i="48"/>
  <c r="S28" i="12"/>
  <c r="F12" i="91"/>
  <c r="R6" i="91"/>
  <c r="S74" i="12"/>
  <c r="H54" i="11"/>
  <c r="F27" i="63"/>
  <c r="F12" i="60"/>
  <c r="K6" i="56"/>
  <c r="K39" i="12"/>
  <c r="F27" i="56"/>
  <c r="S6" i="60"/>
  <c r="K41" i="12"/>
  <c r="S6" i="58"/>
  <c r="S6" i="59"/>
  <c r="U6" i="59"/>
  <c r="K4" i="57"/>
  <c r="F27" i="57"/>
  <c r="F12" i="57"/>
  <c r="F12" i="56"/>
  <c r="K4" i="56"/>
  <c r="S6" i="63"/>
  <c r="W6" i="63"/>
  <c r="K40" i="12"/>
  <c r="S6" i="57"/>
  <c r="S6" i="73"/>
  <c r="U6" i="73"/>
  <c r="F12" i="72"/>
  <c r="F12" i="73"/>
  <c r="X6" i="72"/>
  <c r="W6" i="72"/>
  <c r="S35" i="13"/>
  <c r="V6" i="72"/>
  <c r="U6" i="72"/>
  <c r="S52" i="13"/>
  <c r="J41" i="11"/>
  <c r="R4" i="106"/>
  <c r="R4" i="91"/>
  <c r="S4" i="74"/>
  <c r="S5" i="73"/>
  <c r="S4" i="72"/>
  <c r="S4" i="71"/>
  <c r="S4" i="63"/>
  <c r="S4" i="60"/>
  <c r="S4" i="59"/>
  <c r="S4" i="58"/>
  <c r="C62" i="48"/>
  <c r="S6" i="71"/>
  <c r="W6" i="71"/>
  <c r="X6" i="74"/>
  <c r="V6" i="74"/>
  <c r="U6" i="74"/>
  <c r="S6" i="56"/>
  <c r="S39" i="12"/>
  <c r="S34" i="13"/>
  <c r="W6" i="60"/>
  <c r="X6" i="60"/>
  <c r="U6" i="60"/>
  <c r="V6" i="60"/>
  <c r="S43" i="12"/>
  <c r="V6" i="58"/>
  <c r="U6" i="58"/>
  <c r="S41" i="12"/>
  <c r="W6" i="58"/>
  <c r="X6" i="58"/>
  <c r="X6" i="63"/>
  <c r="V6" i="59"/>
  <c r="S42" i="12"/>
  <c r="X6" i="59"/>
  <c r="W6" i="59"/>
  <c r="S4" i="57"/>
  <c r="X4" i="57"/>
  <c r="S4" i="56"/>
  <c r="X4" i="56"/>
  <c r="X6" i="73"/>
  <c r="V6" i="63"/>
  <c r="S46" i="12"/>
  <c r="W6" i="57"/>
  <c r="V6" i="57"/>
  <c r="X6" i="57"/>
  <c r="S40" i="12"/>
  <c r="U6" i="57"/>
  <c r="U6" i="63"/>
  <c r="V6" i="71"/>
  <c r="V6" i="73"/>
  <c r="W6" i="73"/>
  <c r="X4" i="74"/>
  <c r="W4" i="74"/>
  <c r="V4" i="74"/>
  <c r="U4" i="74"/>
  <c r="X5" i="73"/>
  <c r="W5" i="73"/>
  <c r="V5" i="73"/>
  <c r="U5" i="73"/>
  <c r="X4" i="72"/>
  <c r="W4" i="72"/>
  <c r="V4" i="72"/>
  <c r="U4" i="72"/>
  <c r="X4" i="71"/>
  <c r="W4" i="71"/>
  <c r="V4" i="71"/>
  <c r="U4" i="71"/>
  <c r="X4" i="63"/>
  <c r="W4" i="63"/>
  <c r="V4" i="63"/>
  <c r="U4" i="63"/>
  <c r="X4" i="60"/>
  <c r="W4" i="60"/>
  <c r="V4" i="60"/>
  <c r="U4" i="60"/>
  <c r="X4" i="59"/>
  <c r="W4" i="59"/>
  <c r="V4" i="59"/>
  <c r="U4" i="59"/>
  <c r="X4" i="58"/>
  <c r="W4" i="58"/>
  <c r="V4" i="58"/>
  <c r="U4" i="58"/>
  <c r="U6" i="71"/>
  <c r="X6" i="71"/>
  <c r="S38" i="13"/>
  <c r="S32" i="13"/>
  <c r="X6" i="56"/>
  <c r="W6" i="56"/>
  <c r="V6" i="56"/>
  <c r="U6" i="56"/>
  <c r="V4" i="57"/>
  <c r="V4" i="56"/>
  <c r="U4" i="57"/>
  <c r="W4" i="57"/>
  <c r="U4" i="56"/>
  <c r="W4" i="56"/>
  <c r="R6" i="45"/>
  <c r="R4" i="45"/>
  <c r="R6" i="46"/>
  <c r="R4" i="46"/>
  <c r="R6" i="38"/>
  <c r="R4" i="38"/>
  <c r="R6" i="37"/>
  <c r="R4" i="37"/>
  <c r="R6" i="36"/>
  <c r="R4" i="36"/>
  <c r="R6" i="32"/>
  <c r="R4" i="32"/>
  <c r="R6" i="31"/>
  <c r="R4" i="31"/>
  <c r="R6" i="30"/>
  <c r="R4" i="30"/>
  <c r="R6" i="29"/>
  <c r="R4" i="29"/>
  <c r="R6" i="23"/>
  <c r="R4" i="23"/>
  <c r="R6" i="21"/>
  <c r="R4" i="21"/>
  <c r="R6" i="20"/>
  <c r="R4" i="20"/>
  <c r="R6" i="19"/>
  <c r="R4" i="19"/>
  <c r="R6" i="18"/>
  <c r="R4" i="18"/>
  <c r="R6" i="17"/>
  <c r="R4" i="17"/>
  <c r="F67" i="79"/>
  <c r="C12" i="50"/>
  <c r="X17" i="77"/>
  <c r="X18" i="77"/>
  <c r="X19" i="77"/>
  <c r="Y19" i="77"/>
  <c r="X16" i="77"/>
  <c r="Y17" i="77"/>
  <c r="Y18" i="77"/>
  <c r="U16" i="77"/>
  <c r="U17" i="77"/>
  <c r="U18" i="77"/>
  <c r="V18" i="77"/>
  <c r="U19" i="77"/>
  <c r="S17" i="77"/>
  <c r="S18" i="77"/>
  <c r="S19" i="77"/>
  <c r="S16" i="77"/>
  <c r="X17" i="75"/>
  <c r="X18" i="75"/>
  <c r="X19" i="75"/>
  <c r="X16" i="75"/>
  <c r="W17" i="75"/>
  <c r="W18" i="75"/>
  <c r="W19" i="75"/>
  <c r="Y19" i="75"/>
  <c r="W16" i="75"/>
  <c r="U17" i="75"/>
  <c r="U18" i="75"/>
  <c r="U19" i="75"/>
  <c r="U16" i="75"/>
  <c r="T17" i="75"/>
  <c r="T18" i="75"/>
  <c r="T19" i="75"/>
  <c r="V19" i="75"/>
  <c r="T16" i="75"/>
  <c r="S17" i="75"/>
  <c r="S18" i="75"/>
  <c r="S19" i="75"/>
  <c r="S16" i="75"/>
  <c r="X17" i="42"/>
  <c r="U17" i="42"/>
  <c r="S17" i="42"/>
  <c r="X16" i="42"/>
  <c r="U16" i="42"/>
  <c r="S16" i="42"/>
  <c r="X17" i="26"/>
  <c r="U17" i="26"/>
  <c r="S17" i="26"/>
  <c r="X16" i="26"/>
  <c r="U16" i="26"/>
  <c r="S16" i="26"/>
  <c r="F65" i="77"/>
  <c r="F64" i="77"/>
  <c r="F63" i="77"/>
  <c r="F62" i="77"/>
  <c r="E61" i="77"/>
  <c r="P6" i="77"/>
  <c r="P44" i="13"/>
  <c r="D61" i="77"/>
  <c r="F59" i="77"/>
  <c r="F58" i="77"/>
  <c r="F57" i="77"/>
  <c r="F56" i="77"/>
  <c r="E55" i="77"/>
  <c r="O6" i="77"/>
  <c r="O44" i="13"/>
  <c r="D55" i="77"/>
  <c r="F53" i="77"/>
  <c r="F52" i="77"/>
  <c r="F51" i="77"/>
  <c r="F50" i="77"/>
  <c r="E49" i="77"/>
  <c r="N6" i="77"/>
  <c r="N44" i="13"/>
  <c r="D49" i="77"/>
  <c r="F47" i="77"/>
  <c r="F46" i="77"/>
  <c r="F45" i="77"/>
  <c r="F44" i="77"/>
  <c r="E43" i="77"/>
  <c r="M6" i="77"/>
  <c r="M44" i="13"/>
  <c r="D43" i="77"/>
  <c r="F41" i="77"/>
  <c r="F40" i="77"/>
  <c r="F39" i="77"/>
  <c r="F38" i="77"/>
  <c r="E37" i="77"/>
  <c r="D37" i="77"/>
  <c r="L4" i="77"/>
  <c r="F25" i="77"/>
  <c r="F24" i="77"/>
  <c r="F23" i="77"/>
  <c r="F22" i="77"/>
  <c r="E21" i="77"/>
  <c r="E34" i="77"/>
  <c r="D21" i="77"/>
  <c r="B20" i="77"/>
  <c r="M50" i="2"/>
  <c r="F19" i="77"/>
  <c r="F18" i="77"/>
  <c r="F17" i="77"/>
  <c r="F16" i="77"/>
  <c r="E15" i="77"/>
  <c r="E33" i="77"/>
  <c r="F33" i="77"/>
  <c r="D15" i="77"/>
  <c r="D29" i="77"/>
  <c r="R6" i="77"/>
  <c r="R44" i="13"/>
  <c r="L6" i="77"/>
  <c r="L44" i="13"/>
  <c r="R4" i="77"/>
  <c r="X5" i="77"/>
  <c r="W5" i="77"/>
  <c r="V5" i="77"/>
  <c r="U5" i="77"/>
  <c r="F65" i="75"/>
  <c r="F64" i="75"/>
  <c r="F63" i="75"/>
  <c r="F62" i="75"/>
  <c r="E61" i="75"/>
  <c r="P6" i="75"/>
  <c r="P51" i="12"/>
  <c r="D61" i="75"/>
  <c r="F59" i="75"/>
  <c r="F58" i="75"/>
  <c r="F57" i="75"/>
  <c r="F56" i="75"/>
  <c r="E55" i="75"/>
  <c r="O6" i="75"/>
  <c r="O51" i="12"/>
  <c r="D55" i="75"/>
  <c r="O4" i="75"/>
  <c r="F53" i="75"/>
  <c r="F52" i="75"/>
  <c r="F51" i="75"/>
  <c r="F50" i="75"/>
  <c r="E49" i="75"/>
  <c r="N6" i="75"/>
  <c r="N51" i="12"/>
  <c r="D49" i="75"/>
  <c r="N4" i="75"/>
  <c r="F47" i="75"/>
  <c r="F46" i="75"/>
  <c r="F45" i="75"/>
  <c r="F44" i="75"/>
  <c r="E43" i="75"/>
  <c r="M6" i="75"/>
  <c r="M51" i="12"/>
  <c r="D43" i="75"/>
  <c r="F41" i="75"/>
  <c r="F40" i="75"/>
  <c r="F39" i="75"/>
  <c r="F38" i="75"/>
  <c r="E37" i="75"/>
  <c r="D37" i="75"/>
  <c r="L4" i="75"/>
  <c r="F25" i="75"/>
  <c r="F24" i="75"/>
  <c r="F23" i="75"/>
  <c r="F22" i="75"/>
  <c r="E21" i="75"/>
  <c r="E34" i="75"/>
  <c r="D21" i="75"/>
  <c r="D30" i="75"/>
  <c r="B20" i="75"/>
  <c r="I50" i="2"/>
  <c r="F19" i="75"/>
  <c r="F18" i="75"/>
  <c r="F17" i="75"/>
  <c r="F16" i="75"/>
  <c r="E15" i="75"/>
  <c r="E33" i="75"/>
  <c r="F33" i="75"/>
  <c r="D15" i="75"/>
  <c r="D29" i="75"/>
  <c r="R6" i="75"/>
  <c r="R51" i="12"/>
  <c r="L6" i="75"/>
  <c r="L51" i="12"/>
  <c r="R4" i="75"/>
  <c r="M4" i="75"/>
  <c r="X5" i="75"/>
  <c r="W5" i="75"/>
  <c r="V5" i="75"/>
  <c r="U5" i="75"/>
  <c r="D61" i="45"/>
  <c r="J23" i="80"/>
  <c r="N15" i="20"/>
  <c r="N15" i="19"/>
  <c r="R15" i="12"/>
  <c r="X18" i="46"/>
  <c r="X19" i="46"/>
  <c r="X20" i="46"/>
  <c r="Y20" i="46"/>
  <c r="X21" i="46"/>
  <c r="Y21" i="46"/>
  <c r="X16" i="46"/>
  <c r="U18" i="46"/>
  <c r="U19" i="46"/>
  <c r="U20" i="46"/>
  <c r="U21" i="46"/>
  <c r="V21" i="46"/>
  <c r="U22" i="46"/>
  <c r="U16" i="46"/>
  <c r="S18" i="46"/>
  <c r="S19" i="46"/>
  <c r="S20" i="46"/>
  <c r="S21" i="46"/>
  <c r="S22" i="46"/>
  <c r="S16" i="46"/>
  <c r="X17" i="45"/>
  <c r="X18" i="45"/>
  <c r="X19" i="45"/>
  <c r="X20" i="45"/>
  <c r="X21" i="45"/>
  <c r="X22" i="45"/>
  <c r="X23" i="45"/>
  <c r="X24" i="45"/>
  <c r="X25" i="45"/>
  <c r="X26" i="45"/>
  <c r="X27" i="45"/>
  <c r="X28" i="45"/>
  <c r="X29" i="45"/>
  <c r="X30" i="45"/>
  <c r="X16" i="45"/>
  <c r="U17" i="45"/>
  <c r="U18" i="45"/>
  <c r="U19" i="45"/>
  <c r="U20" i="45"/>
  <c r="U21" i="45"/>
  <c r="U22" i="45"/>
  <c r="U23" i="45"/>
  <c r="U24" i="45"/>
  <c r="U25" i="45"/>
  <c r="U26" i="45"/>
  <c r="U27" i="45"/>
  <c r="U28" i="45"/>
  <c r="U29" i="45"/>
  <c r="U30" i="45"/>
  <c r="U16" i="45"/>
  <c r="S17" i="45"/>
  <c r="S18" i="45"/>
  <c r="S19" i="45"/>
  <c r="S20" i="45"/>
  <c r="S21" i="45"/>
  <c r="S22" i="45"/>
  <c r="S23" i="45"/>
  <c r="S24" i="45"/>
  <c r="S25" i="45"/>
  <c r="S26" i="45"/>
  <c r="S27" i="45"/>
  <c r="S28" i="45"/>
  <c r="S29" i="45"/>
  <c r="S30" i="45"/>
  <c r="S16" i="45"/>
  <c r="X17" i="39"/>
  <c r="X18" i="39"/>
  <c r="X19" i="39"/>
  <c r="X20" i="39"/>
  <c r="X16" i="39"/>
  <c r="U17" i="39"/>
  <c r="U18" i="39"/>
  <c r="U19" i="39"/>
  <c r="U20" i="39"/>
  <c r="U16" i="39"/>
  <c r="S17" i="39"/>
  <c r="S18" i="39"/>
  <c r="S19" i="39"/>
  <c r="S20" i="39"/>
  <c r="S16" i="39"/>
  <c r="N15" i="39"/>
  <c r="L6" i="42"/>
  <c r="L4" i="42"/>
  <c r="N15" i="42"/>
  <c r="E61" i="42"/>
  <c r="P6" i="42"/>
  <c r="D61" i="42"/>
  <c r="E55" i="42"/>
  <c r="O6" i="42"/>
  <c r="D55" i="42"/>
  <c r="E49" i="42"/>
  <c r="N6" i="42"/>
  <c r="D49" i="42"/>
  <c r="M6" i="42"/>
  <c r="D43" i="42"/>
  <c r="E21" i="42"/>
  <c r="D21" i="42"/>
  <c r="D30" i="42"/>
  <c r="F16" i="42"/>
  <c r="E15" i="42"/>
  <c r="E33" i="42"/>
  <c r="F33" i="42"/>
  <c r="D15" i="42"/>
  <c r="X18" i="38"/>
  <c r="X19" i="38"/>
  <c r="X20" i="38"/>
  <c r="X21" i="38"/>
  <c r="X22" i="38"/>
  <c r="U18" i="38"/>
  <c r="U19" i="38"/>
  <c r="U20" i="38"/>
  <c r="U21" i="38"/>
  <c r="U22" i="38"/>
  <c r="S18" i="38"/>
  <c r="S19" i="38"/>
  <c r="S20" i="38"/>
  <c r="S21" i="38"/>
  <c r="S22" i="38"/>
  <c r="L4" i="41"/>
  <c r="X16" i="41"/>
  <c r="X15" i="41"/>
  <c r="E67" i="41"/>
  <c r="Q6" i="41"/>
  <c r="U16" i="41"/>
  <c r="U15" i="41"/>
  <c r="S16" i="41"/>
  <c r="L15" i="41"/>
  <c r="E61" i="41"/>
  <c r="P6" i="41"/>
  <c r="D61" i="41"/>
  <c r="E55" i="41"/>
  <c r="O6" i="41"/>
  <c r="D55" i="41"/>
  <c r="E49" i="41"/>
  <c r="N6" i="41"/>
  <c r="D49" i="41"/>
  <c r="M6" i="41"/>
  <c r="D43" i="41"/>
  <c r="F43" i="41"/>
  <c r="E37" i="41"/>
  <c r="F37" i="41"/>
  <c r="D21" i="41"/>
  <c r="D30" i="41"/>
  <c r="F16" i="41"/>
  <c r="E15" i="41"/>
  <c r="E33" i="41"/>
  <c r="D15" i="41"/>
  <c r="D29" i="41"/>
  <c r="X17" i="37"/>
  <c r="X18" i="37"/>
  <c r="Y18" i="37"/>
  <c r="X19" i="37"/>
  <c r="Y19" i="37"/>
  <c r="X16" i="37"/>
  <c r="U17" i="37"/>
  <c r="U18" i="37"/>
  <c r="U19" i="37"/>
  <c r="U16" i="37"/>
  <c r="U15" i="37"/>
  <c r="V17" i="37"/>
  <c r="V18" i="37"/>
  <c r="V19" i="37"/>
  <c r="S19" i="37"/>
  <c r="S17" i="37"/>
  <c r="S18" i="37"/>
  <c r="S16" i="37"/>
  <c r="X16" i="36"/>
  <c r="S16" i="36"/>
  <c r="L15" i="36"/>
  <c r="X17" i="31"/>
  <c r="X19" i="31"/>
  <c r="X20" i="31"/>
  <c r="X21" i="31"/>
  <c r="X22" i="31"/>
  <c r="X23" i="31"/>
  <c r="X24" i="31"/>
  <c r="X25" i="31"/>
  <c r="X16" i="31"/>
  <c r="U17" i="31"/>
  <c r="U19" i="31"/>
  <c r="U20" i="31"/>
  <c r="U21" i="31"/>
  <c r="U22" i="31"/>
  <c r="U23" i="31"/>
  <c r="U24" i="31"/>
  <c r="U25" i="31"/>
  <c r="U16" i="31"/>
  <c r="S17" i="31"/>
  <c r="S19" i="31"/>
  <c r="S20" i="31"/>
  <c r="S21" i="31"/>
  <c r="S22" i="31"/>
  <c r="S23" i="31"/>
  <c r="S24" i="31"/>
  <c r="S25" i="31"/>
  <c r="S16" i="31"/>
  <c r="X17" i="30"/>
  <c r="X18" i="30"/>
  <c r="X20" i="30"/>
  <c r="X21" i="30"/>
  <c r="X22" i="30"/>
  <c r="X23" i="30"/>
  <c r="X24" i="30"/>
  <c r="X25" i="30"/>
  <c r="X26" i="30"/>
  <c r="X27" i="30"/>
  <c r="X28" i="30"/>
  <c r="X29" i="30"/>
  <c r="X30" i="30"/>
  <c r="X31" i="30"/>
  <c r="X32" i="30"/>
  <c r="X33" i="30"/>
  <c r="X34" i="30"/>
  <c r="X35" i="30"/>
  <c r="X36" i="30"/>
  <c r="X37" i="30"/>
  <c r="X38" i="30"/>
  <c r="X39" i="30"/>
  <c r="X40" i="30"/>
  <c r="X41" i="30"/>
  <c r="X42" i="30"/>
  <c r="X43" i="30"/>
  <c r="X44" i="30"/>
  <c r="X45" i="30"/>
  <c r="X46" i="30"/>
  <c r="X47" i="30"/>
  <c r="X48" i="30"/>
  <c r="X49" i="30"/>
  <c r="X50" i="30"/>
  <c r="X51" i="30"/>
  <c r="X52" i="30"/>
  <c r="X53" i="30"/>
  <c r="X16" i="30"/>
  <c r="U17" i="30"/>
  <c r="U18" i="30"/>
  <c r="U20" i="30"/>
  <c r="U21" i="30"/>
  <c r="U22" i="30"/>
  <c r="U23" i="30"/>
  <c r="U24" i="30"/>
  <c r="U25" i="30"/>
  <c r="U26" i="30"/>
  <c r="U27" i="30"/>
  <c r="U28" i="30"/>
  <c r="U29" i="30"/>
  <c r="U30" i="30"/>
  <c r="U31" i="30"/>
  <c r="U32" i="30"/>
  <c r="U33" i="30"/>
  <c r="U34" i="30"/>
  <c r="U35" i="30"/>
  <c r="U36" i="30"/>
  <c r="U37" i="30"/>
  <c r="U38" i="30"/>
  <c r="U39" i="30"/>
  <c r="U40" i="30"/>
  <c r="U41" i="30"/>
  <c r="U42" i="30"/>
  <c r="U43" i="30"/>
  <c r="U44" i="30"/>
  <c r="U45" i="30"/>
  <c r="U46" i="30"/>
  <c r="U47" i="30"/>
  <c r="U48" i="30"/>
  <c r="U49" i="30"/>
  <c r="U50" i="30"/>
  <c r="U51" i="30"/>
  <c r="U52" i="30"/>
  <c r="U53" i="30"/>
  <c r="U16" i="30"/>
  <c r="S17" i="30"/>
  <c r="S18" i="30"/>
  <c r="S20" i="30"/>
  <c r="S21" i="30"/>
  <c r="S22" i="30"/>
  <c r="S23" i="30"/>
  <c r="S24" i="30"/>
  <c r="S25" i="30"/>
  <c r="S26" i="30"/>
  <c r="S27" i="30"/>
  <c r="S28" i="30"/>
  <c r="S29" i="30"/>
  <c r="S30" i="30"/>
  <c r="S31" i="30"/>
  <c r="S32" i="30"/>
  <c r="S33" i="30"/>
  <c r="S34" i="30"/>
  <c r="S35" i="30"/>
  <c r="S36" i="30"/>
  <c r="S37" i="30"/>
  <c r="S38" i="30"/>
  <c r="S39" i="30"/>
  <c r="S40" i="30"/>
  <c r="S41" i="30"/>
  <c r="S42" i="30"/>
  <c r="S43" i="30"/>
  <c r="S44" i="30"/>
  <c r="S45" i="30"/>
  <c r="S46" i="30"/>
  <c r="S47" i="30"/>
  <c r="S48" i="30"/>
  <c r="S49" i="30"/>
  <c r="S50" i="30"/>
  <c r="S51" i="30"/>
  <c r="S52" i="30"/>
  <c r="S53" i="30"/>
  <c r="S16" i="30"/>
  <c r="X17" i="29"/>
  <c r="X18" i="29"/>
  <c r="X19" i="29"/>
  <c r="X20" i="29"/>
  <c r="X21" i="29"/>
  <c r="X16" i="29"/>
  <c r="U17" i="29"/>
  <c r="U18" i="29"/>
  <c r="U19" i="29"/>
  <c r="U20" i="29"/>
  <c r="U21" i="29"/>
  <c r="U16" i="29"/>
  <c r="S17" i="29"/>
  <c r="S18" i="29"/>
  <c r="S19" i="29"/>
  <c r="S20" i="29"/>
  <c r="S21" i="29"/>
  <c r="S16" i="29"/>
  <c r="D67" i="28"/>
  <c r="D37" i="28"/>
  <c r="E37" i="28"/>
  <c r="E61" i="26"/>
  <c r="P6" i="26"/>
  <c r="D61" i="26"/>
  <c r="E55" i="26"/>
  <c r="O6" i="26"/>
  <c r="D55" i="26"/>
  <c r="E49" i="26"/>
  <c r="N6" i="26"/>
  <c r="M6" i="26"/>
  <c r="D43" i="26"/>
  <c r="F43" i="26"/>
  <c r="E37" i="26"/>
  <c r="D37" i="26"/>
  <c r="E21" i="26"/>
  <c r="D21" i="26"/>
  <c r="F16" i="26"/>
  <c r="E15" i="26"/>
  <c r="D15" i="26"/>
  <c r="D29" i="26"/>
  <c r="M6" i="24"/>
  <c r="M15" i="12"/>
  <c r="X17" i="24"/>
  <c r="X18" i="24"/>
  <c r="Y18" i="24"/>
  <c r="X19" i="24"/>
  <c r="X20" i="24"/>
  <c r="Y20" i="24"/>
  <c r="X21" i="24"/>
  <c r="Y21" i="24"/>
  <c r="X22" i="24"/>
  <c r="Y22" i="24"/>
  <c r="X23" i="24"/>
  <c r="X24" i="24"/>
  <c r="X25" i="24"/>
  <c r="Y25" i="24"/>
  <c r="X26" i="24"/>
  <c r="Y26" i="24"/>
  <c r="X28" i="24"/>
  <c r="X16" i="24"/>
  <c r="Y17" i="24"/>
  <c r="Y19" i="24"/>
  <c r="Y23" i="24"/>
  <c r="Y24" i="24"/>
  <c r="Y28" i="24"/>
  <c r="U28" i="24"/>
  <c r="U17" i="24"/>
  <c r="U18" i="24"/>
  <c r="U19" i="24"/>
  <c r="U20" i="24"/>
  <c r="U21" i="24"/>
  <c r="U22" i="24"/>
  <c r="U23" i="24"/>
  <c r="U24" i="24"/>
  <c r="U25" i="24"/>
  <c r="U26" i="24"/>
  <c r="U16" i="24"/>
  <c r="S17" i="24"/>
  <c r="S18" i="24"/>
  <c r="S19" i="24"/>
  <c r="S20" i="24"/>
  <c r="S21" i="24"/>
  <c r="S22" i="24"/>
  <c r="S23" i="24"/>
  <c r="S24" i="24"/>
  <c r="S25" i="24"/>
  <c r="S26" i="24"/>
  <c r="S28" i="24"/>
  <c r="S16" i="24"/>
  <c r="N15" i="24"/>
  <c r="E61" i="24"/>
  <c r="P6" i="24"/>
  <c r="P15" i="12"/>
  <c r="D61" i="24"/>
  <c r="E55" i="24"/>
  <c r="O6" i="24"/>
  <c r="O15" i="12"/>
  <c r="D55" i="24"/>
  <c r="E49" i="24"/>
  <c r="N6" i="24"/>
  <c r="N15" i="12"/>
  <c r="D49" i="24"/>
  <c r="D43" i="24"/>
  <c r="E37" i="24"/>
  <c r="L6" i="24"/>
  <c r="L15" i="12"/>
  <c r="D37" i="24"/>
  <c r="E15" i="24"/>
  <c r="E33" i="24"/>
  <c r="D15" i="24"/>
  <c r="D29" i="24"/>
  <c r="E21" i="24"/>
  <c r="E34" i="24"/>
  <c r="D21" i="24"/>
  <c r="D30" i="24"/>
  <c r="F60" i="109"/>
  <c r="F59" i="94"/>
  <c r="X17" i="23"/>
  <c r="X18" i="23"/>
  <c r="X19" i="23"/>
  <c r="X20" i="23"/>
  <c r="X21" i="23"/>
  <c r="X22" i="23"/>
  <c r="X23" i="23"/>
  <c r="X24" i="23"/>
  <c r="X25" i="23"/>
  <c r="X26" i="23"/>
  <c r="X16" i="23"/>
  <c r="U17" i="23"/>
  <c r="U18" i="23"/>
  <c r="U19" i="23"/>
  <c r="U20" i="23"/>
  <c r="U21" i="23"/>
  <c r="U22" i="23"/>
  <c r="U23" i="23"/>
  <c r="U24" i="23"/>
  <c r="U25" i="23"/>
  <c r="U26" i="23"/>
  <c r="U16" i="23"/>
  <c r="S17" i="23"/>
  <c r="S18" i="23"/>
  <c r="S19" i="23"/>
  <c r="S20" i="23"/>
  <c r="S21" i="23"/>
  <c r="S22" i="23"/>
  <c r="S23" i="23"/>
  <c r="S24" i="23"/>
  <c r="S25" i="23"/>
  <c r="S26" i="23"/>
  <c r="S16" i="23"/>
  <c r="X17" i="21"/>
  <c r="X18" i="21"/>
  <c r="X19" i="21"/>
  <c r="X20" i="21"/>
  <c r="X21" i="21"/>
  <c r="X22" i="21"/>
  <c r="X23" i="21"/>
  <c r="X24" i="21"/>
  <c r="X16" i="21"/>
  <c r="U17" i="21"/>
  <c r="U18" i="21"/>
  <c r="U19" i="21"/>
  <c r="U20" i="21"/>
  <c r="U21" i="21"/>
  <c r="U22" i="21"/>
  <c r="U23" i="21"/>
  <c r="U24" i="21"/>
  <c r="U16" i="21"/>
  <c r="V18" i="21"/>
  <c r="V19" i="21"/>
  <c r="V20" i="21"/>
  <c r="V21" i="21"/>
  <c r="V22" i="21"/>
  <c r="V23" i="21"/>
  <c r="V24" i="21"/>
  <c r="V17" i="21"/>
  <c r="S18" i="21"/>
  <c r="S19" i="21"/>
  <c r="S20" i="21"/>
  <c r="S21" i="21"/>
  <c r="S22" i="21"/>
  <c r="S23" i="21"/>
  <c r="S24" i="21"/>
  <c r="S17" i="21"/>
  <c r="S16" i="21"/>
  <c r="N15" i="21"/>
  <c r="Z15" i="20"/>
  <c r="X36" i="20"/>
  <c r="X38" i="20"/>
  <c r="Y38" i="20"/>
  <c r="X39" i="20"/>
  <c r="Y39" i="20"/>
  <c r="X40" i="20"/>
  <c r="Y40" i="20"/>
  <c r="U36" i="20"/>
  <c r="U38" i="20"/>
  <c r="U39" i="20"/>
  <c r="V39" i="20"/>
  <c r="U40" i="20"/>
  <c r="V40" i="20"/>
  <c r="V38" i="20"/>
  <c r="S36" i="20"/>
  <c r="S38" i="20"/>
  <c r="S39" i="20"/>
  <c r="S40" i="20"/>
  <c r="X18" i="19"/>
  <c r="X19" i="19"/>
  <c r="X20" i="19"/>
  <c r="Y20" i="19"/>
  <c r="X21" i="19"/>
  <c r="Y21" i="19"/>
  <c r="X22" i="19"/>
  <c r="X17" i="19"/>
  <c r="X16" i="19"/>
  <c r="Y19" i="19"/>
  <c r="Y17" i="19"/>
  <c r="U18" i="19"/>
  <c r="V18" i="19"/>
  <c r="U19" i="19"/>
  <c r="U20" i="19"/>
  <c r="U21" i="19"/>
  <c r="V21" i="19"/>
  <c r="U22" i="19"/>
  <c r="V22" i="19"/>
  <c r="U17" i="19"/>
  <c r="V17" i="19"/>
  <c r="U16" i="19"/>
  <c r="S18" i="19"/>
  <c r="S19" i="19"/>
  <c r="S20" i="19"/>
  <c r="S21" i="19"/>
  <c r="S22" i="19"/>
  <c r="S17" i="19"/>
  <c r="S16" i="19"/>
  <c r="X16" i="18"/>
  <c r="X18" i="18"/>
  <c r="X19" i="18"/>
  <c r="X20" i="18"/>
  <c r="X21" i="18"/>
  <c r="X25" i="18"/>
  <c r="X26" i="18"/>
  <c r="X27" i="18"/>
  <c r="X28" i="18"/>
  <c r="X29" i="18"/>
  <c r="X30" i="18"/>
  <c r="X31" i="18"/>
  <c r="X32" i="18"/>
  <c r="X33" i="18"/>
  <c r="X34" i="18"/>
  <c r="X35" i="18"/>
  <c r="X36" i="18"/>
  <c r="X37" i="18"/>
  <c r="X17" i="18"/>
  <c r="U17" i="16"/>
  <c r="U18" i="17"/>
  <c r="U19" i="17"/>
  <c r="U20" i="17"/>
  <c r="U17" i="17"/>
  <c r="U16" i="17"/>
  <c r="U18" i="18"/>
  <c r="U19" i="18"/>
  <c r="U20" i="18"/>
  <c r="U21" i="18"/>
  <c r="U25" i="18"/>
  <c r="U26" i="18"/>
  <c r="U27" i="18"/>
  <c r="U28" i="18"/>
  <c r="U29" i="18"/>
  <c r="U30" i="18"/>
  <c r="U31" i="18"/>
  <c r="U32" i="18"/>
  <c r="U33" i="18"/>
  <c r="U34" i="18"/>
  <c r="U35" i="18"/>
  <c r="U36" i="18"/>
  <c r="U37" i="18"/>
  <c r="U17" i="18"/>
  <c r="U16" i="18"/>
  <c r="S18" i="18"/>
  <c r="S19" i="18"/>
  <c r="S20" i="18"/>
  <c r="S21" i="18"/>
  <c r="S25" i="18"/>
  <c r="S26" i="18"/>
  <c r="S27" i="18"/>
  <c r="S28" i="18"/>
  <c r="S29" i="18"/>
  <c r="S30" i="18"/>
  <c r="S31" i="18"/>
  <c r="S32" i="18"/>
  <c r="S33" i="18"/>
  <c r="S34" i="18"/>
  <c r="S35" i="18"/>
  <c r="S36" i="18"/>
  <c r="S37" i="18"/>
  <c r="S17" i="18"/>
  <c r="S16" i="18"/>
  <c r="X20" i="14"/>
  <c r="X21" i="14"/>
  <c r="X22" i="14"/>
  <c r="Y22" i="14"/>
  <c r="X23" i="14"/>
  <c r="X24" i="14"/>
  <c r="X25" i="14"/>
  <c r="X26" i="14"/>
  <c r="X27" i="14"/>
  <c r="X28" i="14"/>
  <c r="X29" i="14"/>
  <c r="X30" i="14"/>
  <c r="Y30" i="14"/>
  <c r="X31" i="14"/>
  <c r="X32" i="14"/>
  <c r="X33" i="14"/>
  <c r="X34" i="14"/>
  <c r="X35" i="14"/>
  <c r="X36" i="14"/>
  <c r="X37" i="14"/>
  <c r="X38" i="14"/>
  <c r="Y38" i="14"/>
  <c r="X39" i="14"/>
  <c r="X40" i="14"/>
  <c r="X41" i="14"/>
  <c r="X42" i="14"/>
  <c r="Y42" i="14"/>
  <c r="X43" i="14"/>
  <c r="X44" i="14"/>
  <c r="X45" i="14"/>
  <c r="X46" i="14"/>
  <c r="Y46" i="14"/>
  <c r="X47" i="14"/>
  <c r="X48" i="14"/>
  <c r="X49" i="14"/>
  <c r="X50" i="14"/>
  <c r="X51" i="14"/>
  <c r="X52" i="14"/>
  <c r="X53" i="14"/>
  <c r="X54" i="14"/>
  <c r="Y54" i="14"/>
  <c r="X55" i="14"/>
  <c r="X56" i="14"/>
  <c r="X57" i="14"/>
  <c r="X58" i="14"/>
  <c r="Y58" i="14"/>
  <c r="X59" i="14"/>
  <c r="X60" i="14"/>
  <c r="X61" i="14"/>
  <c r="X62" i="14"/>
  <c r="Y62" i="14"/>
  <c r="X63" i="14"/>
  <c r="X64" i="14"/>
  <c r="X65" i="14"/>
  <c r="X66" i="14"/>
  <c r="Y66" i="14"/>
  <c r="X67" i="14"/>
  <c r="X68" i="14"/>
  <c r="X69" i="14"/>
  <c r="X70" i="14"/>
  <c r="Y70" i="14"/>
  <c r="X71" i="14"/>
  <c r="X72" i="14"/>
  <c r="X73" i="14"/>
  <c r="X74" i="14"/>
  <c r="Y74" i="14"/>
  <c r="X75" i="14"/>
  <c r="X76" i="14"/>
  <c r="X77" i="14"/>
  <c r="X78" i="14"/>
  <c r="Y78" i="14"/>
  <c r="X79" i="14"/>
  <c r="X80" i="14"/>
  <c r="X81" i="14"/>
  <c r="X82" i="14"/>
  <c r="Y82" i="14"/>
  <c r="X83" i="14"/>
  <c r="X84" i="14"/>
  <c r="X85" i="14"/>
  <c r="X86" i="14"/>
  <c r="Y86" i="14"/>
  <c r="X87" i="14"/>
  <c r="X88" i="14"/>
  <c r="X18" i="14"/>
  <c r="Y26" i="14"/>
  <c r="X17" i="16"/>
  <c r="X18" i="17"/>
  <c r="X19" i="17"/>
  <c r="X20" i="17"/>
  <c r="X17" i="17"/>
  <c r="X16" i="17"/>
  <c r="AC19" i="14"/>
  <c r="AC20" i="14"/>
  <c r="AC21" i="14"/>
  <c r="AC22" i="14"/>
  <c r="AC23" i="14"/>
  <c r="AC24" i="14"/>
  <c r="AC25" i="14"/>
  <c r="AC26" i="14"/>
  <c r="AC27" i="14"/>
  <c r="AC28" i="14"/>
  <c r="AC29" i="14"/>
  <c r="AC30" i="14"/>
  <c r="AC31" i="14"/>
  <c r="AC32" i="14"/>
  <c r="AC33" i="14"/>
  <c r="AC34" i="14"/>
  <c r="AC35" i="14"/>
  <c r="AC36" i="14"/>
  <c r="AC37" i="14"/>
  <c r="AC38" i="14"/>
  <c r="AC39" i="14"/>
  <c r="AC40" i="14"/>
  <c r="AC41" i="14"/>
  <c r="AC42" i="14"/>
  <c r="AC43" i="14"/>
  <c r="AC44" i="14"/>
  <c r="AC45" i="14"/>
  <c r="AC46" i="14"/>
  <c r="AC47" i="14"/>
  <c r="AC48" i="14"/>
  <c r="AC49" i="14"/>
  <c r="AC50" i="14"/>
  <c r="AC51" i="14"/>
  <c r="AC52" i="14"/>
  <c r="AC53" i="14"/>
  <c r="AC54" i="14"/>
  <c r="AC55" i="14"/>
  <c r="AC56" i="14"/>
  <c r="AC57" i="14"/>
  <c r="AC58" i="14"/>
  <c r="AC59" i="14"/>
  <c r="AC60" i="14"/>
  <c r="AC61" i="14"/>
  <c r="AC62" i="14"/>
  <c r="AC63" i="14"/>
  <c r="AC64" i="14"/>
  <c r="AC65" i="14"/>
  <c r="AC66" i="14"/>
  <c r="AC67" i="14"/>
  <c r="AC68" i="14"/>
  <c r="AC69" i="14"/>
  <c r="AC70" i="14"/>
  <c r="AC71" i="14"/>
  <c r="AC72" i="14"/>
  <c r="AC73" i="14"/>
  <c r="AC74" i="14"/>
  <c r="AC75" i="14"/>
  <c r="AC76" i="14"/>
  <c r="AC77" i="14"/>
  <c r="AC78" i="14"/>
  <c r="AC79" i="14"/>
  <c r="AC80" i="14"/>
  <c r="AC81" i="14"/>
  <c r="AC82" i="14"/>
  <c r="AC83" i="14"/>
  <c r="AC84" i="14"/>
  <c r="AC85" i="14"/>
  <c r="AC86" i="14"/>
  <c r="AC87" i="14"/>
  <c r="AC88" i="14"/>
  <c r="AC18" i="14"/>
  <c r="AC17" i="14"/>
  <c r="Y17" i="14"/>
  <c r="V17" i="14"/>
  <c r="S19" i="14"/>
  <c r="S20" i="14"/>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S67" i="14"/>
  <c r="S68" i="14"/>
  <c r="S69" i="14"/>
  <c r="S70" i="14"/>
  <c r="S71" i="14"/>
  <c r="S72" i="14"/>
  <c r="S73" i="14"/>
  <c r="S74" i="14"/>
  <c r="S75" i="14"/>
  <c r="S76" i="14"/>
  <c r="S77" i="14"/>
  <c r="S78" i="14"/>
  <c r="S79" i="14"/>
  <c r="S80" i="14"/>
  <c r="S81" i="14"/>
  <c r="S82" i="14"/>
  <c r="S83" i="14"/>
  <c r="S84" i="14"/>
  <c r="S85" i="14"/>
  <c r="S86" i="14"/>
  <c r="S87" i="14"/>
  <c r="S88" i="14"/>
  <c r="S18" i="14"/>
  <c r="S17" i="14"/>
  <c r="S17" i="16"/>
  <c r="S18" i="17"/>
  <c r="S19" i="17"/>
  <c r="S20" i="17"/>
  <c r="S17" i="17"/>
  <c r="S16" i="17"/>
  <c r="F64" i="123"/>
  <c r="F62" i="123"/>
  <c r="F59" i="123"/>
  <c r="F58" i="123"/>
  <c r="F57" i="123"/>
  <c r="F56" i="123"/>
  <c r="F55" i="123"/>
  <c r="F53" i="123"/>
  <c r="F52" i="123"/>
  <c r="F51" i="123"/>
  <c r="F50" i="123"/>
  <c r="E49" i="123"/>
  <c r="D49" i="123"/>
  <c r="F47" i="123"/>
  <c r="F46" i="123"/>
  <c r="F45" i="123"/>
  <c r="F44" i="123"/>
  <c r="E43" i="123"/>
  <c r="D43" i="123"/>
  <c r="F25" i="123"/>
  <c r="F24" i="123"/>
  <c r="F23" i="123"/>
  <c r="F22" i="123"/>
  <c r="E21" i="123"/>
  <c r="E34" i="123"/>
  <c r="D21" i="123"/>
  <c r="D30" i="123"/>
  <c r="B20" i="123"/>
  <c r="I93" i="2"/>
  <c r="F19" i="123"/>
  <c r="F18" i="123"/>
  <c r="F17" i="123"/>
  <c r="F16" i="123"/>
  <c r="E15" i="123"/>
  <c r="E33" i="123"/>
  <c r="D29" i="123"/>
  <c r="Y16" i="36"/>
  <c r="X15" i="36"/>
  <c r="E66" i="36"/>
  <c r="V36" i="20"/>
  <c r="U15" i="20"/>
  <c r="AC15" i="14"/>
  <c r="X15" i="14"/>
  <c r="L15" i="14"/>
  <c r="U15" i="30"/>
  <c r="U15" i="23"/>
  <c r="L15" i="39"/>
  <c r="X15" i="39"/>
  <c r="E67" i="39"/>
  <c r="P4" i="50"/>
  <c r="C51" i="50"/>
  <c r="E34" i="42"/>
  <c r="F34" i="42"/>
  <c r="E33" i="26"/>
  <c r="F33" i="26"/>
  <c r="E34" i="26"/>
  <c r="F34" i="26"/>
  <c r="E30" i="123"/>
  <c r="F34" i="123"/>
  <c r="E29" i="123"/>
  <c r="F33" i="123"/>
  <c r="E30" i="77"/>
  <c r="F34" i="77"/>
  <c r="E30" i="75"/>
  <c r="F30" i="75"/>
  <c r="F34" i="75"/>
  <c r="E29" i="75"/>
  <c r="L15" i="45"/>
  <c r="E29" i="41"/>
  <c r="F29" i="41"/>
  <c r="E30" i="24"/>
  <c r="F30" i="24"/>
  <c r="F34" i="24"/>
  <c r="E29" i="24"/>
  <c r="F29" i="24"/>
  <c r="F33" i="24"/>
  <c r="O50" i="2"/>
  <c r="F43" i="77"/>
  <c r="F55" i="77"/>
  <c r="F37" i="77"/>
  <c r="F49" i="77"/>
  <c r="K50" i="2"/>
  <c r="Q50" i="2"/>
  <c r="I6" i="42"/>
  <c r="E29" i="42"/>
  <c r="X15" i="42"/>
  <c r="E67" i="42"/>
  <c r="J6" i="42"/>
  <c r="E30" i="42"/>
  <c r="F30" i="42"/>
  <c r="L15" i="42"/>
  <c r="F21" i="26"/>
  <c r="D30" i="26"/>
  <c r="L15" i="26"/>
  <c r="J6" i="26"/>
  <c r="E30" i="26"/>
  <c r="L15" i="23"/>
  <c r="E73" i="14"/>
  <c r="Q6" i="14"/>
  <c r="Q93" i="2"/>
  <c r="K93" i="2"/>
  <c r="E67" i="30"/>
  <c r="L15" i="38"/>
  <c r="L15" i="46"/>
  <c r="V16" i="46"/>
  <c r="Y16" i="46"/>
  <c r="Y18" i="46"/>
  <c r="L15" i="18"/>
  <c r="L15" i="21"/>
  <c r="L15" i="37"/>
  <c r="V20" i="19"/>
  <c r="Y22" i="19"/>
  <c r="Y18" i="19"/>
  <c r="V19" i="19"/>
  <c r="L15" i="77"/>
  <c r="J29" i="11"/>
  <c r="Y85" i="14"/>
  <c r="Y81" i="14"/>
  <c r="Y77" i="14"/>
  <c r="Y73" i="14"/>
  <c r="Y69" i="14"/>
  <c r="Y65" i="14"/>
  <c r="Y61" i="14"/>
  <c r="Y57" i="14"/>
  <c r="Y53" i="14"/>
  <c r="Y49" i="14"/>
  <c r="Y45" i="14"/>
  <c r="Y41" i="14"/>
  <c r="Y37" i="14"/>
  <c r="Y33" i="14"/>
  <c r="Y29" i="14"/>
  <c r="Y25" i="14"/>
  <c r="Y21" i="14"/>
  <c r="F21" i="77"/>
  <c r="D30" i="77"/>
  <c r="D27" i="77"/>
  <c r="I6" i="77"/>
  <c r="I44" i="13"/>
  <c r="E29" i="77"/>
  <c r="I6" i="75"/>
  <c r="I51" i="12"/>
  <c r="X15" i="75"/>
  <c r="E67" i="75"/>
  <c r="Q6" i="75"/>
  <c r="Q51" i="12"/>
  <c r="L15" i="75"/>
  <c r="U15" i="75"/>
  <c r="T6" i="75"/>
  <c r="T51" i="12"/>
  <c r="G33" i="11"/>
  <c r="G35" i="11"/>
  <c r="L15" i="29"/>
  <c r="D67" i="30"/>
  <c r="L15" i="17"/>
  <c r="F61" i="41"/>
  <c r="L15" i="24"/>
  <c r="Y17" i="37"/>
  <c r="D73" i="14"/>
  <c r="Q4" i="14"/>
  <c r="Y88" i="14"/>
  <c r="Y84" i="14"/>
  <c r="Y80" i="14"/>
  <c r="Y76" i="14"/>
  <c r="Y72" i="14"/>
  <c r="Y68" i="14"/>
  <c r="Y64" i="14"/>
  <c r="Y60" i="14"/>
  <c r="Y56" i="14"/>
  <c r="Y52" i="14"/>
  <c r="Y48" i="14"/>
  <c r="Y44" i="14"/>
  <c r="Y40" i="14"/>
  <c r="Y36" i="14"/>
  <c r="Y32" i="14"/>
  <c r="Y28" i="14"/>
  <c r="Y24" i="14"/>
  <c r="Y20" i="14"/>
  <c r="I6" i="26"/>
  <c r="E29" i="26"/>
  <c r="F15" i="42"/>
  <c r="D29" i="42"/>
  <c r="T15" i="75"/>
  <c r="T4" i="75"/>
  <c r="V18" i="75"/>
  <c r="W15" i="75"/>
  <c r="D67" i="75"/>
  <c r="Q4" i="75"/>
  <c r="Y18" i="75"/>
  <c r="V17" i="75"/>
  <c r="Y17" i="75"/>
  <c r="F61" i="77"/>
  <c r="T4" i="77"/>
  <c r="D67" i="77"/>
  <c r="Q4" i="77"/>
  <c r="X15" i="77"/>
  <c r="E67" i="77"/>
  <c r="Q6" i="77"/>
  <c r="F43" i="123"/>
  <c r="F21" i="123"/>
  <c r="F30" i="123"/>
  <c r="F15" i="123"/>
  <c r="F31" i="123"/>
  <c r="F49" i="123"/>
  <c r="X15" i="26"/>
  <c r="E67" i="26"/>
  <c r="Q6" i="26"/>
  <c r="Y36" i="18"/>
  <c r="Y32" i="18"/>
  <c r="Y28" i="18"/>
  <c r="Y21" i="18"/>
  <c r="U15" i="42"/>
  <c r="Y51" i="30"/>
  <c r="Y47" i="30"/>
  <c r="Y43" i="30"/>
  <c r="Y39" i="30"/>
  <c r="Y35" i="30"/>
  <c r="Y31" i="30"/>
  <c r="Y27" i="30"/>
  <c r="Y23" i="30"/>
  <c r="Y18" i="30"/>
  <c r="F37" i="26"/>
  <c r="Y19" i="46"/>
  <c r="Y16" i="42"/>
  <c r="Y20" i="17"/>
  <c r="D67" i="16"/>
  <c r="Y50" i="14"/>
  <c r="Y34" i="14"/>
  <c r="Y16" i="21"/>
  <c r="Y21" i="21"/>
  <c r="Y17" i="21"/>
  <c r="Y22" i="38"/>
  <c r="V18" i="17"/>
  <c r="Y24" i="23"/>
  <c r="Y20" i="23"/>
  <c r="Y18" i="29"/>
  <c r="Y16" i="30"/>
  <c r="Y50" i="30"/>
  <c r="Y46" i="30"/>
  <c r="Y42" i="30"/>
  <c r="Y38" i="30"/>
  <c r="Y34" i="30"/>
  <c r="Y30" i="30"/>
  <c r="Y26" i="30"/>
  <c r="Y22" i="30"/>
  <c r="Y15" i="36"/>
  <c r="Y21" i="38"/>
  <c r="Y19" i="39"/>
  <c r="Y29" i="45"/>
  <c r="Y25" i="45"/>
  <c r="Y21" i="45"/>
  <c r="Y17" i="45"/>
  <c r="Y18" i="38"/>
  <c r="X15" i="16"/>
  <c r="E67" i="16"/>
  <c r="V17" i="16"/>
  <c r="V15" i="16"/>
  <c r="X15" i="19"/>
  <c r="E67" i="19"/>
  <c r="X15" i="20"/>
  <c r="E68" i="20"/>
  <c r="Y21" i="29"/>
  <c r="Y17" i="29"/>
  <c r="V53" i="30"/>
  <c r="V49" i="30"/>
  <c r="V45" i="30"/>
  <c r="V41" i="30"/>
  <c r="V37" i="30"/>
  <c r="V15" i="30"/>
  <c r="V33" i="30"/>
  <c r="V29" i="30"/>
  <c r="V25" i="30"/>
  <c r="V18" i="39"/>
  <c r="Y16" i="39"/>
  <c r="Y18" i="39"/>
  <c r="V28" i="45"/>
  <c r="V24" i="45"/>
  <c r="V20" i="45"/>
  <c r="Y28" i="45"/>
  <c r="Y24" i="45"/>
  <c r="Y20" i="45"/>
  <c r="V21" i="38"/>
  <c r="T4" i="26"/>
  <c r="V18" i="29"/>
  <c r="V16" i="18"/>
  <c r="V35" i="18"/>
  <c r="V31" i="18"/>
  <c r="V27" i="18"/>
  <c r="V20" i="18"/>
  <c r="V20" i="17"/>
  <c r="U15" i="17"/>
  <c r="U15" i="19"/>
  <c r="U15" i="21"/>
  <c r="V26" i="24"/>
  <c r="V22" i="24"/>
  <c r="V18" i="24"/>
  <c r="P4" i="24"/>
  <c r="F61" i="24"/>
  <c r="F61" i="26"/>
  <c r="F61" i="42"/>
  <c r="O4" i="24"/>
  <c r="F55" i="24"/>
  <c r="O4" i="41"/>
  <c r="F55" i="41"/>
  <c r="F55" i="26"/>
  <c r="F55" i="42"/>
  <c r="N4" i="24"/>
  <c r="F49" i="24"/>
  <c r="N4" i="41"/>
  <c r="F49" i="41"/>
  <c r="F49" i="42"/>
  <c r="M4" i="24"/>
  <c r="F43" i="24"/>
  <c r="M4" i="42"/>
  <c r="F43" i="42"/>
  <c r="F37" i="28"/>
  <c r="L4" i="24"/>
  <c r="F37" i="24"/>
  <c r="F21" i="24"/>
  <c r="F21" i="42"/>
  <c r="F15" i="24"/>
  <c r="F15" i="26"/>
  <c r="F15" i="41"/>
  <c r="V21" i="30"/>
  <c r="Y25" i="31"/>
  <c r="Y23" i="31"/>
  <c r="Y21" i="31"/>
  <c r="V24" i="31"/>
  <c r="V17" i="17"/>
  <c r="Y18" i="23"/>
  <c r="V51" i="30"/>
  <c r="V43" i="30"/>
  <c r="V35" i="30"/>
  <c r="V27" i="30"/>
  <c r="Y49" i="30"/>
  <c r="Y45" i="30"/>
  <c r="Y37" i="30"/>
  <c r="Y29" i="30"/>
  <c r="Y21" i="30"/>
  <c r="V19" i="31"/>
  <c r="Y24" i="31"/>
  <c r="V19" i="38"/>
  <c r="X15" i="38"/>
  <c r="E67" i="38"/>
  <c r="X15" i="45"/>
  <c r="E67" i="45"/>
  <c r="V37" i="18"/>
  <c r="V33" i="18"/>
  <c r="V29" i="18"/>
  <c r="V25" i="18"/>
  <c r="V18" i="18"/>
  <c r="V19" i="17"/>
  <c r="Y17" i="18"/>
  <c r="Y34" i="18"/>
  <c r="Y30" i="18"/>
  <c r="Y26" i="18"/>
  <c r="Y19" i="18"/>
  <c r="X15" i="21"/>
  <c r="E67" i="21"/>
  <c r="V24" i="24"/>
  <c r="V20" i="24"/>
  <c r="X15" i="24"/>
  <c r="E67" i="24"/>
  <c r="Q6" i="24"/>
  <c r="V20" i="29"/>
  <c r="Y20" i="29"/>
  <c r="X15" i="29"/>
  <c r="E67" i="29"/>
  <c r="Y52" i="30"/>
  <c r="Y48" i="30"/>
  <c r="Y44" i="30"/>
  <c r="Y40" i="30"/>
  <c r="Y36" i="30"/>
  <c r="Y32" i="30"/>
  <c r="Y28" i="30"/>
  <c r="Y24" i="30"/>
  <c r="Y20" i="30"/>
  <c r="Y17" i="30"/>
  <c r="Y19" i="38"/>
  <c r="V17" i="39"/>
  <c r="Y17" i="39"/>
  <c r="V27" i="45"/>
  <c r="V23" i="45"/>
  <c r="V19" i="45"/>
  <c r="Y27" i="45"/>
  <c r="Y23" i="45"/>
  <c r="Y19" i="45"/>
  <c r="U15" i="26"/>
  <c r="T6" i="26"/>
  <c r="Y17" i="16"/>
  <c r="Y26" i="23"/>
  <c r="Y22" i="23"/>
  <c r="V47" i="30"/>
  <c r="V39" i="30"/>
  <c r="V31" i="30"/>
  <c r="V23" i="30"/>
  <c r="Y53" i="30"/>
  <c r="Y41" i="30"/>
  <c r="Y33" i="30"/>
  <c r="Y25" i="30"/>
  <c r="V22" i="31"/>
  <c r="Y22" i="31"/>
  <c r="X15" i="37"/>
  <c r="E67" i="37"/>
  <c r="Y20" i="38"/>
  <c r="Y18" i="17"/>
  <c r="Y23" i="21"/>
  <c r="Y19" i="21"/>
  <c r="X15" i="23"/>
  <c r="E68" i="23"/>
  <c r="V28" i="24"/>
  <c r="V19" i="29"/>
  <c r="Y19" i="29"/>
  <c r="U15" i="31"/>
  <c r="X15" i="31"/>
  <c r="E68" i="31"/>
  <c r="E12" i="31"/>
  <c r="E69" i="31"/>
  <c r="V20" i="39"/>
  <c r="Y20" i="39"/>
  <c r="V30" i="45"/>
  <c r="V26" i="45"/>
  <c r="V22" i="45"/>
  <c r="V18" i="45"/>
  <c r="Y30" i="45"/>
  <c r="Y26" i="45"/>
  <c r="Y22" i="45"/>
  <c r="Y18" i="45"/>
  <c r="X15" i="46"/>
  <c r="E68" i="46"/>
  <c r="E12" i="46"/>
  <c r="E69" i="46"/>
  <c r="Y16" i="26"/>
  <c r="U15" i="24"/>
  <c r="V21" i="29"/>
  <c r="V17" i="29"/>
  <c r="V19" i="39"/>
  <c r="V29" i="45"/>
  <c r="V25" i="45"/>
  <c r="V21" i="45"/>
  <c r="V17" i="45"/>
  <c r="V16" i="17"/>
  <c r="V36" i="18"/>
  <c r="V32" i="18"/>
  <c r="V28" i="18"/>
  <c r="V21" i="18"/>
  <c r="V16" i="21"/>
  <c r="V15" i="21"/>
  <c r="V26" i="23"/>
  <c r="V22" i="23"/>
  <c r="V18" i="23"/>
  <c r="U15" i="29"/>
  <c r="V16" i="30"/>
  <c r="V50" i="30"/>
  <c r="V46" i="30"/>
  <c r="V42" i="30"/>
  <c r="V38" i="30"/>
  <c r="V34" i="30"/>
  <c r="V30" i="30"/>
  <c r="V26" i="30"/>
  <c r="V22" i="30"/>
  <c r="V18" i="30"/>
  <c r="V25" i="31"/>
  <c r="V21" i="31"/>
  <c r="V17" i="31"/>
  <c r="U15" i="45"/>
  <c r="V16" i="26"/>
  <c r="V17" i="18"/>
  <c r="V34" i="18"/>
  <c r="V30" i="18"/>
  <c r="V26" i="18"/>
  <c r="V19" i="18"/>
  <c r="V24" i="23"/>
  <c r="V20" i="23"/>
  <c r="V52" i="30"/>
  <c r="V48" i="30"/>
  <c r="V44" i="30"/>
  <c r="V40" i="30"/>
  <c r="V36" i="30"/>
  <c r="V32" i="30"/>
  <c r="V28" i="30"/>
  <c r="V24" i="30"/>
  <c r="V20" i="30"/>
  <c r="V17" i="30"/>
  <c r="V23" i="31"/>
  <c r="V20" i="31"/>
  <c r="U15" i="36"/>
  <c r="V22" i="46"/>
  <c r="V19" i="46"/>
  <c r="V16" i="42"/>
  <c r="Y87" i="14"/>
  <c r="Y83" i="14"/>
  <c r="Y79" i="14"/>
  <c r="Y75" i="14"/>
  <c r="Y71" i="14"/>
  <c r="Y67" i="14"/>
  <c r="Y63" i="14"/>
  <c r="Y59" i="14"/>
  <c r="Y55" i="14"/>
  <c r="Y51" i="14"/>
  <c r="Y47" i="14"/>
  <c r="Y43" i="14"/>
  <c r="Y39" i="14"/>
  <c r="Y35" i="14"/>
  <c r="Y31" i="14"/>
  <c r="Y27" i="14"/>
  <c r="Y23" i="14"/>
  <c r="Y19" i="14"/>
  <c r="F35" i="123"/>
  <c r="D27" i="123"/>
  <c r="Y37" i="18"/>
  <c r="Y35" i="18"/>
  <c r="Y33" i="18"/>
  <c r="Y31" i="18"/>
  <c r="Y29" i="18"/>
  <c r="Y27" i="18"/>
  <c r="Y25" i="18"/>
  <c r="Y20" i="18"/>
  <c r="Y18" i="18"/>
  <c r="X15" i="18"/>
  <c r="E67" i="18"/>
  <c r="I6" i="24"/>
  <c r="I15" i="12"/>
  <c r="J6" i="24"/>
  <c r="J15" i="12"/>
  <c r="Y20" i="31"/>
  <c r="Y19" i="31"/>
  <c r="Y17" i="31"/>
  <c r="E21" i="41"/>
  <c r="E34" i="41"/>
  <c r="F34" i="41"/>
  <c r="V16" i="41"/>
  <c r="V15" i="41"/>
  <c r="Y16" i="41"/>
  <c r="Y15" i="41"/>
  <c r="I6" i="41"/>
  <c r="L6" i="41"/>
  <c r="Y17" i="17"/>
  <c r="Y19" i="17"/>
  <c r="X15" i="17"/>
  <c r="E67" i="17"/>
  <c r="Y36" i="20"/>
  <c r="V25" i="23"/>
  <c r="V23" i="23"/>
  <c r="V21" i="23"/>
  <c r="V19" i="23"/>
  <c r="V17" i="23"/>
  <c r="Y25" i="23"/>
  <c r="Y23" i="23"/>
  <c r="Y21" i="23"/>
  <c r="Y19" i="23"/>
  <c r="Y17" i="23"/>
  <c r="V25" i="24"/>
  <c r="V23" i="24"/>
  <c r="V21" i="24"/>
  <c r="V19" i="24"/>
  <c r="V17" i="24"/>
  <c r="I4" i="24"/>
  <c r="J4" i="24"/>
  <c r="D68" i="31"/>
  <c r="I4" i="41"/>
  <c r="J4" i="41"/>
  <c r="M4" i="41"/>
  <c r="P4" i="41"/>
  <c r="V22" i="38"/>
  <c r="V20" i="38"/>
  <c r="Y16" i="75"/>
  <c r="U15" i="77"/>
  <c r="T6" i="77"/>
  <c r="V20" i="46"/>
  <c r="V18" i="46"/>
  <c r="U15" i="46"/>
  <c r="J6" i="75"/>
  <c r="J51" i="12"/>
  <c r="F37" i="75"/>
  <c r="O4" i="77"/>
  <c r="V17" i="26"/>
  <c r="Y17" i="26"/>
  <c r="V17" i="42"/>
  <c r="Y17" i="42"/>
  <c r="V16" i="75"/>
  <c r="V19" i="77"/>
  <c r="V17" i="77"/>
  <c r="P4" i="77"/>
  <c r="M4" i="77"/>
  <c r="P4" i="42"/>
  <c r="I4" i="42"/>
  <c r="J4" i="42"/>
  <c r="N4" i="42"/>
  <c r="O4" i="42"/>
  <c r="F55" i="75"/>
  <c r="F43" i="75"/>
  <c r="F61" i="75"/>
  <c r="P4" i="75"/>
  <c r="F49" i="75"/>
  <c r="J4" i="77"/>
  <c r="I4" i="77"/>
  <c r="F21" i="75"/>
  <c r="J4" i="75"/>
  <c r="I4" i="75"/>
  <c r="I4" i="26"/>
  <c r="J4" i="26"/>
  <c r="M4" i="26"/>
  <c r="P4" i="26"/>
  <c r="O4" i="26"/>
  <c r="N4" i="77"/>
  <c r="Y16" i="77"/>
  <c r="Y15" i="77"/>
  <c r="V16" i="77"/>
  <c r="F67" i="75"/>
  <c r="Q6" i="42"/>
  <c r="J6" i="77"/>
  <c r="F15" i="77"/>
  <c r="F29" i="75"/>
  <c r="F15" i="75"/>
  <c r="U15" i="38"/>
  <c r="L4" i="26"/>
  <c r="L6" i="26"/>
  <c r="D68" i="46"/>
  <c r="Y16" i="45"/>
  <c r="V16" i="45"/>
  <c r="V16" i="39"/>
  <c r="V18" i="38"/>
  <c r="Y16" i="37"/>
  <c r="V16" i="37"/>
  <c r="V15" i="37"/>
  <c r="V16" i="36"/>
  <c r="V15" i="36"/>
  <c r="V16" i="31"/>
  <c r="Y16" i="31"/>
  <c r="Y16" i="29"/>
  <c r="V16" i="29"/>
  <c r="D27" i="26"/>
  <c r="D27" i="24"/>
  <c r="Y16" i="24"/>
  <c r="Y15" i="24"/>
  <c r="V16" i="24"/>
  <c r="Y16" i="23"/>
  <c r="V16" i="23"/>
  <c r="Y16" i="17"/>
  <c r="Y16" i="18"/>
  <c r="V16" i="19"/>
  <c r="V15" i="19"/>
  <c r="Y16" i="19"/>
  <c r="V15" i="20"/>
  <c r="Y24" i="21"/>
  <c r="Y22" i="21"/>
  <c r="Y20" i="21"/>
  <c r="Y18" i="21"/>
  <c r="Y18" i="14"/>
  <c r="O6" i="123"/>
  <c r="N6" i="123"/>
  <c r="M6" i="123"/>
  <c r="L6" i="123"/>
  <c r="K6" i="123"/>
  <c r="I6" i="123"/>
  <c r="H6" i="123"/>
  <c r="I96" i="12"/>
  <c r="O4" i="123"/>
  <c r="K4" i="123"/>
  <c r="I4" i="123"/>
  <c r="H4" i="123"/>
  <c r="F63" i="107"/>
  <c r="F62" i="107"/>
  <c r="E61" i="107"/>
  <c r="D61" i="107"/>
  <c r="F59" i="107"/>
  <c r="F58" i="107"/>
  <c r="F57" i="107"/>
  <c r="F56" i="107"/>
  <c r="E55" i="107"/>
  <c r="D55" i="107"/>
  <c r="F53" i="107"/>
  <c r="F52" i="107"/>
  <c r="F51" i="107"/>
  <c r="F50" i="107"/>
  <c r="E49" i="107"/>
  <c r="D49" i="107"/>
  <c r="F47" i="107"/>
  <c r="F46" i="107"/>
  <c r="F45" i="107"/>
  <c r="F44" i="107"/>
  <c r="E43" i="107"/>
  <c r="D43" i="107"/>
  <c r="F25" i="107"/>
  <c r="F24" i="107"/>
  <c r="F23" i="107"/>
  <c r="F22" i="107"/>
  <c r="E21" i="107"/>
  <c r="E34" i="107"/>
  <c r="D21" i="107"/>
  <c r="D30" i="107"/>
  <c r="B20" i="107"/>
  <c r="M72" i="2"/>
  <c r="O72" i="2"/>
  <c r="F19" i="107"/>
  <c r="F18" i="107"/>
  <c r="F17" i="107"/>
  <c r="F16" i="107"/>
  <c r="E15" i="107"/>
  <c r="D15" i="107"/>
  <c r="K6" i="107"/>
  <c r="K4" i="107"/>
  <c r="I4" i="107"/>
  <c r="F63" i="122"/>
  <c r="F62" i="122"/>
  <c r="F59" i="122"/>
  <c r="F58" i="122"/>
  <c r="F57" i="122"/>
  <c r="F56" i="122"/>
  <c r="F55" i="122"/>
  <c r="F53" i="122"/>
  <c r="F52" i="122"/>
  <c r="F51" i="122"/>
  <c r="F50" i="122"/>
  <c r="E49" i="122"/>
  <c r="M6" i="122"/>
  <c r="D49" i="122"/>
  <c r="F47" i="122"/>
  <c r="F46" i="122"/>
  <c r="F45" i="122"/>
  <c r="F44" i="122"/>
  <c r="E43" i="122"/>
  <c r="D43" i="122"/>
  <c r="F35" i="122"/>
  <c r="F31" i="122"/>
  <c r="F25" i="122"/>
  <c r="F24" i="122"/>
  <c r="F23" i="122"/>
  <c r="F22" i="122"/>
  <c r="E21" i="122"/>
  <c r="D21" i="122"/>
  <c r="B20" i="122"/>
  <c r="M87" i="2"/>
  <c r="F19" i="122"/>
  <c r="F18" i="122"/>
  <c r="F17" i="122"/>
  <c r="F16" i="122"/>
  <c r="E15" i="122"/>
  <c r="D15" i="122"/>
  <c r="K6" i="122"/>
  <c r="N4" i="122"/>
  <c r="K4" i="122"/>
  <c r="F66" i="121"/>
  <c r="F65" i="121"/>
  <c r="E64" i="121"/>
  <c r="O6" i="121"/>
  <c r="D64" i="121"/>
  <c r="O4" i="121"/>
  <c r="F62" i="121"/>
  <c r="F61" i="121"/>
  <c r="F60" i="121"/>
  <c r="F59" i="121"/>
  <c r="E58" i="121"/>
  <c r="D58" i="121"/>
  <c r="F56" i="121"/>
  <c r="F55" i="121"/>
  <c r="F51" i="121"/>
  <c r="F50" i="121"/>
  <c r="D49" i="121"/>
  <c r="F47" i="121"/>
  <c r="F46" i="121"/>
  <c r="F45" i="121"/>
  <c r="F44" i="121"/>
  <c r="E43" i="121"/>
  <c r="D43" i="121"/>
  <c r="F25" i="121"/>
  <c r="F24" i="121"/>
  <c r="F23" i="121"/>
  <c r="F22" i="121"/>
  <c r="E21" i="121"/>
  <c r="E34" i="121"/>
  <c r="D21" i="121"/>
  <c r="B20" i="121"/>
  <c r="M85" i="2"/>
  <c r="F19" i="121"/>
  <c r="F18" i="121"/>
  <c r="F17" i="121"/>
  <c r="F16" i="121"/>
  <c r="E15" i="121"/>
  <c r="D15" i="121"/>
  <c r="K6" i="121"/>
  <c r="K4" i="121"/>
  <c r="F64" i="120"/>
  <c r="F63" i="120"/>
  <c r="F61" i="120"/>
  <c r="F60" i="120"/>
  <c r="F59" i="120"/>
  <c r="F54" i="120"/>
  <c r="F25" i="120"/>
  <c r="F24" i="120"/>
  <c r="F23" i="120"/>
  <c r="F22" i="120"/>
  <c r="E21" i="120"/>
  <c r="E34" i="120"/>
  <c r="D21" i="120"/>
  <c r="D30" i="120"/>
  <c r="F19" i="120"/>
  <c r="F18" i="120"/>
  <c r="F17" i="120"/>
  <c r="F16" i="120"/>
  <c r="B20" i="120"/>
  <c r="M84" i="2"/>
  <c r="Y15" i="14"/>
  <c r="V15" i="23"/>
  <c r="E33" i="122"/>
  <c r="F33" i="122"/>
  <c r="E34" i="122"/>
  <c r="F34" i="122"/>
  <c r="E33" i="121"/>
  <c r="F33" i="121"/>
  <c r="I6" i="121"/>
  <c r="E33" i="107"/>
  <c r="F33" i="107"/>
  <c r="F61" i="107"/>
  <c r="E27" i="77"/>
  <c r="E27" i="123"/>
  <c r="J6" i="123"/>
  <c r="R6" i="123"/>
  <c r="E27" i="75"/>
  <c r="E12" i="75"/>
  <c r="E27" i="42"/>
  <c r="F29" i="26"/>
  <c r="E27" i="26"/>
  <c r="E27" i="24"/>
  <c r="E12" i="24"/>
  <c r="E68" i="24"/>
  <c r="F29" i="123"/>
  <c r="E30" i="121"/>
  <c r="F34" i="121"/>
  <c r="E30" i="120"/>
  <c r="F30" i="120"/>
  <c r="F34" i="120"/>
  <c r="I6" i="107"/>
  <c r="F34" i="107"/>
  <c r="E30" i="107"/>
  <c r="F30" i="107"/>
  <c r="F30" i="77"/>
  <c r="K6" i="77"/>
  <c r="K44" i="13"/>
  <c r="F29" i="42"/>
  <c r="F33" i="41"/>
  <c r="F30" i="26"/>
  <c r="S50" i="2"/>
  <c r="Y15" i="19"/>
  <c r="D12" i="77"/>
  <c r="Y15" i="42"/>
  <c r="Y15" i="39"/>
  <c r="O84" i="2"/>
  <c r="Q84" i="2"/>
  <c r="I4" i="121"/>
  <c r="D30" i="121"/>
  <c r="O85" i="2"/>
  <c r="O87" i="2"/>
  <c r="I6" i="122"/>
  <c r="E30" i="122"/>
  <c r="I4" i="122"/>
  <c r="D30" i="122"/>
  <c r="F43" i="122"/>
  <c r="S93" i="2"/>
  <c r="Y15" i="37"/>
  <c r="T44" i="13"/>
  <c r="I33" i="11"/>
  <c r="Y15" i="75"/>
  <c r="H6" i="107"/>
  <c r="I67" i="13"/>
  <c r="E29" i="107"/>
  <c r="E27" i="107"/>
  <c r="H4" i="107"/>
  <c r="D29" i="107"/>
  <c r="H6" i="122"/>
  <c r="E29" i="122"/>
  <c r="H4" i="122"/>
  <c r="D29" i="122"/>
  <c r="F67" i="77"/>
  <c r="T53" i="12"/>
  <c r="J6" i="41"/>
  <c r="E30" i="41"/>
  <c r="F30" i="41"/>
  <c r="H6" i="121"/>
  <c r="E29" i="121"/>
  <c r="H4" i="121"/>
  <c r="D29" i="121"/>
  <c r="F49" i="121"/>
  <c r="F49" i="107"/>
  <c r="V15" i="75"/>
  <c r="V15" i="77"/>
  <c r="F64" i="121"/>
  <c r="N6" i="121"/>
  <c r="M6" i="121"/>
  <c r="R6" i="121" s="1"/>
  <c r="S80" i="13" s="1"/>
  <c r="L6" i="121"/>
  <c r="F21" i="121"/>
  <c r="F21" i="107"/>
  <c r="F15" i="121"/>
  <c r="F21" i="120"/>
  <c r="L4" i="122"/>
  <c r="L6" i="122"/>
  <c r="J4" i="123"/>
  <c r="F27" i="123"/>
  <c r="J67" i="13"/>
  <c r="F15" i="107"/>
  <c r="M4" i="122"/>
  <c r="F15" i="122"/>
  <c r="F61" i="122"/>
  <c r="F43" i="107"/>
  <c r="F55" i="107"/>
  <c r="L67" i="13"/>
  <c r="F43" i="121"/>
  <c r="F58" i="121"/>
  <c r="F21" i="122"/>
  <c r="F49" i="122"/>
  <c r="N4" i="121"/>
  <c r="M4" i="121"/>
  <c r="L4" i="121"/>
  <c r="D12" i="30"/>
  <c r="F67" i="30"/>
  <c r="F68" i="46"/>
  <c r="D12" i="46"/>
  <c r="E12" i="30"/>
  <c r="E68" i="30"/>
  <c r="Y15" i="38"/>
  <c r="Y15" i="45"/>
  <c r="F68" i="31"/>
  <c r="D12" i="31"/>
  <c r="F12" i="31"/>
  <c r="Y15" i="16"/>
  <c r="Y15" i="17"/>
  <c r="V15" i="42"/>
  <c r="Y15" i="46"/>
  <c r="Y15" i="20"/>
  <c r="Y15" i="26"/>
  <c r="V15" i="17"/>
  <c r="K4" i="26"/>
  <c r="F21" i="41"/>
  <c r="V15" i="26"/>
  <c r="V15" i="18"/>
  <c r="Y15" i="29"/>
  <c r="V15" i="39"/>
  <c r="O15" i="39"/>
  <c r="Y15" i="31"/>
  <c r="V15" i="46"/>
  <c r="Y15" i="21"/>
  <c r="Y15" i="18"/>
  <c r="V15" i="45"/>
  <c r="V15" i="24"/>
  <c r="V15" i="29"/>
  <c r="V15" i="31"/>
  <c r="V15" i="38"/>
  <c r="O15" i="38"/>
  <c r="K4" i="24"/>
  <c r="Q44" i="13"/>
  <c r="Q15" i="12"/>
  <c r="N4" i="123"/>
  <c r="J44" i="13"/>
  <c r="F29" i="77"/>
  <c r="F27" i="77"/>
  <c r="K4" i="77"/>
  <c r="D27" i="75"/>
  <c r="D12" i="75"/>
  <c r="F15" i="120"/>
  <c r="E15" i="120"/>
  <c r="E33" i="120"/>
  <c r="D15" i="120"/>
  <c r="D29" i="120"/>
  <c r="E27" i="121"/>
  <c r="K6" i="24"/>
  <c r="K15" i="12"/>
  <c r="E27" i="122"/>
  <c r="F30" i="121"/>
  <c r="K6" i="75"/>
  <c r="K51" i="12"/>
  <c r="E27" i="41"/>
  <c r="E29" i="120"/>
  <c r="E27" i="120"/>
  <c r="F33" i="120"/>
  <c r="S6" i="77"/>
  <c r="S44" i="13"/>
  <c r="J33" i="11"/>
  <c r="E12" i="77"/>
  <c r="F12" i="77"/>
  <c r="F27" i="24"/>
  <c r="F113" i="2"/>
  <c r="S84" i="2"/>
  <c r="D69" i="46"/>
  <c r="F12" i="46"/>
  <c r="D69" i="31"/>
  <c r="D68" i="30"/>
  <c r="F12" i="30"/>
  <c r="M4" i="123"/>
  <c r="S4" i="77"/>
  <c r="K4" i="75"/>
  <c r="F27" i="75"/>
  <c r="F12" i="75"/>
  <c r="K6" i="120"/>
  <c r="I6" i="120"/>
  <c r="H6" i="120"/>
  <c r="K4" i="120"/>
  <c r="I4" i="120"/>
  <c r="H4" i="120"/>
  <c r="F63" i="119"/>
  <c r="F62" i="119"/>
  <c r="E61" i="119"/>
  <c r="D61" i="119"/>
  <c r="F59" i="119"/>
  <c r="F58" i="119"/>
  <c r="F57" i="119"/>
  <c r="F56" i="119"/>
  <c r="E55" i="119"/>
  <c r="D55" i="119"/>
  <c r="F53" i="119"/>
  <c r="F52" i="119"/>
  <c r="F51" i="119"/>
  <c r="F50" i="119"/>
  <c r="D49" i="119"/>
  <c r="F49" i="119"/>
  <c r="F47" i="119"/>
  <c r="F46" i="119"/>
  <c r="F45" i="119"/>
  <c r="F44" i="119"/>
  <c r="E43" i="119"/>
  <c r="D43" i="119"/>
  <c r="F25" i="119"/>
  <c r="F24" i="119"/>
  <c r="F23" i="119"/>
  <c r="F22" i="119"/>
  <c r="E21" i="119"/>
  <c r="E34" i="119"/>
  <c r="D21" i="119"/>
  <c r="D30" i="119"/>
  <c r="B20" i="119"/>
  <c r="M83" i="2"/>
  <c r="F19" i="119"/>
  <c r="F18" i="119"/>
  <c r="F17" i="119"/>
  <c r="F16" i="119"/>
  <c r="E15" i="119"/>
  <c r="E33" i="119"/>
  <c r="D15" i="119"/>
  <c r="D29" i="119"/>
  <c r="U6" i="77"/>
  <c r="S6" i="75"/>
  <c r="S51" i="12"/>
  <c r="H33" i="11"/>
  <c r="S6" i="24"/>
  <c r="S15" i="12"/>
  <c r="H13" i="11"/>
  <c r="W6" i="77"/>
  <c r="V6" i="77"/>
  <c r="X6" i="77"/>
  <c r="E29" i="119"/>
  <c r="E27" i="119"/>
  <c r="F33" i="119"/>
  <c r="E30" i="119"/>
  <c r="F30" i="119"/>
  <c r="F34" i="119"/>
  <c r="F21" i="119"/>
  <c r="O83" i="2"/>
  <c r="F61" i="119"/>
  <c r="F15" i="119"/>
  <c r="F43" i="119"/>
  <c r="F55" i="119"/>
  <c r="L4" i="123"/>
  <c r="R4" i="123"/>
  <c r="X4" i="77"/>
  <c r="W4" i="77"/>
  <c r="U4" i="77"/>
  <c r="V4" i="77"/>
  <c r="S4" i="75"/>
  <c r="K6" i="119"/>
  <c r="I6" i="119"/>
  <c r="H6" i="119"/>
  <c r="K4" i="119"/>
  <c r="I4" i="119"/>
  <c r="H4" i="119"/>
  <c r="F63" i="118"/>
  <c r="F62" i="118"/>
  <c r="E61" i="118"/>
  <c r="D61" i="118"/>
  <c r="F59" i="118"/>
  <c r="F58" i="118"/>
  <c r="F57" i="118"/>
  <c r="F56" i="118"/>
  <c r="E55" i="118"/>
  <c r="D55" i="118"/>
  <c r="F53" i="118"/>
  <c r="F52" i="118"/>
  <c r="F51" i="118"/>
  <c r="F50" i="118"/>
  <c r="E49" i="118"/>
  <c r="D49" i="118"/>
  <c r="F47" i="118"/>
  <c r="F46" i="118"/>
  <c r="F45" i="118"/>
  <c r="F44" i="118"/>
  <c r="E43" i="118"/>
  <c r="D43" i="118"/>
  <c r="F25" i="118"/>
  <c r="F24" i="118"/>
  <c r="F23" i="118"/>
  <c r="F22" i="118"/>
  <c r="E21" i="118"/>
  <c r="D21" i="118"/>
  <c r="D30" i="118"/>
  <c r="B20" i="118"/>
  <c r="M82" i="2"/>
  <c r="F19" i="118"/>
  <c r="F18" i="118"/>
  <c r="F17" i="118"/>
  <c r="F16" i="118"/>
  <c r="E15" i="118"/>
  <c r="D15" i="118"/>
  <c r="K6" i="118"/>
  <c r="K4" i="118"/>
  <c r="I4" i="118"/>
  <c r="F63" i="92"/>
  <c r="F62" i="92"/>
  <c r="E61" i="92"/>
  <c r="D61" i="92"/>
  <c r="F59" i="92"/>
  <c r="F58" i="92"/>
  <c r="F57" i="92"/>
  <c r="F56" i="92"/>
  <c r="E55" i="92"/>
  <c r="D55" i="92"/>
  <c r="F53" i="92"/>
  <c r="F52" i="92"/>
  <c r="F51" i="92"/>
  <c r="F50" i="92"/>
  <c r="E49" i="92"/>
  <c r="D49" i="92"/>
  <c r="F47" i="92"/>
  <c r="F46" i="92"/>
  <c r="F45" i="92"/>
  <c r="F44" i="92"/>
  <c r="E43" i="92"/>
  <c r="D43" i="92"/>
  <c r="F35" i="92"/>
  <c r="F31" i="92"/>
  <c r="F25" i="92"/>
  <c r="F24" i="92"/>
  <c r="F23" i="92"/>
  <c r="F22" i="92"/>
  <c r="E21" i="92"/>
  <c r="D21" i="92"/>
  <c r="D30" i="92"/>
  <c r="B20" i="92"/>
  <c r="I72" i="2"/>
  <c r="F19" i="92"/>
  <c r="F18" i="92"/>
  <c r="F17" i="92"/>
  <c r="F16" i="92"/>
  <c r="E15" i="92"/>
  <c r="E33" i="92"/>
  <c r="F33" i="92"/>
  <c r="D15" i="92"/>
  <c r="D29" i="92"/>
  <c r="K6" i="92"/>
  <c r="L75" i="12"/>
  <c r="K4" i="92"/>
  <c r="H4" i="92"/>
  <c r="F63" i="117"/>
  <c r="F62" i="117"/>
  <c r="F59" i="117"/>
  <c r="F58" i="117"/>
  <c r="F57" i="117"/>
  <c r="F56" i="117"/>
  <c r="F55" i="117"/>
  <c r="F53" i="117"/>
  <c r="F52" i="117"/>
  <c r="F51" i="117"/>
  <c r="F50" i="117"/>
  <c r="E49" i="117"/>
  <c r="M6" i="117"/>
  <c r="D49" i="117"/>
  <c r="F47" i="117"/>
  <c r="F46" i="117"/>
  <c r="F45" i="117"/>
  <c r="F44" i="117"/>
  <c r="E43" i="117"/>
  <c r="D43" i="117"/>
  <c r="F25" i="117"/>
  <c r="F24" i="117"/>
  <c r="F23" i="117"/>
  <c r="F22" i="117"/>
  <c r="E21" i="117"/>
  <c r="D21" i="117"/>
  <c r="D30" i="117"/>
  <c r="B20" i="117"/>
  <c r="I87" i="2"/>
  <c r="F19" i="117"/>
  <c r="F18" i="117"/>
  <c r="F17" i="117"/>
  <c r="F16" i="117"/>
  <c r="E15" i="117"/>
  <c r="E33" i="117"/>
  <c r="D15" i="117"/>
  <c r="D29" i="117"/>
  <c r="O6" i="117"/>
  <c r="N6" i="117"/>
  <c r="K6" i="117"/>
  <c r="V6" i="75"/>
  <c r="U6" i="75"/>
  <c r="X6" i="75"/>
  <c r="W6" i="75"/>
  <c r="E34" i="118"/>
  <c r="F34" i="118"/>
  <c r="E33" i="118"/>
  <c r="F33" i="118"/>
  <c r="H6" i="117"/>
  <c r="F34" i="117"/>
  <c r="E34" i="117"/>
  <c r="E34" i="92"/>
  <c r="F34" i="92"/>
  <c r="E29" i="117"/>
  <c r="F33" i="117"/>
  <c r="F61" i="92"/>
  <c r="E29" i="92"/>
  <c r="H6" i="92"/>
  <c r="I75" i="12"/>
  <c r="I4" i="92"/>
  <c r="I6" i="92"/>
  <c r="J75" i="12"/>
  <c r="E30" i="92"/>
  <c r="Q72" i="2"/>
  <c r="S72" i="2"/>
  <c r="K72" i="2"/>
  <c r="F21" i="92"/>
  <c r="F49" i="92"/>
  <c r="I6" i="117"/>
  <c r="E30" i="117"/>
  <c r="F30" i="117"/>
  <c r="K87" i="2"/>
  <c r="Q87" i="2"/>
  <c r="O82" i="2"/>
  <c r="O88" i="2"/>
  <c r="I6" i="118"/>
  <c r="E30" i="118"/>
  <c r="F30" i="118"/>
  <c r="M88" i="2"/>
  <c r="H6" i="118"/>
  <c r="E29" i="118"/>
  <c r="H4" i="118"/>
  <c r="D29" i="118"/>
  <c r="F43" i="117"/>
  <c r="F43" i="118"/>
  <c r="F15" i="92"/>
  <c r="F43" i="92"/>
  <c r="F55" i="92"/>
  <c r="F61" i="118"/>
  <c r="F61" i="117"/>
  <c r="F21" i="118"/>
  <c r="F15" i="118"/>
  <c r="F21" i="117"/>
  <c r="F49" i="117"/>
  <c r="F15" i="117"/>
  <c r="L6" i="117"/>
  <c r="F49" i="118"/>
  <c r="F55" i="118"/>
  <c r="X4" i="75"/>
  <c r="V4" i="75"/>
  <c r="W4" i="75"/>
  <c r="U4" i="75"/>
  <c r="O4" i="120"/>
  <c r="N4" i="117"/>
  <c r="M4" i="117"/>
  <c r="L4" i="117"/>
  <c r="K4" i="117"/>
  <c r="I4" i="117"/>
  <c r="H4" i="117"/>
  <c r="F63" i="116"/>
  <c r="F62" i="116"/>
  <c r="E61" i="116"/>
  <c r="D61" i="116"/>
  <c r="O4" i="116"/>
  <c r="F59" i="116"/>
  <c r="F58" i="116"/>
  <c r="F57" i="116"/>
  <c r="F56" i="116"/>
  <c r="E55" i="116"/>
  <c r="N6" i="116"/>
  <c r="D55" i="116"/>
  <c r="N4" i="116"/>
  <c r="F53" i="116"/>
  <c r="F52" i="116"/>
  <c r="F51" i="116"/>
  <c r="F50" i="116"/>
  <c r="E49" i="116"/>
  <c r="D49" i="116"/>
  <c r="M4" i="116"/>
  <c r="F47" i="116"/>
  <c r="F46" i="116"/>
  <c r="F45" i="116"/>
  <c r="F44" i="116"/>
  <c r="E43" i="116"/>
  <c r="L6" i="116"/>
  <c r="D43" i="116"/>
  <c r="L4" i="116"/>
  <c r="F25" i="116"/>
  <c r="F24" i="116"/>
  <c r="F23" i="116"/>
  <c r="F22" i="116"/>
  <c r="E21" i="116"/>
  <c r="D21" i="116"/>
  <c r="D30" i="116"/>
  <c r="B20" i="116"/>
  <c r="I86" i="2"/>
  <c r="F19" i="116"/>
  <c r="F18" i="116"/>
  <c r="F17" i="116"/>
  <c r="F16" i="116"/>
  <c r="E15" i="116"/>
  <c r="D15" i="116"/>
  <c r="D29" i="116"/>
  <c r="K6" i="116"/>
  <c r="K4" i="116"/>
  <c r="E27" i="118"/>
  <c r="E27" i="117"/>
  <c r="E34" i="116"/>
  <c r="F34" i="116"/>
  <c r="E33" i="116"/>
  <c r="F33" i="116"/>
  <c r="E27" i="92"/>
  <c r="I6" i="116"/>
  <c r="E30" i="116"/>
  <c r="F30" i="116"/>
  <c r="Q86" i="2"/>
  <c r="S86" i="2"/>
  <c r="K86" i="2"/>
  <c r="H6" i="116"/>
  <c r="E29" i="116"/>
  <c r="S87" i="2"/>
  <c r="F102" i="2"/>
  <c r="M6" i="116"/>
  <c r="F55" i="116"/>
  <c r="F43" i="116"/>
  <c r="F15" i="116"/>
  <c r="F49" i="116"/>
  <c r="F21" i="116"/>
  <c r="F61" i="116"/>
  <c r="I4" i="116"/>
  <c r="H4" i="116"/>
  <c r="F67" i="115"/>
  <c r="F66" i="115"/>
  <c r="E65" i="115"/>
  <c r="D65" i="115"/>
  <c r="F63" i="115"/>
  <c r="F62" i="115"/>
  <c r="F61" i="115"/>
  <c r="F60" i="115"/>
  <c r="E59" i="115"/>
  <c r="D59" i="115"/>
  <c r="F57" i="115"/>
  <c r="F56" i="115"/>
  <c r="F55" i="115"/>
  <c r="F50" i="115"/>
  <c r="F49" i="115"/>
  <c r="D49" i="115"/>
  <c r="F47" i="115"/>
  <c r="F46" i="115"/>
  <c r="F45" i="115"/>
  <c r="F44" i="115"/>
  <c r="E43" i="115"/>
  <c r="D43" i="115"/>
  <c r="F25" i="115"/>
  <c r="F24" i="115"/>
  <c r="F23" i="115"/>
  <c r="F22" i="115"/>
  <c r="E21" i="115"/>
  <c r="D21" i="115"/>
  <c r="D30" i="115"/>
  <c r="B20" i="115"/>
  <c r="I85" i="2"/>
  <c r="K85" i="2" s="1"/>
  <c r="K88" i="2" s="1"/>
  <c r="F19" i="115"/>
  <c r="F18" i="115"/>
  <c r="F17" i="115"/>
  <c r="F16" i="115"/>
  <c r="E15" i="115"/>
  <c r="D15" i="115"/>
  <c r="D29" i="115"/>
  <c r="K6" i="115"/>
  <c r="K4" i="115"/>
  <c r="E27" i="116"/>
  <c r="E34" i="115"/>
  <c r="F34" i="115"/>
  <c r="E33" i="115"/>
  <c r="F33" i="115"/>
  <c r="I6" i="115"/>
  <c r="E30" i="115"/>
  <c r="I4" i="115"/>
  <c r="Q85" i="2"/>
  <c r="F103" i="2" s="1"/>
  <c r="F30" i="115"/>
  <c r="H4" i="115"/>
  <c r="H6" i="115"/>
  <c r="E29" i="115"/>
  <c r="F65" i="115"/>
  <c r="F15" i="115"/>
  <c r="F43" i="115"/>
  <c r="F59" i="115"/>
  <c r="F21" i="115"/>
  <c r="D27" i="116"/>
  <c r="K6" i="114"/>
  <c r="I6" i="114"/>
  <c r="H6" i="114"/>
  <c r="K4" i="114"/>
  <c r="I4" i="114"/>
  <c r="H4" i="114"/>
  <c r="F63" i="113"/>
  <c r="F62" i="113"/>
  <c r="E61" i="113"/>
  <c r="D61" i="113"/>
  <c r="F59" i="113"/>
  <c r="F58" i="113"/>
  <c r="F57" i="113"/>
  <c r="F56" i="113"/>
  <c r="E55" i="113"/>
  <c r="D55" i="113"/>
  <c r="F53" i="113"/>
  <c r="F52" i="113"/>
  <c r="F51" i="113"/>
  <c r="F50" i="113"/>
  <c r="D49" i="113"/>
  <c r="F47" i="113"/>
  <c r="F46" i="113"/>
  <c r="F45" i="113"/>
  <c r="F44" i="113"/>
  <c r="E43" i="113"/>
  <c r="D43" i="113"/>
  <c r="F25" i="113"/>
  <c r="F24" i="113"/>
  <c r="F23" i="113"/>
  <c r="F22" i="113"/>
  <c r="E21" i="113"/>
  <c r="E34" i="113"/>
  <c r="D21" i="113"/>
  <c r="D30" i="113"/>
  <c r="B20" i="113"/>
  <c r="I83" i="2"/>
  <c r="F19" i="113"/>
  <c r="F18" i="113"/>
  <c r="F17" i="113"/>
  <c r="F16" i="113"/>
  <c r="E15" i="113"/>
  <c r="E33" i="113"/>
  <c r="D15" i="113"/>
  <c r="D29" i="113"/>
  <c r="E27" i="115"/>
  <c r="E30" i="113"/>
  <c r="F34" i="113"/>
  <c r="E29" i="113"/>
  <c r="E27" i="113"/>
  <c r="F33" i="113"/>
  <c r="F30" i="113"/>
  <c r="K83" i="2"/>
  <c r="Q83" i="2"/>
  <c r="F43" i="113"/>
  <c r="F55" i="113"/>
  <c r="F21" i="113"/>
  <c r="F49" i="113"/>
  <c r="F15" i="113"/>
  <c r="F61" i="113"/>
  <c r="D12" i="116"/>
  <c r="J4" i="116"/>
  <c r="K6" i="113"/>
  <c r="I6" i="113"/>
  <c r="H6" i="113"/>
  <c r="K4" i="113"/>
  <c r="I4" i="113"/>
  <c r="H4" i="113"/>
  <c r="F63" i="112"/>
  <c r="F62" i="112"/>
  <c r="E61" i="112"/>
  <c r="D61" i="112"/>
  <c r="F59" i="112"/>
  <c r="F58" i="112"/>
  <c r="F57" i="112"/>
  <c r="F56" i="112"/>
  <c r="E55" i="112"/>
  <c r="D55" i="112"/>
  <c r="N4" i="112"/>
  <c r="F53" i="112"/>
  <c r="F52" i="112"/>
  <c r="F51" i="112"/>
  <c r="F50" i="112"/>
  <c r="E49" i="112"/>
  <c r="D49" i="112"/>
  <c r="F47" i="112"/>
  <c r="F46" i="112"/>
  <c r="F45" i="112"/>
  <c r="F44" i="112"/>
  <c r="E43" i="112"/>
  <c r="D43" i="112"/>
  <c r="L4" i="112"/>
  <c r="F25" i="112"/>
  <c r="F24" i="112"/>
  <c r="F23" i="112"/>
  <c r="F22" i="112"/>
  <c r="E21" i="112"/>
  <c r="D21" i="112"/>
  <c r="D30" i="112"/>
  <c r="B20" i="112"/>
  <c r="I82" i="2"/>
  <c r="F19" i="112"/>
  <c r="F18" i="112"/>
  <c r="F17" i="112"/>
  <c r="F16" i="112"/>
  <c r="E15" i="112"/>
  <c r="E33" i="112"/>
  <c r="D15" i="112"/>
  <c r="D29" i="112"/>
  <c r="K6" i="112"/>
  <c r="K4" i="112"/>
  <c r="F65" i="110"/>
  <c r="F64" i="110"/>
  <c r="F63" i="110"/>
  <c r="F62" i="110"/>
  <c r="E61" i="110"/>
  <c r="O6" i="110"/>
  <c r="D61" i="110"/>
  <c r="F59" i="110"/>
  <c r="F58" i="110"/>
  <c r="F57" i="110"/>
  <c r="F56" i="110"/>
  <c r="E55" i="110"/>
  <c r="D55" i="110"/>
  <c r="F53" i="110"/>
  <c r="F52" i="110"/>
  <c r="F51" i="110"/>
  <c r="F50" i="110"/>
  <c r="E49" i="110"/>
  <c r="D49" i="110"/>
  <c r="F47" i="110"/>
  <c r="F46" i="110"/>
  <c r="F45" i="110"/>
  <c r="F44" i="110"/>
  <c r="E43" i="110"/>
  <c r="D43" i="110"/>
  <c r="F25" i="110"/>
  <c r="F24" i="110"/>
  <c r="F23" i="110"/>
  <c r="F22" i="110"/>
  <c r="E21" i="110"/>
  <c r="D21" i="110"/>
  <c r="D30" i="110"/>
  <c r="B20" i="110"/>
  <c r="M75" i="2"/>
  <c r="F19" i="110"/>
  <c r="F18" i="110"/>
  <c r="F17" i="110"/>
  <c r="F16" i="110"/>
  <c r="E15" i="110"/>
  <c r="E33" i="110"/>
  <c r="F33" i="110"/>
  <c r="D15" i="110"/>
  <c r="D29" i="110"/>
  <c r="K6" i="110"/>
  <c r="K4" i="110"/>
  <c r="F66" i="109"/>
  <c r="F65" i="109"/>
  <c r="F64" i="109"/>
  <c r="F63" i="109"/>
  <c r="E62" i="109"/>
  <c r="O6" i="109"/>
  <c r="D62" i="109"/>
  <c r="O4" i="109"/>
  <c r="F59" i="109"/>
  <c r="F58" i="109"/>
  <c r="F57" i="109"/>
  <c r="E56" i="109"/>
  <c r="D56" i="109"/>
  <c r="F54" i="109"/>
  <c r="F53" i="109"/>
  <c r="F52" i="109"/>
  <c r="F51" i="109"/>
  <c r="E50" i="109"/>
  <c r="D50" i="109"/>
  <c r="F48" i="109"/>
  <c r="F47" i="109"/>
  <c r="F46" i="109"/>
  <c r="F45" i="109"/>
  <c r="E44" i="109"/>
  <c r="D44" i="109"/>
  <c r="E38" i="109"/>
  <c r="K6" i="109"/>
  <c r="D38" i="109"/>
  <c r="K4" i="109"/>
  <c r="F26" i="109"/>
  <c r="F25" i="109"/>
  <c r="F24" i="109"/>
  <c r="F23" i="109"/>
  <c r="E22" i="109"/>
  <c r="D22" i="109"/>
  <c r="D31" i="109"/>
  <c r="F20" i="109"/>
  <c r="F19" i="109"/>
  <c r="F17" i="109"/>
  <c r="B21" i="109"/>
  <c r="M74" i="2"/>
  <c r="F16" i="109"/>
  <c r="E15" i="109"/>
  <c r="E34" i="109"/>
  <c r="F34" i="109"/>
  <c r="D15" i="109"/>
  <c r="F63" i="105"/>
  <c r="F62" i="105"/>
  <c r="E61" i="105"/>
  <c r="D61" i="105"/>
  <c r="O4" i="105"/>
  <c r="F59" i="105"/>
  <c r="F58" i="105"/>
  <c r="F57" i="105"/>
  <c r="F56" i="105"/>
  <c r="E55" i="105"/>
  <c r="N6" i="105"/>
  <c r="D55" i="105"/>
  <c r="N4" i="105"/>
  <c r="F53" i="105"/>
  <c r="F52" i="105"/>
  <c r="F51" i="105"/>
  <c r="F50" i="105"/>
  <c r="E49" i="105"/>
  <c r="D49" i="105"/>
  <c r="M4" i="105"/>
  <c r="F47" i="105"/>
  <c r="F46" i="105"/>
  <c r="F45" i="105"/>
  <c r="F44" i="105"/>
  <c r="E43" i="105"/>
  <c r="L6" i="105"/>
  <c r="D43" i="105"/>
  <c r="L4" i="105"/>
  <c r="F25" i="105"/>
  <c r="F24" i="105"/>
  <c r="F23" i="105"/>
  <c r="F22" i="105"/>
  <c r="E21" i="105"/>
  <c r="D21" i="105"/>
  <c r="B20" i="105"/>
  <c r="M70" i="2"/>
  <c r="O70" i="2"/>
  <c r="F19" i="105"/>
  <c r="F18" i="105"/>
  <c r="F17" i="105"/>
  <c r="F16" i="105"/>
  <c r="E15" i="105"/>
  <c r="E33" i="105"/>
  <c r="F33" i="105"/>
  <c r="D15" i="105"/>
  <c r="K6" i="105"/>
  <c r="K4" i="105"/>
  <c r="F63" i="104"/>
  <c r="F62" i="104"/>
  <c r="E61" i="104"/>
  <c r="D61" i="104"/>
  <c r="F59" i="104"/>
  <c r="F58" i="104"/>
  <c r="F57" i="104"/>
  <c r="F56" i="104"/>
  <c r="E55" i="104"/>
  <c r="D55" i="104"/>
  <c r="F53" i="104"/>
  <c r="F52" i="104"/>
  <c r="F51" i="104"/>
  <c r="F50" i="104"/>
  <c r="E49" i="104"/>
  <c r="D49" i="104"/>
  <c r="F47" i="104"/>
  <c r="F46" i="104"/>
  <c r="F45" i="104"/>
  <c r="F44" i="104"/>
  <c r="E43" i="104"/>
  <c r="D43" i="104"/>
  <c r="F25" i="104"/>
  <c r="F24" i="104"/>
  <c r="F23" i="104"/>
  <c r="F22" i="104"/>
  <c r="E21" i="104"/>
  <c r="D21" i="104"/>
  <c r="D30" i="104"/>
  <c r="B20" i="104"/>
  <c r="M69" i="2"/>
  <c r="F19" i="104"/>
  <c r="F18" i="104"/>
  <c r="F17" i="104"/>
  <c r="F16" i="104"/>
  <c r="E15" i="104"/>
  <c r="E33" i="104"/>
  <c r="F33" i="104"/>
  <c r="D15" i="104"/>
  <c r="J17" i="104"/>
  <c r="K6" i="104"/>
  <c r="K4" i="104"/>
  <c r="F68" i="103"/>
  <c r="F63" i="103"/>
  <c r="F60" i="103"/>
  <c r="F59" i="103"/>
  <c r="F57" i="103"/>
  <c r="E56" i="103"/>
  <c r="D56" i="103"/>
  <c r="F54" i="103"/>
  <c r="F53" i="103"/>
  <c r="F52" i="103"/>
  <c r="F50" i="103"/>
  <c r="E49" i="103"/>
  <c r="D49" i="103"/>
  <c r="F47" i="103"/>
  <c r="F46" i="103"/>
  <c r="F45" i="103"/>
  <c r="F44" i="103"/>
  <c r="E43" i="103"/>
  <c r="D43" i="103"/>
  <c r="F25" i="103"/>
  <c r="F24" i="103"/>
  <c r="F23" i="103"/>
  <c r="F22" i="103"/>
  <c r="E21" i="103"/>
  <c r="D21" i="103"/>
  <c r="D30" i="103"/>
  <c r="B20" i="103"/>
  <c r="M68" i="2"/>
  <c r="F19" i="103"/>
  <c r="F18" i="103"/>
  <c r="F17" i="103"/>
  <c r="F16" i="103"/>
  <c r="E15" i="103"/>
  <c r="E33" i="103"/>
  <c r="F33" i="103"/>
  <c r="D15" i="103"/>
  <c r="D29" i="103"/>
  <c r="K6" i="103"/>
  <c r="K4" i="103"/>
  <c r="I4" i="103"/>
  <c r="H4" i="103"/>
  <c r="F63" i="101"/>
  <c r="F62" i="101"/>
  <c r="E61" i="101"/>
  <c r="O6" i="101"/>
  <c r="D61" i="101"/>
  <c r="O4" i="101"/>
  <c r="F59" i="101"/>
  <c r="F58" i="101"/>
  <c r="F57" i="101"/>
  <c r="F56" i="101"/>
  <c r="E55" i="101"/>
  <c r="D55" i="101"/>
  <c r="F53" i="101"/>
  <c r="F52" i="101"/>
  <c r="F51" i="101"/>
  <c r="F50" i="101"/>
  <c r="E49" i="101"/>
  <c r="D49" i="101"/>
  <c r="F49" i="101"/>
  <c r="F47" i="101"/>
  <c r="F46" i="101"/>
  <c r="F45" i="101"/>
  <c r="F44" i="101"/>
  <c r="E43" i="101"/>
  <c r="D43" i="101"/>
  <c r="F25" i="101"/>
  <c r="F24" i="101"/>
  <c r="F23" i="101"/>
  <c r="F22" i="101"/>
  <c r="E21" i="101"/>
  <c r="E34" i="101"/>
  <c r="D21" i="101"/>
  <c r="D30" i="101"/>
  <c r="B20" i="101"/>
  <c r="M67" i="2"/>
  <c r="F19" i="101"/>
  <c r="F18" i="101"/>
  <c r="F17" i="101"/>
  <c r="F16" i="101"/>
  <c r="E15" i="101"/>
  <c r="E33" i="101"/>
  <c r="F33" i="101"/>
  <c r="D15" i="101"/>
  <c r="D29" i="101"/>
  <c r="K6" i="101"/>
  <c r="I6" i="101"/>
  <c r="N4" i="101"/>
  <c r="K4" i="101"/>
  <c r="I4" i="101"/>
  <c r="H4" i="101"/>
  <c r="F65" i="100"/>
  <c r="F64" i="100"/>
  <c r="F63" i="100"/>
  <c r="F62" i="100"/>
  <c r="E61" i="100"/>
  <c r="O6" i="100"/>
  <c r="D61" i="100"/>
  <c r="F59" i="100"/>
  <c r="F58" i="100"/>
  <c r="F57" i="100"/>
  <c r="F56" i="100"/>
  <c r="E55" i="100"/>
  <c r="N6" i="100"/>
  <c r="D55" i="100"/>
  <c r="F53" i="100"/>
  <c r="F52" i="100"/>
  <c r="F51" i="100"/>
  <c r="F50" i="100"/>
  <c r="E49" i="100"/>
  <c r="M6" i="100"/>
  <c r="D49" i="100"/>
  <c r="F47" i="100"/>
  <c r="F46" i="100"/>
  <c r="F45" i="100"/>
  <c r="F44" i="100"/>
  <c r="E43" i="100"/>
  <c r="L6" i="100"/>
  <c r="D43" i="100"/>
  <c r="L4" i="100"/>
  <c r="F41" i="100"/>
  <c r="F40" i="100"/>
  <c r="F39" i="100"/>
  <c r="F38" i="100"/>
  <c r="E37" i="100"/>
  <c r="K6" i="100"/>
  <c r="D37" i="100"/>
  <c r="F25" i="100"/>
  <c r="F24" i="100"/>
  <c r="F23" i="100"/>
  <c r="F22" i="100"/>
  <c r="E21" i="100"/>
  <c r="E34" i="100"/>
  <c r="D21" i="100"/>
  <c r="D30" i="100"/>
  <c r="B20" i="100"/>
  <c r="M66" i="2"/>
  <c r="F19" i="100"/>
  <c r="F18" i="100"/>
  <c r="F17" i="100"/>
  <c r="F16" i="100"/>
  <c r="E15" i="100"/>
  <c r="E33" i="100"/>
  <c r="F33" i="100"/>
  <c r="D15" i="100"/>
  <c r="D29" i="100"/>
  <c r="F67" i="99"/>
  <c r="F66" i="99"/>
  <c r="F65" i="99"/>
  <c r="F64" i="99"/>
  <c r="E63" i="99"/>
  <c r="D63" i="99"/>
  <c r="F61" i="99"/>
  <c r="F60" i="99"/>
  <c r="F59" i="99"/>
  <c r="F58" i="99"/>
  <c r="E57" i="99"/>
  <c r="N6" i="99"/>
  <c r="D57" i="99"/>
  <c r="N4" i="99"/>
  <c r="F55" i="99"/>
  <c r="F54" i="99"/>
  <c r="F53" i="99"/>
  <c r="F52" i="99"/>
  <c r="E51" i="99"/>
  <c r="D51" i="99"/>
  <c r="F49" i="99"/>
  <c r="F48" i="99"/>
  <c r="F47" i="99"/>
  <c r="F46" i="99"/>
  <c r="E45" i="99"/>
  <c r="L6" i="99"/>
  <c r="D45" i="99"/>
  <c r="F43" i="99"/>
  <c r="F42" i="99"/>
  <c r="F41" i="99"/>
  <c r="F40" i="99"/>
  <c r="E39" i="99"/>
  <c r="K6" i="99"/>
  <c r="D39" i="99"/>
  <c r="K4" i="99"/>
  <c r="F27" i="99"/>
  <c r="F26" i="99"/>
  <c r="F25" i="99"/>
  <c r="F24" i="99"/>
  <c r="E23" i="99"/>
  <c r="D23" i="99"/>
  <c r="D32" i="99"/>
  <c r="B22" i="99"/>
  <c r="M65" i="2"/>
  <c r="F16" i="99"/>
  <c r="E15" i="99"/>
  <c r="E35" i="99"/>
  <c r="F35" i="99"/>
  <c r="D15" i="99"/>
  <c r="D31" i="99"/>
  <c r="M6" i="99"/>
  <c r="M4" i="99"/>
  <c r="F65" i="98"/>
  <c r="F64" i="98"/>
  <c r="F63" i="98"/>
  <c r="F62" i="98"/>
  <c r="E61" i="98"/>
  <c r="D61" i="98"/>
  <c r="O4" i="98"/>
  <c r="F59" i="98"/>
  <c r="F58" i="98"/>
  <c r="F57" i="98"/>
  <c r="F56" i="98"/>
  <c r="E55" i="98"/>
  <c r="N6" i="98"/>
  <c r="D55" i="98"/>
  <c r="F53" i="98"/>
  <c r="F52" i="98"/>
  <c r="F51" i="98"/>
  <c r="F50" i="98"/>
  <c r="E49" i="98"/>
  <c r="D49" i="98"/>
  <c r="F47" i="98"/>
  <c r="F46" i="98"/>
  <c r="F45" i="98"/>
  <c r="F44" i="98"/>
  <c r="E43" i="98"/>
  <c r="L6" i="98"/>
  <c r="F41" i="98"/>
  <c r="F40" i="98"/>
  <c r="F39" i="98"/>
  <c r="F38" i="98"/>
  <c r="E37" i="98"/>
  <c r="D37" i="98"/>
  <c r="F25" i="98"/>
  <c r="F24" i="98"/>
  <c r="F23" i="98"/>
  <c r="F22" i="98"/>
  <c r="E21" i="98"/>
  <c r="E34" i="98"/>
  <c r="D21" i="98"/>
  <c r="D30" i="98"/>
  <c r="F20" i="98"/>
  <c r="B20" i="98"/>
  <c r="M64" i="2"/>
  <c r="F19" i="98"/>
  <c r="F18" i="98"/>
  <c r="F17" i="98"/>
  <c r="F16" i="98"/>
  <c r="E15" i="98"/>
  <c r="E33" i="98"/>
  <c r="F33" i="98"/>
  <c r="M6" i="98"/>
  <c r="F65" i="95"/>
  <c r="F64" i="95"/>
  <c r="F63" i="95"/>
  <c r="F62" i="95"/>
  <c r="E61" i="95"/>
  <c r="D61" i="95"/>
  <c r="F57" i="95"/>
  <c r="F56" i="95"/>
  <c r="E55" i="95"/>
  <c r="D55" i="95"/>
  <c r="F51" i="95"/>
  <c r="F50" i="95"/>
  <c r="E49" i="95"/>
  <c r="D49" i="95"/>
  <c r="F44" i="95"/>
  <c r="E43" i="95"/>
  <c r="D43" i="95"/>
  <c r="L4" i="95"/>
  <c r="F37" i="95"/>
  <c r="F21" i="95"/>
  <c r="B20" i="95"/>
  <c r="I75" i="2"/>
  <c r="K75" i="2"/>
  <c r="F19" i="95"/>
  <c r="F18" i="95"/>
  <c r="F17" i="95"/>
  <c r="F16" i="95"/>
  <c r="E15" i="95"/>
  <c r="D15" i="95"/>
  <c r="K6" i="95"/>
  <c r="I6" i="95"/>
  <c r="H6" i="95"/>
  <c r="K4" i="95"/>
  <c r="I4" i="95"/>
  <c r="F67" i="94"/>
  <c r="F66" i="94"/>
  <c r="F65" i="94"/>
  <c r="F64" i="94"/>
  <c r="F63" i="94"/>
  <c r="E62" i="94"/>
  <c r="D62" i="94"/>
  <c r="F60" i="94"/>
  <c r="F58" i="94"/>
  <c r="F57" i="94"/>
  <c r="E56" i="94"/>
  <c r="N6" i="94"/>
  <c r="D56" i="94"/>
  <c r="F52" i="94"/>
  <c r="F51" i="94"/>
  <c r="E50" i="94"/>
  <c r="D50" i="94"/>
  <c r="F48" i="94"/>
  <c r="F47" i="94"/>
  <c r="F46" i="94"/>
  <c r="F45" i="94"/>
  <c r="E44" i="94"/>
  <c r="D44" i="94"/>
  <c r="F42" i="94"/>
  <c r="F41" i="94"/>
  <c r="F40" i="94"/>
  <c r="F39" i="94"/>
  <c r="E38" i="94"/>
  <c r="K6" i="94"/>
  <c r="D38" i="94"/>
  <c r="F22" i="94"/>
  <c r="F20" i="94"/>
  <c r="F19" i="94"/>
  <c r="F18" i="94"/>
  <c r="B21" i="94"/>
  <c r="I74" i="2"/>
  <c r="F16" i="94"/>
  <c r="E15" i="94"/>
  <c r="D15" i="94"/>
  <c r="D30" i="94"/>
  <c r="I6" i="94"/>
  <c r="I4" i="94"/>
  <c r="F62" i="90"/>
  <c r="E61" i="90"/>
  <c r="O6" i="90"/>
  <c r="N6" i="90"/>
  <c r="D61" i="90"/>
  <c r="F57" i="90"/>
  <c r="F56" i="90"/>
  <c r="E55" i="90"/>
  <c r="D55" i="90"/>
  <c r="N4" i="90"/>
  <c r="F51" i="90"/>
  <c r="F50" i="90"/>
  <c r="E49" i="90"/>
  <c r="M6" i="90"/>
  <c r="D49" i="90"/>
  <c r="M4" i="90"/>
  <c r="F44" i="90"/>
  <c r="E43" i="90"/>
  <c r="L6" i="90"/>
  <c r="D43" i="90"/>
  <c r="F37" i="90"/>
  <c r="F21" i="90"/>
  <c r="B20" i="90"/>
  <c r="I70" i="2"/>
  <c r="F19" i="90"/>
  <c r="F18" i="90"/>
  <c r="F17" i="90"/>
  <c r="F16" i="90"/>
  <c r="E15" i="90"/>
  <c r="E33" i="90"/>
  <c r="F33" i="90"/>
  <c r="D15" i="90"/>
  <c r="K6" i="90"/>
  <c r="I6" i="90"/>
  <c r="K4" i="90"/>
  <c r="I4" i="90"/>
  <c r="F62" i="89"/>
  <c r="E61" i="89"/>
  <c r="D61" i="89"/>
  <c r="F57" i="89"/>
  <c r="F56" i="89"/>
  <c r="E55" i="89"/>
  <c r="D55" i="89"/>
  <c r="F51" i="89"/>
  <c r="F50" i="89"/>
  <c r="E49" i="89"/>
  <c r="D49" i="89"/>
  <c r="F44" i="89"/>
  <c r="E43" i="89"/>
  <c r="D43" i="89"/>
  <c r="L4" i="89"/>
  <c r="F37" i="89"/>
  <c r="F21" i="89"/>
  <c r="B20" i="89"/>
  <c r="I69" i="2"/>
  <c r="K69" i="2"/>
  <c r="F19" i="89"/>
  <c r="F18" i="89"/>
  <c r="F17" i="89"/>
  <c r="F16" i="89"/>
  <c r="F33" i="89"/>
  <c r="D15" i="89"/>
  <c r="K6" i="89"/>
  <c r="I6" i="89"/>
  <c r="K4" i="89"/>
  <c r="I4" i="89"/>
  <c r="F58" i="88"/>
  <c r="F57" i="88"/>
  <c r="E56" i="88"/>
  <c r="D56" i="88"/>
  <c r="F54" i="88"/>
  <c r="F53" i="88"/>
  <c r="F51" i="88"/>
  <c r="F50" i="88"/>
  <c r="E49" i="88"/>
  <c r="D49" i="88"/>
  <c r="F44" i="88"/>
  <c r="E43" i="88"/>
  <c r="D43" i="88"/>
  <c r="F37" i="88"/>
  <c r="F27" i="88"/>
  <c r="F21" i="88"/>
  <c r="B20" i="88"/>
  <c r="I68" i="2"/>
  <c r="K68" i="2"/>
  <c r="F19" i="88"/>
  <c r="F18" i="88"/>
  <c r="F17" i="88"/>
  <c r="F16" i="88"/>
  <c r="E15" i="88"/>
  <c r="E33" i="88"/>
  <c r="F33" i="88"/>
  <c r="D15" i="88"/>
  <c r="F38" i="94"/>
  <c r="I4" i="112"/>
  <c r="E34" i="112"/>
  <c r="F34" i="112"/>
  <c r="E34" i="110"/>
  <c r="F34" i="110"/>
  <c r="E35" i="109"/>
  <c r="F35" i="109"/>
  <c r="E34" i="105"/>
  <c r="F34" i="105"/>
  <c r="E34" i="104"/>
  <c r="F34" i="104"/>
  <c r="E34" i="103"/>
  <c r="F34" i="103"/>
  <c r="F36" i="99"/>
  <c r="E36" i="99"/>
  <c r="E29" i="95"/>
  <c r="E27" i="95"/>
  <c r="E33" i="95"/>
  <c r="F33" i="95"/>
  <c r="E30" i="94"/>
  <c r="E34" i="94"/>
  <c r="F34" i="94"/>
  <c r="F61" i="90"/>
  <c r="E29" i="112"/>
  <c r="F33" i="112"/>
  <c r="K17" i="104"/>
  <c r="E30" i="101"/>
  <c r="F34" i="101"/>
  <c r="E30" i="100"/>
  <c r="F34" i="100"/>
  <c r="F63" i="99"/>
  <c r="E30" i="98"/>
  <c r="F34" i="98"/>
  <c r="F21" i="98"/>
  <c r="I4" i="98"/>
  <c r="F30" i="98"/>
  <c r="H4" i="95"/>
  <c r="D29" i="95"/>
  <c r="F49" i="95"/>
  <c r="E29" i="90"/>
  <c r="E27" i="90"/>
  <c r="K17" i="89"/>
  <c r="E29" i="88"/>
  <c r="E27" i="88"/>
  <c r="F49" i="88"/>
  <c r="F15" i="88"/>
  <c r="D29" i="88"/>
  <c r="D29" i="89"/>
  <c r="J17" i="89"/>
  <c r="O4" i="90"/>
  <c r="Q70" i="2"/>
  <c r="K70" i="2"/>
  <c r="K74" i="2"/>
  <c r="F44" i="94"/>
  <c r="O64" i="2"/>
  <c r="I6" i="98"/>
  <c r="F49" i="98"/>
  <c r="F37" i="98"/>
  <c r="F55" i="98"/>
  <c r="H4" i="99"/>
  <c r="I4" i="99"/>
  <c r="I6" i="99"/>
  <c r="E32" i="99"/>
  <c r="F32" i="99"/>
  <c r="O65" i="2"/>
  <c r="F61" i="100"/>
  <c r="I6" i="100"/>
  <c r="O66" i="2"/>
  <c r="O67" i="2"/>
  <c r="F43" i="101"/>
  <c r="I6" i="103"/>
  <c r="E30" i="103"/>
  <c r="F30" i="103"/>
  <c r="H6" i="103"/>
  <c r="E29" i="103"/>
  <c r="O68" i="2"/>
  <c r="Q68" i="2"/>
  <c r="I4" i="104"/>
  <c r="O69" i="2"/>
  <c r="Q69" i="2"/>
  <c r="I6" i="104"/>
  <c r="E30" i="104"/>
  <c r="F30" i="104"/>
  <c r="F50" i="109"/>
  <c r="O74" i="2"/>
  <c r="Q74" i="2"/>
  <c r="I6" i="110"/>
  <c r="E30" i="110"/>
  <c r="F30" i="110"/>
  <c r="H4" i="110"/>
  <c r="H6" i="110"/>
  <c r="E29" i="110"/>
  <c r="O75" i="2"/>
  <c r="M77" i="2"/>
  <c r="Q75" i="2"/>
  <c r="K82" i="2"/>
  <c r="Q82" i="2"/>
  <c r="I88" i="2"/>
  <c r="F49" i="112"/>
  <c r="H6" i="112"/>
  <c r="F15" i="112"/>
  <c r="I6" i="112"/>
  <c r="E30" i="112"/>
  <c r="F30" i="112"/>
  <c r="S83" i="2"/>
  <c r="F111" i="2"/>
  <c r="M4" i="101"/>
  <c r="F30" i="101"/>
  <c r="I4" i="100"/>
  <c r="H4" i="89"/>
  <c r="I6" i="105"/>
  <c r="E30" i="105"/>
  <c r="I4" i="105"/>
  <c r="D30" i="105"/>
  <c r="H6" i="105"/>
  <c r="E29" i="105"/>
  <c r="E27" i="105"/>
  <c r="H4" i="105"/>
  <c r="D29" i="105"/>
  <c r="L4" i="90"/>
  <c r="H6" i="90"/>
  <c r="H4" i="90"/>
  <c r="D29" i="90"/>
  <c r="F55" i="100"/>
  <c r="F49" i="100"/>
  <c r="F30" i="100"/>
  <c r="H4" i="100"/>
  <c r="H6" i="100"/>
  <c r="E29" i="100"/>
  <c r="E27" i="100"/>
  <c r="H6" i="101"/>
  <c r="E29" i="101"/>
  <c r="E27" i="101"/>
  <c r="F57" i="99"/>
  <c r="F51" i="99"/>
  <c r="F45" i="99"/>
  <c r="H6" i="99"/>
  <c r="I59" i="13"/>
  <c r="E31" i="99"/>
  <c r="I6" i="109"/>
  <c r="E31" i="109"/>
  <c r="F31" i="109"/>
  <c r="H4" i="109"/>
  <c r="D30" i="109"/>
  <c r="H6" i="109"/>
  <c r="E30" i="109"/>
  <c r="E28" i="109"/>
  <c r="F50" i="94"/>
  <c r="M6" i="94"/>
  <c r="H6" i="94"/>
  <c r="H4" i="104"/>
  <c r="D29" i="104"/>
  <c r="J29" i="104"/>
  <c r="H6" i="104"/>
  <c r="E29" i="104"/>
  <c r="H6" i="89"/>
  <c r="E29" i="89"/>
  <c r="N4" i="98"/>
  <c r="F43" i="98"/>
  <c r="H6" i="98"/>
  <c r="I58" i="13"/>
  <c r="E29" i="98"/>
  <c r="E27" i="98"/>
  <c r="F43" i="103"/>
  <c r="F21" i="105"/>
  <c r="F49" i="104"/>
  <c r="F55" i="89"/>
  <c r="F61" i="89"/>
  <c r="F15" i="89"/>
  <c r="F43" i="90"/>
  <c r="F43" i="89"/>
  <c r="F49" i="89"/>
  <c r="F56" i="88"/>
  <c r="F62" i="88"/>
  <c r="F61" i="101"/>
  <c r="F61" i="95"/>
  <c r="O4" i="100"/>
  <c r="F61" i="98"/>
  <c r="O4" i="99"/>
  <c r="F55" i="101"/>
  <c r="N6" i="110"/>
  <c r="F55" i="95"/>
  <c r="N6" i="101"/>
  <c r="M6" i="101"/>
  <c r="M4" i="98"/>
  <c r="L4" i="98"/>
  <c r="K4" i="98"/>
  <c r="M4" i="100"/>
  <c r="M6" i="105"/>
  <c r="L4" i="99"/>
  <c r="L4" i="101"/>
  <c r="L6" i="101"/>
  <c r="F43" i="100"/>
  <c r="F39" i="99"/>
  <c r="F37" i="100"/>
  <c r="K4" i="94"/>
  <c r="K6" i="98"/>
  <c r="F23" i="99"/>
  <c r="F21" i="100"/>
  <c r="F21" i="104"/>
  <c r="F21" i="101"/>
  <c r="F15" i="94"/>
  <c r="F15" i="101"/>
  <c r="F15" i="110"/>
  <c r="F15" i="98"/>
  <c r="L4" i="94"/>
  <c r="L6" i="94"/>
  <c r="F56" i="94"/>
  <c r="H4" i="94"/>
  <c r="F62" i="94"/>
  <c r="N4" i="100"/>
  <c r="K4" i="100"/>
  <c r="F15" i="103"/>
  <c r="F56" i="103"/>
  <c r="F43" i="104"/>
  <c r="F55" i="104"/>
  <c r="F22" i="109"/>
  <c r="F44" i="109"/>
  <c r="I4" i="110"/>
  <c r="F43" i="112"/>
  <c r="F61" i="112"/>
  <c r="F15" i="104"/>
  <c r="I4" i="109"/>
  <c r="F21" i="103"/>
  <c r="F49" i="103"/>
  <c r="F61" i="105"/>
  <c r="F49" i="110"/>
  <c r="F21" i="112"/>
  <c r="F62" i="103"/>
  <c r="F61" i="104"/>
  <c r="N4" i="109"/>
  <c r="M4" i="109"/>
  <c r="L4" i="109"/>
  <c r="F55" i="112"/>
  <c r="F61" i="110"/>
  <c r="F62" i="109"/>
  <c r="O4" i="110"/>
  <c r="N4" i="110"/>
  <c r="M4" i="110"/>
  <c r="L4" i="110"/>
  <c r="F43" i="110"/>
  <c r="F55" i="110"/>
  <c r="F21" i="110"/>
  <c r="F15" i="105"/>
  <c r="F43" i="105"/>
  <c r="F49" i="105"/>
  <c r="F55" i="105"/>
  <c r="F43" i="95"/>
  <c r="F15" i="95"/>
  <c r="F43" i="88"/>
  <c r="F15" i="90"/>
  <c r="D15" i="98"/>
  <c r="F15" i="99"/>
  <c r="F15" i="100"/>
  <c r="M6" i="110"/>
  <c r="L6" i="110"/>
  <c r="H4" i="112"/>
  <c r="M4" i="112"/>
  <c r="F49" i="90"/>
  <c r="F55" i="90"/>
  <c r="R4" i="116"/>
  <c r="O4" i="114"/>
  <c r="N6" i="109"/>
  <c r="F56" i="109"/>
  <c r="M6" i="88"/>
  <c r="L6" i="88"/>
  <c r="K6" i="88"/>
  <c r="I6" i="88"/>
  <c r="H6" i="88"/>
  <c r="M4" i="88"/>
  <c r="L4" i="88"/>
  <c r="K4" i="88"/>
  <c r="I4" i="88"/>
  <c r="H4" i="88"/>
  <c r="F62" i="86"/>
  <c r="E61" i="86"/>
  <c r="O6" i="86"/>
  <c r="D61" i="86"/>
  <c r="F58" i="86"/>
  <c r="F57" i="86"/>
  <c r="F56" i="86"/>
  <c r="E55" i="86"/>
  <c r="D55" i="86"/>
  <c r="F51" i="86"/>
  <c r="F50" i="86"/>
  <c r="E49" i="86"/>
  <c r="M6" i="86"/>
  <c r="D49" i="86"/>
  <c r="F44" i="86"/>
  <c r="E43" i="86"/>
  <c r="L6" i="86"/>
  <c r="D43" i="86"/>
  <c r="F37" i="86"/>
  <c r="F21" i="86"/>
  <c r="B20" i="86"/>
  <c r="I67" i="2"/>
  <c r="K67" i="2"/>
  <c r="F19" i="86"/>
  <c r="F18" i="86"/>
  <c r="F17" i="86"/>
  <c r="F16" i="86"/>
  <c r="E15" i="86"/>
  <c r="E33" i="86"/>
  <c r="F33" i="86"/>
  <c r="D15" i="86"/>
  <c r="D29" i="86"/>
  <c r="K6" i="86"/>
  <c r="M4" i="86"/>
  <c r="K4" i="86"/>
  <c r="F64" i="85"/>
  <c r="F63" i="85"/>
  <c r="F62" i="85"/>
  <c r="E61" i="85"/>
  <c r="O6" i="85"/>
  <c r="D61" i="85"/>
  <c r="F59" i="85"/>
  <c r="F58" i="85"/>
  <c r="F57" i="85"/>
  <c r="F56" i="85"/>
  <c r="E55" i="85"/>
  <c r="D55" i="85"/>
  <c r="F55" i="85"/>
  <c r="F53" i="85"/>
  <c r="F52" i="85"/>
  <c r="F51" i="85"/>
  <c r="F50" i="85"/>
  <c r="E49" i="85"/>
  <c r="M6" i="85"/>
  <c r="D49" i="85"/>
  <c r="F47" i="85"/>
  <c r="F46" i="85"/>
  <c r="F45" i="85"/>
  <c r="F44" i="85"/>
  <c r="E43" i="85"/>
  <c r="D43" i="85"/>
  <c r="F41" i="85"/>
  <c r="F40" i="85"/>
  <c r="F39" i="85"/>
  <c r="F38" i="85"/>
  <c r="E37" i="85"/>
  <c r="K6" i="85"/>
  <c r="D37" i="85"/>
  <c r="F35" i="85"/>
  <c r="F31" i="85"/>
  <c r="F25" i="85"/>
  <c r="F24" i="85"/>
  <c r="F23" i="85"/>
  <c r="F22" i="85"/>
  <c r="E21" i="85"/>
  <c r="E34" i="85"/>
  <c r="D21" i="85"/>
  <c r="B20" i="85"/>
  <c r="I66" i="2"/>
  <c r="K66" i="2"/>
  <c r="F19" i="85"/>
  <c r="F18" i="85"/>
  <c r="F17" i="85"/>
  <c r="F16" i="85"/>
  <c r="E15" i="85"/>
  <c r="E33" i="85"/>
  <c r="F33" i="85"/>
  <c r="D15" i="85"/>
  <c r="D29" i="85"/>
  <c r="L6" i="85"/>
  <c r="I6" i="85"/>
  <c r="O4" i="85"/>
  <c r="F67" i="84"/>
  <c r="F66" i="84"/>
  <c r="F65" i="84"/>
  <c r="F64" i="84"/>
  <c r="E63" i="84"/>
  <c r="D63" i="84"/>
  <c r="F62" i="84"/>
  <c r="F61" i="84"/>
  <c r="F60" i="84"/>
  <c r="F59" i="84"/>
  <c r="F58" i="84"/>
  <c r="E27" i="110"/>
  <c r="E28" i="94"/>
  <c r="Q67" i="2"/>
  <c r="S67" i="2"/>
  <c r="F43" i="86"/>
  <c r="E27" i="112"/>
  <c r="F30" i="105"/>
  <c r="K29" i="104"/>
  <c r="E27" i="104"/>
  <c r="E27" i="103"/>
  <c r="E29" i="99"/>
  <c r="K29" i="89"/>
  <c r="E27" i="89"/>
  <c r="J29" i="89"/>
  <c r="E29" i="86"/>
  <c r="E27" i="86"/>
  <c r="E30" i="85"/>
  <c r="F34" i="85"/>
  <c r="Q66" i="2"/>
  <c r="S66" i="2"/>
  <c r="F49" i="85"/>
  <c r="F49" i="86"/>
  <c r="S70" i="2"/>
  <c r="S68" i="2"/>
  <c r="F115" i="2"/>
  <c r="S69" i="2"/>
  <c r="F114" i="2"/>
  <c r="S74" i="2"/>
  <c r="O77" i="2"/>
  <c r="S75" i="2"/>
  <c r="F104" i="2"/>
  <c r="S82" i="2"/>
  <c r="H4" i="85"/>
  <c r="F21" i="85"/>
  <c r="D30" i="85"/>
  <c r="H6" i="85"/>
  <c r="E29" i="85"/>
  <c r="E27" i="85"/>
  <c r="L4" i="86"/>
  <c r="F15" i="86"/>
  <c r="H6" i="86"/>
  <c r="H4" i="98"/>
  <c r="D29" i="98"/>
  <c r="H4" i="86"/>
  <c r="F37" i="85"/>
  <c r="F43" i="85"/>
  <c r="M4" i="85"/>
  <c r="L4" i="85"/>
  <c r="N6" i="86"/>
  <c r="N6" i="85"/>
  <c r="F55" i="86"/>
  <c r="F61" i="85"/>
  <c r="F61" i="86"/>
  <c r="N4" i="85"/>
  <c r="F63" i="84"/>
  <c r="I4" i="85"/>
  <c r="K4" i="85"/>
  <c r="D27" i="88"/>
  <c r="D27" i="90"/>
  <c r="F15" i="85"/>
  <c r="M6" i="109"/>
  <c r="E57" i="84"/>
  <c r="D57" i="84"/>
  <c r="F55" i="84"/>
  <c r="F54" i="84"/>
  <c r="F53" i="84"/>
  <c r="F52" i="84"/>
  <c r="E51" i="84"/>
  <c r="D51" i="84"/>
  <c r="F49" i="84"/>
  <c r="F48" i="84"/>
  <c r="F47" i="84"/>
  <c r="F46" i="84"/>
  <c r="E45" i="84"/>
  <c r="D45" i="84"/>
  <c r="F43" i="84"/>
  <c r="F42" i="84"/>
  <c r="F41" i="84"/>
  <c r="F40" i="84"/>
  <c r="E39" i="84"/>
  <c r="D39" i="84"/>
  <c r="F37" i="84"/>
  <c r="F27" i="84"/>
  <c r="F26" i="84"/>
  <c r="F25" i="84"/>
  <c r="F24" i="84"/>
  <c r="E23" i="84"/>
  <c r="E36" i="84"/>
  <c r="D23" i="84"/>
  <c r="D32" i="84"/>
  <c r="B22" i="84"/>
  <c r="I65" i="2"/>
  <c r="F21" i="84"/>
  <c r="F20" i="84"/>
  <c r="F19" i="84"/>
  <c r="F16" i="84"/>
  <c r="E15" i="84"/>
  <c r="D15" i="84"/>
  <c r="E31" i="84"/>
  <c r="E35" i="84"/>
  <c r="F35" i="84"/>
  <c r="F39" i="84"/>
  <c r="F51" i="84"/>
  <c r="E32" i="84"/>
  <c r="F36" i="84"/>
  <c r="K65" i="2"/>
  <c r="Q65" i="2"/>
  <c r="F57" i="84"/>
  <c r="F45" i="84"/>
  <c r="F15" i="84"/>
  <c r="D31" i="84"/>
  <c r="F23" i="84"/>
  <c r="L6" i="109"/>
  <c r="J4" i="90"/>
  <c r="D12" i="90"/>
  <c r="E12" i="88"/>
  <c r="J6" i="88"/>
  <c r="D12" i="88"/>
  <c r="J4" i="88"/>
  <c r="L6" i="84"/>
  <c r="K6" i="84"/>
  <c r="I6" i="84"/>
  <c r="H6" i="84"/>
  <c r="O4" i="84"/>
  <c r="N4" i="84"/>
  <c r="M4" i="84"/>
  <c r="L4" i="84"/>
  <c r="K4" i="84"/>
  <c r="I4" i="84"/>
  <c r="H4" i="84"/>
  <c r="F62" i="83"/>
  <c r="E61" i="83"/>
  <c r="O6" i="83"/>
  <c r="D61" i="83"/>
  <c r="O4" i="83"/>
  <c r="F59" i="83"/>
  <c r="F58" i="83"/>
  <c r="F57" i="83"/>
  <c r="F56" i="83"/>
  <c r="E55" i="83"/>
  <c r="N6" i="83"/>
  <c r="D55" i="83"/>
  <c r="N4" i="83"/>
  <c r="F53" i="83"/>
  <c r="F52" i="83"/>
  <c r="F51" i="83"/>
  <c r="F50" i="83"/>
  <c r="E49" i="83"/>
  <c r="M6" i="83"/>
  <c r="D49" i="83"/>
  <c r="F47" i="83"/>
  <c r="F46" i="83"/>
  <c r="F45" i="83"/>
  <c r="F44" i="83"/>
  <c r="E43" i="83"/>
  <c r="L6" i="83"/>
  <c r="D43" i="83"/>
  <c r="F38" i="83"/>
  <c r="E37" i="83"/>
  <c r="K6" i="83"/>
  <c r="D37" i="83"/>
  <c r="K4" i="83"/>
  <c r="B20" i="83"/>
  <c r="I64" i="2"/>
  <c r="I77" i="2"/>
  <c r="F19" i="83"/>
  <c r="F18" i="83"/>
  <c r="F17" i="83"/>
  <c r="E15" i="83"/>
  <c r="D15" i="83"/>
  <c r="I6" i="83"/>
  <c r="I4" i="83"/>
  <c r="D66" i="80"/>
  <c r="S6" i="80"/>
  <c r="C66" i="80"/>
  <c r="S4" i="80"/>
  <c r="E65" i="80"/>
  <c r="E64" i="80"/>
  <c r="E63" i="80"/>
  <c r="E62" i="80"/>
  <c r="E61" i="80"/>
  <c r="E60" i="80"/>
  <c r="E59" i="80"/>
  <c r="E58" i="80"/>
  <c r="E57" i="80"/>
  <c r="E56" i="80"/>
  <c r="E55" i="80"/>
  <c r="D17" i="80"/>
  <c r="D38" i="80"/>
  <c r="C17" i="80"/>
  <c r="C38" i="80"/>
  <c r="E16" i="80"/>
  <c r="E15" i="80"/>
  <c r="H6" i="80"/>
  <c r="H4" i="80"/>
  <c r="F59" i="79"/>
  <c r="F58" i="79"/>
  <c r="F57" i="79"/>
  <c r="F56" i="79"/>
  <c r="E55" i="79"/>
  <c r="D55" i="79"/>
  <c r="F55" i="79"/>
  <c r="F53" i="79"/>
  <c r="F52" i="79"/>
  <c r="F51" i="79"/>
  <c r="F50" i="79"/>
  <c r="E49" i="79"/>
  <c r="M6" i="79"/>
  <c r="D49" i="79"/>
  <c r="M4" i="79"/>
  <c r="F47" i="79"/>
  <c r="F46" i="79"/>
  <c r="F45" i="79"/>
  <c r="F44" i="79"/>
  <c r="E43" i="79"/>
  <c r="D43" i="79"/>
  <c r="F43" i="79"/>
  <c r="F30" i="79"/>
  <c r="F29" i="79"/>
  <c r="D27" i="79"/>
  <c r="B20" i="79"/>
  <c r="I57" i="2"/>
  <c r="F19" i="79"/>
  <c r="F18" i="79"/>
  <c r="F17" i="79"/>
  <c r="F16" i="79"/>
  <c r="E15" i="79"/>
  <c r="D15" i="79"/>
  <c r="P6" i="79"/>
  <c r="K6" i="79"/>
  <c r="I6" i="79"/>
  <c r="H6" i="79"/>
  <c r="S4" i="79"/>
  <c r="K4" i="79"/>
  <c r="I4" i="79"/>
  <c r="H4" i="79"/>
  <c r="E29" i="84"/>
  <c r="E29" i="83"/>
  <c r="F33" i="83"/>
  <c r="F33" i="79"/>
  <c r="E33" i="79"/>
  <c r="E27" i="79"/>
  <c r="J6" i="79"/>
  <c r="L6" i="79"/>
  <c r="F49" i="83"/>
  <c r="L4" i="79"/>
  <c r="I59" i="2"/>
  <c r="K57" i="2"/>
  <c r="K59" i="2"/>
  <c r="Q57" i="2"/>
  <c r="K64" i="2"/>
  <c r="K77" i="2"/>
  <c r="Q64" i="2"/>
  <c r="S65" i="2"/>
  <c r="F112" i="2"/>
  <c r="F43" i="83"/>
  <c r="H6" i="83"/>
  <c r="H4" i="83"/>
  <c r="D29" i="83"/>
  <c r="L4" i="83"/>
  <c r="M4" i="83"/>
  <c r="F55" i="83"/>
  <c r="F12" i="88"/>
  <c r="F30" i="83"/>
  <c r="F16" i="83"/>
  <c r="J4" i="79"/>
  <c r="F37" i="83"/>
  <c r="F61" i="83"/>
  <c r="R4" i="90"/>
  <c r="F15" i="79"/>
  <c r="F49" i="79"/>
  <c r="F15" i="83"/>
  <c r="E66" i="80"/>
  <c r="C51" i="80"/>
  <c r="J6" i="80"/>
  <c r="R6" i="80"/>
  <c r="E27" i="83"/>
  <c r="F27" i="79"/>
  <c r="S57" i="2"/>
  <c r="S59" i="2"/>
  <c r="Q59" i="2"/>
  <c r="S64" i="2"/>
  <c r="S77" i="2"/>
  <c r="F116" i="2"/>
  <c r="Q77" i="2"/>
  <c r="E17" i="80"/>
  <c r="J4" i="80"/>
  <c r="E38" i="80"/>
  <c r="D51" i="80"/>
  <c r="E41" i="68"/>
  <c r="D41" i="68"/>
  <c r="M6" i="68"/>
  <c r="C41" i="68"/>
  <c r="M4" i="68"/>
  <c r="E32" i="68"/>
  <c r="D30" i="68"/>
  <c r="N6" i="68"/>
  <c r="C30" i="68"/>
  <c r="E29" i="68"/>
  <c r="E28" i="68"/>
  <c r="E25" i="68"/>
  <c r="D23" i="68"/>
  <c r="C23" i="68"/>
  <c r="E22" i="68"/>
  <c r="E21" i="68"/>
  <c r="E20" i="68"/>
  <c r="E19" i="68"/>
  <c r="E18" i="68"/>
  <c r="E15" i="68"/>
  <c r="E14" i="68"/>
  <c r="E11" i="68"/>
  <c r="P6" i="68"/>
  <c r="O6" i="68"/>
  <c r="K6" i="68"/>
  <c r="I6" i="68"/>
  <c r="H6" i="68"/>
  <c r="P4" i="68"/>
  <c r="O4" i="68"/>
  <c r="N4" i="68"/>
  <c r="K4" i="68"/>
  <c r="J4" i="68"/>
  <c r="I4" i="68"/>
  <c r="H4" i="68"/>
  <c r="D55" i="66"/>
  <c r="C55" i="66"/>
  <c r="E54" i="66"/>
  <c r="E53" i="66"/>
  <c r="D48" i="66"/>
  <c r="C48" i="66"/>
  <c r="E47" i="66"/>
  <c r="E46" i="66"/>
  <c r="E45" i="66"/>
  <c r="E44" i="66"/>
  <c r="E43" i="66"/>
  <c r="E37" i="66"/>
  <c r="E39" i="66"/>
  <c r="E35" i="66"/>
  <c r="E32" i="66"/>
  <c r="E31" i="66"/>
  <c r="E28" i="66"/>
  <c r="E25" i="66"/>
  <c r="E23" i="66"/>
  <c r="E22" i="66"/>
  <c r="E21" i="66"/>
  <c r="E18" i="66"/>
  <c r="E17" i="66"/>
  <c r="E13" i="68"/>
  <c r="L6" i="68"/>
  <c r="D44" i="68"/>
  <c r="E30" i="68"/>
  <c r="L4" i="68"/>
  <c r="R4" i="68"/>
  <c r="E33" i="66"/>
  <c r="E34" i="68"/>
  <c r="E36" i="68"/>
  <c r="E44" i="68"/>
  <c r="E48" i="66"/>
  <c r="E26" i="66"/>
  <c r="J6" i="68"/>
  <c r="E55" i="66"/>
  <c r="C57" i="66"/>
  <c r="E23" i="68"/>
  <c r="R4" i="80"/>
  <c r="K31" i="80"/>
  <c r="E51" i="80"/>
  <c r="D14" i="66"/>
  <c r="D50" i="66"/>
  <c r="C14" i="66"/>
  <c r="C50" i="66"/>
  <c r="E13" i="66"/>
  <c r="E12" i="66"/>
  <c r="S6" i="66"/>
  <c r="P6" i="66"/>
  <c r="O6" i="66"/>
  <c r="N6" i="66"/>
  <c r="M6" i="66"/>
  <c r="L6" i="66"/>
  <c r="K6" i="66"/>
  <c r="I6" i="66"/>
  <c r="H6" i="66"/>
  <c r="S4" i="66"/>
  <c r="P4" i="66"/>
  <c r="O4" i="66"/>
  <c r="N4" i="66"/>
  <c r="M4" i="66"/>
  <c r="L4" i="66"/>
  <c r="K4" i="66"/>
  <c r="J4" i="66"/>
  <c r="I4" i="66"/>
  <c r="H4" i="66"/>
  <c r="D55" i="65"/>
  <c r="S6" i="65"/>
  <c r="C55" i="65"/>
  <c r="E54" i="65"/>
  <c r="E53" i="65"/>
  <c r="E47" i="65"/>
  <c r="E46" i="65"/>
  <c r="E45" i="65"/>
  <c r="E44" i="65"/>
  <c r="E43" i="65"/>
  <c r="E34" i="65"/>
  <c r="N6" i="65"/>
  <c r="E31" i="65"/>
  <c r="E30" i="65"/>
  <c r="E32" i="65"/>
  <c r="E27" i="65"/>
  <c r="L6" i="65"/>
  <c r="E24" i="65"/>
  <c r="E23" i="65"/>
  <c r="E22" i="65"/>
  <c r="E21" i="65"/>
  <c r="E20" i="65"/>
  <c r="E17" i="65"/>
  <c r="E16" i="65"/>
  <c r="E12" i="65"/>
  <c r="E11" i="65"/>
  <c r="O6" i="65"/>
  <c r="M6" i="65"/>
  <c r="K6" i="65"/>
  <c r="I6" i="65"/>
  <c r="H6" i="65"/>
  <c r="O4" i="65"/>
  <c r="N4" i="65"/>
  <c r="K4" i="65"/>
  <c r="J4" i="65"/>
  <c r="D63" i="64"/>
  <c r="C63" i="64"/>
  <c r="E61" i="64"/>
  <c r="E59" i="64"/>
  <c r="E58" i="64"/>
  <c r="E57" i="64"/>
  <c r="E50" i="66"/>
  <c r="E48" i="65"/>
  <c r="E13" i="65"/>
  <c r="E55" i="65"/>
  <c r="C57" i="65"/>
  <c r="C44" i="68"/>
  <c r="R6" i="68"/>
  <c r="S4" i="65"/>
  <c r="E14" i="66"/>
  <c r="E63" i="64"/>
  <c r="C65" i="64"/>
  <c r="R6" i="66"/>
  <c r="D57" i="65"/>
  <c r="L4" i="65"/>
  <c r="R4" i="65"/>
  <c r="M4" i="65"/>
  <c r="E36" i="65"/>
  <c r="E38" i="65"/>
  <c r="R4" i="66"/>
  <c r="D57" i="66"/>
  <c r="E37" i="64"/>
  <c r="E39" i="64"/>
  <c r="E35" i="64"/>
  <c r="E18" i="64"/>
  <c r="E16" i="64"/>
  <c r="D14" i="64"/>
  <c r="C14" i="64"/>
  <c r="E14" i="64"/>
  <c r="D65" i="64"/>
  <c r="E33" i="64"/>
  <c r="E51" i="64"/>
  <c r="C53" i="64"/>
  <c r="E53" i="64"/>
  <c r="P6" i="64"/>
  <c r="O6" i="64"/>
  <c r="N6" i="64"/>
  <c r="M6" i="64"/>
  <c r="L6" i="64"/>
  <c r="K6" i="64"/>
  <c r="I6" i="64"/>
  <c r="S4" i="64"/>
  <c r="P4" i="64"/>
  <c r="O4" i="64"/>
  <c r="L4" i="64"/>
  <c r="K4" i="64"/>
  <c r="J4" i="64"/>
  <c r="I4" i="64"/>
  <c r="H4" i="64"/>
  <c r="S6" i="64"/>
  <c r="E67" i="78"/>
  <c r="D67" i="78"/>
  <c r="F67" i="78"/>
  <c r="F65" i="78"/>
  <c r="F64" i="78"/>
  <c r="F63" i="78"/>
  <c r="F62" i="78"/>
  <c r="E61" i="78"/>
  <c r="P6" i="78"/>
  <c r="P45" i="13"/>
  <c r="P46" i="13"/>
  <c r="D61" i="78"/>
  <c r="F59" i="78"/>
  <c r="F58" i="78"/>
  <c r="F57" i="78"/>
  <c r="F56" i="78"/>
  <c r="E55" i="78"/>
  <c r="O6" i="78"/>
  <c r="D55" i="78"/>
  <c r="F53" i="78"/>
  <c r="F52" i="78"/>
  <c r="F51" i="78"/>
  <c r="F50" i="78"/>
  <c r="E49" i="78"/>
  <c r="N6" i="78"/>
  <c r="N45" i="13"/>
  <c r="N46" i="13"/>
  <c r="D49" i="78"/>
  <c r="F47" i="78"/>
  <c r="F46" i="78"/>
  <c r="F45" i="78"/>
  <c r="F44" i="78"/>
  <c r="E43" i="78"/>
  <c r="D43" i="78"/>
  <c r="M5" i="78"/>
  <c r="F41" i="78"/>
  <c r="F40" i="78"/>
  <c r="F39" i="78"/>
  <c r="F38" i="78"/>
  <c r="E37" i="78"/>
  <c r="L6" i="78"/>
  <c r="L45" i="13"/>
  <c r="L46" i="13"/>
  <c r="D37" i="78"/>
  <c r="L5" i="78"/>
  <c r="F25" i="78"/>
  <c r="F24" i="78"/>
  <c r="F23" i="78"/>
  <c r="F22" i="78"/>
  <c r="E21" i="78"/>
  <c r="F34" i="78"/>
  <c r="D21" i="78"/>
  <c r="B20" i="78"/>
  <c r="M51" i="2"/>
  <c r="F19" i="78"/>
  <c r="F18" i="78"/>
  <c r="F17" i="78"/>
  <c r="F16" i="78"/>
  <c r="E15" i="78"/>
  <c r="F33" i="78"/>
  <c r="D15" i="78"/>
  <c r="D29" i="78"/>
  <c r="T6" i="78"/>
  <c r="T45" i="13"/>
  <c r="I34" i="11"/>
  <c r="R6" i="78"/>
  <c r="R45" i="13"/>
  <c r="R46" i="13"/>
  <c r="Q6" i="78"/>
  <c r="Q45" i="13"/>
  <c r="Q46" i="13"/>
  <c r="M6" i="78"/>
  <c r="M45" i="13"/>
  <c r="M46" i="13"/>
  <c r="T5" i="78"/>
  <c r="R5" i="78"/>
  <c r="P5" i="78"/>
  <c r="O5" i="78"/>
  <c r="N5" i="78"/>
  <c r="X4" i="78"/>
  <c r="W4" i="78"/>
  <c r="V4" i="78"/>
  <c r="U4" i="78"/>
  <c r="E51" i="55"/>
  <c r="E42" i="55"/>
  <c r="D32" i="55"/>
  <c r="C32" i="55"/>
  <c r="E31" i="55"/>
  <c r="E24" i="55"/>
  <c r="E23" i="55"/>
  <c r="E22" i="55"/>
  <c r="E21" i="55"/>
  <c r="E20" i="55"/>
  <c r="E11" i="55"/>
  <c r="S6" i="55"/>
  <c r="S5" i="55"/>
  <c r="E56" i="53"/>
  <c r="D39" i="53"/>
  <c r="E20" i="53"/>
  <c r="D44" i="47"/>
  <c r="D42" i="53"/>
  <c r="I5" i="78"/>
  <c r="O51" i="2"/>
  <c r="O52" i="2"/>
  <c r="M52" i="2"/>
  <c r="E29" i="78"/>
  <c r="J5" i="78"/>
  <c r="D30" i="78"/>
  <c r="F30" i="78"/>
  <c r="Q5" i="78"/>
  <c r="J6" i="78"/>
  <c r="J45" i="13"/>
  <c r="J46" i="13"/>
  <c r="E30" i="78"/>
  <c r="I35" i="11"/>
  <c r="E61" i="79"/>
  <c r="F21" i="78"/>
  <c r="N4" i="64"/>
  <c r="T46" i="13"/>
  <c r="F61" i="78"/>
  <c r="O45" i="13"/>
  <c r="O46" i="13"/>
  <c r="F55" i="78"/>
  <c r="F49" i="78"/>
  <c r="F43" i="78"/>
  <c r="F37" i="78"/>
  <c r="I6" i="78"/>
  <c r="F15" i="78"/>
  <c r="D13" i="53"/>
  <c r="P6" i="53"/>
  <c r="C13" i="53"/>
  <c r="E12" i="53"/>
  <c r="S6" i="53"/>
  <c r="S4" i="53"/>
  <c r="D56" i="50"/>
  <c r="C56" i="50"/>
  <c r="E55" i="50"/>
  <c r="E56" i="50"/>
  <c r="P4" i="53"/>
  <c r="R4" i="53"/>
  <c r="C51" i="53"/>
  <c r="E27" i="78"/>
  <c r="J6" i="53"/>
  <c r="D51" i="53"/>
  <c r="K6" i="78"/>
  <c r="K45" i="13"/>
  <c r="K46" i="13"/>
  <c r="R6" i="53"/>
  <c r="E13" i="53"/>
  <c r="E51" i="53"/>
  <c r="E12" i="79"/>
  <c r="O6" i="79"/>
  <c r="N6" i="79"/>
  <c r="R6" i="79"/>
  <c r="M4" i="64"/>
  <c r="D61" i="79"/>
  <c r="F62" i="79"/>
  <c r="D27" i="78"/>
  <c r="F29" i="78"/>
  <c r="I45" i="13"/>
  <c r="E35" i="50"/>
  <c r="E32" i="50"/>
  <c r="E31" i="50"/>
  <c r="E25" i="50"/>
  <c r="E24" i="50"/>
  <c r="E23" i="50"/>
  <c r="E22" i="50"/>
  <c r="E21" i="50"/>
  <c r="D12" i="50"/>
  <c r="E11" i="50"/>
  <c r="E10" i="50"/>
  <c r="E12" i="50"/>
  <c r="S6" i="50"/>
  <c r="K6" i="50"/>
  <c r="S4" i="50"/>
  <c r="K4" i="50"/>
  <c r="R4" i="50"/>
  <c r="E48" i="49"/>
  <c r="E47" i="49"/>
  <c r="E46" i="49"/>
  <c r="E45" i="49"/>
  <c r="E44" i="49"/>
  <c r="E49" i="49"/>
  <c r="E35" i="49"/>
  <c r="D33" i="49"/>
  <c r="N6" i="49"/>
  <c r="C33" i="49"/>
  <c r="N4" i="49"/>
  <c r="E32" i="49"/>
  <c r="E31" i="49"/>
  <c r="E28" i="49"/>
  <c r="D26" i="49"/>
  <c r="L6" i="49"/>
  <c r="C26" i="49"/>
  <c r="L4" i="49"/>
  <c r="E25" i="49"/>
  <c r="E24" i="49"/>
  <c r="E23" i="49"/>
  <c r="E22" i="49"/>
  <c r="E21" i="49"/>
  <c r="E18" i="49"/>
  <c r="D12" i="49"/>
  <c r="C12" i="49"/>
  <c r="E11" i="49"/>
  <c r="E10" i="49"/>
  <c r="D75" i="47"/>
  <c r="C75" i="47"/>
  <c r="E73" i="47"/>
  <c r="E72" i="47"/>
  <c r="E71" i="47"/>
  <c r="E69" i="47"/>
  <c r="E68" i="47"/>
  <c r="E67" i="47"/>
  <c r="E66" i="47"/>
  <c r="D60" i="47"/>
  <c r="M6" i="47"/>
  <c r="C60" i="47"/>
  <c r="E59" i="47"/>
  <c r="E58" i="47"/>
  <c r="E57" i="47"/>
  <c r="E55" i="47"/>
  <c r="E54" i="47"/>
  <c r="E53" i="47"/>
  <c r="E52" i="47"/>
  <c r="E51" i="47"/>
  <c r="E50" i="47"/>
  <c r="E41" i="47"/>
  <c r="E38" i="47"/>
  <c r="E37" i="47"/>
  <c r="E33" i="47"/>
  <c r="E31" i="47"/>
  <c r="E30" i="47"/>
  <c r="E29" i="47"/>
  <c r="E28" i="47"/>
  <c r="E27" i="47"/>
  <c r="E26" i="47"/>
  <c r="E21" i="47"/>
  <c r="E18" i="47"/>
  <c r="E17" i="47"/>
  <c r="D14" i="47"/>
  <c r="P6" i="47"/>
  <c r="C14" i="47"/>
  <c r="E13" i="47"/>
  <c r="E12" i="47"/>
  <c r="P6" i="50"/>
  <c r="D51" i="50"/>
  <c r="E51" i="50"/>
  <c r="P6" i="49"/>
  <c r="D51" i="49"/>
  <c r="P4" i="49"/>
  <c r="C51" i="49"/>
  <c r="E19" i="47"/>
  <c r="M4" i="47"/>
  <c r="R4" i="47"/>
  <c r="C62" i="47"/>
  <c r="R4" i="49"/>
  <c r="P4" i="47"/>
  <c r="E14" i="47"/>
  <c r="D46" i="47"/>
  <c r="S6" i="78"/>
  <c r="X6" i="78"/>
  <c r="G20" i="10"/>
  <c r="G21" i="10"/>
  <c r="E75" i="47"/>
  <c r="C77" i="47"/>
  <c r="E33" i="49"/>
  <c r="E26" i="49"/>
  <c r="E60" i="47"/>
  <c r="E43" i="47"/>
  <c r="E12" i="49"/>
  <c r="F61" i="79"/>
  <c r="O4" i="79"/>
  <c r="D12" i="79"/>
  <c r="F12" i="79"/>
  <c r="R4" i="64"/>
  <c r="I46" i="13"/>
  <c r="F27" i="78"/>
  <c r="D12" i="78"/>
  <c r="K5" i="78"/>
  <c r="S4" i="47"/>
  <c r="E67" i="76"/>
  <c r="D67" i="76"/>
  <c r="F65" i="76"/>
  <c r="F64" i="76"/>
  <c r="F63" i="76"/>
  <c r="F62" i="76"/>
  <c r="E61" i="76"/>
  <c r="P6" i="76"/>
  <c r="P52" i="12"/>
  <c r="P53" i="12"/>
  <c r="D61" i="76"/>
  <c r="P5" i="76"/>
  <c r="F59" i="76"/>
  <c r="F58" i="76"/>
  <c r="F57" i="76"/>
  <c r="F56" i="76"/>
  <c r="E55" i="76"/>
  <c r="D55" i="76"/>
  <c r="F53" i="76"/>
  <c r="F52" i="76"/>
  <c r="F51" i="76"/>
  <c r="F50" i="76"/>
  <c r="E49" i="76"/>
  <c r="N6" i="76"/>
  <c r="N52" i="12"/>
  <c r="N53" i="12"/>
  <c r="D49" i="76"/>
  <c r="F47" i="76"/>
  <c r="F46" i="76"/>
  <c r="F45" i="76"/>
  <c r="F44" i="76"/>
  <c r="E43" i="76"/>
  <c r="D43" i="76"/>
  <c r="F41" i="76"/>
  <c r="F40" i="76"/>
  <c r="F39" i="76"/>
  <c r="F38" i="76"/>
  <c r="E37" i="76"/>
  <c r="L6" i="76"/>
  <c r="L52" i="12"/>
  <c r="L53" i="12"/>
  <c r="D37" i="76"/>
  <c r="F25" i="76"/>
  <c r="F24" i="76"/>
  <c r="F23" i="76"/>
  <c r="F22" i="76"/>
  <c r="E21" i="76"/>
  <c r="D21" i="76"/>
  <c r="D30" i="76"/>
  <c r="B20" i="76"/>
  <c r="I51" i="2"/>
  <c r="F19" i="76"/>
  <c r="F18" i="76"/>
  <c r="F17" i="76"/>
  <c r="F16" i="76"/>
  <c r="E15" i="76"/>
  <c r="I6" i="76"/>
  <c r="I52" i="12"/>
  <c r="I53" i="12"/>
  <c r="D15" i="76"/>
  <c r="D29" i="76"/>
  <c r="R6" i="76"/>
  <c r="R52" i="12"/>
  <c r="R53" i="12"/>
  <c r="Q6" i="76"/>
  <c r="Q52" i="12"/>
  <c r="Q53" i="12"/>
  <c r="O6" i="76"/>
  <c r="O52" i="12"/>
  <c r="O53" i="12"/>
  <c r="T5" i="76"/>
  <c r="R5" i="76"/>
  <c r="Q5" i="76"/>
  <c r="J5" i="76"/>
  <c r="E51" i="49"/>
  <c r="U6" i="78"/>
  <c r="S45" i="13"/>
  <c r="J34" i="11"/>
  <c r="J35" i="11"/>
  <c r="W6" i="78"/>
  <c r="V6" i="78"/>
  <c r="J6" i="47"/>
  <c r="D77" i="47"/>
  <c r="E45" i="47"/>
  <c r="E46" i="47"/>
  <c r="E62" i="47"/>
  <c r="E30" i="76"/>
  <c r="F34" i="76"/>
  <c r="E29" i="76"/>
  <c r="E27" i="76"/>
  <c r="J6" i="76"/>
  <c r="J52" i="12"/>
  <c r="J53" i="12"/>
  <c r="F37" i="76"/>
  <c r="F49" i="76"/>
  <c r="F61" i="76"/>
  <c r="Q51" i="2"/>
  <c r="K51" i="2"/>
  <c r="K52" i="2"/>
  <c r="I52" i="2"/>
  <c r="F43" i="76"/>
  <c r="F55" i="76"/>
  <c r="R6" i="50"/>
  <c r="F30" i="76"/>
  <c r="O5" i="76"/>
  <c r="F15" i="76"/>
  <c r="F21" i="76"/>
  <c r="F67" i="76"/>
  <c r="N4" i="79"/>
  <c r="M6" i="76"/>
  <c r="M52" i="12"/>
  <c r="M53" i="12"/>
  <c r="S6" i="47"/>
  <c r="S46" i="13"/>
  <c r="S5" i="78"/>
  <c r="I5" i="76"/>
  <c r="X4" i="76"/>
  <c r="W4" i="76"/>
  <c r="V4" i="76"/>
  <c r="U4" i="76"/>
  <c r="P6" i="46"/>
  <c r="P4" i="46"/>
  <c r="N6" i="46"/>
  <c r="L6" i="46"/>
  <c r="J4" i="46"/>
  <c r="T6" i="46"/>
  <c r="Q6" i="46"/>
  <c r="O6" i="46"/>
  <c r="T4" i="46"/>
  <c r="N4" i="46"/>
  <c r="I4" i="46"/>
  <c r="X5" i="46"/>
  <c r="W5" i="46"/>
  <c r="V5" i="46"/>
  <c r="U5" i="46"/>
  <c r="Q6" i="45"/>
  <c r="D67" i="45"/>
  <c r="E61" i="45"/>
  <c r="P4" i="45"/>
  <c r="E55" i="45"/>
  <c r="O6" i="45"/>
  <c r="D55" i="45"/>
  <c r="E49" i="45"/>
  <c r="N6" i="45"/>
  <c r="D49" i="45"/>
  <c r="D43" i="45"/>
  <c r="F43" i="45"/>
  <c r="E37" i="45"/>
  <c r="L6" i="45"/>
  <c r="D37" i="45"/>
  <c r="F37" i="45"/>
  <c r="E21" i="45"/>
  <c r="E34" i="45"/>
  <c r="D21" i="45"/>
  <c r="F16" i="45"/>
  <c r="E15" i="45"/>
  <c r="E33" i="45"/>
  <c r="F33" i="45"/>
  <c r="D15" i="45"/>
  <c r="D29" i="45"/>
  <c r="T6" i="45"/>
  <c r="T4" i="45"/>
  <c r="L4" i="45"/>
  <c r="X5" i="45"/>
  <c r="W5" i="45"/>
  <c r="V5" i="45"/>
  <c r="U5" i="45"/>
  <c r="E67" i="44"/>
  <c r="D67" i="44"/>
  <c r="E61" i="44"/>
  <c r="P6" i="44"/>
  <c r="P17" i="13"/>
  <c r="D61" i="44"/>
  <c r="E55" i="44"/>
  <c r="D55" i="44"/>
  <c r="E49" i="44"/>
  <c r="N6" i="44"/>
  <c r="N17" i="13"/>
  <c r="D49" i="44"/>
  <c r="D43" i="44"/>
  <c r="F43" i="44"/>
  <c r="E37" i="44"/>
  <c r="D37" i="44"/>
  <c r="E21" i="44"/>
  <c r="F34" i="44"/>
  <c r="D21" i="44"/>
  <c r="D30" i="44"/>
  <c r="F16" i="44"/>
  <c r="E15" i="44"/>
  <c r="D15" i="44"/>
  <c r="D29" i="44"/>
  <c r="T6" i="44"/>
  <c r="T17" i="13"/>
  <c r="R6" i="44"/>
  <c r="R17" i="13"/>
  <c r="Q6" i="44"/>
  <c r="Q17" i="13"/>
  <c r="M6" i="44"/>
  <c r="M17" i="13"/>
  <c r="T5" i="44"/>
  <c r="R5" i="44"/>
  <c r="X4" i="44"/>
  <c r="W4" i="44"/>
  <c r="V4" i="44"/>
  <c r="U4" i="44"/>
  <c r="E67" i="43"/>
  <c r="D67" i="43"/>
  <c r="F67" i="43"/>
  <c r="E61" i="43"/>
  <c r="P6" i="43"/>
  <c r="D61" i="43"/>
  <c r="P4" i="43"/>
  <c r="E55" i="43"/>
  <c r="D55" i="43"/>
  <c r="E49" i="43"/>
  <c r="D49" i="43"/>
  <c r="D43" i="43"/>
  <c r="F43" i="43"/>
  <c r="E37" i="43"/>
  <c r="L6" i="43"/>
  <c r="D37" i="43"/>
  <c r="E21" i="43"/>
  <c r="E34" i="43"/>
  <c r="D21" i="43"/>
  <c r="F16" i="43"/>
  <c r="E15" i="43"/>
  <c r="E33" i="43"/>
  <c r="F33" i="43"/>
  <c r="D15" i="43"/>
  <c r="D29" i="43"/>
  <c r="T6" i="43"/>
  <c r="R6" i="43"/>
  <c r="Q6" i="43"/>
  <c r="T4" i="43"/>
  <c r="R4" i="43"/>
  <c r="Q4" i="43"/>
  <c r="X5" i="43"/>
  <c r="W5" i="43"/>
  <c r="V5" i="43"/>
  <c r="U5" i="43"/>
  <c r="D67" i="42"/>
  <c r="T6" i="42"/>
  <c r="T4" i="42"/>
  <c r="D67" i="41"/>
  <c r="T6" i="41"/>
  <c r="T4" i="41"/>
  <c r="E67" i="40"/>
  <c r="Q6" i="40"/>
  <c r="D67" i="40"/>
  <c r="E61" i="40"/>
  <c r="P6" i="40"/>
  <c r="D61" i="40"/>
  <c r="P5" i="40"/>
  <c r="E55" i="40"/>
  <c r="D55" i="40"/>
  <c r="O5" i="40"/>
  <c r="E49" i="40"/>
  <c r="N6" i="40"/>
  <c r="D49" i="40"/>
  <c r="D43" i="40"/>
  <c r="E37" i="40"/>
  <c r="L6" i="40"/>
  <c r="D37" i="40"/>
  <c r="E21" i="40"/>
  <c r="D21" i="40"/>
  <c r="D30" i="40"/>
  <c r="F16" i="40"/>
  <c r="E15" i="40"/>
  <c r="D15" i="40"/>
  <c r="D29" i="40"/>
  <c r="T6" i="40"/>
  <c r="R6" i="40"/>
  <c r="T5" i="40"/>
  <c r="R5" i="40"/>
  <c r="Q5" i="40"/>
  <c r="X4" i="40"/>
  <c r="W4" i="40"/>
  <c r="V4" i="40"/>
  <c r="U4" i="40"/>
  <c r="Q6" i="39"/>
  <c r="D67" i="39"/>
  <c r="E61" i="39"/>
  <c r="P6" i="39"/>
  <c r="D61" i="39"/>
  <c r="E55" i="39"/>
  <c r="D55" i="39"/>
  <c r="O4" i="39"/>
  <c r="E49" i="39"/>
  <c r="D49" i="39"/>
  <c r="D43" i="39"/>
  <c r="E37" i="39"/>
  <c r="L6" i="39"/>
  <c r="D37" i="39"/>
  <c r="E21" i="39"/>
  <c r="E34" i="39"/>
  <c r="D21" i="39"/>
  <c r="D30" i="39"/>
  <c r="F16" i="39"/>
  <c r="E15" i="39"/>
  <c r="E33" i="39"/>
  <c r="F33" i="39"/>
  <c r="D15" i="39"/>
  <c r="D29" i="39"/>
  <c r="T6" i="39"/>
  <c r="R6" i="39"/>
  <c r="T4" i="39"/>
  <c r="R4" i="39"/>
  <c r="X5" i="39"/>
  <c r="W5" i="39"/>
  <c r="V5" i="39"/>
  <c r="U5" i="39"/>
  <c r="Q6" i="38"/>
  <c r="D67" i="38"/>
  <c r="Q4" i="38"/>
  <c r="E61" i="38"/>
  <c r="P6" i="38"/>
  <c r="D61" i="38"/>
  <c r="E55" i="38"/>
  <c r="O6" i="38"/>
  <c r="D55" i="38"/>
  <c r="E49" i="38"/>
  <c r="N6" i="38"/>
  <c r="D49" i="38"/>
  <c r="D43" i="38"/>
  <c r="E37" i="38"/>
  <c r="L6" i="38"/>
  <c r="D37" i="38"/>
  <c r="E21" i="38"/>
  <c r="E34" i="38"/>
  <c r="D21" i="38"/>
  <c r="D30" i="38"/>
  <c r="F16" i="38"/>
  <c r="E15" i="38"/>
  <c r="E33" i="38"/>
  <c r="F33" i="38"/>
  <c r="D15" i="38"/>
  <c r="D29" i="38"/>
  <c r="T6" i="38"/>
  <c r="M6" i="38"/>
  <c r="T4" i="38"/>
  <c r="W5" i="38"/>
  <c r="V5" i="38"/>
  <c r="U5" i="38"/>
  <c r="Q6" i="37"/>
  <c r="D67" i="37"/>
  <c r="Q4" i="37"/>
  <c r="E61" i="37"/>
  <c r="D61" i="37"/>
  <c r="E55" i="37"/>
  <c r="O6" i="37"/>
  <c r="D55" i="37"/>
  <c r="E49" i="37"/>
  <c r="N6" i="37"/>
  <c r="D49" i="37"/>
  <c r="M6" i="37"/>
  <c r="D43" i="37"/>
  <c r="E37" i="37"/>
  <c r="L6" i="37"/>
  <c r="D37" i="37"/>
  <c r="E21" i="37"/>
  <c r="E34" i="37"/>
  <c r="D21" i="37"/>
  <c r="D30" i="37"/>
  <c r="F16" i="37"/>
  <c r="E15" i="37"/>
  <c r="E33" i="37"/>
  <c r="F33" i="37"/>
  <c r="D15" i="37"/>
  <c r="D29" i="37"/>
  <c r="T6" i="37"/>
  <c r="P6" i="37"/>
  <c r="T4" i="37"/>
  <c r="X5" i="37"/>
  <c r="W5" i="37"/>
  <c r="V5" i="37"/>
  <c r="U5" i="37"/>
  <c r="D66" i="36"/>
  <c r="Q4" i="36"/>
  <c r="E60" i="36"/>
  <c r="P6" i="36"/>
  <c r="D60" i="36"/>
  <c r="E54" i="36"/>
  <c r="D54" i="36"/>
  <c r="E48" i="36"/>
  <c r="N6" i="36"/>
  <c r="D48" i="36"/>
  <c r="D42" i="36"/>
  <c r="F42" i="36"/>
  <c r="E36" i="36"/>
  <c r="D36" i="36"/>
  <c r="E20" i="36"/>
  <c r="E33" i="36"/>
  <c r="D20" i="36"/>
  <c r="D29" i="36"/>
  <c r="F16" i="36"/>
  <c r="E15" i="36"/>
  <c r="D15" i="36"/>
  <c r="D28" i="36"/>
  <c r="T6" i="36"/>
  <c r="Q6" i="36"/>
  <c r="T4" i="36"/>
  <c r="X5" i="36"/>
  <c r="W5" i="36"/>
  <c r="V5" i="36"/>
  <c r="U5" i="36"/>
  <c r="E67" i="35"/>
  <c r="Q6" i="35"/>
  <c r="D67" i="35"/>
  <c r="Q5" i="35"/>
  <c r="E61" i="35"/>
  <c r="P6" i="35"/>
  <c r="D61" i="35"/>
  <c r="P5" i="35"/>
  <c r="E55" i="35"/>
  <c r="O6" i="35"/>
  <c r="D55" i="35"/>
  <c r="O5" i="35"/>
  <c r="E49" i="35"/>
  <c r="N6" i="35"/>
  <c r="D49" i="35"/>
  <c r="M6" i="35"/>
  <c r="D43" i="35"/>
  <c r="F43" i="35"/>
  <c r="E37" i="35"/>
  <c r="L6" i="35"/>
  <c r="D37" i="35"/>
  <c r="L5" i="35"/>
  <c r="E21" i="35"/>
  <c r="F34" i="35"/>
  <c r="D21" i="35"/>
  <c r="D30" i="35"/>
  <c r="F16" i="35"/>
  <c r="E15" i="35"/>
  <c r="D15" i="35"/>
  <c r="D29" i="35"/>
  <c r="T6" i="35"/>
  <c r="R6" i="35"/>
  <c r="T5" i="35"/>
  <c r="R5" i="35"/>
  <c r="X4" i="35"/>
  <c r="W4" i="35"/>
  <c r="V4" i="35"/>
  <c r="U4" i="35"/>
  <c r="E67" i="34"/>
  <c r="Q6" i="34"/>
  <c r="D67" i="34"/>
  <c r="Q5" i="34"/>
  <c r="E61" i="34"/>
  <c r="P6" i="34"/>
  <c r="D61" i="34"/>
  <c r="E55" i="34"/>
  <c r="O6" i="34"/>
  <c r="D55" i="34"/>
  <c r="E49" i="34"/>
  <c r="N6" i="34"/>
  <c r="D49" i="34"/>
  <c r="D43" i="34"/>
  <c r="F43" i="34"/>
  <c r="E37" i="34"/>
  <c r="L6" i="34"/>
  <c r="D37" i="34"/>
  <c r="E21" i="34"/>
  <c r="D21" i="34"/>
  <c r="F16" i="34"/>
  <c r="E15" i="34"/>
  <c r="D15" i="34"/>
  <c r="D29" i="34"/>
  <c r="T6" i="34"/>
  <c r="R6" i="34"/>
  <c r="M6" i="34"/>
  <c r="J6" i="34"/>
  <c r="T5" i="34"/>
  <c r="R5" i="34"/>
  <c r="X4" i="34"/>
  <c r="W4" i="34"/>
  <c r="V4" i="34"/>
  <c r="U4" i="34"/>
  <c r="F71" i="32"/>
  <c r="F70" i="32"/>
  <c r="F69" i="32"/>
  <c r="F68" i="32"/>
  <c r="E67" i="32"/>
  <c r="D67" i="32"/>
  <c r="F65" i="32"/>
  <c r="F64" i="32"/>
  <c r="F63" i="32"/>
  <c r="F62" i="32"/>
  <c r="E61" i="32"/>
  <c r="D61" i="32"/>
  <c r="F59" i="32"/>
  <c r="F58" i="32"/>
  <c r="F57" i="32"/>
  <c r="F56" i="32"/>
  <c r="E55" i="32"/>
  <c r="D55" i="32"/>
  <c r="F53" i="32"/>
  <c r="F52" i="32"/>
  <c r="F51" i="32"/>
  <c r="F50" i="32"/>
  <c r="E49" i="32"/>
  <c r="D49" i="32"/>
  <c r="F47" i="32"/>
  <c r="F46" i="32"/>
  <c r="F45" i="32"/>
  <c r="F44" i="32"/>
  <c r="E43" i="32"/>
  <c r="D43" i="32"/>
  <c r="E28" i="36"/>
  <c r="E32" i="36"/>
  <c r="F32" i="36"/>
  <c r="R6" i="47"/>
  <c r="E30" i="45"/>
  <c r="F34" i="45"/>
  <c r="E29" i="45"/>
  <c r="F67" i="44"/>
  <c r="E30" i="43"/>
  <c r="F34" i="43"/>
  <c r="E29" i="43"/>
  <c r="E30" i="40"/>
  <c r="F34" i="40"/>
  <c r="E29" i="40"/>
  <c r="E30" i="39"/>
  <c r="F30" i="39"/>
  <c r="F34" i="39"/>
  <c r="E30" i="38"/>
  <c r="F30" i="38"/>
  <c r="F34" i="38"/>
  <c r="E29" i="38"/>
  <c r="E30" i="37"/>
  <c r="F34" i="37"/>
  <c r="E29" i="36"/>
  <c r="E26" i="36"/>
  <c r="E12" i="36"/>
  <c r="E67" i="36"/>
  <c r="F33" i="36"/>
  <c r="E29" i="35"/>
  <c r="E30" i="34"/>
  <c r="F34" i="34"/>
  <c r="F61" i="34"/>
  <c r="S51" i="2"/>
  <c r="S52" i="2"/>
  <c r="Q52" i="2"/>
  <c r="F101" i="2"/>
  <c r="F30" i="40"/>
  <c r="F49" i="39"/>
  <c r="I6" i="39"/>
  <c r="E29" i="39"/>
  <c r="F67" i="35"/>
  <c r="J6" i="44"/>
  <c r="J17" i="13"/>
  <c r="E30" i="44"/>
  <c r="F30" i="44"/>
  <c r="Q5" i="44"/>
  <c r="I6" i="44"/>
  <c r="I17" i="13"/>
  <c r="E29" i="44"/>
  <c r="F67" i="40"/>
  <c r="J6" i="35"/>
  <c r="E30" i="35"/>
  <c r="F30" i="35"/>
  <c r="J5" i="34"/>
  <c r="D30" i="34"/>
  <c r="F30" i="34"/>
  <c r="E29" i="34"/>
  <c r="F67" i="34"/>
  <c r="F30" i="37"/>
  <c r="J6" i="36"/>
  <c r="F28" i="36"/>
  <c r="J4" i="45"/>
  <c r="D30" i="45"/>
  <c r="J4" i="43"/>
  <c r="D30" i="43"/>
  <c r="F49" i="37"/>
  <c r="I6" i="37"/>
  <c r="E29" i="37"/>
  <c r="F67" i="39"/>
  <c r="Q4" i="39"/>
  <c r="F61" i="35"/>
  <c r="O6" i="43"/>
  <c r="O6" i="44"/>
  <c r="O17" i="13"/>
  <c r="F54" i="36"/>
  <c r="F55" i="43"/>
  <c r="F55" i="44"/>
  <c r="F49" i="34"/>
  <c r="F21" i="35"/>
  <c r="F21" i="37"/>
  <c r="F21" i="44"/>
  <c r="F37" i="40"/>
  <c r="F37" i="39"/>
  <c r="F37" i="44"/>
  <c r="F48" i="36"/>
  <c r="F49" i="40"/>
  <c r="F49" i="38"/>
  <c r="F55" i="34"/>
  <c r="F55" i="35"/>
  <c r="F61" i="37"/>
  <c r="F61" i="38"/>
  <c r="F61" i="39"/>
  <c r="F61" i="40"/>
  <c r="P6" i="45"/>
  <c r="F61" i="45"/>
  <c r="F60" i="36"/>
  <c r="F61" i="43"/>
  <c r="P5" i="44"/>
  <c r="F61" i="44"/>
  <c r="O4" i="37"/>
  <c r="F55" i="37"/>
  <c r="O6" i="39"/>
  <c r="O4" i="45"/>
  <c r="F55" i="45"/>
  <c r="O5" i="34"/>
  <c r="F55" i="38"/>
  <c r="F55" i="39"/>
  <c r="F55" i="40"/>
  <c r="N4" i="45"/>
  <c r="F49" i="45"/>
  <c r="N5" i="35"/>
  <c r="F49" i="35"/>
  <c r="N4" i="38"/>
  <c r="N4" i="43"/>
  <c r="F49" i="43"/>
  <c r="F49" i="44"/>
  <c r="M5" i="35"/>
  <c r="M4" i="37"/>
  <c r="F43" i="37"/>
  <c r="M4" i="38"/>
  <c r="F43" i="38"/>
  <c r="M4" i="39"/>
  <c r="F43" i="39"/>
  <c r="M5" i="40"/>
  <c r="F43" i="40"/>
  <c r="F37" i="34"/>
  <c r="L4" i="43"/>
  <c r="F37" i="43"/>
  <c r="L5" i="44"/>
  <c r="F37" i="35"/>
  <c r="F36" i="36"/>
  <c r="L4" i="37"/>
  <c r="F37" i="37"/>
  <c r="F37" i="38"/>
  <c r="J4" i="36"/>
  <c r="F20" i="36"/>
  <c r="J4" i="38"/>
  <c r="F21" i="38"/>
  <c r="J4" i="39"/>
  <c r="F21" i="39"/>
  <c r="J5" i="40"/>
  <c r="I5" i="40"/>
  <c r="F21" i="40"/>
  <c r="J5" i="44"/>
  <c r="F21" i="34"/>
  <c r="F21" i="43"/>
  <c r="F21" i="45"/>
  <c r="I4" i="45"/>
  <c r="F15" i="45"/>
  <c r="I6" i="34"/>
  <c r="F15" i="39"/>
  <c r="F15" i="40"/>
  <c r="I5" i="34"/>
  <c r="F15" i="34"/>
  <c r="I6" i="35"/>
  <c r="F15" i="35"/>
  <c r="F15" i="36"/>
  <c r="F15" i="37"/>
  <c r="F15" i="38"/>
  <c r="I4" i="43"/>
  <c r="F15" i="43"/>
  <c r="I5" i="44"/>
  <c r="F15" i="44"/>
  <c r="N5" i="34"/>
  <c r="N4" i="39"/>
  <c r="M6" i="40"/>
  <c r="L4" i="39"/>
  <c r="Q4" i="46"/>
  <c r="P5" i="34"/>
  <c r="O6" i="40"/>
  <c r="O4" i="43"/>
  <c r="N5" i="40"/>
  <c r="N6" i="43"/>
  <c r="M5" i="34"/>
  <c r="M6" i="43"/>
  <c r="L5" i="34"/>
  <c r="L5" i="40"/>
  <c r="J6" i="38"/>
  <c r="J6" i="40"/>
  <c r="J6" i="39"/>
  <c r="J6" i="43"/>
  <c r="I6" i="43"/>
  <c r="I6" i="40"/>
  <c r="F66" i="36"/>
  <c r="K6" i="41"/>
  <c r="S6" i="41"/>
  <c r="E12" i="41"/>
  <c r="E68" i="41"/>
  <c r="J6" i="46"/>
  <c r="D27" i="76"/>
  <c r="N5" i="76"/>
  <c r="I4" i="36"/>
  <c r="I4" i="37"/>
  <c r="F67" i="41"/>
  <c r="Q4" i="41"/>
  <c r="K6" i="42"/>
  <c r="S6" i="42"/>
  <c r="E12" i="42"/>
  <c r="E68" i="42"/>
  <c r="X5" i="78"/>
  <c r="W5" i="78"/>
  <c r="V5" i="78"/>
  <c r="U5" i="78"/>
  <c r="Q4" i="42"/>
  <c r="M6" i="46"/>
  <c r="M6" i="45"/>
  <c r="O5" i="44"/>
  <c r="L6" i="44"/>
  <c r="L17" i="13"/>
  <c r="I6" i="46"/>
  <c r="O4" i="46"/>
  <c r="M4" i="46"/>
  <c r="L4" i="46"/>
  <c r="K6" i="46"/>
  <c r="F67" i="45"/>
  <c r="Q4" i="45"/>
  <c r="M4" i="45"/>
  <c r="J6" i="45"/>
  <c r="I6" i="45"/>
  <c r="I4" i="39"/>
  <c r="P4" i="39"/>
  <c r="N6" i="39"/>
  <c r="M6" i="39"/>
  <c r="F67" i="42"/>
  <c r="D27" i="42"/>
  <c r="O4" i="38"/>
  <c r="I6" i="38"/>
  <c r="F67" i="38"/>
  <c r="P4" i="38"/>
  <c r="L4" i="38"/>
  <c r="I4" i="38"/>
  <c r="D27" i="41"/>
  <c r="F27" i="41"/>
  <c r="M4" i="43"/>
  <c r="F67" i="37"/>
  <c r="P4" i="37"/>
  <c r="N4" i="37"/>
  <c r="J6" i="37"/>
  <c r="J4" i="37"/>
  <c r="M6" i="36"/>
  <c r="L6" i="36"/>
  <c r="P4" i="36"/>
  <c r="O4" i="36"/>
  <c r="N4" i="36"/>
  <c r="O6" i="36"/>
  <c r="M4" i="36"/>
  <c r="I6" i="36"/>
  <c r="F43" i="32"/>
  <c r="F49" i="32"/>
  <c r="F55" i="32"/>
  <c r="F61" i="32"/>
  <c r="F67" i="32"/>
  <c r="F73" i="32"/>
  <c r="F31" i="32"/>
  <c r="F30" i="32"/>
  <c r="F29" i="32"/>
  <c r="F28" i="32"/>
  <c r="E27" i="32"/>
  <c r="E40" i="32"/>
  <c r="D27" i="32"/>
  <c r="D36" i="32"/>
  <c r="B20" i="32"/>
  <c r="M7" i="2"/>
  <c r="F19" i="32"/>
  <c r="F18" i="32"/>
  <c r="F17" i="32"/>
  <c r="F16" i="32"/>
  <c r="E15" i="32"/>
  <c r="E39" i="32"/>
  <c r="F39" i="32"/>
  <c r="D15" i="32"/>
  <c r="F30" i="45"/>
  <c r="E27" i="45"/>
  <c r="F29" i="36"/>
  <c r="F29" i="45"/>
  <c r="F29" i="44"/>
  <c r="E27" i="44"/>
  <c r="F29" i="43"/>
  <c r="E27" i="43"/>
  <c r="K6" i="43"/>
  <c r="S6" i="43"/>
  <c r="W6" i="43"/>
  <c r="F30" i="43"/>
  <c r="E27" i="40"/>
  <c r="K6" i="40"/>
  <c r="S6" i="40"/>
  <c r="X6" i="40"/>
  <c r="F29" i="39"/>
  <c r="E27" i="39"/>
  <c r="K6" i="39"/>
  <c r="S6" i="39"/>
  <c r="X6" i="39"/>
  <c r="F29" i="38"/>
  <c r="E27" i="38"/>
  <c r="K6" i="38"/>
  <c r="S6" i="38"/>
  <c r="X6" i="38"/>
  <c r="F29" i="37"/>
  <c r="E27" i="37"/>
  <c r="K6" i="37"/>
  <c r="F29" i="35"/>
  <c r="E27" i="35"/>
  <c r="K6" i="35"/>
  <c r="S6" i="35"/>
  <c r="F29" i="34"/>
  <c r="E27" i="34"/>
  <c r="K6" i="45"/>
  <c r="S6" i="45"/>
  <c r="X6" i="45"/>
  <c r="K6" i="44"/>
  <c r="K17" i="13"/>
  <c r="F29" i="40"/>
  <c r="E36" i="32"/>
  <c r="F40" i="32"/>
  <c r="O7" i="2"/>
  <c r="O23" i="2"/>
  <c r="O97" i="2"/>
  <c r="M23" i="2"/>
  <c r="M97" i="2"/>
  <c r="K6" i="34"/>
  <c r="S6" i="34"/>
  <c r="X6" i="34"/>
  <c r="E35" i="32"/>
  <c r="D35" i="32"/>
  <c r="K4" i="42"/>
  <c r="S4" i="42"/>
  <c r="F27" i="42"/>
  <c r="D27" i="38"/>
  <c r="S6" i="37"/>
  <c r="X6" i="37"/>
  <c r="F36" i="32"/>
  <c r="K6" i="36"/>
  <c r="S6" i="36"/>
  <c r="V6" i="36"/>
  <c r="K4" i="41"/>
  <c r="D12" i="41"/>
  <c r="D68" i="41"/>
  <c r="D12" i="76"/>
  <c r="E12" i="38"/>
  <c r="E68" i="38"/>
  <c r="M5" i="76"/>
  <c r="E12" i="37"/>
  <c r="E68" i="37"/>
  <c r="D27" i="40"/>
  <c r="F27" i="40"/>
  <c r="D27" i="35"/>
  <c r="D27" i="34"/>
  <c r="D12" i="42"/>
  <c r="D68" i="42"/>
  <c r="S6" i="46"/>
  <c r="V6" i="46"/>
  <c r="N5" i="44"/>
  <c r="D27" i="44"/>
  <c r="F27" i="44"/>
  <c r="D27" i="45"/>
  <c r="D27" i="39"/>
  <c r="D27" i="43"/>
  <c r="D27" i="37"/>
  <c r="L4" i="36"/>
  <c r="D26" i="36"/>
  <c r="F27" i="32"/>
  <c r="F15" i="32"/>
  <c r="F27" i="43"/>
  <c r="E12" i="39"/>
  <c r="X6" i="35"/>
  <c r="W6" i="35"/>
  <c r="V6" i="35"/>
  <c r="F27" i="35"/>
  <c r="E33" i="32"/>
  <c r="E12" i="32"/>
  <c r="E74" i="32"/>
  <c r="S6" i="44"/>
  <c r="W6" i="44"/>
  <c r="E12" i="45"/>
  <c r="E68" i="45"/>
  <c r="U6" i="35"/>
  <c r="W6" i="34"/>
  <c r="U6" i="34"/>
  <c r="F27" i="39"/>
  <c r="D12" i="39"/>
  <c r="F27" i="34"/>
  <c r="V6" i="34"/>
  <c r="J16" i="9"/>
  <c r="J20" i="9"/>
  <c r="W6" i="38"/>
  <c r="V6" i="38"/>
  <c r="U6" i="37"/>
  <c r="D12" i="36"/>
  <c r="D67" i="36"/>
  <c r="F26" i="36"/>
  <c r="U6" i="38"/>
  <c r="D12" i="38"/>
  <c r="D68" i="38"/>
  <c r="F27" i="38"/>
  <c r="D12" i="37"/>
  <c r="D68" i="37"/>
  <c r="F27" i="37"/>
  <c r="D12" i="45"/>
  <c r="D68" i="45"/>
  <c r="F27" i="45"/>
  <c r="K4" i="38"/>
  <c r="X6" i="36"/>
  <c r="V6" i="43"/>
  <c r="W6" i="37"/>
  <c r="X6" i="43"/>
  <c r="W6" i="40"/>
  <c r="V6" i="40"/>
  <c r="U6" i="43"/>
  <c r="K4" i="46"/>
  <c r="V6" i="37"/>
  <c r="V6" i="39"/>
  <c r="U6" i="46"/>
  <c r="U6" i="40"/>
  <c r="U6" i="39"/>
  <c r="W6" i="36"/>
  <c r="W6" i="39"/>
  <c r="W6" i="46"/>
  <c r="F12" i="41"/>
  <c r="U6" i="36"/>
  <c r="U6" i="45"/>
  <c r="L5" i="76"/>
  <c r="S4" i="41"/>
  <c r="X6" i="46"/>
  <c r="M5" i="44"/>
  <c r="D12" i="40"/>
  <c r="K5" i="40"/>
  <c r="D12" i="35"/>
  <c r="K5" i="35"/>
  <c r="K5" i="34"/>
  <c r="F12" i="42"/>
  <c r="D12" i="44"/>
  <c r="K5" i="44"/>
  <c r="V6" i="45"/>
  <c r="W6" i="45"/>
  <c r="K4" i="45"/>
  <c r="K4" i="39"/>
  <c r="K4" i="43"/>
  <c r="K4" i="37"/>
  <c r="K4" i="36"/>
  <c r="F35" i="32"/>
  <c r="D33" i="32"/>
  <c r="T6" i="32"/>
  <c r="P6" i="32"/>
  <c r="O6" i="32"/>
  <c r="N6" i="32"/>
  <c r="M6" i="32"/>
  <c r="L6" i="32"/>
  <c r="V6" i="44"/>
  <c r="X6" i="44"/>
  <c r="U6" i="44"/>
  <c r="S17" i="13"/>
  <c r="I20" i="9"/>
  <c r="D12" i="32"/>
  <c r="D74" i="32"/>
  <c r="S4" i="38"/>
  <c r="X4" i="38"/>
  <c r="W4" i="38"/>
  <c r="S4" i="46"/>
  <c r="V4" i="46"/>
  <c r="F12" i="36"/>
  <c r="F12" i="45"/>
  <c r="K5" i="76"/>
  <c r="S5" i="40"/>
  <c r="J5" i="35"/>
  <c r="S5" i="34"/>
  <c r="S5" i="44"/>
  <c r="S4" i="45"/>
  <c r="S4" i="39"/>
  <c r="S4" i="43"/>
  <c r="S4" i="37"/>
  <c r="F12" i="37"/>
  <c r="S4" i="36"/>
  <c r="F33" i="32"/>
  <c r="K6" i="32"/>
  <c r="J6" i="32"/>
  <c r="I6" i="32"/>
  <c r="P4" i="32"/>
  <c r="O4" i="32"/>
  <c r="N4" i="32"/>
  <c r="M4" i="32"/>
  <c r="L4" i="32"/>
  <c r="K4" i="32"/>
  <c r="J4" i="32"/>
  <c r="I4" i="32"/>
  <c r="X5" i="32"/>
  <c r="W5" i="32"/>
  <c r="V5" i="32"/>
  <c r="U5" i="32"/>
  <c r="Q6" i="31"/>
  <c r="Q4" i="31"/>
  <c r="P6" i="31"/>
  <c r="P4" i="31"/>
  <c r="O4" i="31"/>
  <c r="N6" i="31"/>
  <c r="T6" i="31"/>
  <c r="L6" i="31"/>
  <c r="T4" i="31"/>
  <c r="I4" i="31"/>
  <c r="X5" i="31"/>
  <c r="W5" i="31"/>
  <c r="V5" i="31"/>
  <c r="U5" i="31"/>
  <c r="P6" i="30"/>
  <c r="N6" i="30"/>
  <c r="I4" i="30"/>
  <c r="T6" i="30"/>
  <c r="Q6" i="30"/>
  <c r="O6" i="30"/>
  <c r="L6" i="30"/>
  <c r="J6" i="30"/>
  <c r="T4" i="30"/>
  <c r="X5" i="30"/>
  <c r="W5" i="30"/>
  <c r="V5" i="30"/>
  <c r="U5" i="30"/>
  <c r="D67" i="29"/>
  <c r="Q4" i="29"/>
  <c r="E61" i="29"/>
  <c r="P6" i="29"/>
  <c r="D61" i="29"/>
  <c r="E55" i="29"/>
  <c r="O6" i="29"/>
  <c r="D55" i="29"/>
  <c r="E49" i="29"/>
  <c r="N6" i="29"/>
  <c r="D49" i="29"/>
  <c r="F49" i="29"/>
  <c r="M6" i="29"/>
  <c r="D43" i="29"/>
  <c r="F43" i="29"/>
  <c r="E37" i="29"/>
  <c r="L6" i="29"/>
  <c r="D37" i="29"/>
  <c r="E21" i="29"/>
  <c r="D21" i="29"/>
  <c r="F16" i="29"/>
  <c r="E15" i="29"/>
  <c r="D15" i="29"/>
  <c r="T6" i="29"/>
  <c r="Q6" i="29"/>
  <c r="T4" i="29"/>
  <c r="X5" i="29"/>
  <c r="W5" i="29"/>
  <c r="V5" i="29"/>
  <c r="U5" i="29"/>
  <c r="E67" i="28"/>
  <c r="F67" i="28"/>
  <c r="E61" i="28"/>
  <c r="D61" i="28"/>
  <c r="E55" i="28"/>
  <c r="O6" i="28"/>
  <c r="D55" i="28"/>
  <c r="E49" i="28"/>
  <c r="N6" i="28"/>
  <c r="D49" i="28"/>
  <c r="M6" i="28"/>
  <c r="D43" i="28"/>
  <c r="F43" i="28"/>
  <c r="L6" i="28"/>
  <c r="E21" i="28"/>
  <c r="F34" i="28"/>
  <c r="D21" i="28"/>
  <c r="D30" i="28"/>
  <c r="F16" i="28"/>
  <c r="E15" i="28"/>
  <c r="D15" i="28"/>
  <c r="D29" i="28"/>
  <c r="T6" i="28"/>
  <c r="R6" i="28"/>
  <c r="P6" i="28"/>
  <c r="T5" i="28"/>
  <c r="R5" i="28"/>
  <c r="Q5" i="28"/>
  <c r="L5" i="28"/>
  <c r="X4" i="28"/>
  <c r="W4" i="28"/>
  <c r="V4" i="28"/>
  <c r="U4" i="28"/>
  <c r="E67" i="27"/>
  <c r="Q6" i="27"/>
  <c r="D67" i="27"/>
  <c r="E61" i="27"/>
  <c r="P6" i="27"/>
  <c r="D61" i="27"/>
  <c r="F61" i="27"/>
  <c r="E55" i="27"/>
  <c r="D55" i="27"/>
  <c r="E49" i="27"/>
  <c r="N6" i="27"/>
  <c r="D49" i="27"/>
  <c r="F49" i="27"/>
  <c r="D43" i="27"/>
  <c r="F43" i="27"/>
  <c r="E37" i="27"/>
  <c r="L6" i="27"/>
  <c r="D37" i="27"/>
  <c r="E21" i="27"/>
  <c r="E34" i="27"/>
  <c r="D21" i="27"/>
  <c r="D30" i="27"/>
  <c r="F16" i="27"/>
  <c r="E15" i="27"/>
  <c r="E33" i="27"/>
  <c r="F33" i="27"/>
  <c r="D15" i="27"/>
  <c r="D29" i="27"/>
  <c r="T6" i="27"/>
  <c r="R6" i="27"/>
  <c r="T4" i="27"/>
  <c r="R4" i="27"/>
  <c r="Q4" i="27"/>
  <c r="X5" i="27"/>
  <c r="W5" i="27"/>
  <c r="V5" i="27"/>
  <c r="U5" i="27"/>
  <c r="D67" i="26"/>
  <c r="E67" i="25"/>
  <c r="D67" i="25"/>
  <c r="E12" i="25"/>
  <c r="D12" i="25"/>
  <c r="T6" i="25"/>
  <c r="T5" i="25"/>
  <c r="D67" i="24"/>
  <c r="T6" i="24"/>
  <c r="T15" i="12"/>
  <c r="G13" i="11"/>
  <c r="T4" i="24"/>
  <c r="D68" i="23"/>
  <c r="Q4" i="23"/>
  <c r="E62" i="23"/>
  <c r="P6" i="23"/>
  <c r="D62" i="23"/>
  <c r="E56" i="23"/>
  <c r="O6" i="23"/>
  <c r="D56" i="23"/>
  <c r="E49" i="23"/>
  <c r="N6" i="23"/>
  <c r="D49" i="23"/>
  <c r="M6" i="23"/>
  <c r="D43" i="23"/>
  <c r="F43" i="23"/>
  <c r="L6" i="23"/>
  <c r="D37" i="23"/>
  <c r="E21" i="23"/>
  <c r="E34" i="23"/>
  <c r="D21" i="23"/>
  <c r="D30" i="23"/>
  <c r="F16" i="23"/>
  <c r="E15" i="23"/>
  <c r="E33" i="23"/>
  <c r="D15" i="23"/>
  <c r="D29" i="23"/>
  <c r="T6" i="23"/>
  <c r="Q6" i="23"/>
  <c r="T4" i="23"/>
  <c r="X5" i="23"/>
  <c r="W5" i="23"/>
  <c r="V5" i="23"/>
  <c r="U5" i="23"/>
  <c r="D67" i="21"/>
  <c r="E61" i="21"/>
  <c r="D61" i="21"/>
  <c r="E55" i="21"/>
  <c r="O6" i="21"/>
  <c r="D55" i="21"/>
  <c r="E49" i="21"/>
  <c r="N6" i="21"/>
  <c r="D49" i="21"/>
  <c r="D43" i="21"/>
  <c r="F43" i="21"/>
  <c r="E37" i="21"/>
  <c r="L6" i="21"/>
  <c r="D37" i="21"/>
  <c r="E21" i="21"/>
  <c r="D21" i="21"/>
  <c r="D30" i="21"/>
  <c r="F16" i="21"/>
  <c r="E15" i="21"/>
  <c r="D15" i="21"/>
  <c r="D29" i="21"/>
  <c r="T6" i="21"/>
  <c r="Q6" i="21"/>
  <c r="P6" i="21"/>
  <c r="M6" i="21"/>
  <c r="T4" i="21"/>
  <c r="X5" i="21"/>
  <c r="W5" i="21"/>
  <c r="V5" i="21"/>
  <c r="U5" i="21"/>
  <c r="D68" i="20"/>
  <c r="E62" i="20"/>
  <c r="D62" i="20"/>
  <c r="E56" i="20"/>
  <c r="O6" i="20"/>
  <c r="D56" i="20"/>
  <c r="E49" i="20"/>
  <c r="D49" i="20"/>
  <c r="D43" i="20"/>
  <c r="F43" i="20"/>
  <c r="E37" i="20"/>
  <c r="L6" i="20"/>
  <c r="D37" i="20"/>
  <c r="L4" i="20"/>
  <c r="E21" i="20"/>
  <c r="D21" i="20"/>
  <c r="D30" i="20"/>
  <c r="F16" i="20"/>
  <c r="E15" i="20"/>
  <c r="E33" i="20"/>
  <c r="D15" i="20"/>
  <c r="D29" i="20"/>
  <c r="T6" i="20"/>
  <c r="Q6" i="20"/>
  <c r="T4" i="20"/>
  <c r="N4" i="20"/>
  <c r="W5" i="20"/>
  <c r="V5" i="20"/>
  <c r="U5" i="20"/>
  <c r="D67" i="19"/>
  <c r="Q4" i="19"/>
  <c r="E61" i="19"/>
  <c r="P6" i="19"/>
  <c r="D61" i="19"/>
  <c r="E55" i="19"/>
  <c r="D55" i="19"/>
  <c r="E49" i="19"/>
  <c r="D49" i="19"/>
  <c r="N4" i="19"/>
  <c r="D43" i="19"/>
  <c r="E37" i="19"/>
  <c r="L6" i="19"/>
  <c r="D37" i="19"/>
  <c r="D21" i="19"/>
  <c r="D30" i="19"/>
  <c r="F16" i="19"/>
  <c r="E15" i="19"/>
  <c r="E33" i="19"/>
  <c r="D15" i="19"/>
  <c r="D29" i="19"/>
  <c r="T6" i="19"/>
  <c r="Q6" i="19"/>
  <c r="T4" i="19"/>
  <c r="L4" i="19"/>
  <c r="X5" i="19"/>
  <c r="W5" i="19"/>
  <c r="V5" i="19"/>
  <c r="U5" i="19"/>
  <c r="D67" i="18"/>
  <c r="E61" i="18"/>
  <c r="D61" i="18"/>
  <c r="F61" i="18"/>
  <c r="E55" i="18"/>
  <c r="D55" i="18"/>
  <c r="E49" i="18"/>
  <c r="D49" i="18"/>
  <c r="D43" i="18"/>
  <c r="F43" i="18"/>
  <c r="E37" i="18"/>
  <c r="D37" i="18"/>
  <c r="E21" i="18"/>
  <c r="D21" i="18"/>
  <c r="F30" i="18"/>
  <c r="F16" i="18"/>
  <c r="E15" i="18"/>
  <c r="E33" i="18"/>
  <c r="D15" i="18"/>
  <c r="F56" i="20"/>
  <c r="E33" i="29"/>
  <c r="F33" i="29"/>
  <c r="F34" i="29"/>
  <c r="E34" i="29"/>
  <c r="E27" i="29"/>
  <c r="K6" i="29"/>
  <c r="E33" i="21"/>
  <c r="F33" i="21"/>
  <c r="E34" i="21"/>
  <c r="F34" i="21"/>
  <c r="E34" i="20"/>
  <c r="F34" i="20"/>
  <c r="F33" i="18"/>
  <c r="E34" i="18"/>
  <c r="E27" i="18"/>
  <c r="E12" i="18"/>
  <c r="E68" i="18"/>
  <c r="F49" i="28"/>
  <c r="F61" i="28"/>
  <c r="E30" i="27"/>
  <c r="F30" i="27"/>
  <c r="F34" i="27"/>
  <c r="E29" i="27"/>
  <c r="F29" i="27"/>
  <c r="F67" i="27"/>
  <c r="E30" i="23"/>
  <c r="F30" i="23"/>
  <c r="F34" i="23"/>
  <c r="E29" i="23"/>
  <c r="F33" i="23"/>
  <c r="E29" i="20"/>
  <c r="F33" i="20"/>
  <c r="E29" i="19"/>
  <c r="F33" i="19"/>
  <c r="J6" i="28"/>
  <c r="E30" i="28"/>
  <c r="I6" i="28"/>
  <c r="E29" i="28"/>
  <c r="F55" i="28"/>
  <c r="F67" i="25"/>
  <c r="F62" i="20"/>
  <c r="P6" i="20"/>
  <c r="F37" i="18"/>
  <c r="F30" i="29"/>
  <c r="I4" i="29"/>
  <c r="F29" i="18"/>
  <c r="F12" i="32"/>
  <c r="X4" i="46"/>
  <c r="F55" i="27"/>
  <c r="I6" i="29"/>
  <c r="F29" i="29"/>
  <c r="J6" i="20"/>
  <c r="E30" i="20"/>
  <c r="F30" i="20"/>
  <c r="I6" i="20"/>
  <c r="J6" i="21"/>
  <c r="E30" i="21"/>
  <c r="F30" i="21"/>
  <c r="I6" i="21"/>
  <c r="E29" i="21"/>
  <c r="V4" i="38"/>
  <c r="U4" i="38"/>
  <c r="F37" i="19"/>
  <c r="F21" i="29"/>
  <c r="F15" i="19"/>
  <c r="F15" i="21"/>
  <c r="F15" i="27"/>
  <c r="F37" i="20"/>
  <c r="F37" i="23"/>
  <c r="M4" i="29"/>
  <c r="F61" i="29"/>
  <c r="U4" i="46"/>
  <c r="W4" i="46"/>
  <c r="P4" i="19"/>
  <c r="F61" i="19"/>
  <c r="P4" i="21"/>
  <c r="F61" i="21"/>
  <c r="P4" i="23"/>
  <c r="F62" i="23"/>
  <c r="F55" i="18"/>
  <c r="O4" i="19"/>
  <c r="F55" i="19"/>
  <c r="O4" i="20"/>
  <c r="F56" i="23"/>
  <c r="O4" i="29"/>
  <c r="F55" i="29"/>
  <c r="F55" i="21"/>
  <c r="N4" i="21"/>
  <c r="F49" i="21"/>
  <c r="F49" i="20"/>
  <c r="F49" i="18"/>
  <c r="F49" i="19"/>
  <c r="F49" i="23"/>
  <c r="M4" i="19"/>
  <c r="F43" i="19"/>
  <c r="L4" i="29"/>
  <c r="F37" i="29"/>
  <c r="F37" i="27"/>
  <c r="F37" i="21"/>
  <c r="J4" i="21"/>
  <c r="F21" i="21"/>
  <c r="J4" i="19"/>
  <c r="J4" i="27"/>
  <c r="F21" i="27"/>
  <c r="F21" i="28"/>
  <c r="F21" i="18"/>
  <c r="F21" i="20"/>
  <c r="J4" i="23"/>
  <c r="F21" i="23"/>
  <c r="F15" i="18"/>
  <c r="F15" i="20"/>
  <c r="F15" i="23"/>
  <c r="I4" i="27"/>
  <c r="I5" i="28"/>
  <c r="F15" i="28"/>
  <c r="F15" i="29"/>
  <c r="K6" i="30"/>
  <c r="N6" i="20"/>
  <c r="M4" i="21"/>
  <c r="M6" i="20"/>
  <c r="J4" i="20"/>
  <c r="P4" i="20"/>
  <c r="O4" i="27"/>
  <c r="N4" i="27"/>
  <c r="M4" i="27"/>
  <c r="L4" i="27"/>
  <c r="O6" i="27"/>
  <c r="O4" i="23"/>
  <c r="N5" i="28"/>
  <c r="J6" i="29"/>
  <c r="O6" i="19"/>
  <c r="N6" i="19"/>
  <c r="M6" i="19"/>
  <c r="F68" i="23"/>
  <c r="Q4" i="24"/>
  <c r="D12" i="24"/>
  <c r="D68" i="24"/>
  <c r="F67" i="29"/>
  <c r="J4" i="30"/>
  <c r="I6" i="30"/>
  <c r="K6" i="31"/>
  <c r="I4" i="21"/>
  <c r="Q4" i="21"/>
  <c r="I4" i="23"/>
  <c r="S5" i="76"/>
  <c r="X5" i="40"/>
  <c r="W5" i="40"/>
  <c r="V5" i="40"/>
  <c r="U5" i="40"/>
  <c r="I5" i="35"/>
  <c r="S5" i="35"/>
  <c r="V5" i="35"/>
  <c r="X5" i="34"/>
  <c r="V5" i="34"/>
  <c r="U5" i="34"/>
  <c r="W5" i="34"/>
  <c r="Q4" i="26"/>
  <c r="M4" i="30"/>
  <c r="W5" i="44"/>
  <c r="U5" i="44"/>
  <c r="X5" i="44"/>
  <c r="V5" i="44"/>
  <c r="M5" i="28"/>
  <c r="P5" i="28"/>
  <c r="Q6" i="28"/>
  <c r="W4" i="45"/>
  <c r="U4" i="45"/>
  <c r="X4" i="45"/>
  <c r="V4" i="45"/>
  <c r="W4" i="39"/>
  <c r="U4" i="39"/>
  <c r="X4" i="39"/>
  <c r="V4" i="39"/>
  <c r="W4" i="43"/>
  <c r="U4" i="43"/>
  <c r="X4" i="43"/>
  <c r="V4" i="43"/>
  <c r="V4" i="37"/>
  <c r="W4" i="37"/>
  <c r="U4" i="37"/>
  <c r="X4" i="37"/>
  <c r="X4" i="36"/>
  <c r="W4" i="36"/>
  <c r="V4" i="36"/>
  <c r="U4" i="36"/>
  <c r="S6" i="32"/>
  <c r="V6" i="32"/>
  <c r="S4" i="32"/>
  <c r="I6" i="31"/>
  <c r="O6" i="31"/>
  <c r="N4" i="31"/>
  <c r="M4" i="31"/>
  <c r="M6" i="31"/>
  <c r="L4" i="31"/>
  <c r="J6" i="31"/>
  <c r="Q4" i="30"/>
  <c r="P4" i="30"/>
  <c r="O4" i="30"/>
  <c r="N4" i="30"/>
  <c r="M6" i="30"/>
  <c r="L4" i="30"/>
  <c r="N4" i="29"/>
  <c r="P4" i="29"/>
  <c r="J4" i="29"/>
  <c r="O5" i="28"/>
  <c r="J5" i="28"/>
  <c r="P4" i="27"/>
  <c r="J6" i="27"/>
  <c r="M6" i="27"/>
  <c r="I6" i="27"/>
  <c r="F27" i="26"/>
  <c r="F67" i="26"/>
  <c r="F12" i="25"/>
  <c r="F67" i="24"/>
  <c r="N4" i="23"/>
  <c r="M4" i="23"/>
  <c r="L4" i="23"/>
  <c r="J6" i="23"/>
  <c r="I6" i="23"/>
  <c r="D27" i="19"/>
  <c r="I6" i="19"/>
  <c r="F67" i="21"/>
  <c r="O4" i="21"/>
  <c r="L4" i="21"/>
  <c r="F68" i="20"/>
  <c r="Q4" i="20"/>
  <c r="M4" i="20"/>
  <c r="I4" i="20"/>
  <c r="D27" i="20"/>
  <c r="F67" i="19"/>
  <c r="I4" i="19"/>
  <c r="F67" i="18"/>
  <c r="T6" i="18"/>
  <c r="Q6" i="18"/>
  <c r="P6" i="18"/>
  <c r="O6" i="18"/>
  <c r="N6" i="18"/>
  <c r="M6" i="18"/>
  <c r="L6" i="18"/>
  <c r="J6" i="18"/>
  <c r="I6" i="18"/>
  <c r="T4" i="18"/>
  <c r="Q4" i="18"/>
  <c r="P4" i="18"/>
  <c r="O4" i="18"/>
  <c r="N4" i="18"/>
  <c r="M4" i="18"/>
  <c r="L4" i="18"/>
  <c r="J4" i="18"/>
  <c r="I4" i="18"/>
  <c r="X5" i="18"/>
  <c r="W5" i="18"/>
  <c r="V5" i="18"/>
  <c r="U5" i="18"/>
  <c r="D67" i="17"/>
  <c r="E61" i="17"/>
  <c r="P6" i="17"/>
  <c r="D61" i="17"/>
  <c r="P4" i="17"/>
  <c r="E55" i="17"/>
  <c r="O6" i="17"/>
  <c r="D55" i="17"/>
  <c r="E49" i="17"/>
  <c r="D49" i="17"/>
  <c r="D43" i="17"/>
  <c r="F43" i="17"/>
  <c r="E37" i="17"/>
  <c r="L6" i="17"/>
  <c r="D37" i="17"/>
  <c r="E21" i="17"/>
  <c r="E34" i="17"/>
  <c r="D21" i="17"/>
  <c r="D30" i="17"/>
  <c r="F16" i="17"/>
  <c r="E15" i="17"/>
  <c r="E33" i="17"/>
  <c r="D15" i="17"/>
  <c r="D29" i="17"/>
  <c r="T6" i="17"/>
  <c r="Q6" i="17"/>
  <c r="N6" i="17"/>
  <c r="M6" i="17"/>
  <c r="T4" i="17"/>
  <c r="X5" i="17"/>
  <c r="W5" i="17"/>
  <c r="V5" i="17"/>
  <c r="U5" i="17"/>
  <c r="E61" i="16"/>
  <c r="D61" i="16"/>
  <c r="E55" i="16"/>
  <c r="D55" i="16"/>
  <c r="E49" i="16"/>
  <c r="D49" i="16"/>
  <c r="D43" i="16"/>
  <c r="F43" i="16"/>
  <c r="E37" i="16"/>
  <c r="D37" i="16"/>
  <c r="E21" i="16"/>
  <c r="E34" i="16"/>
  <c r="D21" i="16"/>
  <c r="D30" i="16"/>
  <c r="F16" i="16"/>
  <c r="E15" i="16"/>
  <c r="D15" i="16"/>
  <c r="D29" i="16"/>
  <c r="E27" i="20"/>
  <c r="K6" i="20"/>
  <c r="S6" i="20"/>
  <c r="U6" i="20"/>
  <c r="F34" i="18"/>
  <c r="K6" i="28"/>
  <c r="F29" i="28"/>
  <c r="E27" i="28"/>
  <c r="E27" i="27"/>
  <c r="K6" i="27"/>
  <c r="S6" i="27"/>
  <c r="X6" i="27"/>
  <c r="F29" i="23"/>
  <c r="E27" i="23"/>
  <c r="E12" i="23"/>
  <c r="E69" i="23"/>
  <c r="F29" i="21"/>
  <c r="E27" i="21"/>
  <c r="K6" i="21"/>
  <c r="S6" i="21"/>
  <c r="X6" i="21"/>
  <c r="F29" i="20"/>
  <c r="F29" i="19"/>
  <c r="F34" i="17"/>
  <c r="E29" i="17"/>
  <c r="F29" i="17"/>
  <c r="F33" i="17"/>
  <c r="E29" i="16"/>
  <c r="F29" i="16"/>
  <c r="E33" i="16"/>
  <c r="E30" i="16"/>
  <c r="F34" i="16"/>
  <c r="F30" i="28"/>
  <c r="J6" i="17"/>
  <c r="E30" i="17"/>
  <c r="F30" i="17"/>
  <c r="F30" i="16"/>
  <c r="F21" i="16"/>
  <c r="F21" i="17"/>
  <c r="S6" i="29"/>
  <c r="X6" i="29"/>
  <c r="F55" i="17"/>
  <c r="F61" i="16"/>
  <c r="F61" i="17"/>
  <c r="F55" i="16"/>
  <c r="F49" i="16"/>
  <c r="F49" i="17"/>
  <c r="L4" i="17"/>
  <c r="F37" i="17"/>
  <c r="F37" i="16"/>
  <c r="K4" i="20"/>
  <c r="D12" i="19"/>
  <c r="D68" i="19"/>
  <c r="J4" i="17"/>
  <c r="F15" i="16"/>
  <c r="I4" i="17"/>
  <c r="F15" i="17"/>
  <c r="F12" i="24"/>
  <c r="M4" i="17"/>
  <c r="S6" i="30"/>
  <c r="U6" i="30"/>
  <c r="E12" i="28"/>
  <c r="D12" i="20"/>
  <c r="D69" i="20"/>
  <c r="S6" i="28"/>
  <c r="U6" i="28"/>
  <c r="U5" i="76"/>
  <c r="W5" i="76"/>
  <c r="X5" i="76"/>
  <c r="V5" i="76"/>
  <c r="Q4" i="17"/>
  <c r="E12" i="29"/>
  <c r="E68" i="29"/>
  <c r="S4" i="24"/>
  <c r="X6" i="32"/>
  <c r="X5" i="35"/>
  <c r="W5" i="35"/>
  <c r="U5" i="35"/>
  <c r="K6" i="26"/>
  <c r="E12" i="26"/>
  <c r="E68" i="26"/>
  <c r="W6" i="32"/>
  <c r="U6" i="32"/>
  <c r="U4" i="32"/>
  <c r="W4" i="32"/>
  <c r="V4" i="32"/>
  <c r="S6" i="31"/>
  <c r="W6" i="31"/>
  <c r="D27" i="29"/>
  <c r="F27" i="29"/>
  <c r="D27" i="28"/>
  <c r="F27" i="28"/>
  <c r="D27" i="27"/>
  <c r="D27" i="23"/>
  <c r="F27" i="23"/>
  <c r="O4" i="17"/>
  <c r="K6" i="18"/>
  <c r="S6" i="18"/>
  <c r="W6" i="18"/>
  <c r="D27" i="21"/>
  <c r="K4" i="19"/>
  <c r="D27" i="18"/>
  <c r="F27" i="18"/>
  <c r="F67" i="16"/>
  <c r="F67" i="17"/>
  <c r="N4" i="17"/>
  <c r="I6" i="17"/>
  <c r="F27" i="27"/>
  <c r="K6" i="23"/>
  <c r="S6" i="23"/>
  <c r="X6" i="23"/>
  <c r="E27" i="17"/>
  <c r="K6" i="17"/>
  <c r="S6" i="17"/>
  <c r="U6" i="17"/>
  <c r="F33" i="16"/>
  <c r="E27" i="16"/>
  <c r="E12" i="21"/>
  <c r="E68" i="21"/>
  <c r="F27" i="21"/>
  <c r="E12" i="20"/>
  <c r="E69" i="20"/>
  <c r="F27" i="20"/>
  <c r="U6" i="21"/>
  <c r="V6" i="21"/>
  <c r="W6" i="21"/>
  <c r="S4" i="20"/>
  <c r="V4" i="20"/>
  <c r="U6" i="29"/>
  <c r="V6" i="29"/>
  <c r="W6" i="29"/>
  <c r="D12" i="18"/>
  <c r="D68" i="18"/>
  <c r="D12" i="28"/>
  <c r="F12" i="28"/>
  <c r="D12" i="29"/>
  <c r="D68" i="29"/>
  <c r="D12" i="21"/>
  <c r="D68" i="21"/>
  <c r="D12" i="23"/>
  <c r="D69" i="23"/>
  <c r="X6" i="30"/>
  <c r="W6" i="20"/>
  <c r="V6" i="20"/>
  <c r="X6" i="20"/>
  <c r="W6" i="28"/>
  <c r="W6" i="30"/>
  <c r="V6" i="30"/>
  <c r="X6" i="28"/>
  <c r="V6" i="28"/>
  <c r="U6" i="27"/>
  <c r="S6" i="26"/>
  <c r="V6" i="31"/>
  <c r="U6" i="31"/>
  <c r="X6" i="31"/>
  <c r="K4" i="31"/>
  <c r="K4" i="30"/>
  <c r="K4" i="29"/>
  <c r="K5" i="28"/>
  <c r="V6" i="27"/>
  <c r="W6" i="27"/>
  <c r="D12" i="27"/>
  <c r="K4" i="27"/>
  <c r="K4" i="23"/>
  <c r="D27" i="16"/>
  <c r="D27" i="17"/>
  <c r="K4" i="21"/>
  <c r="S4" i="19"/>
  <c r="X6" i="18"/>
  <c r="V6" i="18"/>
  <c r="U6" i="18"/>
  <c r="K4" i="18"/>
  <c r="T6" i="16"/>
  <c r="R6" i="16"/>
  <c r="Q6" i="16"/>
  <c r="P6" i="16"/>
  <c r="O6" i="16"/>
  <c r="N6" i="16"/>
  <c r="M6" i="16"/>
  <c r="L6" i="16"/>
  <c r="J6" i="16"/>
  <c r="I6" i="16"/>
  <c r="U6" i="23"/>
  <c r="V6" i="23"/>
  <c r="W6" i="23"/>
  <c r="F27" i="17"/>
  <c r="E12" i="17"/>
  <c r="E68" i="17"/>
  <c r="X4" i="20"/>
  <c r="U4" i="20"/>
  <c r="W4" i="20"/>
  <c r="F12" i="18"/>
  <c r="F12" i="23"/>
  <c r="D12" i="17"/>
  <c r="D68" i="17"/>
  <c r="X6" i="17"/>
  <c r="W6" i="17"/>
  <c r="V6" i="17"/>
  <c r="J4" i="31"/>
  <c r="S4" i="30"/>
  <c r="S4" i="29"/>
  <c r="S5" i="28"/>
  <c r="S4" i="27"/>
  <c r="S4" i="23"/>
  <c r="D12" i="16"/>
  <c r="D68" i="16"/>
  <c r="K4" i="17"/>
  <c r="S4" i="21"/>
  <c r="X4" i="19"/>
  <c r="V4" i="19"/>
  <c r="W4" i="19"/>
  <c r="U4" i="19"/>
  <c r="S4" i="18"/>
  <c r="T4" i="16"/>
  <c r="R4" i="16"/>
  <c r="Q4" i="16"/>
  <c r="S4" i="31"/>
  <c r="V4" i="31"/>
  <c r="S4" i="17"/>
  <c r="V4" i="17"/>
  <c r="U4" i="17"/>
  <c r="W4" i="30"/>
  <c r="U4" i="30"/>
  <c r="X4" i="30"/>
  <c r="V4" i="30"/>
  <c r="V4" i="29"/>
  <c r="U4" i="29"/>
  <c r="X4" i="29"/>
  <c r="W4" i="29"/>
  <c r="W5" i="28"/>
  <c r="U5" i="28"/>
  <c r="X5" i="28"/>
  <c r="V5" i="28"/>
  <c r="X4" i="27"/>
  <c r="V4" i="27"/>
  <c r="W4" i="27"/>
  <c r="U4" i="27"/>
  <c r="V4" i="23"/>
  <c r="X4" i="23"/>
  <c r="W4" i="23"/>
  <c r="U4" i="23"/>
  <c r="X4" i="21"/>
  <c r="W4" i="21"/>
  <c r="U4" i="21"/>
  <c r="V4" i="21"/>
  <c r="W4" i="18"/>
  <c r="U4" i="18"/>
  <c r="X4" i="18"/>
  <c r="V4" i="18"/>
  <c r="P4" i="16"/>
  <c r="O4" i="16"/>
  <c r="N4" i="16"/>
  <c r="M4" i="16"/>
  <c r="W4" i="17"/>
  <c r="X4" i="31"/>
  <c r="U4" i="31"/>
  <c r="W4" i="31"/>
  <c r="X4" i="17"/>
  <c r="L4" i="16"/>
  <c r="K4" i="16"/>
  <c r="J4" i="16"/>
  <c r="I4" i="16"/>
  <c r="X5" i="16"/>
  <c r="W5" i="16"/>
  <c r="V5" i="16"/>
  <c r="U5" i="16"/>
  <c r="F71" i="14"/>
  <c r="F70" i="14"/>
  <c r="F69" i="14"/>
  <c r="F68" i="14"/>
  <c r="E67" i="14"/>
  <c r="D67" i="14"/>
  <c r="F65" i="14"/>
  <c r="F64" i="14"/>
  <c r="F63" i="14"/>
  <c r="F62" i="14"/>
  <c r="E61" i="14"/>
  <c r="D61" i="14"/>
  <c r="F59" i="14"/>
  <c r="F58" i="14"/>
  <c r="F57" i="14"/>
  <c r="F56" i="14"/>
  <c r="E55" i="14"/>
  <c r="D55" i="14"/>
  <c r="F53" i="14"/>
  <c r="F52" i="14"/>
  <c r="F51" i="14"/>
  <c r="F50" i="14"/>
  <c r="E49" i="14"/>
  <c r="D49" i="14"/>
  <c r="F47" i="14"/>
  <c r="F46" i="14"/>
  <c r="F45" i="14"/>
  <c r="F44" i="14"/>
  <c r="E43" i="14"/>
  <c r="D43" i="14"/>
  <c r="F31" i="14"/>
  <c r="F30" i="14"/>
  <c r="F29" i="14"/>
  <c r="F28" i="14"/>
  <c r="E27" i="14"/>
  <c r="D27" i="14"/>
  <c r="D36" i="14"/>
  <c r="B20" i="14"/>
  <c r="I7" i="2"/>
  <c r="E15" i="14"/>
  <c r="D15" i="14"/>
  <c r="E39" i="14"/>
  <c r="F39" i="14"/>
  <c r="E35" i="14"/>
  <c r="E36" i="14"/>
  <c r="E40" i="14"/>
  <c r="F40" i="14"/>
  <c r="I23" i="2"/>
  <c r="Q7" i="2"/>
  <c r="K7" i="2"/>
  <c r="K23" i="2"/>
  <c r="D35" i="14"/>
  <c r="F27" i="14"/>
  <c r="F43" i="14"/>
  <c r="F67" i="14"/>
  <c r="F15" i="14"/>
  <c r="F36" i="14"/>
  <c r="F49" i="14"/>
  <c r="F55" i="14"/>
  <c r="F61" i="14"/>
  <c r="S4" i="16"/>
  <c r="V4" i="16"/>
  <c r="F73" i="14"/>
  <c r="T6" i="14"/>
  <c r="R6" i="14"/>
  <c r="P6" i="14"/>
  <c r="O6" i="14"/>
  <c r="N6" i="14"/>
  <c r="M6" i="14"/>
  <c r="L6" i="14"/>
  <c r="J6" i="14"/>
  <c r="I6" i="14"/>
  <c r="T4" i="14"/>
  <c r="R4" i="14"/>
  <c r="P4" i="14"/>
  <c r="O4" i="14"/>
  <c r="N4" i="14"/>
  <c r="M4" i="14"/>
  <c r="L4" i="14"/>
  <c r="J4" i="14"/>
  <c r="I4" i="14"/>
  <c r="X5" i="14"/>
  <c r="W5" i="14"/>
  <c r="V5" i="14"/>
  <c r="U5" i="14"/>
  <c r="R82" i="13"/>
  <c r="Q81" i="13"/>
  <c r="N81" i="13"/>
  <c r="M81" i="13"/>
  <c r="L81" i="13"/>
  <c r="J81" i="13"/>
  <c r="I81" i="13"/>
  <c r="Q80" i="13"/>
  <c r="P80" i="13"/>
  <c r="P82" i="13" s="1"/>
  <c r="P86" i="13" s="1"/>
  <c r="O80" i="13"/>
  <c r="N80" i="13"/>
  <c r="M80" i="13"/>
  <c r="L80" i="13"/>
  <c r="L82" i="13" s="1"/>
  <c r="L86" i="13" s="1"/>
  <c r="J80" i="13"/>
  <c r="I80" i="13"/>
  <c r="Q79" i="13"/>
  <c r="Q78" i="13"/>
  <c r="J78" i="13"/>
  <c r="I78" i="13"/>
  <c r="Q77" i="13"/>
  <c r="I77" i="13"/>
  <c r="Q70" i="13"/>
  <c r="P70" i="13"/>
  <c r="O70" i="13"/>
  <c r="N70" i="13"/>
  <c r="M70" i="13"/>
  <c r="L70" i="13"/>
  <c r="Q69" i="13"/>
  <c r="P69" i="13"/>
  <c r="O69" i="13"/>
  <c r="N69" i="13"/>
  <c r="M69" i="13"/>
  <c r="L69" i="13"/>
  <c r="I69" i="13"/>
  <c r="R65" i="13"/>
  <c r="R62" i="13"/>
  <c r="Q65" i="13"/>
  <c r="L65" i="13"/>
  <c r="J65" i="13"/>
  <c r="Q64" i="13"/>
  <c r="I64" i="13"/>
  <c r="Q63" i="13"/>
  <c r="J63" i="13"/>
  <c r="R61" i="13"/>
  <c r="Q61" i="13"/>
  <c r="P61" i="13"/>
  <c r="O61" i="13"/>
  <c r="N61" i="13"/>
  <c r="M61" i="13"/>
  <c r="L61" i="13"/>
  <c r="J61" i="13"/>
  <c r="I61" i="13"/>
  <c r="R60" i="13"/>
  <c r="Q60" i="13"/>
  <c r="P60" i="13"/>
  <c r="O60" i="13"/>
  <c r="N60" i="13"/>
  <c r="M60" i="13"/>
  <c r="L60" i="13"/>
  <c r="J60" i="13"/>
  <c r="I60" i="13"/>
  <c r="R59" i="13"/>
  <c r="Q59" i="13"/>
  <c r="O59" i="13"/>
  <c r="N59" i="13"/>
  <c r="M59" i="13"/>
  <c r="L59" i="13"/>
  <c r="J59" i="13"/>
  <c r="R58" i="13"/>
  <c r="Q58" i="13"/>
  <c r="N58" i="13"/>
  <c r="E33" i="14"/>
  <c r="Q62" i="13"/>
  <c r="I57" i="13"/>
  <c r="S7" i="2"/>
  <c r="S23" i="2"/>
  <c r="Q23" i="2"/>
  <c r="Q57" i="13"/>
  <c r="Q72" i="13"/>
  <c r="I65" i="13"/>
  <c r="N57" i="13"/>
  <c r="R57" i="13"/>
  <c r="R72" i="13"/>
  <c r="I63" i="13"/>
  <c r="D33" i="14"/>
  <c r="D12" i="14"/>
  <c r="X4" i="16"/>
  <c r="U4" i="16"/>
  <c r="W4" i="16"/>
  <c r="Q82" i="13"/>
  <c r="M58" i="13"/>
  <c r="M57" i="13"/>
  <c r="T31" i="13"/>
  <c r="Q31" i="13"/>
  <c r="P31" i="13"/>
  <c r="O31" i="13"/>
  <c r="N31" i="13"/>
  <c r="M31" i="13"/>
  <c r="L31" i="13"/>
  <c r="K31" i="13"/>
  <c r="J31" i="13"/>
  <c r="I31" i="13"/>
  <c r="T29" i="13"/>
  <c r="T28" i="13"/>
  <c r="I26" i="11"/>
  <c r="S29" i="13"/>
  <c r="Q29" i="13"/>
  <c r="Q28" i="13"/>
  <c r="P29" i="13"/>
  <c r="P28" i="13"/>
  <c r="O29" i="13"/>
  <c r="O28" i="13"/>
  <c r="N29" i="13"/>
  <c r="N28" i="13"/>
  <c r="M29" i="13"/>
  <c r="M28" i="13"/>
  <c r="L29" i="13"/>
  <c r="J29" i="13"/>
  <c r="J28" i="13"/>
  <c r="I29" i="13"/>
  <c r="I28" i="13"/>
  <c r="T27" i="13"/>
  <c r="L26" i="13"/>
  <c r="I62" i="13"/>
  <c r="K29" i="13"/>
  <c r="K28" i="13"/>
  <c r="L28" i="13"/>
  <c r="S28" i="13"/>
  <c r="J26" i="11"/>
  <c r="K26" i="13"/>
  <c r="J26" i="13"/>
  <c r="S31" i="13"/>
  <c r="I28" i="11"/>
  <c r="S27" i="13"/>
  <c r="J25" i="11"/>
  <c r="I25" i="11"/>
  <c r="Q27" i="13"/>
  <c r="P27" i="13"/>
  <c r="O27" i="13"/>
  <c r="N27" i="13"/>
  <c r="M27" i="13"/>
  <c r="L27" i="13"/>
  <c r="K27" i="13"/>
  <c r="J27" i="13"/>
  <c r="I27" i="13"/>
  <c r="T26" i="13"/>
  <c r="T39" i="13"/>
  <c r="S26" i="13"/>
  <c r="D74" i="14"/>
  <c r="K4" i="14"/>
  <c r="L58" i="13"/>
  <c r="L57" i="13"/>
  <c r="J39" i="13"/>
  <c r="S39" i="13"/>
  <c r="L39" i="13"/>
  <c r="K39" i="13"/>
  <c r="I26" i="13"/>
  <c r="I39" i="13"/>
  <c r="I24" i="11"/>
  <c r="I30" i="11"/>
  <c r="J28" i="11"/>
  <c r="Q26" i="13"/>
  <c r="Q39" i="13"/>
  <c r="J24" i="11"/>
  <c r="S4" i="14"/>
  <c r="T20" i="13"/>
  <c r="S20" i="13"/>
  <c r="R20" i="13"/>
  <c r="Q20" i="13"/>
  <c r="P20" i="13"/>
  <c r="O20" i="13"/>
  <c r="N20" i="13"/>
  <c r="M20" i="13"/>
  <c r="L20" i="13"/>
  <c r="K20" i="13"/>
  <c r="J20" i="13"/>
  <c r="I20" i="13"/>
  <c r="T19" i="13"/>
  <c r="I20" i="11"/>
  <c r="S19" i="13"/>
  <c r="K19" i="13"/>
  <c r="J19" i="13"/>
  <c r="I19" i="13"/>
  <c r="T18" i="13"/>
  <c r="S18" i="13"/>
  <c r="K18" i="13"/>
  <c r="J18" i="13"/>
  <c r="I18" i="13"/>
  <c r="T16" i="13"/>
  <c r="I17" i="11"/>
  <c r="S16" i="13"/>
  <c r="J17" i="11"/>
  <c r="R16" i="13"/>
  <c r="Q16" i="13"/>
  <c r="P16" i="13"/>
  <c r="O16" i="13"/>
  <c r="N16" i="13"/>
  <c r="M16" i="13"/>
  <c r="L16" i="13"/>
  <c r="K16" i="13"/>
  <c r="J16" i="13"/>
  <c r="I16" i="13"/>
  <c r="T15" i="13"/>
  <c r="I14" i="11"/>
  <c r="R15" i="13"/>
  <c r="Q15" i="13"/>
  <c r="P15" i="13"/>
  <c r="O15" i="13"/>
  <c r="N15" i="13"/>
  <c r="M15" i="13"/>
  <c r="L15" i="13"/>
  <c r="K15" i="13"/>
  <c r="J15" i="13"/>
  <c r="I15" i="13"/>
  <c r="T14" i="13"/>
  <c r="I13" i="11"/>
  <c r="S14" i="13"/>
  <c r="J13" i="11"/>
  <c r="R14" i="13"/>
  <c r="Q14" i="13"/>
  <c r="P14" i="13"/>
  <c r="O14" i="13"/>
  <c r="N14" i="13"/>
  <c r="M14" i="13"/>
  <c r="L14" i="13"/>
  <c r="K14" i="13"/>
  <c r="J14" i="13"/>
  <c r="I14" i="13"/>
  <c r="T13" i="13"/>
  <c r="I12" i="11"/>
  <c r="S13" i="13"/>
  <c r="K13" i="13"/>
  <c r="J13" i="13"/>
  <c r="I13" i="13"/>
  <c r="T12" i="13"/>
  <c r="S12" i="13"/>
  <c r="K12" i="13"/>
  <c r="T11" i="13"/>
  <c r="I9" i="11"/>
  <c r="S11" i="13"/>
  <c r="K11" i="13"/>
  <c r="J11" i="13"/>
  <c r="I11" i="13"/>
  <c r="T10" i="13"/>
  <c r="O16" i="128"/>
  <c r="K10" i="13"/>
  <c r="J10" i="13"/>
  <c r="I10" i="13"/>
  <c r="T9" i="13"/>
  <c r="I10" i="11"/>
  <c r="S9" i="13"/>
  <c r="K9" i="13"/>
  <c r="J9" i="13"/>
  <c r="I9" i="13"/>
  <c r="T8" i="13"/>
  <c r="K8" i="13"/>
  <c r="J8" i="13"/>
  <c r="I8" i="13"/>
  <c r="T7" i="13"/>
  <c r="O7" i="13"/>
  <c r="K7" i="13"/>
  <c r="Q16" i="128"/>
  <c r="R16" i="128"/>
  <c r="O7" i="128"/>
  <c r="J18" i="11"/>
  <c r="I18" i="11"/>
  <c r="J30" i="11"/>
  <c r="P26" i="13"/>
  <c r="P39" i="13"/>
  <c r="I15" i="11"/>
  <c r="T21" i="13"/>
  <c r="J12" i="13"/>
  <c r="K21" i="13"/>
  <c r="I6" i="11"/>
  <c r="S8" i="13"/>
  <c r="J11" i="11"/>
  <c r="I11" i="11"/>
  <c r="S10" i="13"/>
  <c r="I16" i="11"/>
  <c r="R9" i="13"/>
  <c r="Q9" i="13"/>
  <c r="P9" i="13"/>
  <c r="O9" i="13"/>
  <c r="N9" i="13"/>
  <c r="M9" i="13"/>
  <c r="L9" i="13"/>
  <c r="J10" i="11"/>
  <c r="R12" i="13"/>
  <c r="Q12" i="13"/>
  <c r="J15" i="11"/>
  <c r="R13" i="13"/>
  <c r="Q13" i="13"/>
  <c r="P13" i="13"/>
  <c r="O13" i="13"/>
  <c r="N13" i="13"/>
  <c r="M13" i="13"/>
  <c r="L13" i="13"/>
  <c r="J12" i="11"/>
  <c r="R8" i="13"/>
  <c r="Q8" i="13"/>
  <c r="P8" i="13"/>
  <c r="O8" i="13"/>
  <c r="N8" i="13"/>
  <c r="M8" i="13"/>
  <c r="L8" i="13"/>
  <c r="R11" i="13"/>
  <c r="Q11" i="13"/>
  <c r="P11" i="13"/>
  <c r="O11" i="13"/>
  <c r="N11" i="13"/>
  <c r="M11" i="13"/>
  <c r="L11" i="13"/>
  <c r="J9" i="11"/>
  <c r="R19" i="13"/>
  <c r="Q19" i="13"/>
  <c r="P19" i="13"/>
  <c r="O19" i="13"/>
  <c r="N19" i="13"/>
  <c r="M19" i="13"/>
  <c r="L19" i="13"/>
  <c r="J20" i="11"/>
  <c r="R18" i="13"/>
  <c r="Q18" i="13"/>
  <c r="P18" i="13"/>
  <c r="O18" i="13"/>
  <c r="N18" i="13"/>
  <c r="M18" i="13"/>
  <c r="L18" i="13"/>
  <c r="R10" i="13"/>
  <c r="W4" i="14"/>
  <c r="X4" i="14"/>
  <c r="V4" i="14"/>
  <c r="U4" i="14"/>
  <c r="J7" i="13"/>
  <c r="S7" i="13"/>
  <c r="N7" i="13"/>
  <c r="J16" i="11"/>
  <c r="S16" i="128"/>
  <c r="W16" i="128"/>
  <c r="Q7" i="128"/>
  <c r="R7" i="128"/>
  <c r="O21" i="128"/>
  <c r="O26" i="13"/>
  <c r="O39" i="13"/>
  <c r="Q10" i="13"/>
  <c r="P10" i="13"/>
  <c r="O10" i="13"/>
  <c r="N10" i="13"/>
  <c r="M10" i="13"/>
  <c r="L10" i="13"/>
  <c r="P12" i="13"/>
  <c r="O12" i="13"/>
  <c r="N12" i="13"/>
  <c r="M12" i="13"/>
  <c r="L12" i="13"/>
  <c r="I12" i="13"/>
  <c r="J21" i="13"/>
  <c r="J6" i="11"/>
  <c r="I7" i="11"/>
  <c r="I21" i="11"/>
  <c r="I71" i="11"/>
  <c r="M7" i="13"/>
  <c r="R7" i="13"/>
  <c r="R21" i="13"/>
  <c r="I7" i="13"/>
  <c r="U16" i="128"/>
  <c r="V16" i="128"/>
  <c r="S7" i="128"/>
  <c r="W7" i="128"/>
  <c r="Q21" i="128"/>
  <c r="R21" i="128"/>
  <c r="O84" i="128"/>
  <c r="I21" i="13"/>
  <c r="N26" i="13"/>
  <c r="N39" i="13"/>
  <c r="N21" i="13"/>
  <c r="M21" i="13"/>
  <c r="O21" i="13"/>
  <c r="Q7" i="13"/>
  <c r="Q21" i="13"/>
  <c r="L7" i="13"/>
  <c r="L21" i="13"/>
  <c r="Z16" i="128"/>
  <c r="Y16" i="128"/>
  <c r="U7" i="128"/>
  <c r="V7" i="128"/>
  <c r="S21" i="128"/>
  <c r="O94" i="128"/>
  <c r="Q84" i="128"/>
  <c r="G15" i="10"/>
  <c r="G17" i="10"/>
  <c r="G23" i="10"/>
  <c r="M26" i="13"/>
  <c r="M39" i="13"/>
  <c r="P7" i="13"/>
  <c r="P21" i="13"/>
  <c r="Z7" i="128"/>
  <c r="Y7" i="128"/>
  <c r="U21" i="128"/>
  <c r="V21" i="128"/>
  <c r="R94" i="128"/>
  <c r="O97" i="128"/>
  <c r="Q94" i="128"/>
  <c r="R100" i="12"/>
  <c r="S96" i="12"/>
  <c r="Q96" i="12"/>
  <c r="P96" i="12"/>
  <c r="O96" i="12"/>
  <c r="N96" i="12"/>
  <c r="M96" i="12"/>
  <c r="L96" i="12"/>
  <c r="K96" i="12"/>
  <c r="J96" i="12"/>
  <c r="R91" i="12"/>
  <c r="Q90" i="12"/>
  <c r="P90" i="12"/>
  <c r="O90" i="12"/>
  <c r="N90" i="12"/>
  <c r="M90" i="12"/>
  <c r="L90" i="12"/>
  <c r="J90" i="12"/>
  <c r="I90" i="12"/>
  <c r="Q89" i="12"/>
  <c r="O89" i="12"/>
  <c r="N89" i="12"/>
  <c r="M89" i="12"/>
  <c r="L89" i="12"/>
  <c r="J89" i="12"/>
  <c r="I89" i="12"/>
  <c r="Q88" i="12"/>
  <c r="J88" i="12"/>
  <c r="I88" i="12"/>
  <c r="I91" i="12" s="1"/>
  <c r="Q87" i="12"/>
  <c r="L87" i="12"/>
  <c r="Q86" i="12"/>
  <c r="J86" i="12"/>
  <c r="I86" i="12"/>
  <c r="Q85" i="12"/>
  <c r="H74" i="11"/>
  <c r="K74" i="11"/>
  <c r="K87" i="128"/>
  <c r="Q91" i="12"/>
  <c r="Q100" i="12"/>
  <c r="N87" i="128"/>
  <c r="W87" i="128"/>
  <c r="Y87" i="128"/>
  <c r="M87" i="128"/>
  <c r="L85" i="12"/>
  <c r="J85" i="12"/>
  <c r="I85" i="12"/>
  <c r="Q78" i="12"/>
  <c r="Q77" i="12"/>
  <c r="L77" i="12"/>
  <c r="R73" i="12"/>
  <c r="R70" i="12"/>
  <c r="Q73" i="12"/>
  <c r="O73" i="12"/>
  <c r="L73" i="12"/>
  <c r="J73" i="12"/>
  <c r="Q72" i="12"/>
  <c r="I72" i="12"/>
  <c r="Q71" i="12"/>
  <c r="I71" i="12"/>
  <c r="R69" i="12"/>
  <c r="Q69" i="12"/>
  <c r="P69" i="12"/>
  <c r="O69" i="12"/>
  <c r="N69" i="12"/>
  <c r="M69" i="12"/>
  <c r="L69" i="12"/>
  <c r="J69" i="12"/>
  <c r="I69" i="12"/>
  <c r="R68" i="12"/>
  <c r="Q68" i="12"/>
  <c r="P68" i="12"/>
  <c r="O68" i="12"/>
  <c r="N68" i="12"/>
  <c r="M68" i="12"/>
  <c r="L68" i="12"/>
  <c r="J68" i="12"/>
  <c r="I68" i="12"/>
  <c r="R67" i="12"/>
  <c r="Q67" i="12"/>
  <c r="M67" i="12"/>
  <c r="L67" i="12"/>
  <c r="J67" i="12"/>
  <c r="I67" i="12"/>
  <c r="R66" i="12"/>
  <c r="Q66" i="12"/>
  <c r="P66" i="12"/>
  <c r="O66" i="12"/>
  <c r="L66" i="12"/>
  <c r="J66" i="12"/>
  <c r="R60" i="12"/>
  <c r="T59" i="12"/>
  <c r="Q59" i="12"/>
  <c r="P59" i="12"/>
  <c r="O59" i="12"/>
  <c r="N59" i="12"/>
  <c r="M59" i="12"/>
  <c r="L59" i="12"/>
  <c r="K59" i="12"/>
  <c r="J59" i="12"/>
  <c r="I59" i="12"/>
  <c r="T58" i="12"/>
  <c r="G51" i="128"/>
  <c r="J51" i="128"/>
  <c r="Q58" i="12"/>
  <c r="P58" i="12"/>
  <c r="O58" i="12"/>
  <c r="N58" i="12"/>
  <c r="M58" i="12"/>
  <c r="L58" i="12"/>
  <c r="K58" i="12"/>
  <c r="J58" i="12"/>
  <c r="I58" i="12"/>
  <c r="T37" i="12"/>
  <c r="G28" i="11"/>
  <c r="S36" i="12"/>
  <c r="Q36" i="12"/>
  <c r="N36" i="12"/>
  <c r="T31" i="12"/>
  <c r="S31" i="12"/>
  <c r="T29" i="12"/>
  <c r="T27" i="12"/>
  <c r="O27" i="12"/>
  <c r="K27" i="12"/>
  <c r="Z87" i="128"/>
  <c r="G54" i="128"/>
  <c r="J54" i="128"/>
  <c r="I51" i="128"/>
  <c r="S59" i="12"/>
  <c r="H40" i="11"/>
  <c r="G40" i="11"/>
  <c r="Q70" i="12"/>
  <c r="T30" i="12"/>
  <c r="G26" i="11"/>
  <c r="S30" i="12"/>
  <c r="H26" i="11"/>
  <c r="M36" i="12"/>
  <c r="N34" i="12"/>
  <c r="S34" i="12"/>
  <c r="P36" i="12"/>
  <c r="Q34" i="12"/>
  <c r="I73" i="12"/>
  <c r="I70" i="12"/>
  <c r="N73" i="12"/>
  <c r="P73" i="12"/>
  <c r="M73" i="12"/>
  <c r="G24" i="11"/>
  <c r="S58" i="12"/>
  <c r="H38" i="11"/>
  <c r="G38" i="11"/>
  <c r="Q31" i="12"/>
  <c r="Q30" i="12"/>
  <c r="G25" i="11"/>
  <c r="Q65" i="12"/>
  <c r="Q29" i="12"/>
  <c r="P29" i="12"/>
  <c r="O29" i="12"/>
  <c r="N29" i="12"/>
  <c r="M29" i="12"/>
  <c r="L29" i="12"/>
  <c r="L65" i="12"/>
  <c r="R65" i="12"/>
  <c r="R80" i="12"/>
  <c r="I66" i="12"/>
  <c r="I65" i="12"/>
  <c r="J65" i="12"/>
  <c r="N66" i="12"/>
  <c r="N27" i="12"/>
  <c r="J27" i="12"/>
  <c r="S27" i="12"/>
  <c r="H24" i="11"/>
  <c r="S37" i="12"/>
  <c r="Q60" i="12"/>
  <c r="P60" i="12"/>
  <c r="O60" i="12"/>
  <c r="N60" i="12"/>
  <c r="M60" i="12"/>
  <c r="L60" i="12"/>
  <c r="K60" i="12"/>
  <c r="J60" i="12"/>
  <c r="I60" i="12"/>
  <c r="T60" i="12"/>
  <c r="I54" i="128"/>
  <c r="H27" i="11"/>
  <c r="P31" i="12"/>
  <c r="O36" i="12"/>
  <c r="O34" i="12"/>
  <c r="P34" i="12"/>
  <c r="L36" i="12"/>
  <c r="M34" i="12"/>
  <c r="S60" i="12"/>
  <c r="H41" i="11"/>
  <c r="K38" i="11" a="1"/>
  <c r="G41" i="11"/>
  <c r="Q80" i="12"/>
  <c r="Q37" i="12"/>
  <c r="P37" i="12"/>
  <c r="O37" i="12"/>
  <c r="N37" i="12"/>
  <c r="M37" i="12"/>
  <c r="L37" i="12"/>
  <c r="K37" i="12"/>
  <c r="H28" i="11"/>
  <c r="M66" i="12"/>
  <c r="M65" i="12"/>
  <c r="Q27" i="12"/>
  <c r="I27" i="12"/>
  <c r="M27" i="12"/>
  <c r="K24" i="11" a="1"/>
  <c r="K28" i="11"/>
  <c r="O31" i="12"/>
  <c r="P30" i="12"/>
  <c r="K36" i="12"/>
  <c r="L34" i="12"/>
  <c r="J37" i="12"/>
  <c r="K39" i="11"/>
  <c r="K38" i="11"/>
  <c r="K40" i="11"/>
  <c r="K41" i="11"/>
  <c r="L27" i="12"/>
  <c r="P27" i="12"/>
  <c r="T22" i="12"/>
  <c r="S22" i="12"/>
  <c r="R22" i="12"/>
  <c r="T21" i="12"/>
  <c r="S21" i="12"/>
  <c r="T20" i="12"/>
  <c r="G19" i="11"/>
  <c r="S20" i="12"/>
  <c r="H19" i="11"/>
  <c r="K20" i="12"/>
  <c r="J20" i="12"/>
  <c r="I20" i="12"/>
  <c r="T19" i="12"/>
  <c r="S19" i="12"/>
  <c r="R19" i="12"/>
  <c r="Q19" i="12"/>
  <c r="P19" i="12"/>
  <c r="O19" i="12"/>
  <c r="N19" i="12"/>
  <c r="M19" i="12"/>
  <c r="L19" i="12"/>
  <c r="K19" i="12"/>
  <c r="J19" i="12"/>
  <c r="I19" i="12"/>
  <c r="T18" i="12"/>
  <c r="S18" i="12"/>
  <c r="K18" i="12"/>
  <c r="J18" i="12"/>
  <c r="I18" i="12"/>
  <c r="T16" i="12"/>
  <c r="G17" i="11"/>
  <c r="S16" i="12"/>
  <c r="H17" i="11"/>
  <c r="R16" i="12"/>
  <c r="Q16" i="12"/>
  <c r="P16" i="12"/>
  <c r="O16" i="12"/>
  <c r="N16" i="12"/>
  <c r="M16" i="12"/>
  <c r="L16" i="12"/>
  <c r="K16" i="12"/>
  <c r="J16" i="12"/>
  <c r="I16" i="12"/>
  <c r="T14" i="12"/>
  <c r="M14" i="12"/>
  <c r="L14" i="12"/>
  <c r="K14" i="12"/>
  <c r="J14" i="12"/>
  <c r="I14" i="12"/>
  <c r="T13" i="12"/>
  <c r="S13" i="12"/>
  <c r="Q13" i="12"/>
  <c r="K13" i="12"/>
  <c r="J13" i="12"/>
  <c r="T12" i="12"/>
  <c r="S12" i="12"/>
  <c r="M12" i="12"/>
  <c r="L12" i="12"/>
  <c r="K12" i="12"/>
  <c r="J12" i="12"/>
  <c r="I12" i="12"/>
  <c r="T11" i="12"/>
  <c r="G9" i="11"/>
  <c r="T10" i="12"/>
  <c r="G16" i="11"/>
  <c r="S10" i="12"/>
  <c r="Q10" i="12"/>
  <c r="P10" i="12"/>
  <c r="O10" i="12"/>
  <c r="N10" i="12"/>
  <c r="M10" i="12"/>
  <c r="L10" i="12"/>
  <c r="K10" i="12"/>
  <c r="J10" i="12"/>
  <c r="I10" i="12"/>
  <c r="T9" i="12"/>
  <c r="G10" i="11"/>
  <c r="S9" i="12"/>
  <c r="Q9" i="12"/>
  <c r="P9" i="12"/>
  <c r="O9" i="12"/>
  <c r="N9" i="12"/>
  <c r="M9" i="12"/>
  <c r="L9" i="12"/>
  <c r="K9" i="12"/>
  <c r="J9" i="12"/>
  <c r="I9" i="12"/>
  <c r="T8" i="12"/>
  <c r="I8" i="12"/>
  <c r="T7" i="12"/>
  <c r="G6" i="128"/>
  <c r="O7" i="12"/>
  <c r="N7" i="12"/>
  <c r="M7" i="12"/>
  <c r="G12" i="11"/>
  <c r="G12" i="128"/>
  <c r="I6" i="128"/>
  <c r="J6" i="128"/>
  <c r="G20" i="11"/>
  <c r="G20" i="128"/>
  <c r="G8" i="11"/>
  <c r="G8" i="128"/>
  <c r="G11" i="11"/>
  <c r="G11" i="128"/>
  <c r="K26" i="11"/>
  <c r="K24" i="11"/>
  <c r="K27" i="11"/>
  <c r="N31" i="12"/>
  <c r="O30" i="12"/>
  <c r="J36" i="12"/>
  <c r="K34" i="12"/>
  <c r="I37" i="12"/>
  <c r="Q22" i="12"/>
  <c r="P22" i="12"/>
  <c r="O22" i="12"/>
  <c r="N22" i="12"/>
  <c r="M22" i="12"/>
  <c r="L22" i="12"/>
  <c r="K22" i="12"/>
  <c r="J22" i="12"/>
  <c r="I22" i="12"/>
  <c r="P13" i="12"/>
  <c r="G15" i="11"/>
  <c r="T23" i="12"/>
  <c r="O13" i="12"/>
  <c r="N13" i="12"/>
  <c r="M13" i="12"/>
  <c r="L13" i="12"/>
  <c r="I13" i="12"/>
  <c r="G6" i="11"/>
  <c r="G18" i="11"/>
  <c r="H18" i="11"/>
  <c r="R9" i="12"/>
  <c r="H10" i="11"/>
  <c r="R12" i="12"/>
  <c r="Q12" i="12"/>
  <c r="P12" i="12"/>
  <c r="O12" i="12"/>
  <c r="N12" i="12"/>
  <c r="H12" i="11"/>
  <c r="R13" i="12"/>
  <c r="H15" i="11"/>
  <c r="R21" i="12"/>
  <c r="Q21" i="12"/>
  <c r="P21" i="12"/>
  <c r="O21" i="12"/>
  <c r="N21" i="12"/>
  <c r="M21" i="12"/>
  <c r="L21" i="12"/>
  <c r="K21" i="12"/>
  <c r="J21" i="12"/>
  <c r="I21" i="12"/>
  <c r="H20" i="11"/>
  <c r="R10" i="12"/>
  <c r="H16" i="11"/>
  <c r="R18" i="12"/>
  <c r="Q18" i="12"/>
  <c r="P18" i="12"/>
  <c r="O18" i="12"/>
  <c r="N18" i="12"/>
  <c r="M18" i="12"/>
  <c r="L18" i="12"/>
  <c r="S14" i="12"/>
  <c r="R20" i="12"/>
  <c r="Q20" i="12"/>
  <c r="P20" i="12"/>
  <c r="O20" i="12"/>
  <c r="N20" i="12"/>
  <c r="M20" i="12"/>
  <c r="L20" i="12"/>
  <c r="L7" i="12"/>
  <c r="I12" i="128"/>
  <c r="J12" i="128"/>
  <c r="I20" i="128"/>
  <c r="J20" i="128"/>
  <c r="I8" i="128"/>
  <c r="J8" i="128"/>
  <c r="G7" i="11"/>
  <c r="G21" i="11"/>
  <c r="I11" i="128"/>
  <c r="J11" i="128"/>
  <c r="G7" i="128"/>
  <c r="M31" i="12"/>
  <c r="N30" i="12"/>
  <c r="N47" i="12"/>
  <c r="I36" i="12"/>
  <c r="I34" i="12"/>
  <c r="J34" i="12"/>
  <c r="T36" i="12"/>
  <c r="T34" i="12"/>
  <c r="R14" i="12"/>
  <c r="Q14" i="12"/>
  <c r="P14" i="12"/>
  <c r="O14" i="12"/>
  <c r="N14" i="12"/>
  <c r="H8" i="11"/>
  <c r="R7" i="12"/>
  <c r="I7" i="128"/>
  <c r="J7" i="128"/>
  <c r="G21" i="128"/>
  <c r="J19" i="9"/>
  <c r="G27" i="11"/>
  <c r="L31" i="12"/>
  <c r="M30" i="12"/>
  <c r="J7" i="12"/>
  <c r="Q7" i="12"/>
  <c r="I21" i="128"/>
  <c r="J21" i="128"/>
  <c r="K31" i="12"/>
  <c r="L30" i="12"/>
  <c r="I7" i="12"/>
  <c r="P7" i="12"/>
  <c r="J31" i="12"/>
  <c r="K30" i="12"/>
  <c r="I31" i="12"/>
  <c r="I30" i="12"/>
  <c r="J30" i="12"/>
  <c r="J13" i="9"/>
  <c r="I15" i="9"/>
  <c r="I14" i="9"/>
  <c r="J14" i="9"/>
  <c r="I26" i="9"/>
  <c r="I21" i="9"/>
  <c r="I22" i="9"/>
  <c r="I17" i="9"/>
  <c r="I24" i="9"/>
  <c r="J24" i="9"/>
  <c r="J17" i="9"/>
  <c r="J15" i="9"/>
  <c r="J26" i="9"/>
  <c r="J21" i="9"/>
  <c r="J22" i="9"/>
  <c r="F2" i="11"/>
  <c r="F12" i="17"/>
  <c r="E21" i="19"/>
  <c r="I11" i="12"/>
  <c r="I23" i="12"/>
  <c r="Q11" i="12"/>
  <c r="P11" i="12"/>
  <c r="O11" i="12"/>
  <c r="N11" i="12"/>
  <c r="M11" i="12"/>
  <c r="L11" i="12"/>
  <c r="F34" i="19"/>
  <c r="E34" i="19"/>
  <c r="F21" i="19"/>
  <c r="E30" i="19"/>
  <c r="J6" i="19"/>
  <c r="F30" i="19"/>
  <c r="E27" i="19"/>
  <c r="F27" i="19"/>
  <c r="J11" i="12"/>
  <c r="K6" i="19"/>
  <c r="E12" i="19"/>
  <c r="F12" i="19"/>
  <c r="E68" i="19"/>
  <c r="K11" i="12"/>
  <c r="F12" i="20"/>
  <c r="R11" i="12"/>
  <c r="S6" i="19"/>
  <c r="S11" i="12"/>
  <c r="F12" i="21"/>
  <c r="W6" i="19"/>
  <c r="H9" i="11"/>
  <c r="X6" i="19"/>
  <c r="U6" i="19"/>
  <c r="V6" i="19"/>
  <c r="F27" i="16"/>
  <c r="J8" i="12"/>
  <c r="J23" i="12"/>
  <c r="P8" i="12"/>
  <c r="P23" i="12"/>
  <c r="Q8" i="12"/>
  <c r="Q23" i="12"/>
  <c r="M8" i="12"/>
  <c r="M23" i="12"/>
  <c r="O8" i="12"/>
  <c r="O23" i="12"/>
  <c r="N8" i="12"/>
  <c r="N23" i="12"/>
  <c r="L8" i="12"/>
  <c r="L23" i="12"/>
  <c r="R8" i="12"/>
  <c r="R23" i="12"/>
  <c r="F33" i="14"/>
  <c r="E74" i="14"/>
  <c r="K6" i="16"/>
  <c r="S6" i="16"/>
  <c r="K6" i="14"/>
  <c r="F35" i="14"/>
  <c r="E12" i="16"/>
  <c r="K8" i="12"/>
  <c r="F12" i="14"/>
  <c r="K7" i="12"/>
  <c r="S6" i="14"/>
  <c r="U6" i="14"/>
  <c r="E68" i="16"/>
  <c r="F12" i="16"/>
  <c r="U6" i="16"/>
  <c r="W6" i="16"/>
  <c r="S8" i="12"/>
  <c r="H11" i="11"/>
  <c r="V6" i="16"/>
  <c r="X6" i="16"/>
  <c r="N4" i="86"/>
  <c r="O4" i="86"/>
  <c r="N4" i="94"/>
  <c r="M4" i="94"/>
  <c r="O4" i="94"/>
  <c r="K23" i="12"/>
  <c r="H7" i="11"/>
  <c r="S7" i="12"/>
  <c r="V6" i="14"/>
  <c r="W6" i="14"/>
  <c r="X6" i="14"/>
  <c r="S23" i="12"/>
  <c r="K6" i="128"/>
  <c r="W6" i="128"/>
  <c r="H6" i="11"/>
  <c r="M6" i="128"/>
  <c r="N6" i="128"/>
  <c r="K21" i="128"/>
  <c r="W21" i="128"/>
  <c r="H21" i="11"/>
  <c r="D49" i="26"/>
  <c r="F49" i="26"/>
  <c r="M21" i="128"/>
  <c r="N21" i="128"/>
  <c r="Y6" i="128"/>
  <c r="Z6" i="128"/>
  <c r="N4" i="26"/>
  <c r="D12" i="26"/>
  <c r="D68" i="26"/>
  <c r="E12" i="27"/>
  <c r="F12" i="27"/>
  <c r="Y21" i="128"/>
  <c r="Z21" i="128"/>
  <c r="F12" i="26"/>
  <c r="S4" i="26"/>
  <c r="F12" i="29"/>
  <c r="D12" i="43"/>
  <c r="E12" i="43"/>
  <c r="S15" i="13"/>
  <c r="S21" i="13"/>
  <c r="J14" i="11"/>
  <c r="F12" i="43"/>
  <c r="J7" i="11"/>
  <c r="J21" i="11"/>
  <c r="K6" i="11" a="1"/>
  <c r="K13" i="11"/>
  <c r="K19" i="11"/>
  <c r="K17" i="11"/>
  <c r="K20" i="11"/>
  <c r="K12" i="11"/>
  <c r="K18" i="11"/>
  <c r="K16" i="11"/>
  <c r="K15" i="11"/>
  <c r="K10" i="11"/>
  <c r="K8" i="11"/>
  <c r="K9" i="11"/>
  <c r="K11" i="11"/>
  <c r="K6" i="11"/>
  <c r="K14" i="11"/>
  <c r="K7" i="11"/>
  <c r="K21" i="11"/>
  <c r="F12" i="38"/>
  <c r="F12" i="39"/>
  <c r="E12" i="44"/>
  <c r="F12" i="44"/>
  <c r="L79" i="13"/>
  <c r="J79" i="13"/>
  <c r="I79" i="13"/>
  <c r="O6" i="120"/>
  <c r="P79" i="13"/>
  <c r="I82" i="13"/>
  <c r="E12" i="78"/>
  <c r="F12" i="78"/>
  <c r="P4" i="79"/>
  <c r="R4" i="79"/>
  <c r="D12" i="34"/>
  <c r="E12" i="34"/>
  <c r="E12" i="35"/>
  <c r="F12" i="35"/>
  <c r="E12" i="40"/>
  <c r="F12" i="40"/>
  <c r="F12" i="34"/>
  <c r="D27" i="83"/>
  <c r="J4" i="83"/>
  <c r="D29" i="84"/>
  <c r="M6" i="84"/>
  <c r="N67" i="12"/>
  <c r="N65" i="12"/>
  <c r="N6" i="84"/>
  <c r="O67" i="12"/>
  <c r="O6" i="84"/>
  <c r="P67" i="12"/>
  <c r="P65" i="12"/>
  <c r="D27" i="85"/>
  <c r="J4" i="85"/>
  <c r="D27" i="86"/>
  <c r="J4" i="86"/>
  <c r="R4" i="86"/>
  <c r="J6" i="86"/>
  <c r="R6" i="86"/>
  <c r="N4" i="88"/>
  <c r="O4" i="88"/>
  <c r="N6" i="88"/>
  <c r="O6" i="88"/>
  <c r="R6" i="88"/>
  <c r="S71" i="12"/>
  <c r="H51" i="11"/>
  <c r="D27" i="89"/>
  <c r="J4" i="89"/>
  <c r="M4" i="89"/>
  <c r="N4" i="89"/>
  <c r="O4" i="89"/>
  <c r="L6" i="89"/>
  <c r="M72" i="12"/>
  <c r="M6" i="89"/>
  <c r="N72" i="12"/>
  <c r="N6" i="89"/>
  <c r="O6" i="89"/>
  <c r="P72" i="12"/>
  <c r="J6" i="90"/>
  <c r="D28" i="94"/>
  <c r="O6" i="94"/>
  <c r="P77" i="12"/>
  <c r="D27" i="95"/>
  <c r="M4" i="95"/>
  <c r="N4" i="95"/>
  <c r="O4" i="95"/>
  <c r="L6" i="95"/>
  <c r="M78" i="12"/>
  <c r="M6" i="95"/>
  <c r="N78" i="12"/>
  <c r="N6" i="95"/>
  <c r="O78" i="12"/>
  <c r="O6" i="95"/>
  <c r="D27" i="112"/>
  <c r="O4" i="112"/>
  <c r="L6" i="112"/>
  <c r="M6" i="112"/>
  <c r="N6" i="112"/>
  <c r="O85" i="12"/>
  <c r="O6" i="112"/>
  <c r="D27" i="113"/>
  <c r="L4" i="113"/>
  <c r="M4" i="113"/>
  <c r="N4" i="113"/>
  <c r="O4" i="113"/>
  <c r="L6" i="113"/>
  <c r="M86" i="12"/>
  <c r="N86" i="12"/>
  <c r="N6" i="113"/>
  <c r="O86" i="12"/>
  <c r="O6" i="113"/>
  <c r="P86" i="12"/>
  <c r="O6" i="114"/>
  <c r="P87" i="12"/>
  <c r="D27" i="115"/>
  <c r="L4" i="115"/>
  <c r="M4" i="115"/>
  <c r="N4" i="115"/>
  <c r="O4" i="115"/>
  <c r="L6" i="115"/>
  <c r="M88" i="12"/>
  <c r="N6" i="115"/>
  <c r="O88" i="12"/>
  <c r="O6" i="115"/>
  <c r="P88" i="12"/>
  <c r="P91" i="12" s="1"/>
  <c r="O6" i="116"/>
  <c r="P89" i="12"/>
  <c r="O4" i="117"/>
  <c r="F29" i="117"/>
  <c r="D27" i="92"/>
  <c r="L4" i="92"/>
  <c r="M4" i="92"/>
  <c r="N4" i="92"/>
  <c r="O4" i="92"/>
  <c r="F29" i="92"/>
  <c r="L6" i="92"/>
  <c r="M75" i="12"/>
  <c r="M6" i="92"/>
  <c r="N75" i="12"/>
  <c r="N6" i="92"/>
  <c r="O75" i="12"/>
  <c r="O6" i="92"/>
  <c r="P75" i="12"/>
  <c r="D27" i="98"/>
  <c r="J4" i="98"/>
  <c r="O6" i="98"/>
  <c r="P58" i="13"/>
  <c r="F31" i="99"/>
  <c r="O6" i="99"/>
  <c r="P59" i="13"/>
  <c r="D27" i="100"/>
  <c r="J4" i="100"/>
  <c r="D27" i="101"/>
  <c r="D27" i="103"/>
  <c r="J4" i="103"/>
  <c r="L4" i="103"/>
  <c r="M4" i="103"/>
  <c r="N4" i="103"/>
  <c r="O4" i="103"/>
  <c r="L6" i="103"/>
  <c r="M63" i="13"/>
  <c r="M6" i="103"/>
  <c r="N6" i="103"/>
  <c r="O63" i="13"/>
  <c r="O6" i="103"/>
  <c r="P63" i="13"/>
  <c r="D27" i="104"/>
  <c r="L4" i="104"/>
  <c r="M4" i="104"/>
  <c r="N4" i="104"/>
  <c r="O4" i="104"/>
  <c r="L6" i="104"/>
  <c r="M64" i="13"/>
  <c r="M6" i="104"/>
  <c r="N64" i="13"/>
  <c r="N6" i="104"/>
  <c r="O64" i="13"/>
  <c r="O6" i="104"/>
  <c r="P64" i="13"/>
  <c r="D27" i="105"/>
  <c r="O6" i="105"/>
  <c r="D28" i="109"/>
  <c r="D27" i="110"/>
  <c r="F29" i="110"/>
  <c r="D27" i="118"/>
  <c r="L4" i="118"/>
  <c r="M4" i="118"/>
  <c r="N4" i="118"/>
  <c r="O4" i="118"/>
  <c r="J6" i="118"/>
  <c r="L6" i="118"/>
  <c r="M77" i="13"/>
  <c r="M6" i="118"/>
  <c r="N77" i="13"/>
  <c r="N6" i="118"/>
  <c r="O77" i="13"/>
  <c r="O6" i="118"/>
  <c r="P77" i="13"/>
  <c r="D27" i="119"/>
  <c r="J4" i="119"/>
  <c r="L4" i="119"/>
  <c r="M4" i="119"/>
  <c r="N4" i="119"/>
  <c r="O4" i="119"/>
  <c r="J6" i="119"/>
  <c r="L6" i="119"/>
  <c r="M78" i="13"/>
  <c r="N6" i="119"/>
  <c r="O6" i="119"/>
  <c r="P78" i="13"/>
  <c r="D27" i="120"/>
  <c r="J4" i="120"/>
  <c r="J6" i="120"/>
  <c r="D27" i="121"/>
  <c r="J4" i="121"/>
  <c r="J6" i="121"/>
  <c r="D27" i="122"/>
  <c r="O4" i="122"/>
  <c r="N6" i="122"/>
  <c r="O81" i="13"/>
  <c r="O6" i="122"/>
  <c r="P81" i="13"/>
  <c r="D27" i="107"/>
  <c r="J4" i="107"/>
  <c r="L4" i="107"/>
  <c r="M4" i="107"/>
  <c r="N4" i="107"/>
  <c r="O4" i="107"/>
  <c r="L6" i="107"/>
  <c r="M6" i="107"/>
  <c r="N6" i="107"/>
  <c r="O6" i="107"/>
  <c r="J77" i="13"/>
  <c r="L77" i="13"/>
  <c r="M65" i="13"/>
  <c r="L78" i="13"/>
  <c r="L63" i="13"/>
  <c r="L64" i="13"/>
  <c r="N78" i="13"/>
  <c r="N65" i="13"/>
  <c r="J58" i="13"/>
  <c r="J64" i="13"/>
  <c r="J62" i="13"/>
  <c r="J69" i="13"/>
  <c r="J70" i="13"/>
  <c r="I70" i="13"/>
  <c r="N71" i="12"/>
  <c r="N77" i="12"/>
  <c r="P78" i="12"/>
  <c r="M77" i="12"/>
  <c r="O77" i="12"/>
  <c r="M71" i="12"/>
  <c r="O71" i="12"/>
  <c r="O72" i="12"/>
  <c r="I77" i="12"/>
  <c r="I78" i="12"/>
  <c r="I87" i="12"/>
  <c r="J71" i="12"/>
  <c r="J72" i="12"/>
  <c r="J77" i="12"/>
  <c r="J78" i="12"/>
  <c r="J87" i="12"/>
  <c r="J91" i="12"/>
  <c r="L71" i="12"/>
  <c r="L72" i="12"/>
  <c r="L78" i="12"/>
  <c r="L86" i="12"/>
  <c r="L88" i="12"/>
  <c r="K71" i="12"/>
  <c r="P100" i="12"/>
  <c r="O58" i="13"/>
  <c r="O65" i="13"/>
  <c r="P65" i="13"/>
  <c r="J100" i="12"/>
  <c r="F32" i="84"/>
  <c r="F29" i="83"/>
  <c r="F29" i="90"/>
  <c r="F27" i="90"/>
  <c r="F31" i="84"/>
  <c r="F30" i="85"/>
  <c r="F29" i="86"/>
  <c r="F27" i="86"/>
  <c r="F29" i="85"/>
  <c r="F29" i="101"/>
  <c r="F29" i="95"/>
  <c r="F27" i="95"/>
  <c r="F29" i="103"/>
  <c r="F29" i="105"/>
  <c r="D12" i="89"/>
  <c r="F29" i="89"/>
  <c r="F27" i="89"/>
  <c r="F29" i="98"/>
  <c r="F29" i="100"/>
  <c r="F29" i="104"/>
  <c r="F29" i="113"/>
  <c r="F27" i="113"/>
  <c r="F29" i="116"/>
  <c r="F27" i="116"/>
  <c r="F29" i="115"/>
  <c r="F27" i="115"/>
  <c r="F30" i="92"/>
  <c r="F29" i="119"/>
  <c r="F27" i="119"/>
  <c r="F29" i="122"/>
  <c r="F30" i="122"/>
  <c r="D12" i="123"/>
  <c r="E12" i="123"/>
  <c r="F29" i="121"/>
  <c r="F27" i="121"/>
  <c r="F29" i="107"/>
  <c r="D12" i="85"/>
  <c r="L70" i="12"/>
  <c r="L80" i="12"/>
  <c r="O70" i="12"/>
  <c r="J70" i="12"/>
  <c r="J80" i="12"/>
  <c r="N70" i="12"/>
  <c r="P71" i="12"/>
  <c r="P70" i="12"/>
  <c r="M70" i="12"/>
  <c r="M80" i="12"/>
  <c r="D12" i="103"/>
  <c r="E12" i="86"/>
  <c r="O62" i="13"/>
  <c r="L62" i="13"/>
  <c r="L72" i="13"/>
  <c r="M62" i="13"/>
  <c r="P62" i="13"/>
  <c r="D12" i="86"/>
  <c r="N85" i="12"/>
  <c r="D12" i="119"/>
  <c r="L91" i="12"/>
  <c r="E12" i="121"/>
  <c r="F12" i="121" s="1"/>
  <c r="E12" i="119"/>
  <c r="K6" i="76"/>
  <c r="K52" i="12"/>
  <c r="E12" i="76"/>
  <c r="F12" i="76"/>
  <c r="F27" i="76"/>
  <c r="F29" i="76"/>
  <c r="D12" i="83"/>
  <c r="E12" i="90"/>
  <c r="F12" i="90"/>
  <c r="F27" i="92"/>
  <c r="R4" i="88"/>
  <c r="J4" i="92"/>
  <c r="R4" i="92"/>
  <c r="D12" i="92"/>
  <c r="J6" i="92"/>
  <c r="K75" i="12"/>
  <c r="O78" i="13"/>
  <c r="N63" i="13"/>
  <c r="N62" i="13"/>
  <c r="J4" i="101"/>
  <c r="R4" i="101"/>
  <c r="D12" i="101"/>
  <c r="F27" i="98"/>
  <c r="D27" i="117"/>
  <c r="J4" i="117"/>
  <c r="F27" i="101"/>
  <c r="D29" i="99"/>
  <c r="F29" i="99"/>
  <c r="F29" i="120"/>
  <c r="F27" i="120"/>
  <c r="D12" i="98"/>
  <c r="J4" i="94"/>
  <c r="D12" i="94"/>
  <c r="J6" i="94"/>
  <c r="K77" i="12"/>
  <c r="E12" i="94"/>
  <c r="F30" i="94"/>
  <c r="F28" i="94"/>
  <c r="D12" i="100"/>
  <c r="J6" i="117"/>
  <c r="F27" i="122"/>
  <c r="E12" i="122"/>
  <c r="J6" i="113"/>
  <c r="H64" i="11"/>
  <c r="E12" i="113"/>
  <c r="J4" i="112"/>
  <c r="R4" i="112"/>
  <c r="D12" i="112"/>
  <c r="J4" i="122"/>
  <c r="R4" i="122"/>
  <c r="D12" i="122"/>
  <c r="J6" i="115"/>
  <c r="K88" i="12"/>
  <c r="J6" i="114"/>
  <c r="K87" i="12"/>
  <c r="J6" i="116"/>
  <c r="K89" i="12"/>
  <c r="E12" i="116"/>
  <c r="F12" i="116"/>
  <c r="J4" i="113"/>
  <c r="D12" i="113"/>
  <c r="J4" i="115"/>
  <c r="R4" i="115"/>
  <c r="D12" i="115"/>
  <c r="J4" i="114"/>
  <c r="F27" i="117"/>
  <c r="N67" i="13"/>
  <c r="D12" i="107"/>
  <c r="F29" i="118"/>
  <c r="F27" i="118"/>
  <c r="F29" i="112"/>
  <c r="F27" i="112"/>
  <c r="M85" i="12"/>
  <c r="M67" i="13"/>
  <c r="J6" i="110"/>
  <c r="D12" i="121"/>
  <c r="F27" i="107"/>
  <c r="E12" i="118"/>
  <c r="F27" i="104"/>
  <c r="F27" i="103"/>
  <c r="O67" i="13"/>
  <c r="F12" i="123"/>
  <c r="P85" i="12"/>
  <c r="P67" i="13"/>
  <c r="F30" i="109"/>
  <c r="F28" i="109"/>
  <c r="J4" i="110"/>
  <c r="R4" i="110"/>
  <c r="D12" i="110"/>
  <c r="F27" i="110"/>
  <c r="K80" i="13"/>
  <c r="R4" i="121"/>
  <c r="K79" i="13"/>
  <c r="J64" i="11"/>
  <c r="K78" i="13"/>
  <c r="R4" i="119"/>
  <c r="R6" i="118"/>
  <c r="S77" i="13"/>
  <c r="J63" i="11"/>
  <c r="K77" i="13"/>
  <c r="J4" i="118"/>
  <c r="D12" i="118"/>
  <c r="R6" i="116"/>
  <c r="J6" i="112"/>
  <c r="E12" i="112"/>
  <c r="J6" i="109"/>
  <c r="E12" i="109"/>
  <c r="J4" i="109"/>
  <c r="D12" i="109"/>
  <c r="J6" i="107"/>
  <c r="E12" i="107"/>
  <c r="R4" i="107"/>
  <c r="J6" i="105"/>
  <c r="E12" i="105"/>
  <c r="F27" i="105"/>
  <c r="J4" i="105"/>
  <c r="D12" i="105"/>
  <c r="J6" i="104"/>
  <c r="E12" i="104"/>
  <c r="J4" i="104"/>
  <c r="D12" i="104"/>
  <c r="J6" i="103"/>
  <c r="E12" i="103"/>
  <c r="F12" i="103"/>
  <c r="R4" i="103"/>
  <c r="J6" i="101"/>
  <c r="E12" i="101"/>
  <c r="J6" i="100"/>
  <c r="E12" i="100"/>
  <c r="F27" i="100"/>
  <c r="R4" i="100"/>
  <c r="J6" i="99"/>
  <c r="E12" i="99"/>
  <c r="J6" i="98"/>
  <c r="R6" i="98"/>
  <c r="S58" i="13"/>
  <c r="J46" i="11"/>
  <c r="E12" i="98"/>
  <c r="R4" i="98"/>
  <c r="J6" i="95"/>
  <c r="K78" i="12"/>
  <c r="E12" i="95"/>
  <c r="J4" i="95"/>
  <c r="D12" i="95"/>
  <c r="R4" i="94"/>
  <c r="R6" i="90"/>
  <c r="S73" i="12"/>
  <c r="H53" i="11"/>
  <c r="K73" i="12"/>
  <c r="J6" i="89"/>
  <c r="E12" i="89"/>
  <c r="F12" i="89"/>
  <c r="R4" i="89"/>
  <c r="S69" i="12"/>
  <c r="H49" i="11"/>
  <c r="K69" i="12"/>
  <c r="J6" i="85"/>
  <c r="K68" i="12"/>
  <c r="E12" i="85"/>
  <c r="F12" i="85"/>
  <c r="F27" i="85"/>
  <c r="R4" i="85"/>
  <c r="J6" i="84"/>
  <c r="R6" i="84"/>
  <c r="S67" i="12"/>
  <c r="H47" i="11"/>
  <c r="E12" i="84"/>
  <c r="J4" i="84"/>
  <c r="F29" i="84"/>
  <c r="D12" i="84"/>
  <c r="J6" i="83"/>
  <c r="E12" i="83"/>
  <c r="F27" i="83"/>
  <c r="R4" i="83"/>
  <c r="P57" i="13"/>
  <c r="O57" i="13"/>
  <c r="J57" i="13"/>
  <c r="J82" i="13"/>
  <c r="J86" i="13" s="1"/>
  <c r="I81" i="11"/>
  <c r="I84" i="11"/>
  <c r="O65" i="12"/>
  <c r="I80" i="12"/>
  <c r="S6" i="76"/>
  <c r="U6" i="76"/>
  <c r="F12" i="86"/>
  <c r="F12" i="83"/>
  <c r="R6" i="94"/>
  <c r="S77" i="12"/>
  <c r="H57" i="11"/>
  <c r="R6" i="83"/>
  <c r="S66" i="12"/>
  <c r="H46" i="11"/>
  <c r="K58" i="13"/>
  <c r="R6" i="89"/>
  <c r="S72" i="12"/>
  <c r="K53" i="12"/>
  <c r="K67" i="12"/>
  <c r="R4" i="84"/>
  <c r="K72" i="12"/>
  <c r="K66" i="12"/>
  <c r="F12" i="113"/>
  <c r="F12" i="119"/>
  <c r="J6" i="122"/>
  <c r="K81" i="13"/>
  <c r="E12" i="117"/>
  <c r="J72" i="13"/>
  <c r="X6" i="76"/>
  <c r="V6" i="76"/>
  <c r="W6" i="76"/>
  <c r="S52" i="12"/>
  <c r="R6" i="85"/>
  <c r="S68" i="12"/>
  <c r="H48" i="11"/>
  <c r="F12" i="84"/>
  <c r="R6" i="92"/>
  <c r="E12" i="92"/>
  <c r="F12" i="92"/>
  <c r="P80" i="12"/>
  <c r="F12" i="95"/>
  <c r="M72" i="13"/>
  <c r="F12" i="100"/>
  <c r="F12" i="112"/>
  <c r="F12" i="118"/>
  <c r="F12" i="101"/>
  <c r="D12" i="117"/>
  <c r="R4" i="117"/>
  <c r="F12" i="98"/>
  <c r="R4" i="113"/>
  <c r="J4" i="99"/>
  <c r="D12" i="99"/>
  <c r="F12" i="99"/>
  <c r="F12" i="94"/>
  <c r="O72" i="13"/>
  <c r="R6" i="117"/>
  <c r="S90" i="12"/>
  <c r="H68" i="11"/>
  <c r="K90" i="12"/>
  <c r="F12" i="122"/>
  <c r="F12" i="107"/>
  <c r="N80" i="12"/>
  <c r="R6" i="107"/>
  <c r="S67" i="13"/>
  <c r="J55" i="11"/>
  <c r="K67" i="13"/>
  <c r="E12" i="110"/>
  <c r="F12" i="110"/>
  <c r="K86" i="12"/>
  <c r="N72" i="13"/>
  <c r="F12" i="104"/>
  <c r="F12" i="105"/>
  <c r="F12" i="109"/>
  <c r="O80" i="12"/>
  <c r="P72" i="13"/>
  <c r="R4" i="118"/>
  <c r="S89" i="12"/>
  <c r="K85" i="12"/>
  <c r="R6" i="112"/>
  <c r="S85" i="12"/>
  <c r="H63" i="11"/>
  <c r="R6" i="110"/>
  <c r="S70" i="13"/>
  <c r="J58" i="11"/>
  <c r="K70" i="13"/>
  <c r="K69" i="13"/>
  <c r="R6" i="109"/>
  <c r="S69" i="13"/>
  <c r="R4" i="109"/>
  <c r="R6" i="105"/>
  <c r="S65" i="13"/>
  <c r="J53" i="11"/>
  <c r="K65" i="13"/>
  <c r="R4" i="105"/>
  <c r="R6" i="104"/>
  <c r="S64" i="13"/>
  <c r="K64" i="13"/>
  <c r="R4" i="104"/>
  <c r="R6" i="103"/>
  <c r="S63" i="13"/>
  <c r="K63" i="13"/>
  <c r="K61" i="13"/>
  <c r="R6" i="101"/>
  <c r="S61" i="13"/>
  <c r="R6" i="100"/>
  <c r="S60" i="13"/>
  <c r="K60" i="13"/>
  <c r="R6" i="99"/>
  <c r="S59" i="13"/>
  <c r="J47" i="11"/>
  <c r="K59" i="13"/>
  <c r="K62" i="13"/>
  <c r="R6" i="122"/>
  <c r="S81" i="13"/>
  <c r="J68" i="11"/>
  <c r="S75" i="12"/>
  <c r="H55" i="11"/>
  <c r="K70" i="12"/>
  <c r="H52" i="11"/>
  <c r="H50" i="11"/>
  <c r="S70" i="12"/>
  <c r="J51" i="11"/>
  <c r="S62" i="13"/>
  <c r="S65" i="12"/>
  <c r="H45" i="11"/>
  <c r="K65" i="12"/>
  <c r="F12" i="117"/>
  <c r="H34" i="11"/>
  <c r="S53" i="12"/>
  <c r="J49" i="11"/>
  <c r="R4" i="99"/>
  <c r="K57" i="13"/>
  <c r="J48" i="11"/>
  <c r="J52" i="11"/>
  <c r="H67" i="11"/>
  <c r="J57" i="11"/>
  <c r="K82" i="13"/>
  <c r="K91" i="12"/>
  <c r="S57" i="13"/>
  <c r="K80" i="12"/>
  <c r="H35" i="11"/>
  <c r="K33" i="11" a="1"/>
  <c r="J45" i="11"/>
  <c r="J50" i="11"/>
  <c r="K63" i="11" a="1"/>
  <c r="K64" i="11"/>
  <c r="K68" i="11"/>
  <c r="K67" i="11"/>
  <c r="K63" i="11"/>
  <c r="K34" i="11"/>
  <c r="K35" i="11"/>
  <c r="K33" i="11"/>
  <c r="R6" i="95"/>
  <c r="S78" i="12"/>
  <c r="H58" i="11"/>
  <c r="R4" i="95"/>
  <c r="Y80" i="128"/>
  <c r="Z80" i="128"/>
  <c r="Y77" i="128"/>
  <c r="Z77" i="128"/>
  <c r="Y76" i="128"/>
  <c r="Z76" i="128"/>
  <c r="Y81" i="128"/>
  <c r="Z81" i="128"/>
  <c r="H60" i="11"/>
  <c r="K45" i="11" a="1"/>
  <c r="S80" i="12"/>
  <c r="K46" i="11"/>
  <c r="K59" i="11"/>
  <c r="K55" i="11"/>
  <c r="K51" i="11"/>
  <c r="K47" i="11"/>
  <c r="K52" i="11"/>
  <c r="K48" i="11"/>
  <c r="K57" i="11"/>
  <c r="K53" i="11"/>
  <c r="K49" i="11"/>
  <c r="K45" i="11"/>
  <c r="K58" i="11"/>
  <c r="K54" i="11"/>
  <c r="K50" i="11"/>
  <c r="Q86" i="13"/>
  <c r="R86" i="13"/>
  <c r="T86" i="13"/>
  <c r="T4" i="32"/>
  <c r="X4" i="32"/>
  <c r="E15" i="49"/>
  <c r="E37" i="49"/>
  <c r="E40" i="49"/>
  <c r="R6" i="49"/>
  <c r="S29" i="12"/>
  <c r="K29" i="12"/>
  <c r="H25" i="11"/>
  <c r="J29" i="12"/>
  <c r="I29" i="12"/>
  <c r="K25" i="11"/>
  <c r="J66" i="11" l="1"/>
  <c r="S79" i="128"/>
  <c r="V79" i="128"/>
  <c r="O82" i="13"/>
  <c r="O86" i="13" s="1"/>
  <c r="I86" i="13"/>
  <c r="E12" i="115"/>
  <c r="F12" i="115" s="1"/>
  <c r="M6" i="115"/>
  <c r="Q88" i="2"/>
  <c r="Q97" i="2" s="1"/>
  <c r="S85" i="2"/>
  <c r="S88" i="2" s="1"/>
  <c r="O91" i="12"/>
  <c r="E27" i="125"/>
  <c r="F29" i="125"/>
  <c r="E33" i="125"/>
  <c r="F33" i="125" s="1"/>
  <c r="F29" i="126"/>
  <c r="F27" i="126" s="1"/>
  <c r="F44" i="120"/>
  <c r="F57" i="120"/>
  <c r="E12" i="126"/>
  <c r="R6" i="108"/>
  <c r="S68" i="13" s="1"/>
  <c r="K68" i="13"/>
  <c r="K72" i="13" s="1"/>
  <c r="K86" i="13" s="1"/>
  <c r="F49" i="124"/>
  <c r="P104" i="12"/>
  <c r="F12" i="124"/>
  <c r="F118" i="2"/>
  <c r="D12" i="124"/>
  <c r="I99" i="12"/>
  <c r="I100" i="12" s="1"/>
  <c r="S94" i="2"/>
  <c r="S95" i="2" s="1"/>
  <c r="Q95" i="2"/>
  <c r="F105" i="2"/>
  <c r="I104" i="12"/>
  <c r="J6" i="124"/>
  <c r="K99" i="12" s="1"/>
  <c r="K94" i="2"/>
  <c r="K95" i="2" s="1"/>
  <c r="D43" i="114"/>
  <c r="L4" i="114" s="1"/>
  <c r="E50" i="120"/>
  <c r="M6" i="120" s="1"/>
  <c r="N79" i="13" s="1"/>
  <c r="N82" i="13" s="1"/>
  <c r="N86" i="13" s="1"/>
  <c r="I95" i="2"/>
  <c r="N98" i="12"/>
  <c r="R6" i="126"/>
  <c r="S98" i="12" s="1"/>
  <c r="F12" i="126"/>
  <c r="N97" i="12"/>
  <c r="N100" i="12" s="1"/>
  <c r="N4" i="120"/>
  <c r="F45" i="114"/>
  <c r="F47" i="114"/>
  <c r="D50" i="114"/>
  <c r="F48" i="114"/>
  <c r="F55" i="114"/>
  <c r="F51" i="114"/>
  <c r="F30" i="61"/>
  <c r="E34" i="61"/>
  <c r="F34" i="61" s="1"/>
  <c r="E30" i="61"/>
  <c r="J6" i="61"/>
  <c r="J44" i="12" s="1"/>
  <c r="J38" i="12" s="1"/>
  <c r="J47" i="12" s="1"/>
  <c r="J104" i="12" s="1"/>
  <c r="U15" i="61"/>
  <c r="T6" i="61" s="1"/>
  <c r="T44" i="12" s="1"/>
  <c r="X15" i="61"/>
  <c r="E67" i="61" s="1"/>
  <c r="F55" i="61"/>
  <c r="O6" i="61"/>
  <c r="O44" i="12" s="1"/>
  <c r="O38" i="12" s="1"/>
  <c r="O47" i="12" s="1"/>
  <c r="D27" i="61"/>
  <c r="F100" i="2"/>
  <c r="S42" i="2"/>
  <c r="S45" i="2" s="1"/>
  <c r="J45" i="2"/>
  <c r="J97" i="2" s="1"/>
  <c r="R42" i="2"/>
  <c r="R45" i="2" s="1"/>
  <c r="R97" i="2" s="1"/>
  <c r="F121" i="2" s="1"/>
  <c r="I45" i="2"/>
  <c r="I97" i="2" s="1"/>
  <c r="O104" i="12"/>
  <c r="E33" i="61"/>
  <c r="F33" i="61" s="1"/>
  <c r="E29" i="61"/>
  <c r="F15" i="61"/>
  <c r="K42" i="2"/>
  <c r="K45" i="2" s="1"/>
  <c r="K97" i="2" s="1"/>
  <c r="D12" i="61"/>
  <c r="F21" i="61"/>
  <c r="J4" i="61"/>
  <c r="L6" i="61"/>
  <c r="M6" i="61"/>
  <c r="M44" i="12" s="1"/>
  <c r="M38" i="12" s="1"/>
  <c r="M47" i="12" s="1"/>
  <c r="Y354" i="61"/>
  <c r="Y353" i="61" s="1"/>
  <c r="E43" i="120"/>
  <c r="F48" i="120"/>
  <c r="F58" i="120"/>
  <c r="F57" i="114"/>
  <c r="F58" i="114"/>
  <c r="E50" i="114"/>
  <c r="M6" i="114" s="1"/>
  <c r="N87" i="12" s="1"/>
  <c r="F44" i="114"/>
  <c r="F46" i="114"/>
  <c r="F53" i="114"/>
  <c r="D43" i="120"/>
  <c r="L4" i="120" s="1"/>
  <c r="F47" i="120"/>
  <c r="F51" i="120"/>
  <c r="F55" i="120"/>
  <c r="D50" i="120"/>
  <c r="N4" i="114"/>
  <c r="M4" i="114"/>
  <c r="F45" i="120"/>
  <c r="E43" i="114"/>
  <c r="D12" i="114" l="1"/>
  <c r="S104" i="128"/>
  <c r="U79" i="128"/>
  <c r="N91" i="12"/>
  <c r="N104" i="12" s="1"/>
  <c r="R6" i="115"/>
  <c r="S88" i="12" s="1"/>
  <c r="N88" i="12"/>
  <c r="E12" i="125"/>
  <c r="F12" i="125" s="1"/>
  <c r="J6" i="125"/>
  <c r="F27" i="125"/>
  <c r="S69" i="128"/>
  <c r="J56" i="11"/>
  <c r="S72" i="13"/>
  <c r="S97" i="2"/>
  <c r="T100" i="2" s="1"/>
  <c r="T101" i="2" s="1"/>
  <c r="T102" i="2" s="1"/>
  <c r="E12" i="120"/>
  <c r="F108" i="2"/>
  <c r="F120" i="2" s="1"/>
  <c r="F122" i="2" s="1"/>
  <c r="R6" i="124"/>
  <c r="S99" i="12" s="1"/>
  <c r="L6" i="120"/>
  <c r="M79" i="13" s="1"/>
  <c r="M82" i="13" s="1"/>
  <c r="M86" i="13" s="1"/>
  <c r="F43" i="120"/>
  <c r="L44" i="12"/>
  <c r="L38" i="12" s="1"/>
  <c r="L47" i="12" s="1"/>
  <c r="L104" i="12" s="1"/>
  <c r="K4" i="61"/>
  <c r="Q6" i="61"/>
  <c r="F67" i="61"/>
  <c r="S4" i="61"/>
  <c r="F29" i="61"/>
  <c r="E27" i="61"/>
  <c r="G40" i="128"/>
  <c r="T38" i="12"/>
  <c r="F50" i="114"/>
  <c r="R6" i="120"/>
  <c r="S79" i="13" s="1"/>
  <c r="L6" i="114"/>
  <c r="E12" i="114"/>
  <c r="F43" i="114"/>
  <c r="M4" i="120"/>
  <c r="R4" i="120" s="1"/>
  <c r="F50" i="120"/>
  <c r="D12" i="120"/>
  <c r="R4" i="114"/>
  <c r="F12" i="114" l="1"/>
  <c r="H66" i="11"/>
  <c r="K79" i="128"/>
  <c r="K97" i="12"/>
  <c r="K100" i="12" s="1"/>
  <c r="R6" i="125"/>
  <c r="S97" i="12" s="1"/>
  <c r="S100" i="12" s="1"/>
  <c r="F12" i="120"/>
  <c r="J60" i="11"/>
  <c r="K60" i="11" s="1"/>
  <c r="K56" i="11"/>
  <c r="W69" i="128"/>
  <c r="S73" i="128"/>
  <c r="U69" i="128"/>
  <c r="V69" i="128"/>
  <c r="K89" i="128"/>
  <c r="H76" i="11"/>
  <c r="J40" i="128"/>
  <c r="G35" i="128"/>
  <c r="I40" i="128"/>
  <c r="X4" i="61"/>
  <c r="W4" i="61"/>
  <c r="U4" i="61"/>
  <c r="K6" i="61"/>
  <c r="E12" i="61"/>
  <c r="F12" i="61" s="1"/>
  <c r="V4" i="61"/>
  <c r="F27" i="61"/>
  <c r="T47" i="12"/>
  <c r="T104" i="12" s="1"/>
  <c r="T107" i="12" s="1"/>
  <c r="G29" i="11"/>
  <c r="G30" i="11" s="1"/>
  <c r="G71" i="11" s="1"/>
  <c r="G81" i="11" s="1"/>
  <c r="Q44" i="12"/>
  <c r="Q38" i="12" s="1"/>
  <c r="Q47" i="12" s="1"/>
  <c r="Q104" i="12" s="1"/>
  <c r="S78" i="128"/>
  <c r="S82" i="13"/>
  <c r="S86" i="13" s="1"/>
  <c r="J65" i="11"/>
  <c r="J69" i="11" s="1"/>
  <c r="R6" i="114"/>
  <c r="S87" i="12" s="1"/>
  <c r="M87" i="12"/>
  <c r="M91" i="12" s="1"/>
  <c r="M104" i="12" s="1"/>
  <c r="K66" i="11" l="1"/>
  <c r="M79" i="128"/>
  <c r="W79" i="128"/>
  <c r="N79" i="128"/>
  <c r="K88" i="128"/>
  <c r="H75" i="11"/>
  <c r="K75" i="11" s="1"/>
  <c r="J71" i="11"/>
  <c r="J87" i="11" s="1"/>
  <c r="Z69" i="128"/>
  <c r="Y69" i="128"/>
  <c r="U73" i="128"/>
  <c r="W73" i="128"/>
  <c r="V73" i="128"/>
  <c r="W89" i="128"/>
  <c r="M89" i="128"/>
  <c r="K90" i="128"/>
  <c r="K76" i="11"/>
  <c r="G82" i="11"/>
  <c r="G84" i="11"/>
  <c r="G85" i="11" s="1"/>
  <c r="K44" i="12"/>
  <c r="K38" i="12" s="1"/>
  <c r="K47" i="12" s="1"/>
  <c r="K104" i="12" s="1"/>
  <c r="S6" i="61"/>
  <c r="I35" i="128"/>
  <c r="J35" i="128"/>
  <c r="G43" i="128"/>
  <c r="U78" i="128"/>
  <c r="S82" i="128"/>
  <c r="V78" i="128"/>
  <c r="S91" i="12"/>
  <c r="K78" i="128"/>
  <c r="H65" i="11"/>
  <c r="Z79" i="128" l="1"/>
  <c r="Y79" i="128"/>
  <c r="H77" i="11"/>
  <c r="K77" i="11" s="1"/>
  <c r="W88" i="128"/>
  <c r="N88" i="128"/>
  <c r="M88" i="128"/>
  <c r="J81" i="11"/>
  <c r="Z73" i="128"/>
  <c r="Y73" i="128"/>
  <c r="Z89" i="128"/>
  <c r="Y89" i="128"/>
  <c r="W90" i="128"/>
  <c r="M90" i="128"/>
  <c r="N90" i="128"/>
  <c r="X6" i="61"/>
  <c r="S44" i="12"/>
  <c r="W6" i="61"/>
  <c r="V6" i="61"/>
  <c r="U6" i="61"/>
  <c r="I43" i="128"/>
  <c r="J43" i="128"/>
  <c r="G84" i="128"/>
  <c r="S84" i="128"/>
  <c r="U82" i="128"/>
  <c r="V82" i="128"/>
  <c r="H69" i="11"/>
  <c r="K65" i="11"/>
  <c r="W78" i="128"/>
  <c r="K82" i="128"/>
  <c r="M78" i="128"/>
  <c r="N78" i="128"/>
  <c r="Y88" i="128" l="1"/>
  <c r="Z88" i="128"/>
  <c r="Z90" i="128"/>
  <c r="Y90" i="128"/>
  <c r="J84" i="128"/>
  <c r="I84" i="128"/>
  <c r="G94" i="128"/>
  <c r="K40" i="128"/>
  <c r="S38" i="12"/>
  <c r="S100" i="128"/>
  <c r="V84" i="128"/>
  <c r="U84" i="128"/>
  <c r="S94" i="128"/>
  <c r="Z78" i="128"/>
  <c r="Y78" i="128"/>
  <c r="K69" i="11"/>
  <c r="N82" i="128"/>
  <c r="W82" i="128"/>
  <c r="M82" i="128"/>
  <c r="H29" i="11" l="1"/>
  <c r="S47" i="12"/>
  <c r="S104" i="12" s="1"/>
  <c r="M40" i="128"/>
  <c r="K35" i="128"/>
  <c r="W40" i="128"/>
  <c r="N40" i="128"/>
  <c r="G97" i="128"/>
  <c r="G98" i="128" s="1"/>
  <c r="G95" i="128"/>
  <c r="J94" i="128"/>
  <c r="I94" i="128"/>
  <c r="U94" i="128"/>
  <c r="V94" i="128"/>
  <c r="Y82" i="128"/>
  <c r="Z82" i="128"/>
  <c r="K43" i="128" l="1"/>
  <c r="M35" i="128"/>
  <c r="W35" i="128"/>
  <c r="N35" i="128"/>
  <c r="Z40" i="128"/>
  <c r="Y40" i="128"/>
  <c r="K29" i="11"/>
  <c r="H30" i="11"/>
  <c r="M43" i="128" l="1"/>
  <c r="W43" i="128"/>
  <c r="N43" i="128"/>
  <c r="K104" i="128"/>
  <c r="K84" i="128"/>
  <c r="K30" i="11"/>
  <c r="H71" i="11"/>
  <c r="Z35" i="128"/>
  <c r="Y35" i="128"/>
  <c r="Z43" i="128" l="1"/>
  <c r="Y43" i="128"/>
  <c r="W84" i="128"/>
  <c r="K100" i="128"/>
  <c r="K94" i="128"/>
  <c r="M84" i="128"/>
  <c r="N84" i="128"/>
  <c r="H81" i="11"/>
  <c r="K81" i="11" s="1"/>
  <c r="K71" i="11"/>
  <c r="Z84" i="128" l="1"/>
  <c r="Y84" i="128"/>
  <c r="W94" i="128"/>
  <c r="N94" i="128"/>
  <c r="M94" i="128"/>
  <c r="Y94" i="128" l="1"/>
  <c r="Z94" i="128"/>
</calcChain>
</file>

<file path=xl/comments1.xml><?xml version="1.0" encoding="utf-8"?>
<comments xmlns="http://schemas.openxmlformats.org/spreadsheetml/2006/main">
  <authors>
    <author>Andy Hemstreet</author>
  </authors>
  <commentList>
    <comment ref="H40" authorId="0">
      <text>
        <r>
          <rPr>
            <b/>
            <sz val="9"/>
            <color indexed="81"/>
            <rFont val="Tahoma"/>
            <family val="2"/>
          </rPr>
          <t>Andy Hemstreet:</t>
        </r>
        <r>
          <rPr>
            <sz val="9"/>
            <color indexed="81"/>
            <rFont val="Tahoma"/>
            <family val="2"/>
          </rPr>
          <t xml:space="preserve">
Diff is Planner has 0.05 FTE for mkt mgr, Exh 1 has 0.1/MM.</t>
        </r>
      </text>
    </comment>
    <comment ref="H44" authorId="0">
      <text>
        <r>
          <rPr>
            <b/>
            <sz val="9"/>
            <color indexed="81"/>
            <rFont val="Tahoma"/>
            <family val="2"/>
          </rPr>
          <t>Andy Hemstreet:</t>
        </r>
        <r>
          <rPr>
            <sz val="9"/>
            <color indexed="81"/>
            <rFont val="Tahoma"/>
            <family val="2"/>
          </rPr>
          <t xml:space="preserve">
Diff is Planner has 0.8 prgrm mgr, 0.08 mkt mrg, Exh 1 has 0.65 pm, 0.1 mm.</t>
        </r>
      </text>
    </comment>
  </commentList>
</comments>
</file>

<file path=xl/comments10.xml><?xml version="1.0" encoding="utf-8"?>
<comments xmlns="http://schemas.openxmlformats.org/spreadsheetml/2006/main">
  <authors>
    <author>Andy Hemstreet</author>
  </authors>
  <commentList>
    <comment ref="E50" authorId="0">
      <text>
        <r>
          <rPr>
            <b/>
            <sz val="8"/>
            <color indexed="81"/>
            <rFont val="Tahoma"/>
            <family val="2"/>
          </rPr>
          <t>Andy Hemstreet:</t>
        </r>
        <r>
          <rPr>
            <sz val="8"/>
            <color indexed="81"/>
            <rFont val="Tahoma"/>
            <family val="2"/>
          </rPr>
          <t xml:space="preserve">
Increase a result of contracted service through Willdan for program implementation.</t>
        </r>
      </text>
    </comment>
    <comment ref="E62" authorId="0">
      <text>
        <r>
          <rPr>
            <b/>
            <sz val="8"/>
            <color indexed="81"/>
            <rFont val="Tahoma"/>
            <family val="2"/>
          </rPr>
          <t>Andy Hemstreet:</t>
        </r>
        <r>
          <rPr>
            <sz val="8"/>
            <color indexed="81"/>
            <rFont val="Tahoma"/>
            <family val="2"/>
          </rPr>
          <t xml:space="preserve">
Refined expense amount transferred to Outside Services in 2017.</t>
        </r>
      </text>
    </comment>
  </commentList>
</comments>
</file>

<file path=xl/comments11.xml><?xml version="1.0" encoding="utf-8"?>
<comments xmlns="http://schemas.openxmlformats.org/spreadsheetml/2006/main">
  <authors>
    <author>Andy Hemstreet</author>
  </authors>
  <commentList>
    <comment ref="A3" authorId="0">
      <text>
        <r>
          <rPr>
            <b/>
            <sz val="10"/>
            <color indexed="81"/>
            <rFont val="Tahoma"/>
            <family val="2"/>
          </rPr>
          <t xml:space="preserve">sfranc:
</t>
        </r>
        <r>
          <rPr>
            <sz val="8"/>
            <color indexed="81"/>
            <rFont val="Tahoma"/>
            <family val="2"/>
          </rPr>
          <t>Trade Ally Support Orders (Elec &amp; Gas) are used exclusively for PSE annual membership dues to organizations providing broad-based support services for EE programs.</t>
        </r>
      </text>
    </comment>
  </commentList>
</comments>
</file>

<file path=xl/comments12.xml><?xml version="1.0" encoding="utf-8"?>
<comments xmlns="http://schemas.openxmlformats.org/spreadsheetml/2006/main">
  <authors>
    <author>Andy Hemstreet</author>
  </authors>
  <commentList>
    <comment ref="E63" authorId="0">
      <text>
        <r>
          <rPr>
            <b/>
            <sz val="8"/>
            <color indexed="81"/>
            <rFont val="Tahoma"/>
            <family val="2"/>
          </rPr>
          <t>Andy Hemstreet:</t>
        </r>
        <r>
          <rPr>
            <sz val="8"/>
            <color indexed="81"/>
            <rFont val="Tahoma"/>
            <family val="2"/>
          </rPr>
          <t xml:space="preserve">
Adjusted downward to account for slightly less growth in 2016. Based on 33% capactiy growth over current year-end projections.</t>
        </r>
      </text>
    </comment>
  </commentList>
</comments>
</file>

<file path=xl/comments2.xml><?xml version="1.0" encoding="utf-8"?>
<comments xmlns="http://schemas.openxmlformats.org/spreadsheetml/2006/main">
  <authors>
    <author>Andy Hemstreet</author>
  </authors>
  <commentList>
    <comment ref="Z13" authorId="0">
      <text>
        <r>
          <rPr>
            <b/>
            <sz val="8"/>
            <color indexed="81"/>
            <rFont val="Tahoma"/>
            <family val="2"/>
          </rPr>
          <t>Andy Hemstreet:</t>
        </r>
        <r>
          <rPr>
            <sz val="8"/>
            <color indexed="81"/>
            <rFont val="Tahoma"/>
            <family val="2"/>
          </rPr>
          <t xml:space="preserve">
No NEBS for electric water heat.</t>
        </r>
      </text>
    </comment>
  </commentList>
</comments>
</file>

<file path=xl/comments3.xml><?xml version="1.0" encoding="utf-8"?>
<comments xmlns="http://schemas.openxmlformats.org/spreadsheetml/2006/main">
  <authors>
    <author>Andy Hemstreet</author>
  </authors>
  <commentList>
    <comment ref="C50" authorId="0">
      <text>
        <r>
          <rPr>
            <b/>
            <sz val="8"/>
            <color indexed="81"/>
            <rFont val="Tahoma"/>
            <family val="2"/>
          </rPr>
          <t>Andy Hemstreet:</t>
        </r>
        <r>
          <rPr>
            <sz val="8"/>
            <color indexed="81"/>
            <rFont val="Tahoma"/>
            <family val="2"/>
          </rPr>
          <t xml:space="preserve">
Software licensing of the EnergySavvy rebate processing and QA tracking system, and program support provided by CLEAResult.</t>
        </r>
      </text>
    </comment>
  </commentList>
</comments>
</file>

<file path=xl/comments4.xml><?xml version="1.0" encoding="utf-8"?>
<comments xmlns="http://schemas.openxmlformats.org/spreadsheetml/2006/main">
  <authors>
    <author>Andy Hemstreet</author>
  </authors>
  <commentList>
    <comment ref="C50" authorId="0">
      <text>
        <r>
          <rPr>
            <b/>
            <sz val="8"/>
            <color indexed="81"/>
            <rFont val="Tahoma"/>
            <family val="2"/>
          </rPr>
          <t>Andy Hemstreet:</t>
        </r>
        <r>
          <rPr>
            <sz val="8"/>
            <color indexed="81"/>
            <rFont val="Tahoma"/>
            <family val="2"/>
          </rPr>
          <t xml:space="preserve">
Outside Services program implementer: Ecova.</t>
        </r>
      </text>
    </comment>
  </commentList>
</comments>
</file>

<file path=xl/comments5.xml><?xml version="1.0" encoding="utf-8"?>
<comments xmlns="http://schemas.openxmlformats.org/spreadsheetml/2006/main">
  <authors>
    <author>sandra sieg</author>
  </authors>
  <commentList>
    <comment ref="D67" authorId="0">
      <text>
        <r>
          <rPr>
            <b/>
            <sz val="10"/>
            <color indexed="81"/>
            <rFont val="Tahoma"/>
            <family val="2"/>
          </rPr>
          <t>sandra sieg:</t>
        </r>
        <r>
          <rPr>
            <sz val="10"/>
            <color indexed="81"/>
            <rFont val="Tahoma"/>
            <family val="2"/>
          </rPr>
          <t xml:space="preserve">
448800 from RISE Wx Innovation Pilot
</t>
        </r>
      </text>
    </comment>
  </commentList>
</comments>
</file>

<file path=xl/comments6.xml><?xml version="1.0" encoding="utf-8"?>
<comments xmlns="http://schemas.openxmlformats.org/spreadsheetml/2006/main">
  <authors>
    <author>sandra sieg</author>
  </authors>
  <commentList>
    <comment ref="D67" authorId="0">
      <text>
        <r>
          <rPr>
            <b/>
            <sz val="10"/>
            <color indexed="81"/>
            <rFont val="Tahoma"/>
            <family val="2"/>
          </rPr>
          <t>sandra sieg:</t>
        </r>
        <r>
          <rPr>
            <sz val="10"/>
            <color indexed="81"/>
            <rFont val="Tahoma"/>
            <family val="2"/>
          </rPr>
          <t xml:space="preserve">
448800 from RISE Wx Innovation Pilot
</t>
        </r>
      </text>
    </comment>
  </commentList>
</comments>
</file>

<file path=xl/comments7.xml><?xml version="1.0" encoding="utf-8"?>
<comments xmlns="http://schemas.openxmlformats.org/spreadsheetml/2006/main">
  <authors>
    <author>Andy Hemstreet</author>
  </authors>
  <commentList>
    <comment ref="D11" authorId="0">
      <text>
        <r>
          <rPr>
            <b/>
            <sz val="8"/>
            <color indexed="81"/>
            <rFont val="Tahoma"/>
            <family val="2"/>
          </rPr>
          <t>Andy Hemstreet:</t>
        </r>
        <r>
          <rPr>
            <sz val="8"/>
            <color indexed="81"/>
            <rFont val="Tahoma"/>
            <family val="2"/>
          </rPr>
          <t xml:space="preserve">
Revised incentive value based on reduction of forecast savings by 25% (from 23.0M kWh to 17.2M kWh) and an increase in anticipated cost per kWh (was $0.27/kWh, now $0.43/kWh) in 2017.  These revisions are based on data from projects received in 2016.</t>
        </r>
      </text>
    </comment>
    <comment ref="D56" authorId="0">
      <text>
        <r>
          <rPr>
            <b/>
            <sz val="8"/>
            <color indexed="81"/>
            <rFont val="Tahoma"/>
            <family val="2"/>
          </rPr>
          <t>Andy Hemstreet:</t>
        </r>
        <r>
          <rPr>
            <sz val="8"/>
            <color indexed="81"/>
            <rFont val="Tahoma"/>
            <family val="2"/>
          </rPr>
          <t xml:space="preserve">
This value reprsents a reduction of initial forecast savings by 25% (from 23.0M kWh to 17.2M kWh), based on the quantity of projects and energy savings of projects received in 2016.</t>
        </r>
      </text>
    </comment>
  </commentList>
</comments>
</file>

<file path=xl/comments8.xml><?xml version="1.0" encoding="utf-8"?>
<comments xmlns="http://schemas.openxmlformats.org/spreadsheetml/2006/main">
  <authors>
    <author>Andy Hemstreet</author>
  </authors>
  <commentList>
    <comment ref="D11" authorId="0">
      <text>
        <r>
          <rPr>
            <b/>
            <sz val="8"/>
            <color indexed="81"/>
            <rFont val="Tahoma"/>
            <family val="2"/>
          </rPr>
          <t>Andy Hemstreet:</t>
        </r>
        <r>
          <rPr>
            <sz val="8"/>
            <color indexed="81"/>
            <rFont val="Tahoma"/>
            <family val="2"/>
          </rPr>
          <t xml:space="preserve">
Revised incentive value based on reduction of forecast savings by 50% (from 8.4M kWh to 4.2M kWh) and an increase in anticipated cost per kWh (was $0.27/kWh, now $0.50/kWh) in 2017.  These revisions are based on data from projects received in 2016.</t>
        </r>
      </text>
    </comment>
    <comment ref="D56" authorId="0">
      <text>
        <r>
          <rPr>
            <b/>
            <sz val="8"/>
            <color indexed="81"/>
            <rFont val="Tahoma"/>
            <family val="2"/>
          </rPr>
          <t>Andy Hemstreet:</t>
        </r>
        <r>
          <rPr>
            <sz val="8"/>
            <color indexed="81"/>
            <rFont val="Tahoma"/>
            <family val="2"/>
          </rPr>
          <t xml:space="preserve">
This value reprsents a reduction of initial forecast savings by 50% (from 8.4M kWh to 4.2M kWh), based on the quantity of projects and energy savings of projects received in 2016.</t>
        </r>
      </text>
    </comment>
  </commentList>
</comments>
</file>

<file path=xl/comments9.xml><?xml version="1.0" encoding="utf-8"?>
<comments xmlns="http://schemas.openxmlformats.org/spreadsheetml/2006/main">
  <authors>
    <author>Andy Hemstreet</author>
  </authors>
  <commentList>
    <comment ref="E62" authorId="0">
      <text>
        <r>
          <rPr>
            <b/>
            <sz val="8"/>
            <color indexed="81"/>
            <rFont val="Tahoma"/>
            <family val="2"/>
          </rPr>
          <t>Andy Hemstreet:</t>
        </r>
        <r>
          <rPr>
            <sz val="8"/>
            <color indexed="81"/>
            <rFont val="Tahoma"/>
            <family val="2"/>
          </rPr>
          <t xml:space="preserve">
Contractor Willdan will conduct energy savings opportunity reviews, installations, program education.</t>
        </r>
      </text>
    </comment>
  </commentList>
</comments>
</file>

<file path=xl/sharedStrings.xml><?xml version="1.0" encoding="utf-8"?>
<sst xmlns="http://schemas.openxmlformats.org/spreadsheetml/2006/main" count="33255" uniqueCount="2652">
  <si>
    <t>May need more tabs to break out details</t>
  </si>
  <si>
    <t>This is only a tab title for Customer Engagement &amp; Education</t>
  </si>
  <si>
    <t>Net Metering</t>
  </si>
  <si>
    <t>Schedule 150</t>
  </si>
  <si>
    <t>Electric</t>
  </si>
  <si>
    <t>Order Number</t>
  </si>
  <si>
    <t xml:space="preserve"> </t>
  </si>
  <si>
    <t>Labor</t>
  </si>
  <si>
    <t>Marketing Labor</t>
  </si>
  <si>
    <t>Overhead</t>
  </si>
  <si>
    <t>Marketing</t>
  </si>
  <si>
    <t>Outside Services</t>
  </si>
  <si>
    <t>Materials</t>
  </si>
  <si>
    <t>Miscellaneous</t>
  </si>
  <si>
    <t>Direct Benefit to Customer</t>
  </si>
  <si>
    <t>Total Budget</t>
  </si>
  <si>
    <t>n/a</t>
  </si>
  <si>
    <t>Requires Budget team</t>
  </si>
  <si>
    <t>approval to use.</t>
  </si>
  <si>
    <t>Description</t>
  </si>
  <si>
    <t>Total</t>
  </si>
  <si>
    <t>Brochures</t>
  </si>
  <si>
    <t>Order#</t>
  </si>
  <si>
    <t>Energy Efficient Communities</t>
  </si>
  <si>
    <t>Conservation Supply Curves</t>
  </si>
  <si>
    <t>Program Evaluation</t>
  </si>
  <si>
    <t>MARKET INTEGRATION / ELECTRIC</t>
  </si>
  <si>
    <t>Conservation Strategic Planning</t>
  </si>
  <si>
    <t>Gas</t>
  </si>
  <si>
    <t>Strategic Planning</t>
  </si>
  <si>
    <t xml:space="preserve">MARKET INTEGRATION </t>
  </si>
  <si>
    <t>This is a placeholder tab for Gas Schedule 214</t>
  </si>
  <si>
    <t>This is a placeholder tab for Electric Schedule 214</t>
  </si>
  <si>
    <t>Ratios</t>
  </si>
  <si>
    <t>Acquisition Cost</t>
  </si>
  <si>
    <t>DBtC</t>
  </si>
  <si>
    <t>Revenue</t>
  </si>
  <si>
    <t>Total Savings</t>
  </si>
  <si>
    <t>DBTC</t>
  </si>
  <si>
    <t>Outside Svcs</t>
  </si>
  <si>
    <t>Unit Totals</t>
  </si>
  <si>
    <t>Projected Savings</t>
  </si>
  <si>
    <t>Budget Category</t>
  </si>
  <si>
    <t>LABOR</t>
  </si>
  <si>
    <t>MARKETING LABOR</t>
  </si>
  <si>
    <t>OVERHEAD</t>
  </si>
  <si>
    <t>MARKETING</t>
  </si>
  <si>
    <t>OUTSIDE SERVICES</t>
  </si>
  <si>
    <t>MATERIALS</t>
  </si>
  <si>
    <t>MISCELLANEOUS</t>
  </si>
  <si>
    <t>DIRECT BENEFIT TO CUSTOMER</t>
  </si>
  <si>
    <t>REVENUE</t>
  </si>
  <si>
    <t>Incentive Totals</t>
  </si>
  <si>
    <t>Measure Cost</t>
  </si>
  <si>
    <t>Incentive</t>
  </si>
  <si>
    <t>Measure Life</t>
  </si>
  <si>
    <t>End Use</t>
  </si>
  <si>
    <t>E214</t>
  </si>
  <si>
    <t>E201</t>
  </si>
  <si>
    <t>Home Appliances</t>
  </si>
  <si>
    <t>Lighting</t>
  </si>
  <si>
    <t>E215</t>
  </si>
  <si>
    <t>E216</t>
  </si>
  <si>
    <t>Fuel Conversion Rebate</t>
  </si>
  <si>
    <t>E217</t>
  </si>
  <si>
    <t>E218</t>
  </si>
  <si>
    <t>E249</t>
  </si>
  <si>
    <t>Pilots</t>
  </si>
  <si>
    <t>Residential Energy Management</t>
  </si>
  <si>
    <t>Schedule</t>
  </si>
  <si>
    <t>Energy Efficient Lighting Services</t>
  </si>
  <si>
    <t>therms</t>
  </si>
  <si>
    <t>G214</t>
  </si>
  <si>
    <t>G215</t>
  </si>
  <si>
    <t>G217</t>
  </si>
  <si>
    <t>G218</t>
  </si>
  <si>
    <t>G249</t>
  </si>
  <si>
    <t xml:space="preserve">Overhead </t>
  </si>
  <si>
    <t>Direct Benefit to Customer (Incentives)</t>
  </si>
  <si>
    <t>Order Number: 18230711</t>
  </si>
  <si>
    <t>Conservation Incentives</t>
  </si>
  <si>
    <t>In-House Programs</t>
  </si>
  <si>
    <t>Contracted Programs</t>
  </si>
  <si>
    <t>Labor (Incl Mgr, Dir, VP, and Budget &amp; Admin Assessments)</t>
  </si>
  <si>
    <t>Miscellaneous Expenses</t>
  </si>
  <si>
    <t xml:space="preserve">     EES Staff, Maj Accts, CSY Support</t>
  </si>
  <si>
    <t>Full Time Equivalent</t>
  </si>
  <si>
    <t>Materials Expenses</t>
  </si>
  <si>
    <t>Marketing Expenses</t>
  </si>
  <si>
    <t xml:space="preserve">     Marketing</t>
  </si>
  <si>
    <t xml:space="preserve">     Meals (Staff Mtgs, Contractor Trainings, Travel, etc.)</t>
  </si>
  <si>
    <t xml:space="preserve">     Travel Expenses (Mileage, Airfare, Lodging)</t>
  </si>
  <si>
    <t>2-Year Savings =</t>
  </si>
  <si>
    <t xml:space="preserve"> kWh</t>
  </si>
  <si>
    <t xml:space="preserve">     Training Expenses, Employee Memberships, Seminars</t>
  </si>
  <si>
    <t>Avg Incentive =</t>
  </si>
  <si>
    <t>/kWh</t>
  </si>
  <si>
    <t xml:space="preserve">     Other</t>
  </si>
  <si>
    <t>Program Cost =</t>
  </si>
  <si>
    <t>Direct Incentives to Cust =</t>
  </si>
  <si>
    <t xml:space="preserve">     Materials - Direct Purchase</t>
  </si>
  <si>
    <t xml:space="preserve">     Office Supplies/Svcs</t>
  </si>
  <si>
    <t xml:space="preserve">     Other/Miscellaneous</t>
  </si>
  <si>
    <t xml:space="preserve">     Total Materials Expenses</t>
  </si>
  <si>
    <t>Itron (Energy Interval Service)</t>
  </si>
  <si>
    <t>Cellnet (Meter Data Collection Fees)</t>
  </si>
  <si>
    <t>Energy Smart Grocer (PECI)</t>
  </si>
  <si>
    <t xml:space="preserve">     Total Outside Services</t>
  </si>
  <si>
    <t>TOTAL PROGRAM EXPENSES</t>
  </si>
  <si>
    <t>Annual Energy Savings (kWh)</t>
  </si>
  <si>
    <t>kWh</t>
  </si>
  <si>
    <t xml:space="preserve">     Total Savings</t>
  </si>
  <si>
    <t>Percent of 2-Year Total</t>
  </si>
  <si>
    <t>Supporting Notes</t>
  </si>
  <si>
    <t>Order Number: 18230715</t>
  </si>
  <si>
    <t xml:space="preserve">     Itron (Energy Interval Service)</t>
  </si>
  <si>
    <t xml:space="preserve">     Cellnet (Meter Data Collection Fees)</t>
  </si>
  <si>
    <t xml:space="preserve">     Lighting Design Lab (Training &amp; Cust Consultations)</t>
  </si>
  <si>
    <t>Order Number: 18230723</t>
  </si>
  <si>
    <t>*Direct benefits to customer also include RCM employee labor (3-for-free audits, etc.) and</t>
  </si>
  <si>
    <t xml:space="preserve">  energy information via Itron, Utility Mgr Software, and database support from BEM employees.</t>
  </si>
  <si>
    <t xml:space="preserve">     Other (Misc Small Contracts)</t>
  </si>
  <si>
    <t>Order Number: 18230448</t>
  </si>
  <si>
    <t>Order Number: 18230731</t>
  </si>
  <si>
    <t>Therms</t>
  </si>
  <si>
    <t>/Therm</t>
  </si>
  <si>
    <t>Annual Energy Savings (therms)</t>
  </si>
  <si>
    <t>Order Number: 18230691</t>
  </si>
  <si>
    <t>Order Number: 18230706</t>
  </si>
  <si>
    <t>Order Number: 18230694</t>
  </si>
  <si>
    <t>Business Energy Managment</t>
  </si>
  <si>
    <t>E251</t>
  </si>
  <si>
    <t>E253</t>
  </si>
  <si>
    <t>E258</t>
  </si>
  <si>
    <t>E261</t>
  </si>
  <si>
    <t>E262</t>
  </si>
  <si>
    <t>Commercial/Industrial Retrofit</t>
  </si>
  <si>
    <t>Commercial/Industrial New Construction</t>
  </si>
  <si>
    <t>Resource Conservation Manager</t>
  </si>
  <si>
    <t>High Voltage, Self-Directed</t>
  </si>
  <si>
    <t>Technology Evaluation</t>
  </si>
  <si>
    <t>Business Rebates</t>
  </si>
  <si>
    <t>G251</t>
  </si>
  <si>
    <t>G261</t>
  </si>
  <si>
    <t>G262</t>
  </si>
  <si>
    <t>Total, Residential Energy Management</t>
  </si>
  <si>
    <t>Total, Business Energy Management</t>
  </si>
  <si>
    <t>Business Energy Management</t>
  </si>
  <si>
    <t>Regional Efficiency Programs</t>
  </si>
  <si>
    <t>Northwest Energy Efficiency Alliance</t>
  </si>
  <si>
    <t>Transmission &amp; Distribution</t>
  </si>
  <si>
    <t>E254</t>
  </si>
  <si>
    <t>Total, Regional Efficiency Programs</t>
  </si>
  <si>
    <t>Customer Engagement &amp; Education</t>
  </si>
  <si>
    <t>Trade Ally Support</t>
  </si>
  <si>
    <t>Total, Portfolio Support</t>
  </si>
  <si>
    <t>Research &amp; Compliance</t>
  </si>
  <si>
    <t>Total, Research &amp; Compliance</t>
  </si>
  <si>
    <t>Other Electric Programs</t>
  </si>
  <si>
    <t>Total, Other Electric Programs</t>
  </si>
  <si>
    <t>GRAND TOTAL, ELECTRIC PROGRAMS</t>
  </si>
  <si>
    <t>GRAND TOTAL, GAS PROGRAMS</t>
  </si>
  <si>
    <t>Electric Programs</t>
  </si>
  <si>
    <t>Total Savings
kWh</t>
  </si>
  <si>
    <t>Comments</t>
  </si>
  <si>
    <t>Low Income Weatherization</t>
  </si>
  <si>
    <t>Gas Programs</t>
  </si>
  <si>
    <t>Total Savings
Therms</t>
  </si>
  <si>
    <t>Exhibit 1 Revision History</t>
  </si>
  <si>
    <t>Last revised:</t>
  </si>
  <si>
    <t>Program Name</t>
  </si>
  <si>
    <t>Electric Rider Budget</t>
  </si>
  <si>
    <t>Therm Savings</t>
  </si>
  <si>
    <t>Total Tariff Budget</t>
  </si>
  <si>
    <t>Residential lighting</t>
  </si>
  <si>
    <t>Space heat</t>
  </si>
  <si>
    <t>Water heat</t>
  </si>
  <si>
    <t>Showerheads</t>
  </si>
  <si>
    <t>Weatherization</t>
  </si>
  <si>
    <t>Single Family New Construction</t>
  </si>
  <si>
    <t>Fuel Conversion</t>
  </si>
  <si>
    <t>Multi Family Existing</t>
  </si>
  <si>
    <t xml:space="preserve">Home Energy Reports </t>
  </si>
  <si>
    <t>Total, Residential Programs</t>
  </si>
  <si>
    <t>E250</t>
  </si>
  <si>
    <t>Commercial / Industrial Retrofit</t>
  </si>
  <si>
    <t>Large Power User - Self Directed Program</t>
  </si>
  <si>
    <t>Energy Efficient Technology Evaluation</t>
  </si>
  <si>
    <t>Commercial Rebates</t>
  </si>
  <si>
    <t>Subtotal, Business Programs</t>
  </si>
  <si>
    <t>NW Energy Efficiency Alliance</t>
  </si>
  <si>
    <t>Subtotal, Regional Programs</t>
  </si>
  <si>
    <t>Customer Engagement and Education</t>
  </si>
  <si>
    <t>Energy Advisors</t>
  </si>
  <si>
    <t>Events</t>
  </si>
  <si>
    <t>Education</t>
  </si>
  <si>
    <t xml:space="preserve">Trade Ally Support </t>
  </si>
  <si>
    <t>Subtotal, Portfolio Support</t>
  </si>
  <si>
    <t>Subtotal, Research &amp; Compliance</t>
  </si>
  <si>
    <t>E150</t>
  </si>
  <si>
    <t>E248</t>
  </si>
  <si>
    <t>Subtotal, Other Electric Programs</t>
  </si>
  <si>
    <t>Blue cells = use for 10% "info-only" calculation:</t>
  </si>
  <si>
    <t>Web Development</t>
  </si>
  <si>
    <t>E-news</t>
  </si>
  <si>
    <t>Miscellaneous applications</t>
  </si>
  <si>
    <t>Web content, maintenance + analytics</t>
  </si>
  <si>
    <t>This is the main level of tracking expenditures and expenses in EES.  Per FERC rules, all conservation order numbers start with a "1823nnnn", where "n" is some number.  Cost elements apply to all order numbers (for instance, all conservation programs that</t>
  </si>
  <si>
    <t>Any amount that PSE is paid by a customer, partner, municipality or outside entity.</t>
  </si>
  <si>
    <t>Cost Element</t>
  </si>
  <si>
    <t>Order number(s)</t>
  </si>
  <si>
    <t xml:space="preserve">This is the main level of tracking expenditures and expenses in EES.  Per FERC rules, all conservation order numbers start with a "1823nnnn", where "n" is some number.  Cost elements apply to all order numbers (for instance, all conservation programs that offer incentives will have at least a labor, incentive and overhead cost element within the order number.  </t>
  </si>
  <si>
    <t xml:space="preserve">Labor </t>
  </si>
  <si>
    <r>
      <t xml:space="preserve">Revenue                  
 </t>
    </r>
    <r>
      <rPr>
        <sz val="8"/>
        <color indexed="9"/>
        <rFont val="Arial"/>
        <family val="2"/>
      </rPr>
      <t>(Enter as a negative)</t>
    </r>
  </si>
  <si>
    <t xml:space="preserve">Order# </t>
  </si>
  <si>
    <t>Generation and T&amp;D Efficiency</t>
  </si>
  <si>
    <t>Generation</t>
  </si>
  <si>
    <t>Mint Farm Lighting</t>
  </si>
  <si>
    <t>Whitehorn Lighting</t>
  </si>
  <si>
    <t>Goldendale Lighting</t>
  </si>
  <si>
    <t xml:space="preserve">Encogen Air Comp. VFD </t>
  </si>
  <si>
    <t>Frederickson MCC Lighting</t>
  </si>
  <si>
    <t>Mint Farm Ext. Ltg Controls</t>
  </si>
  <si>
    <t>Sumas Lighting</t>
  </si>
  <si>
    <t>Encogen Lighting</t>
  </si>
  <si>
    <t>Phase Balancing</t>
  </si>
  <si>
    <t>CVR</t>
  </si>
  <si>
    <t>Generation, Transmission and Distribution</t>
  </si>
  <si>
    <t>Savings</t>
  </si>
  <si>
    <t/>
  </si>
  <si>
    <t>HER program costs excluded from "info-only" calculation because savings will be measured.</t>
  </si>
  <si>
    <t>Net Overhead</t>
  </si>
  <si>
    <t>Journal Entry Transfer Credit - 2-Year Amount (See Labor Note)</t>
  </si>
  <si>
    <t>Sch 250 to Sch 258 Journal Transfer Amt:</t>
  </si>
  <si>
    <t>EES Labor Adjustment:</t>
  </si>
  <si>
    <t>Overhead Adjustment:</t>
  </si>
  <si>
    <t xml:space="preserve">     Other Departments' Labor</t>
  </si>
  <si>
    <t>Total Labor</t>
  </si>
  <si>
    <t>kWh Savings Estimates</t>
  </si>
  <si>
    <t>(Title pg)</t>
  </si>
  <si>
    <r>
      <t xml:space="preserve">Order Number
</t>
    </r>
    <r>
      <rPr>
        <sz val="8"/>
        <color theme="1"/>
        <rFont val="Arial"/>
        <family val="2"/>
      </rPr>
      <t>(Click on the order# below to link to the detail page)</t>
    </r>
  </si>
  <si>
    <t>10% of Sch 120 Collections:</t>
  </si>
  <si>
    <t>NOTE:</t>
  </si>
  <si>
    <t>Capital Cost not Included Above =</t>
  </si>
  <si>
    <t>Total Cost (Program Exp + Capital) =</t>
  </si>
  <si>
    <t>Residential Home Appliances--Gas Savings</t>
  </si>
  <si>
    <t>This sheet represents gas savings from installation of appliances</t>
  </si>
  <si>
    <t>SF Existing - Mobile Home Duct Sealing</t>
  </si>
  <si>
    <t>SF Existing - Web-Enabled Thermostats</t>
  </si>
  <si>
    <r>
      <t>Schedule Nos.</t>
    </r>
    <r>
      <rPr>
        <sz val="12"/>
        <rFont val="Arial"/>
        <family val="2"/>
      </rPr>
      <t xml:space="preserve"> </t>
    </r>
    <r>
      <rPr>
        <sz val="8"/>
        <rFont val="Arial"/>
        <family val="2"/>
      </rPr>
      <t>(Unless otherwise noted, applies to both electric and gas)</t>
    </r>
  </si>
  <si>
    <t>261</t>
  </si>
  <si>
    <t>Verification Team</t>
  </si>
  <si>
    <t>Schedule E202</t>
  </si>
  <si>
    <t>Schedule 292</t>
  </si>
  <si>
    <t>Schedule 254</t>
  </si>
  <si>
    <t>Energy Efficiency Technology Evaluation</t>
  </si>
  <si>
    <t>Schedule 261</t>
  </si>
  <si>
    <t xml:space="preserve">C/I New Construction </t>
  </si>
  <si>
    <t>Schedule 251</t>
  </si>
  <si>
    <t>Schedule 253</t>
  </si>
  <si>
    <t xml:space="preserve">C/I Retrofit </t>
  </si>
  <si>
    <t>Schedule 250</t>
  </si>
  <si>
    <t>Schedule 262</t>
  </si>
  <si>
    <t xml:space="preserve">Large Power User Self-Directed Program </t>
  </si>
  <si>
    <t>Schedule 258</t>
  </si>
  <si>
    <t>C/I Retrofit</t>
  </si>
  <si>
    <t xml:space="preserve">Pilots </t>
  </si>
  <si>
    <t>Schedule 249</t>
  </si>
  <si>
    <t xml:space="preserve">Multi-Family New Construction </t>
  </si>
  <si>
    <t>Schedule 218</t>
  </si>
  <si>
    <t>Multi-Family Retrofit</t>
  </si>
  <si>
    <t>Schedule 217</t>
  </si>
  <si>
    <t>Energy Star Manufactured Home</t>
  </si>
  <si>
    <t>Schedule 215</t>
  </si>
  <si>
    <t>Home Energy Reports</t>
  </si>
  <si>
    <t>Schedule 214</t>
  </si>
  <si>
    <t>Mobile Home Duct Sealing</t>
  </si>
  <si>
    <t>Residential Showerheads</t>
  </si>
  <si>
    <t xml:space="preserve">SF Existing Space Heat </t>
  </si>
  <si>
    <t>SF Existing Weatherizatin</t>
  </si>
  <si>
    <t>SF Existing Water Heat</t>
  </si>
  <si>
    <t>Schedule 201</t>
  </si>
  <si>
    <t>Multi-Family New Construction</t>
  </si>
  <si>
    <t>Schedule 216</t>
  </si>
  <si>
    <t xml:space="preserve">Energy Star Manufactured Home </t>
  </si>
  <si>
    <t xml:space="preserve">SF Existing ARRA Wx </t>
  </si>
  <si>
    <t>SF Existing Space Heat</t>
  </si>
  <si>
    <t>SF Existing Weatherization</t>
  </si>
  <si>
    <t>Industrial Systems Optimization</t>
  </si>
  <si>
    <t>Order Numbers:</t>
  </si>
  <si>
    <t>18231135</t>
  </si>
  <si>
    <t>18231133</t>
  </si>
  <si>
    <t>G250</t>
  </si>
  <si>
    <t>G253</t>
  </si>
  <si>
    <t>G201</t>
  </si>
  <si>
    <t>Gas Rider Budget</t>
  </si>
  <si>
    <t>FTE</t>
  </si>
  <si>
    <t>Ratio</t>
  </si>
  <si>
    <t>Overall Total</t>
  </si>
  <si>
    <t>(Enter as a negative value)</t>
  </si>
  <si>
    <t>Savings Section</t>
  </si>
  <si>
    <t>Measure Information</t>
  </si>
  <si>
    <t>Measure Name</t>
  </si>
  <si>
    <t>UOM</t>
  </si>
  <si>
    <t>Unit Type</t>
  </si>
  <si>
    <t>Support %</t>
  </si>
  <si>
    <t>Combined</t>
  </si>
  <si>
    <t>i</t>
  </si>
  <si>
    <r>
      <t xml:space="preserve">TOTALS </t>
    </r>
    <r>
      <rPr>
        <sz val="10"/>
        <color theme="0"/>
        <rFont val="Wingdings 3"/>
        <family val="1"/>
        <charset val="2"/>
      </rPr>
      <t>g</t>
    </r>
  </si>
  <si>
    <t>N/A</t>
  </si>
  <si>
    <t>Spending Section</t>
  </si>
  <si>
    <t>E292</t>
  </si>
  <si>
    <t>GRAND TOTAL All Programs</t>
  </si>
  <si>
    <t>Add up all blue cells and divide by "Total, Efficiency Programs Included in CE Calculations" line.</t>
  </si>
  <si>
    <t>Energy Efficiency Research &amp; Compliance</t>
  </si>
  <si>
    <t>Energy Efficiency Portfolio Support</t>
  </si>
  <si>
    <t xml:space="preserve">     Less Journal Entry Transfer Credit from Schedule 258</t>
  </si>
  <si>
    <t>10% NEEA Market Transformation Contribution Calculation (See Note 2)</t>
  </si>
  <si>
    <t>Estimated 2014-2015 Sch 120 Collections:</t>
  </si>
  <si>
    <t>Journal Entry Transfer Credit (See Note 1 at right)</t>
  </si>
  <si>
    <t>Market Integration</t>
  </si>
  <si>
    <t>Conference Attendance</t>
  </si>
  <si>
    <t>Software License/Support</t>
  </si>
  <si>
    <t>Manager</t>
  </si>
  <si>
    <t>Web-Enabled Thermostats</t>
  </si>
  <si>
    <t>Energy Efficiency Education</t>
  </si>
  <si>
    <t>Energy Efficiency Market Research</t>
  </si>
  <si>
    <t>Energy Effiency Education</t>
  </si>
  <si>
    <t>Energy Efficiency Brochures</t>
  </si>
  <si>
    <t>Multi-Family Existing</t>
  </si>
  <si>
    <t>Purple cells = use to indicate a reasonable amt. spent on EM&amp;V:</t>
  </si>
  <si>
    <t>Add up the sum of "Program Evaluation" + "Verification" pink cells and divide by the Residential + Business pink cells.</t>
  </si>
  <si>
    <t>Total MWh, Efficiency Programs Included in CE Calculations</t>
  </si>
  <si>
    <t>G207</t>
  </si>
  <si>
    <t>E202</t>
  </si>
  <si>
    <t>Market Research</t>
  </si>
  <si>
    <t>Brochures, non program-specific</t>
  </si>
  <si>
    <t>PS =</t>
  </si>
  <si>
    <t>Portfolio Support</t>
  </si>
  <si>
    <t xml:space="preserve">PSWE= </t>
  </si>
  <si>
    <t>Portfolio Support Web Experience</t>
  </si>
  <si>
    <t>PSCE =</t>
  </si>
  <si>
    <t>Portfolio Support Customer Education</t>
  </si>
  <si>
    <t>Tab Definitions</t>
  </si>
  <si>
    <t>All detail budget and savings programs within the Single Family Existing Schedule 214 add up to the overall figures noted in the Portfolio View of Exhibit 1.</t>
  </si>
  <si>
    <t>Workbook Name</t>
  </si>
  <si>
    <t xml:space="preserve"> LIW Detail_REM E201_Elec</t>
  </si>
  <si>
    <t>HomePrint Detail_REM_E214 Elec</t>
  </si>
  <si>
    <t>WaterHea_Detail_REM_E214 Elec</t>
  </si>
  <si>
    <t>Wx_Detail_REM E214 Elec</t>
  </si>
  <si>
    <t>SpcHeat Detail_REM_E214 Elec</t>
  </si>
  <si>
    <t>HmAppplc_Detail_REM_E214 Elec</t>
  </si>
  <si>
    <t>ShwrHead_Detail_REM_E214  Elec</t>
  </si>
  <si>
    <t>Lighting Detail_REM_E214 Elec</t>
  </si>
  <si>
    <t>HER Detail_REM_E214 elec.</t>
  </si>
  <si>
    <t>SFNC Detail_REM E215 Elec</t>
  </si>
  <si>
    <t>NCMfgHome Detail_REM E215 Elec</t>
  </si>
  <si>
    <t>FuelConv Detail_REM E216 Elec</t>
  </si>
  <si>
    <t>MF Retr Detail_REM E217 Elec</t>
  </si>
  <si>
    <t>MFNC Detail_REM E218 Elec</t>
  </si>
  <si>
    <t>CI Retr Detail_BEM E250 Elec</t>
  </si>
  <si>
    <t>CI NC Detail_BEM E251 Elec</t>
  </si>
  <si>
    <t>RCM Detail_BEM E253 Elec</t>
  </si>
  <si>
    <t>TechEval Detail_BEM E261 Elec</t>
  </si>
  <si>
    <t>NEEA Detail_E254 elec</t>
  </si>
  <si>
    <t>T&amp;D Detail_Reg E292 elec</t>
  </si>
  <si>
    <t>Engy Adv Detail_PSCE  Elec</t>
  </si>
  <si>
    <t>Events Detail_PSCE Elec</t>
  </si>
  <si>
    <t>Brochures Detail_PSCE Elec</t>
  </si>
  <si>
    <t>Educatn Detail_PSCE E202 Elec</t>
  </si>
  <si>
    <t>CustOnline Detail_PSWE_Elec</t>
  </si>
  <si>
    <t>Mkt Intgn Detail_PSWE_Elec</t>
  </si>
  <si>
    <t>EEC Detail_PS_Elec</t>
  </si>
  <si>
    <t>TradeAlly Detail_PS_ Elec</t>
  </si>
  <si>
    <t>SuppCrv Detail_R&amp;C_Elec</t>
  </si>
  <si>
    <t>Strat Plan Detail_R&amp;C_Elec</t>
  </si>
  <si>
    <t>Mktg Resch Detail_PS_ Elec</t>
  </si>
  <si>
    <t>Eval Detail_R&amp;C_Elec</t>
  </si>
  <si>
    <t>VTeam Detail_R&amp;C_Elec</t>
  </si>
  <si>
    <t>ProgDev Detail_R&amp;C_ Elec</t>
  </si>
  <si>
    <t>Net Mtr Details_Oth Elec E150</t>
  </si>
  <si>
    <t>LIW Detail_REM G201 Gas</t>
  </si>
  <si>
    <t>HmPrint Detail_REM G214 Gas</t>
  </si>
  <si>
    <t>WtrHeat Detail_REM G214 Gas</t>
  </si>
  <si>
    <t>Wx Detail_REM G214 Gas</t>
  </si>
  <si>
    <t>SpHeat Detail_REM G214 Gas</t>
  </si>
  <si>
    <t>ShwrHead Detail_REM G214 Gas</t>
  </si>
  <si>
    <t>HmApplSvgs Detail_REM G214 Gas</t>
  </si>
  <si>
    <t>MHDS Detail_REM G214 Gas</t>
  </si>
  <si>
    <t>WebTstat Detail_REM G214 Gas</t>
  </si>
  <si>
    <t>HER Detail_REM G214 gas</t>
  </si>
  <si>
    <t>NCMfgHomes Detail_REM G215 Gas</t>
  </si>
  <si>
    <t>SFNC Detail_REM G215 Gas</t>
  </si>
  <si>
    <t>MF Retr Detail_REM G217 Gas</t>
  </si>
  <si>
    <t>MFNC Detail_REM G218 Gas</t>
  </si>
  <si>
    <t>CI Retr Detail_BEM G250 Gas</t>
  </si>
  <si>
    <t>CI NC Detail_BEM G251 Gas</t>
  </si>
  <si>
    <t>RCM Detail_BEM 253 Gas</t>
  </si>
  <si>
    <t>TechEval Detail_BEM G261 Gas</t>
  </si>
  <si>
    <t>Rebates Detail_BEM G262 Gas</t>
  </si>
  <si>
    <t>Engy Adv Detail_PSCE_Gas</t>
  </si>
  <si>
    <t>Events Detail_PSCE_Gas</t>
  </si>
  <si>
    <t>Brochure Detail_PSCE_Gas</t>
  </si>
  <si>
    <t>Eductn Detail_PSCE_G207 Gas</t>
  </si>
  <si>
    <t>CustOnline Detail_PSWE_Gas</t>
  </si>
  <si>
    <t>Mkt Intg Detail_PSWE_Gas</t>
  </si>
  <si>
    <t>EEC Detail_PS_Gas</t>
  </si>
  <si>
    <t>TradeAlly Detail_PS_gas</t>
  </si>
  <si>
    <t>Supp Crv Detail_R&amp;C_gas</t>
  </si>
  <si>
    <t>Strat Pln Detail_R&amp;C_Gas</t>
  </si>
  <si>
    <t>Mktg Rsch Detail_PS_gas</t>
  </si>
  <si>
    <t>Eval Detail_R&amp;C_Gas</t>
  </si>
  <si>
    <t>Vteam Detail_R&amp;C_Gas</t>
  </si>
  <si>
    <t xml:space="preserve">Single Family Existing    </t>
  </si>
  <si>
    <t>Biennial Electric Conservation Acquisition Review</t>
  </si>
  <si>
    <t>BECAR Detail_R&amp;C Elec</t>
  </si>
  <si>
    <t xml:space="preserve">Biennial Elec. Consv. Aquisitn. Review </t>
  </si>
  <si>
    <t>Ref #</t>
  </si>
  <si>
    <t>a</t>
  </si>
  <si>
    <t>b</t>
  </si>
  <si>
    <t>c</t>
  </si>
  <si>
    <t>d</t>
  </si>
  <si>
    <t>e</t>
  </si>
  <si>
    <t>f</t>
  </si>
  <si>
    <t>g</t>
  </si>
  <si>
    <t>h</t>
  </si>
  <si>
    <t>j</t>
  </si>
  <si>
    <t>k</t>
  </si>
  <si>
    <t>l</t>
  </si>
  <si>
    <t>m</t>
  </si>
  <si>
    <t>n</t>
  </si>
  <si>
    <t>o</t>
  </si>
  <si>
    <t>p</t>
  </si>
  <si>
    <t>s</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</si>
  <si>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</si>
  <si>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</si>
  <si>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</si>
  <si>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</si>
  <si>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</si>
  <si>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</si>
  <si>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</si>
  <si>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</si>
  <si>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</si>
  <si>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</si>
  <si>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</si>
  <si>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</si>
  <si>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</si>
  <si>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</si>
  <si>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</si>
  <si>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</si>
  <si>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</si>
  <si>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</si>
  <si>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</si>
  <si>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</si>
  <si>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</si>
  <si>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</si>
  <si>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</si>
  <si>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</si>
  <si>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</si>
  <si>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</si>
  <si>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</si>
  <si>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</si>
  <si>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</si>
  <si>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</si>
  <si>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</si>
  <si>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</si>
  <si>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</si>
  <si>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bc</t>
  </si>
  <si>
    <t>bd</t>
  </si>
  <si>
    <t>be</t>
  </si>
  <si>
    <t>bf</t>
  </si>
  <si>
    <t>bi</t>
  </si>
  <si>
    <t>Also Energy Efficiency staff labor, associated specifically with Marketing functions.  Marketing allocates staffing according to program needs.</t>
  </si>
  <si>
    <t>Service and materials associated with the cost of printing program brochures, marketing pieces, advertising, banners, etc.  Also includes marketing conducted by vendors and contractors.</t>
  </si>
  <si>
    <t>Energy Efficiency program staff labor. Average FTE cost including management assessments.  This Budget Category group includes assessments from Major Accounts management, Resource Planning,  Corporate Communications management, IT specialists and some building maintenance allocations.</t>
  </si>
  <si>
    <t>Overhead--costs associated with primarily employee labor; benefits, for instance.</t>
  </si>
  <si>
    <t>Costs associated with EE staff attending events, employee training, conferences, business meals, business parking, ferry &amp; bridge tolls, mileage incurred on employee automobiles, office supplies, phones, subscriptions, software/hardware, etc.</t>
  </si>
  <si>
    <t>Contractors and vendors, such as PECI, Ecos, CostCo, EFI, etc.  Legal expenses, technical services (CMS design, PSE.com web portals, etc.).  These costs do NOT include brochure development, marketing pieces, (which are classified under MARKETING).  These costs do NOT include incentives paid to customers by contractors.</t>
  </si>
  <si>
    <t xml:space="preserve"> Primarily tools, trade show equipment, etc. </t>
  </si>
  <si>
    <t xml:space="preserve">This category should seldomly be used, and only expenses that cannot be classified under one of the above categories.
</t>
  </si>
  <si>
    <t>All costs associated with rebates, grants, remuneration, value-added services.  PSE cost element # 62510000; Consumer Incentive Payments, is classified by the Accounting department as Miscellaneous.  However, it is one of the primarly elements of Energy Efficiency's Direct Benefit to Customer (DBtC).</t>
  </si>
  <si>
    <t>Exhibit 1 Budget Category Definitions</t>
  </si>
  <si>
    <t>Employee/Office Expense</t>
  </si>
  <si>
    <t>EMPLOYEE/OFFICE EXPENSES</t>
  </si>
  <si>
    <t xml:space="preserve">Energy Efficiency </t>
  </si>
  <si>
    <t>Communities</t>
  </si>
  <si>
    <t xml:space="preserve">Energy Efficient </t>
  </si>
  <si>
    <t xml:space="preserve">Conservation </t>
  </si>
  <si>
    <t>Biennial Electric</t>
  </si>
  <si>
    <t xml:space="preserve"> Conservation </t>
  </si>
  <si>
    <t>Acquisition Review</t>
  </si>
  <si>
    <t xml:space="preserve">Biennial Electric </t>
  </si>
  <si>
    <t xml:space="preserve">INTEGRATION </t>
  </si>
  <si>
    <t xml:space="preserve">MARKET </t>
  </si>
  <si>
    <t>Supply Curves</t>
  </si>
  <si>
    <t>Also referred to as a General Ledger account number, the cost element is the finest level of detail within PSE accounting systems.  There are often many cost element numbers that "roll up" into a cost element segment.  For instance, the overhead segment includes material OH, transportation OH, labor OH, etc.  Employee/Office Expenses include travel, meals, lodging, parking, etc.  Cost elements have a very specific connotation and are typically designed to meet a variety of accounting standards, such as FERC requirements.  Therefore, in Exhibit 1, the term "cost element" is rarely used.
The groupings that represent the budget allocations are most accurately listed in the below table.</t>
  </si>
  <si>
    <t xml:space="preserve">Budget Category Includes </t>
  </si>
  <si>
    <t xml:space="preserve">     Travel Expenses (Mileage, Airfare, Parking, Taxi, Lodging)</t>
  </si>
  <si>
    <t xml:space="preserve">     Office Supplies/Svcs, Printing, Phone Expense</t>
  </si>
  <si>
    <t xml:space="preserve">     Software Maintenance, Assessments</t>
  </si>
  <si>
    <t xml:space="preserve">     CMS &amp; Bradson Technologies - CSY Support </t>
  </si>
  <si>
    <t xml:space="preserve">     Energy Mgmt Software Development </t>
  </si>
  <si>
    <t>Energy Smart Grocer</t>
  </si>
  <si>
    <t>Data Center Energy Efficiency Program</t>
  </si>
  <si>
    <t>Industrial Custom Grant Measures</t>
  </si>
  <si>
    <t>Comprehensive Building Tune-Up (CBTU)</t>
  </si>
  <si>
    <t>Other (non-lighting/non-industrial Custom Grants)</t>
  </si>
  <si>
    <t xml:space="preserve">Energy Smart Grocer </t>
  </si>
  <si>
    <t>Data Center energy Efficiency Program</t>
  </si>
  <si>
    <t>DemandSideEnergineering - Bldg Energy Simulation Analysis</t>
  </si>
  <si>
    <t>CMS &amp; Bradson Technologies - CSY Support</t>
  </si>
  <si>
    <t>Lighting Design Lab (Design Support/Consultations)</t>
  </si>
  <si>
    <t>Integrated Design Lab (Design Support.Consultations)</t>
  </si>
  <si>
    <t>Whole Building Approach,Component Approach, Post-Occupancy Commissioning</t>
  </si>
  <si>
    <t xml:space="preserve">     Contracted Programs (Energy Smart Grocer)</t>
  </si>
  <si>
    <t>Total Energy Savings</t>
  </si>
  <si>
    <t xml:space="preserve">Resource </t>
  </si>
  <si>
    <t xml:space="preserve">     Office Supplies/Svcs, Phone Expense, Printing</t>
  </si>
  <si>
    <t xml:space="preserve">     LPB Energy (Utility Mgr Software Support)</t>
  </si>
  <si>
    <t>RCM</t>
  </si>
  <si>
    <t>Strategic Resource Management</t>
  </si>
  <si>
    <t xml:space="preserve">     NEEA Contribution (10% of Schedule 120 collectiosn)</t>
  </si>
  <si>
    <r>
      <t xml:space="preserve">Labor, Journal Entry, Schedule 258 projects </t>
    </r>
    <r>
      <rPr>
        <sz val="8"/>
        <rFont val="Arial"/>
        <family val="2"/>
      </rPr>
      <t>(please see note 1 on right.)</t>
    </r>
  </si>
  <si>
    <t>Journal Entry Transfer Debit - 2 Year Amount (See note 1 above)</t>
  </si>
  <si>
    <t>Schedule 250 to Sch. 258 Journal Transfer Amt:</t>
  </si>
  <si>
    <t>Labor Adjustment (see labor JE line to the left):</t>
  </si>
  <si>
    <t xml:space="preserve">     Remote Site Audit Services Provider</t>
  </si>
  <si>
    <t xml:space="preserve">        (software, analysis, reporting)</t>
  </si>
  <si>
    <t>Remote Energy Audit</t>
  </si>
  <si>
    <t xml:space="preserve">     CMS &amp; Bradson Technologies - CSY Support</t>
  </si>
  <si>
    <t>Small Business Direct Install</t>
  </si>
  <si>
    <t xml:space="preserve">Energy Management Software Development </t>
  </si>
  <si>
    <t>Comprehensive Building Tune-UP (CBTU)</t>
  </si>
  <si>
    <t>Other (non-industrial customer grant measures)</t>
  </si>
  <si>
    <t xml:space="preserve">     Office Supplies/Svc, Phone Expense, Printing</t>
  </si>
  <si>
    <t xml:space="preserve">     DemandSideEngineering - Bldg Energy Simulation Analysis</t>
  </si>
  <si>
    <t xml:space="preserve">     Integrated Design Lab (Design Support.Consultations)</t>
  </si>
  <si>
    <t xml:space="preserve">     Energy Smart Grocer</t>
  </si>
  <si>
    <t>Total Outside Services</t>
  </si>
  <si>
    <t>Whole Buidling Approach, Component Approach, Post-Occupancy Commissioning</t>
  </si>
  <si>
    <t>Contracted Programs (Energy Smart Grocer)</t>
  </si>
  <si>
    <t xml:space="preserve"> (ESG will provide electric-only savings/incentives in New Const sector)</t>
  </si>
  <si>
    <t xml:space="preserve">    CMS &amp; Bradson Technologies - CSY Support</t>
  </si>
  <si>
    <t>Annual Energy Savings (Therms)</t>
  </si>
  <si>
    <t>Strategic Energy Management</t>
  </si>
  <si>
    <t xml:space="preserve">Order Number: </t>
  </si>
  <si>
    <t>Program Support</t>
  </si>
  <si>
    <t>Agency %</t>
  </si>
  <si>
    <t>Program Dollars</t>
  </si>
  <si>
    <t>Other Cost Contribut.</t>
  </si>
  <si>
    <t>Paid to Agency</t>
  </si>
  <si>
    <t>PSE</t>
  </si>
  <si>
    <t xml:space="preserve">SF Existing - </t>
  </si>
  <si>
    <t xml:space="preserve">Mobile Home </t>
  </si>
  <si>
    <t>Duct Sealing</t>
  </si>
  <si>
    <t>SF Existing -</t>
  </si>
  <si>
    <t xml:space="preserve"> Mobile Home </t>
  </si>
  <si>
    <t xml:space="preserve">Multi-Family </t>
  </si>
  <si>
    <t>Retrofit</t>
  </si>
  <si>
    <t>therm</t>
  </si>
  <si>
    <t>MHDS Detail_REM_E214 Elec.</t>
  </si>
  <si>
    <r>
      <t>f</t>
    </r>
    <r>
      <rPr>
        <sz val="10"/>
        <color theme="1"/>
        <rFont val="Franklin Gothic Book"/>
        <family val="2"/>
      </rPr>
      <t xml:space="preserve"> PSE Program Support % </t>
    </r>
  </si>
  <si>
    <t>Non-449:</t>
  </si>
  <si>
    <t>449:</t>
  </si>
  <si>
    <t>MWh Savings</t>
  </si>
  <si>
    <t>r</t>
  </si>
  <si>
    <t>Red tabs within this workbook indicate programs that are cancelled or are on hiatus.</t>
  </si>
  <si>
    <t>Those sub-groups are color-coded and indented. Their totals add up to the grouping above.</t>
  </si>
  <si>
    <t>P/O Res. New Construction</t>
  </si>
  <si>
    <t>215 &amp; 218</t>
  </si>
  <si>
    <t>Residential New Construction</t>
  </si>
  <si>
    <t>BEM Pilots E249 Elec</t>
  </si>
  <si>
    <t>REM Pilots E249 Elec</t>
  </si>
  <si>
    <t>Residential Energy Report Expansion</t>
  </si>
  <si>
    <t>18230nnn</t>
  </si>
  <si>
    <t>BEM Pilots Detail G249 Gas</t>
  </si>
  <si>
    <t>REM Pilots Detail G249 Gas</t>
  </si>
  <si>
    <t>Total, Pilots</t>
  </si>
  <si>
    <t>Residential Pilots - Individual Energy Reports</t>
  </si>
  <si>
    <t>Business Pilots - Individual Energy Reports</t>
  </si>
  <si>
    <t>Therm</t>
  </si>
  <si>
    <t>REM</t>
  </si>
  <si>
    <t>REM Pilots</t>
  </si>
  <si>
    <t>Reports</t>
  </si>
  <si>
    <t xml:space="preserve">Home Energy </t>
  </si>
  <si>
    <t xml:space="preserve">REM Pilots </t>
  </si>
  <si>
    <t>q</t>
  </si>
  <si>
    <t>BEM Pilots</t>
  </si>
  <si>
    <t xml:space="preserve">BEM Pilots </t>
  </si>
  <si>
    <t>Subtotal, Pilots</t>
  </si>
  <si>
    <t>Comment</t>
  </si>
  <si>
    <t>Individual Energy Reports - Expansion</t>
  </si>
  <si>
    <t>for readers, no matter where they are in the worksheet.</t>
  </si>
  <si>
    <t>Total PSE payments to NEEA.</t>
  </si>
  <si>
    <r>
      <t xml:space="preserve">(All indented program or activity names are color-coded and comprise the totals of the </t>
    </r>
    <r>
      <rPr>
        <u/>
        <sz val="8"/>
        <rFont val="Arial"/>
        <family val="2"/>
      </rPr>
      <t>above</t>
    </r>
    <r>
      <rPr>
        <sz val="8"/>
        <rFont val="Arial"/>
        <family val="2"/>
      </rPr>
      <t xml:space="preserve"> program or activity grouping.  In some cases, there are sub-activities within another sub-grouping.)</t>
    </r>
  </si>
  <si>
    <t>All costs associated with rebates, grants, remuneration, value-added services.  PSE cost element # 62510000; Consumer Incentive Payments, is classified by the Accounting department as Miscellaneous.  However, it is one of the primarily elements of Energy Efficiency's Direct Benefit to Customer (DBtC).</t>
  </si>
  <si>
    <t xml:space="preserve"> (Please reference cell E-12)</t>
  </si>
  <si>
    <t>Business Energy Reports</t>
  </si>
  <si>
    <t>Schedule G202</t>
  </si>
  <si>
    <t>Please see category descriptions at the bottom of the sector table.</t>
  </si>
  <si>
    <t>aMW</t>
  </si>
  <si>
    <t>Calculation</t>
  </si>
  <si>
    <r>
      <t xml:space="preserve">IRP guidance </t>
    </r>
    <r>
      <rPr>
        <sz val="8"/>
        <color theme="1"/>
        <rFont val="Arial"/>
        <family val="2"/>
      </rPr>
      <t>(no behavior savings)</t>
    </r>
  </si>
  <si>
    <t>15,000 residential HER customers</t>
  </si>
  <si>
    <t>5% of "base" savings</t>
  </si>
  <si>
    <t>New Residential + Small Business</t>
  </si>
  <si>
    <t>HER = Residential Home Energy Reports</t>
  </si>
  <si>
    <t>IRP = Integrated Resource Plan</t>
  </si>
  <si>
    <t>MWh</t>
  </si>
  <si>
    <t>Updated dates to 2016-2017</t>
  </si>
  <si>
    <t>Rebate Processing</t>
  </si>
  <si>
    <t>Programs Support</t>
  </si>
  <si>
    <t>Data and Systems Services</t>
  </si>
  <si>
    <t>Energy Efficiency Software System</t>
  </si>
  <si>
    <t>E195</t>
  </si>
  <si>
    <t>Electric Vehicle Charger Incentive</t>
  </si>
  <si>
    <t>NW Gas Market Transformation</t>
  </si>
  <si>
    <r>
      <t>Contractor Alliance Network</t>
    </r>
    <r>
      <rPr>
        <i/>
        <sz val="9"/>
        <color theme="1"/>
        <rFont val="Arial"/>
        <family val="2"/>
      </rPr>
      <t xml:space="preserve"> (net of revenue + cost)</t>
    </r>
  </si>
  <si>
    <t>Lighting to Go--also referred to as Business Lighting Markdowns</t>
  </si>
  <si>
    <t>Commercial kitchen and laundry</t>
  </si>
  <si>
    <t>Commercial direct install (non-SBDI)</t>
  </si>
  <si>
    <t>Commercial HVAC</t>
  </si>
  <si>
    <t>Business Lighting Express</t>
  </si>
  <si>
    <t>Contractor Alliance Network (revenue + cost)</t>
  </si>
  <si>
    <t>Energy Efficiency 2017 Budgets, Sector View</t>
  </si>
  <si>
    <t>Commercial Kitchen &amp; Laundry</t>
  </si>
  <si>
    <t>Commercial Direct Install (non-SBDI)</t>
  </si>
  <si>
    <t>This table summarizes the subtotals in the detail table to the left and is used to populate 2016-2017 Sector views.</t>
  </si>
  <si>
    <t xml:space="preserve"> kwh</t>
  </si>
  <si>
    <t>32,736 therms</t>
  </si>
  <si>
    <t>C/I Retrofit--Custom Lighting Grants</t>
  </si>
  <si>
    <t>Order Number: 18230724</t>
  </si>
  <si>
    <t>Lighting Design Lab</t>
  </si>
  <si>
    <t>Custom Lighting Grants</t>
  </si>
  <si>
    <t xml:space="preserve">Lighting to Go
AKA Business Lighting Markdown
</t>
  </si>
  <si>
    <t>Lighting to Go</t>
  </si>
  <si>
    <t xml:space="preserve">AKA Business Lighting </t>
  </si>
  <si>
    <t>Markdowns</t>
  </si>
  <si>
    <t>Commercial Dir. Install (Non-SBDI)</t>
  </si>
  <si>
    <t xml:space="preserve">Commercial Dir. Install (non-SBDI) </t>
  </si>
  <si>
    <t>Small Business Direct Installs</t>
  </si>
  <si>
    <t>Commercial Kitchens &amp; Laundry</t>
  </si>
  <si>
    <t>Commercial Kitchens &amp;</t>
  </si>
  <si>
    <t>Laundry</t>
  </si>
  <si>
    <t>Commercial Dir Install (Non-SBDI)</t>
  </si>
  <si>
    <t>Commercial Dir Install</t>
  </si>
  <si>
    <t>(Non-SBDI)</t>
  </si>
  <si>
    <t>This table summarizes the subtotals in the detail table to the left and is used to populate 2016-2016 Sector views.</t>
  </si>
  <si>
    <t>Therm Savings Estimates</t>
  </si>
  <si>
    <t>No Schedule</t>
  </si>
  <si>
    <t>no Schedule</t>
  </si>
  <si>
    <t>Contractor Alliance Network</t>
  </si>
  <si>
    <t xml:space="preserve">Rebate </t>
  </si>
  <si>
    <t>Processing</t>
  </si>
  <si>
    <t>Data and Systems</t>
  </si>
  <si>
    <t>Services</t>
  </si>
  <si>
    <t>Schedule 195</t>
  </si>
  <si>
    <t>Electric Vehicle</t>
  </si>
  <si>
    <t>Charger Incentive</t>
  </si>
  <si>
    <t>2016 OH rate</t>
  </si>
  <si>
    <t>2017 OH rate</t>
  </si>
  <si>
    <t>Added new detail sheets</t>
  </si>
  <si>
    <t>Updated links to sector sheets</t>
  </si>
  <si>
    <r>
      <t xml:space="preserve">Description </t>
    </r>
    <r>
      <rPr>
        <sz val="10"/>
        <color rgb="FF0070C0"/>
        <rFont val="Arial"/>
        <family val="2"/>
      </rPr>
      <t>(Blue, indented text indicates a sub-total value)</t>
    </r>
  </si>
  <si>
    <r>
      <t>Description</t>
    </r>
    <r>
      <rPr>
        <sz val="10"/>
        <color rgb="FF0070C0"/>
        <rFont val="Arial"/>
        <family val="2"/>
      </rPr>
      <t xml:space="preserve"> (Blue, indented text indicates a sub-total value)</t>
    </r>
  </si>
  <si>
    <t>Comm Lgt Mkdn_E262 Elect</t>
  </si>
  <si>
    <t>Comm Kit-Laund_E262 Elect</t>
  </si>
  <si>
    <t>Comm DI_E262 Elect</t>
  </si>
  <si>
    <t>Comm HVAC_E262 Elect</t>
  </si>
  <si>
    <t>Comm ExpLgt_E262 Elect</t>
  </si>
  <si>
    <t>Sm Bus DI_E262 Elect</t>
  </si>
  <si>
    <t>BusLgtGrants_BEM E250 Elect</t>
  </si>
  <si>
    <t>Rebt Procg Detail_Elect</t>
  </si>
  <si>
    <t>Data &amp; Systm Svcs_Elect</t>
  </si>
  <si>
    <t>CAN_Elect</t>
  </si>
  <si>
    <t>ElecVehcl Chg Inctv_E195 Elect</t>
  </si>
  <si>
    <t>Comm Kit-Laund_G262 Gas</t>
  </si>
  <si>
    <t>Comm DI_G262 Gas</t>
  </si>
  <si>
    <t>Comm HVAC_G262 Gas</t>
  </si>
  <si>
    <t>Sm Bus DI_G262 Gas</t>
  </si>
  <si>
    <t>Rebt Procg_Detail Gas</t>
  </si>
  <si>
    <t>Data &amp; Systm Svcs Detail Gas</t>
  </si>
  <si>
    <t>CAN_PS_Detail Gas</t>
  </si>
  <si>
    <t>Removed all cell naming</t>
  </si>
  <si>
    <t>Resource Conservation Management</t>
  </si>
  <si>
    <t>Cleared all entry tables</t>
  </si>
  <si>
    <t>Re-arranged portfolio summary lines for better flow</t>
  </si>
  <si>
    <t>DSMC</t>
  </si>
  <si>
    <t>Customer Awareness Tools</t>
  </si>
  <si>
    <t>Moved Customer Awareness Tools and DSMC into Data &amp; Systems Services detail pages as sub-groupings</t>
  </si>
  <si>
    <t>Opower High bill alerts, bill ready, seasonal preparedness</t>
  </si>
  <si>
    <t>bb</t>
  </si>
  <si>
    <t>bg</t>
  </si>
  <si>
    <t>bh</t>
  </si>
  <si>
    <t>Named budget ranges in 2-yr portfolio page.</t>
  </si>
  <si>
    <t>Added array formulae to budget totals in portfolio view pages</t>
  </si>
  <si>
    <t>Electronic Media Tools &amp; Marketing</t>
  </si>
  <si>
    <t>Customer energy management tools</t>
  </si>
  <si>
    <t>D.C. = Decoupling Commitment</t>
  </si>
  <si>
    <t>t</t>
  </si>
  <si>
    <t>Penalty outlined in Stipulation Agreement, UG-011571 Section M43.</t>
  </si>
  <si>
    <t>EIA = Energy Independence Act; referencing RCW 19.285, or "I-937".</t>
  </si>
  <si>
    <r>
      <t xml:space="preserve">Total Biennial Potential
</t>
    </r>
    <r>
      <rPr>
        <i/>
        <sz val="9"/>
        <color theme="1"/>
        <rFont val="Arial"/>
        <family val="2"/>
      </rPr>
      <t>IRP Guidance</t>
    </r>
  </si>
  <si>
    <t>Bundle D + DE from IRP</t>
  </si>
  <si>
    <t>Sr. Market Analysts</t>
  </si>
  <si>
    <t>RTF &amp; NEEA Mtgs - Portland</t>
  </si>
  <si>
    <t>Training / Conferences</t>
  </si>
  <si>
    <t>Supervisor, Applications IT</t>
  </si>
  <si>
    <t>Sr Market Analyst</t>
  </si>
  <si>
    <t>Sr. Business Analyst IT</t>
  </si>
  <si>
    <t>Market Analyst</t>
  </si>
  <si>
    <t>Sr.  Business Support Analyst</t>
  </si>
  <si>
    <t>Training/Conferences</t>
  </si>
  <si>
    <t xml:space="preserve">E-Source: DSM Planning &amp; related </t>
  </si>
  <si>
    <t>Trade Ally Assoc annual member dues (Incl. AESP, BOMA, CEE, Electric League, ESC, and NEEC)</t>
  </si>
  <si>
    <t>ESource DSM Planning Svcs &amp; related</t>
  </si>
  <si>
    <t>Input Syd France areas</t>
  </si>
  <si>
    <t>NOTE--DSMC budget is a line item in Data &amp; Systems Services</t>
  </si>
  <si>
    <t>Put Business Rebates back in BEM</t>
  </si>
  <si>
    <t>Program Staff Overhead</t>
  </si>
  <si>
    <t>Marketing Staff Overhead</t>
  </si>
  <si>
    <t>2017</t>
  </si>
  <si>
    <t>Add overhead lines in detail tables</t>
  </si>
  <si>
    <t>Input Bill Hopkins content</t>
  </si>
  <si>
    <t>Sr Resource Planning Analyst</t>
  </si>
  <si>
    <t>Conservation Potential Assessment</t>
  </si>
  <si>
    <t>Mgr Performance Excellence</t>
  </si>
  <si>
    <t>2014-15 BECAR</t>
  </si>
  <si>
    <t>2016-17 BECAR</t>
  </si>
  <si>
    <t>Customer Digital Experience</t>
  </si>
  <si>
    <t>MARKET MANAGER</t>
  </si>
  <si>
    <t>PROGRAM COORDINATOR</t>
  </si>
  <si>
    <t>PROGRAM MANAGER</t>
  </si>
  <si>
    <t>PROGRAM IMPLEMENTER</t>
  </si>
  <si>
    <t>Market Manager</t>
  </si>
  <si>
    <t>Program Manager</t>
  </si>
  <si>
    <t>Program Coordinator</t>
  </si>
  <si>
    <t>Program Implementer</t>
  </si>
  <si>
    <t>Customer Management Software</t>
  </si>
  <si>
    <t>Meter Placards</t>
  </si>
  <si>
    <t>SEPA Annual Dues</t>
  </si>
  <si>
    <t>Line Use Charge from 1999</t>
  </si>
  <si>
    <t>based on a UTC Order regarding accounting and ratemaking treatment  from Docket UE-990016.</t>
  </si>
  <si>
    <t>PSE filed the request on January 7, 1999 and the UTC issued the order in February, 1999. (</t>
  </si>
  <si>
    <t>Average of staff salaries</t>
  </si>
  <si>
    <t>Travel</t>
  </si>
  <si>
    <t>Meals</t>
  </si>
  <si>
    <t>Training</t>
  </si>
  <si>
    <t>Phone, Software, Misc. Assessments</t>
  </si>
  <si>
    <t>Customer Satisfaction Research</t>
  </si>
  <si>
    <t>Program Specific Market Research</t>
  </si>
  <si>
    <t>Residential Panel</t>
  </si>
  <si>
    <t>Market Research Data Resrouces (eg, Experian)</t>
  </si>
  <si>
    <t>Material, Tools, Office supply assessment</t>
  </si>
  <si>
    <t>Avg of staff salaries</t>
  </si>
  <si>
    <t>Phone, software, Misc. Assessments</t>
  </si>
  <si>
    <t>Market Research Data Resources eg. Experian</t>
  </si>
  <si>
    <t>Materials, tools, office supply assessment</t>
  </si>
  <si>
    <t>Input Heather Mulligan and Michael Wehling content</t>
  </si>
  <si>
    <t>Source: NEEA gas market tranformation business case.  PSE share of total = 41.25%</t>
  </si>
  <si>
    <t>Input NEEA gas market transformation budget amounts</t>
  </si>
  <si>
    <t>Various Expenses</t>
  </si>
  <si>
    <t>Training/Employee Development</t>
  </si>
  <si>
    <t>Events/Meals/Parking/Mileage</t>
  </si>
  <si>
    <t>Office &amp; Supply</t>
  </si>
  <si>
    <t>Phone Equipment</t>
  </si>
  <si>
    <t>Tableau, VPI</t>
  </si>
  <si>
    <t>Materials Purchase</t>
  </si>
  <si>
    <t>Events/Parking/Meals/Milage</t>
  </si>
  <si>
    <t>Phone equipment</t>
  </si>
  <si>
    <t>Web development</t>
  </si>
  <si>
    <t>Web content</t>
  </si>
  <si>
    <t>Online customer tools</t>
  </si>
  <si>
    <t>Communications Program Manager</t>
  </si>
  <si>
    <t>Communications Training</t>
  </si>
  <si>
    <t>Average of program staff salaries</t>
  </si>
  <si>
    <t>Printed Materials</t>
  </si>
  <si>
    <t>Online Ad Buy</t>
  </si>
  <si>
    <t>Employee and Office Expense</t>
  </si>
  <si>
    <t>Interval Meter Data</t>
  </si>
  <si>
    <t>Data Analysis</t>
  </si>
  <si>
    <t>Sr. Market Analyst</t>
  </si>
  <si>
    <t>Efficiency Outreach Manager</t>
  </si>
  <si>
    <t>Efficiency Outreach Coordinator</t>
  </si>
  <si>
    <t>Customer photos, social media presence</t>
  </si>
  <si>
    <t>Collateral for specific community initiatives</t>
  </si>
  <si>
    <t>Project funds to support strategic partnerships</t>
  </si>
  <si>
    <t>Training/Development</t>
  </si>
  <si>
    <t>Meals, professional associations, lodging</t>
  </si>
  <si>
    <t>Travel; Parking, tolls, fleet, mileage</t>
  </si>
  <si>
    <t>Contracts: outreach labor</t>
  </si>
  <si>
    <t>EE Community-specific Information materials</t>
  </si>
  <si>
    <t>EE Engagement Items</t>
  </si>
  <si>
    <t>Educational/demostration tools</t>
  </si>
  <si>
    <t>1 Program Coordinator</t>
  </si>
  <si>
    <t>3 Program Implementers</t>
  </si>
  <si>
    <t>Program Implementer OT</t>
  </si>
  <si>
    <t>Event Displays / Materials</t>
  </si>
  <si>
    <t>Training / Development</t>
  </si>
  <si>
    <t>Meals, lodging</t>
  </si>
  <si>
    <t>Travel - Parking, tolls, mileage</t>
  </si>
  <si>
    <t>Contract Event Staffing</t>
  </si>
  <si>
    <t>REM Booth Display Logistics</t>
  </si>
  <si>
    <t>BEM Booth Display Logistics</t>
  </si>
  <si>
    <t>EA's Outreach</t>
  </si>
  <si>
    <t>EME Outreach</t>
  </si>
  <si>
    <t>Event Supplies</t>
  </si>
  <si>
    <t>Office Displays</t>
  </si>
  <si>
    <t>Employee Engagement Collateral</t>
  </si>
  <si>
    <t>Regional Office Displays</t>
  </si>
  <si>
    <t>Independent Colleges of WA (ICW)</t>
  </si>
  <si>
    <t xml:space="preserve">Employee Engagement </t>
  </si>
  <si>
    <t>Independent Colleges of WA</t>
  </si>
  <si>
    <t>Services Brochures - REM</t>
  </si>
  <si>
    <t>Services Brochures- BEM</t>
  </si>
  <si>
    <t>Rebates Brochures</t>
  </si>
  <si>
    <t>Custom Photography</t>
  </si>
  <si>
    <t>Stock Photography</t>
  </si>
  <si>
    <t>REM Pieces</t>
  </si>
  <si>
    <t>BEM Pieces</t>
  </si>
  <si>
    <t>EA / BEM Contact Cards</t>
  </si>
  <si>
    <t>Case Study Collateral</t>
  </si>
  <si>
    <t>2-year pro rata, versus ramp rate in IRP</t>
  </si>
  <si>
    <t>Imported Energy Advisors, EV Chargers, EEC, Mkt Integration</t>
  </si>
  <si>
    <r>
      <t>Imported evaluation---</t>
    </r>
    <r>
      <rPr>
        <sz val="10"/>
        <color rgb="FFFF0000"/>
        <rFont val="Arial"/>
        <family val="2"/>
      </rPr>
      <t>MISSING LABOR!!</t>
    </r>
  </si>
  <si>
    <t>Office Supplies</t>
  </si>
  <si>
    <t>Training and Conferences</t>
  </si>
  <si>
    <t>Marketing labor</t>
  </si>
  <si>
    <t>Marketing Manager</t>
  </si>
  <si>
    <t>General Marketing</t>
  </si>
  <si>
    <t>Cross-Channel Marketing</t>
  </si>
  <si>
    <t>Employee Expense</t>
  </si>
  <si>
    <t>Field Services</t>
  </si>
  <si>
    <t>Incentive Processing</t>
  </si>
  <si>
    <t>Materials Budget</t>
  </si>
  <si>
    <t>Misc. Budget</t>
  </si>
  <si>
    <t>Showerhead - Engagement_C - Elec WH (E)</t>
  </si>
  <si>
    <t>Showerhead - Engagement_EO - Elec WH</t>
  </si>
  <si>
    <t>Showerhead - Retail_C - Any WH - 1.50 gpm and less (E)</t>
  </si>
  <si>
    <t>Showerhead - Retail_C - Any WH - 1.51 to 1.75 gpm (E)</t>
  </si>
  <si>
    <t>Showerhead - Retail_C - Any WH - 1.76 to 2.0 gpm (E)</t>
  </si>
  <si>
    <t>Showerhead - Retail_EO - Any WH - 1.50 gpm and less</t>
  </si>
  <si>
    <t>Showerhead - Retail_EO - Any WH - 1.51 to 1.75 gpm</t>
  </si>
  <si>
    <t>Showerhead - Retail_EO - Any WH - 1.76 to 2.0 gpm</t>
  </si>
  <si>
    <t>Showerhead - ShowerStart - 1.5 gpm (E)</t>
  </si>
  <si>
    <t>per unit</t>
  </si>
  <si>
    <t>Res Water Heat</t>
  </si>
  <si>
    <t>Showerhead - Engagement_C - Elec WH (G)</t>
  </si>
  <si>
    <t>Showerhead - Retail - Gas WH - 1.50 gpm and less</t>
  </si>
  <si>
    <t>Showerhead - Retail - Gas WH - 1.51 to 1.75 gpm</t>
  </si>
  <si>
    <t>Showerhead - Retail - Gas WH - 1.76 to 2.0 gpm</t>
  </si>
  <si>
    <t>Showerhead - Retail_C - Any WH - 1.50 gpm and less (G)</t>
  </si>
  <si>
    <t>Showerhead - Retail_C - Any WH - 1.51 to 1.75 gpm (G)</t>
  </si>
  <si>
    <t>Showerhead - Retail_C - Any WH - 1.76 to 2.0 gpm (G)</t>
  </si>
  <si>
    <t>Showerhead - Retail_GO - Any WH - 1.50 gpm and less</t>
  </si>
  <si>
    <t>Showerhead - Retail_GO - Any WH - 1.51 to 1.75 gpm</t>
  </si>
  <si>
    <t>Showerhead - Retail_GO - Any WH - 1.76 to 2.0 gpm</t>
  </si>
  <si>
    <t>Showerhead - ShowerStart - 1.5 gpm (G)</t>
  </si>
  <si>
    <t>Order #18230XXX</t>
  </si>
  <si>
    <t xml:space="preserve">Marketing Manager </t>
  </si>
  <si>
    <t xml:space="preserve">Marketing Support </t>
  </si>
  <si>
    <t>Employee Expense Budget</t>
  </si>
  <si>
    <t>Advanced Power Strips</t>
  </si>
  <si>
    <t>Clothes Washer Replacement Electric WH / Electric Dryer - Frontload</t>
  </si>
  <si>
    <t>Freezer Decomm</t>
  </si>
  <si>
    <t>LED: Engagement - Appl Repl</t>
  </si>
  <si>
    <t>Refrigerator CEE Tier 1</t>
  </si>
  <si>
    <t xml:space="preserve">Refrigerator CEE Tier 2 </t>
  </si>
  <si>
    <t>Refrigerator CEE Tier 3</t>
  </si>
  <si>
    <t>Refrigerator Decomm</t>
  </si>
  <si>
    <t>Showerhead - Engagement_C - Appl Repl - 1.5 gpm (E)</t>
  </si>
  <si>
    <t>Showerhead - Engagement_EO - Appl Repl - 1.5 gpm</t>
  </si>
  <si>
    <t>Clothes Washer CEE Tier 1 Any WH/Any Dryer - Frontload</t>
  </si>
  <si>
    <t>Clothes Washer CEE Tier 2 Any WH/Any Dryer</t>
  </si>
  <si>
    <t>Clothes Washer CEE Tier 3 Any WH/Any Dryer</t>
  </si>
  <si>
    <t>HP Clothes Dryer - Vented</t>
  </si>
  <si>
    <t>HP Clothes Dryer - Ventless</t>
  </si>
  <si>
    <t>Energy Star Freezer</t>
  </si>
  <si>
    <t>Res Plug Load</t>
  </si>
  <si>
    <t>Res Refrigerator</t>
  </si>
  <si>
    <t>Res Lighting</t>
  </si>
  <si>
    <t>Started importing REM programs</t>
  </si>
  <si>
    <t>Finished evaluation budgets</t>
  </si>
  <si>
    <t>Reconciled Syd France's groups</t>
  </si>
  <si>
    <t>Imported MyData</t>
  </si>
  <si>
    <t>Imported Verification Team and Rebates Processing</t>
  </si>
  <si>
    <t>Showerhead - Engagement_C - Appl Repl - 1.5 gpm (G)</t>
  </si>
  <si>
    <t>Clothes Washer AnyWH/Any Dryer - Topload</t>
  </si>
  <si>
    <t>Marketing Modules</t>
  </si>
  <si>
    <t>Phone expense, office supplies</t>
  </si>
  <si>
    <t>Materials Expense Budget</t>
  </si>
  <si>
    <t>Opower</t>
  </si>
  <si>
    <t>Misc, Expense Budget</t>
  </si>
  <si>
    <t>per home</t>
  </si>
  <si>
    <t>Energy Management Engineer</t>
  </si>
  <si>
    <t>Marketing Lead</t>
  </si>
  <si>
    <t>Shareholder</t>
  </si>
  <si>
    <t>Repairs</t>
  </si>
  <si>
    <t>Appliances: Refrigerator Replacement ~ TE, MF</t>
  </si>
  <si>
    <t>Appliances: Refrigerator Replacement ~ TE, MH</t>
  </si>
  <si>
    <t>Appliances: Refrigerator Replacement ~ TE, SF</t>
  </si>
  <si>
    <t>Furnace / Heating: Ductless Heat Pump ~ TE, SF</t>
  </si>
  <si>
    <t>Furnace / Heating: Ductless Heat Pump ~ TE, MH</t>
  </si>
  <si>
    <t>Water Heater: Electric Water Heater (.95 EF) ~ TE, MF</t>
  </si>
  <si>
    <t>Water Heater: Electric Water Heater (.95 EF) ~ TE, MH</t>
  </si>
  <si>
    <t>Water Heater: Electric Water Heater (.95 EF) ~ TE, SF</t>
  </si>
  <si>
    <t>Insulation, Ceiling: Attic Insulation (R0 to R19) ~ TE, MF</t>
  </si>
  <si>
    <t xml:space="preserve">Insulation, Ceiling: Attic Insulation (R0 to R19) ~ TE, MH </t>
  </si>
  <si>
    <t>Insulation, Ceiling: Attic Insulation (R0 to R19) ~ TE, SF</t>
  </si>
  <si>
    <t>Insulation, Attic: R0 to R30 ~ TE, MH</t>
  </si>
  <si>
    <t>Insulation, Ceiling: Attic Insulation (R0 to R38) ~ TE, MF</t>
  </si>
  <si>
    <t>Insulation, Ceiling: Attic Insulation (R0 to R38) ~ TE, SF</t>
  </si>
  <si>
    <t>Insulation, Attic: R11 to R30 ~ TE, MH</t>
  </si>
  <si>
    <t>Insulation, Ceiling: Attic Insulation (R11 to R38) ~ TE, MF</t>
  </si>
  <si>
    <t>Insulation, Ceiling: Attic Insulation (R11 to R38) ~ TE, SF</t>
  </si>
  <si>
    <t>Insulation, Ceiling: Attic Insulation (R19 to R38) ~ TE, MF</t>
  </si>
  <si>
    <t>Insulation, Ceiling: Attic Insulation (R19 to R38) ~ TE, SF</t>
  </si>
  <si>
    <t>Insulation: Duct Insulation (R0-R11) ~ TE, MF</t>
  </si>
  <si>
    <t>Insulation: Duct Insulation (R0-R11) ~ TE, SF</t>
  </si>
  <si>
    <t>Insulation: Floor Insulation (R0-R19) ~ TE, MF</t>
  </si>
  <si>
    <t>Insulation: Floor Insulation (R0-R19) ~ TE, SF</t>
  </si>
  <si>
    <t>Insulation: Floor (R0 to R22) ~ TE, MH</t>
  </si>
  <si>
    <t>Insulation: Floor Insulation (R0-R30) ~ TE, MF</t>
  </si>
  <si>
    <t>Insulation: Floor Insulation (R0-R30) ~ TE, MH</t>
  </si>
  <si>
    <t>Insulation: Floor Insulation (R0-R30) ~ TE, SF</t>
  </si>
  <si>
    <t>Insulation: Floor (R11 to R22) ~ TE, MH</t>
  </si>
  <si>
    <t>Insulation: Floor Insulation (R11-R30) ~ TE, MF</t>
  </si>
  <si>
    <t>Insulation: Floor Insulation (R11-R30) ~ TE, SF</t>
  </si>
  <si>
    <t>Insulation: Wall Insulation (R0-R11) ~ TE, MF</t>
  </si>
  <si>
    <t>Insulation: Wall Insulation (R0-R11) ~ TE, MH</t>
  </si>
  <si>
    <t>Insulation: Wall Insulation (R0-R11) ~ TE, SF</t>
  </si>
  <si>
    <t>Low Cost: Showerheads 2.0 GPM ~ TE, MF</t>
  </si>
  <si>
    <t>Low Cost: Showerheads 2.0 GPM ~ TE, MH</t>
  </si>
  <si>
    <t>Low Cost: Showerheads 2.0 GPM~ TE, SF</t>
  </si>
  <si>
    <t>Duct Sealing: Duct Sealing ~ TE, MH</t>
  </si>
  <si>
    <t>Duct Sealing: Duct Sealing ~ TE, SF</t>
  </si>
  <si>
    <t>Structure Sealing: Shell Sealing ~ TE, MH</t>
  </si>
  <si>
    <t>Structure Sealing: Shell Sealing ~ TE, SF</t>
  </si>
  <si>
    <t>MF Air Sealing~All Areas</t>
  </si>
  <si>
    <t>ENERGY STAR Whole House Ventilation w/Air Sealing~MF</t>
  </si>
  <si>
    <t>EnergyStar Whole House Ventilation ~ TE, MF</t>
  </si>
  <si>
    <t>EnergyStar Whole House Ventilation ~ TE, MH</t>
  </si>
  <si>
    <t>EnergyStar Whole House Ventilation ~ TE, SF</t>
  </si>
  <si>
    <t>Water Heater: Pipe Insulation ~ TE, MF</t>
  </si>
  <si>
    <t>Water Heater: Pipe Insulation ~ TE, MH</t>
  </si>
  <si>
    <t>Water Heater: Pipe Insulation ~ TE, SF</t>
  </si>
  <si>
    <t>Windows: Windows - Double to Triple Pane ~ TE, MF</t>
  </si>
  <si>
    <t>Windows: Windows - Double to Triple Pane ~ TE, SF</t>
  </si>
  <si>
    <t>Windows: Windows - Early Double to EF Double ~ TE, MF</t>
  </si>
  <si>
    <t>Windows: Windows - Early Double to EF Double ~ TE, MH</t>
  </si>
  <si>
    <t>Windows: Windows - Early Double to EF Double ~ TE, SF</t>
  </si>
  <si>
    <t>Windows: Windows - Single to Double Pane ~ TE, MF</t>
  </si>
  <si>
    <t>Windows: Windows - Single to Double Pane ~ TE, MH</t>
  </si>
  <si>
    <t>Windows: Windows - Single to Double Pane ~ TE, SF</t>
  </si>
  <si>
    <t>Windows: Windows - Single to Triple Pane ~ TE, MF</t>
  </si>
  <si>
    <t>Windows: Windows - Single to Triple Pane ~ TE, SF</t>
  </si>
  <si>
    <t>Thermostat: Electronic ~ TE, SF</t>
  </si>
  <si>
    <t>Common Area Measures: Common Area Lighting ~ TE, MF (Treat Savings)</t>
  </si>
  <si>
    <t>SIR Measure: ERVs (Treat Savings)</t>
  </si>
  <si>
    <t>SIR Measure: DHPs (Treat Savings)</t>
  </si>
  <si>
    <t>SIR measure: HPWH (Treat Savings)</t>
  </si>
  <si>
    <t>SIR Measure: Slab on Grade Insulation (Treat Savings)</t>
  </si>
  <si>
    <t>SIR Measures: MF Air Sealing 20+ units (Treat Savings)</t>
  </si>
  <si>
    <t>LED A Lamps~TE, MF (SIR Measure--Prescriptive Savings)</t>
  </si>
  <si>
    <t>LED A Lamps~TE, MH (SIR Measure--Prescriptive Savings)</t>
  </si>
  <si>
    <t>LED A Lamps~TE, SF (SIR Measure--Prescriptive Savings)</t>
  </si>
  <si>
    <t>LED Candelabra~TE, MF (SIR Measure--Prescriptive Savings)</t>
  </si>
  <si>
    <t>LED Candelabra~TE, SF (SIR Measure--Prescriptive Savings)</t>
  </si>
  <si>
    <t>Heat Pump Water Heater Tier 1  ~ TE, SF</t>
  </si>
  <si>
    <t>Heat Pump Water Heater Tier 1  ~ TE, MH</t>
  </si>
  <si>
    <t>Heat Pump Water Heater Tier 2  ~ TE, SF</t>
  </si>
  <si>
    <t>Heat Pump Water Heater Tier 2  ~ TE, MH</t>
  </si>
  <si>
    <t>Advanced Power Strip Direct Install ~SF</t>
  </si>
  <si>
    <t>Advanced Power Strip Direct Install ~MF</t>
  </si>
  <si>
    <t>Advanced Power Strip Direct Install ~MH</t>
  </si>
  <si>
    <t>LED Candelabra "TE, MH (SIR Measure--Prescriptive Savings)</t>
  </si>
  <si>
    <t>LED Globe "TE, SF  (SIR Measure--Prescriptive Savings)</t>
  </si>
  <si>
    <t>LED Globe "TE, MF (SIR Measure--Prescriptive Savings)</t>
  </si>
  <si>
    <t>LED Globe "TE, MH (SIR Measure--Prescriptive Savings)</t>
  </si>
  <si>
    <t>T8 Retrofit LED, "TE, MF (SIR Measure--Prescriptive Savings)</t>
  </si>
  <si>
    <t>Aerator - 1.5 gpm EWH - Direct Install, SF</t>
  </si>
  <si>
    <t>Aerator - 1.5 gpm EWH - Direct Install, MF</t>
  </si>
  <si>
    <t>Aerator - 1.5 gpm EWH - Direct Install, MH</t>
  </si>
  <si>
    <t>Web enabled themostats~TE, SF</t>
  </si>
  <si>
    <t>Insulation, Ceiling: Attic Insulation (R0 to R49) ~ TE, SF</t>
  </si>
  <si>
    <t>Insulation, Ceiling: Attic Insulation (R0 to R49) ~ TE, MF</t>
  </si>
  <si>
    <t>Insulation, Ceiling: Attic Insulation (R11 to R49) ~ TE, SF</t>
  </si>
  <si>
    <t>Insulation, Ceiling: Attic Insulation (R19 to R49) ~ TE, MF</t>
  </si>
  <si>
    <t>LED Fixture ~TE, SF</t>
  </si>
  <si>
    <t>LED fixture ~TE, MF</t>
  </si>
  <si>
    <t>LED fixture ~TE, MH</t>
  </si>
  <si>
    <t>calculated</t>
  </si>
  <si>
    <t>square foot</t>
  </si>
  <si>
    <t>linear foot</t>
  </si>
  <si>
    <t>SF Space Heat</t>
  </si>
  <si>
    <t>MF Space Heat</t>
  </si>
  <si>
    <t>Comm Lighting</t>
  </si>
  <si>
    <t>Comm Water Heat</t>
  </si>
  <si>
    <t>1st Year NEBs per Unit</t>
  </si>
  <si>
    <t>OPower</t>
  </si>
  <si>
    <t>Bill inserts, collateral, media</t>
  </si>
  <si>
    <t xml:space="preserve">Travel, tolls, meals, lodging, etc. </t>
  </si>
  <si>
    <t xml:space="preserve">Miscellaneous </t>
  </si>
  <si>
    <t>Efficient 95% Gas Furnace (Note:  Raised from 90%)</t>
  </si>
  <si>
    <t>Energy Star qualified Boilers (95% AFUE)</t>
  </si>
  <si>
    <t xml:space="preserve">High Efficiency Natural Gas Fireplace </t>
  </si>
  <si>
    <t>NEW Integrated Space &amp; Water Heating</t>
  </si>
  <si>
    <t>Web-Enabled Thermostat</t>
  </si>
  <si>
    <t>Res Space Heat</t>
  </si>
  <si>
    <t>Bill Inserts, Collateral, Media</t>
  </si>
  <si>
    <t xml:space="preserve">EE Initiatives </t>
  </si>
  <si>
    <t>Travel, tolls, meals, lodging, phone expense</t>
  </si>
  <si>
    <t>Program Implementation</t>
  </si>
  <si>
    <t>APS - Advanced Power Strip</t>
  </si>
  <si>
    <t>Globe LED - DI</t>
  </si>
  <si>
    <t>HEA - In-Home</t>
  </si>
  <si>
    <t>Reflector LED - BR30</t>
  </si>
  <si>
    <t>HEA - Online</t>
  </si>
  <si>
    <t>Residentail Aerators 1 GPM</t>
  </si>
  <si>
    <t>Residentail Aerators 1.5 GPM</t>
  </si>
  <si>
    <t>Rental Assessment</t>
  </si>
  <si>
    <t>Pop-Up Retail Management</t>
  </si>
  <si>
    <t>ShopPSE Maintenance</t>
  </si>
  <si>
    <t>A-Lamp LED</t>
  </si>
  <si>
    <t>Candelabra LED</t>
  </si>
  <si>
    <t>Globe LED</t>
  </si>
  <si>
    <t>Indoor LED Fixture</t>
  </si>
  <si>
    <t>MR-16 LED</t>
  </si>
  <si>
    <t>Outdoor LED Fixture</t>
  </si>
  <si>
    <t>Reflector LED</t>
  </si>
  <si>
    <t>Retrofit Kit LED</t>
  </si>
  <si>
    <t>T8 Retrofit LED</t>
  </si>
  <si>
    <t>T8 Fixture LED</t>
  </si>
  <si>
    <t>1st Year</t>
  </si>
  <si>
    <t>DIM</t>
  </si>
  <si>
    <t>Elec - MHDS Direct Install LED A-Lamp</t>
  </si>
  <si>
    <t>Elec - MHDS Direct Install LED Globe</t>
  </si>
  <si>
    <t>Elec - MHDS Showerhead - Direct Install #1</t>
  </si>
  <si>
    <t>Elec - Manufactured Home Duct Sealing- Level 1 (In Park)</t>
  </si>
  <si>
    <t>Elec - Manufactured Home Duct Sealing- Level 1 (Out of Park)</t>
  </si>
  <si>
    <t>Elec - Manufactured Home Duct Sealing- Level 3 (In Park)</t>
  </si>
  <si>
    <t>Elec - Manufactured Home Duct Sealing- Level 3 (Out of Park)</t>
  </si>
  <si>
    <t>Mobile Home Floor Insulation R-0 to R-22</t>
  </si>
  <si>
    <t>Web-Enabled Thermostat (Retail)</t>
  </si>
  <si>
    <t>Web-Enabled Thermostat (Contractor Installed)</t>
  </si>
  <si>
    <t>NEBs per Unit</t>
  </si>
  <si>
    <t xml:space="preserve">Travel, meals, lodging, phone, etc. </t>
  </si>
  <si>
    <t>Ductless Heat Pump</t>
  </si>
  <si>
    <t>Ductless Heat Pump (Manufactured Homes)</t>
  </si>
  <si>
    <t>Energy Star Geothermal Heat Pump</t>
  </si>
  <si>
    <t>Energy Star Heat Pump - Tier 2 = 9.0 HSPF, 14 SEER</t>
  </si>
  <si>
    <t>Forced-air-furnace to Heat Pump Conversion (&gt;= 8.5 HSPF, 14 SEER)</t>
  </si>
  <si>
    <t>Heat Pump Sizing &amp; Lock out Controls</t>
  </si>
  <si>
    <t>NEW Energy Star Heat Pump - Tier 3 = 10.0 HSPF, 16 SEER</t>
  </si>
  <si>
    <t>SF Heat Pump</t>
  </si>
  <si>
    <t>High Efficiency Electric Water Heater (=&gt; .95 EF)</t>
  </si>
  <si>
    <t>NEEA Northern Climate Specs Heat Pump Water Heater - Tier 1</t>
  </si>
  <si>
    <t>NEEA Northern Climate Specs Heat Pump Water Heater - Tier 2</t>
  </si>
  <si>
    <t>NEEA Northern Climate Specs Heat Pump Water Heater- Tier 3</t>
  </si>
  <si>
    <t>EE Initiatives</t>
  </si>
  <si>
    <t>Phone, office supplies, equipment</t>
  </si>
  <si>
    <t>Air Sealing CFM50 - FAF</t>
  </si>
  <si>
    <t>Air Sealing CFM50 - HP</t>
  </si>
  <si>
    <t>Air Sealing CFM50 - Zonal</t>
  </si>
  <si>
    <t>Attic Insulation R-0 to R-49 FAF</t>
  </si>
  <si>
    <t>Attic Insulation R-0 to R-49 HP</t>
  </si>
  <si>
    <t>Attic Insulation R-0 to R-49 Zonal</t>
  </si>
  <si>
    <t>Attic Insulation R-11 to R-49 - FAF</t>
  </si>
  <si>
    <t>Attic Insulation R-11 to R-49 - HP</t>
  </si>
  <si>
    <t>Attic Insulation R-11 to R-49 - Zonal</t>
  </si>
  <si>
    <t>Energy Star Whole House Ventilation</t>
  </si>
  <si>
    <t>Floor Insulation R-0 to R-30 FAF</t>
  </si>
  <si>
    <t>Floor Insulation R-0 to R-30 HP</t>
  </si>
  <si>
    <t>Floor Insulation R-0 to R-30 Zonal</t>
  </si>
  <si>
    <t>Home Performance with Energy Star</t>
  </si>
  <si>
    <t>Prescriptive Duct Sealing and Insulation - Electric</t>
  </si>
  <si>
    <t>Wall Insulation R-0 to R-13 FAF</t>
  </si>
  <si>
    <t>Wall Insulation R-0 to R-13 HP</t>
  </si>
  <si>
    <t>Wall Insulation R-0 to R-13 Zonal</t>
  </si>
  <si>
    <t>Windows - Double Pane to U.30 - FAF</t>
  </si>
  <si>
    <t>Windows - Double Pane to U.30 - HP</t>
  </si>
  <si>
    <t>Windows - Double Pane to U.30 - Zonal</t>
  </si>
  <si>
    <t>Windows - Single Pane to U.30 - FAF</t>
  </si>
  <si>
    <t>Windows - Single Pane to U.30 - HP</t>
  </si>
  <si>
    <t>Windows - Single Pane to U.30 - Zonal</t>
  </si>
  <si>
    <t xml:space="preserve"> Insulated Door ENERGY STAR</t>
  </si>
  <si>
    <t>Energy Star Whole House Ventilation with Air Sealing</t>
  </si>
  <si>
    <t>Low-e Storm Window Double Pane Metal Framed - FAF</t>
  </si>
  <si>
    <t>Low-e Storm Window Double Pane Metal Framed - HP</t>
  </si>
  <si>
    <t>Low-e Storm Window Double Pane Metal Framed - Zonal</t>
  </si>
  <si>
    <t>Marketing Manager/Coordinator</t>
  </si>
  <si>
    <t>Trainings, Bus Passes, Travel, Fleet</t>
  </si>
  <si>
    <t>New Home Trends Database</t>
  </si>
  <si>
    <t>Office Supplies, Printing, Phones, etc.</t>
  </si>
  <si>
    <t xml:space="preserve">Marketing Communications Budget </t>
  </si>
  <si>
    <t>Marketing Communications</t>
  </si>
  <si>
    <t>Travel, meals, lodging, phone</t>
  </si>
  <si>
    <t xml:space="preserve">Program Implementation </t>
  </si>
  <si>
    <t xml:space="preserve">E2G Fuel Conv - Space &amp; WH - BB </t>
  </si>
  <si>
    <t xml:space="preserve">E2G Fuel Conv - Space &amp; WH - FA </t>
  </si>
  <si>
    <t xml:space="preserve">E2G Fuel Conv - Space Heat Only - BB </t>
  </si>
  <si>
    <t xml:space="preserve">E2G Fuel Conv - Space Heat Only - FA </t>
  </si>
  <si>
    <t>E2G Fuel Conv - WH Only - Storage</t>
  </si>
  <si>
    <t>E2G Fuel Conv - WH Only - Tankless</t>
  </si>
  <si>
    <t xml:space="preserve">E2G Fuel Conv- Natural Gas Dryer </t>
  </si>
  <si>
    <t xml:space="preserve">E2G Fuel Conv- Natural Gas Range </t>
  </si>
  <si>
    <t>Marketing Support</t>
  </si>
  <si>
    <t>Marketing Events, material, mailings etc.</t>
  </si>
  <si>
    <t>Training, travel, lodging, phone expense</t>
  </si>
  <si>
    <t>Program Implementer Labor</t>
  </si>
  <si>
    <t>SEM Labor</t>
  </si>
  <si>
    <t>Advanced Power Strip (IR) - Direct Install</t>
  </si>
  <si>
    <t>Aerator - 1.5 gpm EWH - Direct Install</t>
  </si>
  <si>
    <t xml:space="preserve">Air Sealing </t>
  </si>
  <si>
    <t>Attic Insulation R0 to R38</t>
  </si>
  <si>
    <t>Attic Insulation R11 to R38</t>
  </si>
  <si>
    <t>Clothes Washer CEE Tier 3 (EWH/Edryer)</t>
  </si>
  <si>
    <t>Common Area Lighting (Calculated)</t>
  </si>
  <si>
    <t>Energy Star Heat Pump - Tier 3 = 10.0 HSPF, 16 SEER</t>
  </si>
  <si>
    <t>Energy Star LED Fixture</t>
  </si>
  <si>
    <t>Energy Star Ventilation Fan</t>
  </si>
  <si>
    <t>Energy Star Ventilation Fan with Air Sealing</t>
  </si>
  <si>
    <t>Floor Insulation R0 to R30</t>
  </si>
  <si>
    <t>Floor Insulation R11 to R30</t>
  </si>
  <si>
    <t>HRV/ERV</t>
  </si>
  <si>
    <t>Heat Pump Water Heater (Tier 1) - In Unit</t>
  </si>
  <si>
    <t>Heat Pump Water Heater (Tier 2) - In Unit</t>
  </si>
  <si>
    <t>LED - A-Lamp - Direct Install</t>
  </si>
  <si>
    <t>LED - Candelabra - Direct Install</t>
  </si>
  <si>
    <t>LED - MR-16 - Direct Install</t>
  </si>
  <si>
    <t>LED - PAR30 - Direct Install</t>
  </si>
  <si>
    <t>LED Globe - Direct Install</t>
  </si>
  <si>
    <t>LED Reflector - Direct Install</t>
  </si>
  <si>
    <t>Parking Garage CO Sensor (Calculated)</t>
  </si>
  <si>
    <t>Pool Heat Pump</t>
  </si>
  <si>
    <t>Refrigerator Decommissioning</t>
  </si>
  <si>
    <t>Refrigerator Replacement</t>
  </si>
  <si>
    <t>Showerhead - Max 1.5 gpm EWH - Direct Install</t>
  </si>
  <si>
    <t>Solar Pool Heater (Calculated)</t>
  </si>
  <si>
    <t>Thermostatic Restrictor Handheld Showerhead</t>
  </si>
  <si>
    <t>Thermostatic Restrictor Showerhead</t>
  </si>
  <si>
    <t>Thermostatic Restrictor Showerhead Adaptor</t>
  </si>
  <si>
    <t>Variable Speed Drive</t>
  </si>
  <si>
    <t>Wall Insulation R0 to R11</t>
  </si>
  <si>
    <t>Water Heater (0.95+) - In-unit</t>
  </si>
  <si>
    <t>Water Heater Pipewrap - Direct Install</t>
  </si>
  <si>
    <t>Windows (double to double paned) U= 0.6 to 0.30</t>
  </si>
  <si>
    <t>Windows (double to triple paned) U= 0.6 to 0.22</t>
  </si>
  <si>
    <t>Windows (single to double paned) U= 1.2 to 0.30</t>
  </si>
  <si>
    <t>Windows (single to triple paned) U= 1.2 to 0.22</t>
  </si>
  <si>
    <t>ENERGY STAR Doors</t>
  </si>
  <si>
    <t>Dishwashers CEE Tier 1 (EWH)</t>
  </si>
  <si>
    <t>LED - T8 - Tenant Controlled</t>
  </si>
  <si>
    <t>CBTU</t>
  </si>
  <si>
    <t>ELV Web-Enabled Thermostats</t>
  </si>
  <si>
    <t>ENERGY STAR Clothes Dryer (Ventless)</t>
  </si>
  <si>
    <t>ENERGY STAR Clothes Dryer (Vented)</t>
  </si>
  <si>
    <t>Envelope Bonus</t>
  </si>
  <si>
    <t>ELV Programmable Thermostats</t>
  </si>
  <si>
    <t>Aerator - 1.0 gpm EWH - Direct Install</t>
  </si>
  <si>
    <t>Comm Space Heat</t>
  </si>
  <si>
    <t>Clothes Washer 2.4+ MEF CEE Tier 3</t>
  </si>
  <si>
    <t>Corridor Lighting Power Density</t>
  </si>
  <si>
    <t>Garage Lighting Power Density</t>
  </si>
  <si>
    <t>Showerhead - Max 1.50 gpm EWH</t>
  </si>
  <si>
    <t>Showerhead - Max 1.75 gpm EWH</t>
  </si>
  <si>
    <t>Stairwell bi-level &gt;3 &lt;10 floors</t>
  </si>
  <si>
    <t>Stairwell bi-level &gt;= 10 floors</t>
  </si>
  <si>
    <t>Aerator - 1.5 gpm GWH - Direct Install</t>
  </si>
  <si>
    <t>Attic Insulation R-0 to R-38</t>
  </si>
  <si>
    <t>Attic Insulation R-11 to R-38</t>
  </si>
  <si>
    <t>Boiler (Domestic Water + Space Heating) Replacement (Calculated)</t>
  </si>
  <si>
    <t>Boiler (Domestic Water) Replacement (Calculated)</t>
  </si>
  <si>
    <t>Boiler (Pool Heating ) (Calculated)</t>
  </si>
  <si>
    <t>Boiler (Space Heating ) Replacement (Calculated)</t>
  </si>
  <si>
    <t>Floor Insulation R-0 to R-30</t>
  </si>
  <si>
    <t>High Efficiency Natural Gas Fireplace - In-unit</t>
  </si>
  <si>
    <t>Integrated Space &amp; Water Heating Natural Gas Boiler - In-unit</t>
  </si>
  <si>
    <t>Natural Gas Boiler (.95 AFUE) - In-unit</t>
  </si>
  <si>
    <t>Natural Gas Furnace (.95 AFUE) - In-unit</t>
  </si>
  <si>
    <t>Showerhead - Max 1.5 gpm GWH - Direct Install</t>
  </si>
  <si>
    <t>Variable Speed Drive - Gas</t>
  </si>
  <si>
    <t>Wall Insulation R-0 to R-11</t>
  </si>
  <si>
    <t>Aerator - 1.0 gpm GWH - Direct Install</t>
  </si>
  <si>
    <t>Third Party Administration</t>
  </si>
  <si>
    <t>Third Party Implementation</t>
  </si>
  <si>
    <t>G Aer (GAS) 0.50 GPM</t>
  </si>
  <si>
    <t>G Aer (GAS) 1.0 GPM</t>
  </si>
  <si>
    <t>Pre-rinse sprayer, SBO &gt;2.6 to 1.6 (GAS)</t>
  </si>
  <si>
    <t>Pre-rinse sprayer, SBO 1.6 to 1.6 (GAS)</t>
  </si>
  <si>
    <t>Pre-rinse sprayer, SBO 2.2 to 1.6 (GAS)</t>
  </si>
  <si>
    <t>Pre-rinse sprayer, SBO 2.6 to 1.6 (GAS)</t>
  </si>
  <si>
    <t>Super Low Flow Shwrhd Std (GAS)</t>
  </si>
  <si>
    <t>Retro commissioning and Calculated Measures</t>
  </si>
  <si>
    <t>Programmable Communicating Thermostat (Gas)</t>
  </si>
  <si>
    <t xml:space="preserve">Marketing Labor </t>
  </si>
  <si>
    <t>Travel, tolls, meals, lodging</t>
  </si>
  <si>
    <t>Energy Savings Consulting Services</t>
  </si>
  <si>
    <t>LED: Hard Wired Recessed Can Retrofit Kit</t>
  </si>
  <si>
    <t>LED: Integral Decorative</t>
  </si>
  <si>
    <t xml:space="preserve">LED: Integral Omnidirectional </t>
  </si>
  <si>
    <t>LED: Integral, Replacing R/BR/PAR 20</t>
  </si>
  <si>
    <t>LED: Integral, Replacing R/BR/PAR 30</t>
  </si>
  <si>
    <t>LED: Integral, Replacing R/BR/PAR 38 &amp; 40</t>
  </si>
  <si>
    <t>LED: MR/PAR 16</t>
  </si>
  <si>
    <t>TLED 4'</t>
  </si>
  <si>
    <t>Other</t>
  </si>
  <si>
    <t>HVAC Demand Control Ventilation (Heat Pump)</t>
  </si>
  <si>
    <t>High Efficiency HVAC Retrofit</t>
  </si>
  <si>
    <t>HVAC Premium Service</t>
  </si>
  <si>
    <t xml:space="preserve">Web Enabled Thermostats </t>
  </si>
  <si>
    <t>HVAC Demand Control Ventilation (Gas Pack)</t>
  </si>
  <si>
    <t>Advanced Rooftop Controls 2000-4000 hours</t>
  </si>
  <si>
    <t>Advanced Rooftop Controls greater than 4000 hours</t>
  </si>
  <si>
    <t>Marketing program manager</t>
  </si>
  <si>
    <t>Sales Incentive - Dishwasher ST or MT - $50</t>
  </si>
  <si>
    <t>Commercial Washer - EWH / E Dryer</t>
  </si>
  <si>
    <t>Commercial Washer - EWH Only</t>
  </si>
  <si>
    <t>Commercial Washer - E Dryer Only</t>
  </si>
  <si>
    <t>Commercial Fryer</t>
  </si>
  <si>
    <t>Steam Cooker - 3 Pan - $250</t>
  </si>
  <si>
    <t>Steam Cooker - 4 Pan - $250</t>
  </si>
  <si>
    <t>Steam Cooker - 5 Pan - $250</t>
  </si>
  <si>
    <t>Steam Cooker - 6 Pan - $500</t>
  </si>
  <si>
    <t>Steam Cooker - 10 Pan - $500</t>
  </si>
  <si>
    <t>Ice Machine -  101 to 300 lbs Ice per Day</t>
  </si>
  <si>
    <t>Ice Machine - 301 to 500 lbs Ice per Day</t>
  </si>
  <si>
    <t>Ice Machine - 501 to 1000 lbs Ice per Day</t>
  </si>
  <si>
    <t>Ice Machine - 1001 to 1500 lbs Ice per Day</t>
  </si>
  <si>
    <t>Ice Machine -  Greater Than 1500 lbs Ice Per Day</t>
  </si>
  <si>
    <t>Convection Oven - Half Size - $500</t>
  </si>
  <si>
    <t>Convection Oven - Full Size - $1000</t>
  </si>
  <si>
    <t>Convection Oven - Double - $2000</t>
  </si>
  <si>
    <t>Combination Oven - $1000</t>
  </si>
  <si>
    <t>Dishwasher - Under Counter Low Temp - $150</t>
  </si>
  <si>
    <t>Dishwasher - Under Counter - High Temp - $150</t>
  </si>
  <si>
    <t>Dishwasher - Under Counter High Temp - Electric Booster</t>
  </si>
  <si>
    <t>Dishwasher - Door Type Low Temp - $750</t>
  </si>
  <si>
    <t>Dishwasher - Door Type High Temp - $750</t>
  </si>
  <si>
    <t>Dishwasher - Door Type High Temp - Electric Booster</t>
  </si>
  <si>
    <t>Dishwasher - ST Low Temp - $1000</t>
  </si>
  <si>
    <t>Dishwasher - ST Low Temp - Incidental Elec Savings</t>
  </si>
  <si>
    <t>Dishwasher - ST High Temp - $1000</t>
  </si>
  <si>
    <t>Dishwasher - ST High Temp - Electric Booster</t>
  </si>
  <si>
    <t>Dishwasher - MT Low Temp - $1500</t>
  </si>
  <si>
    <t>Dishwasher - MT High Temp - $1500</t>
  </si>
  <si>
    <t>Dishwasher - MT High Temp - Electric Booster</t>
  </si>
  <si>
    <t>Sales Incentive - Fryer - $30</t>
  </si>
  <si>
    <t>Sales Incentive - Steam Cooker - $30</t>
  </si>
  <si>
    <t>Sales Incentive - $30</t>
  </si>
  <si>
    <t>Sales Incentive - Comml Ovens - $50</t>
  </si>
  <si>
    <t>Sales Incentive - Dishwasher UC or DT - $30</t>
  </si>
  <si>
    <t>Comm Cooking</t>
  </si>
  <si>
    <t>Comm Refrigeration</t>
  </si>
  <si>
    <t>Marketing Materials &amp; Efforts</t>
  </si>
  <si>
    <t>Third Party Administrative Costs</t>
  </si>
  <si>
    <t>LED Open sign</t>
  </si>
  <si>
    <t>Load Sensing Smart Strip</t>
  </si>
  <si>
    <t>Activity Sensing Smart Controller</t>
  </si>
  <si>
    <t>Occupancy Sensors (&lt;100W)</t>
  </si>
  <si>
    <t>Occupancy Sensors (&gt;100W And &lt;150W)</t>
  </si>
  <si>
    <t>Occupancy Sensors (&gt;150W And &lt;200W)</t>
  </si>
  <si>
    <t>Occupancy Sensors (&gt;200W And &lt;450W)</t>
  </si>
  <si>
    <t>Occupancy Sensors (&gt;450)</t>
  </si>
  <si>
    <t>LED Exit Sign</t>
  </si>
  <si>
    <t>2' 1L T8 28w</t>
  </si>
  <si>
    <t xml:space="preserve"> 3' 1L T8 28w</t>
  </si>
  <si>
    <t>4' 1L T8 28w</t>
  </si>
  <si>
    <t>4' 1L LED</t>
  </si>
  <si>
    <t>4' 1L T8 to LED</t>
  </si>
  <si>
    <t>4' 2L T8 28w</t>
  </si>
  <si>
    <t>4' 2L LED</t>
  </si>
  <si>
    <t xml:space="preserve"> 4' 3L T8 28w</t>
  </si>
  <si>
    <t xml:space="preserve"> 4' 3L LED</t>
  </si>
  <si>
    <t>4' 2L T8 28w (delamp &amp; reflector)</t>
  </si>
  <si>
    <t>4' 2L LED (delamp &amp; reflector)</t>
  </si>
  <si>
    <t>4' 4L T8 28w</t>
  </si>
  <si>
    <t>4' 4L LED</t>
  </si>
  <si>
    <t>4' 3L T8 28w (delamp)</t>
  </si>
  <si>
    <t>4' 3L LED (delamp)</t>
  </si>
  <si>
    <t xml:space="preserve"> 4' 2L T8 28w (delamp &amp; reflector)</t>
  </si>
  <si>
    <t xml:space="preserve"> 4' 2L LED (delamp &amp; reflector)</t>
  </si>
  <si>
    <t>4' 2L T8 28W (retro kit 2L 8')</t>
  </si>
  <si>
    <t>4' 2L LED (retro kit 2L 8')</t>
  </si>
  <si>
    <t>4' 4L T8 28W (retro kit 4L 8')</t>
  </si>
  <si>
    <t>4' 4L LED (retro kit 4L 8')</t>
  </si>
  <si>
    <t>4' 4L T8 28W (retro kit 4L 8' NBF)</t>
  </si>
  <si>
    <t>4' 4L LED (retro kit 4L 8' NBF)</t>
  </si>
  <si>
    <t xml:space="preserve"> 4' 2L T8 28w (retro kit delamp)</t>
  </si>
  <si>
    <t xml:space="preserve"> 4' 2L LED (retro kit delamp)</t>
  </si>
  <si>
    <t>LED Fixture</t>
  </si>
  <si>
    <t>4' 6L T8 (NBF)</t>
  </si>
  <si>
    <t>80w LED Fixture</t>
  </si>
  <si>
    <t>2L F17T8 (NBF)</t>
  </si>
  <si>
    <t>2L F25T8 (NBF)</t>
  </si>
  <si>
    <t>2L F28T8 (NBF)</t>
  </si>
  <si>
    <t xml:space="preserve">Fixture LED, 35w Area (barn) w/ photo </t>
  </si>
  <si>
    <t>LED Canopy fixture</t>
  </si>
  <si>
    <t>Fixture LED, &lt;30w Wall pack (small) w/ photo</t>
  </si>
  <si>
    <t>Recessed Can 8" LED</t>
  </si>
  <si>
    <t>LED A Lamp 7W</t>
  </si>
  <si>
    <t>LED A Lamp 11W</t>
  </si>
  <si>
    <t>LED A Lamp 5W Globe</t>
  </si>
  <si>
    <t>LED MR 16</t>
  </si>
  <si>
    <t>LED Direction Par 20</t>
  </si>
  <si>
    <t>LED Direction Par 30</t>
  </si>
  <si>
    <t>LED Par 38 &amp; 40</t>
  </si>
  <si>
    <t>LED Decorative</t>
  </si>
  <si>
    <t>E Aer (ELEC) 0.5 GPM</t>
  </si>
  <si>
    <t>E Aer (ELEC) 1.0 GPM</t>
  </si>
  <si>
    <t>Pre-rinse sprayer, SBO &gt;2.6 to 1.6</t>
  </si>
  <si>
    <t>Pre-rinse sprayer, SBO 1.6 to 1.6</t>
  </si>
  <si>
    <t>Pre-rinse sprayer, SBO 2.2 to 1.6</t>
  </si>
  <si>
    <t>Pre-rinse sprayer, SBO 2.6 to 1.6</t>
  </si>
  <si>
    <t>Super Low Flow Shwrhd - Std (ELEC)</t>
  </si>
  <si>
    <t>Super Low Flow Shwrhd - Fitness Cntr (ELEC)</t>
  </si>
  <si>
    <t>Refrigerated DC 5' T12 to LED</t>
  </si>
  <si>
    <t>Refrigerated DC 5' T8 to LED</t>
  </si>
  <si>
    <t>Refrigerated DC 6' T12 to LED</t>
  </si>
  <si>
    <t>Refrigerated DC 6' T8 to LED</t>
  </si>
  <si>
    <t>Gaskets for Walk-In Freezer - Main Door</t>
  </si>
  <si>
    <t>Gaskets for Walk-In Cooler - Main Door</t>
  </si>
  <si>
    <t>Vending Cooler Miser</t>
  </si>
  <si>
    <t>Suction Line Insulation for Walk-In Refrigeration Units</t>
  </si>
  <si>
    <t>Suction Line Insulation for Walk-In Freezer Units</t>
  </si>
  <si>
    <t>Refrigeration - Food Service -Auto Closer for Main Cooler Doors</t>
  </si>
  <si>
    <t>Refrigeration - Food Service -Auto Closer for Main Freezer Doors</t>
  </si>
  <si>
    <t>Night Covers for Multi-deck and Horizontal Display Case</t>
  </si>
  <si>
    <t>Strip Curtains - G Store - Freezer</t>
  </si>
  <si>
    <t>Strip Curtains - G Store - Cooler</t>
  </si>
  <si>
    <t>Strip Curtains - C Store - Freezer</t>
  </si>
  <si>
    <t>Strip Curtains - Rest - Freezer</t>
  </si>
  <si>
    <t>Display Case ECM</t>
  </si>
  <si>
    <t>Walk-In ECM</t>
  </si>
  <si>
    <t>Case Lighting - Occupancy Sensor / Dimming Controls</t>
  </si>
  <si>
    <t>Controls - Anti-Sweat Heat (Low Temp)</t>
  </si>
  <si>
    <t>Controls - Anti-Sweat Heat (Med Temp)</t>
  </si>
  <si>
    <t>Cases - Add doors to Open Medium Temp Cases</t>
  </si>
  <si>
    <t>ECM Controller - High Temp</t>
  </si>
  <si>
    <t>ECM Controller- Low Temp</t>
  </si>
  <si>
    <t>Controls - Floating Head Pressure - Medium Temp</t>
  </si>
  <si>
    <t>Controls - Floating Head Pressure - Low Temp</t>
  </si>
  <si>
    <t>Andress Enpower HVAC Controller</t>
  </si>
  <si>
    <t>Small Pkg AC,  increase refrigerant charge from typical under-charge to factory specified level</t>
  </si>
  <si>
    <t>Small Pkg AC, increase refrigerant charge from high under-charge to factory specified level</t>
  </si>
  <si>
    <t>Small Pkg AC, decrease refrigerant charge from typical over-charge to factory specified level</t>
  </si>
  <si>
    <t>Small Pkg AC, decrease refrigerant charge from high over-charge to factory specified level</t>
  </si>
  <si>
    <t>Programmable Communicating Thermostat</t>
  </si>
  <si>
    <t>Packages Heat Pump (PTAC)</t>
  </si>
  <si>
    <t>Individual Energy Reports - Expansion - Rural</t>
  </si>
  <si>
    <t>Refill Year 1</t>
  </si>
  <si>
    <t>Employee training, travel, lodging</t>
  </si>
  <si>
    <t>Phone Expense, Office supplies</t>
  </si>
  <si>
    <t>Revenue (Enter as a negative value)</t>
  </si>
  <si>
    <t>Web-Enabled T-stat</t>
  </si>
  <si>
    <t>Manufacturer Parnterhips</t>
  </si>
  <si>
    <t>Web-Enabled Thermostats (Retail)</t>
  </si>
  <si>
    <t>Web-Enabled Thermostats (Contractor Installed)</t>
  </si>
  <si>
    <t>Premium Service</t>
  </si>
  <si>
    <t>Web Enabled Thermostats No Electric Heat</t>
  </si>
  <si>
    <t>HVAC retrofit</t>
  </si>
  <si>
    <t>HVAC Demand Control Ventilation - G</t>
  </si>
  <si>
    <t>WRA Membership Dues</t>
  </si>
  <si>
    <t>Commercial Fryer - G</t>
  </si>
  <si>
    <t>Steam Cooker - 3 Pan - $250 - G</t>
  </si>
  <si>
    <t>Steam Cooker - 4 Pan - $250 - G</t>
  </si>
  <si>
    <t>Steam Cooker - 5 Pan - $250 - G</t>
  </si>
  <si>
    <t>Steam Cooker - 6 Pan - $500 - G</t>
  </si>
  <si>
    <t>Steam Cooker - 10 Pan - $500 - G</t>
  </si>
  <si>
    <t>Convection Oven - Full Size - $1000 - G</t>
  </si>
  <si>
    <t>Convection Oven - Double - $2000 - G</t>
  </si>
  <si>
    <t>Combination Oven - $2000 - G</t>
  </si>
  <si>
    <t>Double Rack Oven - $2000 - G</t>
  </si>
  <si>
    <t>Conveyer Oven - $2000 - G</t>
  </si>
  <si>
    <t>Conveyer Oven - $4000 - G</t>
  </si>
  <si>
    <t>Dishwasher - Under Counter Low Temp - $150 - G</t>
  </si>
  <si>
    <t>Dishwasher - Under Counter High Temp - $0 - G</t>
  </si>
  <si>
    <t>Dishwasher - Door Type Low Temp - $750 - G</t>
  </si>
  <si>
    <t>Dishwasher - Door Type High Temp - $250 - G</t>
  </si>
  <si>
    <t>Dishwasher - ST Low Temp - $1000 - G</t>
  </si>
  <si>
    <t>Dishwasher - ST High Temp - $250 - G</t>
  </si>
  <si>
    <t>Dishwasher - MT Low Temp - $1500 - G</t>
  </si>
  <si>
    <t>Dishwasher - MT High Temp - $500 - G</t>
  </si>
  <si>
    <t>Hot Water Heater- Kitchen - G</t>
  </si>
  <si>
    <t>Boiler - Kitchen - G</t>
  </si>
  <si>
    <t>Sales Incentive - Fryer - $30 - G</t>
  </si>
  <si>
    <t>Sales Incentive - Steam Cooker - $30 - G</t>
  </si>
  <si>
    <t>Sales Incentive Comml Oven - $50 - G</t>
  </si>
  <si>
    <t>Sales Incentive - Under Counter Or Door Type - $30 - G</t>
  </si>
  <si>
    <t>Sales Incentive - Single or Multi Tank - $50 - G</t>
  </si>
  <si>
    <t>Commercial Washer - GWH / G Dryer</t>
  </si>
  <si>
    <t>Commercial Washer - GWH Only</t>
  </si>
  <si>
    <t>Commercial Washer - G Dryer Only</t>
  </si>
  <si>
    <t>Hot Water Heater - Laundry - G</t>
  </si>
  <si>
    <t>Boiler - Laundry - G</t>
  </si>
  <si>
    <t>Employee Training, travel, lodging</t>
  </si>
  <si>
    <t>Small Agr. Direct Install</t>
  </si>
  <si>
    <t>Lodging Direct Install</t>
  </si>
  <si>
    <t>1823xxxx</t>
  </si>
  <si>
    <t>Wheel/hand line systems: Replace worn nozzle with new flow controlling type nozzle for impact sprinklers - Western Washington and Oregon</t>
  </si>
  <si>
    <t>Wheel/hand line systems: Replace worn nozzle with new nozzle - Western Washington and Oregon</t>
  </si>
  <si>
    <t>Wheel/hand line systems: Rebuild or replace leaking impact sprinkler with new or rebuilt impact sprinkler - Western Washington and Oregon</t>
  </si>
  <si>
    <t>Wheel/hand line systems: Replace leaking gasket with new gasket - Western Washington and Oregon</t>
  </si>
  <si>
    <t>Wheel/hand line systems: Replace leaking drain with new drain - Western Washington and Oregon</t>
  </si>
  <si>
    <t>Wheel/hand line systems: Cut and pipe press repair of leaking hand-lines, wheel-lines, and portable main-lines - Western Washington and Oregon</t>
  </si>
  <si>
    <t>Thunderbird wheel line systems: Replace leaking hub with new hub - Western Washington and Oregon</t>
  </si>
  <si>
    <t>Wheel line systems: Rebuild or replace leaking or malfunctioning leveler with new or rebuilt leveler. - Western Washington and Oregon</t>
  </si>
  <si>
    <t>Center pivot/linear move systems: Install new sprinkler package on an existing system. - Western Washington and Oregon</t>
  </si>
  <si>
    <t>Center pivot/linear move systems: New gooseneck elbows - Western Washington and Oregon</t>
  </si>
  <si>
    <t>Center pivot/linear move systems: New drop tubes (3 feet minimum) - Western Washington and Oregon</t>
  </si>
  <si>
    <t>Center pivot/linear move systems: Replace leaking pivot boot gasket with new pivot boot gasket - Western Washington and Oregon</t>
  </si>
  <si>
    <t>Center pivot/linear move systems: Replace leaking tower gasket with new tower gasket - Western Washington and Oregon</t>
  </si>
  <si>
    <t>Freeze Resistant Stock Water Tanks/Fountains - Heating Zone 1</t>
  </si>
  <si>
    <t>Freeze Resistant Stock Water Tanks/Fountains - Heating Zone 2</t>
  </si>
  <si>
    <t>Variable Frequency Drive on Spud or Onion Shed Ventilation Fan - 5 HP</t>
  </si>
  <si>
    <t>Variable Frequency Drive on Spud or Onion Shed Ventilation Fan - 10 HP</t>
  </si>
  <si>
    <t>Variable Frequency Drive on Spud or Onion Shed Ventilation Fan - 15 HP</t>
  </si>
  <si>
    <t>Variable Frequency Drive on Spud or Onion Shed Ventilation Fan - 20 HP</t>
  </si>
  <si>
    <t>Variable Frequency Drive on Spud or Onion Shed Ventilation Fan - 25 HP</t>
  </si>
  <si>
    <t>Variable Frequency Drive on Spud or Onion Shed Ventilation Fan - 30 HP</t>
  </si>
  <si>
    <t>Variable Frequency Drive on Spud or Onion Shed Ventilation Fan - 35 HP</t>
  </si>
  <si>
    <t>Variable Frequency Drive on Spud or Onion Shed Ventilation Fan - 40 HP</t>
  </si>
  <si>
    <t>Variable Frequency Drive on Spud or Onion Shed Ventilation Fan - 45 HP</t>
  </si>
  <si>
    <t>Variable Frequency Drive on Spud or Onion Shed Ventilation Fan - 50 HP</t>
  </si>
  <si>
    <t>Evaporator Motor - Shaded Pole to ECM for Walk-ins &gt;23 Watt</t>
  </si>
  <si>
    <t>Evaporator Motor - Shaded Pole to ECM for Walk-ins ≤ 23 Watt</t>
  </si>
  <si>
    <t>Comm Flat</t>
  </si>
  <si>
    <t>Comm Cooling</t>
  </si>
  <si>
    <t>.05 FTE</t>
  </si>
  <si>
    <t>Revenue (enter as a negative amt)</t>
  </si>
  <si>
    <t>Occupancy Sensors (&gt;450W)</t>
  </si>
  <si>
    <t xml:space="preserve"> 4' 2L LED (retro kit delamp/)</t>
  </si>
  <si>
    <t>LED Pole Mount Fixture</t>
  </si>
  <si>
    <t>Int/Ext Recessed Can 8" LED</t>
  </si>
  <si>
    <t>Water Heater Line Insualtion (Elec)</t>
  </si>
  <si>
    <t>Packaged Terminal Heat Pump (PTHP)</t>
  </si>
  <si>
    <t>Kitchen Hood Vent Controlled/VFD (RETRO)</t>
  </si>
  <si>
    <t>Packaged Terminal Heat Pump (PTHP) occupancy control</t>
  </si>
  <si>
    <t>Pool Pump VFD</t>
  </si>
  <si>
    <t>Air Sealing CFM 50 - Gas</t>
  </si>
  <si>
    <t>Attic Insulation R-0 to R-49 - Gas</t>
  </si>
  <si>
    <t>Attic Insulation R-11 to R-49 - Gas</t>
  </si>
  <si>
    <t>CO Monitor</t>
  </si>
  <si>
    <t>Floor Insulation R-0 to R-30 - Gas</t>
  </si>
  <si>
    <t>Prescriptive Duct Sealing and Insulation - Gas</t>
  </si>
  <si>
    <t>Wall Insulation R-0 to R-13 - Gas</t>
  </si>
  <si>
    <t>Windows Double Pane to U.30 - Gas</t>
  </si>
  <si>
    <t>Windows Single Pane to U..30 - Gas</t>
  </si>
  <si>
    <t>Low-e Storm Window Double  Pane Metal Framed</t>
  </si>
  <si>
    <t>Condensing Boiler - Space Heat</t>
  </si>
  <si>
    <t>Condensing Boiler - DHW</t>
  </si>
  <si>
    <t>Condensing Water Heater - DHW</t>
  </si>
  <si>
    <t>Solar Thermal</t>
  </si>
  <si>
    <t>1.75 gpm max showerhead</t>
  </si>
  <si>
    <t>1.50 gpm max showerhead</t>
  </si>
  <si>
    <t>Material Purchases</t>
  </si>
  <si>
    <t>Employee training, development, certifications</t>
  </si>
  <si>
    <t>Ferry pass, travel, mileage, parking, tolls, lodging, meals</t>
  </si>
  <si>
    <t>ECOVA</t>
  </si>
  <si>
    <t>Phone equipment, mifi's, field equipment</t>
  </si>
  <si>
    <t>Safety Gear, uniform/field gear</t>
  </si>
  <si>
    <t>Ferry pass, travel, mileage, parking, tolls, meals, lodging</t>
  </si>
  <si>
    <t>Safety gear, uniform/field gear</t>
  </si>
  <si>
    <t>Small Agriculture Direct Install</t>
  </si>
  <si>
    <t>Rebates Processing</t>
  </si>
  <si>
    <t>Travel, mileage, parking, meals, lodging</t>
  </si>
  <si>
    <t>Office supplies</t>
  </si>
  <si>
    <t>Communications Contractor Support (.17)</t>
  </si>
  <si>
    <t>Water Heater Line Insualtion (Gas)</t>
  </si>
  <si>
    <t>AGENCY PAYMENTS</t>
  </si>
  <si>
    <t>Program Support Costs</t>
  </si>
  <si>
    <t>Furnace / Heating: Gas Furnace Replacement &gt;90% ~ TG, MF</t>
  </si>
  <si>
    <t>Furnace / Heating: Gas Furnace Replacement &gt;90% ~ TG, MH</t>
  </si>
  <si>
    <t>Furnace / Heating: Gas Furnace Replacement &gt;90% ~ TG, SF</t>
  </si>
  <si>
    <t>Insulation, Attic: R0 to R30 ~ TG, MH</t>
  </si>
  <si>
    <t>Insulation, Ceiling: Attic Insulation (R0 to R38) ~ TG, MF</t>
  </si>
  <si>
    <t>Insulation, Ceiling: Attic Insulation (R0 to R38) ~ TG, SF</t>
  </si>
  <si>
    <t>Insulation, Ceiling: Attic Insulation (R11 to R38) ~ TG, MF</t>
  </si>
  <si>
    <t>Insulation, Ceiling: Attic Insulation (R11 to R38) ~ TG, SF</t>
  </si>
  <si>
    <t>Insulation: Duct Insulation (R0-R11) ~ TG, MF</t>
  </si>
  <si>
    <t>Insulation: Duct Insulation (R0-R11) ~ TG, SF</t>
  </si>
  <si>
    <t>Insulation: Floor (R0 to R22) ~ TG, MH</t>
  </si>
  <si>
    <t>Insulation: Floor Insulation (R0-R30) ~ TG, MF</t>
  </si>
  <si>
    <t>Insulation: Floor Insulation (R0-R30) ~ TG, MH</t>
  </si>
  <si>
    <t>Insulation: Floor Insulation (R0-R30) ~ TG, SF</t>
  </si>
  <si>
    <t>Insulation: Wall Insulation (R0-R11) ~ TG, MF</t>
  </si>
  <si>
    <t>Insulation: Wall Insulation (R0-R11) ~ TG, MH</t>
  </si>
  <si>
    <t>Insulation: Wall Insulation (R0-R11) ~ TG, SF</t>
  </si>
  <si>
    <t>Low Cost: Showerheads 2.0 GPM ~ TG, MF</t>
  </si>
  <si>
    <t>Low Cost: Showerheads 2.0 GPM ~ TG, MH</t>
  </si>
  <si>
    <t>Low Cost: Showerheads 2.0 GPM~ TG, SF</t>
  </si>
  <si>
    <t>Duct Sealing: Duct Sealing ~ TG, MH</t>
  </si>
  <si>
    <t>Duct Sealing: Duct Sealing ~ TG, SF</t>
  </si>
  <si>
    <t>Structure Sealing: Shell Sealing ~ TG, MH</t>
  </si>
  <si>
    <t>Structure Sealing: Shell Sealing ~ TG, SF</t>
  </si>
  <si>
    <t>Water Heater: Pipe Insulation ~ TG, MF</t>
  </si>
  <si>
    <t>Water Heater: Pipe Insulation ~ TG, MH</t>
  </si>
  <si>
    <t>Water Heater: Pipe Insulation ~ TG, SF</t>
  </si>
  <si>
    <t>Common Area Measures: Space Heating Boiler Replacement ~ TG, MF</t>
  </si>
  <si>
    <t>Common Area Measures: Water Heating Boiler Replacement ~ TG, MF</t>
  </si>
  <si>
    <t>Common Area Measures: Combined Space and Water Heat TG. MF</t>
  </si>
  <si>
    <t>Integrated Space and Water Heat~SF</t>
  </si>
  <si>
    <t>Integrated Space and Water Heat~MF</t>
  </si>
  <si>
    <t>Aerator - 1.5 gpm GWH - Direct Install, SF</t>
  </si>
  <si>
    <t>Aerator - 1.5 gpm GWH - Direct Install, MF</t>
  </si>
  <si>
    <t>Aerator - 1.5 gpm GWH - Direct Install, MH</t>
  </si>
  <si>
    <t>Represented as DBtC</t>
  </si>
  <si>
    <t>IT Services</t>
  </si>
  <si>
    <t>IT Updates</t>
  </si>
  <si>
    <t>Web Tstat Detail_REM E214 Elec</t>
  </si>
  <si>
    <t>Lodging DI_E262 Elec</t>
  </si>
  <si>
    <t>Sm Agr DI_E262 Elect</t>
  </si>
  <si>
    <t>Sm Agr DI_G262 Gas</t>
  </si>
  <si>
    <t>1823nnnn</t>
  </si>
  <si>
    <t>Lodging DI_G262_Gas</t>
  </si>
  <si>
    <t>1823yyyy</t>
  </si>
  <si>
    <t xml:space="preserve">    Cellnet (Meter Data Collection Fees)</t>
  </si>
  <si>
    <t>IT for Resource Accounting Software</t>
  </si>
  <si>
    <t>449 Customers</t>
  </si>
  <si>
    <t>Non-449 Customers</t>
  </si>
  <si>
    <t>LPSD_Detail_Non-449 Elec</t>
  </si>
  <si>
    <t>LPSD_Detail_449_Elec</t>
  </si>
  <si>
    <t>Bellevue Urban Smart</t>
  </si>
  <si>
    <t>Bellevue Urban Smart (RCM)</t>
  </si>
  <si>
    <t>Order Number:</t>
  </si>
  <si>
    <t>Order Number: 18230414</t>
  </si>
  <si>
    <t>Contracted Services: EnerNOC + C+C</t>
  </si>
  <si>
    <t>IT Assistance</t>
  </si>
  <si>
    <t>RCM B-U-S Detail_E253 Elec</t>
  </si>
  <si>
    <t>Nexant DSM Ongoing support</t>
  </si>
  <si>
    <t>Automated Benchmarking System</t>
  </si>
  <si>
    <t>ResAcctSW Detail_PSWE_Elec</t>
  </si>
  <si>
    <t>ABS Detail_PSWE_Elec</t>
  </si>
  <si>
    <t>Resource Accounting Software</t>
  </si>
  <si>
    <t>ResAcctSW Detail_PSWE_Gas</t>
  </si>
  <si>
    <t>ABS Detail_PSWE_Gas</t>
  </si>
  <si>
    <t>Imported BEM</t>
  </si>
  <si>
    <t>Fixed array formula on portfolio view</t>
  </si>
  <si>
    <t>Removed references to MyDataManager &amp; fixed lookups</t>
  </si>
  <si>
    <t>Fixed Gas 2-year sector view date ranges</t>
  </si>
  <si>
    <t>Fixed Market integration labor budget amounts</t>
  </si>
  <si>
    <t>DX Web Program Manager</t>
  </si>
  <si>
    <t>(DX=Digital Experience)</t>
  </si>
  <si>
    <t>Communications Contractor Support</t>
  </si>
  <si>
    <t>Reduce non-marketing labor by 10% (accounts for PTO-minus-merit increases)</t>
  </si>
  <si>
    <t xml:space="preserve">     Marketing Labor</t>
  </si>
  <si>
    <t xml:space="preserve">Reduce marketing labor by 66.7%.  </t>
  </si>
  <si>
    <t>Did NOT adjust:  Eas, Market Integration, Market Research, Evaluation (already adjusted for PTO!)</t>
  </si>
  <si>
    <t>Reduced marketing labor by 33.3% (reduce salary default of $120,000/FTE to $80,000/FTE)</t>
  </si>
  <si>
    <t>Fixed MHDS program costs, per direction from PM</t>
  </si>
  <si>
    <t>Fixed link in 2017 Portfolio View.   Generation, Transmission, and Distribution pulling from wrong cell.</t>
  </si>
  <si>
    <t>Covering cost of annual RCM meeting, support for related organizations</t>
  </si>
  <si>
    <t>IT for Resource Accounting Sortware</t>
  </si>
  <si>
    <t>Ensured that all CI pages have overhead sub-totals that calculate, rather than fixed amounts</t>
  </si>
  <si>
    <t>Add FTE counts to CI pages</t>
  </si>
  <si>
    <t>Add Sector Gas and Electric Combined Comparison Tab</t>
  </si>
  <si>
    <t>Add Savings and Budget Comparison Tab with active formulas</t>
  </si>
  <si>
    <t>EE Outreach Budgets input, Independent Colleges of WA moved from Communities to Education</t>
  </si>
  <si>
    <t>EE Community-specific materials</t>
  </si>
  <si>
    <t>Employee engagement</t>
  </si>
  <si>
    <t>Home Energy Assessment</t>
  </si>
  <si>
    <t>Home Energy Assessments</t>
  </si>
  <si>
    <t>Changed the name of LIW to Weatherization Assistance and HomePrint to Home Energy Assessment</t>
  </si>
  <si>
    <t>Re-distribute NEEA electric budget</t>
  </si>
  <si>
    <t xml:space="preserve">Budget amounts account for additional funding Per paragraph 178, page 76, Order 7 of Docket 130137  re: decoupling </t>
  </si>
  <si>
    <t>Adjust EA budget per Ben Pelkey</t>
  </si>
  <si>
    <t>Added Executive Summary and Sector Intro tables</t>
  </si>
  <si>
    <t>All lines in the Portfolio view are coded with a reference, such as "aa" or "f".  This makes conference discussions and data requests much easier.</t>
  </si>
  <si>
    <t>In all program detail pages, program names, order number, and fuel type are noted in both the horizontal and vertical margins, providing a quick reference</t>
  </si>
  <si>
    <t>Added DBtC percentages to 2-year sector views</t>
  </si>
  <si>
    <t>Fix gas sector view BEM totals</t>
  </si>
  <si>
    <t>Change Weatherization Assistance back to LIW</t>
  </si>
  <si>
    <t>Readers will notice that, on the Sector View pages, the line for Commercial Direct Install (Non-SBDI) is hidden.  That's because the measures that</t>
  </si>
  <si>
    <t>Import REM updated program content</t>
  </si>
  <si>
    <t>Refrigerator Replacement Year 1-10</t>
  </si>
  <si>
    <t>Refrigerator Replacement Year 1-15</t>
  </si>
  <si>
    <t>Clothes Washer Replacement Electric WH / Electric Dryer - Top load</t>
  </si>
  <si>
    <t>Clothes Washer CEE Tier 1 Any WH/Any Dryer - Top load</t>
  </si>
  <si>
    <t>Adapter - ShowerStart (E)</t>
  </si>
  <si>
    <t>Adapter-ShowerStart - C_Electric Water Heat</t>
  </si>
  <si>
    <t>Showerhead-ShowerStart - C_Electric Water Heat</t>
  </si>
  <si>
    <t>Performance HVAC Program</t>
  </si>
  <si>
    <t>Adapter - ShowerStart (G)</t>
  </si>
  <si>
    <t>Adapter-ShowerStart - C_Gas Water Heat</t>
  </si>
  <si>
    <t>Showerhead-ShowerStart - C_Gas Water Heat</t>
  </si>
  <si>
    <t xml:space="preserve">Whole Building </t>
  </si>
  <si>
    <t>Limited Time Offer Incentive Increases</t>
  </si>
  <si>
    <t>MH Air Source Heat Pump</t>
  </si>
  <si>
    <t>Additional Measures evaluated by Consultant (RFP)</t>
  </si>
  <si>
    <t>Premium Service Implementatin</t>
  </si>
  <si>
    <t>Energy Advisor</t>
  </si>
  <si>
    <t>2' 1L T12 to 2' 1L T8 2015</t>
  </si>
  <si>
    <t>3' 1L T12 to 3' 1L T8 2015</t>
  </si>
  <si>
    <t>4' 1L T12 to 4' 1L T8 2015</t>
  </si>
  <si>
    <t>4' 2L T12 HO to 4' 2L T8 2015</t>
  </si>
  <si>
    <t>4' 2L T12 to 4' 2L T8 2015</t>
  </si>
  <si>
    <t>4' 2L T12 to 4' 2L LED</t>
  </si>
  <si>
    <t>4' 2L T8 to 4' 2L LED</t>
  </si>
  <si>
    <t>4' 3L T12 HO to 4' 3L T8</t>
  </si>
  <si>
    <t xml:space="preserve"> 4' 3L T12 to 4' 3L LED</t>
  </si>
  <si>
    <t xml:space="preserve"> 4' 3L T8 to 4' 3L LED</t>
  </si>
  <si>
    <t>4' 4L T12 to 4' 2L T8 (delamp &amp; reflector)</t>
  </si>
  <si>
    <t xml:space="preserve">4' 4L T12 to 4' 4L T8 </t>
  </si>
  <si>
    <t>4' 4L T12 to 4' 3L T8 (delamp)</t>
  </si>
  <si>
    <t>4' 4L T12 HO to 4' 2L T8 (delamp &amp; reflector)</t>
  </si>
  <si>
    <t>8' 1L T12 HO F96 to 4' 2L 28W (retro kit 2L 8')</t>
  </si>
  <si>
    <t>8' 2L T12 HO F96 to 4' 4L 28W (retro kit 4L 8' NBF)</t>
  </si>
  <si>
    <t>8' 1L T8 F96 to 4' 2L 28W (retro kit 2L 8')</t>
  </si>
  <si>
    <t>8' 2L T8 F96 to 4' 4L 28W (retro kit 4L 8')</t>
  </si>
  <si>
    <t>8' 2L T12 Delamp to 4' 2L T8 (retro kit delamp)</t>
  </si>
  <si>
    <t>400W HID to 4' 6L T8 (HBF)</t>
  </si>
  <si>
    <t>80W Multi-Lamp Inc Fixture to 2L F17T8 (NBF)</t>
  </si>
  <si>
    <t>&lt;30W LED Wall Pack with Photocell</t>
  </si>
  <si>
    <t>Bi-Level</t>
  </si>
  <si>
    <t>2' 1L T12 HO To 2' 1L T8 2015</t>
  </si>
  <si>
    <t>custom incentives</t>
  </si>
  <si>
    <t>comprised this program are now offered through the Small Business, Agricultural, and Lodging Direct Install programs.  The lines (and corresponding</t>
  </si>
  <si>
    <t>detail pages--which now have red tabs) were not deleted, however, in case the program was brought out of hiatus in the future.</t>
  </si>
  <si>
    <t>EIA Penalty Target</t>
  </si>
  <si>
    <t xml:space="preserve">Plus Decoupling Commitment (5% add) </t>
  </si>
  <si>
    <t>2016-2017 Pilots</t>
  </si>
  <si>
    <t>Total 2016-2017 Portfolio Savings</t>
  </si>
  <si>
    <t>This figure is what Energy Efficiency is managing to.</t>
  </si>
  <si>
    <t>Exclude</t>
  </si>
  <si>
    <t>NEEA Savings</t>
  </si>
  <si>
    <t>Energy Report Pilots</t>
  </si>
  <si>
    <t>EIA Target + Decoupling Commitment. $50/MWh of shortfall.</t>
  </si>
  <si>
    <t>Add</t>
  </si>
  <si>
    <t>= a + b</t>
  </si>
  <si>
    <r>
      <t>= c * 0.05</t>
    </r>
    <r>
      <rPr>
        <sz val="8"/>
        <color theme="1"/>
        <rFont val="Arial"/>
        <family val="2"/>
      </rPr>
      <t xml:space="preserve"> </t>
    </r>
    <r>
      <rPr>
        <i/>
        <sz val="8"/>
        <color theme="1"/>
        <rFont val="Arial"/>
        <family val="2"/>
      </rPr>
      <t>("base" * 5%)</t>
    </r>
  </si>
  <si>
    <t>= e</t>
  </si>
  <si>
    <t>Adjusted the "how the target was built" table</t>
  </si>
  <si>
    <t>Updated evaluation</t>
  </si>
  <si>
    <t>PSE added new navigation buttons to the detail pages.  Now, readers can navigate directly to a corresponding gas or electric detail page.</t>
  </si>
  <si>
    <t>(The exception, of course, are those programs that are gas-or electric-only, or retired [red tab] programs.)</t>
  </si>
  <si>
    <t>Customer Digital  Experience</t>
  </si>
  <si>
    <t>Update REM figures from Dennis Rominger</t>
  </si>
  <si>
    <t>Added "go to electric/gas page" buttons to every detail page</t>
  </si>
  <si>
    <t>Imported BEM programs</t>
  </si>
  <si>
    <t>$50/MWh shortfall penalty</t>
  </si>
  <si>
    <t>Decoupling Commitment</t>
  </si>
  <si>
    <t>= d</t>
  </si>
  <si>
    <t>Imported SBDI electric adjustments</t>
  </si>
  <si>
    <t>Energy Report Pilots without verified savings</t>
  </si>
  <si>
    <t>Total natural gas savings subject to penalty</t>
  </si>
  <si>
    <t>Adjusted "building the targets" tables</t>
  </si>
  <si>
    <t>2 year sector views change to vlookup formulas</t>
  </si>
  <si>
    <r>
      <t>Figure</t>
    </r>
    <r>
      <rPr>
        <b/>
        <i/>
        <sz val="10"/>
        <color rgb="FF5566E3"/>
        <rFont val="Arial"/>
        <family val="2"/>
      </rPr>
      <t xml:space="preserve"> 3</t>
    </r>
    <r>
      <rPr>
        <sz val="10"/>
        <color theme="1"/>
        <rFont val="Arial"/>
        <family val="2"/>
      </rPr>
      <t>, Exhibit i</t>
    </r>
  </si>
  <si>
    <r>
      <t xml:space="preserve">line </t>
    </r>
    <r>
      <rPr>
        <b/>
        <i/>
        <sz val="10"/>
        <color rgb="FF5566E3"/>
        <rFont val="Arial"/>
        <family val="2"/>
      </rPr>
      <t>z</t>
    </r>
    <r>
      <rPr>
        <sz val="10"/>
        <color theme="1"/>
        <rFont val="Arial"/>
        <family val="2"/>
      </rPr>
      <t xml:space="preserve"> of Exhibit 1 Portfolio View</t>
    </r>
  </si>
  <si>
    <r>
      <t>line</t>
    </r>
    <r>
      <rPr>
        <sz val="10"/>
        <color rgb="FF0070C0"/>
        <rFont val="Arial"/>
        <family val="2"/>
      </rPr>
      <t xml:space="preserve"> </t>
    </r>
    <r>
      <rPr>
        <b/>
        <i/>
        <sz val="10"/>
        <color rgb="FF0070C0"/>
        <rFont val="Arial"/>
        <family val="2"/>
      </rPr>
      <t xml:space="preserve">l </t>
    </r>
    <r>
      <rPr>
        <sz val="10"/>
        <color theme="1"/>
        <rFont val="Arial"/>
        <family val="2"/>
      </rPr>
      <t>of Exhibit 1 Portfolio View</t>
    </r>
  </si>
  <si>
    <r>
      <t>= c + d + e; lines</t>
    </r>
    <r>
      <rPr>
        <sz val="10"/>
        <color rgb="FF0070C0"/>
        <rFont val="Arial"/>
        <family val="2"/>
      </rPr>
      <t xml:space="preserve"> bb</t>
    </r>
    <r>
      <rPr>
        <sz val="10"/>
        <color theme="1"/>
        <rFont val="Arial"/>
        <family val="2"/>
      </rPr>
      <t xml:space="preserve"> </t>
    </r>
    <r>
      <rPr>
        <sz val="10"/>
        <color rgb="FF0070C0"/>
        <rFont val="Arial"/>
        <family val="2"/>
      </rPr>
      <t xml:space="preserve">&amp; bf </t>
    </r>
    <r>
      <rPr>
        <sz val="10"/>
        <color theme="1"/>
        <rFont val="Arial"/>
        <family val="2"/>
      </rPr>
      <t>of Exhibit 1 Portfolio View</t>
    </r>
  </si>
  <si>
    <r>
      <t xml:space="preserve">line </t>
    </r>
    <r>
      <rPr>
        <u/>
        <sz val="10"/>
        <color rgb="FF0070C0"/>
        <rFont val="Arial"/>
        <family val="2"/>
      </rPr>
      <t xml:space="preserve">aa </t>
    </r>
    <r>
      <rPr>
        <u/>
        <sz val="10"/>
        <color theme="1"/>
        <rFont val="Arial"/>
        <family val="2"/>
      </rPr>
      <t>of Exhibit 1</t>
    </r>
    <r>
      <rPr>
        <sz val="10"/>
        <color theme="1"/>
        <rFont val="Arial"/>
        <family val="2"/>
      </rPr>
      <t xml:space="preserve"> Portfolio View</t>
    </r>
  </si>
  <si>
    <r>
      <t>= c + d; line</t>
    </r>
    <r>
      <rPr>
        <sz val="10"/>
        <color rgb="FF0070C0"/>
        <rFont val="Arial"/>
        <family val="2"/>
      </rPr>
      <t xml:space="preserve"> bb</t>
    </r>
    <r>
      <rPr>
        <sz val="10"/>
        <color theme="1"/>
        <rFont val="Arial"/>
        <family val="2"/>
      </rPr>
      <t xml:space="preserve"> of Exhibit 1 Portfolio View</t>
    </r>
  </si>
  <si>
    <r>
      <t xml:space="preserve">line </t>
    </r>
    <r>
      <rPr>
        <sz val="10"/>
        <color rgb="FF0070C0"/>
        <rFont val="Arial"/>
        <family val="2"/>
      </rPr>
      <t xml:space="preserve">ab </t>
    </r>
    <r>
      <rPr>
        <sz val="10"/>
        <color theme="1"/>
        <rFont val="Arial"/>
        <family val="2"/>
      </rPr>
      <t>of Exhibit 1 Portfolio View</t>
    </r>
  </si>
  <si>
    <t>Page 24, July 16 CRAG meeting presentation</t>
  </si>
  <si>
    <t>2016-2017 Behavioral Pilots</t>
  </si>
  <si>
    <t>Revised building the target tables to remove decoupling target from EIA calc</t>
  </si>
  <si>
    <t>Decoupling Commitment Amount</t>
  </si>
  <si>
    <t>Resultant Targets</t>
  </si>
  <si>
    <t>Total Exclusion</t>
  </si>
  <si>
    <t>= g + h + i</t>
  </si>
  <si>
    <t>= f + j</t>
  </si>
  <si>
    <t>Remove these elements in order to calculate the EIA penalty target.</t>
  </si>
  <si>
    <t>These are specific elements that comprise the Portfolio View of Exhibit 1.</t>
  </si>
  <si>
    <t>All prgrams contribute to the decoupling commitment.</t>
  </si>
  <si>
    <t>Resultant Target</t>
  </si>
  <si>
    <t>These are specific elements that comprise the Portfolio View of Exhibit 1</t>
  </si>
  <si>
    <t>Remove these elements in order to calculate the penalty target.</t>
  </si>
  <si>
    <t>= e + h</t>
  </si>
  <si>
    <t>= f + g</t>
  </si>
  <si>
    <r>
      <t>Colored cells correspond to indicated lines in Exhibit 1:</t>
    </r>
    <r>
      <rPr>
        <i/>
        <sz val="10"/>
        <color theme="1"/>
        <rFont val="Arial"/>
        <family val="2"/>
      </rPr>
      <t xml:space="preserve"> Savings and Budgets, 2-Year Portfolio View</t>
    </r>
    <r>
      <rPr>
        <sz val="10"/>
        <color theme="1"/>
        <rFont val="Arial"/>
        <family val="2"/>
      </rPr>
      <t>.</t>
    </r>
  </si>
  <si>
    <t>Plus Legacy HER</t>
  </si>
  <si>
    <t>Total Base Savings</t>
  </si>
  <si>
    <t>Plus Energy Reports Pilots Without Verified Savings</t>
  </si>
  <si>
    <t xml:space="preserve">Some programs in the Portfolio and Sector Views, (Single Family Existing and Electronic Media Tools &amp; Marketing, for instance) are comprised </t>
  </si>
  <si>
    <t>of sub-groupings.</t>
  </si>
  <si>
    <t>Total, All Programs, less (NEEA + Energy Report Pilots)</t>
  </si>
  <si>
    <t>Puget Sound Energy 2016-2017 Electric Portfolio Savings</t>
  </si>
  <si>
    <t>It is important to note that many specific natural gas program total values include decimals. Their aggregation may</t>
  </si>
  <si>
    <t>result in slight rounding differences between this table and the Portfolio View of Exhibit 1.</t>
  </si>
  <si>
    <t>NEEA Natural Gas Market Transformation</t>
  </si>
  <si>
    <t>1823gggg</t>
  </si>
  <si>
    <t>Program Staff</t>
  </si>
  <si>
    <t>Marketing Staff</t>
  </si>
  <si>
    <t>2-year Avg</t>
  </si>
  <si>
    <t>2-year Average</t>
  </si>
  <si>
    <t xml:space="preserve">Marketing Staff  </t>
  </si>
  <si>
    <t>Subtotals</t>
  </si>
  <si>
    <t>GRAND TOTALS</t>
  </si>
  <si>
    <t>Prog+Mktg</t>
  </si>
  <si>
    <t>Electric + Gas</t>
  </si>
  <si>
    <t>Y</t>
  </si>
  <si>
    <t>N--0.65</t>
  </si>
  <si>
    <t>N--0.88</t>
  </si>
  <si>
    <t>BCU includes 2 more energy advisors than are accounted for in WBS FTE view</t>
  </si>
  <si>
    <t>WBS FTE view includes 1.25 FTE that aren't accounted for in BCP (Bill H prog impl + Gas Growth MM)</t>
  </si>
  <si>
    <t>WBS FTE view omitts Gurvinder Singh</t>
  </si>
  <si>
    <t>Number</t>
  </si>
  <si>
    <t>Result</t>
  </si>
  <si>
    <t>Cost Center</t>
  </si>
  <si>
    <t>4430-REM</t>
  </si>
  <si>
    <t>4440-BEM</t>
  </si>
  <si>
    <t>4429-Rebates &amp; Verification</t>
  </si>
  <si>
    <t>4445-Porgrams Support</t>
  </si>
  <si>
    <t>4507-CPA/BECAR/Planning</t>
  </si>
  <si>
    <t>5380-Market Research</t>
  </si>
  <si>
    <t>4427-Mkt Integration/DX</t>
  </si>
  <si>
    <t>1445-Digital Experience</t>
  </si>
  <si>
    <t>3545-Net Metering</t>
  </si>
  <si>
    <t>Non-EES specific</t>
  </si>
  <si>
    <r>
      <rPr>
        <b/>
        <sz val="10"/>
        <color theme="1"/>
        <rFont val="Arial"/>
        <family val="2"/>
      </rPr>
      <t>Cost Center Sub-totals</t>
    </r>
    <r>
      <rPr>
        <sz val="10"/>
        <color theme="1"/>
        <rFont val="Arial"/>
        <family val="2"/>
      </rPr>
      <t xml:space="preserve"> (Excludes Marketing staff embedded in REM and BEM programs.  Total Marketing FTE is in orange columns.)</t>
    </r>
  </si>
  <si>
    <t>4425-Energy Advisors</t>
  </si>
  <si>
    <r>
      <t xml:space="preserve">Sub-total, "EES-only" </t>
    </r>
    <r>
      <rPr>
        <sz val="10"/>
        <color theme="1"/>
        <rFont val="Arial"/>
        <family val="2"/>
      </rPr>
      <t>(reporting directly to Bob Stolarski)</t>
    </r>
  </si>
  <si>
    <t>(All marketing staff report to CC 1445.  No labor is charged to Digital Experience in BCP.)</t>
  </si>
  <si>
    <t>Sub-total, Non-EES specific</t>
  </si>
  <si>
    <t>Embedded Marketing staff (from cell Q97)</t>
  </si>
  <si>
    <t>TOTAL CC (excluding embedded Marketing)</t>
  </si>
  <si>
    <t>GRAND TOTAL</t>
  </si>
  <si>
    <t>4420-BEAR</t>
  </si>
  <si>
    <t>4426-Outreach/Events/Brochures</t>
  </si>
  <si>
    <t>Elec Order #</t>
  </si>
  <si>
    <t>Gas Order #</t>
  </si>
  <si>
    <t>Puget Sound Energy 2016-2017 Natural Gas Portfolio Savings</t>
  </si>
  <si>
    <r>
      <rPr>
        <b/>
        <sz val="14"/>
        <color rgb="FF0000FF"/>
        <rFont val="Arial"/>
        <family val="2"/>
      </rPr>
      <t xml:space="preserve">2017 </t>
    </r>
    <r>
      <rPr>
        <b/>
        <sz val="12"/>
        <rFont val="Arial"/>
        <family val="2"/>
      </rPr>
      <t>PSE Conservation Rider Savings Goals and Budgets</t>
    </r>
  </si>
  <si>
    <t xml:space="preserve">2016-2017 BCP: Original 2017 budget </t>
  </si>
  <si>
    <r>
      <t>2017</t>
    </r>
    <r>
      <rPr>
        <sz val="12"/>
        <color indexed="8"/>
        <rFont val="Calibri"/>
        <family val="2"/>
      </rPr>
      <t xml:space="preserve"> (Updated for 2017 ACP)</t>
    </r>
  </si>
  <si>
    <r>
      <rPr>
        <sz val="12"/>
        <color theme="0" tint="-0.34998626667073579"/>
        <rFont val="Calibri"/>
        <family val="2"/>
      </rPr>
      <t xml:space="preserve">2016 </t>
    </r>
    <r>
      <rPr>
        <b/>
        <sz val="12"/>
        <color theme="0" tint="-0.34998626667073579"/>
        <rFont val="Calibri"/>
        <family val="2"/>
      </rPr>
      <t>(Reference only)</t>
    </r>
  </si>
  <si>
    <t>First-year NEBs</t>
  </si>
  <si>
    <t>First-year NEBs per unit</t>
  </si>
  <si>
    <t>(2016 for reference only)</t>
  </si>
  <si>
    <t>(2017-Specific Values)</t>
  </si>
  <si>
    <t>Original 2017 Figures</t>
  </si>
  <si>
    <t>Micro Overhead</t>
  </si>
  <si>
    <t>Labor Overhead Rate</t>
  </si>
  <si>
    <t>Micro Overhead Rate</t>
  </si>
  <si>
    <t>2017 Micro OH rate</t>
  </si>
  <si>
    <t>Overhead (Please see Note 1 on right.)</t>
  </si>
  <si>
    <t>TOTAL OVERHEAD</t>
  </si>
  <si>
    <t>Micro-Overhead</t>
  </si>
  <si>
    <t>New for 2017, these expenditures are not incremental from 2016 budget amounts. Rather, this budget category reflects assessments (both labor and non-labor, such as office supplies, departmental meetings, group trainings, etc.) that were formerly calculated, aggregated, and then represented in the Labor category. A result of PSE accounting revisions implemented in 2017, this enhancement will provide a more direct view of expenditures that assess over a cost center, rather than directly to an order number. Annual Schedule 120 audits of assessed costs will become clearer.</t>
  </si>
  <si>
    <t>FTEs</t>
  </si>
  <si>
    <t>Total Employee Expense</t>
  </si>
  <si>
    <t>Total Materials</t>
  </si>
  <si>
    <t>Total Overhead</t>
  </si>
  <si>
    <t>Total Materials Expenses</t>
  </si>
  <si>
    <t xml:space="preserve">Program Labor </t>
  </si>
  <si>
    <t>Total Program Labor</t>
  </si>
  <si>
    <t>Program Labor</t>
  </si>
  <si>
    <t>Total Employee Expenses</t>
  </si>
  <si>
    <t>PROGRAM LABOR</t>
  </si>
  <si>
    <t>(2017-Specific Values. 2016 values are noted in measure table below.)</t>
  </si>
  <si>
    <t>2016 Measure Reference. Indicated savings values, measure cost, incentives, and unit totals are from original 2016-2017 BCP.  Updated 2017 figures are indicated in table above.</t>
  </si>
  <si>
    <t>(2016 figures in below table)</t>
  </si>
  <si>
    <t>Original 2017 Figures, as noted in 2016-2017 BCP</t>
  </si>
  <si>
    <t>2017 (Updated for 2017 ACP)</t>
  </si>
  <si>
    <t>Added 2017 Measure Table</t>
  </si>
  <si>
    <t>bk</t>
  </si>
  <si>
    <t>Demand Response</t>
  </si>
  <si>
    <r>
      <t xml:space="preserve">Demand Response </t>
    </r>
    <r>
      <rPr>
        <i/>
        <sz val="10"/>
        <color theme="1"/>
        <rFont val="Arial"/>
        <family val="2"/>
      </rPr>
      <t>(Residential + Commercial)</t>
    </r>
  </si>
  <si>
    <r>
      <t>E</t>
    </r>
    <r>
      <rPr>
        <sz val="10"/>
        <color rgb="FFFF0000"/>
        <rFont val="Arial"/>
        <family val="2"/>
      </rPr>
      <t>nnn</t>
    </r>
  </si>
  <si>
    <t>Demand Response, Residential</t>
  </si>
  <si>
    <t>Demand Response, Commercial</t>
  </si>
  <si>
    <r>
      <t xml:space="preserve">Schedule </t>
    </r>
    <r>
      <rPr>
        <sz val="10"/>
        <color rgb="FFFF0000"/>
        <rFont val="Arial"/>
        <family val="2"/>
      </rPr>
      <t>xxx</t>
    </r>
  </si>
  <si>
    <r>
      <t>1823</t>
    </r>
    <r>
      <rPr>
        <sz val="10"/>
        <color rgb="FFFF0000"/>
        <rFont val="Arial"/>
        <family val="2"/>
      </rPr>
      <t>nnnn</t>
    </r>
  </si>
  <si>
    <t>Residential</t>
  </si>
  <si>
    <t>Commercial</t>
  </si>
  <si>
    <t>Demnd Resp_Res_Exxx Elec</t>
  </si>
  <si>
    <t>Demnd Resp_Com_Exxx Elec</t>
  </si>
  <si>
    <t>Thermostat: Electronic ~ TE, MF</t>
  </si>
  <si>
    <t>Thermostat: Electronic ~ TE, MH</t>
  </si>
  <si>
    <t>Prescriptive air sealing - Attic</t>
  </si>
  <si>
    <t>Duct Sealing Only</t>
  </si>
  <si>
    <t>Showerhead - Handheld - Gas</t>
  </si>
  <si>
    <t xml:space="preserve">HEA - CAN - Gas </t>
  </si>
  <si>
    <t>MH Single Pane to U.30 - Gas</t>
  </si>
  <si>
    <t xml:space="preserve">HEA - Franklin - Gas </t>
  </si>
  <si>
    <t>CAN Licensing</t>
  </si>
  <si>
    <t>Optix Manage Licensing</t>
  </si>
  <si>
    <t>Optix Engage Licensing</t>
  </si>
  <si>
    <t>CAN Processing</t>
  </si>
  <si>
    <t>A-Lamp LED - DI</t>
  </si>
  <si>
    <t>Showerhead - Fixed - leave behind</t>
  </si>
  <si>
    <t>MH - Reflector LED - BR30</t>
  </si>
  <si>
    <t xml:space="preserve">MH - A-lamp LED </t>
  </si>
  <si>
    <t>MH - Globe LED</t>
  </si>
  <si>
    <t>MH - HEA - Franklin</t>
  </si>
  <si>
    <t>MH - HEA - CAN</t>
  </si>
  <si>
    <t>Showerhead - HH - leave behind</t>
  </si>
  <si>
    <t>HEA - Franklin</t>
  </si>
  <si>
    <t>HEA - CAN</t>
  </si>
  <si>
    <t>EIE - Water Treatment Savings - Gas SH</t>
  </si>
  <si>
    <t>A-Lamp LED - CFL Replacement</t>
  </si>
  <si>
    <t>Globe LED  - CFL Replacement</t>
  </si>
  <si>
    <t>BR30 LED - CFL Replacement</t>
  </si>
  <si>
    <t>Home Energy Reports (Original)- Gas</t>
  </si>
  <si>
    <t>Duct Sealing Only - FAF</t>
  </si>
  <si>
    <t>Duct Sealing Only - HP</t>
  </si>
  <si>
    <t>Prescriptive air sealing - Crawl Space</t>
  </si>
  <si>
    <t>MH - Low-e Storm Window DP MF - Resistance</t>
  </si>
  <si>
    <t>MH - Low-e Storm Window DP MF - HP</t>
  </si>
  <si>
    <t>MH - Single Pane to U.30 - Resistance</t>
  </si>
  <si>
    <t>MH - Single Pane to U.30 - HP</t>
  </si>
  <si>
    <t>MH - Floor Insulation - R-0 to R-22 - Resistance</t>
  </si>
  <si>
    <t>MH - Floor Insulation - R-0 to R-22 - HP</t>
  </si>
  <si>
    <t>MH - Prescriptive Duct Sealing - Single - Resistance</t>
  </si>
  <si>
    <t>MH - Prescriptive Duct Sealing - Single - HP</t>
  </si>
  <si>
    <t>MH - Prescriptive Duct Selaing - Double/Triple - Resistance</t>
  </si>
  <si>
    <t>MH - Prescriptive Duct Sealing - Double/Triple - HP</t>
  </si>
  <si>
    <t>Individual Energy Reports- Expansion- HRU (2017)</t>
  </si>
  <si>
    <t>Individual Energy Reports- Expansion- Rural (2017)</t>
  </si>
  <si>
    <t>Refill Year 1 (2017)</t>
  </si>
  <si>
    <t>Market research</t>
  </si>
  <si>
    <t>Aerator - WaterSense -C-Any WH -1.5 gpm - therm</t>
  </si>
  <si>
    <t>Aerator - WaterSense -C-Any WH -1.0 gpm</t>
  </si>
  <si>
    <t>Faucet - WaterSense - GO - Any WH - 1.5 gpm or less</t>
  </si>
  <si>
    <t>Faucet - WaterSense - C - Any WH - 1.5 gpm or less</t>
  </si>
  <si>
    <t>Aerator - WaterSense - GO - Any WH - 1.5 gpm or less</t>
  </si>
  <si>
    <t>Aerator - WaterSense - GO - Any WH - 1.0 gpm</t>
  </si>
  <si>
    <t>Home Energy Reports (Original) Electric</t>
  </si>
  <si>
    <t>Individual Energy Reports - Expansion- Electric Only</t>
  </si>
  <si>
    <t>Individual Energy Reports - Expansion- HRU</t>
  </si>
  <si>
    <t>Individual Energy Reports - Expansion- Electric Only (2017)</t>
  </si>
  <si>
    <t>Individual Energy Reports - Expansion- HRU (2017)</t>
  </si>
  <si>
    <t>Individual Energy Reports - Expansion - Rural (2017)</t>
  </si>
  <si>
    <t xml:space="preserve">Advertising;Claymation,General,Social </t>
  </si>
  <si>
    <t>Campaigns; Upgrades &amp; Cross-Sell</t>
  </si>
  <si>
    <t>Manufacturer Partnerships</t>
  </si>
  <si>
    <t>Charity Campaign</t>
  </si>
  <si>
    <t>Pop-Up Retail</t>
  </si>
  <si>
    <t>Energy Star Refrigerator</t>
  </si>
  <si>
    <t>CEE Tier 1 or above - Any WH/Any Dryer - Top load</t>
  </si>
  <si>
    <t>Energy Star Clothes Washer - Any WH/Any Dryer - Front load</t>
  </si>
  <si>
    <t>Aerator - Bath - Engagement - C - APPD - 1.0 gpm - kWh</t>
  </si>
  <si>
    <t>Aerator - Bath - Engagement - C - APPR - 1.0 gpm - kWh</t>
  </si>
  <si>
    <t>Aerator - Bath - Engagement - EO - APPD - 1.0 gpm</t>
  </si>
  <si>
    <t>Aerator - Bath - Engagement - EO - APPR - 1.0 gpm</t>
  </si>
  <si>
    <t>Aerator - Kitchen - Engagement - C - APPD - 1.5 gpm - kWh</t>
  </si>
  <si>
    <t>Aerator - Kitchen - Engagement - C - APPR - 1.5 gpm - kWh</t>
  </si>
  <si>
    <t>Aerator - Kitchen - Engagement - EO - APPD - 1.5 gpm</t>
  </si>
  <si>
    <t>Aerator - Kitchen - Engagement - EO - APPR - 1.5 gpm</t>
  </si>
  <si>
    <t>Faucet - WaterSense - EO - Any WH - 1.5 gpm or less</t>
  </si>
  <si>
    <t>Aerator - WaterSense - EO - Any WH - 1.5 gpm or less</t>
  </si>
  <si>
    <t>Aerator - WaterSense - EO - Any WH - 1.0 gpm</t>
  </si>
  <si>
    <t>Aerator - WaterSense -C-Any WH -1.5 gpm - kWh</t>
  </si>
  <si>
    <t>Aerator - WaterSense -C-Any WH -1.0 gpm -kWh</t>
  </si>
  <si>
    <t>Sports Sponsorships</t>
  </si>
  <si>
    <t>A-Lamp Induction (removed from 2017 forecast)</t>
  </si>
  <si>
    <t>Specialty CFL (no incentive effective 1/1/17)</t>
  </si>
  <si>
    <t>Standard CFL (no incentive effective 1/1/17)</t>
  </si>
  <si>
    <t>Value A-Lamp LED</t>
  </si>
  <si>
    <t>Clothes Washer Replacement Electric WH / Electric Dryer (front)</t>
  </si>
  <si>
    <t>Electronic Line Voltage Thermostats</t>
  </si>
  <si>
    <t>Clothes Washer Replacement Electric WH / Electric Dryer (top)</t>
  </si>
  <si>
    <t>SEM Performance Incentive Savings</t>
  </si>
  <si>
    <t>Aerator 1.0 gpm  -  SF direct install</t>
  </si>
  <si>
    <t>Aerator 1.5 gpm - SF direct install</t>
  </si>
  <si>
    <t>SF LED - A-Lamp - Direct Install</t>
  </si>
  <si>
    <t>SF LED - Candelabra - Direct Install</t>
  </si>
  <si>
    <t>SF LED - MR-16 - Direct Install</t>
  </si>
  <si>
    <t>SF LED Globe - Direct Install</t>
  </si>
  <si>
    <t>SF LED Reflector - Direct Install</t>
  </si>
  <si>
    <t>SF Water Heater Pipewrap - Direct Install</t>
  </si>
  <si>
    <t>SF Advanced Power Strip (IR) - Direct Install</t>
  </si>
  <si>
    <t>SF Showerhead - Max 1.5 gpm EWH - Direct Install</t>
  </si>
  <si>
    <t>SF Thermostatic Restrictor Showerhead</t>
  </si>
  <si>
    <t>SF Thermostatic Restrictor Handheld Showerhead</t>
  </si>
  <si>
    <t>SF Thermostatic Restrictor Showerhead Adaptor</t>
  </si>
  <si>
    <t>Whole Building - Electric</t>
  </si>
  <si>
    <t>Lighting Power Density Reduction</t>
  </si>
  <si>
    <t>Commercial Fryer - Standard</t>
  </si>
  <si>
    <t>Steam Cooker - 3 Pan</t>
  </si>
  <si>
    <t>Steam Cooker - 4 Pan</t>
  </si>
  <si>
    <t>Steam Cooker - 5 Pan</t>
  </si>
  <si>
    <t>Steam Cooker - 6 Pan</t>
  </si>
  <si>
    <t>Steam Cooker - 10 Pan</t>
  </si>
  <si>
    <t>Combination Oven &lt;15 pan</t>
  </si>
  <si>
    <t>Double Rack Oven</t>
  </si>
  <si>
    <t>Additional Measures - (DCKV, etc)</t>
  </si>
  <si>
    <t>Commercial Fryer - Large Vat</t>
  </si>
  <si>
    <t>Griddle - 2 linear feet - Gas</t>
  </si>
  <si>
    <t>Griddle - 3 linear feet - Gas</t>
  </si>
  <si>
    <t>Griddle - 4 linear feet - Gas</t>
  </si>
  <si>
    <t>Griddle - 5 linear feet - Gas</t>
  </si>
  <si>
    <t>Griddle - 6 linear feet - Gas</t>
  </si>
  <si>
    <t>Combination Oven – gas – 15-28 pan</t>
  </si>
  <si>
    <t>Combination Oven – gas – &gt;28 pan</t>
  </si>
  <si>
    <t>Single Rack Oven – gas</t>
  </si>
  <si>
    <t>Combination Oven &lt; 15 pan</t>
  </si>
  <si>
    <t>Griddle - 2 linear feet - Electric</t>
  </si>
  <si>
    <t>Griddle - 3 linear feet - Electric</t>
  </si>
  <si>
    <t>Griddle - 4 linear feet - Electric</t>
  </si>
  <si>
    <t>Griddle - 5 linear feet - Electric</t>
  </si>
  <si>
    <t>Griddle - 6 linear feet - Electric</t>
  </si>
  <si>
    <t>Hot Food Holding Cabinet - 0-&lt;13 ft</t>
  </si>
  <si>
    <t>Hot Food Holding Cabinet - 13-&lt;28 ft</t>
  </si>
  <si>
    <t>Hot Food Holding Cabinet - &gt;=28 ft</t>
  </si>
  <si>
    <t>Ice: Air Cooled, Cube and Nugget IHR 50-174</t>
  </si>
  <si>
    <t>Ice: Air Cooled, Cube and Nugget IHR 175-449</t>
  </si>
  <si>
    <t>Ice: Air Cooled, Cube and Nugget IHR 450-999</t>
  </si>
  <si>
    <t>Ice: Air Cooled, Cube and Nugget IHR 1000+</t>
  </si>
  <si>
    <t>Ice: Air-Cooled Flake IHR 50-999</t>
  </si>
  <si>
    <t>Ice: Air-Cooled Flake IHR 1000+</t>
  </si>
  <si>
    <t>Ice: Water-Cooled, Cube and Nugget IHR 50-174</t>
  </si>
  <si>
    <t>Ice: Water-Cooled, Cube and Nugget IHR 175-449</t>
  </si>
  <si>
    <t>Ice: Water-Cooled, Cube and Nugget IHR 450-999</t>
  </si>
  <si>
    <t>Ice: Water-Cooled, Cube and Nugget IHR 1000+</t>
  </si>
  <si>
    <t>Ice: Water-Cooled, Flake IHR 50-999</t>
  </si>
  <si>
    <t>Ice: Water-Cooled, Flake IHR 1000+</t>
  </si>
  <si>
    <t>Combination Oven – electric – 15-28 pan</t>
  </si>
  <si>
    <t>Combination Oven – electric - &gt; 28 pan</t>
  </si>
  <si>
    <t>Deck Oven – electric</t>
  </si>
  <si>
    <t>Hotel Room Occupancy based HVAC Controls</t>
  </si>
  <si>
    <t>Lodging PTHP</t>
  </si>
  <si>
    <t>LED A Lamp 7W - Other</t>
  </si>
  <si>
    <t>LED A Lamp 7W - School (k-12)</t>
  </si>
  <si>
    <t>LED A Lamp 7W - Warehouse</t>
  </si>
  <si>
    <t>LED A Lamp 7W - Office</t>
  </si>
  <si>
    <t>LED A Lamp 7W - Retail</t>
  </si>
  <si>
    <t xml:space="preserve">LED A Lamp 7W - Restaurant </t>
  </si>
  <si>
    <t>LED A Lamp 7W - Other Health</t>
  </si>
  <si>
    <t>LED A Lamp 7W - Lodging Common Area</t>
  </si>
  <si>
    <t>LED A Lamp 11W - Other</t>
  </si>
  <si>
    <t>LED A Lamp 11W - School (k-12)</t>
  </si>
  <si>
    <t>LED A Lamp 11W - Warehouse</t>
  </si>
  <si>
    <t xml:space="preserve">LED A Lamp 11W - Office </t>
  </si>
  <si>
    <t>LED A Lamp 11W - Retail</t>
  </si>
  <si>
    <t>LED A Lamp 11W - Restaurant</t>
  </si>
  <si>
    <t>LED A Lamp 11W - Other Health</t>
  </si>
  <si>
    <t>LED A Lamp 11W - Lodging Common Area</t>
  </si>
  <si>
    <t>LED A Lamp 5W Globe - Other</t>
  </si>
  <si>
    <t>LED A Lamp 5W Globe - School (k-12)</t>
  </si>
  <si>
    <t>LED A Lamp 5W Globe - Warehouse</t>
  </si>
  <si>
    <t>LED A Lamp 5W Globe - Office</t>
  </si>
  <si>
    <t>LED A Lamp 5W Globe - Retail</t>
  </si>
  <si>
    <t>LED A Lamp 5W Globe - Restaurant</t>
  </si>
  <si>
    <t>LED A Lamp 5W Globe - Other Health</t>
  </si>
  <si>
    <t>LED A Lamp 5W Globe - Lodging Common Area</t>
  </si>
  <si>
    <t>LED MR 16 - Other</t>
  </si>
  <si>
    <t>LED MR 16 - School (k-12)</t>
  </si>
  <si>
    <t>LED MR 16 - Warehouse</t>
  </si>
  <si>
    <t>LED MR 16 - Office</t>
  </si>
  <si>
    <t>LED MR 16 - Retail</t>
  </si>
  <si>
    <t>LED MR 16 - Restaurant</t>
  </si>
  <si>
    <t>LED MR 16 - Other Health</t>
  </si>
  <si>
    <t>LED MR 16 - Lodging Common Area</t>
  </si>
  <si>
    <t>LED Direction Par 20 - Other</t>
  </si>
  <si>
    <t>LED Direction Par 20 - School (k-12)</t>
  </si>
  <si>
    <t>LED Direction Par 20 - Warehouse</t>
  </si>
  <si>
    <t>LED Direction Par 20 - Office</t>
  </si>
  <si>
    <t>LED Direction Par 20 - Retail</t>
  </si>
  <si>
    <t>LED Direction Par 20 - Restaurant</t>
  </si>
  <si>
    <t>LED Direction Par 20 - Other Health</t>
  </si>
  <si>
    <t>LED Direction Par 20 - Lodging Common Area</t>
  </si>
  <si>
    <t>LED Direction Par 30 - Other</t>
  </si>
  <si>
    <t>LED Direction Par 30 - School (k-12)</t>
  </si>
  <si>
    <t>LED Direction Par 30 - Warehouse</t>
  </si>
  <si>
    <t>LED Direction Par 30 - Office</t>
  </si>
  <si>
    <t>LED Direction Par 30 - Retail</t>
  </si>
  <si>
    <t>LED Direction Par 30 - Restaurant</t>
  </si>
  <si>
    <t>LED Direction Par 30 - Other Health</t>
  </si>
  <si>
    <t>LED Direction Par 30 - Lodging Common Area</t>
  </si>
  <si>
    <t>LED Par 38 &amp; 40 - Other</t>
  </si>
  <si>
    <t>LED Par 38 &amp; 40 - School (k-12)</t>
  </si>
  <si>
    <t>LED Par 38 &amp; 40 - Warehouse</t>
  </si>
  <si>
    <t>LED Par 38 &amp; 40 - Office</t>
  </si>
  <si>
    <t>LED Par 38 &amp; 40 - Retail</t>
  </si>
  <si>
    <t>LED Par 38 &amp; 40 - Restaurant</t>
  </si>
  <si>
    <t>LED Par 38 &amp; 40 - Other Health</t>
  </si>
  <si>
    <t>LED Par 38 &amp; 40 - Lodging Common Area</t>
  </si>
  <si>
    <t>LED Decorative - Lodging Common Area</t>
  </si>
  <si>
    <t>LED Decorative -Office</t>
  </si>
  <si>
    <t>LED Decorative -Other</t>
  </si>
  <si>
    <t>LED Decorative - Other Health</t>
  </si>
  <si>
    <t>LED Decorative - Restaurant</t>
  </si>
  <si>
    <t>LED Decorative - Retail</t>
  </si>
  <si>
    <t>LED Decorative - School (k-12)</t>
  </si>
  <si>
    <t>LED Decorative - Warehouse</t>
  </si>
  <si>
    <t>3' 1L T12 to 3' 1L TLED</t>
  </si>
  <si>
    <t>3' 1L T8 25W to 3' 1L TLED</t>
  </si>
  <si>
    <t>4' 1L T12 to 4' 1L TLED</t>
  </si>
  <si>
    <t>4' 2L T12 to 4' 2L TLED</t>
  </si>
  <si>
    <t>4' 2L T12 HO to 4' 2L TLED</t>
  </si>
  <si>
    <t>4' 3L T12 to 4' 3L TLED</t>
  </si>
  <si>
    <t>4' 3L T12 HO to 4' 3L TLED</t>
  </si>
  <si>
    <t>4' 3L T12 to 4' 2L TLED (delamp &amp; reflector)</t>
  </si>
  <si>
    <t>4' 3L T12 HO to 4' 2L TLED (delamp &amp; reflector)</t>
  </si>
  <si>
    <t>4' 4L T12 to 4' 4L TLED</t>
  </si>
  <si>
    <t>4' 4L T12 HO to 4' 4L TLED</t>
  </si>
  <si>
    <t>4' 4L T12 to 4' 3L TLED (delamp)</t>
  </si>
  <si>
    <t>4' 4L T12 HO to 4' 3L TLED (delamp)</t>
  </si>
  <si>
    <t>4' 4L T12 to 4' 2L TLED (delamp &amp; reflector)</t>
  </si>
  <si>
    <t>4' 4L T12 HO 4' 2L TLED (delamp &amp; reflector)</t>
  </si>
  <si>
    <t>4' 1L T8 32 W LLO to 4' 1L TLED</t>
  </si>
  <si>
    <t>4' 1L T8 32 W NLO to 4' 1L TLED</t>
  </si>
  <si>
    <t>4' 1L T8 32 W HLO to 4' 1L TLED</t>
  </si>
  <si>
    <t>4' 1L T8 28 W LLO to 4' 1L TLED</t>
  </si>
  <si>
    <t>4' 1L T8 28 W NLO to 4' 1L TLED</t>
  </si>
  <si>
    <t>4' 2L T8 32 W LLO to 4' 2L TLED</t>
  </si>
  <si>
    <t>4' 2L T8 32 W NLO to 4' 2L TLED</t>
  </si>
  <si>
    <t>4' 2L T8 32 W HLO to 4' 2L TLED</t>
  </si>
  <si>
    <t>4' 2L T8 28 W LLO to 4' 2L TLED</t>
  </si>
  <si>
    <t>4' 2L T8 28 W NLO to 4' 2L TLED</t>
  </si>
  <si>
    <t>4' 3L T8 32 W LLO to 4' 3L TLED</t>
  </si>
  <si>
    <t>4' 3L T8 32 W NLO to 4' 3L TLED</t>
  </si>
  <si>
    <t>4' 3L T8 28 W LLO to 4' 3L TLED</t>
  </si>
  <si>
    <t>4' 3L T8 28 W NLO to 4' 3L TLED</t>
  </si>
  <si>
    <t>4' 3L T8 32 W LLO to 4' 2L TLED (delamp &amp; reflector)</t>
  </si>
  <si>
    <t>4' 3L T8 32 W NLO to 4' 2L TLED (delamp &amp; reflector)</t>
  </si>
  <si>
    <t>4' 3L T8 32 W HLO to 4' 2L TLED (delamp &amp; reflector)</t>
  </si>
  <si>
    <t>4' 4L T8 28 W LLO to 4' 4L TLED</t>
  </si>
  <si>
    <t>4' 4L T8 28 W NLO to 4' 4L TLED</t>
  </si>
  <si>
    <t>4' 4L T8 32 W LLO to 4' 4L TLED</t>
  </si>
  <si>
    <t>4' 4L T8 32 W NLO to 4' 4L TLED</t>
  </si>
  <si>
    <t>4' 4L T8 32 W HLO to 4' 4L TLED</t>
  </si>
  <si>
    <t>4' 4L T8 28 W LLO to 4' 3L TLED (delamp)</t>
  </si>
  <si>
    <t>4' 4L T8 28 W NLO to 4' 2L TLED (delamp &amp; reflector)</t>
  </si>
  <si>
    <t>4' 4L T8 32 W LLO to 4' 3L TLED (delamp)</t>
  </si>
  <si>
    <t>4' 4L T8 32 W HLO to 4' 2L TLED (delamp &amp; reflector)</t>
  </si>
  <si>
    <t>8' 1L T12 HO F96 to 4' 2L TLED (retro kit 2L 8')</t>
  </si>
  <si>
    <t>8' 2L T12 HO F96 to 4' 4L TLED (retro kit 4L 8' NBF)</t>
  </si>
  <si>
    <t>8' 2L T12 F96 to 4' 2L TLED (retro kit delamp)</t>
  </si>
  <si>
    <t>8' 1L T12 F96 to 4' 2L TLED (retro kit 2L 8')</t>
  </si>
  <si>
    <t>8' 2L T12 F96 to 4' 4L TLED (retro kit 4L 8')</t>
  </si>
  <si>
    <t>4' 3L T12 to 4' 3L T8</t>
  </si>
  <si>
    <t>4' 3L T12 to 4' 2L T8 (delamp &amp; reflector)</t>
  </si>
  <si>
    <t>4' 3L T12 HO to 4' 2L T8 (delamp &amp; reflector)</t>
  </si>
  <si>
    <t>4' 4L T12 HO to 4' 4L T8</t>
  </si>
  <si>
    <t>4' 4L T12 HO to 4' 3L T8 (delamp)</t>
  </si>
  <si>
    <t>400W HID to 80W LED</t>
  </si>
  <si>
    <t>400W HID to 60W LED</t>
  </si>
  <si>
    <t>250W HID to 60W LED</t>
  </si>
  <si>
    <t>250W HID to 35W LED</t>
  </si>
  <si>
    <t>175W HID to 35W LED</t>
  </si>
  <si>
    <t>100W HID to 20W LED</t>
  </si>
  <si>
    <t>Auto-Closers for Glass Reach-in Doors - Low-Temp (Gas Heating)</t>
  </si>
  <si>
    <t>Auto-Closers for Glass Reach-in Doors - Medium Temp (gas heating)</t>
  </si>
  <si>
    <t xml:space="preserve">Auto-Closers for Walk-in Doors - Low Temp (Gas Heating) </t>
  </si>
  <si>
    <t>Auto-Closers for Walk-in Doors - Medium Temp (Gas Heating)</t>
  </si>
  <si>
    <t>Auto-Closers for Glass Reach-in Doors - Low Temp (Elect Heating)</t>
  </si>
  <si>
    <t>Auto-Closers for Glass Reach-in Doors - Medium Temp (Elect Heating)</t>
  </si>
  <si>
    <t xml:space="preserve">Auto-Closers for Walk-in Doors - Low Temp (Elect Heating) </t>
  </si>
  <si>
    <t>Auto-Closers for Walk-in Doors - Medium Temp (Elect Heating)</t>
  </si>
  <si>
    <t>Walk-In ECM &lt;23W</t>
  </si>
  <si>
    <t>Walk-In ECM &gt;23W</t>
  </si>
  <si>
    <t>Gaskets for Reach-in Glass Doors - Low Temp (per door) - Electric</t>
  </si>
  <si>
    <t>Gaskets for Reach-in Glass Doors - Medium Temp (per door) - Electric</t>
  </si>
  <si>
    <t>Gaskets for Walk-in Freezer - Main Door (per door) - Electric</t>
  </si>
  <si>
    <t>Gaskets for Walk-in Cooler - Main Door (per door) - Electric</t>
  </si>
  <si>
    <t>Retrofit from 320W HID to Low-Med Output LED</t>
  </si>
  <si>
    <t>Retrofit from 400W HID to Low-Med Output LED</t>
  </si>
  <si>
    <t>Retrofit from 320W HID to High Output LED</t>
  </si>
  <si>
    <t>Retrofit from 400W HID to High Output LED</t>
  </si>
  <si>
    <t>Night Covers Low Temperature (-35 F to 0 F) [Unknown Heating]</t>
  </si>
  <si>
    <t>Night Covers Medium Temperature (0 F to 30F) [Unknown Heating]</t>
  </si>
  <si>
    <t>Night Covers High Temperature (30F to 55F) [Unknown Heating]</t>
  </si>
  <si>
    <t>Night Covers Low Temperature (-35F to 0F) [Electric Heating]</t>
  </si>
  <si>
    <t>Night Covers Medium Temperature (0F to 30F) [Electric Heating]</t>
  </si>
  <si>
    <t>Night Covers High Temperature (30F to 55F) [Electric Heating]</t>
  </si>
  <si>
    <t>Night Covers Low Temperature (-35F to 0F) [Heat Pump]</t>
  </si>
  <si>
    <t>Night Covers Medium Temperature (0F to 30F) [Heat Pump]</t>
  </si>
  <si>
    <t>Night Covers High Temperature (30F to 55F) [Heat Pump]</t>
  </si>
  <si>
    <t>Night Covers Low Temperature (-35F to 0F) [Gas Heating]</t>
  </si>
  <si>
    <t>Night Covers Medium Temperature (0F to 30F) [Gas Heating]</t>
  </si>
  <si>
    <t>Night Covers High Temperature (30F to 55F) [Gas Heating]</t>
  </si>
  <si>
    <t>Spray valve not previously installed by PSE to 0.65-gas  (Elec IE)</t>
  </si>
  <si>
    <t>2.6 gpm to 0.65 gpm-gas  (Elec IE)</t>
  </si>
  <si>
    <t>2.2 gpm to 0.65 gpm-gas  (Elec IE)</t>
  </si>
  <si>
    <t>1.6 gpm to 0.65 gpm-gas (Elec IE)</t>
  </si>
  <si>
    <t>Spray valve not previously installed by PSE to 0.65-elec</t>
  </si>
  <si>
    <t>2.6 gpm to 0.65 gpm-elec</t>
  </si>
  <si>
    <t>2.2 gpm to 0.65 gpm-elec</t>
  </si>
  <si>
    <t>1.6 gpm to 0.65 gpm-elec</t>
  </si>
  <si>
    <t>Sprayvalve not previously installed by PSE to 0.65-elec – with CWA</t>
  </si>
  <si>
    <t>2.6 gpm to 0.65 gpm-elec – Split with CWA</t>
  </si>
  <si>
    <t>2.2 gpm to 0.65 gpm-elec – Split with CWA</t>
  </si>
  <si>
    <t>1.6 gpm to 0.65 gpm-elec – Split with CWA</t>
  </si>
  <si>
    <t>Open Case Lights - Low Power LED from T12 (4' Lamp)</t>
  </si>
  <si>
    <t>Open Case Lights - Low Power LED from T8 (4' Lamp)</t>
  </si>
  <si>
    <t>Open Case Lights - High Power LED from T12 (4' Lamp)</t>
  </si>
  <si>
    <t>Open Case Lights - High Power LED from T8 (4' Lamp)</t>
  </si>
  <si>
    <t>Open Case Lights - Delamp T12 (4' Lamp)</t>
  </si>
  <si>
    <t>Open Case Lights - Delamp T8 (4' Lamp)</t>
  </si>
  <si>
    <t>Reach-in Case Lighting: T12 to LED (Retrofit)_Low Temp Case (4' Lamp)</t>
  </si>
  <si>
    <t>Reach-in Case Lighting: T8 to LED (Retrofit)_Low Temp Case (4' Lamp)</t>
  </si>
  <si>
    <t>Reach-in Case Lighting: T12 to LED (Retrofit)_Med Temp Case (4' Lamp)</t>
  </si>
  <si>
    <t>Reach-in Case Lighting: T8 to LED (Retrofit)_Med Temp Case (4' Lamp)</t>
  </si>
  <si>
    <t>Open Case Lights - Low Power LED from T12 (5' Lamp)</t>
  </si>
  <si>
    <t>Open Case Lights - Low Power LED from T8  (5' Lamp)</t>
  </si>
  <si>
    <t>Open Case Lights - High Power LED from T12  (5' Lamp)</t>
  </si>
  <si>
    <t>Open Case Lights - High Power LED from T8  (5' Lamp)</t>
  </si>
  <si>
    <t>Open Case Lights - Delamp T12 (5' Lamp)</t>
  </si>
  <si>
    <t>Open Case Lights - Delamp T8 (5' Lamp)</t>
  </si>
  <si>
    <t>Reach-in Case Lighting: T12 to LED (Retrofit)_Low Temp Case (5' Lamp)</t>
  </si>
  <si>
    <t>Reach-in Case Lighting: T8 to LED (Retrofit)_Low Temp Case (5' Lamp)</t>
  </si>
  <si>
    <t>Reach-in Case Lighting: T12 to LED (Retrofit)_Med Temp Case (5' Lamp)</t>
  </si>
  <si>
    <t>Reach-in Case Lighting: T8 to LED (Retrofit)_Med Temp Case (5' Lamp)</t>
  </si>
  <si>
    <t>Open Case Lights - Low Power LED from T12 (6' Lamp)</t>
  </si>
  <si>
    <t>Open Case Lights - Low Power LED from T8 (6' Lamp)</t>
  </si>
  <si>
    <t>Open Case Lights - High Power LED from T12 (6' Lamp)</t>
  </si>
  <si>
    <t>Open Case Lights - High Power LED from T8 (6' Lamp)</t>
  </si>
  <si>
    <t>Open Case Lights - Delamp T12 (6' Lamp)</t>
  </si>
  <si>
    <t>Open Case Lights - Delamp T8 (6' Lamp)</t>
  </si>
  <si>
    <t>Reach-in Case Lighting: T12 to LED (Retrofit)_Low Temp Case (6' Lamp)</t>
  </si>
  <si>
    <t>Reach-in Case Lighting: T8 to LED (Retrofit)_Low Temp Case (6' Lamp)</t>
  </si>
  <si>
    <t>Reach-in Case Lighting: T12 to LED (Retrofit)_Med Temp Case (6' Lamp)</t>
  </si>
  <si>
    <t>Reach-in Case Lighting: T8 to LED (Retrofit)_Med Temp Case (6' Lamp)</t>
  </si>
  <si>
    <t>1.5 GPM Showerhead Any Commercial, electric SBDI</t>
  </si>
  <si>
    <t>1.5 GPM Showerhead Any Commercial, gas IE SBDI</t>
  </si>
  <si>
    <t>1.5 GPM Showerhead Fitness Center, electric SBDI</t>
  </si>
  <si>
    <t>1.5 GPM Showerhead Fitness Center, gas IE SBDI</t>
  </si>
  <si>
    <t>1.5 GPM Showerhead Any Commercial, electric SBDI– Split Cost with CWA</t>
  </si>
  <si>
    <t>1.5 GPM Showerhead Any Commercial, gas IE SBDI– Split Cost with CWA</t>
  </si>
  <si>
    <t>1.5 GPM Showerhead Fitness Center, electric SBDI – Split Cost with CWA</t>
  </si>
  <si>
    <t>1.5 GPM Showerhead Fitness Center, gas IE SBDI – Split Cost with CWA</t>
  </si>
  <si>
    <t>Aerator, Office Small-Electric</t>
  </si>
  <si>
    <t>Aerator, Restaurant - Electric</t>
  </si>
  <si>
    <t>Aerator, Retail-Electric</t>
  </si>
  <si>
    <t>Aerator, School-Electric</t>
  </si>
  <si>
    <t>Aerator, All Others-Electric</t>
  </si>
  <si>
    <t>LED A Lamp 7W - Assembly Church</t>
  </si>
  <si>
    <t>LED A Lamp 7W - Exterior</t>
  </si>
  <si>
    <t>LED A Lamp 7W - Grocery</t>
  </si>
  <si>
    <t>LED A Lamp 11W - Assembly Church</t>
  </si>
  <si>
    <t>LED A Lamp 11W - Exterior</t>
  </si>
  <si>
    <t>LED A Lamp 11W - Grocery</t>
  </si>
  <si>
    <t>LED A Lamp 5W Globe - Assembly Church</t>
  </si>
  <si>
    <t>LED A Lamp 5W Globe - Exterior</t>
  </si>
  <si>
    <t>LED A Lamp 5W Globe - Grocery</t>
  </si>
  <si>
    <t>LED Decorative - Assembly Church</t>
  </si>
  <si>
    <t>LED Decorative - Exterior</t>
  </si>
  <si>
    <t>LED Decorative - Grocery</t>
  </si>
  <si>
    <t>LED MR 16 - Assembley Church</t>
  </si>
  <si>
    <t>LED MR 16 - Exterior</t>
  </si>
  <si>
    <t>LED MR 16 - Grocery</t>
  </si>
  <si>
    <t>LED Direction Par 20 - Assembley Church</t>
  </si>
  <si>
    <t>LED Direction Par 20 - Exterior</t>
  </si>
  <si>
    <t>LED Direction Par 20 - Grocery</t>
  </si>
  <si>
    <t>LED Direction Par 30 - Assembly Church</t>
  </si>
  <si>
    <t>LED Direction Par 30 - Exterior</t>
  </si>
  <si>
    <t>LED Direction Par 30 - Grocery</t>
  </si>
  <si>
    <t>LED Par 38 &amp; 40 - Assembly Church</t>
  </si>
  <si>
    <t>LED Par 38 &amp; 40 - Exterior</t>
  </si>
  <si>
    <t>LED Par 38 &amp; 40 - Grocery</t>
  </si>
  <si>
    <t>LED Recessed Can - Assembly Church</t>
  </si>
  <si>
    <t>LED Recessed Can - Exterior</t>
  </si>
  <si>
    <t>LED Recessed Can - Grocery</t>
  </si>
  <si>
    <t>LED Recessed Can - Lodging Common Area</t>
  </si>
  <si>
    <t>LED Recessed Can - Office</t>
  </si>
  <si>
    <t>LED Recessed Can - Other</t>
  </si>
  <si>
    <t>LED Recessed Can - Other Health</t>
  </si>
  <si>
    <t>LED Recessed Can - Restaurant</t>
  </si>
  <si>
    <t>LED Recessed Can - Retail</t>
  </si>
  <si>
    <t>LED Recessed Can - School (k-12)</t>
  </si>
  <si>
    <t>LED Recessed Can - Warehouse</t>
  </si>
  <si>
    <t>AGDI: 2' 1L T12 to 2' 1L T8</t>
  </si>
  <si>
    <t>AGDI: 2' 1L T12 HO to 2' 1L T8</t>
  </si>
  <si>
    <t>AGDI: 3' 1L T12 to  3' 1L T8</t>
  </si>
  <si>
    <t>AGDI: 4' 1L T12 to 4' 1L T8</t>
  </si>
  <si>
    <t>AGDI: 4' 2L T12 to 4' 2L T8</t>
  </si>
  <si>
    <t>AGDI: 4' 2L T12 HO to 4' 2L T8</t>
  </si>
  <si>
    <t>AGDI: 4' 3L T12 to 4' 3L T8</t>
  </si>
  <si>
    <t>AGDI: 4' 3L T12 HO to 4' 3L T8</t>
  </si>
  <si>
    <t>AGDI: 4' 3L T12 to 4' 2L T8 (delamp &amp; reflector)</t>
  </si>
  <si>
    <t>AGDI: 4' 3L T12 HO to 4' 2L T8 (delamp &amp; reflector)</t>
  </si>
  <si>
    <t>AGDI: 4' 4L T12 to 4' 4L T8</t>
  </si>
  <si>
    <t>AGDI: 4' 4L T12 HO to 4' 4L T8</t>
  </si>
  <si>
    <t>AGDI: 4' 4L T12 to 4' 3L T8 (delamp)</t>
  </si>
  <si>
    <t>AGDI: 4' 4L T12 HO to 4' 3L T8 (delamp)</t>
  </si>
  <si>
    <t>AGDI: 4' 4L T12 to  4' 2L T8 (delamp &amp; reflector)</t>
  </si>
  <si>
    <t>AGDI: 4' 4L T12 HO to  4' 2L T8 (delamp &amp; reflector)</t>
  </si>
  <si>
    <t>AGDI: 8' 1L T8 F96 to 4' 2L 28W (retro kit 2L 8')</t>
  </si>
  <si>
    <t>AGDI: 8' 2L T8 F96 to 4' 4L 28W (retro kit 4L 8')</t>
  </si>
  <si>
    <t>AGDI: 8' 1L T12 HO F96 to 4' 2L 28W (retro kit 2L 8')</t>
  </si>
  <si>
    <t>AGDI: 8' 2L T12 HO F96 to 4' 4L 28W (retro kit 4L 8' NBF)</t>
  </si>
  <si>
    <t>AGDI: 8' 2L T12 Delamp to  4' 2L T8 (retro kit delamp)</t>
  </si>
  <si>
    <t>AGDI: 400W HID to 4' 6L T8 (HBF)</t>
  </si>
  <si>
    <t>AGDI: 80W multi-lamp inc. fixture to 2L F17T8 (NBF)</t>
  </si>
  <si>
    <t>AGDI: 120W multi-lamp inc. fixture to 2L F17T8 (NBF)</t>
  </si>
  <si>
    <t>AGDI: 160W multi-lamp inc. fixture to 2L F25T8 (NBF)</t>
  </si>
  <si>
    <t>AGDI: 240W multi-lamp inc. fixture to 2L F28T8 (NBF)</t>
  </si>
  <si>
    <t>LGDI: Aerator - EWH - All Others</t>
  </si>
  <si>
    <t>LGDI: Aerator - EWH - Restaurant</t>
  </si>
  <si>
    <t>LGDI: Aerator - EWH - Retail</t>
  </si>
  <si>
    <t>LGDI: Aerator - EWH - School</t>
  </si>
  <si>
    <t>LGDI: Aerator - EWH - Small Office</t>
  </si>
  <si>
    <t>LGDI: Auto Closer - Reach In Glass Doors - Low Temp - E</t>
  </si>
  <si>
    <t>LGDI: Controls - ASH - Compressor - Low Temp</t>
  </si>
  <si>
    <t>LGDI: Controls - ASH - Compressor - Mid Temp</t>
  </si>
  <si>
    <t>LGDI: ECM - Display Case</t>
  </si>
  <si>
    <t>LGDI: ECM - Walk In - 23w</t>
  </si>
  <si>
    <t>LGDI: ECM - Walk In - More than 23w</t>
  </si>
  <si>
    <t>LGDI: Fixture - LED - Area - Photocell - 35w</t>
  </si>
  <si>
    <t>LGDI: Fixture - LED - Recessed Can - Assembly Church</t>
  </si>
  <si>
    <t>LGDI: Fixture - LED - Recessed Can - Exterior</t>
  </si>
  <si>
    <t>LGDI: Fixture - LED - Recessed Can - Grocery</t>
  </si>
  <si>
    <t>LGDI: Fixture - LED - Recessed Can - Lodging Common Areas</t>
  </si>
  <si>
    <t>LGDI: Fixture - LED - Recessed Can - Office</t>
  </si>
  <si>
    <t>LGDI: Fixture - LED - Recessed Can - Other</t>
  </si>
  <si>
    <t>LGDI: Fixture - LED - Recessed Can - Other Health</t>
  </si>
  <si>
    <t>LGDI: Fixture - LED - Recessed Can - Restaurant</t>
  </si>
  <si>
    <t>LGDI: Fixture - LED - Recessed Can - Retail</t>
  </si>
  <si>
    <t>LGDI: Fixture - LED - Recessed Can - School K12</t>
  </si>
  <si>
    <t>LGDI: Fixture - LED - Recessed Can - Warehouse</t>
  </si>
  <si>
    <t>LGDI: Fixture - LED - Wall Pack - Photocell - 60w</t>
  </si>
  <si>
    <t>LGDI: Fixture - LED - Wall Pack - Photocell - Less than 19w</t>
  </si>
  <si>
    <t>LGDI: Fixture - LED - Wall Pack - Photocell - Less than 30w</t>
  </si>
  <si>
    <t>LGDI: Fixture - T8 - 17w - 2x - from Multi-Lamp Fixture 80w NBF</t>
  </si>
  <si>
    <t>LGDI: Fixture - T8 - 17w - 2x - NBF - from 120w Multi Lamp</t>
  </si>
  <si>
    <t>LGDI: Fixture - T8 - 25w - 2x - NBF - from 160w Multi Lamp</t>
  </si>
  <si>
    <t>LGDI: Fixture - T8 - 28w - 2x - NBF - from 240w Multi Lamp</t>
  </si>
  <si>
    <t>LGDI: Fixture - T8 - 4 ft - 2x - 28w - from 8 ft T8 F96 1x</t>
  </si>
  <si>
    <t>LGDI: Fixture - T8 - 4 ft - 2x - 28w - from 8 ft T8 F96 1x - LCA</t>
  </si>
  <si>
    <t>LGDI: Fixture - T8 - 4 ft - 2x - from 8 ft T12 HO F96 1x</t>
  </si>
  <si>
    <t>LGDI: Fixture - T8 - 4 ft - 2x - from 8 ft T12 HO F96 1x - LCA</t>
  </si>
  <si>
    <t>LGDI: Fixture - T8 - 4 ft - 4x - from 8 ft T12 F96 2x</t>
  </si>
  <si>
    <t>LGDI: Fixture - T8 - 4 ft - 4x - from 8 ft T12 HO F96 2x</t>
  </si>
  <si>
    <t>LGDI: Fixture - T8 - 4 ft - 4x - from 8 ft T12 HO F96 2x - LCA</t>
  </si>
  <si>
    <t>LGDI: Fixture - T8 - DLR - 4 ft - 2x - from 4 ft T12 3x</t>
  </si>
  <si>
    <t>LGDI: Fixture - T8 - DLR - 4 ft - 2x - from 4 ft T12 3x - LCA</t>
  </si>
  <si>
    <t>LGDI: Fixture - T8 - DLR - 4 ft - 2x - from 4 ft T12 4x</t>
  </si>
  <si>
    <t>LGDI: Fixture - T8 - DLR - 4 ft - 2x - from 4 ft T12 4x - LCA</t>
  </si>
  <si>
    <t>LGDI: Fixture - T8 - DLR - 4 ft - 2x - from 8 ft T12 delamp 2x</t>
  </si>
  <si>
    <t>LGDI: Fixture - T8 - DLR - 4 ft - 2x - from 8 ft T12 delamp 2x - LCA</t>
  </si>
  <si>
    <t>LGDI: Fixture - T8 - DLR - 4 ft - 3x - from 4 ft T12 4x</t>
  </si>
  <si>
    <t>LGDI: Fixture - T8 - DLR - 4 ft - 3x - from 4 ft T12 4x - LCA</t>
  </si>
  <si>
    <t>LGDI: Fixture - T8 - DLR - 4 ft - 3x - from 4 ft T12 HO 4x</t>
  </si>
  <si>
    <t>LGDI: Fixture - T8 - DLR - 4 ft - 3x - from 4 ft T12 HO 4x - LCA</t>
  </si>
  <si>
    <t>LGDI: Fixture - T8 Retro Kit - 2 ft - 1x - from 2 ft T12 1x</t>
  </si>
  <si>
    <t>LGDI: Fixture - T8 Retro Kit - 2 ft - 1x - from 2 ft T12 HO 1x</t>
  </si>
  <si>
    <t>LGDI: Fixture - T8 Retro Kit - 2 ft - 1x - from 2 ft T12 HO 1x - LCA</t>
  </si>
  <si>
    <t>LGDI: Fixture - T8 Retro Kit - 2 ft - 1x - from 2ft T12 1x - LCA</t>
  </si>
  <si>
    <t>LGDI: Fixture - T8 Retro Kit - 3 ft - 1x - from 3 ft T12 1x</t>
  </si>
  <si>
    <t>LGDI: Fixture - T8 Retro Kit - 3 ft - 1x - from 3 ft T12 1x - LCA</t>
  </si>
  <si>
    <t>LGDI: Fixture - T8 Retro Kit - 4 ft - 1x - from 4 ft T12 1x</t>
  </si>
  <si>
    <t>LGDI: Fixture - T8 Retro Kit - 4 ft - 1x - from 4 ft T12 1x - LCA</t>
  </si>
  <si>
    <t>LGDI: Fixture - T8 Retro Kit - 4 ft - 2x - from 4 ft T12 2x</t>
  </si>
  <si>
    <t>LGDI: Fixture - T8 Retro Kit - 4 ft - 2x - from 4 ft T12 2x - LCA</t>
  </si>
  <si>
    <t>LGDI: Fixture - T8 Retro Kit - 4 ft - 2x - from 4 ft T12 HO 2x</t>
  </si>
  <si>
    <t>LGDI: Fixture - T8 Retro Kit - 4 ft - 2x - from 4 ft T12 HO 2x - LCA</t>
  </si>
  <si>
    <t>LGDI: Fixture - T8 Retro Kit - 4 ft - 3x - from 4 ft T12 HO 3x</t>
  </si>
  <si>
    <t>LGDI: Fixture - T8 Retro Kit - 4 ft - 3x - from 4 ft T12 HO 3x - LCA</t>
  </si>
  <si>
    <t>LGDI: Fixture - T8 Retro Kit - DLR - 4 ft - 2x - from 4 ft T12 HO 3x</t>
  </si>
  <si>
    <t>LGDI: Fixture - T8 Retro Kit - DLR - 4 ft - 2x - from 4 ft T12 HO 3x - LCA</t>
  </si>
  <si>
    <t>LGDI: Fixture - TLED - 4 ft - 2x - from 4 ft T8 32w HLO 3x</t>
  </si>
  <si>
    <t>LGDI: Fixture - TLED - 4 ft - 2x - from 4 ft T8 32w LLO 3x</t>
  </si>
  <si>
    <t>LGDI: Fixture - TLED - 4 ft - 2x - from 8 ft T12 F96 1x</t>
  </si>
  <si>
    <t>LGDI: Fixture - TLED - 4 ft - 2x - from 8 ft T12 F96 1x - LCA</t>
  </si>
  <si>
    <t>LGDI: Fixture - TLED - 4 ft - 2x - from 8 ft T12 HO F96 1x</t>
  </si>
  <si>
    <t>LGDI: Fixture - TLED - 4 ft - 2x - from 8 ft T12 HO F96 1x - LCA</t>
  </si>
  <si>
    <t>LGDI: Fixture - TLED - 4 ft - 3x - from 4 ft T8 32w NLO 3x</t>
  </si>
  <si>
    <t>LGDI: Fixture - TLED - 4 ft - 4x - from 8 ft T12 F96 2x</t>
  </si>
  <si>
    <t>LGDI: Fixture - TLED - 4 ft - 4x - from 8 ft T12 F96 2x - LCA</t>
  </si>
  <si>
    <t>LGDI: Fixture - TLED - 4 ft - 4x - from 8 ft T12 HO F96 2x</t>
  </si>
  <si>
    <t>LGDI: Fixture - TLED - 4 ft - 4x - from 8 ft T12 HO F96 2x - LCA</t>
  </si>
  <si>
    <t>LGDI: Fixture - TLED - DLR - 4 ft - 2x - from 4 ft T12 3x</t>
  </si>
  <si>
    <t>LGDI: Fixture - TLED - DLR - 4 ft - 2x - from 4 ft T12 3x - LCA</t>
  </si>
  <si>
    <t>LGDI: Fixture - TLED - DLR - 4 ft - 2x - from 4 ft T12 4x</t>
  </si>
  <si>
    <t>LGDI: Fixture - TLED - DLR - 4 ft - 2x - from 4 ft T12 4x - LCA</t>
  </si>
  <si>
    <t>LGDI: Fixture - TLED - DLR - 4 ft - 2x - from 4 ft T12 HO 3x</t>
  </si>
  <si>
    <t>LGDI: Fixture - TLED - DLR - 4 ft - 2x - from 4 ft T12 HO 3x - LCA</t>
  </si>
  <si>
    <t>LGDI: Fixture - TLED - DLR - 4 ft - 2x - from 4 ft T12 HO 4x</t>
  </si>
  <si>
    <t>LGDI: Fixture - TLED - DLR - 4 ft - 2x - from 4 ft T12 HO 4x - LCA</t>
  </si>
  <si>
    <t>LGDI: Fixture - TLED - DLR - 4 ft - 2x - from 4 ft T8 28w NLO 4x</t>
  </si>
  <si>
    <t>LGDI: Fixture - TLED - DLR - 4 ft - 2x - from 4 ft T8 28w NLO 4x - LCA</t>
  </si>
  <si>
    <t>LGDI: Fixture - TLED - DLR - 4 ft - 2x - from 4 ft T8 32w HLO 3x - LCA</t>
  </si>
  <si>
    <t>LGDI: Fixture - TLED - DLR - 4 ft - 2x - from 4 ft T8 32w HLO 4x</t>
  </si>
  <si>
    <t>LGDI: Fixture - TLED - DLR - 4 ft - 2x - from 4 ft T8 32w HLO 4x - LCA</t>
  </si>
  <si>
    <t>LGDI: Fixture - TLED - DLR - 4 ft - 2x - from 4 ft T8 32w LLO 3x  - LCA</t>
  </si>
  <si>
    <t>LGDI: Fixture - TLED - DLR - 4 ft - 2x - from 4 ft T8 32w NLO 3x  - LCA</t>
  </si>
  <si>
    <t>LGDI: Fixture - TLED - DLR - 4 ft - 2x - from 4 ft T8 32w NLO 4x</t>
  </si>
  <si>
    <t>LGDI: Fixture - TLED - DLR - 4 ft - 2x - from 4 ft T8 32w NLO 4x - LCA</t>
  </si>
  <si>
    <t>LGDI: Fixture - TLED - DLR - 4 ft - 2x - from 8 ft T12 F96 2x</t>
  </si>
  <si>
    <t>LGDI: Fixture - TLED - DLR - 4 ft - 2x - from 8 ft T12 F96 2x - LCA</t>
  </si>
  <si>
    <t>LGDI: Fixture - TLED - DLR - 4 ft - 3x - from 4 ft T12 4x</t>
  </si>
  <si>
    <t>LGDI: Fixture - TLED - DLR - 4 ft - 3x - from 4 ft T12 4x - LCA</t>
  </si>
  <si>
    <t>LGDI: Fixture - TLED - DLR - 4 ft - 3x - from 4 ft T12 HO 4x</t>
  </si>
  <si>
    <t>LGDI: Fixture - TLED - DLR - 4 ft - 3x - from 4 ft T12 HO 4x - LCA</t>
  </si>
  <si>
    <t>LGDI: Fixture - TLED - DLR - 4 ft - 3x - from 4 ft T8 28w LLO 4x</t>
  </si>
  <si>
    <t>LGDI: Fixture - TLED - DLR - 4 ft - 3x - from 4 ft T8 28w LLO 4x - LCA</t>
  </si>
  <si>
    <t>LGDI: Fixture - TLED - DLR - 4 ft - 3x - from 4 ft T8 32w LLO 4x</t>
  </si>
  <si>
    <t>LGDI: Fixture - TLED - DLR - 4 ft - 3x - from 4 ft T8 32w LLO 4x - LCA</t>
  </si>
  <si>
    <t>LGDI: Lamp - LED - 20w - from 100w HID</t>
  </si>
  <si>
    <t>LGDI: Lamp - LED - 35w - from 175w HID</t>
  </si>
  <si>
    <t>LGDI: Lamp - LED - 35w - from 250w HID</t>
  </si>
  <si>
    <t>LGDI: Lamp - LED - 60w - from 250w HID</t>
  </si>
  <si>
    <t>LGDI: Lamp - LED - 60w - from 400w HID</t>
  </si>
  <si>
    <t>LGDI: Lamp - LED - 80w - from 400w HID</t>
  </si>
  <si>
    <t>LGDI: Lamp - LED - Decorative - Assembly Church</t>
  </si>
  <si>
    <t>LGDI: Lamp - LED - Decorative - Exterior</t>
  </si>
  <si>
    <t>LGDI: Lamp - LED - Decorative - Grocery</t>
  </si>
  <si>
    <t>LGDI: Lamp - LED - Decorative - Lodging Common Areas</t>
  </si>
  <si>
    <t>LGDI: Lamp - LED - Decorative - Lodging Guest Rooms</t>
  </si>
  <si>
    <t>LGDI: Lamp - LED - Decorative - Office</t>
  </si>
  <si>
    <t>LGDI: Lamp - LED - Decorative - Other</t>
  </si>
  <si>
    <t>LGDI: Lamp - LED - Decorative - Other Health</t>
  </si>
  <si>
    <t>LGDI: Lamp - LED - Decorative - Restaurant</t>
  </si>
  <si>
    <t>LGDI: Lamp - LED - Decorative - Retail</t>
  </si>
  <si>
    <t>LGDI: Lamp - LED - Decorative - School K12</t>
  </si>
  <si>
    <t>LGDI: Lamp - LED - Decorative - Warehouse</t>
  </si>
  <si>
    <t>LGDI: Lamp - LED - Globe - 5w - Assembly Church</t>
  </si>
  <si>
    <t>LGDI: Lamp - LED - Globe - 5w - Exterior</t>
  </si>
  <si>
    <t>LGDI: Lamp - LED - Globe - 5w - Grocery</t>
  </si>
  <si>
    <t>LGDI: Lamp - LED - Globe - 5w - Lodging Common Areas</t>
  </si>
  <si>
    <t>LGDI: Lamp - LED - Globe - 5w - Lodging Guest Rooms</t>
  </si>
  <si>
    <t>LGDI: Lamp - LED - Globe - 5w - Office</t>
  </si>
  <si>
    <t>LGDI: Lamp - LED - Globe - 5w - Other</t>
  </si>
  <si>
    <t>LGDI: Lamp - LED - Globe - 5w - Other Health</t>
  </si>
  <si>
    <t>LGDI: Lamp - LED - Globe - 5w - Restaurant</t>
  </si>
  <si>
    <t>LGDI: Lamp - LED - Globe - 5w - Retail</t>
  </si>
  <si>
    <t>LGDI: Lamp - LED - Globe - 5w - School K12</t>
  </si>
  <si>
    <t>LGDI: Lamp - LED - Globe - 5w - Warehouse</t>
  </si>
  <si>
    <t>LGDI: Lamp - LED - High Output - from 320w HID</t>
  </si>
  <si>
    <t>LGDI: Lamp - LED - High Output - from 400w HID</t>
  </si>
  <si>
    <t>LGDI: Lamp - LED - Low to Med Output - from 320w HID</t>
  </si>
  <si>
    <t>LGDI: Lamp - LED - Low to Med Output - from 400w HID</t>
  </si>
  <si>
    <t>LGDI: Lamp - LED - MR 16 - Assembly Church</t>
  </si>
  <si>
    <t>LGDI: Lamp - LED - MR 16 - Exterior</t>
  </si>
  <si>
    <t>LGDI: Lamp - LED - MR 16 - Grocery</t>
  </si>
  <si>
    <t>LGDI: Lamp - LED - MR 16 - Lodging Common Areas</t>
  </si>
  <si>
    <t>LGDI: Lamp - LED - MR 16 - Lodging Guest Rooms</t>
  </si>
  <si>
    <t>LGDI: Lamp - LED - MR 16 - Office</t>
  </si>
  <si>
    <t>LGDI: Lamp - LED - MR 16 - Other</t>
  </si>
  <si>
    <t>LGDI: Lamp - LED - MR 16 - Other Health</t>
  </si>
  <si>
    <t>LGDI: Lamp - LED - MR 16 - Restaurant</t>
  </si>
  <si>
    <t>LGDI: Lamp - LED - MR 16 - Retail</t>
  </si>
  <si>
    <t>LGDI: Lamp - LED - MR 16 - School K12</t>
  </si>
  <si>
    <t>LGDI: Lamp - LED - MR 16 - Warehouse</t>
  </si>
  <si>
    <t>LGDI: Lamp - LED - Omni - 11w - Assembly Church</t>
  </si>
  <si>
    <t>LGDI: Lamp - LED - Omni - 11w - Exterior</t>
  </si>
  <si>
    <t>LGDI: Lamp - LED - Omni - 11w - Grocery</t>
  </si>
  <si>
    <t>LGDI: Lamp - LED - Omni - 11w - Lodging Common Areas</t>
  </si>
  <si>
    <t>LGDI: Lamp - LED - Omni - 11w - Lodging Guest Rooms</t>
  </si>
  <si>
    <t>LGDI: Lamp - LED - Omni - 11w - Office</t>
  </si>
  <si>
    <t>LGDI: Lamp - LED - Omni - 11w - Other</t>
  </si>
  <si>
    <t>LGDI: Lamp - LED - Omni - 11w - Other Health</t>
  </si>
  <si>
    <t>LGDI: Lamp - LED - Omni - 11w - Restaurant</t>
  </si>
  <si>
    <t>LGDI: Lamp - LED - Omni - 11w - Retail</t>
  </si>
  <si>
    <t>LGDI: Lamp - LED - Omni - 11w - School K12</t>
  </si>
  <si>
    <t>LGDI: Lamp - LED - Omni - 11w - Warehouse</t>
  </si>
  <si>
    <t>LGDI: Lamp - LED - Omni - 7w - Assembly Church</t>
  </si>
  <si>
    <t>LGDI: Lamp - LED - Omni - 7w - Exterior</t>
  </si>
  <si>
    <t>LGDI: Lamp - LED - Omni - 7w - Grocery</t>
  </si>
  <si>
    <t>LGDI: Lamp - LED - Omni - 7w - Lodging Common Areas</t>
  </si>
  <si>
    <t>LGDI: Lamp - LED - Omni - 7w - Lodging Guest Rooms</t>
  </si>
  <si>
    <t>LGDI: Lamp - LED - Omni - 7w - Office</t>
  </si>
  <si>
    <t>LGDI: Lamp - LED - Omni - 7w - Other</t>
  </si>
  <si>
    <t>LGDI: Lamp - LED - Omni - 7w - Other Health</t>
  </si>
  <si>
    <t>LGDI: Lamp - LED - Omni - 7w - Restaurant</t>
  </si>
  <si>
    <t>LGDI: Lamp - LED - Omni - 7w - Retail</t>
  </si>
  <si>
    <t>LGDI: Lamp - LED - Omni - 7w - School K12</t>
  </si>
  <si>
    <t>LGDI: Lamp - LED - Omni - 7w - Warehouse</t>
  </si>
  <si>
    <t>LGDI: Lamp - LED - Par 20 - Assembly Church</t>
  </si>
  <si>
    <t>LGDI: Lamp - LED - Par 20 - Exterior</t>
  </si>
  <si>
    <t>LGDI: Lamp - LED - Par 20 - Grocery</t>
  </si>
  <si>
    <t>LGDI: Lamp - LED - Par 20 - Lodging Common Areas</t>
  </si>
  <si>
    <t>LGDI: Lamp - LED - Par 20 - Lodging Guest Rooms</t>
  </si>
  <si>
    <t>LGDI: Lamp - LED - Par 20 - Office</t>
  </si>
  <si>
    <t>LGDI: Lamp - LED - Par 20 - Other</t>
  </si>
  <si>
    <t>LGDI: Lamp - LED - Par 20 - Other Health</t>
  </si>
  <si>
    <t>LGDI: Lamp - LED - Par 20 - Restaurant</t>
  </si>
  <si>
    <t>LGDI: Lamp - LED - Par 20 - Retail</t>
  </si>
  <si>
    <t>LGDI: Lamp - LED - Par 20 - School K12</t>
  </si>
  <si>
    <t>LGDI: Lamp - LED - Par 20 - Warehouse</t>
  </si>
  <si>
    <t>LGDI: Lamp - LED - Par 30 - Assembly Church</t>
  </si>
  <si>
    <t>LGDI: Lamp - LED - Par 30 - Exterior</t>
  </si>
  <si>
    <t>LGDI: Lamp - LED - Par 30 - Grocery</t>
  </si>
  <si>
    <t>LGDI: Lamp - LED - Par 30 - Lodging Common Areas</t>
  </si>
  <si>
    <t>LGDI: Lamp - LED - Par 30 - Lodging Guest Rooms</t>
  </si>
  <si>
    <t>LGDI: Lamp - LED - Par 30 - Office</t>
  </si>
  <si>
    <t>LGDI: Lamp - LED - Par 30 - Other</t>
  </si>
  <si>
    <t>LGDI: Lamp - LED - Par 30 - Other Health</t>
  </si>
  <si>
    <t>LGDI: Lamp - LED - Par 30 - Restaurant</t>
  </si>
  <si>
    <t>LGDI: Lamp - LED - Par 30 - Retail</t>
  </si>
  <si>
    <t>LGDI: Lamp - LED - Par 30 - School K12</t>
  </si>
  <si>
    <t>LGDI: Lamp - LED - Par 30 - Warehouse</t>
  </si>
  <si>
    <t>LGDI: Lamp - LED - Par 38 or 40 - Assembly Church</t>
  </si>
  <si>
    <t>LGDI: Lamp - LED - Par 38 or 40 - Exterior</t>
  </si>
  <si>
    <t>LGDI: Lamp - LED - Par 38 or 40 - Grocery</t>
  </si>
  <si>
    <t>LGDI: Lamp - LED - Par 38 or 40 - Lodging Common Areas</t>
  </si>
  <si>
    <t>LGDI: Lamp - LED - Par 38 or 40 - Lodging Guest Rooms</t>
  </si>
  <si>
    <t>LGDI: Lamp - LED - Par 38 or 40 - Office</t>
  </si>
  <si>
    <t>LGDI: Lamp - LED - Par 38 or 40 - Other</t>
  </si>
  <si>
    <t>LGDI: Lamp - LED - Par 38 or 40 - Other Health</t>
  </si>
  <si>
    <t>LGDI: Lamp - LED - Par 38 or 40 - Restaurant</t>
  </si>
  <si>
    <t>LGDI: Lamp - LED - Par 38 or 40 - Retail</t>
  </si>
  <si>
    <t>LGDI: Lamp - LED - Par 38 or 40 - School K12</t>
  </si>
  <si>
    <t>LGDI: Lamp - LED - Par 38 or 40 - Warehouse</t>
  </si>
  <si>
    <t>LGDI: Lamp - T8 - 4 ft - 3x - from 4 ft T12 3x</t>
  </si>
  <si>
    <t>LGDI: Lamp - T8 - 4 ft - 3x - from 4 ft T12 3x - LCA</t>
  </si>
  <si>
    <t>LGDI: Lamp - T8 - 4 ft - 4x - from 4 ft T12 4x</t>
  </si>
  <si>
    <t>LGDI: Lamp - T8 - 4 ft - 4x - from 4 ft T12 4x - LCA</t>
  </si>
  <si>
    <t>LGDI: Lamp - T8 - 4 ft - 4x - from 4 ft T12 HO 4x</t>
  </si>
  <si>
    <t>LGDI: Lamp - T8 - 4 ft - 4x - from 4 ft T12 HO 4x - LCA</t>
  </si>
  <si>
    <t>LGDI: Lamp - T8 - DLR - 4 ft - 2x - from 4 ft T12 HO 4x</t>
  </si>
  <si>
    <t>LGDI: Lamp - T8 - DLR - 4 ft - 2x - from 4 ft T12 HO 4x - LCA</t>
  </si>
  <si>
    <t>LGDI: Lamp - T8 - HBF - 4 ft - 6x- from 400w HID</t>
  </si>
  <si>
    <t>LGDI: Lamp - TLED - 3 ft - 1x - from 3 ft 1x T8 25w</t>
  </si>
  <si>
    <t>LGDI: Lamp - TLED - 3 ft - 1x - from 3 ft 1x T8 25w - LCA</t>
  </si>
  <si>
    <t>LGDI: Lamp - TLED - 3 ft - 1x - from 3 ft T12 1x</t>
  </si>
  <si>
    <t>LGDI: Lamp - TLED - 3 ft - 1x - from 3 ft T12 1x - LCA</t>
  </si>
  <si>
    <t>LGDI: Lamp - TLED - 4 ft - 1x - from 4 ft T12 1x</t>
  </si>
  <si>
    <t>LGDI: Lamp - TLED - 4 ft - 1x - from 4 ft T12 1x - LCA</t>
  </si>
  <si>
    <t>LGDI: Lamp - TLED - 4 ft - 1x - from 4 ft T8 28w LLO 1x</t>
  </si>
  <si>
    <t>LGDI: Lamp - TLED - 4 ft - 1x - from 4 ft T8 28w LLO 1x - LCA</t>
  </si>
  <si>
    <t>LGDI: Lamp - TLED - 4 ft - 1x - from 4 ft T8 28w NLO 1x</t>
  </si>
  <si>
    <t>LGDI: Lamp - TLED - 4 ft - 1x - from 4 ft T8 28w NLO 1x - LCA</t>
  </si>
  <si>
    <t>LGDI: Lamp - TLED - 4 ft - 1x - from 4ft T8 32w HLO 1x</t>
  </si>
  <si>
    <t>LGDI: Lamp - TLED - 4 ft - 1x - from 4ft T8 32w HLO 1x - LCA</t>
  </si>
  <si>
    <t>LGDI: Lamp - TLED - 4 ft - 1x - from 4ft T8 32w LLO 1x</t>
  </si>
  <si>
    <t>LGDI: Lamp - TLED - 4 ft - 1x - from 4ft T8 32w LLO 1x - LCA</t>
  </si>
  <si>
    <t>LGDI: Lamp - TLED - 4 ft - 1x - from 4ft T8 32w NLO 1x</t>
  </si>
  <si>
    <t>LGDI: Lamp - TLED - 4 ft - 1x - from 4ft T8 32w NLO 1x - LCA</t>
  </si>
  <si>
    <t>LGDI: Lamp - TLED - 4 ft - 2x - from 4 ft T12 2x</t>
  </si>
  <si>
    <t>LGDI: Lamp - TLED - 4 ft - 2x - from 4 ft T12 2x - LCA</t>
  </si>
  <si>
    <t>LGDI: Lamp - TLED - 4 ft - 2x - from 4 ft T12 HO 2x</t>
  </si>
  <si>
    <t>LGDI: Lamp - TLED - 4 ft - 2x - from 4 ft T12 HO 2x - LCA</t>
  </si>
  <si>
    <t>LGDI: Lamp - TLED - 4 ft - 2x - from 4 ft T8 28w LLO 2x</t>
  </si>
  <si>
    <t>LGDI: Lamp - TLED - 4 ft - 2x - from 4 ft T8 28w LLO 2x - LCA</t>
  </si>
  <si>
    <t>LGDI: Lamp - TLED - 4 ft - 2x - from 4 ft T8 28w NLO 2x</t>
  </si>
  <si>
    <t>LGDI: Lamp - TLED - 4 ft - 2x - from 4 ft T8 28w NLO 2x - LCA</t>
  </si>
  <si>
    <t>LGDI: Lamp - TLED - 4 ft - 2x - from 4 ft T8 32w HLO 2x</t>
  </si>
  <si>
    <t>LGDI: Lamp - TLED - 4 ft - 2x - from 4 ft T8 32w HLO 2x - LCA</t>
  </si>
  <si>
    <t>LGDI: Lamp - TLED - 4 ft - 2x - from 4 ft T8 32w LLO 2x</t>
  </si>
  <si>
    <t>LGDI: Lamp - TLED - 4 ft - 2x - from 4 ft T8 32w LLO 2x - LCA</t>
  </si>
  <si>
    <t>LGDI: Lamp - TLED - 4 ft - 2x - from 4 ft T8 32w NLO 2x</t>
  </si>
  <si>
    <t>LGDI: Lamp - TLED - 4 ft - 2x - from 4 ft T8 32w NLO 2x - LCA</t>
  </si>
  <si>
    <t>LGDI: Lamp - TLED - 4 ft - 3x - from 4 ft T12 HO 3x</t>
  </si>
  <si>
    <t>LGDI: Lamp - TLED - 4 ft - 3x - from 4 ft T12 HO 3x - LCA</t>
  </si>
  <si>
    <t>LGDI: Lamp - TLED - 4 ft - 3x - from 4 ft T8 28w LLO 3x</t>
  </si>
  <si>
    <t>LGDI: Lamp - TLED - 4 ft - 3x - from 4 ft T8 28w LLO 3x - LCA</t>
  </si>
  <si>
    <t>LGDI: Lamp - TLED - 4 ft - 3x - from 4 ft T8 28w NLO 3x</t>
  </si>
  <si>
    <t>LGDI: Lamp - TLED - 4 ft - 3x - from 4 ft T8 28w NLO 3x - LCA</t>
  </si>
  <si>
    <t>LGDI: Lamp - TLED - 4 ft - 3x - from 4 ft T8 32w HLO 3x</t>
  </si>
  <si>
    <t>LGDI: Lamp - TLED - 4 ft - 3x - from 4 ft T8 32w HLO 3x - LCA</t>
  </si>
  <si>
    <t>LGDI: Lamp - TLED - 4 ft - 3x - from 4 ft T8 32w LLO 3x</t>
  </si>
  <si>
    <t>LGDI: Lamp - TLED - 4 ft - 3x - from 4 ft T8 32w LLO 3x - LCA</t>
  </si>
  <si>
    <t>LGDI: Lamp - TLED - 4 ft - 3x - from 4 ft T8 32w NLO 3x</t>
  </si>
  <si>
    <t>LGDI: Lamp - TLED - 4 ft - 3x - from 4 ft T8 32w NLO 3x - LCA</t>
  </si>
  <si>
    <t>LGDI: Lamp - TLED - 4 ft - 3x from 4 ft T12 3x</t>
  </si>
  <si>
    <t>LGDI: Lamp - TLED - 4 ft - 3x from 4 ft T12 3x - LCA</t>
  </si>
  <si>
    <t>LGDI: Lamp - TLED - 4 ft - 4x - from 4 ft T12 4x</t>
  </si>
  <si>
    <t>LGDI: Lamp - TLED - 4 ft - 4x - from 4 ft T12 4x - LCA</t>
  </si>
  <si>
    <t>LGDI: Lamp - TLED - 4 ft - 4x - from 4 ft T12 HO 4x</t>
  </si>
  <si>
    <t>LGDI: Lamp - TLED - 4 ft - 4x - from 4 ft T12 HO 4x - LCA</t>
  </si>
  <si>
    <t>LGDI: Lamp - TLED - 4 ft - 4x - from 4 ft T8 28w LLO 4x</t>
  </si>
  <si>
    <t>LGDI: Lamp - TLED - 4 ft - 4x - from 4 ft T8 28w LLO 4x - LCA</t>
  </si>
  <si>
    <t>LGDI: Lamp - TLED - 4 ft - 4x - from 4 ft T8 28w NLO 4x</t>
  </si>
  <si>
    <t>LGDI: Lamp - TLED - 4 ft - 4x - from 4 ft T8 28w NLO 4x - LCA</t>
  </si>
  <si>
    <t>LGDI: Lamp - TLED - 4 ft - 4x - from 4 ft T8 32w HLO 4x</t>
  </si>
  <si>
    <t>LGDI: Lamp - TLED - 4 ft - 4x - from 4 ft T8 32w HLO 4x - LCA</t>
  </si>
  <si>
    <t>LGDI: Lamp - TLED - 4 ft - 4x - from 4 ft T8 32w LLO 4x</t>
  </si>
  <si>
    <t>LGDI: Lamp - TLED - 4 ft - 4x - from 4 ft T8 32w LLO 4x - LCA</t>
  </si>
  <si>
    <t>LGDI: Lamp - TLED - 4 ft - 4x - from 4 ft T8 32w NLO 4x</t>
  </si>
  <si>
    <t>LGDI: Lamp - TLED - 4 ft - 4x - from 4 ft T8 32w NLO 4x - LCA</t>
  </si>
  <si>
    <t>LGDI: LED Exit Sign</t>
  </si>
  <si>
    <t>LGDI: LED Open Sign</t>
  </si>
  <si>
    <t>LGDI: Occupancy Sensor - 100w to 150w</t>
  </si>
  <si>
    <t>LGDI: Occupancy Sensor - 151w to 200w</t>
  </si>
  <si>
    <t>LGDI: Occupancy Sensor - 201w to 450w</t>
  </si>
  <si>
    <t>LGDI: Occupancy Sensor - Less than 100w</t>
  </si>
  <si>
    <t>LGDI: Occupancy Sensor - over 450w</t>
  </si>
  <si>
    <t>LGDI: Open Case Lighting - LED - High - from 4ft T12</t>
  </si>
  <si>
    <t>LGDI: Open Case Lighting - LED - High - from 4ft T8</t>
  </si>
  <si>
    <t>LGDI: Open Case Lighting - LED - High - from 5ft T12</t>
  </si>
  <si>
    <t>LGDI: Open Case Lighting - LED - High - from 5ft T8</t>
  </si>
  <si>
    <t>LGDI: Open Case Lighting - LED - High - from 6ft T12</t>
  </si>
  <si>
    <t>LGDI: Open Case Lighting - LED - High - from 6ft T8</t>
  </si>
  <si>
    <t>LGDI: Open Case Lighting - LED - Low - from 4ft T12</t>
  </si>
  <si>
    <t>LGDI: Open Case Lighting - LED - Low - from 4ft T8</t>
  </si>
  <si>
    <t>LGDI: Open Case Lighting - LED - Low - from 5ft T12</t>
  </si>
  <si>
    <t>LGDI: Open Case Lighting - LED - Low - from 5ft T8</t>
  </si>
  <si>
    <t>LGDI: Open Case Lighting - LED - Low - from 6ft T12</t>
  </si>
  <si>
    <t>LGDI: Open Case Lighting - LED - Low - from 6ft T8</t>
  </si>
  <si>
    <t>LGDI: Open Case Lighting - T12 - Delamp - 4 ft</t>
  </si>
  <si>
    <t>LGDI: Open Case Lighting - T12 - Delamp - 5 ft</t>
  </si>
  <si>
    <t>LGDI: Open Case Lighting - T12 - Delamp - 6 ft</t>
  </si>
  <si>
    <t>LGDI: Open Case Lighting - T8 - Delamp - 4 ft</t>
  </si>
  <si>
    <t>LGDI: Open Case Lighting - T8 - Delamp - 5 ft</t>
  </si>
  <si>
    <t>LGDI: Open Case Lighting - T8 - Delamp - 6 ft</t>
  </si>
  <si>
    <t>LGDI: Power Strip - Advanced</t>
  </si>
  <si>
    <t>LGDI: Reach In Case Lighting - LED - Low - from 4ft T12</t>
  </si>
  <si>
    <t>LGDI: Reach In Case Lighting - LED - Low - from 4ft T8</t>
  </si>
  <si>
    <t>LGDI: Reach In Case Lighting - LED - Low - from 5ft T12</t>
  </si>
  <si>
    <t>LGDI: Reach In Case Lighting - LED - Low - from 5ft T8</t>
  </si>
  <si>
    <t>LGDI: Reach In Case Lighting - LED - Low - from 6ft T12</t>
  </si>
  <si>
    <t>LGDI: Reach In Case Lighting - LED - Low - from 6ft T8</t>
  </si>
  <si>
    <t>LGDI: Reach In Case Lighting - LED - Med - from 4ft T12</t>
  </si>
  <si>
    <t>LGDI: Reach In Case Lighting - LED - Med - from 4ft T8</t>
  </si>
  <si>
    <t>LGDI: Reach In Case Lighting - LED - Med - from 5ft T12</t>
  </si>
  <si>
    <t>LGDI: Reach In Case Lighting - LED - Med - from 5ft T8</t>
  </si>
  <si>
    <t>LGDI: Reach In Case Lighting - LED - Med - from 6ft T12</t>
  </si>
  <si>
    <t>LGDI: Reach In Case Lighting - LED - Med - from 6ft T8</t>
  </si>
  <si>
    <t>LGDI: Sealing - Auto Closer - Reach In Glass Doors - Low Temp - NG - EIE</t>
  </si>
  <si>
    <t>LGDI: Sealing - Auto Closer - Reach In Glass Doors - Med Temp - E</t>
  </si>
  <si>
    <t>LGDI: Sealing - Auto Closer - Reach In Glass Doors - Med Temp - NG - EIE</t>
  </si>
  <si>
    <t>LGDI: Sealing - Auto Closer - Walk In Doors - Low Temp - E</t>
  </si>
  <si>
    <t>LGDI: Sealing - Auto Closer - Walk In Doors - Low Temp - NG - EIE</t>
  </si>
  <si>
    <t>LGDI: Sealing - Auto Closer - Walk In Doors - Med Temp - E</t>
  </si>
  <si>
    <t>LGDI: Sealing - Auto Closer - Walk In Doors - Med Temp - NG - EIE</t>
  </si>
  <si>
    <t>LGDI: Sealing - Gasket - Reach In Glass Door - Low Temp - E</t>
  </si>
  <si>
    <t>LGDI: Sealing - Gasket - Reach In Glass Door - Med Temp - E</t>
  </si>
  <si>
    <t>LGDI: Sealing - Gasket - Walk In Cooler Door- Main - E</t>
  </si>
  <si>
    <t>LGDI: Sealing - Gasket - Walk In Freezer Door - Main - E</t>
  </si>
  <si>
    <t>LGDI: Sealing - Night Cover - Produce - High Temp - 30F to 55F - E</t>
  </si>
  <si>
    <t>LGDI: Sealing - Night Cover - Produce - High Temp - 30F to 55F - HP</t>
  </si>
  <si>
    <t>LGDI: Sealing - Night Cover - Produce - High Temp - 30F to 55F - NG</t>
  </si>
  <si>
    <t>LGDI: Sealing - Night Cover - Produce - High Temp - 30F to 55F - Unknown</t>
  </si>
  <si>
    <t>LGDI: Sealing - Night Cover - Produce - Low Temp - Neg 35F to 0F - E</t>
  </si>
  <si>
    <t>LGDI: Sealing - Night Cover - Produce - Low Temp - Neg 35F to 0F - HP</t>
  </si>
  <si>
    <t>LGDI: Sealing - Night Cover - Produce - Low Temp - Neg 35F to 0F - NG</t>
  </si>
  <si>
    <t>LGDI: Sealing - Night Cover - Produce - Low Temp - Neg 35F to 0F - Unknown</t>
  </si>
  <si>
    <t>LGDI: Sealing - Night Cover - Produce - Med Temp - 0F to 30F - E</t>
  </si>
  <si>
    <t>LGDI: Sealing - Night Cover - Produce - Med Temp - 0F to 30F - HP</t>
  </si>
  <si>
    <t>LGDI: Sealing - Night Cover - Produce - Med Temp - 0F to 30F - NG</t>
  </si>
  <si>
    <t>LGDI: Sealing - Night Cover - Produce - Med Temp - 0F to 30F - Unknown</t>
  </si>
  <si>
    <t>LGDI: Sealing - Strip Curtain - Cooler - Grocery</t>
  </si>
  <si>
    <t>LGDI: Sealing - Strip Curtain - Freezer - Convenient Store</t>
  </si>
  <si>
    <t>LGDI: Sealing - Strip Curtain - Freezer - Grocery</t>
  </si>
  <si>
    <t>LGDI: Sealing - Strip Curtain - Freezer - Restaurant</t>
  </si>
  <si>
    <t>LGDI: Showerhead - Any Comm - GWH - 1.5 gpm - EIE</t>
  </si>
  <si>
    <t>LGDI: Showerhead - DI - Any Comm - EWH - 1.5 gpm</t>
  </si>
  <si>
    <t>LGDI: Showerhead - DI - Fit Ctr - EWH - 1.5 gpm</t>
  </si>
  <si>
    <t>LGDI: Showerhead - Fit Ctr - GWH - 1.5 gpm - EIE</t>
  </si>
  <si>
    <t>LGDI: Sprayhead - EWH - 0.65 gpm - from 1.6</t>
  </si>
  <si>
    <t>LGDI: Sprayhead - EWH - 0.65 gpm - from 2.2</t>
  </si>
  <si>
    <t>LGDI: Sprayhead - EWH - 0.65 gpm - from 2.6</t>
  </si>
  <si>
    <t>LGDI: Sprayhead - EWH - 0.65 gpm - not PI</t>
  </si>
  <si>
    <t>LGDI: Sprayhead - GWH - 0.65 gpm - from 1.6 - EIE</t>
  </si>
  <si>
    <t>LGDI: Sprayhead - GWH - 0.65 gpm - from 2.2 - EIE</t>
  </si>
  <si>
    <t>LGDI: Sprayhead - GWH - 0.65 gpm - from 2.6 - EIE</t>
  </si>
  <si>
    <t>LGDI: Sprayhead - GWH - 0.65 gpm - not PI - EIE</t>
  </si>
  <si>
    <t>LGDI: Thermostat - Programmable</t>
  </si>
  <si>
    <t>Auto-Closers for Glass Reach-in Doors - Low-Temp (Gas Heating IE)</t>
  </si>
  <si>
    <t>Auto-Closers for Glass Reach-in Doors - Medium Temp (gas heating ie)</t>
  </si>
  <si>
    <t xml:space="preserve">Auto-Closers for Walk-in Doors - Low Temp (Gas Heating IE) </t>
  </si>
  <si>
    <t>Auto-Closers for Walk-in Doors - Medium Temp (Gas Heating ie)</t>
  </si>
  <si>
    <t>Gaskets for Reach-in Glass Doors - Low Temp (per door) - Gas</t>
  </si>
  <si>
    <t>Gaskets for Reach-in Glass Doors - Medium Temp (per door) - Gas</t>
  </si>
  <si>
    <t>Gaskets for Walk-in Freezer - Main Door (per door) - Gas</t>
  </si>
  <si>
    <t>Gaskets for Walk-in Cooler - Main Door (per door) - Gas</t>
  </si>
  <si>
    <t xml:space="preserve">Night Covers Low Temperature (-35F to 0F) [Gas Heating] Gas IE </t>
  </si>
  <si>
    <t xml:space="preserve">Night Covers Medium Temperature (0F to 30F) [Gas Heating] Gas IE </t>
  </si>
  <si>
    <t xml:space="preserve">Night Covers High Temperature (30F to 55F) [Gas Heating] Gas IE </t>
  </si>
  <si>
    <t>Spray valve not previously installed by PSE to 0.65-gas</t>
  </si>
  <si>
    <t>2.6 gpm to 0.65 gpm-gas</t>
  </si>
  <si>
    <t>2.2 gpm to 0.65 gpm-gas</t>
  </si>
  <si>
    <t>1.6 gpm to 0.65 gpm-gas</t>
  </si>
  <si>
    <t>Spray valve not previously installed by PSE to 0.65-gas – with CWA</t>
  </si>
  <si>
    <t>2.6 gpm to 0.65 gpm-gas – with CWA</t>
  </si>
  <si>
    <t>2.2 gpm to 0.65 gpm-gas – Split with CWA</t>
  </si>
  <si>
    <t>G PRE 26 to 65 (CWA) 1.6 gpm to 0.65 gpm-gas – Split with CWA</t>
  </si>
  <si>
    <t>1.5 GPM Showerhead Any Commercial, gas SBDI</t>
  </si>
  <si>
    <t>1.5 GPM Showerhead Fitness Center, gas SBDI</t>
  </si>
  <si>
    <t>1.5 GPM Showerhead Any Commercial, gas SBDI– Split Cost with CWA</t>
  </si>
  <si>
    <t>1.5 GPM Showerhead Fitness Center, gas SBDI – Split Cost with CWA</t>
  </si>
  <si>
    <t>Aerator, Office Small-Gas</t>
  </si>
  <si>
    <t>Aerator, Restaurant - Gas</t>
  </si>
  <si>
    <t>Aerator, Retail-Gas</t>
  </si>
  <si>
    <t>Aerator, School-Gas</t>
  </si>
  <si>
    <t>Aerator, All Others-Gas</t>
  </si>
  <si>
    <t>LGDI: Aerator - GWH - All Others</t>
  </si>
  <si>
    <t>LGDI: Aerator - GWH - Restaurant</t>
  </si>
  <si>
    <t>LGDI: Aerator - GWH - Retail</t>
  </si>
  <si>
    <t>LGDI: Aerator - GWH - School</t>
  </si>
  <si>
    <t>LGDI: Aerator - GWH - Small Office</t>
  </si>
  <si>
    <t>LGDI: Sealing - Auto Closer - Reach In Glass Doors - Low Temp - NG</t>
  </si>
  <si>
    <t>LGDI: Sealing - Auto Closer - Reach In Glass Doors - Med Temp - NG</t>
  </si>
  <si>
    <t>LGDI: Sealing - Auto Closer - Walk In Doors - Low Temp - NG</t>
  </si>
  <si>
    <t>LGDI: Sealing - Auto Closer - Walk In Doors - Med Temp - NG</t>
  </si>
  <si>
    <t>LGDI: Sealing - Gasket - Reach In Glass Door - Low Temp - NG</t>
  </si>
  <si>
    <t>LGDI: Sealing - Gasket - Reach In Glass Door - Med Temp - NG</t>
  </si>
  <si>
    <t>LGDI: Sealing - Gasket - Walk In Cooler Door- Main - NG</t>
  </si>
  <si>
    <t>LGDI: Sealing - Gasket - Walk In Freezer Door - Main - NG</t>
  </si>
  <si>
    <t>LGDI: Sealing - Night Cover - Produce - High Temp - 30F to 55F - NG - GIE</t>
  </si>
  <si>
    <t>LGDI: Sealing - Night Cover - Produce - Low Temp - Neg 35F to 0F - NG - GIE</t>
  </si>
  <si>
    <t>LGDI: Sealing - Night Cover - Produce - Med Temp - 0F to 30F - NG - GIE</t>
  </si>
  <si>
    <t>LGDI: Showerhead - Any Comm - GWH - 1.5 gpm</t>
  </si>
  <si>
    <t>LGDI: Showerhead - DI - Any Comm - GWH - 1.5 gpm</t>
  </si>
  <si>
    <t>LGDI: Showerhead - DI - Fit Ctr - GWH 1.5 gpm</t>
  </si>
  <si>
    <t>LGDI: Showerhead - Fit Ctr - GWH - 1.5 gpm</t>
  </si>
  <si>
    <t>LGDI: Sprayhead - GWH - 0.65 gpm - from 1.6</t>
  </si>
  <si>
    <t>LGDI: Sprayhead - GWH - 0.65 gpm - from 2.2</t>
  </si>
  <si>
    <t>LGDI: Sprayhead - GWH - 0.65 gpm - from 2.6</t>
  </si>
  <si>
    <t>LGDI: Sprayhead - GWH - 0.65 gpm - not PI</t>
  </si>
  <si>
    <t>Individual Energy Reports- Expansion- HRU</t>
  </si>
  <si>
    <t>Individual Energy Reports- Expansion- Rural</t>
  </si>
  <si>
    <t>Aerator - Bath - Engagement - C - APPD - 1.0 gpm - Therm</t>
  </si>
  <si>
    <t>Aerator - Bath - Engagement - C - APPR - 1.0 gpm - Therm</t>
  </si>
  <si>
    <t>Aerator - Kitchen - Engagement - C - APPD - 1.5 gpm - Therm</t>
  </si>
  <si>
    <t>Aerator - Kitchen - Engagement - C - APPR - 1.5 gpm - Therm</t>
  </si>
  <si>
    <t>Consumer Channel Market Manager</t>
  </si>
  <si>
    <t>Assoc. Business Support Analyst</t>
  </si>
  <si>
    <t>Manager Program Support</t>
  </si>
  <si>
    <t>Program Managers</t>
  </si>
  <si>
    <t>Manager Programs Support</t>
  </si>
  <si>
    <t>IT Support</t>
  </si>
  <si>
    <t>Nexant DSM software fee</t>
  </si>
  <si>
    <t>Commercial/Industrial Rebates</t>
  </si>
  <si>
    <t>Business Support Analyst</t>
  </si>
  <si>
    <t>Quality Assurance Specialist</t>
  </si>
  <si>
    <t>Updated budget based upon 2016 average incentive per project of 0.2746 x 19,000,000 kWh/yr rounded up to $5,250,000</t>
  </si>
  <si>
    <t>My Data Manager to replace Itron</t>
  </si>
  <si>
    <t>Outside Metering Contract to Cadmus &amp; Cascade Energy - Ad Hoc Engineering</t>
  </si>
  <si>
    <t xml:space="preserve">Incentive + Admin $ per kWh charge = $0.2375 per kWh X 2,500,000 rounded to $600,000 </t>
  </si>
  <si>
    <t>$0.19 per kWh due to Enhanced Lighting influence, project closeout, and planned lighting incentive adjustments.</t>
  </si>
  <si>
    <t>Based on 2016 program data</t>
  </si>
  <si>
    <t>Temp staffing for Business Lighting</t>
  </si>
  <si>
    <t xml:space="preserve">LED Technology getting cheaper and more customers installing.  </t>
  </si>
  <si>
    <t>$0.035 per kWh based upon current program data</t>
  </si>
  <si>
    <t>Annual meeting expenses and support for regional org.'s.  Additional for in person workshops</t>
  </si>
  <si>
    <t>No charge for interval meter service</t>
  </si>
  <si>
    <t>$2.50 combined incentive and admin costs.</t>
  </si>
  <si>
    <t>One large 190,000 therm project that may drop off</t>
  </si>
  <si>
    <t>Original Plan</t>
  </si>
  <si>
    <t>Difference</t>
  </si>
  <si>
    <r>
      <rPr>
        <b/>
        <sz val="14"/>
        <color theme="1"/>
        <rFont val="Arial"/>
        <family val="2"/>
      </rPr>
      <t xml:space="preserve">2017 </t>
    </r>
    <r>
      <rPr>
        <b/>
        <sz val="12"/>
        <color theme="1"/>
        <rFont val="Arial"/>
        <family val="2"/>
      </rPr>
      <t>PSE Conservation Rider Savings Goals and Budgets</t>
    </r>
  </si>
  <si>
    <r>
      <t>Schedule Nos.</t>
    </r>
    <r>
      <rPr>
        <sz val="12"/>
        <color theme="1"/>
        <rFont val="Arial"/>
        <family val="2"/>
      </rPr>
      <t xml:space="preserve"> </t>
    </r>
    <r>
      <rPr>
        <sz val="8"/>
        <color theme="1"/>
        <rFont val="Arial"/>
        <family val="2"/>
      </rPr>
      <t>(Unless otherwise noted, applies to both electric and gas)</t>
    </r>
  </si>
  <si>
    <r>
      <t xml:space="preserve">(All indented program or activity names are color-coded and comprise the totals of the </t>
    </r>
    <r>
      <rPr>
        <u/>
        <sz val="8"/>
        <color theme="1"/>
        <rFont val="Arial"/>
        <family val="2"/>
      </rPr>
      <t>above</t>
    </r>
    <r>
      <rPr>
        <sz val="8"/>
        <color theme="1"/>
        <rFont val="Arial"/>
        <family val="2"/>
      </rPr>
      <t xml:space="preserve"> program or activity grouping.  In some cases, there are sub-activities within another sub-grouping.)</t>
    </r>
  </si>
  <si>
    <r>
      <t>E</t>
    </r>
    <r>
      <rPr>
        <sz val="10"/>
        <color theme="1"/>
        <rFont val="Arial"/>
        <family val="2"/>
      </rPr>
      <t>nnn</t>
    </r>
  </si>
  <si>
    <t>Iron Mountain - Document Archival</t>
  </si>
  <si>
    <t>Evaluation Consulting, including:</t>
  </si>
  <si>
    <t>Percent Difference</t>
  </si>
  <si>
    <t>LED MR 16~TE, MF (SIR Measure--Prescriptive Savings)</t>
  </si>
  <si>
    <t>LED MR 16~TE, SF (SIR Measure--Prescriptive Savings)</t>
  </si>
  <si>
    <t xml:space="preserve">HEA - In-home- Gas </t>
  </si>
  <si>
    <t>Showerhead - Fixed - Gas</t>
  </si>
  <si>
    <t>Duct Pilot</t>
  </si>
  <si>
    <t>MH Floor Insulation R-0 to R-22 - Gas</t>
  </si>
  <si>
    <t>Resource Conservation Management Total</t>
  </si>
  <si>
    <t>Urban Smart Bellevue</t>
  </si>
  <si>
    <t>449s</t>
  </si>
  <si>
    <t>Non-449s</t>
  </si>
  <si>
    <t>Small Agriculture DI</t>
  </si>
  <si>
    <t>Lodging DI</t>
  </si>
  <si>
    <t>Small Business DI</t>
  </si>
  <si>
    <t>Regional end-use load study</t>
  </si>
  <si>
    <t>Residential appliance saturation study</t>
  </si>
  <si>
    <t>Measure tables are calculated for 2017-specific values. 2016 measure values, totals, etc. are greyed out.</t>
  </si>
  <si>
    <t>2016 and original 2017 (the 2017 values originally stated in the 2016-2017 BCP) are hard-coded in the detail pages.</t>
  </si>
  <si>
    <t>For programs with a very large number of measures, or programs with a large number of revisions, the original 2016 is located betow the 2017 measure table.</t>
  </si>
  <si>
    <t>Overhead--costs associated with primarily employee labor; benefits, for instance. For 2017, includes micro-overhead.</t>
  </si>
  <si>
    <t>Overhead--costs associated with primarily employee labor; benefits, for instance. For 2017, includes micro-overhead</t>
  </si>
  <si>
    <t>This is only a tab title for Electronic Media Tools &amp; Marketing</t>
  </si>
  <si>
    <t>This is only a tab title for Electronic Media Tools and Marketing</t>
  </si>
  <si>
    <t>Outside Marketing Staffing</t>
  </si>
  <si>
    <t>Data Collection Maintenance and Additional Data Collection Points</t>
  </si>
  <si>
    <t>RBSA Oversampling</t>
  </si>
  <si>
    <t>Purple cells = use to indicate a reasonable amt. spent on EM&amp;V (condition (6)(c)):</t>
  </si>
  <si>
    <t>bl</t>
  </si>
  <si>
    <t>EM&amp;V Budget (WAC 480-109-120(1)(b)(vi)(B))</t>
  </si>
  <si>
    <t>(Line bk) Add up the sum of [Data &amp; Systems Services + Program Evaluation + BECAR + Verification purple cells and divide by the [Residential + Business] purple cells.</t>
  </si>
  <si>
    <t xml:space="preserve">(Line bk) Add up the sum of [Data &amp; Systems Services + [Program Evaluation + BECAR + Verification] purple cells </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</si>
</sst>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
    <numFmt numFmtId="167" formatCode="0_);\(0\)"/>
    <numFmt numFmtId="168" formatCode="#,###\ &quot;kwh&quot;"/>
    <numFmt numFmtId="169" formatCode="&quot;$&quot;#,##0.00"/>
    <numFmt numFmtId="170" formatCode="General\ &quot;kwh/unit&quot;"/>
    <numFmt numFmtId="171" formatCode="0.000"/>
    <numFmt numFmtId="172" formatCode="_(* #,##0_);_(* \(#,##0\);_(* &quot;-&quot;??_);_(@_)"/>
    <numFmt numFmtId="173" formatCode="#,###\ &quot;therms&quot;"/>
    <numFmt numFmtId="174" formatCode="General\ &quot;thms/unit&quot;"/>
    <numFmt numFmtId="175" formatCode="0.0"/>
    <numFmt numFmtId="176" formatCode="#,###\ &quot;kWh/yr&quot;"/>
    <numFmt numFmtId="177" formatCode="#,###\ &quot;Therms/yr&quot;"/>
    <numFmt numFmtId="178" formatCode="#,##0.0000"/>
    <numFmt numFmtId="179" formatCode="0.0000"/>
    <numFmt numFmtId="180" formatCode="_(&quot;$&quot;* #,##0_);_(&quot;$&quot;* \(#,##0\);_(&quot;$&quot;* &quot;-&quot;?_);_(@_)"/>
    <numFmt numFmtId="181" formatCode="#,###.0\ &quot;aMW&quot;"/>
    <numFmt numFmtId="182" formatCode="[$-F800]dddd\,\ mmmm\ dd\,\ yyyy"/>
    <numFmt numFmtId="183" formatCode="mm/dd/yy;@"/>
    <numFmt numFmtId="184" formatCode="[$-409]m/d/yy\ h:mm\ AM/PM;@"/>
    <numFmt numFmtId="185" formatCode="##.0\ &quot;FTEs&quot;"/>
    <numFmt numFmtId="186" formatCode="###.0\ &quot;aMW&quot;"/>
    <numFmt numFmtId="187" formatCode="_(&quot;$&quot;* #,##0.000_);_(&quot;$&quot;* \(#,##0.000\);_(&quot;$&quot;* &quot;-&quot;??_);_(@_)"/>
    <numFmt numFmtId="188" formatCode="m/d/\ h:mm"/>
    <numFmt numFmtId="189" formatCode="#,##0.0_);\(#,##0.0\)"/>
    <numFmt numFmtId="190" formatCode="#,###\ &quot;MWh&quot;"/>
    <numFmt numFmtId="191" formatCode="#,##0.0"/>
  </numFmts>
  <fonts count="242">
    <font>
      <sz val="10"/>
      <color theme="1"/>
      <name val="Arial"/>
      <family val="2"/>
    </font>
    <font>
      <sz val="10"/>
      <color indexed="8"/>
      <name val="Arial"/>
      <family val="2"/>
    </font>
    <font>
      <sz val="10"/>
      <color indexed="17"/>
      <name val="Arial"/>
      <family val="2"/>
    </font>
    <font>
      <b/>
      <sz val="10"/>
      <color indexed="9"/>
      <name val="Arial"/>
      <family val="2"/>
    </font>
    <font>
      <sz val="10"/>
      <color indexed="10"/>
      <name val="Arial"/>
      <family val="2"/>
    </font>
    <font>
      <b/>
      <sz val="10"/>
      <color indexed="8"/>
      <name val="Arial"/>
      <family val="2"/>
    </font>
    <font>
      <sz val="10"/>
      <color theme="1"/>
      <name val="Arial"/>
      <family val="2"/>
    </font>
    <font>
      <b/>
      <sz val="14"/>
      <name val="Arial"/>
      <family val="2"/>
    </font>
    <font>
      <sz val="12"/>
      <name val="Arial"/>
      <family val="2"/>
    </font>
    <font>
      <sz val="12"/>
      <color indexed="10"/>
      <name val="Arial"/>
      <family val="2"/>
    </font>
    <font>
      <sz val="10"/>
      <color indexed="10"/>
      <name val="Arial"/>
      <family val="2"/>
    </font>
    <font>
      <b/>
      <sz val="10"/>
      <color indexed="10"/>
      <name val="Arial"/>
      <family val="2"/>
    </font>
    <font>
      <sz val="10"/>
      <name val="Arial"/>
      <family val="2"/>
    </font>
    <font>
      <i/>
      <sz val="10"/>
      <color indexed="17"/>
      <name val="Arial"/>
      <family val="2"/>
    </font>
    <font>
      <i/>
      <sz val="10"/>
      <color indexed="10"/>
      <name val="Arial"/>
      <family val="2"/>
    </font>
    <font>
      <sz val="10"/>
      <name val="Tahoma"/>
      <family val="2"/>
    </font>
    <font>
      <i/>
      <sz val="10"/>
      <color indexed="8"/>
      <name val="Arial"/>
      <family val="2"/>
    </font>
    <font>
      <b/>
      <sz val="10"/>
      <name val="Arial"/>
      <family val="2"/>
    </font>
    <font>
      <b/>
      <sz val="12"/>
      <name val="Arial"/>
      <family val="2"/>
    </font>
    <font>
      <b/>
      <sz val="10"/>
      <color indexed="10"/>
      <name val="Arial"/>
      <family val="2"/>
    </font>
    <font>
      <u val="singleAccounting"/>
      <sz val="10"/>
      <name val="Arial"/>
      <family val="2"/>
    </font>
    <font>
      <b/>
      <sz val="12"/>
      <color indexed="8"/>
      <name val="Arial"/>
      <family val="2"/>
    </font>
    <font>
      <u/>
      <sz val="10"/>
      <color theme="10"/>
      <name val="Calibri"/>
      <family val="2"/>
    </font>
    <font>
      <b/>
      <sz val="12"/>
      <color indexed="8"/>
      <name val="Calibri"/>
      <family val="2"/>
    </font>
    <font>
      <b/>
      <i/>
      <sz val="10"/>
      <color indexed="10"/>
      <name val="Calibri"/>
      <family val="2"/>
    </font>
    <font>
      <b/>
      <sz val="10"/>
      <color indexed="8"/>
      <name val="Calibri"/>
      <family val="2"/>
    </font>
    <font>
      <sz val="10"/>
      <color indexed="8"/>
      <name val="Calibri"/>
      <family val="2"/>
    </font>
    <font>
      <b/>
      <sz val="12"/>
      <name val="Calibri"/>
      <family val="2"/>
    </font>
    <font>
      <sz val="10"/>
      <color indexed="10"/>
      <name val="Calibri"/>
      <family val="2"/>
    </font>
    <font>
      <i/>
      <sz val="10"/>
      <color indexed="10"/>
      <name val="Calibri"/>
      <family val="2"/>
    </font>
    <font>
      <b/>
      <sz val="10"/>
      <color indexed="10"/>
      <name val="Calibri"/>
      <family val="2"/>
    </font>
    <font>
      <sz val="10"/>
      <color indexed="81"/>
      <name val="Tahoma"/>
      <family val="2"/>
    </font>
    <font>
      <b/>
      <sz val="10"/>
      <color indexed="81"/>
      <name val="Tahoma"/>
      <family val="2"/>
    </font>
    <font>
      <u/>
      <sz val="9"/>
      <color indexed="12"/>
      <name val="Calibri"/>
      <family val="2"/>
    </font>
    <font>
      <sz val="10"/>
      <name val="Calibri"/>
      <family val="2"/>
    </font>
    <font>
      <sz val="9"/>
      <name val="Arial"/>
      <family val="2"/>
    </font>
    <font>
      <sz val="10"/>
      <color indexed="8"/>
      <name val="Verdana"/>
      <family val="2"/>
    </font>
    <font>
      <b/>
      <sz val="9"/>
      <name val="Arial"/>
      <family val="2"/>
    </font>
    <font>
      <b/>
      <sz val="10"/>
      <color theme="1"/>
      <name val="Arial"/>
      <family val="2"/>
    </font>
    <font>
      <sz val="10"/>
      <name val="Tahoma"/>
      <family val="2"/>
    </font>
    <font>
      <sz val="8"/>
      <color indexed="8"/>
      <name val="Arial"/>
      <family val="2"/>
    </font>
    <font>
      <b/>
      <sz val="10"/>
      <name val="Tahoma"/>
      <family val="2"/>
    </font>
    <font>
      <b/>
      <sz val="10"/>
      <name val="Tahoma"/>
      <family val="2"/>
    </font>
    <font>
      <b/>
      <u/>
      <sz val="10"/>
      <name val="Tahoma"/>
      <family val="2"/>
    </font>
    <font>
      <i/>
      <sz val="10"/>
      <name val="Tahoma"/>
      <family val="2"/>
    </font>
    <font>
      <b/>
      <sz val="10"/>
      <color indexed="9"/>
      <name val="Arial"/>
      <family val="2"/>
    </font>
    <font>
      <sz val="10"/>
      <name val="Arial"/>
      <family val="2"/>
    </font>
    <font>
      <b/>
      <sz val="16"/>
      <color indexed="18"/>
      <name val="Arial"/>
      <family val="2"/>
    </font>
    <font>
      <sz val="14"/>
      <name val="Arial"/>
      <family val="2"/>
    </font>
    <font>
      <b/>
      <u/>
      <sz val="10"/>
      <name val="Arial"/>
      <family val="2"/>
    </font>
    <font>
      <b/>
      <sz val="14"/>
      <name val="Calibri"/>
      <family val="2"/>
    </font>
    <font>
      <b/>
      <u/>
      <sz val="10"/>
      <color indexed="18"/>
      <name val="Tahoma"/>
      <family val="2"/>
    </font>
    <font>
      <b/>
      <i/>
      <sz val="9"/>
      <color indexed="18"/>
      <name val="Arial"/>
      <family val="2"/>
    </font>
    <font>
      <b/>
      <i/>
      <sz val="14"/>
      <color indexed="53"/>
      <name val="Tahoma"/>
      <family val="2"/>
    </font>
    <font>
      <b/>
      <u val="singleAccounting"/>
      <sz val="10"/>
      <name val="Tahoma"/>
      <family val="2"/>
    </font>
    <font>
      <sz val="10"/>
      <color indexed="8"/>
      <name val="Arial"/>
      <family val="2"/>
    </font>
    <font>
      <u/>
      <sz val="10"/>
      <name val="Tahoma"/>
      <family val="2"/>
    </font>
    <font>
      <sz val="10"/>
      <color theme="1"/>
      <name val="Calibri"/>
      <family val="2"/>
      <scheme val="minor"/>
    </font>
    <font>
      <sz val="8"/>
      <name val="Arial"/>
      <family val="2"/>
    </font>
    <font>
      <sz val="10"/>
      <name val="MS Sans Serif"/>
      <family val="2"/>
    </font>
    <font>
      <sz val="11"/>
      <color theme="1"/>
      <name val="Calibri"/>
      <family val="2"/>
      <scheme val="minor"/>
    </font>
    <font>
      <sz val="12"/>
      <color theme="1"/>
      <name val="Arial"/>
      <family val="2"/>
    </font>
    <font>
      <sz val="14"/>
      <color theme="1"/>
      <name val="Arial"/>
      <family val="2"/>
    </font>
    <font>
      <sz val="8"/>
      <color theme="1"/>
      <name val="Arial"/>
      <family val="2"/>
    </font>
    <font>
      <b/>
      <u/>
      <sz val="10"/>
      <color theme="10"/>
      <name val="Calibri"/>
      <family val="2"/>
    </font>
    <font>
      <b/>
      <sz val="12"/>
      <color theme="1"/>
      <name val="Arial"/>
      <family val="2"/>
    </font>
    <font>
      <b/>
      <sz val="12"/>
      <color indexed="9"/>
      <name val="Arial"/>
      <family val="2"/>
    </font>
    <font>
      <b/>
      <sz val="10"/>
      <color indexed="12"/>
      <name val="Arial"/>
      <family val="2"/>
    </font>
    <font>
      <sz val="10"/>
      <color indexed="12"/>
      <name val="Arial"/>
      <family val="2"/>
    </font>
    <font>
      <u val="singleAccounting"/>
      <sz val="10"/>
      <color indexed="8"/>
      <name val="Arial"/>
      <family val="2"/>
    </font>
    <font>
      <b/>
      <sz val="11"/>
      <name val="Arial"/>
      <family val="2"/>
    </font>
    <font>
      <b/>
      <sz val="10"/>
      <color rgb="FFFF0000"/>
      <name val="Arial"/>
      <family val="2"/>
    </font>
    <font>
      <b/>
      <sz val="12"/>
      <color rgb="FFFF0000"/>
      <name val="Calibri"/>
      <family val="2"/>
      <scheme val="minor"/>
    </font>
    <font>
      <sz val="10"/>
      <name val="Calibri"/>
      <family val="2"/>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2"/>
      <color indexed="20"/>
      <name val="Arial"/>
      <family val="2"/>
    </font>
    <font>
      <sz val="8"/>
      <color indexed="9"/>
      <name val="Arial"/>
      <family val="2"/>
    </font>
    <font>
      <sz val="10"/>
      <color theme="1"/>
      <name val="Calibri"/>
      <family val="2"/>
    </font>
    <font>
      <sz val="10"/>
      <name val="Arial"/>
      <family val="2"/>
    </font>
    <font>
      <sz val="10"/>
      <name val="Tahoma"/>
      <family val="2"/>
    </font>
    <font>
      <b/>
      <strike/>
      <sz val="12"/>
      <color indexed="8"/>
      <name val="Calibri"/>
      <family val="2"/>
    </font>
    <font>
      <sz val="10"/>
      <name val="Tahoma"/>
      <family val="2"/>
    </font>
    <font>
      <u/>
      <sz val="10"/>
      <name val="Tahoma"/>
      <family val="2"/>
    </font>
    <font>
      <b/>
      <strike/>
      <sz val="12"/>
      <color rgb="FFFF0000"/>
      <name val="Calibri"/>
      <family val="2"/>
    </font>
    <font>
      <u/>
      <sz val="12"/>
      <color theme="10"/>
      <name val="Calibri"/>
      <family val="2"/>
    </font>
    <font>
      <i/>
      <sz val="10"/>
      <color theme="1"/>
      <name val="Arial"/>
      <family val="2"/>
    </font>
    <font>
      <sz val="9"/>
      <color theme="1"/>
      <name val="Arial"/>
      <family val="2"/>
    </font>
    <font>
      <b/>
      <strike/>
      <sz val="12"/>
      <color indexed="8"/>
      <name val="Arial"/>
      <family val="2"/>
    </font>
    <font>
      <b/>
      <sz val="12"/>
      <color theme="1"/>
      <name val="Calibri"/>
      <family val="2"/>
      <scheme val="minor"/>
    </font>
    <font>
      <sz val="12"/>
      <color indexed="8"/>
      <name val="Calibri"/>
      <family val="2"/>
    </font>
    <font>
      <u/>
      <sz val="10"/>
      <color indexed="12"/>
      <name val="Calibri"/>
      <family val="2"/>
    </font>
    <font>
      <sz val="11"/>
      <color indexed="8"/>
      <name val="Calibri"/>
      <family val="2"/>
    </font>
    <font>
      <u/>
      <sz val="10"/>
      <color indexed="12"/>
      <name val="Arial"/>
      <family val="2"/>
    </font>
    <font>
      <sz val="12"/>
      <name val="Times New Roman"/>
      <family val="1"/>
    </font>
    <font>
      <b/>
      <sz val="12"/>
      <name val="Times New Roman"/>
      <family val="1"/>
    </font>
    <font>
      <u/>
      <sz val="7"/>
      <color indexed="12"/>
      <name val="Arial"/>
      <family val="2"/>
    </font>
    <font>
      <b/>
      <sz val="12"/>
      <color rgb="FFFF0000"/>
      <name val="Calibri"/>
      <family val="2"/>
    </font>
    <font>
      <sz val="10"/>
      <color rgb="FFFF0000"/>
      <name val="Calibri"/>
      <family val="2"/>
    </font>
    <font>
      <u/>
      <sz val="12"/>
      <color indexed="12"/>
      <name val="Calibri"/>
      <family val="2"/>
    </font>
    <font>
      <b/>
      <sz val="12"/>
      <color theme="1"/>
      <name val="Calibri"/>
      <family val="2"/>
    </font>
    <font>
      <sz val="10"/>
      <color rgb="FFFF0000"/>
      <name val="Tahoma"/>
      <family val="2"/>
    </font>
    <font>
      <b/>
      <sz val="10"/>
      <color theme="1"/>
      <name val="Calibri"/>
      <family val="2"/>
      <scheme val="minor"/>
    </font>
    <font>
      <u/>
      <sz val="12"/>
      <color theme="1"/>
      <name val="Calibri"/>
      <family val="2"/>
    </font>
    <font>
      <sz val="10"/>
      <color theme="1"/>
      <name val="Franklin Gothic Book"/>
      <family val="2"/>
    </font>
    <font>
      <b/>
      <sz val="10"/>
      <color theme="0"/>
      <name val="Franklin Gothic Book"/>
      <family val="2"/>
    </font>
    <font>
      <sz val="9"/>
      <color theme="1"/>
      <name val="Franklin Gothic Book"/>
      <family val="2"/>
    </font>
    <font>
      <sz val="10"/>
      <color theme="0"/>
      <name val="Franklin Gothic Book"/>
      <family val="2"/>
    </font>
    <font>
      <sz val="10"/>
      <name val="Franklin Gothic Book"/>
      <family val="2"/>
    </font>
    <font>
      <sz val="10"/>
      <color rgb="FFC00000"/>
      <name val="Wingdings 3"/>
      <family val="1"/>
      <charset val="2"/>
    </font>
    <font>
      <sz val="9"/>
      <name val="Franklin Gothic Book"/>
      <family val="2"/>
    </font>
    <font>
      <sz val="10"/>
      <color theme="0"/>
      <name val="Wingdings 3"/>
      <family val="1"/>
      <charset val="2"/>
    </font>
    <font>
      <u/>
      <sz val="10"/>
      <color theme="10"/>
      <name val="Franklin Gothic Book"/>
      <family val="2"/>
    </font>
    <font>
      <b/>
      <sz val="12"/>
      <color theme="0"/>
      <name val="Arial"/>
      <family val="2"/>
    </font>
    <font>
      <u val="singleAccounting"/>
      <sz val="10"/>
      <name val="Tahoma"/>
      <family val="2"/>
    </font>
    <font>
      <b/>
      <sz val="11"/>
      <color theme="0"/>
      <name val="Calibri"/>
      <family val="2"/>
      <scheme val="minor"/>
    </font>
    <font>
      <b/>
      <sz val="11"/>
      <color theme="1"/>
      <name val="Calibri"/>
      <family val="2"/>
      <scheme val="minor"/>
    </font>
    <font>
      <sz val="8"/>
      <color indexed="81"/>
      <name val="Tahoma"/>
      <family val="2"/>
    </font>
    <font>
      <b/>
      <sz val="8"/>
      <name val="Arial"/>
      <family val="2"/>
    </font>
    <font>
      <b/>
      <sz val="8"/>
      <color indexed="9"/>
      <name val="Arial"/>
      <family val="2"/>
    </font>
    <font>
      <b/>
      <sz val="10"/>
      <color theme="0"/>
      <name val="Arial"/>
      <family val="2"/>
    </font>
    <font>
      <b/>
      <sz val="8"/>
      <color indexed="20"/>
      <name val="Arial"/>
      <family val="2"/>
    </font>
    <font>
      <u/>
      <sz val="9.9"/>
      <color theme="10"/>
      <name val="Calibri"/>
      <family val="2"/>
    </font>
    <font>
      <sz val="10"/>
      <name val="Arial"/>
      <family val="2"/>
    </font>
    <font>
      <u val="singleAccounting"/>
      <sz val="10"/>
      <name val="Cambria"/>
      <family val="1"/>
    </font>
    <font>
      <u val="singleAccounting"/>
      <sz val="9"/>
      <name val="Arial"/>
      <family val="2"/>
    </font>
    <font>
      <b/>
      <sz val="9"/>
      <color theme="1"/>
      <name val="Franklin Gothic Book"/>
      <family val="2"/>
    </font>
    <font>
      <sz val="10"/>
      <color rgb="FFFF0000"/>
      <name val="Wingdings 3"/>
      <family val="1"/>
      <charset val="2"/>
    </font>
    <font>
      <sz val="10"/>
      <color rgb="FF0430AC"/>
      <name val="Arial"/>
      <family val="2"/>
    </font>
    <font>
      <sz val="8"/>
      <color rgb="FF0430AC"/>
      <name val="Arial"/>
      <family val="2"/>
    </font>
    <font>
      <i/>
      <sz val="9"/>
      <color rgb="FF0430AC"/>
      <name val="Arial"/>
      <family val="2"/>
    </font>
    <font>
      <i/>
      <sz val="10"/>
      <color rgb="FF0430AC"/>
      <name val="Arial"/>
      <family val="2"/>
    </font>
    <font>
      <i/>
      <sz val="8"/>
      <color rgb="FF0430AC"/>
      <name val="Arial"/>
      <family val="2"/>
    </font>
    <font>
      <u/>
      <sz val="8"/>
      <name val="Arial"/>
      <family val="2"/>
    </font>
    <font>
      <b/>
      <sz val="14"/>
      <color rgb="FF0000FF"/>
      <name val="Arial"/>
      <family val="2"/>
    </font>
    <font>
      <sz val="16"/>
      <color rgb="FF0430AC"/>
      <name val="Arial"/>
      <family val="2"/>
    </font>
    <font>
      <b/>
      <sz val="12"/>
      <color rgb="FF0430AC"/>
      <name val="Arial"/>
      <family val="2"/>
    </font>
    <font>
      <sz val="10"/>
      <color rgb="FF063FE0"/>
      <name val="Arial"/>
      <family val="2"/>
    </font>
    <font>
      <b/>
      <sz val="12"/>
      <color rgb="FF063FE0"/>
      <name val="Calibri"/>
      <family val="2"/>
    </font>
    <font>
      <sz val="8"/>
      <color rgb="FF00B050"/>
      <name val="Arial"/>
      <family val="2"/>
    </font>
    <font>
      <b/>
      <sz val="16"/>
      <color theme="0"/>
      <name val="Arial"/>
      <family val="2"/>
    </font>
    <font>
      <u val="singleAccounting"/>
      <sz val="10"/>
      <color theme="1"/>
      <name val="Arial"/>
      <family val="2"/>
    </font>
    <font>
      <sz val="10"/>
      <color rgb="FF0070C0"/>
      <name val="Arial"/>
      <family val="2"/>
    </font>
    <font>
      <b/>
      <i/>
      <sz val="10"/>
      <color rgb="FF0070C0"/>
      <name val="Arial"/>
      <family val="2"/>
    </font>
    <font>
      <i/>
      <sz val="8"/>
      <color theme="1"/>
      <name val="Arial"/>
      <family val="2"/>
    </font>
    <font>
      <b/>
      <u val="doubleAccounting"/>
      <sz val="10"/>
      <color theme="0"/>
      <name val="Arial"/>
      <family val="2"/>
    </font>
    <font>
      <i/>
      <sz val="9"/>
      <color theme="1"/>
      <name val="Arial"/>
      <family val="2"/>
    </font>
    <font>
      <sz val="8"/>
      <color rgb="FF0070C0"/>
      <name val="Arial"/>
      <family val="2"/>
    </font>
    <font>
      <u/>
      <sz val="10"/>
      <color rgb="FF0070C0"/>
      <name val="Calibri"/>
      <family val="2"/>
    </font>
    <font>
      <sz val="6"/>
      <color theme="1"/>
      <name val="Arial"/>
      <family val="2"/>
    </font>
    <font>
      <sz val="10"/>
      <color rgb="FFFF0000"/>
      <name val="Arial"/>
      <family val="2"/>
    </font>
    <font>
      <b/>
      <i/>
      <sz val="10"/>
      <color rgb="FF5566E3"/>
      <name val="Arial"/>
      <family val="2"/>
    </font>
    <font>
      <b/>
      <sz val="9"/>
      <color indexed="81"/>
      <name val="Tahoma"/>
      <family val="2"/>
    </font>
    <font>
      <sz val="9"/>
      <color indexed="81"/>
      <name val="Tahoma"/>
      <family val="2"/>
    </font>
    <font>
      <sz val="9"/>
      <color theme="1"/>
      <name val="Franklin Gothic Book"/>
    </font>
    <font>
      <sz val="9"/>
      <name val="Franklin Gothic Book"/>
    </font>
    <font>
      <sz val="10"/>
      <color rgb="FFDCDDDE"/>
      <name val="Arial"/>
      <family val="2"/>
    </font>
    <font>
      <strike/>
      <sz val="9"/>
      <color theme="1"/>
      <name val="Franklin Gothic Book"/>
      <family val="2"/>
    </font>
    <font>
      <strike/>
      <sz val="9"/>
      <name val="Franklin Gothic Book"/>
      <family val="2"/>
    </font>
    <font>
      <b/>
      <sz val="9"/>
      <color theme="1"/>
      <name val="Arial"/>
      <family val="2"/>
    </font>
    <font>
      <sz val="10"/>
      <color theme="1"/>
      <name val="Franklin Gothic Book"/>
    </font>
    <font>
      <sz val="10"/>
      <color theme="0"/>
      <name val="Franklin Gothic Book"/>
    </font>
    <font>
      <b/>
      <sz val="10"/>
      <color theme="0"/>
      <name val="Franklin Gothic Book"/>
    </font>
    <font>
      <i/>
      <sz val="9"/>
      <color theme="1"/>
      <name val="Franklin Gothic Book"/>
    </font>
    <font>
      <sz val="10"/>
      <color theme="7" tint="-0.249977111117893"/>
      <name val="Arial"/>
      <family val="2"/>
    </font>
    <font>
      <i/>
      <sz val="9"/>
      <color rgb="FF00B050"/>
      <name val="Franklin Gothic Book"/>
    </font>
    <font>
      <u/>
      <sz val="10"/>
      <color theme="1"/>
      <name val="Calibri"/>
      <family val="2"/>
    </font>
    <font>
      <sz val="10"/>
      <color rgb="FF00B050"/>
      <name val="Arial"/>
      <family val="2"/>
    </font>
    <font>
      <sz val="9"/>
      <color rgb="FFFF0000"/>
      <name val="Arial"/>
      <family val="2"/>
    </font>
    <font>
      <i/>
      <sz val="10"/>
      <color rgb="FFFF0000"/>
      <name val="Arial"/>
      <family val="2"/>
    </font>
    <font>
      <b/>
      <sz val="11"/>
      <color theme="1"/>
      <name val="Arial"/>
      <family val="2"/>
    </font>
    <font>
      <b/>
      <sz val="9"/>
      <color rgb="FFFF0000"/>
      <name val="Franklin Gothic Book"/>
      <family val="2"/>
    </font>
    <font>
      <b/>
      <sz val="9"/>
      <name val="Franklin Gothic Book"/>
      <family val="2"/>
    </font>
    <font>
      <strike/>
      <sz val="9"/>
      <color rgb="FF00B050"/>
      <name val="Franklin Gothic Book"/>
      <family val="2"/>
    </font>
    <font>
      <b/>
      <i/>
      <sz val="9"/>
      <name val="Franklin Gothic Book"/>
      <family val="2"/>
    </font>
    <font>
      <sz val="9"/>
      <color rgb="FFFF0000"/>
      <name val="Franklin Gothic Book"/>
      <family val="2"/>
    </font>
    <font>
      <b/>
      <i/>
      <sz val="9"/>
      <name val="Arial"/>
      <family val="2"/>
    </font>
    <font>
      <sz val="9"/>
      <color rgb="FF00B050"/>
      <name val="Franklin Gothic Book"/>
      <family val="2"/>
    </font>
    <font>
      <sz val="9"/>
      <color rgb="FFFF0000"/>
      <name val="Franklin Gothic Book"/>
    </font>
    <font>
      <sz val="14"/>
      <color rgb="FFFF0000"/>
      <name val="Arial"/>
      <family val="2"/>
    </font>
    <font>
      <b/>
      <i/>
      <sz val="10"/>
      <color theme="1"/>
      <name val="Arial"/>
      <family val="2"/>
    </font>
    <font>
      <u/>
      <sz val="10"/>
      <color theme="1"/>
      <name val="Arial"/>
      <family val="2"/>
    </font>
    <font>
      <u/>
      <sz val="10"/>
      <color rgb="FF0070C0"/>
      <name val="Arial"/>
      <family val="2"/>
    </font>
    <font>
      <b/>
      <sz val="14"/>
      <color theme="1"/>
      <name val="Arial"/>
      <family val="2"/>
    </font>
    <font>
      <b/>
      <i/>
      <u/>
      <sz val="10"/>
      <color theme="1"/>
      <name val="Arial"/>
      <family val="2"/>
    </font>
    <font>
      <b/>
      <sz val="11"/>
      <color theme="0"/>
      <name val="Arial"/>
      <family val="2"/>
    </font>
    <font>
      <b/>
      <sz val="10"/>
      <color theme="1"/>
      <name val="Calibri"/>
      <family val="2"/>
    </font>
    <font>
      <sz val="10"/>
      <color theme="0" tint="-0.249977111117893"/>
      <name val="Franklin Gothic Book"/>
      <family val="2"/>
    </font>
    <font>
      <sz val="10"/>
      <color theme="0" tint="-0.249977111117893"/>
      <name val="Arial"/>
      <family val="2"/>
    </font>
    <font>
      <b/>
      <sz val="12"/>
      <color theme="0" tint="-0.249977111117893"/>
      <name val="Calibri"/>
      <family val="2"/>
    </font>
    <font>
      <sz val="10"/>
      <color theme="0" tint="-0.249977111117893"/>
      <name val="Calibri"/>
      <family val="2"/>
      <scheme val="minor"/>
    </font>
    <font>
      <sz val="9"/>
      <color theme="0" tint="-0.249977111117893"/>
      <name val="Franklin Gothic Book"/>
      <family val="2"/>
    </font>
    <font>
      <sz val="9"/>
      <color theme="0" tint="-0.249977111117893"/>
      <name val="Arial"/>
      <family val="2"/>
    </font>
    <font>
      <b/>
      <u/>
      <sz val="10"/>
      <color theme="0" tint="-0.249977111117893"/>
      <name val="Arial"/>
      <family val="2"/>
    </font>
    <font>
      <sz val="10"/>
      <color theme="0" tint="-0.249977111117893"/>
      <name val="Tahoma"/>
      <family val="2"/>
    </font>
    <font>
      <b/>
      <sz val="9"/>
      <color theme="0" tint="-0.249977111117893"/>
      <name val="Arial"/>
      <family val="2"/>
    </font>
    <font>
      <b/>
      <sz val="10"/>
      <color theme="0" tint="-0.249977111117893"/>
      <name val="Arial"/>
      <family val="2"/>
    </font>
    <font>
      <b/>
      <sz val="10"/>
      <color theme="0" tint="-0.249977111117893"/>
      <name val="Tahoma"/>
      <family val="2"/>
    </font>
    <font>
      <u val="singleAccounting"/>
      <sz val="10"/>
      <color theme="0" tint="-0.249977111117893"/>
      <name val="Tahoma"/>
      <family val="2"/>
    </font>
    <font>
      <b/>
      <u/>
      <sz val="10"/>
      <color theme="0" tint="-0.249977111117893"/>
      <name val="Tahoma"/>
      <family val="2"/>
    </font>
    <font>
      <b/>
      <u val="singleAccounting"/>
      <sz val="10"/>
      <color theme="0" tint="-0.249977111117893"/>
      <name val="Tahoma"/>
      <family val="2"/>
    </font>
    <font>
      <sz val="10"/>
      <color theme="0" tint="-0.249977111117893"/>
      <name val="Franklin Gothic Book"/>
    </font>
    <font>
      <sz val="9"/>
      <color theme="0" tint="-0.249977111117893"/>
      <name val="Franklin Gothic Book"/>
    </font>
    <font>
      <u val="singleAccounting"/>
      <sz val="9"/>
      <color theme="0" tint="-0.249977111117893"/>
      <name val="Arial"/>
      <family val="2"/>
    </font>
    <font>
      <u val="singleAccounting"/>
      <sz val="10"/>
      <color theme="0" tint="-0.249977111117893"/>
      <name val="Cambria"/>
      <family val="1"/>
    </font>
    <font>
      <sz val="10"/>
      <color theme="0" tint="-0.34998626667073579"/>
      <name val="Arial"/>
      <family val="2"/>
    </font>
    <font>
      <b/>
      <sz val="12"/>
      <color theme="0" tint="-0.34998626667073579"/>
      <name val="Calibri"/>
      <family val="2"/>
    </font>
    <font>
      <sz val="12"/>
      <color theme="0" tint="-0.34998626667073579"/>
      <name val="Calibri"/>
      <family val="2"/>
    </font>
    <font>
      <b/>
      <sz val="10"/>
      <color theme="0" tint="-0.34998626667073579"/>
      <name val="Calibri"/>
      <family val="2"/>
    </font>
    <font>
      <sz val="10"/>
      <color theme="0" tint="-0.34998626667073579"/>
      <name val="Tahoma"/>
      <family val="2"/>
    </font>
    <font>
      <sz val="10"/>
      <color rgb="FF00B0F0"/>
      <name val="Franklin Gothic Book"/>
      <family val="2"/>
    </font>
    <font>
      <sz val="9"/>
      <color rgb="FF00B0F0"/>
      <name val="Franklin Gothic Book"/>
      <family val="2"/>
    </font>
    <font>
      <sz val="10"/>
      <color rgb="FF00B0F0"/>
      <name val="Franklin Gothic Book"/>
    </font>
    <font>
      <sz val="9"/>
      <color rgb="FF00B0F0"/>
      <name val="Franklin Gothic Book"/>
    </font>
    <font>
      <b/>
      <sz val="10"/>
      <color rgb="FF006A71"/>
      <name val="Arial"/>
      <family val="2"/>
    </font>
    <font>
      <u val="singleAccounting"/>
      <sz val="10"/>
      <color theme="0" tint="-0.249977111117893"/>
      <name val="Arial"/>
      <family val="2"/>
    </font>
    <font>
      <u/>
      <sz val="12"/>
      <color theme="10"/>
      <name val="Arial"/>
      <family val="2"/>
    </font>
    <font>
      <b/>
      <u/>
      <sz val="9"/>
      <name val="Arial"/>
      <family val="2"/>
    </font>
    <font>
      <u/>
      <sz val="10"/>
      <color theme="10"/>
      <name val="Arial"/>
      <family val="2"/>
    </font>
    <font>
      <sz val="10"/>
      <color theme="0" tint="-0.14999847407452621"/>
      <name val="Arial"/>
      <family val="2"/>
    </font>
    <font>
      <sz val="10"/>
      <color theme="0" tint="-0.14999847407452621"/>
      <name val="Tahoma"/>
      <family val="2"/>
    </font>
    <font>
      <i/>
      <sz val="12"/>
      <color indexed="8"/>
      <name val="Calibri"/>
      <family val="2"/>
    </font>
    <font>
      <b/>
      <sz val="12"/>
      <color rgb="FF006A71"/>
      <name val="Calibri"/>
      <family val="2"/>
    </font>
    <font>
      <sz val="10"/>
      <color theme="0" tint="-0.249977111117893"/>
      <name val="Wingdings 3"/>
      <family val="1"/>
      <charset val="2"/>
    </font>
    <font>
      <sz val="10"/>
      <color theme="0" tint="-0.14999847407452621"/>
      <name val="Franklin Gothic Book"/>
      <family val="2"/>
    </font>
    <font>
      <sz val="10"/>
      <color theme="0" tint="-0.14999847407452621"/>
      <name val="Wingdings 3"/>
      <family val="1"/>
      <charset val="2"/>
    </font>
    <font>
      <sz val="9"/>
      <color theme="0" tint="-0.14999847407452621"/>
      <name val="Franklin Gothic Book"/>
      <family val="2"/>
    </font>
    <font>
      <sz val="10"/>
      <color theme="0" tint="-0.249977111117893"/>
      <name val="Calibri"/>
      <family val="2"/>
    </font>
    <font>
      <b/>
      <sz val="8"/>
      <color indexed="81"/>
      <name val="Tahoma"/>
      <family val="2"/>
    </font>
    <font>
      <sz val="10"/>
      <color theme="1"/>
      <name val="Tahoma"/>
      <family val="2"/>
    </font>
    <font>
      <u/>
      <sz val="8"/>
      <color theme="1"/>
      <name val="Arial"/>
      <family val="2"/>
    </font>
    <font>
      <b/>
      <sz val="8"/>
      <color theme="1"/>
      <name val="Arial"/>
      <family val="2"/>
    </font>
  </fonts>
  <fills count="75">
    <fill>
      <patternFill patternType="none"/>
    </fill>
    <fill>
      <patternFill patternType="gray125"/>
    </fill>
    <fill>
      <patternFill patternType="solid">
        <fgColor indexed="13"/>
        <bgColor indexed="64"/>
      </patternFill>
    </fill>
    <fill>
      <patternFill patternType="solid">
        <fgColor indexed="23"/>
        <bgColor indexed="64"/>
      </patternFill>
    </fill>
    <fill>
      <patternFill patternType="solid">
        <fgColor indexed="22"/>
        <bgColor indexed="64"/>
      </patternFill>
    </fill>
    <fill>
      <patternFill patternType="solid">
        <fgColor indexed="47"/>
        <bgColor indexed="64"/>
      </patternFill>
    </fill>
    <fill>
      <patternFill patternType="solid">
        <fgColor indexed="31"/>
        <bgColor indexed="64"/>
      </patternFill>
    </fill>
    <fill>
      <patternFill patternType="solid">
        <fgColor indexed="44"/>
        <bgColor indexed="64"/>
      </patternFill>
    </fill>
    <fill>
      <patternFill patternType="solid">
        <fgColor rgb="FFC1B071"/>
        <bgColor indexed="64"/>
      </patternFill>
    </fill>
    <fill>
      <patternFill patternType="solid">
        <fgColor rgb="FFABC785"/>
        <bgColor indexed="64"/>
      </patternFill>
    </fill>
    <fill>
      <patternFill patternType="solid">
        <fgColor rgb="FF006A71"/>
        <bgColor indexed="64"/>
      </patternFill>
    </fill>
    <fill>
      <patternFill patternType="solid">
        <fgColor rgb="FFB2541A"/>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EE79F7"/>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99"/>
        <bgColor indexed="64"/>
      </patternFill>
    </fill>
    <fill>
      <patternFill patternType="solid">
        <fgColor theme="6" tint="-0.249977111117893"/>
        <bgColor indexed="64"/>
      </patternFill>
    </fill>
    <fill>
      <patternFill patternType="solid">
        <fgColor theme="3" tint="0.39997558519241921"/>
        <bgColor indexed="64"/>
      </patternFill>
    </fill>
    <fill>
      <patternFill patternType="solid">
        <fgColor theme="7" tint="-0.249977111117893"/>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rgb="FF95B3D7"/>
        <bgColor indexed="64"/>
      </patternFill>
    </fill>
    <fill>
      <patternFill patternType="solid">
        <fgColor rgb="FFB8CCE4"/>
        <bgColor indexed="64"/>
      </patternFill>
    </fill>
    <fill>
      <patternFill patternType="solid">
        <fgColor theme="0"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DBC500"/>
        <bgColor indexed="64"/>
      </patternFill>
    </fill>
    <fill>
      <patternFill patternType="solid">
        <fgColor rgb="FF538ED5"/>
        <bgColor indexed="64"/>
      </patternFill>
    </fill>
    <fill>
      <patternFill patternType="solid">
        <fgColor rgb="FF8DB4E3"/>
        <bgColor indexed="64"/>
      </patternFill>
    </fill>
    <fill>
      <patternFill patternType="solid">
        <fgColor rgb="FFA7A7FF"/>
        <bgColor indexed="64"/>
      </patternFill>
    </fill>
    <fill>
      <patternFill patternType="solid">
        <fgColor rgb="FFFD6035"/>
        <bgColor indexed="64"/>
      </patternFill>
    </fill>
    <fill>
      <patternFill patternType="solid">
        <fgColor rgb="FF506DE8"/>
        <bgColor indexed="64"/>
      </patternFill>
    </fill>
    <fill>
      <patternFill patternType="solid">
        <fgColor rgb="FFFFE811"/>
        <bgColor indexed="64"/>
      </patternFill>
    </fill>
    <fill>
      <patternFill patternType="solid">
        <fgColor rgb="FF156570"/>
        <bgColor indexed="64"/>
      </patternFill>
    </fill>
    <fill>
      <patternFill patternType="solid">
        <fgColor rgb="FFFFFFCC"/>
        <bgColor indexed="64"/>
      </patternFill>
    </fill>
    <fill>
      <patternFill patternType="solid">
        <fgColor rgb="FFFFFF66"/>
        <bgColor indexed="64"/>
      </patternFill>
    </fill>
    <fill>
      <patternFill patternType="solid">
        <fgColor theme="8" tint="-0.499984740745262"/>
        <bgColor indexed="64"/>
      </patternFill>
    </fill>
    <fill>
      <patternFill patternType="solid">
        <fgColor rgb="FF8DB4E2"/>
        <bgColor indexed="64"/>
      </patternFill>
    </fill>
    <fill>
      <patternFill patternType="solid">
        <fgColor rgb="FF99FF99"/>
        <bgColor indexed="64"/>
      </patternFill>
    </fill>
    <fill>
      <patternFill patternType="solid">
        <fgColor rgb="FFFFCC99"/>
        <bgColor indexed="64"/>
      </patternFill>
    </fill>
    <fill>
      <patternFill patternType="solid">
        <fgColor rgb="FFCCFFFF"/>
        <bgColor indexed="64"/>
      </patternFill>
    </fill>
    <fill>
      <patternFill patternType="solid">
        <fgColor theme="0" tint="-0.249977111117893"/>
        <bgColor indexed="64"/>
      </patternFill>
    </fill>
    <fill>
      <patternFill patternType="solid">
        <fgColor rgb="FFE5FFE5"/>
        <bgColor indexed="64"/>
      </patternFill>
    </fill>
    <fill>
      <patternFill patternType="solid">
        <fgColor theme="6" tint="0.79998168889431442"/>
        <bgColor indexed="64"/>
      </patternFill>
    </fill>
    <fill>
      <patternFill patternType="solid">
        <fgColor theme="8" tint="0.79998168889431442"/>
        <bgColor indexed="64"/>
      </patternFill>
    </fill>
  </fills>
  <borders count="499">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diagonal/>
    </border>
    <border>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22"/>
      </left>
      <right style="thin">
        <color indexed="22"/>
      </right>
      <top style="thin">
        <color indexed="22"/>
      </top>
      <bottom style="thin">
        <color indexed="22"/>
      </bottom>
      <diagonal/>
    </border>
    <border>
      <left style="medium">
        <color indexed="64"/>
      </left>
      <right/>
      <top/>
      <bottom/>
      <diagonal/>
    </border>
    <border>
      <left/>
      <right/>
      <top style="medium">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medium">
        <color indexed="64"/>
      </left>
      <right/>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medium">
        <color auto="1"/>
      </right>
      <top style="medium">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medium">
        <color auto="1"/>
      </top>
      <bottom style="medium">
        <color auto="1"/>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indexed="30"/>
      </bottom>
      <diagonal/>
    </border>
    <border>
      <left/>
      <right/>
      <top/>
      <bottom style="medium">
        <color indexed="30"/>
      </bottom>
      <diagonal/>
    </border>
    <border>
      <left/>
      <right style="medium">
        <color indexed="64"/>
      </right>
      <top style="thin">
        <color indexed="64"/>
      </top>
      <bottom style="thin">
        <color indexed="64"/>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bottom/>
      <diagonal/>
    </border>
    <border>
      <left/>
      <right style="medium">
        <color indexed="64"/>
      </right>
      <top style="thin">
        <color indexed="64"/>
      </top>
      <bottom/>
      <diagonal/>
    </border>
    <border>
      <left style="thin">
        <color indexed="22"/>
      </left>
      <right style="thin">
        <color indexed="22"/>
      </right>
      <top style="thin">
        <color indexed="22"/>
      </top>
      <bottom style="thin">
        <color indexed="22"/>
      </bottom>
      <diagonal/>
    </border>
    <border>
      <left/>
      <right style="thin">
        <color indexed="64"/>
      </right>
      <top style="thin">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773">
    <xf numFmtId="0" fontId="0" fillId="0" borderId="0"/>
    <xf numFmtId="44" fontId="6" fillId="0" borderId="0" applyFont="0" applyFill="0" applyBorder="0" applyAlignment="0" applyProtection="0"/>
    <xf numFmtId="0" fontId="12" fillId="0" borderId="0"/>
    <xf numFmtId="0" fontId="15" fillId="0" borderId="0"/>
    <xf numFmtId="9" fontId="15" fillId="0" borderId="0" applyFont="0" applyFill="0" applyBorder="0" applyAlignment="0" applyProtection="0"/>
    <xf numFmtId="44" fontId="12" fillId="0" borderId="0" applyFont="0" applyFill="0" applyBorder="0" applyAlignment="0" applyProtection="0"/>
    <xf numFmtId="0" fontId="12" fillId="0" borderId="0"/>
    <xf numFmtId="43" fontId="6" fillId="0" borderId="0" applyFont="0" applyFill="0" applyBorder="0" applyAlignment="0" applyProtection="0"/>
    <xf numFmtId="9" fontId="6" fillId="0" borderId="0" applyFont="0" applyFill="0" applyBorder="0" applyAlignment="0" applyProtection="0"/>
    <xf numFmtId="0" fontId="2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9" fontId="26" fillId="0" borderId="0" applyFont="0" applyFill="0" applyBorder="0" applyAlignment="0" applyProtection="0"/>
    <xf numFmtId="0" fontId="39" fillId="0" borderId="0"/>
    <xf numFmtId="43" fontId="39" fillId="0" borderId="0" applyFont="0" applyFill="0" applyBorder="0" applyAlignment="0" applyProtection="0"/>
    <xf numFmtId="43" fontId="12" fillId="0" borderId="0" applyFont="0" applyFill="0" applyBorder="0" applyAlignment="0" applyProtection="0"/>
    <xf numFmtId="44" fontId="39" fillId="0" borderId="0" applyFont="0" applyFill="0" applyBorder="0" applyAlignment="0" applyProtection="0"/>
    <xf numFmtId="44" fontId="12" fillId="0" borderId="0" applyFont="0" applyFill="0" applyBorder="0" applyAlignment="0" applyProtection="0"/>
    <xf numFmtId="38" fontId="46" fillId="0" borderId="0"/>
    <xf numFmtId="9" fontId="39" fillId="0" borderId="0" applyFont="0" applyFill="0" applyBorder="0" applyAlignment="0" applyProtection="0"/>
    <xf numFmtId="9" fontId="12"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38" fontId="12" fillId="0" borderId="0"/>
    <xf numFmtId="43" fontId="15" fillId="0" borderId="0" applyFont="0" applyFill="0" applyBorder="0" applyAlignment="0" applyProtection="0"/>
    <xf numFmtId="44" fontId="12" fillId="0" borderId="0" applyFont="0" applyFill="0" applyBorder="0" applyAlignment="0" applyProtection="0"/>
    <xf numFmtId="0" fontId="12" fillId="0" borderId="0"/>
    <xf numFmtId="0" fontId="6" fillId="0" borderId="0"/>
    <xf numFmtId="0" fontId="57" fillId="0" borderId="0"/>
    <xf numFmtId="43" fontId="26" fillId="0" borderId="0" applyFont="0" applyFill="0" applyBorder="0" applyAlignment="0" applyProtection="0"/>
    <xf numFmtId="43" fontId="26"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6" fillId="0" borderId="0" applyFont="0" applyFill="0" applyBorder="0" applyAlignment="0" applyProtection="0"/>
    <xf numFmtId="43" fontId="4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6" fillId="0" borderId="0" applyFont="0" applyFill="0" applyBorder="0" applyAlignment="0" applyProtection="0"/>
    <xf numFmtId="44" fontId="59" fillId="0" borderId="0" applyFont="0" applyFill="0" applyBorder="0" applyAlignment="0" applyProtection="0"/>
    <xf numFmtId="0" fontId="12" fillId="0" borderId="0"/>
    <xf numFmtId="0" fontId="12" fillId="0" borderId="0"/>
    <xf numFmtId="0" fontId="60" fillId="0" borderId="0"/>
    <xf numFmtId="0" fontId="60" fillId="0" borderId="0"/>
    <xf numFmtId="0" fontId="12" fillId="0" borderId="0"/>
    <xf numFmtId="0" fontId="12" fillId="0" borderId="0"/>
    <xf numFmtId="0" fontId="12" fillId="0" borderId="0"/>
    <xf numFmtId="0" fontId="12" fillId="0" borderId="0"/>
    <xf numFmtId="0" fontId="60" fillId="0" borderId="0"/>
    <xf numFmtId="0" fontId="59" fillId="0" borderId="0"/>
    <xf numFmtId="0" fontId="12" fillId="0" borderId="0"/>
    <xf numFmtId="0" fontId="12" fillId="0" borderId="0"/>
    <xf numFmtId="0" fontId="59" fillId="0" borderId="0"/>
    <xf numFmtId="0" fontId="60" fillId="0" borderId="0"/>
    <xf numFmtId="0" fontId="60" fillId="0" borderId="0"/>
    <xf numFmtId="0" fontId="12" fillId="0" borderId="0"/>
    <xf numFmtId="0" fontId="12" fillId="0" borderId="0"/>
    <xf numFmtId="0" fontId="12" fillId="0" borderId="0"/>
    <xf numFmtId="0" fontId="12" fillId="0" borderId="0"/>
    <xf numFmtId="0" fontId="60" fillId="0" borderId="0"/>
    <xf numFmtId="0" fontId="60" fillId="0" borderId="0"/>
    <xf numFmtId="0" fontId="12" fillId="0" borderId="0"/>
    <xf numFmtId="0" fontId="12" fillId="0" borderId="0"/>
    <xf numFmtId="0" fontId="46"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73" fillId="0" borderId="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4"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33" borderId="0" applyNumberFormat="0" applyBorder="0" applyAlignment="0" applyProtection="0"/>
    <xf numFmtId="0" fontId="74" fillId="33"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6" fillId="34" borderId="65" applyNumberFormat="0" applyAlignment="0" applyProtection="0"/>
    <xf numFmtId="0" fontId="76" fillId="34" borderId="65" applyNumberFormat="0" applyAlignment="0" applyProtection="0"/>
    <xf numFmtId="0" fontId="3" fillId="35" borderId="66" applyNumberFormat="0" applyAlignment="0" applyProtection="0"/>
    <xf numFmtId="0" fontId="3" fillId="35" borderId="66" applyNumberFormat="0" applyAlignment="0" applyProtection="0"/>
    <xf numFmtId="44" fontId="73" fillId="0" borderId="0" applyFont="0" applyFill="0" applyBorder="0" applyAlignment="0" applyProtection="0"/>
    <xf numFmtId="44" fontId="73"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2" fillId="18" borderId="0" applyNumberFormat="0" applyBorder="0" applyAlignment="0" applyProtection="0"/>
    <xf numFmtId="0" fontId="2" fillId="18" borderId="0" applyNumberFormat="0" applyBorder="0" applyAlignment="0" applyProtection="0"/>
    <xf numFmtId="0" fontId="78" fillId="0" borderId="67" applyNumberFormat="0" applyFill="0" applyAlignment="0" applyProtection="0"/>
    <xf numFmtId="0" fontId="78" fillId="0" borderId="67" applyNumberFormat="0" applyFill="0" applyAlignment="0" applyProtection="0"/>
    <xf numFmtId="0" fontId="79" fillId="0" borderId="68" applyNumberFormat="0" applyFill="0" applyAlignment="0" applyProtection="0"/>
    <xf numFmtId="0" fontId="79" fillId="0" borderId="68" applyNumberFormat="0" applyFill="0" applyAlignment="0" applyProtection="0"/>
    <xf numFmtId="0" fontId="80" fillId="0" borderId="69" applyNumberFormat="0" applyFill="0" applyAlignment="0" applyProtection="0"/>
    <xf numFmtId="0" fontId="80" fillId="0" borderId="69"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21" borderId="65" applyNumberFormat="0" applyAlignment="0" applyProtection="0"/>
    <xf numFmtId="0" fontId="81" fillId="21" borderId="65" applyNumberFormat="0" applyAlignment="0" applyProtection="0"/>
    <xf numFmtId="0" fontId="82" fillId="0" borderId="70" applyNumberFormat="0" applyFill="0" applyAlignment="0" applyProtection="0"/>
    <xf numFmtId="0" fontId="82" fillId="0" borderId="70" applyNumberFormat="0" applyFill="0" applyAlignment="0" applyProtection="0"/>
    <xf numFmtId="0" fontId="83" fillId="36" borderId="0" applyNumberFormat="0" applyBorder="0" applyAlignment="0" applyProtection="0"/>
    <xf numFmtId="0" fontId="83" fillId="36" borderId="0" applyNumberFormat="0" applyBorder="0" applyAlignment="0" applyProtection="0"/>
    <xf numFmtId="0" fontId="73" fillId="0" borderId="0"/>
    <xf numFmtId="0" fontId="6" fillId="0" borderId="0"/>
    <xf numFmtId="0" fontId="46" fillId="0" borderId="0"/>
    <xf numFmtId="0" fontId="46" fillId="37" borderId="35" applyNumberFormat="0" applyFont="0" applyAlignment="0" applyProtection="0"/>
    <xf numFmtId="0" fontId="46" fillId="37" borderId="35" applyNumberFormat="0" applyFont="0" applyAlignment="0" applyProtection="0"/>
    <xf numFmtId="0" fontId="84" fillId="34" borderId="71" applyNumberFormat="0" applyAlignment="0" applyProtection="0"/>
    <xf numFmtId="0" fontId="84" fillId="34" borderId="71" applyNumberFormat="0" applyAlignment="0" applyProtection="0"/>
    <xf numFmtId="9" fontId="73"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 fillId="0" borderId="72" applyNumberFormat="0" applyFill="0" applyAlignment="0" applyProtection="0"/>
    <xf numFmtId="0" fontId="5" fillId="0" borderId="7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34" fillId="0" borderId="0" applyFont="0" applyFill="0" applyBorder="0" applyAlignment="0" applyProtection="0"/>
    <xf numFmtId="0" fontId="12" fillId="37" borderId="35" applyNumberFormat="0" applyFont="0" applyAlignment="0" applyProtection="0"/>
    <xf numFmtId="0" fontId="12" fillId="37" borderId="35" applyNumberFormat="0" applyFont="0" applyAlignment="0" applyProtection="0"/>
    <xf numFmtId="0" fontId="12"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89" fillId="0" borderId="0"/>
    <xf numFmtId="0" fontId="90" fillId="0" borderId="0"/>
    <xf numFmtId="43" fontId="90" fillId="0" borderId="0" applyFont="0" applyFill="0" applyBorder="0" applyAlignment="0" applyProtection="0"/>
    <xf numFmtId="44" fontId="90" fillId="0" borderId="0" applyFont="0" applyFill="0" applyBorder="0" applyAlignment="0" applyProtection="0"/>
    <xf numFmtId="9" fontId="90" fillId="0" borderId="0" applyFont="0" applyFill="0" applyBorder="0" applyAlignment="0" applyProtection="0"/>
    <xf numFmtId="44" fontId="89" fillId="0" borderId="0" applyFont="0" applyFill="0" applyBorder="0" applyAlignment="0" applyProtection="0"/>
    <xf numFmtId="9" fontId="89" fillId="0" borderId="0" applyFont="0" applyFill="0" applyBorder="0" applyAlignment="0" applyProtection="0"/>
    <xf numFmtId="0" fontId="15" fillId="0" borderId="0"/>
    <xf numFmtId="0" fontId="92" fillId="0" borderId="0"/>
    <xf numFmtId="43" fontId="92" fillId="0" borderId="0" applyFont="0" applyFill="0" applyBorder="0" applyAlignment="0" applyProtection="0"/>
    <xf numFmtId="44" fontId="92" fillId="0" borderId="0" applyFont="0" applyFill="0" applyBorder="0" applyAlignment="0" applyProtection="0"/>
    <xf numFmtId="9" fontId="92" fillId="0" borderId="0" applyFont="0" applyFill="0" applyBorder="0" applyAlignment="0" applyProtection="0"/>
    <xf numFmtId="0" fontId="3" fillId="35" borderId="82" applyNumberFormat="0" applyAlignment="0" applyProtection="0"/>
    <xf numFmtId="0" fontId="3" fillId="35" borderId="82" applyNumberFormat="0" applyAlignment="0" applyProtection="0"/>
    <xf numFmtId="0" fontId="3" fillId="35" borderId="83" applyNumberFormat="0" applyAlignment="0" applyProtection="0"/>
    <xf numFmtId="43" fontId="1" fillId="0" borderId="0" applyFont="0" applyFill="0" applyBorder="0" applyAlignment="0" applyProtection="0"/>
    <xf numFmtId="43" fontId="15"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34" fillId="0" borderId="0" applyFont="0" applyFill="0" applyBorder="0" applyAlignment="0" applyProtection="0"/>
    <xf numFmtId="44" fontId="12" fillId="0" borderId="0" applyFont="0" applyFill="0" applyBorder="0" applyAlignment="0" applyProtection="0"/>
    <xf numFmtId="44" fontId="34" fillId="0" borderId="0" applyFont="0" applyFill="0" applyBorder="0" applyAlignment="0" applyProtection="0"/>
    <xf numFmtId="0" fontId="3" fillId="35" borderId="84" applyNumberFormat="0" applyAlignment="0" applyProtection="0"/>
    <xf numFmtId="0" fontId="34" fillId="0" borderId="0"/>
    <xf numFmtId="0" fontId="12" fillId="0" borderId="0"/>
    <xf numFmtId="0" fontId="34" fillId="0" borderId="0"/>
    <xf numFmtId="0" fontId="15" fillId="0" borderId="0"/>
    <xf numFmtId="0" fontId="12" fillId="37" borderId="35" applyNumberFormat="0" applyFont="0" applyAlignment="0" applyProtection="0"/>
    <xf numFmtId="9" fontId="1" fillId="0" borderId="0" applyFont="0" applyFill="0" applyBorder="0" applyAlignment="0" applyProtection="0"/>
    <xf numFmtId="9" fontId="15" fillId="0" borderId="0" applyFont="0" applyFill="0" applyBorder="0" applyAlignment="0" applyProtection="0"/>
    <xf numFmtId="9" fontId="34" fillId="0" borderId="0" applyFont="0" applyFill="0" applyBorder="0" applyAlignment="0" applyProtection="0"/>
    <xf numFmtId="9" fontId="15" fillId="0" borderId="0" applyFont="0" applyFill="0" applyBorder="0" applyAlignment="0" applyProtection="0"/>
    <xf numFmtId="9" fontId="12" fillId="0" borderId="0" applyFont="0" applyFill="0" applyBorder="0" applyAlignment="0" applyProtection="0"/>
    <xf numFmtId="0" fontId="3" fillId="35" borderId="83" applyNumberFormat="0" applyAlignment="0" applyProtection="0"/>
    <xf numFmtId="0" fontId="3" fillId="35" borderId="84" applyNumberFormat="0" applyAlignment="0" applyProtection="0"/>
    <xf numFmtId="0" fontId="12" fillId="37" borderId="93" applyNumberFormat="0" applyFont="0" applyAlignment="0" applyProtection="0"/>
    <xf numFmtId="0" fontId="81" fillId="21" borderId="94" applyNumberFormat="0" applyAlignment="0" applyProtection="0"/>
    <xf numFmtId="0" fontId="84" fillId="34" borderId="95" applyNumberFormat="0" applyAlignment="0" applyProtection="0"/>
    <xf numFmtId="0" fontId="76" fillId="34" borderId="98" applyNumberFormat="0" applyAlignment="0" applyProtection="0"/>
    <xf numFmtId="0" fontId="81" fillId="21" borderId="98" applyNumberForma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81" fillId="21" borderId="98" applyNumberFormat="0" applyAlignment="0" applyProtection="0"/>
    <xf numFmtId="0" fontId="76" fillId="34" borderId="98" applyNumberFormat="0" applyAlignment="0" applyProtection="0"/>
    <xf numFmtId="0" fontId="15" fillId="0" borderId="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1" fillId="21" borderId="94" applyNumberFormat="0" applyAlignment="0" applyProtection="0"/>
    <xf numFmtId="0" fontId="5" fillId="0" borderId="96" applyNumberFormat="0" applyFill="0" applyAlignment="0" applyProtection="0"/>
    <xf numFmtId="0" fontId="81" fillId="21" borderId="94" applyNumberFormat="0" applyAlignment="0" applyProtection="0"/>
    <xf numFmtId="0" fontId="76" fillId="34" borderId="94" applyNumberFormat="0" applyAlignment="0" applyProtection="0"/>
    <xf numFmtId="0" fontId="12" fillId="37" borderId="97" applyNumberFormat="0" applyFont="0" applyAlignment="0" applyProtection="0"/>
    <xf numFmtId="0" fontId="76" fillId="34" borderId="98" applyNumberFormat="0" applyAlignment="0" applyProtection="0"/>
    <xf numFmtId="0" fontId="5" fillId="0" borderId="100" applyNumberFormat="0" applyFill="0" applyAlignment="0" applyProtection="0"/>
    <xf numFmtId="0" fontId="15" fillId="0" borderId="0"/>
    <xf numFmtId="0" fontId="76" fillId="34" borderId="94" applyNumberForma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3" fillId="35" borderId="84" applyNumberFormat="0" applyAlignment="0" applyProtection="0"/>
    <xf numFmtId="0" fontId="84" fillId="34" borderId="95"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76" fillId="34" borderId="86" applyNumberFormat="0" applyAlignment="0" applyProtection="0"/>
    <xf numFmtId="0" fontId="76" fillId="34" borderId="86" applyNumberFormat="0" applyAlignment="0" applyProtection="0"/>
    <xf numFmtId="0" fontId="81" fillId="21" borderId="86" applyNumberFormat="0" applyAlignment="0" applyProtection="0"/>
    <xf numFmtId="0" fontId="81" fillId="21"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2" fillId="37" borderId="85" applyNumberFormat="0" applyFont="0" applyAlignment="0" applyProtection="0"/>
    <xf numFmtId="0" fontId="3" fillId="35" borderId="8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5"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7" borderId="0" applyNumberFormat="0" applyAlignment="0">
      <alignment horizontal="right"/>
    </xf>
    <xf numFmtId="0" fontId="12" fillId="7" borderId="0" applyNumberFormat="0" applyAlignment="0">
      <alignment horizontal="right"/>
    </xf>
    <xf numFmtId="0" fontId="12" fillId="5" borderId="0" applyNumberFormat="0" applyAlignment="0"/>
    <xf numFmtId="0" fontId="12" fillId="5" borderId="0" applyNumberFormat="0" applyAlignment="0"/>
    <xf numFmtId="188" fontId="104" fillId="0" borderId="0"/>
    <xf numFmtId="0" fontId="105" fillId="0" borderId="0">
      <alignment horizontal="center" wrapText="1"/>
    </xf>
    <xf numFmtId="0" fontId="80" fillId="0" borderId="69" applyNumberFormat="0" applyFill="0" applyAlignment="0" applyProtection="0"/>
    <xf numFmtId="0" fontId="80" fillId="0" borderId="69" applyNumberFormat="0" applyFill="0" applyAlignment="0" applyProtection="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26" fillId="0" borderId="0"/>
    <xf numFmtId="0" fontId="57" fillId="0" borderId="0"/>
    <xf numFmtId="0" fontId="12" fillId="0" borderId="0"/>
    <xf numFmtId="0" fontId="12" fillId="0" borderId="0"/>
    <xf numFmtId="0" fontId="15" fillId="0" borderId="0"/>
    <xf numFmtId="0" fontId="12" fillId="0" borderId="0"/>
    <xf numFmtId="0" fontId="12" fillId="0" borderId="0"/>
    <xf numFmtId="0" fontId="1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 fillId="0" borderId="0"/>
    <xf numFmtId="0" fontId="6" fillId="0" borderId="0"/>
    <xf numFmtId="0" fontId="12" fillId="0" borderId="0">
      <alignment readingOrder="1"/>
    </xf>
    <xf numFmtId="0" fontId="12" fillId="0" borderId="0">
      <alignment readingOrder="1"/>
    </xf>
    <xf numFmtId="0" fontId="12" fillId="0" borderId="0"/>
    <xf numFmtId="0" fontId="12" fillId="0" borderId="0"/>
    <xf numFmtId="0" fontId="60" fillId="0" borderId="0"/>
    <xf numFmtId="0" fontId="12" fillId="0" borderId="0"/>
    <xf numFmtId="0" fontId="12" fillId="0" borderId="0"/>
    <xf numFmtId="0" fontId="102" fillId="0" borderId="0"/>
    <xf numFmtId="0" fontId="60" fillId="0" borderId="0"/>
    <xf numFmtId="0" fontId="6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2" fillId="0" borderId="0"/>
    <xf numFmtId="0" fontId="12" fillId="0" borderId="0"/>
    <xf numFmtId="0" fontId="60" fillId="0" borderId="0"/>
    <xf numFmtId="0" fontId="60"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 fillId="0" borderId="0"/>
    <xf numFmtId="0" fontId="6" fillId="0" borderId="0"/>
    <xf numFmtId="0" fontId="15" fillId="0" borderId="0"/>
    <xf numFmtId="0" fontId="59"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2" fillId="0" borderId="0"/>
    <xf numFmtId="0" fontId="12" fillId="0" borderId="0"/>
    <xf numFmtId="0" fontId="12" fillId="0" borderId="0"/>
    <xf numFmtId="0" fontId="12"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 fillId="0" borderId="0"/>
    <xf numFmtId="0" fontId="6" fillId="0" borderId="0"/>
    <xf numFmtId="0" fontId="102" fillId="0" borderId="0"/>
    <xf numFmtId="0" fontId="102" fillId="0" borderId="0"/>
    <xf numFmtId="0" fontId="60"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02" fillId="0" borderId="0"/>
    <xf numFmtId="0" fontId="60" fillId="0" borderId="0"/>
    <xf numFmtId="0" fontId="60" fillId="0" borderId="0"/>
    <xf numFmtId="0" fontId="60" fillId="0" borderId="0"/>
    <xf numFmtId="0" fontId="10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xf numFmtId="0" fontId="15" fillId="0" borderId="0"/>
    <xf numFmtId="0" fontId="15" fillId="0" borderId="0"/>
    <xf numFmtId="0" fontId="15" fillId="0" borderId="0"/>
    <xf numFmtId="0" fontId="15" fillId="0" borderId="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15" fillId="0" borderId="0"/>
    <xf numFmtId="0" fontId="15" fillId="0" borderId="0"/>
    <xf numFmtId="0" fontId="84" fillId="34" borderId="87" applyNumberFormat="0" applyAlignment="0" applyProtection="0"/>
    <xf numFmtId="0" fontId="81" fillId="21" borderId="86" applyNumberFormat="0" applyAlignment="0" applyProtection="0"/>
    <xf numFmtId="0" fontId="15" fillId="0" borderId="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3" fillId="35" borderId="84" applyNumberFormat="0" applyAlignment="0" applyProtection="0"/>
    <xf numFmtId="0" fontId="80" fillId="0" borderId="69" applyNumberFormat="0" applyFill="0" applyAlignment="0" applyProtection="0"/>
    <xf numFmtId="0" fontId="80" fillId="0" borderId="69" applyNumberFormat="0" applyFill="0" applyAlignment="0" applyProtection="0"/>
    <xf numFmtId="0" fontId="15" fillId="0" borderId="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76" fillId="34"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5" fillId="0" borderId="88" applyNumberFormat="0" applyFill="0" applyAlignment="0" applyProtection="0"/>
    <xf numFmtId="0" fontId="81" fillId="21" borderId="86" applyNumberFormat="0" applyAlignment="0" applyProtection="0"/>
    <xf numFmtId="0" fontId="12" fillId="37" borderId="85" applyNumberFormat="0" applyFont="0" applyAlignment="0" applyProtection="0"/>
    <xf numFmtId="0" fontId="81" fillId="21" borderId="86" applyNumberFormat="0" applyAlignment="0" applyProtection="0"/>
    <xf numFmtId="0" fontId="81" fillId="21" borderId="86" applyNumberFormat="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84" fillId="34" borderId="87"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80" fillId="0" borderId="69" applyNumberFormat="0" applyFill="0" applyAlignment="0" applyProtection="0"/>
    <xf numFmtId="0" fontId="76" fillId="34" borderId="86" applyNumberFormat="0" applyAlignment="0" applyProtection="0"/>
    <xf numFmtId="0" fontId="84" fillId="34" borderId="87" applyNumberFormat="0" applyAlignment="0" applyProtection="0"/>
    <xf numFmtId="0" fontId="12" fillId="37" borderId="85" applyNumberFormat="0" applyFont="0" applyAlignment="0" applyProtection="0"/>
    <xf numFmtId="0" fontId="81" fillId="21" borderId="86" applyNumberFormat="0" applyAlignment="0" applyProtection="0"/>
    <xf numFmtId="0" fontId="76" fillId="34" borderId="86" applyNumberFormat="0" applyAlignment="0" applyProtection="0"/>
    <xf numFmtId="0" fontId="76" fillId="34" borderId="86" applyNumberFormat="0" applyAlignment="0" applyProtection="0"/>
    <xf numFmtId="0" fontId="76" fillId="34" borderId="86" applyNumberFormat="0" applyAlignment="0" applyProtection="0"/>
    <xf numFmtId="0" fontId="81" fillId="21" borderId="86" applyNumberFormat="0" applyAlignment="0" applyProtection="0"/>
    <xf numFmtId="0" fontId="81" fillId="21"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5" fillId="0" borderId="88"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12" fillId="37" borderId="85" applyNumberFormat="0" applyFont="0" applyAlignment="0" applyProtection="0"/>
    <xf numFmtId="0" fontId="76" fillId="34" borderId="86" applyNumberFormat="0" applyAlignment="0" applyProtection="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4" fillId="34" borderId="87" applyNumberFormat="0" applyAlignment="0" applyProtection="0"/>
    <xf numFmtId="0" fontId="12" fillId="37" borderId="85" applyNumberFormat="0" applyFont="0" applyAlignment="0" applyProtection="0"/>
    <xf numFmtId="0" fontId="81" fillId="21" borderId="86" applyNumberForma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4" fillId="34" borderId="87" applyNumberFormat="0" applyAlignment="0" applyProtection="0"/>
    <xf numFmtId="0" fontId="80" fillId="0" borderId="69" applyNumberFormat="0" applyFill="0" applyAlignment="0" applyProtection="0"/>
    <xf numFmtId="0" fontId="80" fillId="0" borderId="69"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12" fillId="37" borderId="85" applyNumberFormat="0" applyFont="0" applyAlignment="0" applyProtection="0"/>
    <xf numFmtId="0" fontId="76" fillId="34" borderId="86"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5" fillId="0" borderId="88" applyNumberFormat="0" applyFill="0" applyAlignment="0" applyProtection="0"/>
    <xf numFmtId="0" fontId="84" fillId="34" borderId="87" applyNumberFormat="0" applyAlignment="0" applyProtection="0"/>
    <xf numFmtId="0" fontId="84" fillId="34" borderId="87" applyNumberFormat="0" applyAlignment="0" applyProtection="0"/>
    <xf numFmtId="0" fontId="12" fillId="37" borderId="85" applyNumberFormat="0" applyFont="0" applyAlignment="0" applyProtection="0"/>
    <xf numFmtId="0" fontId="12" fillId="37" borderId="85" applyNumberFormat="0" applyFont="0" applyAlignment="0" applyProtection="0"/>
    <xf numFmtId="0" fontId="81" fillId="21" borderId="86" applyNumberFormat="0" applyAlignment="0" applyProtection="0"/>
    <xf numFmtId="0" fontId="81" fillId="21" borderId="86" applyNumberFormat="0" applyAlignment="0" applyProtection="0"/>
    <xf numFmtId="0" fontId="76" fillId="34" borderId="86" applyNumberFormat="0" applyAlignment="0" applyProtection="0"/>
    <xf numFmtId="0" fontId="76" fillId="34" borderId="86" applyNumberFormat="0" applyAlignment="0" applyProtection="0"/>
    <xf numFmtId="0" fontId="84" fillId="34" borderId="87" applyNumberFormat="0" applyAlignment="0" applyProtection="0"/>
    <xf numFmtId="0" fontId="5" fillId="0" borderId="88" applyNumberFormat="0" applyFill="0" applyAlignment="0" applyProtection="0"/>
    <xf numFmtId="0" fontId="80" fillId="0" borderId="69" applyNumberFormat="0" applyFill="0" applyAlignment="0" applyProtection="0"/>
    <xf numFmtId="0" fontId="5" fillId="0" borderId="88" applyNumberFormat="0" applyFill="0" applyAlignment="0" applyProtection="0"/>
    <xf numFmtId="0" fontId="12" fillId="37" borderId="85" applyNumberFormat="0" applyFont="0" applyAlignment="0" applyProtection="0"/>
    <xf numFmtId="0" fontId="5" fillId="0" borderId="88" applyNumberFormat="0" applyFill="0" applyAlignment="0" applyProtection="0"/>
    <xf numFmtId="0" fontId="12" fillId="37" borderId="85" applyNumberFormat="0" applyFont="0" applyAlignment="0" applyProtection="0"/>
    <xf numFmtId="0" fontId="81" fillId="21" borderId="86" applyNumberFormat="0" applyAlignment="0" applyProtection="0"/>
    <xf numFmtId="0" fontId="12" fillId="37" borderId="85" applyNumberFormat="0" applyFont="0" applyAlignment="0" applyProtection="0"/>
    <xf numFmtId="0" fontId="76" fillId="34" borderId="86" applyNumberFormat="0" applyAlignment="0" applyProtection="0"/>
    <xf numFmtId="0" fontId="81" fillId="21" borderId="86" applyNumberFormat="0" applyAlignment="0" applyProtection="0"/>
    <xf numFmtId="0" fontId="80" fillId="0" borderId="69" applyNumberFormat="0" applyFill="0" applyAlignment="0" applyProtection="0"/>
    <xf numFmtId="0" fontId="81" fillId="21" borderId="86" applyNumberFormat="0" applyAlignment="0" applyProtection="0"/>
    <xf numFmtId="0" fontId="80" fillId="0" borderId="69" applyNumberFormat="0" applyFill="0" applyAlignment="0" applyProtection="0"/>
    <xf numFmtId="0" fontId="5" fillId="0" borderId="88" applyNumberFormat="0" applyFill="0" applyAlignment="0" applyProtection="0"/>
    <xf numFmtId="0" fontId="81" fillId="21" borderId="86" applyNumberFormat="0" applyAlignment="0" applyProtection="0"/>
    <xf numFmtId="0" fontId="84" fillId="34" borderId="87" applyNumberFormat="0" applyAlignment="0" applyProtection="0"/>
    <xf numFmtId="0" fontId="80" fillId="0" borderId="69" applyNumberFormat="0" applyFill="0" applyAlignment="0" applyProtection="0"/>
    <xf numFmtId="0" fontId="76" fillId="34" borderId="86" applyNumberFormat="0" applyAlignment="0" applyProtection="0"/>
    <xf numFmtId="0" fontId="80" fillId="0" borderId="69" applyNumberFormat="0" applyFill="0" applyAlignment="0" applyProtection="0"/>
    <xf numFmtId="0" fontId="12" fillId="37" borderId="85" applyNumberFormat="0" applyFont="0" applyAlignment="0" applyProtection="0"/>
    <xf numFmtId="0" fontId="84" fillId="34" borderId="87" applyNumberFormat="0" applyAlignment="0" applyProtection="0"/>
    <xf numFmtId="0" fontId="76" fillId="34" borderId="86" applyNumberFormat="0" applyAlignment="0" applyProtection="0"/>
    <xf numFmtId="0" fontId="84" fillId="34" borderId="95" applyNumberFormat="0" applyAlignment="0" applyProtection="0"/>
    <xf numFmtId="0" fontId="76" fillId="34" borderId="90" applyNumberForma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7"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12" fillId="37" borderId="93" applyNumberFormat="0" applyFont="0" applyAlignment="0" applyProtection="0"/>
    <xf numFmtId="0" fontId="84" fillId="34" borderId="91" applyNumberFormat="0" applyAlignment="0" applyProtection="0"/>
    <xf numFmtId="0" fontId="81" fillId="21" borderId="90" applyNumberFormat="0" applyAlignment="0" applyProtection="0"/>
    <xf numFmtId="0" fontId="12" fillId="37" borderId="93" applyNumberFormat="0" applyFon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84" fillId="34" borderId="91" applyNumberFormat="0" applyAlignment="0" applyProtection="0"/>
    <xf numFmtId="0" fontId="5" fillId="0" borderId="92" applyNumberFormat="0" applyFill="0" applyAlignment="0" applyProtection="0"/>
    <xf numFmtId="0" fontId="81" fillId="21" borderId="90" applyNumberFormat="0" applyAlignment="0" applyProtection="0"/>
    <xf numFmtId="0" fontId="12" fillId="37" borderId="89" applyNumberFormat="0" applyFont="0" applyAlignment="0" applyProtection="0"/>
    <xf numFmtId="0" fontId="81" fillId="21" borderId="90" applyNumberFormat="0" applyAlignment="0" applyProtection="0"/>
    <xf numFmtId="0" fontId="81" fillId="21" borderId="90" applyNumberFormat="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84" fillId="34" borderId="91"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84" fillId="34" borderId="91" applyNumberFormat="0" applyAlignment="0" applyProtection="0"/>
    <xf numFmtId="0" fontId="12" fillId="37" borderId="89" applyNumberFormat="0" applyFont="0" applyAlignment="0" applyProtection="0"/>
    <xf numFmtId="0" fontId="81" fillId="21" borderId="90" applyNumberFormat="0" applyAlignment="0" applyProtection="0"/>
    <xf numFmtId="0" fontId="76" fillId="34" borderId="90" applyNumberFormat="0" applyAlignment="0" applyProtection="0"/>
    <xf numFmtId="0" fontId="76" fillId="34" borderId="90" applyNumberForma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12" fillId="37" borderId="89" applyNumberFormat="0" applyFont="0" applyAlignment="0" applyProtection="0"/>
    <xf numFmtId="0" fontId="76" fillId="34" borderId="90" applyNumberForma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84" fillId="34" borderId="91" applyNumberFormat="0" applyAlignment="0" applyProtection="0"/>
    <xf numFmtId="0" fontId="12" fillId="37" borderId="89" applyNumberFormat="0" applyFont="0" applyAlignment="0" applyProtection="0"/>
    <xf numFmtId="0" fontId="81" fillId="21" borderId="90" applyNumberForma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4" fillId="34" borderId="91" applyNumberFormat="0" applyAlignment="0" applyProtection="0"/>
    <xf numFmtId="0" fontId="12" fillId="37" borderId="89" applyNumberFormat="0" applyFont="0" applyAlignment="0" applyProtection="0"/>
    <xf numFmtId="0" fontId="84" fillId="34" borderId="91" applyNumberFormat="0" applyAlignment="0" applyProtection="0"/>
    <xf numFmtId="0" fontId="12" fillId="37" borderId="89" applyNumberFormat="0" applyFont="0" applyAlignment="0" applyProtection="0"/>
    <xf numFmtId="0" fontId="76" fillId="34" borderId="90"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5" fillId="0" borderId="92" applyNumberFormat="0" applyFill="0" applyAlignment="0" applyProtection="0"/>
    <xf numFmtId="0" fontId="84" fillId="34" borderId="91" applyNumberFormat="0" applyAlignment="0" applyProtection="0"/>
    <xf numFmtId="0" fontId="84" fillId="34" borderId="91" applyNumberFormat="0" applyAlignment="0" applyProtection="0"/>
    <xf numFmtId="0" fontId="12" fillId="37" borderId="89" applyNumberFormat="0" applyFont="0" applyAlignment="0" applyProtection="0"/>
    <xf numFmtId="0" fontId="12" fillId="37" borderId="89" applyNumberFormat="0" applyFont="0" applyAlignment="0" applyProtection="0"/>
    <xf numFmtId="0" fontId="81" fillId="21" borderId="90" applyNumberFormat="0" applyAlignment="0" applyProtection="0"/>
    <xf numFmtId="0" fontId="81" fillId="21" borderId="90" applyNumberFormat="0" applyAlignment="0" applyProtection="0"/>
    <xf numFmtId="0" fontId="76" fillId="34" borderId="90" applyNumberFormat="0" applyAlignment="0" applyProtection="0"/>
    <xf numFmtId="0" fontId="76" fillId="34" borderId="90" applyNumberFormat="0" applyAlignment="0" applyProtection="0"/>
    <xf numFmtId="0" fontId="84" fillId="34" borderId="91" applyNumberFormat="0" applyAlignment="0" applyProtection="0"/>
    <xf numFmtId="0" fontId="5" fillId="0" borderId="92" applyNumberFormat="0" applyFill="0" applyAlignment="0" applyProtection="0"/>
    <xf numFmtId="0" fontId="5" fillId="0" borderId="92" applyNumberFormat="0" applyFill="0" applyAlignment="0" applyProtection="0"/>
    <xf numFmtId="0" fontId="12" fillId="37" borderId="89" applyNumberFormat="0" applyFont="0" applyAlignment="0" applyProtection="0"/>
    <xf numFmtId="0" fontId="5" fillId="0" borderId="92" applyNumberFormat="0" applyFill="0" applyAlignment="0" applyProtection="0"/>
    <xf numFmtId="0" fontId="12" fillId="37" borderId="89" applyNumberFormat="0" applyFont="0" applyAlignment="0" applyProtection="0"/>
    <xf numFmtId="0" fontId="81" fillId="21" borderId="90" applyNumberFormat="0" applyAlignment="0" applyProtection="0"/>
    <xf numFmtId="0" fontId="12" fillId="37" borderId="89" applyNumberFormat="0" applyFont="0" applyAlignment="0" applyProtection="0"/>
    <xf numFmtId="0" fontId="76" fillId="34" borderId="90" applyNumberFormat="0" applyAlignment="0" applyProtection="0"/>
    <xf numFmtId="0" fontId="81" fillId="21" borderId="90" applyNumberFormat="0" applyAlignment="0" applyProtection="0"/>
    <xf numFmtId="0" fontId="81" fillId="21" borderId="90" applyNumberFormat="0" applyAlignment="0" applyProtection="0"/>
    <xf numFmtId="0" fontId="5" fillId="0" borderId="92" applyNumberFormat="0" applyFill="0" applyAlignment="0" applyProtection="0"/>
    <xf numFmtId="0" fontId="81" fillId="21" borderId="90" applyNumberFormat="0" applyAlignment="0" applyProtection="0"/>
    <xf numFmtId="0" fontId="84" fillId="34" borderId="91" applyNumberFormat="0" applyAlignment="0" applyProtection="0"/>
    <xf numFmtId="0" fontId="76" fillId="34" borderId="90" applyNumberFormat="0" applyAlignment="0" applyProtection="0"/>
    <xf numFmtId="0" fontId="12" fillId="37" borderId="89" applyNumberFormat="0" applyFont="0" applyAlignment="0" applyProtection="0"/>
    <xf numFmtId="0" fontId="84" fillId="34" borderId="91" applyNumberFormat="0" applyAlignment="0" applyProtection="0"/>
    <xf numFmtId="0" fontId="76" fillId="34" borderId="90" applyNumberFormat="0" applyAlignment="0" applyProtection="0"/>
    <xf numFmtId="0" fontId="5" fillId="0" borderId="100" applyNumberFormat="0" applyFill="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76" fillId="34"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84" fillId="34" borderId="95" applyNumberFormat="0" applyAlignment="0" applyProtection="0"/>
    <xf numFmtId="0" fontId="5" fillId="0" borderId="96" applyNumberFormat="0" applyFill="0" applyAlignment="0" applyProtection="0"/>
    <xf numFmtId="0" fontId="81" fillId="21" borderId="94" applyNumberFormat="0" applyAlignment="0" applyProtection="0"/>
    <xf numFmtId="0" fontId="12" fillId="37" borderId="93" applyNumberFormat="0" applyFont="0" applyAlignment="0" applyProtection="0"/>
    <xf numFmtId="0" fontId="81" fillId="21" borderId="94" applyNumberFormat="0" applyAlignment="0" applyProtection="0"/>
    <xf numFmtId="0" fontId="81" fillId="21" borderId="94" applyNumberFormat="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84" fillId="34" borderId="95"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100" applyNumberFormat="0" applyFill="0" applyAlignment="0" applyProtection="0"/>
    <xf numFmtId="0" fontId="76" fillId="34" borderId="94"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76" fillId="34" borderId="94" applyNumberFormat="0" applyAlignment="0" applyProtection="0"/>
    <xf numFmtId="0" fontId="81" fillId="21" borderId="94" applyNumberFormat="0" applyAlignment="0" applyProtection="0"/>
    <xf numFmtId="0" fontId="81" fillId="21"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12" fillId="37" borderId="93" applyNumberFormat="0" applyFont="0" applyAlignment="0" applyProtection="0"/>
    <xf numFmtId="0" fontId="76" fillId="34" borderId="94" applyNumberFormat="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81" fillId="21" borderId="94" applyNumberForma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12" fillId="37" borderId="97" applyNumberFormat="0" applyFont="0" applyAlignment="0" applyProtection="0"/>
    <xf numFmtId="0" fontId="12" fillId="37" borderId="93" applyNumberFormat="0" applyFont="0" applyAlignment="0" applyProtection="0"/>
    <xf numFmtId="0" fontId="84" fillId="34" borderId="95" applyNumberFormat="0" applyAlignment="0" applyProtection="0"/>
    <xf numFmtId="0" fontId="12" fillId="37" borderId="93" applyNumberFormat="0" applyFont="0" applyAlignment="0" applyProtection="0"/>
    <xf numFmtId="0" fontId="76" fillId="34" borderId="94"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5" fillId="0" borderId="96" applyNumberFormat="0" applyFill="0" applyAlignment="0" applyProtection="0"/>
    <xf numFmtId="0" fontId="84" fillId="34" borderId="95" applyNumberFormat="0" applyAlignment="0" applyProtection="0"/>
    <xf numFmtId="0" fontId="84" fillId="34" borderId="95" applyNumberFormat="0" applyAlignment="0" applyProtection="0"/>
    <xf numFmtId="0" fontId="12" fillId="37" borderId="93" applyNumberFormat="0" applyFont="0" applyAlignment="0" applyProtection="0"/>
    <xf numFmtId="0" fontId="12" fillId="37" borderId="93" applyNumberFormat="0" applyFont="0" applyAlignment="0" applyProtection="0"/>
    <xf numFmtId="0" fontId="81" fillId="21" borderId="94" applyNumberFormat="0" applyAlignment="0" applyProtection="0"/>
    <xf numFmtId="0" fontId="81" fillId="21" borderId="94" applyNumberFormat="0" applyAlignment="0" applyProtection="0"/>
    <xf numFmtId="0" fontId="76" fillId="34" borderId="94" applyNumberFormat="0" applyAlignment="0" applyProtection="0"/>
    <xf numFmtId="0" fontId="76" fillId="34" borderId="94" applyNumberFormat="0" applyAlignment="0" applyProtection="0"/>
    <xf numFmtId="0" fontId="84" fillId="34" borderId="95" applyNumberFormat="0" applyAlignment="0" applyProtection="0"/>
    <xf numFmtId="0" fontId="5" fillId="0" borderId="96" applyNumberFormat="0" applyFill="0" applyAlignment="0" applyProtection="0"/>
    <xf numFmtId="0" fontId="5" fillId="0" borderId="96" applyNumberFormat="0" applyFill="0" applyAlignment="0" applyProtection="0"/>
    <xf numFmtId="0" fontId="12" fillId="37" borderId="93" applyNumberFormat="0" applyFont="0" applyAlignment="0" applyProtection="0"/>
    <xf numFmtId="0" fontId="5" fillId="0" borderId="96" applyNumberFormat="0" applyFill="0" applyAlignment="0" applyProtection="0"/>
    <xf numFmtId="0" fontId="12" fillId="37" borderId="93" applyNumberFormat="0" applyFont="0" applyAlignment="0" applyProtection="0"/>
    <xf numFmtId="0" fontId="81" fillId="21" borderId="94" applyNumberFormat="0" applyAlignment="0" applyProtection="0"/>
    <xf numFmtId="0" fontId="12" fillId="37" borderId="93" applyNumberFormat="0" applyFont="0" applyAlignment="0" applyProtection="0"/>
    <xf numFmtId="0" fontId="76" fillId="34" borderId="94" applyNumberFormat="0" applyAlignment="0" applyProtection="0"/>
    <xf numFmtId="0" fontId="81" fillId="21" borderId="94" applyNumberFormat="0" applyAlignment="0" applyProtection="0"/>
    <xf numFmtId="0" fontId="81" fillId="21" borderId="94" applyNumberFormat="0" applyAlignment="0" applyProtection="0"/>
    <xf numFmtId="0" fontId="84" fillId="34" borderId="99" applyNumberFormat="0" applyAlignment="0" applyProtection="0"/>
    <xf numFmtId="0" fontId="5" fillId="0" borderId="96" applyNumberFormat="0" applyFill="0" applyAlignment="0" applyProtection="0"/>
    <xf numFmtId="0" fontId="81" fillId="21" borderId="94" applyNumberFormat="0" applyAlignment="0" applyProtection="0"/>
    <xf numFmtId="0" fontId="84" fillId="34" borderId="95" applyNumberFormat="0" applyAlignment="0" applyProtection="0"/>
    <xf numFmtId="0" fontId="76" fillId="34" borderId="94" applyNumberFormat="0" applyAlignment="0" applyProtection="0"/>
    <xf numFmtId="0" fontId="84" fillId="34" borderId="99" applyNumberFormat="0" applyAlignment="0" applyProtection="0"/>
    <xf numFmtId="0" fontId="12" fillId="37" borderId="93" applyNumberFormat="0" applyFont="0" applyAlignment="0" applyProtection="0"/>
    <xf numFmtId="0" fontId="84" fillId="34" borderId="95" applyNumberFormat="0" applyAlignment="0" applyProtection="0"/>
    <xf numFmtId="0" fontId="76" fillId="34" borderId="94" applyNumberFormat="0" applyAlignment="0" applyProtection="0"/>
    <xf numFmtId="0" fontId="84" fillId="34" borderId="99" applyNumberFormat="0" applyAlignment="0" applyProtection="0"/>
    <xf numFmtId="0" fontId="81" fillId="21" borderId="98" applyNumberForma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4" fillId="34" borderId="99" applyNumberFormat="0" applyAlignment="0" applyProtection="0"/>
    <xf numFmtId="0" fontId="5" fillId="0" borderId="100" applyNumberFormat="0" applyFill="0" applyAlignment="0" applyProtection="0"/>
    <xf numFmtId="0" fontId="81" fillId="21" borderId="98" applyNumberForma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84" fillId="34" borderId="99"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84" fillId="34" borderId="99" applyNumberFormat="0" applyAlignment="0" applyProtection="0"/>
    <xf numFmtId="0" fontId="12" fillId="37" borderId="97" applyNumberFormat="0" applyFont="0" applyAlignment="0" applyProtection="0"/>
    <xf numFmtId="0" fontId="81" fillId="21" borderId="98" applyNumberFormat="0" applyAlignment="0" applyProtection="0"/>
    <xf numFmtId="0" fontId="76" fillId="34" borderId="98" applyNumberFormat="0" applyAlignment="0" applyProtection="0"/>
    <xf numFmtId="0" fontId="76" fillId="34" borderId="98" applyNumberFormat="0" applyAlignment="0" applyProtection="0"/>
    <xf numFmtId="0" fontId="76" fillId="34" borderId="98" applyNumberFormat="0" applyAlignment="0" applyProtection="0"/>
    <xf numFmtId="0" fontId="81" fillId="21" borderId="98" applyNumberFormat="0" applyAlignment="0" applyProtection="0"/>
    <xf numFmtId="0" fontId="81" fillId="21"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12" fillId="37" borderId="97" applyNumberFormat="0" applyFont="0" applyAlignment="0" applyProtection="0"/>
    <xf numFmtId="0" fontId="76" fillId="34" borderId="98" applyNumberForma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84" fillId="34" borderId="99" applyNumberFormat="0" applyAlignment="0" applyProtection="0"/>
    <xf numFmtId="0" fontId="12" fillId="37" borderId="97" applyNumberFormat="0" applyFont="0" applyAlignment="0" applyProtection="0"/>
    <xf numFmtId="0" fontId="81" fillId="21" borderId="98" applyNumberForma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4" fillId="34" borderId="99" applyNumberFormat="0" applyAlignment="0" applyProtection="0"/>
    <xf numFmtId="0" fontId="12" fillId="37" borderId="97" applyNumberFormat="0" applyFont="0" applyAlignment="0" applyProtection="0"/>
    <xf numFmtId="0" fontId="84" fillId="34" borderId="99" applyNumberFormat="0" applyAlignment="0" applyProtection="0"/>
    <xf numFmtId="0" fontId="12" fillId="37" borderId="97" applyNumberFormat="0" applyFont="0" applyAlignment="0" applyProtection="0"/>
    <xf numFmtId="0" fontId="76" fillId="34" borderId="98"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5" fillId="0" borderId="100" applyNumberFormat="0" applyFill="0" applyAlignment="0" applyProtection="0"/>
    <xf numFmtId="0" fontId="84" fillId="34" borderId="99" applyNumberFormat="0" applyAlignment="0" applyProtection="0"/>
    <xf numFmtId="0" fontId="84" fillId="34" borderId="99" applyNumberFormat="0" applyAlignment="0" applyProtection="0"/>
    <xf numFmtId="0" fontId="12" fillId="37" borderId="97" applyNumberFormat="0" applyFont="0" applyAlignment="0" applyProtection="0"/>
    <xf numFmtId="0" fontId="12" fillId="37" borderId="97" applyNumberFormat="0" applyFont="0" applyAlignment="0" applyProtection="0"/>
    <xf numFmtId="0" fontId="81" fillId="21" borderId="98" applyNumberFormat="0" applyAlignment="0" applyProtection="0"/>
    <xf numFmtId="0" fontId="81" fillId="21" borderId="98" applyNumberFormat="0" applyAlignment="0" applyProtection="0"/>
    <xf numFmtId="0" fontId="76" fillId="34" borderId="98" applyNumberFormat="0" applyAlignment="0" applyProtection="0"/>
    <xf numFmtId="0" fontId="76" fillId="34" borderId="98" applyNumberFormat="0" applyAlignment="0" applyProtection="0"/>
    <xf numFmtId="0" fontId="84" fillId="34" borderId="99" applyNumberFormat="0" applyAlignment="0" applyProtection="0"/>
    <xf numFmtId="0" fontId="5" fillId="0" borderId="100" applyNumberFormat="0" applyFill="0" applyAlignment="0" applyProtection="0"/>
    <xf numFmtId="0" fontId="5" fillId="0" borderId="100" applyNumberFormat="0" applyFill="0" applyAlignment="0" applyProtection="0"/>
    <xf numFmtId="0" fontId="12" fillId="37" borderId="97" applyNumberFormat="0" applyFont="0" applyAlignment="0" applyProtection="0"/>
    <xf numFmtId="0" fontId="5" fillId="0" borderId="100" applyNumberFormat="0" applyFill="0" applyAlignment="0" applyProtection="0"/>
    <xf numFmtId="0" fontId="12" fillId="37" borderId="97" applyNumberFormat="0" applyFont="0" applyAlignment="0" applyProtection="0"/>
    <xf numFmtId="0" fontId="81" fillId="21" borderId="98" applyNumberFormat="0" applyAlignment="0" applyProtection="0"/>
    <xf numFmtId="0" fontId="12" fillId="37" borderId="97" applyNumberFormat="0" applyFont="0" applyAlignment="0" applyProtection="0"/>
    <xf numFmtId="0" fontId="76" fillId="34" borderId="98" applyNumberFormat="0" applyAlignment="0" applyProtection="0"/>
    <xf numFmtId="0" fontId="81" fillId="21" borderId="98" applyNumberFormat="0" applyAlignment="0" applyProtection="0"/>
    <xf numFmtId="0" fontId="81" fillId="21" borderId="98" applyNumberFormat="0" applyAlignment="0" applyProtection="0"/>
    <xf numFmtId="0" fontId="5" fillId="0" borderId="100" applyNumberFormat="0" applyFill="0" applyAlignment="0" applyProtection="0"/>
    <xf numFmtId="0" fontId="81" fillId="21" borderId="98" applyNumberFormat="0" applyAlignment="0" applyProtection="0"/>
    <xf numFmtId="0" fontId="84" fillId="34" borderId="99" applyNumberFormat="0" applyAlignment="0" applyProtection="0"/>
    <xf numFmtId="0" fontId="76" fillId="34" borderId="98" applyNumberFormat="0" applyAlignment="0" applyProtection="0"/>
    <xf numFmtId="0" fontId="12" fillId="37" borderId="97" applyNumberFormat="0" applyFont="0" applyAlignment="0" applyProtection="0"/>
    <xf numFmtId="0" fontId="84" fillId="34" borderId="99" applyNumberFormat="0" applyAlignment="0" applyProtection="0"/>
    <xf numFmtId="0" fontId="76" fillId="34" borderId="98" applyNumberFormat="0" applyAlignment="0" applyProtection="0"/>
    <xf numFmtId="0" fontId="76" fillId="34" borderId="178" applyNumberFormat="0" applyAlignment="0" applyProtection="0"/>
    <xf numFmtId="0" fontId="84" fillId="34" borderId="126" applyNumberFormat="0" applyAlignment="0" applyProtection="0"/>
    <xf numFmtId="0" fontId="12" fillId="37" borderId="156" applyNumberFormat="0" applyFont="0" applyAlignment="0" applyProtection="0"/>
    <xf numFmtId="0" fontId="12" fillId="37" borderId="152" applyNumberFormat="0" applyFont="0" applyAlignment="0" applyProtection="0"/>
    <xf numFmtId="0" fontId="84" fillId="34" borderId="126" applyNumberFormat="0" applyAlignment="0" applyProtection="0"/>
    <xf numFmtId="0" fontId="84" fillId="34" borderId="118" applyNumberFormat="0" applyAlignment="0" applyProtection="0"/>
    <xf numFmtId="0" fontId="84" fillId="34" borderId="118" applyNumberFormat="0" applyAlignment="0" applyProtection="0"/>
    <xf numFmtId="0" fontId="84" fillId="34" borderId="158" applyNumberFormat="0" applyAlignment="0" applyProtection="0"/>
    <xf numFmtId="0" fontId="12" fillId="37" borderId="164" applyNumberFormat="0" applyFont="0" applyAlignment="0" applyProtection="0"/>
    <xf numFmtId="0" fontId="12" fillId="37" borderId="152" applyNumberFormat="0" applyFont="0" applyAlignment="0" applyProtection="0"/>
    <xf numFmtId="0" fontId="12" fillId="37" borderId="124" applyNumberFormat="0" applyFont="0" applyAlignment="0" applyProtection="0"/>
    <xf numFmtId="0" fontId="5" fillId="0" borderId="188" applyNumberFormat="0" applyFill="0" applyAlignment="0" applyProtection="0"/>
    <xf numFmtId="0" fontId="5" fillId="0" borderId="127" applyNumberFormat="0" applyFill="0" applyAlignment="0" applyProtection="0"/>
    <xf numFmtId="0" fontId="84" fillId="34" borderId="166" applyNumberFormat="0" applyAlignment="0" applyProtection="0"/>
    <xf numFmtId="0" fontId="5" fillId="0" borderId="151" applyNumberFormat="0" applyFill="0" applyAlignment="0" applyProtection="0"/>
    <xf numFmtId="0" fontId="12" fillId="37" borderId="156" applyNumberFormat="0" applyFont="0" applyAlignment="0" applyProtection="0"/>
    <xf numFmtId="0" fontId="5" fillId="0" borderId="159" applyNumberFormat="0" applyFill="0" applyAlignment="0" applyProtection="0"/>
    <xf numFmtId="0" fontId="81" fillId="21" borderId="157" applyNumberFormat="0" applyAlignment="0" applyProtection="0"/>
    <xf numFmtId="0" fontId="12" fillId="37" borderId="185" applyNumberFormat="0" applyFont="0" applyAlignment="0" applyProtection="0"/>
    <xf numFmtId="0" fontId="84" fillId="34" borderId="166" applyNumberFormat="0" applyAlignment="0" applyProtection="0"/>
    <xf numFmtId="0" fontId="12" fillId="37" borderId="156" applyNumberFormat="0" applyFont="0" applyAlignment="0" applyProtection="0"/>
    <xf numFmtId="0" fontId="76" fillId="34" borderId="165" applyNumberFormat="0" applyAlignment="0" applyProtection="0"/>
    <xf numFmtId="0" fontId="12" fillId="37" borderId="124" applyNumberFormat="0" applyFont="0" applyAlignment="0" applyProtection="0"/>
    <xf numFmtId="0" fontId="84" fillId="34" borderId="126" applyNumberFormat="0" applyAlignment="0" applyProtection="0"/>
    <xf numFmtId="0" fontId="12" fillId="37" borderId="156" applyNumberFormat="0" applyFont="0" applyAlignment="0" applyProtection="0"/>
    <xf numFmtId="0" fontId="12" fillId="37" borderId="128" applyNumberFormat="0" applyFont="0" applyAlignment="0" applyProtection="0"/>
    <xf numFmtId="0" fontId="76" fillId="34" borderId="121" applyNumberFormat="0" applyAlignment="0" applyProtection="0"/>
    <xf numFmtId="0" fontId="76" fillId="34" borderId="182" applyNumberFormat="0" applyAlignment="0" applyProtection="0"/>
    <xf numFmtId="0" fontId="12" fillId="37" borderId="164" applyNumberFormat="0" applyFont="0" applyAlignment="0" applyProtection="0"/>
    <xf numFmtId="0" fontId="5" fillId="0" borderId="171" applyNumberFormat="0" applyFill="0" applyAlignment="0" applyProtection="0"/>
    <xf numFmtId="0" fontId="12" fillId="37" borderId="164" applyNumberFormat="0" applyFont="0" applyAlignment="0" applyProtection="0"/>
    <xf numFmtId="0" fontId="81" fillId="21" borderId="153" applyNumberFormat="0" applyAlignment="0" applyProtection="0"/>
    <xf numFmtId="0" fontId="84" fillId="34" borderId="126" applyNumberFormat="0" applyAlignment="0" applyProtection="0"/>
    <xf numFmtId="0" fontId="12" fillId="37" borderId="124" applyNumberFormat="0" applyFont="0" applyAlignment="0" applyProtection="0"/>
    <xf numFmtId="0" fontId="76" fillId="34" borderId="141" applyNumberFormat="0" applyAlignment="0" applyProtection="0"/>
    <xf numFmtId="0" fontId="12" fillId="37" borderId="124" applyNumberFormat="0" applyFont="0" applyAlignment="0" applyProtection="0"/>
    <xf numFmtId="0" fontId="12" fillId="37" borderId="156" applyNumberFormat="0" applyFont="0" applyAlignment="0" applyProtection="0"/>
    <xf numFmtId="0" fontId="76" fillId="34" borderId="157" applyNumberFormat="0" applyAlignment="0" applyProtection="0"/>
    <xf numFmtId="0" fontId="5" fillId="0" borderId="143" applyNumberFormat="0" applyFill="0" applyAlignment="0" applyProtection="0"/>
    <xf numFmtId="0" fontId="5" fillId="0" borderId="147" applyNumberFormat="0" applyFill="0" applyAlignment="0" applyProtection="0"/>
    <xf numFmtId="0" fontId="12" fillId="37" borderId="164" applyNumberFormat="0" applyFont="0" applyAlignment="0" applyProtection="0"/>
    <xf numFmtId="0" fontId="84" fillId="34" borderId="179" applyNumberFormat="0" applyAlignment="0" applyProtection="0"/>
    <xf numFmtId="0" fontId="12" fillId="37" borderId="144" applyNumberFormat="0" applyFont="0" applyAlignment="0" applyProtection="0"/>
    <xf numFmtId="0" fontId="12" fillId="37" borderId="156"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81" fillId="21" borderId="165" applyNumberForma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56" applyNumberFormat="0" applyFont="0" applyAlignment="0" applyProtection="0"/>
    <xf numFmtId="0" fontId="12" fillId="37" borderId="120" applyNumberFormat="0" applyFont="0" applyAlignment="0" applyProtection="0"/>
    <xf numFmtId="0" fontId="81" fillId="21" borderId="165" applyNumberFormat="0" applyAlignment="0" applyProtection="0"/>
    <xf numFmtId="0" fontId="84" fillId="34" borderId="162" applyNumberFormat="0" applyAlignment="0" applyProtection="0"/>
    <xf numFmtId="0" fontId="81" fillId="21" borderId="121" applyNumberFormat="0" applyAlignment="0" applyProtection="0"/>
    <xf numFmtId="0" fontId="12" fillId="37" borderId="128" applyNumberFormat="0" applyFont="0" applyAlignment="0" applyProtection="0"/>
    <xf numFmtId="0" fontId="12" fillId="37" borderId="156" applyNumberFormat="0" applyFont="0" applyAlignment="0" applyProtection="0"/>
    <xf numFmtId="0" fontId="5" fillId="0" borderId="127" applyNumberFormat="0" applyFill="0" applyAlignment="0" applyProtection="0"/>
    <xf numFmtId="0" fontId="12" fillId="37" borderId="172" applyNumberFormat="0" applyFont="0" applyAlignment="0" applyProtection="0"/>
    <xf numFmtId="0" fontId="12" fillId="37" borderId="136" applyNumberFormat="0" applyFont="0" applyAlignment="0" applyProtection="0"/>
    <xf numFmtId="0" fontId="12" fillId="37" borderId="156" applyNumberFormat="0" applyFont="0" applyAlignment="0" applyProtection="0"/>
    <xf numFmtId="0" fontId="81" fillId="21" borderId="182" applyNumberFormat="0" applyAlignment="0" applyProtection="0"/>
    <xf numFmtId="0" fontId="5" fillId="0" borderId="143" applyNumberFormat="0" applyFill="0" applyAlignment="0" applyProtection="0"/>
    <xf numFmtId="0" fontId="76" fillId="34" borderId="121" applyNumberFormat="0" applyAlignment="0" applyProtection="0"/>
    <xf numFmtId="0" fontId="84" fillId="34" borderId="158" applyNumberFormat="0" applyAlignment="0" applyProtection="0"/>
    <xf numFmtId="0" fontId="84" fillId="34" borderId="118" applyNumberFormat="0" applyAlignment="0" applyProtection="0"/>
    <xf numFmtId="0" fontId="76" fillId="34" borderId="125" applyNumberFormat="0" applyAlignment="0" applyProtection="0"/>
    <xf numFmtId="0" fontId="5" fillId="0" borderId="159" applyNumberFormat="0" applyFill="0" applyAlignment="0" applyProtection="0"/>
    <xf numFmtId="0" fontId="5" fillId="0" borderId="167" applyNumberFormat="0" applyFill="0" applyAlignment="0" applyProtection="0"/>
    <xf numFmtId="0" fontId="5" fillId="0" borderId="163" applyNumberFormat="0" applyFill="0" applyAlignment="0" applyProtection="0"/>
    <xf numFmtId="0" fontId="84" fillId="34" borderId="183" applyNumberFormat="0" applyAlignment="0" applyProtection="0"/>
    <xf numFmtId="0" fontId="12" fillId="37" borderId="181" applyNumberFormat="0" applyFont="0" applyAlignment="0" applyProtection="0"/>
    <xf numFmtId="0" fontId="5" fillId="0" borderId="139" applyNumberFormat="0" applyFill="0" applyAlignment="0" applyProtection="0"/>
    <xf numFmtId="0" fontId="12" fillId="37" borderId="181" applyNumberFormat="0" applyFont="0" applyAlignment="0" applyProtection="0"/>
    <xf numFmtId="0" fontId="76" fillId="34" borderId="165" applyNumberFormat="0" applyAlignment="0" applyProtection="0"/>
    <xf numFmtId="0" fontId="12" fillId="37" borderId="164"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4" fillId="34" borderId="158" applyNumberFormat="0" applyAlignment="0" applyProtection="0"/>
    <xf numFmtId="0" fontId="84" fillId="34" borderId="179" applyNumberFormat="0" applyAlignment="0" applyProtection="0"/>
    <xf numFmtId="0" fontId="5" fillId="0" borderId="167" applyNumberFormat="0" applyFill="0" applyAlignment="0" applyProtection="0"/>
    <xf numFmtId="0" fontId="76" fillId="34" borderId="165" applyNumberFormat="0" applyAlignment="0" applyProtection="0"/>
    <xf numFmtId="0" fontId="81" fillId="21" borderId="165" applyNumberFormat="0" applyAlignment="0" applyProtection="0"/>
    <xf numFmtId="0" fontId="76" fillId="34" borderId="125" applyNumberFormat="0" applyAlignment="0" applyProtection="0"/>
    <xf numFmtId="0" fontId="76" fillId="34" borderId="145" applyNumberFormat="0" applyAlignment="0" applyProtection="0"/>
    <xf numFmtId="0" fontId="81" fillId="21" borderId="165" applyNumberFormat="0" applyAlignment="0" applyProtection="0"/>
    <xf numFmtId="0" fontId="12" fillId="37" borderId="181" applyNumberFormat="0" applyFont="0" applyAlignment="0" applyProtection="0"/>
    <xf numFmtId="0" fontId="81" fillId="21" borderId="157" applyNumberFormat="0" applyAlignment="0" applyProtection="0"/>
    <xf numFmtId="0" fontId="12" fillId="37" borderId="140" applyNumberFormat="0" applyFont="0" applyAlignment="0" applyProtection="0"/>
    <xf numFmtId="0" fontId="84" fillId="34" borderId="126"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60" applyNumberFormat="0" applyFont="0" applyAlignment="0" applyProtection="0"/>
    <xf numFmtId="0" fontId="84" fillId="34" borderId="126" applyNumberFormat="0" applyAlignment="0" applyProtection="0"/>
    <xf numFmtId="0" fontId="84" fillId="34" borderId="170" applyNumberFormat="0" applyAlignment="0" applyProtection="0"/>
    <xf numFmtId="0" fontId="76" fillId="34" borderId="157" applyNumberFormat="0" applyAlignment="0" applyProtection="0"/>
    <xf numFmtId="0" fontId="84" fillId="34" borderId="122" applyNumberFormat="0" applyAlignment="0" applyProtection="0"/>
    <xf numFmtId="0" fontId="5" fillId="0" borderId="155" applyNumberFormat="0" applyFill="0" applyAlignment="0" applyProtection="0"/>
    <xf numFmtId="0" fontId="5" fillId="0" borderId="131" applyNumberFormat="0" applyFill="0" applyAlignment="0" applyProtection="0"/>
    <xf numFmtId="0" fontId="84" fillId="34" borderId="158" applyNumberFormat="0" applyAlignment="0" applyProtection="0"/>
    <xf numFmtId="0" fontId="12" fillId="37" borderId="124" applyNumberFormat="0" applyFont="0" applyAlignment="0" applyProtection="0"/>
    <xf numFmtId="0" fontId="84" fillId="34" borderId="134" applyNumberFormat="0" applyAlignment="0" applyProtection="0"/>
    <xf numFmtId="0" fontId="81" fillId="21" borderId="161" applyNumberFormat="0" applyAlignment="0" applyProtection="0"/>
    <xf numFmtId="0" fontId="12" fillId="37" borderId="160" applyNumberFormat="0" applyFont="0" applyAlignment="0" applyProtection="0"/>
    <xf numFmtId="0" fontId="76" fillId="34" borderId="182"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60" applyNumberFormat="0" applyFont="0" applyAlignment="0" applyProtection="0"/>
    <xf numFmtId="0" fontId="12" fillId="37" borderId="124" applyNumberFormat="0" applyFon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20" applyNumberFormat="0" applyFont="0" applyAlignment="0" applyProtection="0"/>
    <xf numFmtId="0" fontId="76" fillId="34" borderId="117" applyNumberFormat="0" applyAlignment="0" applyProtection="0"/>
    <xf numFmtId="0" fontId="76" fillId="34" borderId="165" applyNumberFormat="0" applyAlignment="0" applyProtection="0"/>
    <xf numFmtId="0" fontId="81" fillId="21" borderId="165" applyNumberFormat="0" applyAlignment="0" applyProtection="0"/>
    <xf numFmtId="0" fontId="12" fillId="37" borderId="156" applyNumberFormat="0" applyFont="0" applyAlignment="0" applyProtection="0"/>
    <xf numFmtId="0" fontId="12" fillId="37" borderId="112" applyNumberFormat="0" applyFont="0" applyAlignment="0" applyProtection="0"/>
    <xf numFmtId="0" fontId="76" fillId="34" borderId="113" applyNumberFormat="0" applyAlignment="0" applyProtection="0"/>
    <xf numFmtId="0" fontId="12" fillId="37" borderId="156" applyNumberFormat="0" applyFont="0" applyAlignment="0" applyProtection="0"/>
    <xf numFmtId="0" fontId="5" fillId="0" borderId="163" applyNumberFormat="0" applyFill="0" applyAlignment="0" applyProtection="0"/>
    <xf numFmtId="0" fontId="5" fillId="0" borderId="163" applyNumberFormat="0" applyFill="0" applyAlignment="0" applyProtection="0"/>
    <xf numFmtId="0" fontId="12" fillId="37" borderId="124" applyNumberFormat="0" applyFont="0" applyAlignment="0" applyProtection="0"/>
    <xf numFmtId="0" fontId="81" fillId="21" borderId="125" applyNumberFormat="0" applyAlignment="0" applyProtection="0"/>
    <xf numFmtId="0" fontId="12" fillId="37" borderId="164" applyNumberFormat="0" applyFont="0" applyAlignment="0" applyProtection="0"/>
    <xf numFmtId="0" fontId="81" fillId="21" borderId="182" applyNumberFormat="0" applyAlignment="0" applyProtection="0"/>
    <xf numFmtId="0" fontId="76" fillId="34" borderId="157" applyNumberFormat="0" applyAlignment="0" applyProtection="0"/>
    <xf numFmtId="0" fontId="81" fillId="21" borderId="141" applyNumberFormat="0" applyAlignment="0" applyProtection="0"/>
    <xf numFmtId="0" fontId="81" fillId="21" borderId="149" applyNumberFormat="0" applyAlignment="0" applyProtection="0"/>
    <xf numFmtId="0" fontId="12" fillId="37" borderId="156" applyNumberFormat="0" applyFont="0" applyAlignment="0" applyProtection="0"/>
    <xf numFmtId="0" fontId="84" fillId="34" borderId="166" applyNumberFormat="0" applyAlignment="0" applyProtection="0"/>
    <xf numFmtId="0" fontId="5" fillId="0" borderId="176" applyNumberFormat="0" applyFill="0" applyAlignment="0" applyProtection="0"/>
    <xf numFmtId="0" fontId="84" fillId="34" borderId="142" applyNumberFormat="0" applyAlignment="0" applyProtection="0"/>
    <xf numFmtId="0" fontId="12" fillId="37" borderId="160" applyNumberFormat="0" applyFont="0" applyAlignment="0" applyProtection="0"/>
    <xf numFmtId="0" fontId="12" fillId="37" borderId="152" applyNumberFormat="0" applyFont="0" applyAlignment="0" applyProtection="0"/>
    <xf numFmtId="0" fontId="76" fillId="34" borderId="133" applyNumberFormat="0" applyAlignment="0" applyProtection="0"/>
    <xf numFmtId="0" fontId="12" fillId="37" borderId="156" applyNumberFormat="0" applyFont="0" applyAlignment="0" applyProtection="0"/>
    <xf numFmtId="0" fontId="81" fillId="21" borderId="182" applyNumberFormat="0" applyAlignment="0" applyProtection="0"/>
    <xf numFmtId="0" fontId="76" fillId="34" borderId="145" applyNumberFormat="0" applyAlignment="0" applyProtection="0"/>
    <xf numFmtId="0" fontId="81" fillId="21" borderId="182" applyNumberFormat="0" applyAlignment="0" applyProtection="0"/>
    <xf numFmtId="0" fontId="12" fillId="37" borderId="124" applyNumberFormat="0" applyFont="0" applyAlignment="0" applyProtection="0"/>
    <xf numFmtId="0" fontId="84" fillId="34" borderId="175" applyNumberFormat="0" applyAlignment="0" applyProtection="0"/>
    <xf numFmtId="0" fontId="12" fillId="37" borderId="124" applyNumberFormat="0" applyFont="0" applyAlignment="0" applyProtection="0"/>
    <xf numFmtId="0" fontId="81" fillId="21" borderId="125" applyNumberFormat="0" applyAlignment="0" applyProtection="0"/>
    <xf numFmtId="0" fontId="76" fillId="34" borderId="125" applyNumberFormat="0" applyAlignment="0" applyProtection="0"/>
    <xf numFmtId="0" fontId="12" fillId="37" borderId="181" applyNumberFormat="0" applyFont="0" applyAlignment="0" applyProtection="0"/>
    <xf numFmtId="0" fontId="76" fillId="34" borderId="165" applyNumberFormat="0" applyAlignment="0" applyProtection="0"/>
    <xf numFmtId="0" fontId="5" fillId="0" borderId="184" applyNumberFormat="0" applyFill="0" applyAlignment="0" applyProtection="0"/>
    <xf numFmtId="0" fontId="12" fillId="37" borderId="156" applyNumberFormat="0" applyFont="0" applyAlignment="0" applyProtection="0"/>
    <xf numFmtId="0" fontId="81" fillId="21" borderId="125" applyNumberFormat="0" applyAlignment="0" applyProtection="0"/>
    <xf numFmtId="0" fontId="76" fillId="34" borderId="129" applyNumberFormat="0" applyAlignment="0" applyProtection="0"/>
    <xf numFmtId="0" fontId="12" fillId="37" borderId="173" applyNumberFormat="0" applyFont="0" applyAlignment="0" applyProtection="0"/>
    <xf numFmtId="0" fontId="12" fillId="37" borderId="112" applyNumberFormat="0" applyFont="0" applyAlignment="0" applyProtection="0"/>
    <xf numFmtId="0" fontId="81" fillId="21" borderId="145" applyNumberFormat="0" applyAlignment="0" applyProtection="0"/>
    <xf numFmtId="0" fontId="76" fillId="34" borderId="137" applyNumberFormat="0" applyAlignment="0" applyProtection="0"/>
    <xf numFmtId="0" fontId="12" fillId="37" borderId="156" applyNumberFormat="0" applyFont="0" applyAlignment="0" applyProtection="0"/>
    <xf numFmtId="0" fontId="81" fillId="21" borderId="141" applyNumberFormat="0" applyAlignment="0" applyProtection="0"/>
    <xf numFmtId="0" fontId="81" fillId="21" borderId="137" applyNumberFormat="0" applyAlignment="0" applyProtection="0"/>
    <xf numFmtId="0" fontId="5" fillId="0" borderId="159" applyNumberFormat="0" applyFill="0" applyAlignment="0" applyProtection="0"/>
    <xf numFmtId="0" fontId="81" fillId="21" borderId="125" applyNumberFormat="0" applyAlignment="0" applyProtection="0"/>
    <xf numFmtId="0" fontId="12" fillId="37" borderId="124" applyNumberFormat="0" applyFont="0" applyAlignment="0" applyProtection="0"/>
    <xf numFmtId="0" fontId="101" fillId="0" borderId="0" applyNumberFormat="0" applyFill="0" applyBorder="0" applyAlignment="0" applyProtection="0">
      <alignment vertical="top"/>
      <protection locked="0"/>
    </xf>
    <xf numFmtId="0" fontId="84" fillId="34" borderId="126" applyNumberFormat="0" applyAlignment="0" applyProtection="0"/>
    <xf numFmtId="0" fontId="5" fillId="0" borderId="127" applyNumberFormat="0" applyFill="0" applyAlignment="0" applyProtection="0"/>
    <xf numFmtId="0" fontId="76" fillId="34" borderId="125" applyNumberFormat="0" applyAlignment="0" applyProtection="0"/>
    <xf numFmtId="0" fontId="81" fillId="21" borderId="125" applyNumberFormat="0" applyAlignment="0" applyProtection="0"/>
    <xf numFmtId="0" fontId="84" fillId="34" borderId="126" applyNumberFormat="0" applyAlignment="0" applyProtection="0"/>
    <xf numFmtId="0" fontId="81" fillId="21" borderId="125" applyNumberFormat="0" applyAlignment="0" applyProtection="0"/>
    <xf numFmtId="0" fontId="76" fillId="34" borderId="109" applyNumberFormat="0" applyAlignment="0" applyProtection="0"/>
    <xf numFmtId="0" fontId="76" fillId="34" borderId="109" applyNumberFormat="0" applyAlignment="0" applyProtection="0"/>
    <xf numFmtId="0" fontId="81" fillId="21" borderId="109" applyNumberFormat="0" applyAlignment="0" applyProtection="0"/>
    <xf numFmtId="0" fontId="81" fillId="21"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27" applyNumberFormat="0" applyFill="0" applyAlignment="0" applyProtection="0"/>
    <xf numFmtId="0" fontId="76" fillId="34" borderId="161" applyNumberFormat="0" applyAlignment="0" applyProtection="0"/>
    <xf numFmtId="0" fontId="12" fillId="37" borderId="132" applyNumberFormat="0" applyFont="0" applyAlignment="0" applyProtection="0"/>
    <xf numFmtId="0" fontId="12" fillId="37" borderId="148" applyNumberFormat="0" applyFont="0" applyAlignment="0" applyProtection="0"/>
    <xf numFmtId="0" fontId="81" fillId="21" borderId="121" applyNumberFormat="0" applyAlignment="0" applyProtection="0"/>
    <xf numFmtId="0" fontId="5" fillId="0" borderId="127" applyNumberFormat="0" applyFill="0" applyAlignment="0" applyProtection="0"/>
    <xf numFmtId="0" fontId="84" fillId="34" borderId="126" applyNumberFormat="0" applyAlignment="0" applyProtection="0"/>
    <xf numFmtId="0" fontId="12" fillId="37" borderId="108" applyNumberFormat="0" applyFont="0" applyAlignment="0" applyProtection="0"/>
    <xf numFmtId="0" fontId="84" fillId="34" borderId="126"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81" fillId="21" borderId="125" applyNumberFormat="0" applyAlignment="0" applyProtection="0"/>
    <xf numFmtId="0" fontId="12" fillId="37" borderId="152" applyNumberFormat="0" applyFont="0" applyAlignment="0" applyProtection="0"/>
    <xf numFmtId="0" fontId="12" fillId="37" borderId="128" applyNumberFormat="0" applyFont="0" applyAlignment="0" applyProtection="0"/>
    <xf numFmtId="0" fontId="76" fillId="34" borderId="161" applyNumberFormat="0" applyAlignment="0" applyProtection="0"/>
    <xf numFmtId="0" fontId="81" fillId="21" borderId="174" applyNumberFormat="0" applyAlignment="0" applyProtection="0"/>
    <xf numFmtId="0" fontId="5" fillId="0" borderId="159" applyNumberFormat="0" applyFill="0" applyAlignment="0" applyProtection="0"/>
    <xf numFmtId="0" fontId="12" fillId="37" borderId="164" applyNumberFormat="0" applyFont="0" applyAlignment="0" applyProtection="0"/>
    <xf numFmtId="0" fontId="81" fillId="21" borderId="161" applyNumberFormat="0" applyAlignment="0" applyProtection="0"/>
    <xf numFmtId="0" fontId="5" fillId="0" borderId="167" applyNumberFormat="0" applyFill="0" applyAlignment="0" applyProtection="0"/>
    <xf numFmtId="0" fontId="84" fillId="34" borderId="158" applyNumberFormat="0" applyAlignment="0" applyProtection="0"/>
    <xf numFmtId="0" fontId="81" fillId="21" borderId="129" applyNumberFormat="0" applyAlignment="0" applyProtection="0"/>
    <xf numFmtId="0" fontId="5" fillId="0" borderId="159" applyNumberFormat="0" applyFill="0" applyAlignment="0" applyProtection="0"/>
    <xf numFmtId="0" fontId="5" fillId="0" borderId="167" applyNumberFormat="0" applyFill="0" applyAlignment="0" applyProtection="0"/>
    <xf numFmtId="0" fontId="84" fillId="34" borderId="162" applyNumberFormat="0" applyAlignment="0" applyProtection="0"/>
    <xf numFmtId="0" fontId="5" fillId="0" borderId="127" applyNumberFormat="0" applyFill="0" applyAlignment="0" applyProtection="0"/>
    <xf numFmtId="0" fontId="5" fillId="0" borderId="127" applyNumberFormat="0" applyFill="0" applyAlignment="0" applyProtection="0"/>
    <xf numFmtId="0" fontId="5" fillId="0" borderId="147" applyNumberFormat="0" applyFill="0" applyAlignment="0" applyProtection="0"/>
    <xf numFmtId="0" fontId="76" fillId="34" borderId="165" applyNumberFormat="0" applyAlignment="0" applyProtection="0"/>
    <xf numFmtId="0" fontId="12" fillId="37" borderId="124" applyNumberFormat="0" applyFont="0" applyAlignment="0" applyProtection="0"/>
    <xf numFmtId="0" fontId="81" fillId="21" borderId="125"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5" fillId="0" borderId="135" applyNumberFormat="0" applyFill="0" applyAlignment="0" applyProtection="0"/>
    <xf numFmtId="0" fontId="81" fillId="21" borderId="129" applyNumberFormat="0" applyAlignment="0" applyProtection="0"/>
    <xf numFmtId="0" fontId="84" fillId="34" borderId="154" applyNumberFormat="0" applyAlignment="0" applyProtection="0"/>
    <xf numFmtId="0" fontId="5" fillId="0" borderId="167" applyNumberFormat="0" applyFill="0" applyAlignment="0" applyProtection="0"/>
    <xf numFmtId="0" fontId="81" fillId="21" borderId="149" applyNumberFormat="0" applyAlignment="0" applyProtection="0"/>
    <xf numFmtId="0" fontId="76" fillId="34" borderId="165" applyNumberFormat="0" applyAlignment="0" applyProtection="0"/>
    <xf numFmtId="0" fontId="12" fillId="37" borderId="156" applyNumberFormat="0" applyFont="0" applyAlignment="0" applyProtection="0"/>
    <xf numFmtId="0" fontId="76" fillId="34" borderId="182" applyNumberFormat="0" applyAlignment="0" applyProtection="0"/>
    <xf numFmtId="0" fontId="12" fillId="37" borderId="156" applyNumberFormat="0" applyFont="0" applyAlignment="0" applyProtection="0"/>
    <xf numFmtId="0" fontId="84" fillId="34" borderId="150" applyNumberFormat="0" applyAlignment="0" applyProtection="0"/>
    <xf numFmtId="0" fontId="12" fillId="37" borderId="164" applyNumberFormat="0" applyFont="0" applyAlignment="0" applyProtection="0"/>
    <xf numFmtId="0" fontId="81" fillId="21" borderId="141" applyNumberFormat="0" applyAlignment="0" applyProtection="0"/>
    <xf numFmtId="0" fontId="12" fillId="37" borderId="124" applyNumberFormat="0" applyFont="0" applyAlignment="0" applyProtection="0"/>
    <xf numFmtId="0" fontId="84" fillId="34" borderId="18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76" fillId="34" borderId="117" applyNumberFormat="0" applyAlignment="0" applyProtection="0"/>
    <xf numFmtId="0" fontId="76" fillId="34" borderId="149" applyNumberFormat="0" applyAlignment="0" applyProtection="0"/>
    <xf numFmtId="0" fontId="12" fillId="37" borderId="124" applyNumberFormat="0" applyFont="0" applyAlignment="0" applyProtection="0"/>
    <xf numFmtId="0" fontId="84" fillId="34" borderId="166" applyNumberFormat="0" applyAlignment="0" applyProtection="0"/>
    <xf numFmtId="0" fontId="12" fillId="37" borderId="112" applyNumberFormat="0" applyFont="0" applyAlignment="0" applyProtection="0"/>
    <xf numFmtId="0" fontId="76" fillId="34" borderId="161" applyNumberFormat="0" applyAlignment="0" applyProtection="0"/>
    <xf numFmtId="0" fontId="84" fillId="34" borderId="126" applyNumberFormat="0" applyAlignment="0" applyProtection="0"/>
    <xf numFmtId="0" fontId="12" fillId="37" borderId="156" applyNumberFormat="0" applyFont="0" applyAlignment="0" applyProtection="0"/>
    <xf numFmtId="0" fontId="84" fillId="34" borderId="158" applyNumberFormat="0" applyAlignment="0" applyProtection="0"/>
    <xf numFmtId="0" fontId="81" fillId="21" borderId="133" applyNumberFormat="0" applyAlignment="0" applyProtection="0"/>
    <xf numFmtId="0" fontId="12" fillId="37" borderId="164" applyNumberFormat="0" applyFont="0" applyAlignment="0" applyProtection="0"/>
    <xf numFmtId="0" fontId="81" fillId="21" borderId="125" applyNumberForma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12" fillId="37" borderId="148" applyNumberFormat="0" applyFont="0" applyAlignment="0" applyProtection="0"/>
    <xf numFmtId="0" fontId="12" fillId="37" borderId="124" applyNumberFormat="0" applyFont="0" applyAlignment="0" applyProtection="0"/>
    <xf numFmtId="0" fontId="76" fillId="34" borderId="182" applyNumberFormat="0" applyAlignment="0" applyProtection="0"/>
    <xf numFmtId="0" fontId="76" fillId="34" borderId="133" applyNumberFormat="0" applyAlignment="0" applyProtection="0"/>
    <xf numFmtId="0" fontId="84" fillId="34" borderId="166" applyNumberFormat="0" applyAlignment="0" applyProtection="0"/>
    <xf numFmtId="0" fontId="81" fillId="21" borderId="157" applyNumberFormat="0" applyAlignment="0" applyProtection="0"/>
    <xf numFmtId="0" fontId="81" fillId="21" borderId="125" applyNumberFormat="0" applyAlignment="0" applyProtection="0"/>
    <xf numFmtId="0" fontId="12" fillId="37" borderId="164" applyNumberFormat="0" applyFont="0" applyAlignment="0" applyProtection="0"/>
    <xf numFmtId="0" fontId="12" fillId="37" borderId="112" applyNumberFormat="0" applyFont="0" applyAlignment="0" applyProtection="0"/>
    <xf numFmtId="0" fontId="12" fillId="37" borderId="112" applyNumberFormat="0" applyFont="0" applyAlignment="0" applyProtection="0"/>
    <xf numFmtId="0" fontId="84" fillId="34" borderId="158" applyNumberFormat="0" applyAlignment="0" applyProtection="0"/>
    <xf numFmtId="0" fontId="84" fillId="34" borderId="114" applyNumberFormat="0" applyAlignment="0" applyProtection="0"/>
    <xf numFmtId="0" fontId="5" fillId="0" borderId="115" applyNumberFormat="0" applyFill="0" applyAlignment="0" applyProtection="0"/>
    <xf numFmtId="0" fontId="5" fillId="0" borderId="115" applyNumberFormat="0" applyFill="0" applyAlignment="0" applyProtection="0"/>
    <xf numFmtId="0" fontId="84" fillId="34" borderId="154" applyNumberFormat="0" applyAlignment="0" applyProtection="0"/>
    <xf numFmtId="0" fontId="5" fillId="0" borderId="163" applyNumberFormat="0" applyFill="0" applyAlignment="0" applyProtection="0"/>
    <xf numFmtId="0" fontId="76" fillId="34" borderId="157" applyNumberFormat="0" applyAlignment="0" applyProtection="0"/>
    <xf numFmtId="0" fontId="84" fillId="34" borderId="114" applyNumberFormat="0" applyAlignment="0" applyProtection="0"/>
    <xf numFmtId="0" fontId="81" fillId="21" borderId="125" applyNumberFormat="0" applyAlignment="0" applyProtection="0"/>
    <xf numFmtId="0" fontId="12" fillId="37" borderId="156" applyNumberFormat="0" applyFont="0" applyAlignment="0" applyProtection="0"/>
    <xf numFmtId="0" fontId="12" fillId="37" borderId="124" applyNumberFormat="0" applyFont="0" applyAlignment="0" applyProtection="0"/>
    <xf numFmtId="0" fontId="76" fillId="34" borderId="125" applyNumberFormat="0" applyAlignment="0" applyProtection="0"/>
    <xf numFmtId="0" fontId="84" fillId="34" borderId="126" applyNumberFormat="0" applyAlignment="0" applyProtection="0"/>
    <xf numFmtId="0" fontId="76" fillId="34" borderId="125" applyNumberFormat="0" applyAlignment="0" applyProtection="0"/>
    <xf numFmtId="0" fontId="81" fillId="21" borderId="182" applyNumberFormat="0" applyAlignment="0" applyProtection="0"/>
    <xf numFmtId="0" fontId="81" fillId="21" borderId="125" applyNumberFormat="0" applyAlignment="0" applyProtection="0"/>
    <xf numFmtId="0" fontId="5" fillId="0" borderId="127" applyNumberFormat="0" applyFill="0" applyAlignment="0" applyProtection="0"/>
    <xf numFmtId="0" fontId="12" fillId="37" borderId="152" applyNumberFormat="0" applyFont="0" applyAlignment="0" applyProtection="0"/>
    <xf numFmtId="0" fontId="76" fillId="34" borderId="113" applyNumberFormat="0" applyAlignment="0" applyProtection="0"/>
    <xf numFmtId="0" fontId="76" fillId="34" borderId="165" applyNumberFormat="0" applyAlignment="0" applyProtection="0"/>
    <xf numFmtId="0" fontId="12" fillId="37" borderId="120" applyNumberFormat="0" applyFont="0" applyAlignment="0" applyProtection="0"/>
    <xf numFmtId="0" fontId="81" fillId="21" borderId="165" applyNumberFormat="0" applyAlignment="0" applyProtection="0"/>
    <xf numFmtId="0" fontId="81" fillId="21" borderId="157" applyNumberFormat="0" applyAlignment="0" applyProtection="0"/>
    <xf numFmtId="0" fontId="84" fillId="34" borderId="122" applyNumberFormat="0" applyAlignment="0" applyProtection="0"/>
    <xf numFmtId="0" fontId="84" fillId="34" borderId="158" applyNumberFormat="0" applyAlignment="0" applyProtection="0"/>
    <xf numFmtId="0" fontId="5" fillId="0" borderId="123" applyNumberFormat="0" applyFill="0" applyAlignment="0" applyProtection="0"/>
    <xf numFmtId="0" fontId="5" fillId="0" borderId="123" applyNumberFormat="0" applyFill="0" applyAlignment="0" applyProtection="0"/>
    <xf numFmtId="0" fontId="12" fillId="37" borderId="120" applyNumberFormat="0" applyFont="0" applyAlignment="0" applyProtection="0"/>
    <xf numFmtId="0" fontId="12" fillId="37" borderId="120" applyNumberFormat="0" applyFont="0" applyAlignment="0" applyProtection="0"/>
    <xf numFmtId="0" fontId="5" fillId="0" borderId="159" applyNumberFormat="0" applyFill="0" applyAlignment="0" applyProtection="0"/>
    <xf numFmtId="0" fontId="12" fillId="37" borderId="164" applyNumberFormat="0" applyFont="0" applyAlignment="0" applyProtection="0"/>
    <xf numFmtId="0" fontId="12" fillId="37" borderId="132" applyNumberFormat="0" applyFont="0" applyAlignment="0" applyProtection="0"/>
    <xf numFmtId="0" fontId="5" fillId="0" borderId="184" applyNumberFormat="0" applyFill="0" applyAlignment="0" applyProtection="0"/>
    <xf numFmtId="0" fontId="5" fillId="0" borderId="167" applyNumberFormat="0" applyFill="0" applyAlignment="0" applyProtection="0"/>
    <xf numFmtId="0" fontId="84" fillId="34" borderId="162" applyNumberFormat="0" applyAlignment="0" applyProtection="0"/>
    <xf numFmtId="0" fontId="12" fillId="37" borderId="181" applyNumberFormat="0" applyFont="0" applyAlignment="0" applyProtection="0"/>
    <xf numFmtId="0" fontId="5" fillId="0" borderId="159" applyNumberFormat="0" applyFill="0" applyAlignment="0" applyProtection="0"/>
    <xf numFmtId="0" fontId="12" fillId="37" borderId="136" applyNumberFormat="0" applyFont="0" applyAlignment="0" applyProtection="0"/>
    <xf numFmtId="0" fontId="5" fillId="0" borderId="163" applyNumberFormat="0" applyFill="0" applyAlignment="0" applyProtection="0"/>
    <xf numFmtId="0" fontId="84" fillId="34" borderId="142" applyNumberFormat="0" applyAlignment="0" applyProtection="0"/>
    <xf numFmtId="0" fontId="84" fillId="34" borderId="166" applyNumberFormat="0" applyAlignment="0" applyProtection="0"/>
    <xf numFmtId="0" fontId="12" fillId="37" borderId="124" applyNumberFormat="0" applyFont="0" applyAlignment="0" applyProtection="0"/>
    <xf numFmtId="0" fontId="12" fillId="37" borderId="173" applyNumberFormat="0" applyFont="0" applyAlignment="0" applyProtection="0"/>
    <xf numFmtId="0" fontId="12" fillId="37" borderId="164" applyNumberFormat="0" applyFont="0" applyAlignment="0" applyProtection="0"/>
    <xf numFmtId="0" fontId="5" fillId="0" borderId="127" applyNumberFormat="0" applyFill="0" applyAlignment="0" applyProtection="0"/>
    <xf numFmtId="0" fontId="5" fillId="0" borderId="155" applyNumberFormat="0" applyFill="0" applyAlignment="0" applyProtection="0"/>
    <xf numFmtId="0" fontId="12" fillId="37" borderId="164" applyNumberFormat="0" applyFont="0" applyAlignment="0" applyProtection="0"/>
    <xf numFmtId="0" fontId="76" fillId="34" borderId="182"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81" fillId="21" borderId="157" applyNumberFormat="0" applyAlignment="0" applyProtection="0"/>
    <xf numFmtId="0" fontId="76" fillId="34" borderId="125" applyNumberFormat="0" applyAlignment="0" applyProtection="0"/>
    <xf numFmtId="0" fontId="84" fillId="34" borderId="126" applyNumberFormat="0" applyAlignment="0" applyProtection="0"/>
    <xf numFmtId="0" fontId="12" fillId="37" borderId="156"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81" applyNumberFormat="0" applyFont="0" applyAlignment="0" applyProtection="0"/>
    <xf numFmtId="0" fontId="81" fillId="21" borderId="161" applyNumberFormat="0" applyAlignment="0" applyProtection="0"/>
    <xf numFmtId="0" fontId="76" fillId="34" borderId="125" applyNumberFormat="0" applyAlignment="0" applyProtection="0"/>
    <xf numFmtId="0" fontId="12" fillId="37" borderId="172"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84" fillId="34" borderId="166" applyNumberFormat="0" applyAlignment="0" applyProtection="0"/>
    <xf numFmtId="0" fontId="5" fillId="0" borderId="167" applyNumberFormat="0" applyFill="0" applyAlignment="0" applyProtection="0"/>
    <xf numFmtId="0" fontId="5" fillId="0" borderId="159" applyNumberFormat="0" applyFill="0" applyAlignment="0" applyProtection="0"/>
    <xf numFmtId="0" fontId="12" fillId="37" borderId="140" applyNumberFormat="0" applyFont="0" applyAlignment="0" applyProtection="0"/>
    <xf numFmtId="0" fontId="84" fillId="34" borderId="183" applyNumberFormat="0" applyAlignment="0" applyProtection="0"/>
    <xf numFmtId="0" fontId="84" fillId="34" borderId="134" applyNumberFormat="0" applyAlignment="0" applyProtection="0"/>
    <xf numFmtId="0" fontId="12" fillId="37" borderId="132" applyNumberFormat="0" applyFon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12" fillId="37" borderId="124" applyNumberFormat="0" applyFont="0" applyAlignment="0" applyProtection="0"/>
    <xf numFmtId="0" fontId="76" fillId="34" borderId="125" applyNumberFormat="0" applyAlignment="0" applyProtection="0"/>
    <xf numFmtId="0" fontId="12" fillId="37" borderId="132" applyNumberFormat="0" applyFont="0" applyAlignment="0" applyProtection="0"/>
    <xf numFmtId="0" fontId="81" fillId="21" borderId="157" applyNumberFormat="0" applyAlignment="0" applyProtection="0"/>
    <xf numFmtId="0" fontId="76" fillId="34" borderId="165" applyNumberFormat="0" applyAlignment="0" applyProtection="0"/>
    <xf numFmtId="0" fontId="84" fillId="34" borderId="158" applyNumberFormat="0" applyAlignment="0" applyProtection="0"/>
    <xf numFmtId="0" fontId="81" fillId="21" borderId="113" applyNumberFormat="0" applyAlignment="0" applyProtection="0"/>
    <xf numFmtId="0" fontId="76" fillId="34" borderId="125" applyNumberFormat="0" applyAlignment="0" applyProtection="0"/>
    <xf numFmtId="0" fontId="12" fillId="37" borderId="124" applyNumberFormat="0" applyFont="0" applyAlignment="0" applyProtection="0"/>
    <xf numFmtId="0" fontId="76" fillId="34" borderId="125" applyNumberFormat="0" applyAlignment="0" applyProtection="0"/>
    <xf numFmtId="0" fontId="12" fillId="37" borderId="124" applyNumberFormat="0" applyFont="0" applyAlignment="0" applyProtection="0"/>
    <xf numFmtId="0" fontId="84" fillId="34" borderId="126" applyNumberFormat="0" applyAlignment="0" applyProtection="0"/>
    <xf numFmtId="0" fontId="84" fillId="34" borderId="130" applyNumberFormat="0" applyAlignment="0" applyProtection="0"/>
    <xf numFmtId="0" fontId="5" fillId="0" borderId="167" applyNumberFormat="0" applyFill="0" applyAlignment="0" applyProtection="0"/>
    <xf numFmtId="0" fontId="84" fillId="34" borderId="110" applyNumberFormat="0" applyAlignment="0" applyProtection="0"/>
    <xf numFmtId="0" fontId="81" fillId="21" borderId="109" applyNumberFormat="0" applyAlignment="0" applyProtection="0"/>
    <xf numFmtId="0" fontId="81" fillId="21" borderId="165" applyNumberFormat="0" applyAlignment="0" applyProtection="0"/>
    <xf numFmtId="0" fontId="12" fillId="37" borderId="124" applyNumberFormat="0" applyFont="0" applyAlignment="0" applyProtection="0"/>
    <xf numFmtId="0" fontId="81" fillId="21" borderId="125" applyNumberFormat="0" applyAlignment="0" applyProtection="0"/>
    <xf numFmtId="0" fontId="5" fillId="0" borderId="127" applyNumberFormat="0" applyFill="0" applyAlignment="0" applyProtection="0"/>
    <xf numFmtId="0" fontId="12" fillId="37" borderId="124" applyNumberFormat="0" applyFont="0" applyAlignment="0" applyProtection="0"/>
    <xf numFmtId="0" fontId="12" fillId="37" borderId="140" applyNumberFormat="0" applyFont="0" applyAlignment="0" applyProtection="0"/>
    <xf numFmtId="0" fontId="76" fillId="34" borderId="125" applyNumberFormat="0" applyAlignment="0" applyProtection="0"/>
    <xf numFmtId="0" fontId="76" fillId="34" borderId="125" applyNumberFormat="0" applyAlignment="0" applyProtection="0"/>
    <xf numFmtId="0" fontId="12" fillId="37" borderId="173" applyNumberFormat="0" applyFont="0" applyAlignment="0" applyProtection="0"/>
    <xf numFmtId="0" fontId="5" fillId="0" borderId="135" applyNumberFormat="0" applyFill="0" applyAlignment="0" applyProtection="0"/>
    <xf numFmtId="0" fontId="12" fillId="37" borderId="124" applyNumberFormat="0" applyFont="0" applyAlignment="0" applyProtection="0"/>
    <xf numFmtId="0" fontId="12" fillId="37" borderId="116" applyNumberFormat="0" applyFont="0" applyAlignment="0" applyProtection="0"/>
    <xf numFmtId="0" fontId="84" fillId="34" borderId="183" applyNumberFormat="0" applyAlignment="0" applyProtection="0"/>
    <xf numFmtId="0" fontId="81" fillId="21" borderId="113" applyNumberForma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76" fillId="34"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84" fillId="34" borderId="110" applyNumberFormat="0" applyAlignment="0" applyProtection="0"/>
    <xf numFmtId="0" fontId="5" fillId="0" borderId="111" applyNumberFormat="0" applyFill="0" applyAlignment="0" applyProtection="0"/>
    <xf numFmtId="0" fontId="81" fillId="21" borderId="109" applyNumberFormat="0" applyAlignment="0" applyProtection="0"/>
    <xf numFmtId="0" fontId="12" fillId="37" borderId="108" applyNumberFormat="0" applyFont="0" applyAlignment="0" applyProtection="0"/>
    <xf numFmtId="0" fontId="81" fillId="21" borderId="109" applyNumberFormat="0" applyAlignment="0" applyProtection="0"/>
    <xf numFmtId="0" fontId="81" fillId="21" borderId="109" applyNumberFormat="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84" fillId="34" borderId="110"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81" fillId="21" borderId="161" applyNumberFormat="0" applyAlignment="0" applyProtection="0"/>
    <xf numFmtId="0" fontId="76" fillId="34" borderId="109" applyNumberFormat="0" applyAlignment="0" applyProtection="0"/>
    <xf numFmtId="0" fontId="84" fillId="34" borderId="110" applyNumberFormat="0" applyAlignment="0" applyProtection="0"/>
    <xf numFmtId="0" fontId="12" fillId="37" borderId="108" applyNumberFormat="0" applyFont="0" applyAlignment="0" applyProtection="0"/>
    <xf numFmtId="0" fontId="81" fillId="21" borderId="109" applyNumberFormat="0" applyAlignment="0" applyProtection="0"/>
    <xf numFmtId="0" fontId="76" fillId="34" borderId="109" applyNumberFormat="0" applyAlignment="0" applyProtection="0"/>
    <xf numFmtId="0" fontId="76" fillId="34" borderId="109" applyNumberFormat="0" applyAlignment="0" applyProtection="0"/>
    <xf numFmtId="0" fontId="76" fillId="34" borderId="109" applyNumberFormat="0" applyAlignment="0" applyProtection="0"/>
    <xf numFmtId="0" fontId="81" fillId="21" borderId="109" applyNumberFormat="0" applyAlignment="0" applyProtection="0"/>
    <xf numFmtId="0" fontId="81" fillId="21"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12" fillId="37" borderId="108" applyNumberFormat="0" applyFont="0" applyAlignment="0" applyProtection="0"/>
    <xf numFmtId="0" fontId="76" fillId="34" borderId="109" applyNumberForma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84" fillId="34" borderId="110" applyNumberFormat="0" applyAlignment="0" applyProtection="0"/>
    <xf numFmtId="0" fontId="12" fillId="37" borderId="108" applyNumberFormat="0" applyFont="0" applyAlignment="0" applyProtection="0"/>
    <xf numFmtId="0" fontId="81" fillId="21" borderId="109" applyNumberForma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76" fillId="34" borderId="125" applyNumberFormat="0" applyAlignment="0" applyProtection="0"/>
    <xf numFmtId="0" fontId="81" fillId="21" borderId="153" applyNumberFormat="0" applyAlignment="0" applyProtection="0"/>
    <xf numFmtId="0" fontId="12" fillId="37" borderId="108" applyNumberFormat="0" applyFont="0" applyAlignment="0" applyProtection="0"/>
    <xf numFmtId="0" fontId="84" fillId="34" borderId="110" applyNumberFormat="0" applyAlignment="0" applyProtection="0"/>
    <xf numFmtId="0" fontId="12" fillId="37" borderId="108" applyNumberFormat="0" applyFont="0" applyAlignment="0" applyProtection="0"/>
    <xf numFmtId="0" fontId="76" fillId="34" borderId="109"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5" fillId="0" borderId="111" applyNumberFormat="0" applyFill="0" applyAlignment="0" applyProtection="0"/>
    <xf numFmtId="0" fontId="84" fillId="34" borderId="110" applyNumberFormat="0" applyAlignment="0" applyProtection="0"/>
    <xf numFmtId="0" fontId="84" fillId="34" borderId="110" applyNumberFormat="0" applyAlignment="0" applyProtection="0"/>
    <xf numFmtId="0" fontId="12" fillId="37" borderId="108" applyNumberFormat="0" applyFont="0" applyAlignment="0" applyProtection="0"/>
    <xf numFmtId="0" fontId="12" fillId="37" borderId="108" applyNumberFormat="0" applyFont="0" applyAlignment="0" applyProtection="0"/>
    <xf numFmtId="0" fontId="81" fillId="21" borderId="109" applyNumberFormat="0" applyAlignment="0" applyProtection="0"/>
    <xf numFmtId="0" fontId="81" fillId="21" borderId="109" applyNumberFormat="0" applyAlignment="0" applyProtection="0"/>
    <xf numFmtId="0" fontId="76" fillId="34" borderId="109" applyNumberFormat="0" applyAlignment="0" applyProtection="0"/>
    <xf numFmtId="0" fontId="76" fillId="34" borderId="109" applyNumberFormat="0" applyAlignment="0" applyProtection="0"/>
    <xf numFmtId="0" fontId="84" fillId="34" borderId="110" applyNumberFormat="0" applyAlignment="0" applyProtection="0"/>
    <xf numFmtId="0" fontId="5" fillId="0" borderId="111" applyNumberFormat="0" applyFill="0" applyAlignment="0" applyProtection="0"/>
    <xf numFmtId="0" fontId="5" fillId="0" borderId="111" applyNumberFormat="0" applyFill="0" applyAlignment="0" applyProtection="0"/>
    <xf numFmtId="0" fontId="12" fillId="37" borderId="108" applyNumberFormat="0" applyFont="0" applyAlignment="0" applyProtection="0"/>
    <xf numFmtId="0" fontId="5" fillId="0" borderId="111" applyNumberFormat="0" applyFill="0" applyAlignment="0" applyProtection="0"/>
    <xf numFmtId="0" fontId="12" fillId="37" borderId="108" applyNumberFormat="0" applyFont="0" applyAlignment="0" applyProtection="0"/>
    <xf numFmtId="0" fontId="81" fillId="21" borderId="109" applyNumberFormat="0" applyAlignment="0" applyProtection="0"/>
    <xf numFmtId="0" fontId="12" fillId="37" borderId="108" applyNumberFormat="0" applyFont="0" applyAlignment="0" applyProtection="0"/>
    <xf numFmtId="0" fontId="76" fillId="34" borderId="109" applyNumberFormat="0" applyAlignment="0" applyProtection="0"/>
    <xf numFmtId="0" fontId="81" fillId="21" borderId="109" applyNumberFormat="0" applyAlignment="0" applyProtection="0"/>
    <xf numFmtId="0" fontId="84" fillId="34" borderId="142" applyNumberFormat="0" applyAlignment="0" applyProtection="0"/>
    <xf numFmtId="0" fontId="81" fillId="21" borderId="109" applyNumberFormat="0" applyAlignment="0" applyProtection="0"/>
    <xf numFmtId="0" fontId="12" fillId="37" borderId="116" applyNumberFormat="0" applyFont="0" applyAlignment="0" applyProtection="0"/>
    <xf numFmtId="0" fontId="5" fillId="0" borderId="111" applyNumberFormat="0" applyFill="0" applyAlignment="0" applyProtection="0"/>
    <xf numFmtId="0" fontId="81" fillId="21" borderId="109" applyNumberFormat="0" applyAlignment="0" applyProtection="0"/>
    <xf numFmtId="0" fontId="84" fillId="34" borderId="110" applyNumberFormat="0" applyAlignment="0" applyProtection="0"/>
    <xf numFmtId="0" fontId="12" fillId="37" borderId="128" applyNumberFormat="0" applyFont="0" applyAlignment="0" applyProtection="0"/>
    <xf numFmtId="0" fontId="76" fillId="34" borderId="109" applyNumberFormat="0" applyAlignment="0" applyProtection="0"/>
    <xf numFmtId="0" fontId="12" fillId="37" borderId="116" applyNumberFormat="0" applyFont="0" applyAlignment="0" applyProtection="0"/>
    <xf numFmtId="0" fontId="12" fillId="37" borderId="108" applyNumberFormat="0" applyFont="0" applyAlignment="0" applyProtection="0"/>
    <xf numFmtId="0" fontId="84" fillId="34" borderId="110" applyNumberFormat="0" applyAlignment="0" applyProtection="0"/>
    <xf numFmtId="0" fontId="76" fillId="34" borderId="109" applyNumberFormat="0" applyAlignment="0" applyProtection="0"/>
    <xf numFmtId="0" fontId="81" fillId="21" borderId="117" applyNumberFormat="0" applyAlignment="0" applyProtection="0"/>
    <xf numFmtId="0" fontId="81" fillId="21" borderId="161" applyNumberFormat="0" applyAlignment="0" applyProtection="0"/>
    <xf numFmtId="0" fontId="12" fillId="37" borderId="156" applyNumberFormat="0" applyFont="0" applyAlignment="0" applyProtection="0"/>
    <xf numFmtId="0" fontId="12" fillId="37" borderId="160" applyNumberFormat="0" applyFont="0" applyAlignment="0" applyProtection="0"/>
    <xf numFmtId="0" fontId="5" fillId="0" borderId="184" applyNumberFormat="0" applyFill="0" applyAlignment="0" applyProtection="0"/>
    <xf numFmtId="0" fontId="5" fillId="0" borderId="159" applyNumberFormat="0" applyFill="0" applyAlignment="0" applyProtection="0"/>
    <xf numFmtId="0" fontId="12" fillId="37" borderId="164" applyNumberFormat="0" applyFont="0" applyAlignment="0" applyProtection="0"/>
    <xf numFmtId="0" fontId="12" fillId="37" borderId="164" applyNumberFormat="0" applyFont="0" applyAlignment="0" applyProtection="0"/>
    <xf numFmtId="0" fontId="5" fillId="0" borderId="167" applyNumberFormat="0" applyFill="0" applyAlignment="0" applyProtection="0"/>
    <xf numFmtId="0" fontId="81" fillId="21" borderId="153" applyNumberForma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76" fillId="34"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84" fillId="34" borderId="118" applyNumberFormat="0" applyAlignment="0" applyProtection="0"/>
    <xf numFmtId="0" fontId="5" fillId="0" borderId="119" applyNumberFormat="0" applyFill="0" applyAlignment="0" applyProtection="0"/>
    <xf numFmtId="0" fontId="81" fillId="21" borderId="117" applyNumberForma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84" fillId="34" borderId="118"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81" applyNumberFormat="0" applyFont="0" applyAlignment="0" applyProtection="0"/>
    <xf numFmtId="0" fontId="76" fillId="34" borderId="117" applyNumberFormat="0" applyAlignment="0" applyProtection="0"/>
    <xf numFmtId="0" fontId="84" fillId="34" borderId="118" applyNumberFormat="0" applyAlignment="0" applyProtection="0"/>
    <xf numFmtId="0" fontId="12" fillId="37" borderId="116" applyNumberFormat="0" applyFont="0" applyAlignment="0" applyProtection="0"/>
    <xf numFmtId="0" fontId="81" fillId="21" borderId="117" applyNumberFormat="0" applyAlignment="0" applyProtection="0"/>
    <xf numFmtId="0" fontId="76" fillId="34" borderId="117" applyNumberFormat="0" applyAlignment="0" applyProtection="0"/>
    <xf numFmtId="0" fontId="76" fillId="34" borderId="117" applyNumberFormat="0" applyAlignment="0" applyProtection="0"/>
    <xf numFmtId="0" fontId="76" fillId="34" borderId="117" applyNumberFormat="0" applyAlignment="0" applyProtection="0"/>
    <xf numFmtId="0" fontId="81" fillId="21" borderId="117" applyNumberFormat="0" applyAlignment="0" applyProtection="0"/>
    <xf numFmtId="0" fontId="81" fillId="21"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12" fillId="37" borderId="116" applyNumberFormat="0" applyFont="0" applyAlignment="0" applyProtection="0"/>
    <xf numFmtId="0" fontId="76" fillId="34" borderId="117" applyNumberForma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84" fillId="34" borderId="118" applyNumberFormat="0" applyAlignment="0" applyProtection="0"/>
    <xf numFmtId="0" fontId="12" fillId="37" borderId="116" applyNumberFormat="0" applyFont="0" applyAlignment="0" applyProtection="0"/>
    <xf numFmtId="0" fontId="81" fillId="21" borderId="117" applyNumberForma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12" fillId="37" borderId="156" applyNumberFormat="0" applyFont="0" applyAlignment="0" applyProtection="0"/>
    <xf numFmtId="0" fontId="12" fillId="37" borderId="140" applyNumberFormat="0" applyFont="0" applyAlignment="0" applyProtection="0"/>
    <xf numFmtId="0" fontId="12" fillId="37" borderId="116" applyNumberFormat="0" applyFont="0" applyAlignment="0" applyProtection="0"/>
    <xf numFmtId="0" fontId="84" fillId="34" borderId="118" applyNumberFormat="0" applyAlignment="0" applyProtection="0"/>
    <xf numFmtId="0" fontId="12" fillId="37" borderId="116" applyNumberFormat="0" applyFont="0" applyAlignment="0" applyProtection="0"/>
    <xf numFmtId="0" fontId="76" fillId="34" borderId="117"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5" fillId="0" borderId="119" applyNumberFormat="0" applyFill="0" applyAlignment="0" applyProtection="0"/>
    <xf numFmtId="0" fontId="84" fillId="34" borderId="118" applyNumberFormat="0" applyAlignment="0" applyProtection="0"/>
    <xf numFmtId="0" fontId="84" fillId="34" borderId="118" applyNumberFormat="0" applyAlignment="0" applyProtection="0"/>
    <xf numFmtId="0" fontId="12" fillId="37" borderId="116" applyNumberFormat="0" applyFont="0" applyAlignment="0" applyProtection="0"/>
    <xf numFmtId="0" fontId="12" fillId="37" borderId="116" applyNumberFormat="0" applyFont="0" applyAlignment="0" applyProtection="0"/>
    <xf numFmtId="0" fontId="81" fillId="21" borderId="117" applyNumberFormat="0" applyAlignment="0" applyProtection="0"/>
    <xf numFmtId="0" fontId="81" fillId="21" borderId="117" applyNumberFormat="0" applyAlignment="0" applyProtection="0"/>
    <xf numFmtId="0" fontId="76" fillId="34" borderId="117" applyNumberFormat="0" applyAlignment="0" applyProtection="0"/>
    <xf numFmtId="0" fontId="76" fillId="34" borderId="117" applyNumberFormat="0" applyAlignment="0" applyProtection="0"/>
    <xf numFmtId="0" fontId="84" fillId="34" borderId="118" applyNumberFormat="0" applyAlignment="0" applyProtection="0"/>
    <xf numFmtId="0" fontId="5" fillId="0" borderId="119" applyNumberFormat="0" applyFill="0" applyAlignment="0" applyProtection="0"/>
    <xf numFmtId="0" fontId="5" fillId="0" borderId="119" applyNumberFormat="0" applyFill="0" applyAlignment="0" applyProtection="0"/>
    <xf numFmtId="0" fontId="12" fillId="37" borderId="116" applyNumberFormat="0" applyFont="0" applyAlignment="0" applyProtection="0"/>
    <xf numFmtId="0" fontId="5" fillId="0" borderId="119" applyNumberFormat="0" applyFill="0" applyAlignment="0" applyProtection="0"/>
    <xf numFmtId="0" fontId="12" fillId="37" borderId="116" applyNumberFormat="0" applyFont="0" applyAlignment="0" applyProtection="0"/>
    <xf numFmtId="0" fontId="81" fillId="21" borderId="117" applyNumberFormat="0" applyAlignment="0" applyProtection="0"/>
    <xf numFmtId="0" fontId="12" fillId="37" borderId="116" applyNumberFormat="0" applyFont="0" applyAlignment="0" applyProtection="0"/>
    <xf numFmtId="0" fontId="76" fillId="34" borderId="117" applyNumberFormat="0" applyAlignment="0" applyProtection="0"/>
    <xf numFmtId="0" fontId="81" fillId="21" borderId="117" applyNumberFormat="0" applyAlignment="0" applyProtection="0"/>
    <xf numFmtId="0" fontId="76" fillId="34" borderId="161" applyNumberFormat="0" applyAlignment="0" applyProtection="0"/>
    <xf numFmtId="0" fontId="81" fillId="21" borderId="117" applyNumberFormat="0" applyAlignment="0" applyProtection="0"/>
    <xf numFmtId="0" fontId="76" fillId="34" borderId="157" applyNumberFormat="0" applyAlignment="0" applyProtection="0"/>
    <xf numFmtId="0" fontId="5" fillId="0" borderId="119" applyNumberFormat="0" applyFill="0" applyAlignment="0" applyProtection="0"/>
    <xf numFmtId="0" fontId="81" fillId="21" borderId="117" applyNumberFormat="0" applyAlignment="0" applyProtection="0"/>
    <xf numFmtId="0" fontId="84" fillId="34" borderId="118" applyNumberFormat="0" applyAlignment="0" applyProtection="0"/>
    <xf numFmtId="0" fontId="76" fillId="34" borderId="117" applyNumberFormat="0" applyAlignment="0" applyProtection="0"/>
    <xf numFmtId="0" fontId="81" fillId="21" borderId="182" applyNumberFormat="0" applyAlignment="0" applyProtection="0"/>
    <xf numFmtId="0" fontId="12" fillId="37" borderId="116" applyNumberFormat="0" applyFont="0" applyAlignment="0" applyProtection="0"/>
    <xf numFmtId="0" fontId="84" fillId="34" borderId="118" applyNumberFormat="0" applyAlignment="0" applyProtection="0"/>
    <xf numFmtId="0" fontId="76" fillId="34" borderId="117"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12" fillId="37" borderId="124" applyNumberFormat="0" applyFont="0" applyAlignment="0" applyProtection="0"/>
    <xf numFmtId="0" fontId="84" fillId="34" borderId="175" applyNumberFormat="0" applyAlignment="0" applyProtection="0"/>
    <xf numFmtId="0" fontId="5" fillId="0" borderId="167" applyNumberFormat="0" applyFill="0" applyAlignment="0" applyProtection="0"/>
    <xf numFmtId="0" fontId="12" fillId="37" borderId="128" applyNumberFormat="0" applyFont="0" applyAlignment="0" applyProtection="0"/>
    <xf numFmtId="0" fontId="76" fillId="34" borderId="182"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5" fillId="0" borderId="127" applyNumberFormat="0" applyFill="0" applyAlignment="0" applyProtection="0"/>
    <xf numFmtId="0" fontId="81" fillId="21" borderId="125"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24" applyNumberFormat="0" applyFont="0" applyAlignment="0" applyProtection="0"/>
    <xf numFmtId="0" fontId="12" fillId="37" borderId="124" applyNumberFormat="0" applyFont="0" applyAlignment="0" applyProtection="0"/>
    <xf numFmtId="0" fontId="84" fillId="34" borderId="126" applyNumberFormat="0" applyAlignment="0" applyProtection="0"/>
    <xf numFmtId="0" fontId="12" fillId="37" borderId="124" applyNumberFormat="0" applyFont="0" applyAlignment="0" applyProtection="0"/>
    <xf numFmtId="0" fontId="84" fillId="34" borderId="166" applyNumberFormat="0" applyAlignment="0" applyProtection="0"/>
    <xf numFmtId="0" fontId="76" fillId="34" borderId="165" applyNumberFormat="0" applyAlignment="0" applyProtection="0"/>
    <xf numFmtId="0" fontId="76" fillId="34" borderId="125" applyNumberFormat="0" applyAlignment="0" applyProtection="0"/>
    <xf numFmtId="0" fontId="12" fillId="37" borderId="144" applyNumberFormat="0" applyFont="0" applyAlignment="0" applyProtection="0"/>
    <xf numFmtId="0" fontId="12" fillId="37" borderId="156" applyNumberFormat="0" applyFont="0" applyAlignment="0" applyProtection="0"/>
    <xf numFmtId="0" fontId="81" fillId="21" borderId="165" applyNumberFormat="0" applyAlignment="0" applyProtection="0"/>
    <xf numFmtId="0" fontId="76" fillId="34" borderId="157" applyNumberFormat="0" applyAlignment="0" applyProtection="0"/>
    <xf numFmtId="0" fontId="5" fillId="0" borderId="159" applyNumberFormat="0" applyFill="0" applyAlignment="0" applyProtection="0"/>
    <xf numFmtId="0" fontId="81" fillId="21" borderId="178" applyNumberFormat="0" applyAlignment="0" applyProtection="0"/>
    <xf numFmtId="0" fontId="12" fillId="37" borderId="156" applyNumberFormat="0" applyFont="0" applyAlignment="0" applyProtection="0"/>
    <xf numFmtId="0" fontId="81" fillId="21" borderId="165" applyNumberFormat="0" applyAlignment="0" applyProtection="0"/>
    <xf numFmtId="0" fontId="12" fillId="37" borderId="156" applyNumberFormat="0" applyFont="0" applyAlignment="0" applyProtection="0"/>
    <xf numFmtId="0" fontId="12" fillId="37" borderId="144" applyNumberFormat="0" applyFont="0" applyAlignment="0" applyProtection="0"/>
    <xf numFmtId="0" fontId="5" fillId="0" borderId="184" applyNumberFormat="0" applyFill="0" applyAlignment="0" applyProtection="0"/>
    <xf numFmtId="0" fontId="5" fillId="0" borderId="159" applyNumberFormat="0" applyFill="0" applyAlignment="0" applyProtection="0"/>
    <xf numFmtId="0" fontId="81" fillId="21" borderId="125" applyNumberFormat="0" applyAlignment="0" applyProtection="0"/>
    <xf numFmtId="0" fontId="5" fillId="0" borderId="127" applyNumberFormat="0" applyFill="0" applyAlignment="0" applyProtection="0"/>
    <xf numFmtId="0" fontId="81" fillId="21" borderId="157" applyNumberFormat="0" applyAlignment="0" applyProtection="0"/>
    <xf numFmtId="0" fontId="81" fillId="21" borderId="157" applyNumberFormat="0" applyAlignment="0" applyProtection="0"/>
    <xf numFmtId="0" fontId="76" fillId="34" borderId="157" applyNumberFormat="0" applyAlignment="0" applyProtection="0"/>
    <xf numFmtId="0" fontId="12" fillId="37" borderId="181" applyNumberFormat="0" applyFont="0" applyAlignment="0" applyProtection="0"/>
    <xf numFmtId="0" fontId="12" fillId="37" borderId="160" applyNumberFormat="0" applyFont="0" applyAlignment="0" applyProtection="0"/>
    <xf numFmtId="0" fontId="84" fillId="34" borderId="166" applyNumberFormat="0" applyAlignment="0" applyProtection="0"/>
    <xf numFmtId="0" fontId="5" fillId="0" borderId="131" applyNumberFormat="0" applyFill="0" applyAlignment="0" applyProtection="0"/>
    <xf numFmtId="0" fontId="12" fillId="37" borderId="160" applyNumberFormat="0" applyFont="0" applyAlignment="0" applyProtection="0"/>
    <xf numFmtId="0" fontId="76" fillId="34" borderId="165" applyNumberFormat="0" applyAlignment="0" applyProtection="0"/>
    <xf numFmtId="0" fontId="12" fillId="37" borderId="160" applyNumberFormat="0" applyFont="0" applyAlignment="0" applyProtection="0"/>
    <xf numFmtId="0" fontId="81" fillId="21" borderId="165" applyNumberFormat="0" applyAlignment="0" applyProtection="0"/>
    <xf numFmtId="0" fontId="84" fillId="34" borderId="158" applyNumberFormat="0" applyAlignment="0" applyProtection="0"/>
    <xf numFmtId="0" fontId="84" fillId="34" borderId="166" applyNumberFormat="0" applyAlignment="0" applyProtection="0"/>
    <xf numFmtId="0" fontId="5" fillId="0" borderId="159" applyNumberFormat="0" applyFill="0" applyAlignment="0" applyProtection="0"/>
    <xf numFmtId="0" fontId="84" fillId="34" borderId="162" applyNumberFormat="0" applyAlignment="0" applyProtection="0"/>
    <xf numFmtId="0" fontId="81" fillId="21" borderId="174" applyNumberFormat="0" applyAlignment="0" applyProtection="0"/>
    <xf numFmtId="0" fontId="5" fillId="0" borderId="159" applyNumberFormat="0" applyFill="0" applyAlignment="0" applyProtection="0"/>
    <xf numFmtId="0" fontId="12" fillId="37" borderId="124" applyNumberFormat="0" applyFont="0" applyAlignment="0" applyProtection="0"/>
    <xf numFmtId="0" fontId="12" fillId="37" borderId="152" applyNumberFormat="0" applyFont="0" applyAlignment="0" applyProtection="0"/>
    <xf numFmtId="0" fontId="12" fillId="37" borderId="156" applyNumberFormat="0" applyFont="0" applyAlignment="0" applyProtection="0"/>
    <xf numFmtId="0" fontId="84" fillId="34" borderId="126" applyNumberFormat="0" applyAlignment="0" applyProtection="0"/>
    <xf numFmtId="0" fontId="81" fillId="21" borderId="125" applyNumberFormat="0" applyAlignment="0" applyProtection="0"/>
    <xf numFmtId="0" fontId="81" fillId="21" borderId="125" applyNumberFormat="0" applyAlignment="0" applyProtection="0"/>
    <xf numFmtId="0" fontId="76" fillId="34" borderId="182" applyNumberFormat="0" applyAlignment="0" applyProtection="0"/>
    <xf numFmtId="0" fontId="84" fillId="34" borderId="130" applyNumberFormat="0" applyAlignment="0" applyProtection="0"/>
    <xf numFmtId="0" fontId="12" fillId="37" borderId="156" applyNumberFormat="0" applyFont="0" applyAlignment="0" applyProtection="0"/>
    <xf numFmtId="0" fontId="84" fillId="34" borderId="158" applyNumberFormat="0" applyAlignment="0" applyProtection="0"/>
    <xf numFmtId="0" fontId="84" fillId="34" borderId="158" applyNumberFormat="0" applyAlignment="0" applyProtection="0"/>
    <xf numFmtId="0" fontId="5" fillId="0" borderId="167" applyNumberFormat="0" applyFill="0" applyAlignment="0" applyProtection="0"/>
    <xf numFmtId="0" fontId="76" fillId="34" borderId="182"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76" fillId="34" borderId="125" applyNumberFormat="0" applyAlignment="0" applyProtection="0"/>
    <xf numFmtId="0" fontId="84" fillId="34" borderId="126" applyNumberFormat="0" applyAlignment="0" applyProtection="0"/>
    <xf numFmtId="0" fontId="12" fillId="37" borderId="160" applyNumberFormat="0" applyFont="0" applyAlignment="0" applyProtection="0"/>
    <xf numFmtId="0" fontId="84" fillId="34" borderId="162" applyNumberFormat="0" applyAlignment="0" applyProtection="0"/>
    <xf numFmtId="0" fontId="12" fillId="37" borderId="164" applyNumberFormat="0" applyFont="0" applyAlignment="0" applyProtection="0"/>
    <xf numFmtId="0" fontId="12" fillId="37" borderId="124" applyNumberFormat="0" applyFont="0" applyAlignment="0" applyProtection="0"/>
    <xf numFmtId="0" fontId="5" fillId="0" borderId="159" applyNumberFormat="0" applyFill="0" applyAlignment="0" applyProtection="0"/>
    <xf numFmtId="0" fontId="81" fillId="21" borderId="165" applyNumberFormat="0" applyAlignment="0" applyProtection="0"/>
    <xf numFmtId="0" fontId="84" fillId="34" borderId="146" applyNumberFormat="0" applyAlignment="0" applyProtection="0"/>
    <xf numFmtId="0" fontId="5" fillId="0" borderId="167" applyNumberFormat="0" applyFill="0" applyAlignment="0" applyProtection="0"/>
    <xf numFmtId="0" fontId="12" fillId="37" borderId="160" applyNumberFormat="0" applyFont="0" applyAlignment="0" applyProtection="0"/>
    <xf numFmtId="0" fontId="76" fillId="34" borderId="149" applyNumberFormat="0" applyAlignment="0" applyProtection="0"/>
    <xf numFmtId="0" fontId="12" fillId="37" borderId="144" applyNumberFormat="0" applyFont="0" applyAlignment="0" applyProtection="0"/>
    <xf numFmtId="0" fontId="81" fillId="21" borderId="125" applyNumberFormat="0" applyAlignment="0" applyProtection="0"/>
    <xf numFmtId="0" fontId="84" fillId="34" borderId="154" applyNumberFormat="0" applyAlignment="0" applyProtection="0"/>
    <xf numFmtId="0" fontId="5" fillId="0" borderId="159" applyNumberFormat="0" applyFill="0" applyAlignment="0" applyProtection="0"/>
    <xf numFmtId="0" fontId="76" fillId="34" borderId="157" applyNumberFormat="0" applyAlignment="0" applyProtection="0"/>
    <xf numFmtId="0" fontId="12" fillId="37" borderId="156" applyNumberFormat="0" applyFont="0" applyAlignment="0" applyProtection="0"/>
    <xf numFmtId="0" fontId="12" fillId="37" borderId="164"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26" applyNumberFormat="0" applyAlignment="0" applyProtection="0"/>
    <xf numFmtId="0" fontId="12" fillId="37" borderId="124" applyNumberFormat="0" applyFont="0" applyAlignment="0" applyProtection="0"/>
    <xf numFmtId="0" fontId="12" fillId="37" borderId="132" applyNumberFormat="0" applyFont="0" applyAlignment="0" applyProtection="0"/>
    <xf numFmtId="0" fontId="5" fillId="0" borderId="171" applyNumberFormat="0" applyFill="0" applyAlignment="0" applyProtection="0"/>
    <xf numFmtId="0" fontId="12" fillId="37" borderId="164" applyNumberFormat="0" applyFont="0" applyAlignment="0" applyProtection="0"/>
    <xf numFmtId="0" fontId="84" fillId="34" borderId="150" applyNumberFormat="0" applyAlignment="0" applyProtection="0"/>
    <xf numFmtId="0" fontId="84" fillId="34" borderId="146" applyNumberFormat="0" applyAlignment="0" applyProtection="0"/>
    <xf numFmtId="0" fontId="76" fillId="34" borderId="141" applyNumberFormat="0" applyAlignment="0" applyProtection="0"/>
    <xf numFmtId="0" fontId="5" fillId="0" borderId="127" applyNumberFormat="0" applyFill="0" applyAlignment="0" applyProtection="0"/>
    <xf numFmtId="0" fontId="5" fillId="0" borderId="159" applyNumberFormat="0" applyFill="0" applyAlignment="0" applyProtection="0"/>
    <xf numFmtId="0" fontId="76" fillId="34" borderId="129" applyNumberFormat="0" applyAlignment="0" applyProtection="0"/>
    <xf numFmtId="0" fontId="81" fillId="21" borderId="133" applyNumberFormat="0" applyAlignment="0" applyProtection="0"/>
    <xf numFmtId="0" fontId="84" fillId="34" borderId="162" applyNumberFormat="0" applyAlignment="0" applyProtection="0"/>
    <xf numFmtId="0" fontId="81" fillId="21" borderId="157" applyNumberFormat="0" applyAlignment="0" applyProtection="0"/>
    <xf numFmtId="0" fontId="12" fillId="37" borderId="156" applyNumberFormat="0" applyFont="0" applyAlignment="0" applyProtection="0"/>
    <xf numFmtId="0" fontId="76" fillId="34" borderId="125" applyNumberFormat="0" applyAlignment="0" applyProtection="0"/>
    <xf numFmtId="0" fontId="81" fillId="21" borderId="157" applyNumberFormat="0" applyAlignment="0" applyProtection="0"/>
    <xf numFmtId="0" fontId="12" fillId="37" borderId="148" applyNumberFormat="0" applyFont="0" applyAlignment="0" applyProtection="0"/>
    <xf numFmtId="0" fontId="76" fillId="34" borderId="125" applyNumberFormat="0" applyAlignment="0" applyProtection="0"/>
    <xf numFmtId="0" fontId="76" fillId="34" borderId="153" applyNumberFormat="0" applyAlignment="0" applyProtection="0"/>
    <xf numFmtId="0" fontId="12" fillId="37" borderId="160" applyNumberFormat="0" applyFont="0" applyAlignment="0" applyProtection="0"/>
    <xf numFmtId="0" fontId="12" fillId="37" borderId="152" applyNumberFormat="0" applyFont="0" applyAlignment="0" applyProtection="0"/>
    <xf numFmtId="0" fontId="84" fillId="34" borderId="134" applyNumberFormat="0" applyAlignment="0" applyProtection="0"/>
    <xf numFmtId="0" fontId="81" fillId="21" borderId="133" applyNumberFormat="0" applyAlignment="0" applyProtection="0"/>
    <xf numFmtId="0" fontId="12" fillId="37" borderId="148" applyNumberFormat="0" applyFont="0" applyAlignment="0" applyProtection="0"/>
    <xf numFmtId="0" fontId="81" fillId="21" borderId="157" applyNumberFormat="0" applyAlignment="0" applyProtection="0"/>
    <xf numFmtId="0" fontId="84" fillId="34" borderId="146" applyNumberFormat="0" applyAlignment="0" applyProtection="0"/>
    <xf numFmtId="0" fontId="76" fillId="34" borderId="157" applyNumberFormat="0" applyAlignment="0" applyProtection="0"/>
    <xf numFmtId="0" fontId="12" fillId="37" borderId="156" applyNumberFormat="0" applyFont="0" applyAlignment="0" applyProtection="0"/>
    <xf numFmtId="0" fontId="5" fillId="0" borderId="151" applyNumberFormat="0" applyFill="0" applyAlignment="0" applyProtection="0"/>
    <xf numFmtId="0" fontId="5" fillId="0" borderId="180" applyNumberFormat="0" applyFill="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36" applyNumberFormat="0" applyFont="0" applyAlignment="0" applyProtection="0"/>
    <xf numFmtId="0" fontId="12" fillId="37" borderId="160" applyNumberFormat="0" applyFont="0" applyAlignment="0" applyProtection="0"/>
    <xf numFmtId="0" fontId="84" fillId="34" borderId="154" applyNumberForma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5" fillId="0" borderId="135" applyNumberFormat="0" applyFill="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76" fillId="34"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84" fillId="34" borderId="134" applyNumberFormat="0" applyAlignment="0" applyProtection="0"/>
    <xf numFmtId="0" fontId="5" fillId="0" borderId="135" applyNumberFormat="0" applyFill="0" applyAlignment="0" applyProtection="0"/>
    <xf numFmtId="0" fontId="81" fillId="21" borderId="133" applyNumberFormat="0" applyAlignment="0" applyProtection="0"/>
    <xf numFmtId="0" fontId="12" fillId="37" borderId="132" applyNumberFormat="0" applyFont="0" applyAlignment="0" applyProtection="0"/>
    <xf numFmtId="0" fontId="81" fillId="21" borderId="133" applyNumberFormat="0" applyAlignment="0" applyProtection="0"/>
    <xf numFmtId="0" fontId="81" fillId="21" borderId="133" applyNumberFormat="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84" fillId="34" borderId="134" applyNumberFormat="0" applyAlignment="0" applyProtection="0"/>
    <xf numFmtId="0" fontId="5" fillId="0" borderId="135" applyNumberFormat="0" applyFill="0" applyAlignment="0" applyProtection="0"/>
    <xf numFmtId="0" fontId="5" fillId="0" borderId="135" applyNumberFormat="0" applyFill="0" applyAlignment="0" applyProtection="0"/>
    <xf numFmtId="0" fontId="84" fillId="34" borderId="134"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60" applyNumberFormat="0" applyFont="0" applyAlignment="0" applyProtection="0"/>
    <xf numFmtId="0" fontId="76" fillId="34" borderId="133" applyNumberFormat="0" applyAlignment="0" applyProtection="0"/>
    <xf numFmtId="0" fontId="84" fillId="34" borderId="134" applyNumberFormat="0" applyAlignment="0" applyProtection="0"/>
    <xf numFmtId="0" fontId="12" fillId="37" borderId="132" applyNumberFormat="0" applyFont="0" applyAlignment="0" applyProtection="0"/>
    <xf numFmtId="0" fontId="81" fillId="21" borderId="133" applyNumberFormat="0" applyAlignment="0" applyProtection="0"/>
    <xf numFmtId="0" fontId="76" fillId="34" borderId="133" applyNumberFormat="0" applyAlignment="0" applyProtection="0"/>
    <xf numFmtId="0" fontId="76" fillId="34" borderId="133" applyNumberFormat="0" applyAlignment="0" applyProtection="0"/>
    <xf numFmtId="0" fontId="76" fillId="34" borderId="133" applyNumberFormat="0" applyAlignment="0" applyProtection="0"/>
    <xf numFmtId="0" fontId="81" fillId="21" borderId="133" applyNumberFormat="0" applyAlignment="0" applyProtection="0"/>
    <xf numFmtId="0" fontId="81" fillId="21"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5" fillId="0" borderId="135" applyNumberFormat="0" applyFill="0" applyAlignment="0" applyProtection="0"/>
    <xf numFmtId="0" fontId="5" fillId="0" borderId="135" applyNumberFormat="0" applyFill="0" applyAlignment="0" applyProtection="0"/>
    <xf numFmtId="0" fontId="12" fillId="37" borderId="132" applyNumberFormat="0" applyFont="0" applyAlignment="0" applyProtection="0"/>
    <xf numFmtId="0" fontId="12" fillId="37" borderId="132" applyNumberFormat="0" applyFont="0" applyAlignment="0" applyProtection="0"/>
    <xf numFmtId="0" fontId="76" fillId="34" borderId="133" applyNumberForma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4" applyNumberFormat="0" applyAlignment="0" applyProtection="0"/>
    <xf numFmtId="0" fontId="12" fillId="37" borderId="132" applyNumberFormat="0" applyFont="0" applyAlignment="0" applyProtection="0"/>
    <xf numFmtId="0" fontId="81" fillId="21" borderId="133" applyNumberForma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84" fillId="34" borderId="138" applyNumberFormat="0" applyAlignment="0" applyProtection="0"/>
    <xf numFmtId="0" fontId="76" fillId="34" borderId="137" applyNumberFormat="0" applyAlignment="0" applyProtection="0"/>
    <xf numFmtId="0" fontId="12" fillId="37" borderId="132" applyNumberFormat="0" applyFont="0" applyAlignment="0" applyProtection="0"/>
    <xf numFmtId="0" fontId="84" fillId="34" borderId="134" applyNumberFormat="0" applyAlignment="0" applyProtection="0"/>
    <xf numFmtId="0" fontId="12" fillId="37" borderId="132" applyNumberFormat="0" applyFont="0" applyAlignment="0" applyProtection="0"/>
    <xf numFmtId="0" fontId="76" fillId="34" borderId="133"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5" fillId="0" borderId="135" applyNumberFormat="0" applyFill="0" applyAlignment="0" applyProtection="0"/>
    <xf numFmtId="0" fontId="84" fillId="34" borderId="134" applyNumberFormat="0" applyAlignment="0" applyProtection="0"/>
    <xf numFmtId="0" fontId="84" fillId="34" borderId="134" applyNumberFormat="0" applyAlignment="0" applyProtection="0"/>
    <xf numFmtId="0" fontId="12" fillId="37" borderId="132" applyNumberFormat="0" applyFont="0" applyAlignment="0" applyProtection="0"/>
    <xf numFmtId="0" fontId="12" fillId="37" borderId="132" applyNumberFormat="0" applyFont="0" applyAlignment="0" applyProtection="0"/>
    <xf numFmtId="0" fontId="81" fillId="21" borderId="133" applyNumberFormat="0" applyAlignment="0" applyProtection="0"/>
    <xf numFmtId="0" fontId="81" fillId="21" borderId="133" applyNumberFormat="0" applyAlignment="0" applyProtection="0"/>
    <xf numFmtId="0" fontId="76" fillId="34" borderId="133" applyNumberFormat="0" applyAlignment="0" applyProtection="0"/>
    <xf numFmtId="0" fontId="76" fillId="34" borderId="133" applyNumberFormat="0" applyAlignment="0" applyProtection="0"/>
    <xf numFmtId="0" fontId="84" fillId="34" borderId="134" applyNumberFormat="0" applyAlignment="0" applyProtection="0"/>
    <xf numFmtId="0" fontId="5" fillId="0" borderId="135" applyNumberFormat="0" applyFill="0" applyAlignment="0" applyProtection="0"/>
    <xf numFmtId="0" fontId="84" fillId="34" borderId="138" applyNumberFormat="0" applyAlignment="0" applyProtection="0"/>
    <xf numFmtId="0" fontId="5" fillId="0" borderId="135" applyNumberFormat="0" applyFill="0" applyAlignment="0" applyProtection="0"/>
    <xf numFmtId="0" fontId="12" fillId="37" borderId="132" applyNumberFormat="0" applyFont="0" applyAlignment="0" applyProtection="0"/>
    <xf numFmtId="0" fontId="5" fillId="0" borderId="135" applyNumberFormat="0" applyFill="0" applyAlignment="0" applyProtection="0"/>
    <xf numFmtId="0" fontId="12" fillId="37" borderId="132" applyNumberFormat="0" applyFont="0" applyAlignment="0" applyProtection="0"/>
    <xf numFmtId="0" fontId="81" fillId="21" borderId="133" applyNumberFormat="0" applyAlignment="0" applyProtection="0"/>
    <xf numFmtId="0" fontId="12" fillId="37" borderId="132" applyNumberFormat="0" applyFont="0" applyAlignment="0" applyProtection="0"/>
    <xf numFmtId="0" fontId="76" fillId="34" borderId="133" applyNumberFormat="0" applyAlignment="0" applyProtection="0"/>
    <xf numFmtId="0" fontId="81" fillId="21" borderId="133" applyNumberFormat="0" applyAlignment="0" applyProtection="0"/>
    <xf numFmtId="0" fontId="12" fillId="37" borderId="136" applyNumberFormat="0" applyFont="0" applyAlignment="0" applyProtection="0"/>
    <xf numFmtId="0" fontId="81" fillId="21" borderId="133" applyNumberFormat="0" applyAlignment="0" applyProtection="0"/>
    <xf numFmtId="0" fontId="76" fillId="34" borderId="165" applyNumberFormat="0" applyAlignment="0" applyProtection="0"/>
    <xf numFmtId="0" fontId="5" fillId="0" borderId="135" applyNumberFormat="0" applyFill="0" applyAlignment="0" applyProtection="0"/>
    <xf numFmtId="0" fontId="81" fillId="21" borderId="133" applyNumberFormat="0" applyAlignment="0" applyProtection="0"/>
    <xf numFmtId="0" fontId="84" fillId="34" borderId="134" applyNumberFormat="0" applyAlignment="0" applyProtection="0"/>
    <xf numFmtId="0" fontId="81" fillId="21" borderId="137" applyNumberFormat="0" applyAlignment="0" applyProtection="0"/>
    <xf numFmtId="0" fontId="76" fillId="34" borderId="133" applyNumberFormat="0" applyAlignment="0" applyProtection="0"/>
    <xf numFmtId="0" fontId="12" fillId="37" borderId="156" applyNumberFormat="0" applyFont="0" applyAlignment="0" applyProtection="0"/>
    <xf numFmtId="0" fontId="12" fillId="37" borderId="132" applyNumberFormat="0" applyFont="0" applyAlignment="0" applyProtection="0"/>
    <xf numFmtId="0" fontId="84" fillId="34" borderId="134" applyNumberFormat="0" applyAlignment="0" applyProtection="0"/>
    <xf numFmtId="0" fontId="76" fillId="34" borderId="133" applyNumberFormat="0" applyAlignment="0" applyProtection="0"/>
    <xf numFmtId="0" fontId="76" fillId="34" borderId="165" applyNumberFormat="0" applyAlignment="0" applyProtection="0"/>
    <xf numFmtId="0" fontId="12" fillId="37" borderId="156" applyNumberFormat="0" applyFont="0" applyAlignment="0" applyProtection="0"/>
    <xf numFmtId="0" fontId="5" fillId="0" borderId="159" applyNumberFormat="0" applyFill="0" applyAlignment="0" applyProtection="0"/>
    <xf numFmtId="0" fontId="5" fillId="0" borderId="163" applyNumberFormat="0" applyFill="0" applyAlignment="0" applyProtection="0"/>
    <xf numFmtId="0" fontId="84" fillId="34" borderId="183" applyNumberFormat="0" applyAlignment="0" applyProtection="0"/>
    <xf numFmtId="0" fontId="84" fillId="34" borderId="162" applyNumberFormat="0" applyAlignment="0" applyProtection="0"/>
    <xf numFmtId="0" fontId="76" fillId="34" borderId="153" applyNumberFormat="0" applyAlignment="0" applyProtection="0"/>
    <xf numFmtId="0" fontId="81" fillId="21" borderId="161" applyNumberFormat="0" applyAlignment="0" applyProtection="0"/>
    <xf numFmtId="0" fontId="12" fillId="37" borderId="160" applyNumberFormat="0" applyFont="0" applyAlignment="0" applyProtection="0"/>
    <xf numFmtId="0" fontId="81" fillId="21" borderId="145" applyNumberFormat="0" applyAlignment="0" applyProtection="0"/>
    <xf numFmtId="0" fontId="81" fillId="21" borderId="145" applyNumberFormat="0" applyAlignment="0" applyProtection="0"/>
    <xf numFmtId="0" fontId="84" fillId="34" borderId="138" applyNumberFormat="0" applyAlignment="0" applyProtection="0"/>
    <xf numFmtId="0" fontId="81" fillId="21" borderId="137" applyNumberFormat="0" applyAlignment="0" applyProtection="0"/>
    <xf numFmtId="0" fontId="12" fillId="37" borderId="152" applyNumberFormat="0" applyFont="0" applyAlignment="0" applyProtection="0"/>
    <xf numFmtId="0" fontId="84" fillId="34" borderId="150" applyNumberFormat="0" applyAlignment="0" applyProtection="0"/>
    <xf numFmtId="0" fontId="81" fillId="21" borderId="149" applyNumberFormat="0" applyAlignment="0" applyProtection="0"/>
    <xf numFmtId="0" fontId="76" fillId="34" borderId="157" applyNumberFormat="0" applyAlignment="0" applyProtection="0"/>
    <xf numFmtId="0" fontId="76" fillId="34" borderId="174" applyNumberFormat="0" applyAlignment="0" applyProtection="0"/>
    <xf numFmtId="0" fontId="12" fillId="37" borderId="140" applyNumberFormat="0" applyFont="0" applyAlignment="0" applyProtection="0"/>
    <xf numFmtId="0" fontId="12" fillId="37" borderId="160" applyNumberFormat="0" applyFon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5" fillId="0" borderId="139"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76" fillId="34"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4" fillId="34" borderId="138" applyNumberFormat="0" applyAlignment="0" applyProtection="0"/>
    <xf numFmtId="0" fontId="5" fillId="0" borderId="139" applyNumberFormat="0" applyFill="0" applyAlignment="0" applyProtection="0"/>
    <xf numFmtId="0" fontId="81" fillId="21" borderId="137" applyNumberFormat="0" applyAlignment="0" applyProtection="0"/>
    <xf numFmtId="0" fontId="12" fillId="37" borderId="136" applyNumberFormat="0" applyFont="0" applyAlignment="0" applyProtection="0"/>
    <xf numFmtId="0" fontId="81" fillId="21" borderId="137" applyNumberFormat="0" applyAlignment="0" applyProtection="0"/>
    <xf numFmtId="0" fontId="81" fillId="21" borderId="137" applyNumberFormat="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39" applyNumberFormat="0" applyFill="0" applyAlignment="0" applyProtection="0"/>
    <xf numFmtId="0" fontId="84" fillId="34" borderId="138"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84" applyNumberFormat="0" applyFill="0" applyAlignment="0" applyProtection="0"/>
    <xf numFmtId="0" fontId="76" fillId="34" borderId="137" applyNumberFormat="0" applyAlignment="0" applyProtection="0"/>
    <xf numFmtId="0" fontId="84" fillId="34" borderId="138" applyNumberFormat="0" applyAlignment="0" applyProtection="0"/>
    <xf numFmtId="0" fontId="12" fillId="37" borderId="136" applyNumberFormat="0" applyFont="0" applyAlignment="0" applyProtection="0"/>
    <xf numFmtId="0" fontId="81" fillId="21" borderId="137" applyNumberFormat="0" applyAlignment="0" applyProtection="0"/>
    <xf numFmtId="0" fontId="76" fillId="34" borderId="137" applyNumberFormat="0" applyAlignment="0" applyProtection="0"/>
    <xf numFmtId="0" fontId="76" fillId="34" borderId="137" applyNumberFormat="0" applyAlignment="0" applyProtection="0"/>
    <xf numFmtId="0" fontId="76" fillId="34" borderId="137" applyNumberFormat="0" applyAlignment="0" applyProtection="0"/>
    <xf numFmtId="0" fontId="81" fillId="21" borderId="137" applyNumberFormat="0" applyAlignment="0" applyProtection="0"/>
    <xf numFmtId="0" fontId="81" fillId="21"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12" fillId="37" borderId="136" applyNumberFormat="0" applyFont="0" applyAlignment="0" applyProtection="0"/>
    <xf numFmtId="0" fontId="76" fillId="34" borderId="137" applyNumberForma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84" fillId="34" borderId="138" applyNumberFormat="0" applyAlignment="0" applyProtection="0"/>
    <xf numFmtId="0" fontId="12" fillId="37" borderId="136" applyNumberFormat="0" applyFont="0" applyAlignment="0" applyProtection="0"/>
    <xf numFmtId="0" fontId="81" fillId="21" borderId="137" applyNumberForma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12" fillId="37" borderId="164" applyNumberFormat="0" applyFont="0" applyAlignment="0" applyProtection="0"/>
    <xf numFmtId="0" fontId="12" fillId="37" borderId="136" applyNumberFormat="0" applyFont="0" applyAlignment="0" applyProtection="0"/>
    <xf numFmtId="0" fontId="84" fillId="34" borderId="138" applyNumberFormat="0" applyAlignment="0" applyProtection="0"/>
    <xf numFmtId="0" fontId="12" fillId="37" borderId="136" applyNumberFormat="0" applyFont="0" applyAlignment="0" applyProtection="0"/>
    <xf numFmtId="0" fontId="76" fillId="34" borderId="137"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5" fillId="0" borderId="139" applyNumberFormat="0" applyFill="0" applyAlignment="0" applyProtection="0"/>
    <xf numFmtId="0" fontId="84" fillId="34" borderId="138" applyNumberFormat="0" applyAlignment="0" applyProtection="0"/>
    <xf numFmtId="0" fontId="84" fillId="34" borderId="138" applyNumberFormat="0" applyAlignment="0" applyProtection="0"/>
    <xf numFmtId="0" fontId="12" fillId="37" borderId="136" applyNumberFormat="0" applyFont="0" applyAlignment="0" applyProtection="0"/>
    <xf numFmtId="0" fontId="12" fillId="37" borderId="136" applyNumberFormat="0" applyFont="0" applyAlignment="0" applyProtection="0"/>
    <xf numFmtId="0" fontId="81" fillId="21" borderId="137" applyNumberFormat="0" applyAlignment="0" applyProtection="0"/>
    <xf numFmtId="0" fontId="81" fillId="21" borderId="137" applyNumberFormat="0" applyAlignment="0" applyProtection="0"/>
    <xf numFmtId="0" fontId="76" fillId="34" borderId="137" applyNumberFormat="0" applyAlignment="0" applyProtection="0"/>
    <xf numFmtId="0" fontId="76" fillId="34" borderId="137" applyNumberFormat="0" applyAlignment="0" applyProtection="0"/>
    <xf numFmtId="0" fontId="84" fillId="34" borderId="138" applyNumberFormat="0" applyAlignment="0" applyProtection="0"/>
    <xf numFmtId="0" fontId="5" fillId="0" borderId="139" applyNumberFormat="0" applyFill="0" applyAlignment="0" applyProtection="0"/>
    <xf numFmtId="0" fontId="5" fillId="0" borderId="155" applyNumberFormat="0" applyFill="0" applyAlignment="0" applyProtection="0"/>
    <xf numFmtId="0" fontId="5" fillId="0" borderId="139" applyNumberFormat="0" applyFill="0" applyAlignment="0" applyProtection="0"/>
    <xf numFmtId="0" fontId="12" fillId="37" borderId="136" applyNumberFormat="0" applyFont="0" applyAlignment="0" applyProtection="0"/>
    <xf numFmtId="0" fontId="5" fillId="0" borderId="139" applyNumberFormat="0" applyFill="0" applyAlignment="0" applyProtection="0"/>
    <xf numFmtId="0" fontId="12" fillId="37" borderId="136" applyNumberFormat="0" applyFont="0" applyAlignment="0" applyProtection="0"/>
    <xf numFmtId="0" fontId="81" fillId="21" borderId="137" applyNumberFormat="0" applyAlignment="0" applyProtection="0"/>
    <xf numFmtId="0" fontId="12" fillId="37" borderId="136" applyNumberFormat="0" applyFont="0" applyAlignment="0" applyProtection="0"/>
    <xf numFmtId="0" fontId="76" fillId="34" borderId="137" applyNumberFormat="0" applyAlignment="0" applyProtection="0"/>
    <xf numFmtId="0" fontId="81" fillId="21" borderId="137" applyNumberFormat="0" applyAlignment="0" applyProtection="0"/>
    <xf numFmtId="0" fontId="12" fillId="37" borderId="160" applyNumberFormat="0" applyFont="0" applyAlignment="0" applyProtection="0"/>
    <xf numFmtId="0" fontId="81" fillId="21" borderId="137" applyNumberFormat="0" applyAlignment="0" applyProtection="0"/>
    <xf numFmtId="0" fontId="5" fillId="0" borderId="139" applyNumberFormat="0" applyFill="0" applyAlignment="0" applyProtection="0"/>
    <xf numFmtId="0" fontId="81" fillId="21" borderId="137" applyNumberFormat="0" applyAlignment="0" applyProtection="0"/>
    <xf numFmtId="0" fontId="84" fillId="34" borderId="138" applyNumberFormat="0" applyAlignment="0" applyProtection="0"/>
    <xf numFmtId="0" fontId="12" fillId="37" borderId="164" applyNumberFormat="0" applyFont="0" applyAlignment="0" applyProtection="0"/>
    <xf numFmtId="0" fontId="76" fillId="34" borderId="137" applyNumberFormat="0" applyAlignment="0" applyProtection="0"/>
    <xf numFmtId="0" fontId="84" fillId="34" borderId="175" applyNumberFormat="0" applyAlignment="0" applyProtection="0"/>
    <xf numFmtId="0" fontId="12" fillId="37" borderId="136" applyNumberFormat="0" applyFont="0" applyAlignment="0" applyProtection="0"/>
    <xf numFmtId="0" fontId="84" fillId="34" borderId="138" applyNumberFormat="0" applyAlignment="0" applyProtection="0"/>
    <xf numFmtId="0" fontId="76" fillId="34" borderId="137" applyNumberFormat="0" applyAlignment="0" applyProtection="0"/>
    <xf numFmtId="0" fontId="84" fillId="34" borderId="158" applyNumberFormat="0" applyAlignment="0" applyProtection="0"/>
    <xf numFmtId="0" fontId="12" fillId="37" borderId="156" applyNumberFormat="0" applyFont="0" applyAlignment="0" applyProtection="0"/>
    <xf numFmtId="0" fontId="5" fillId="0" borderId="163" applyNumberFormat="0" applyFill="0" applyAlignment="0" applyProtection="0"/>
    <xf numFmtId="0" fontId="12" fillId="37" borderId="164" applyNumberFormat="0" applyFont="0" applyAlignment="0" applyProtection="0"/>
    <xf numFmtId="0" fontId="5" fillId="0" borderId="167" applyNumberFormat="0" applyFill="0" applyAlignment="0" applyProtection="0"/>
    <xf numFmtId="0" fontId="12" fillId="37" borderId="156" applyNumberFormat="0" applyFon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5" fillId="0" borderId="143" applyNumberFormat="0" applyFill="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84" fillId="34" borderId="142" applyNumberFormat="0" applyAlignment="0" applyProtection="0"/>
    <xf numFmtId="0" fontId="5" fillId="0" borderId="143" applyNumberFormat="0" applyFill="0" applyAlignment="0" applyProtection="0"/>
    <xf numFmtId="0" fontId="81" fillId="21" borderId="141" applyNumberFormat="0" applyAlignment="0" applyProtection="0"/>
    <xf numFmtId="0" fontId="12" fillId="37" borderId="140" applyNumberFormat="0" applyFont="0" applyAlignment="0" applyProtection="0"/>
    <xf numFmtId="0" fontId="81" fillId="21" borderId="141" applyNumberFormat="0" applyAlignment="0" applyProtection="0"/>
    <xf numFmtId="0" fontId="81" fillId="21" borderId="141" applyNumberFormat="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84" fillId="34" borderId="142" applyNumberFormat="0" applyAlignment="0" applyProtection="0"/>
    <xf numFmtId="0" fontId="5" fillId="0" borderId="143" applyNumberFormat="0" applyFill="0" applyAlignment="0" applyProtection="0"/>
    <xf numFmtId="0" fontId="5" fillId="0" borderId="143" applyNumberFormat="0" applyFill="0" applyAlignment="0" applyProtection="0"/>
    <xf numFmtId="0" fontId="84" fillId="34" borderId="142"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57" applyNumberFormat="0" applyAlignment="0" applyProtection="0"/>
    <xf numFmtId="0" fontId="76" fillId="34" borderId="141" applyNumberFormat="0" applyAlignment="0" applyProtection="0"/>
    <xf numFmtId="0" fontId="84" fillId="34" borderId="142" applyNumberFormat="0" applyAlignment="0" applyProtection="0"/>
    <xf numFmtId="0" fontId="12" fillId="37" borderId="140" applyNumberFormat="0" applyFont="0" applyAlignment="0" applyProtection="0"/>
    <xf numFmtId="0" fontId="81" fillId="21" borderId="141" applyNumberFormat="0" applyAlignment="0" applyProtection="0"/>
    <xf numFmtId="0" fontId="76" fillId="34" borderId="141" applyNumberFormat="0" applyAlignment="0" applyProtection="0"/>
    <xf numFmtId="0" fontId="76" fillId="34" borderId="141" applyNumberFormat="0" applyAlignment="0" applyProtection="0"/>
    <xf numFmtId="0" fontId="76" fillId="34" borderId="141" applyNumberFormat="0" applyAlignment="0" applyProtection="0"/>
    <xf numFmtId="0" fontId="81" fillId="21" borderId="141" applyNumberFormat="0" applyAlignment="0" applyProtection="0"/>
    <xf numFmtId="0" fontId="81" fillId="21"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5" fillId="0" borderId="143" applyNumberFormat="0" applyFill="0" applyAlignment="0" applyProtection="0"/>
    <xf numFmtId="0" fontId="5" fillId="0" borderId="143" applyNumberFormat="0" applyFill="0" applyAlignment="0" applyProtection="0"/>
    <xf numFmtId="0" fontId="12" fillId="37" borderId="140" applyNumberFormat="0" applyFont="0" applyAlignment="0" applyProtection="0"/>
    <xf numFmtId="0" fontId="12" fillId="37" borderId="140" applyNumberFormat="0" applyFont="0" applyAlignment="0" applyProtection="0"/>
    <xf numFmtId="0" fontId="76" fillId="34" borderId="141" applyNumberForma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84" fillId="34" borderId="142" applyNumberFormat="0" applyAlignment="0" applyProtection="0"/>
    <xf numFmtId="0" fontId="12" fillId="37" borderId="140" applyNumberFormat="0" applyFont="0" applyAlignment="0" applyProtection="0"/>
    <xf numFmtId="0" fontId="81" fillId="21" borderId="141" applyNumberForma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4" fillId="34" borderId="142" applyNumberFormat="0" applyAlignment="0" applyProtection="0"/>
    <xf numFmtId="0" fontId="12" fillId="37" borderId="164" applyNumberFormat="0" applyFont="0" applyAlignment="0" applyProtection="0"/>
    <xf numFmtId="0" fontId="84" fillId="34" borderId="158" applyNumberFormat="0" applyAlignment="0" applyProtection="0"/>
    <xf numFmtId="0" fontId="12" fillId="37" borderId="140" applyNumberFormat="0" applyFont="0" applyAlignment="0" applyProtection="0"/>
    <xf numFmtId="0" fontId="84" fillId="34" borderId="142" applyNumberFormat="0" applyAlignment="0" applyProtection="0"/>
    <xf numFmtId="0" fontId="12" fillId="37" borderId="140" applyNumberFormat="0" applyFont="0" applyAlignment="0" applyProtection="0"/>
    <xf numFmtId="0" fontId="76" fillId="34" borderId="141"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5" fillId="0" borderId="143" applyNumberFormat="0" applyFill="0" applyAlignment="0" applyProtection="0"/>
    <xf numFmtId="0" fontId="84" fillId="34" borderId="142" applyNumberFormat="0" applyAlignment="0" applyProtection="0"/>
    <xf numFmtId="0" fontId="84" fillId="34" borderId="142" applyNumberFormat="0" applyAlignment="0" applyProtection="0"/>
    <xf numFmtId="0" fontId="12" fillId="37" borderId="140" applyNumberFormat="0" applyFont="0" applyAlignment="0" applyProtection="0"/>
    <xf numFmtId="0" fontId="12" fillId="37" borderId="140" applyNumberFormat="0" applyFont="0" applyAlignment="0" applyProtection="0"/>
    <xf numFmtId="0" fontId="81" fillId="21" borderId="141" applyNumberFormat="0" applyAlignment="0" applyProtection="0"/>
    <xf numFmtId="0" fontId="81" fillId="21" borderId="141" applyNumberFormat="0" applyAlignment="0" applyProtection="0"/>
    <xf numFmtId="0" fontId="76" fillId="34" borderId="141" applyNumberFormat="0" applyAlignment="0" applyProtection="0"/>
    <xf numFmtId="0" fontId="76" fillId="34" borderId="141" applyNumberFormat="0" applyAlignment="0" applyProtection="0"/>
    <xf numFmtId="0" fontId="84" fillId="34" borderId="142" applyNumberFormat="0" applyAlignment="0" applyProtection="0"/>
    <xf numFmtId="0" fontId="5" fillId="0" borderId="143" applyNumberFormat="0" applyFill="0" applyAlignment="0" applyProtection="0"/>
    <xf numFmtId="0" fontId="12" fillId="37" borderId="164"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5" fillId="0" borderId="143" applyNumberFormat="0" applyFill="0" applyAlignment="0" applyProtection="0"/>
    <xf numFmtId="0" fontId="12" fillId="37" borderId="140" applyNumberFormat="0" applyFont="0" applyAlignment="0" applyProtection="0"/>
    <xf numFmtId="0" fontId="81" fillId="21" borderId="141" applyNumberFormat="0" applyAlignment="0" applyProtection="0"/>
    <xf numFmtId="0" fontId="12" fillId="37" borderId="140" applyNumberFormat="0" applyFont="0" applyAlignment="0" applyProtection="0"/>
    <xf numFmtId="0" fontId="76" fillId="34" borderId="141" applyNumberFormat="0" applyAlignment="0" applyProtection="0"/>
    <xf numFmtId="0" fontId="81" fillId="21" borderId="141" applyNumberFormat="0" applyAlignment="0" applyProtection="0"/>
    <xf numFmtId="0" fontId="81" fillId="21" borderId="141" applyNumberFormat="0" applyAlignment="0" applyProtection="0"/>
    <xf numFmtId="0" fontId="12" fillId="37" borderId="144" applyNumberFormat="0" applyFont="0" applyAlignment="0" applyProtection="0"/>
    <xf numFmtId="0" fontId="5" fillId="0" borderId="143" applyNumberFormat="0" applyFill="0" applyAlignment="0" applyProtection="0"/>
    <xf numFmtId="0" fontId="81" fillId="21" borderId="141" applyNumberFormat="0" applyAlignment="0" applyProtection="0"/>
    <xf numFmtId="0" fontId="84" fillId="34" borderId="142" applyNumberFormat="0" applyAlignment="0" applyProtection="0"/>
    <xf numFmtId="0" fontId="76" fillId="34" borderId="157" applyNumberFormat="0" applyAlignment="0" applyProtection="0"/>
    <xf numFmtId="0" fontId="76" fillId="34" borderId="141" applyNumberFormat="0" applyAlignment="0" applyProtection="0"/>
    <xf numFmtId="0" fontId="76" fillId="34" borderId="157" applyNumberFormat="0" applyAlignment="0" applyProtection="0"/>
    <xf numFmtId="0" fontId="12" fillId="37" borderId="140" applyNumberFormat="0" applyFont="0" applyAlignment="0" applyProtection="0"/>
    <xf numFmtId="0" fontId="84" fillId="34" borderId="142" applyNumberFormat="0" applyAlignment="0" applyProtection="0"/>
    <xf numFmtId="0" fontId="76" fillId="34" borderId="141" applyNumberFormat="0" applyAlignment="0" applyProtection="0"/>
    <xf numFmtId="0" fontId="81" fillId="21" borderId="157" applyNumberFormat="0" applyAlignment="0" applyProtection="0"/>
    <xf numFmtId="0" fontId="12" fillId="37" borderId="156" applyNumberFormat="0" applyFont="0" applyAlignment="0" applyProtection="0"/>
    <xf numFmtId="0" fontId="81" fillId="21" borderId="157" applyNumberFormat="0" applyAlignment="0" applyProtection="0"/>
    <xf numFmtId="0" fontId="12" fillId="37" borderId="156" applyNumberFormat="0" applyFont="0" applyAlignment="0" applyProtection="0"/>
    <xf numFmtId="0" fontId="5" fillId="0" borderId="184" applyNumberFormat="0" applyFill="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76" fillId="34"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84" fillId="34" borderId="146" applyNumberFormat="0" applyAlignment="0" applyProtection="0"/>
    <xf numFmtId="0" fontId="5" fillId="0" borderId="147" applyNumberFormat="0" applyFill="0" applyAlignment="0" applyProtection="0"/>
    <xf numFmtId="0" fontId="81" fillId="21" borderId="145" applyNumberFormat="0" applyAlignment="0" applyProtection="0"/>
    <xf numFmtId="0" fontId="12" fillId="37" borderId="144" applyNumberFormat="0" applyFont="0" applyAlignment="0" applyProtection="0"/>
    <xf numFmtId="0" fontId="81" fillId="21" borderId="145" applyNumberFormat="0" applyAlignment="0" applyProtection="0"/>
    <xf numFmtId="0" fontId="81" fillId="21" borderId="145" applyNumberFormat="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84" fillId="34" borderId="146"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8" applyNumberFormat="0" applyFont="0" applyAlignment="0" applyProtection="0"/>
    <xf numFmtId="0" fontId="76" fillId="34" borderId="145" applyNumberFormat="0" applyAlignment="0" applyProtection="0"/>
    <xf numFmtId="0" fontId="84" fillId="34" borderId="146" applyNumberFormat="0" applyAlignment="0" applyProtection="0"/>
    <xf numFmtId="0" fontId="12" fillId="37" borderId="144" applyNumberFormat="0" applyFont="0" applyAlignment="0" applyProtection="0"/>
    <xf numFmtId="0" fontId="81" fillId="21" borderId="145" applyNumberFormat="0" applyAlignment="0" applyProtection="0"/>
    <xf numFmtId="0" fontId="76" fillId="34" borderId="145" applyNumberFormat="0" applyAlignment="0" applyProtection="0"/>
    <xf numFmtId="0" fontId="76" fillId="34" borderId="145" applyNumberFormat="0" applyAlignment="0" applyProtection="0"/>
    <xf numFmtId="0" fontId="76" fillId="34" borderId="145" applyNumberFormat="0" applyAlignment="0" applyProtection="0"/>
    <xf numFmtId="0" fontId="81" fillId="21" borderId="145" applyNumberFormat="0" applyAlignment="0" applyProtection="0"/>
    <xf numFmtId="0" fontId="81" fillId="21"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12" fillId="37" borderId="144" applyNumberFormat="0" applyFont="0" applyAlignment="0" applyProtection="0"/>
    <xf numFmtId="0" fontId="76" fillId="34" borderId="145" applyNumberFormat="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84" fillId="34" borderId="146" applyNumberFormat="0" applyAlignment="0" applyProtection="0"/>
    <xf numFmtId="0" fontId="12" fillId="37" borderId="144" applyNumberFormat="0" applyFont="0" applyAlignment="0" applyProtection="0"/>
    <xf numFmtId="0" fontId="81" fillId="21" borderId="145" applyNumberForma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12" fillId="37" borderId="152" applyNumberFormat="0" applyFont="0" applyAlignment="0" applyProtection="0"/>
    <xf numFmtId="0" fontId="12" fillId="37" borderId="144" applyNumberFormat="0" applyFont="0" applyAlignment="0" applyProtection="0"/>
    <xf numFmtId="0" fontId="84" fillId="34" borderId="146" applyNumberFormat="0" applyAlignment="0" applyProtection="0"/>
    <xf numFmtId="0" fontId="12" fillId="37" borderId="144" applyNumberFormat="0" applyFont="0" applyAlignment="0" applyProtection="0"/>
    <xf numFmtId="0" fontId="76" fillId="34" borderId="145"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5" fillId="0" borderId="147" applyNumberFormat="0" applyFill="0" applyAlignment="0" applyProtection="0"/>
    <xf numFmtId="0" fontId="84" fillId="34" borderId="146" applyNumberFormat="0" applyAlignment="0" applyProtection="0"/>
    <xf numFmtId="0" fontId="84" fillId="34" borderId="146" applyNumberFormat="0" applyAlignment="0" applyProtection="0"/>
    <xf numFmtId="0" fontId="12" fillId="37" borderId="144" applyNumberFormat="0" applyFont="0" applyAlignment="0" applyProtection="0"/>
    <xf numFmtId="0" fontId="12" fillId="37" borderId="144" applyNumberFormat="0" applyFont="0" applyAlignment="0" applyProtection="0"/>
    <xf numFmtId="0" fontId="81" fillId="21" borderId="145" applyNumberFormat="0" applyAlignment="0" applyProtection="0"/>
    <xf numFmtId="0" fontId="81" fillId="21" borderId="145" applyNumberFormat="0" applyAlignment="0" applyProtection="0"/>
    <xf numFmtId="0" fontId="76" fillId="34" borderId="145" applyNumberFormat="0" applyAlignment="0" applyProtection="0"/>
    <xf numFmtId="0" fontId="76" fillId="34" borderId="145" applyNumberFormat="0" applyAlignment="0" applyProtection="0"/>
    <xf numFmtId="0" fontId="84" fillId="34" borderId="146" applyNumberFormat="0" applyAlignment="0" applyProtection="0"/>
    <xf numFmtId="0" fontId="5" fillId="0" borderId="147" applyNumberFormat="0" applyFill="0" applyAlignment="0" applyProtection="0"/>
    <xf numFmtId="0" fontId="5" fillId="0" borderId="147" applyNumberFormat="0" applyFill="0" applyAlignment="0" applyProtection="0"/>
    <xf numFmtId="0" fontId="12" fillId="37" borderId="144" applyNumberFormat="0" applyFont="0" applyAlignment="0" applyProtection="0"/>
    <xf numFmtId="0" fontId="5" fillId="0" borderId="147" applyNumberFormat="0" applyFill="0" applyAlignment="0" applyProtection="0"/>
    <xf numFmtId="0" fontId="12" fillId="37" borderId="144" applyNumberFormat="0" applyFont="0" applyAlignment="0" applyProtection="0"/>
    <xf numFmtId="0" fontId="81" fillId="21" borderId="145" applyNumberFormat="0" applyAlignment="0" applyProtection="0"/>
    <xf numFmtId="0" fontId="12" fillId="37" borderId="144" applyNumberFormat="0" applyFont="0" applyAlignment="0" applyProtection="0"/>
    <xf numFmtId="0" fontId="76" fillId="34" borderId="145" applyNumberFormat="0" applyAlignment="0" applyProtection="0"/>
    <xf numFmtId="0" fontId="81" fillId="21" borderId="145" applyNumberFormat="0" applyAlignment="0" applyProtection="0"/>
    <xf numFmtId="0" fontId="12" fillId="37" borderId="160" applyNumberFormat="0" applyFont="0" applyAlignment="0" applyProtection="0"/>
    <xf numFmtId="0" fontId="81" fillId="21" borderId="145" applyNumberFormat="0" applyAlignment="0" applyProtection="0"/>
    <xf numFmtId="0" fontId="5" fillId="0" borderId="147" applyNumberFormat="0" applyFill="0" applyAlignment="0" applyProtection="0"/>
    <xf numFmtId="0" fontId="81" fillId="21" borderId="145" applyNumberFormat="0" applyAlignment="0" applyProtection="0"/>
    <xf numFmtId="0" fontId="84" fillId="34" borderId="146" applyNumberFormat="0" applyAlignment="0" applyProtection="0"/>
    <xf numFmtId="0" fontId="76" fillId="34" borderId="145" applyNumberFormat="0" applyAlignment="0" applyProtection="0"/>
    <xf numFmtId="0" fontId="12" fillId="37" borderId="144" applyNumberFormat="0" applyFont="0" applyAlignment="0" applyProtection="0"/>
    <xf numFmtId="0" fontId="84" fillId="34" borderId="146" applyNumberFormat="0" applyAlignment="0" applyProtection="0"/>
    <xf numFmtId="0" fontId="76" fillId="34" borderId="145"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76" fillId="34" borderId="169" applyNumberFormat="0" applyAlignment="0" applyProtection="0"/>
    <xf numFmtId="0" fontId="76" fillId="34" borderId="157" applyNumberForma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76" fillId="34"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84" fillId="34" borderId="150" applyNumberFormat="0" applyAlignment="0" applyProtection="0"/>
    <xf numFmtId="0" fontId="5" fillId="0" borderId="151" applyNumberFormat="0" applyFill="0" applyAlignment="0" applyProtection="0"/>
    <xf numFmtId="0" fontId="81" fillId="21" borderId="149" applyNumberFormat="0" applyAlignment="0" applyProtection="0"/>
    <xf numFmtId="0" fontId="12" fillId="37" borderId="148" applyNumberFormat="0" applyFont="0" applyAlignment="0" applyProtection="0"/>
    <xf numFmtId="0" fontId="81" fillId="21" borderId="149" applyNumberFormat="0" applyAlignment="0" applyProtection="0"/>
    <xf numFmtId="0" fontId="81" fillId="21" borderId="149" applyNumberFormat="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84" fillId="34" borderId="150"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56" applyNumberFormat="0" applyFont="0" applyAlignment="0" applyProtection="0"/>
    <xf numFmtId="0" fontId="76" fillId="34" borderId="149" applyNumberFormat="0" applyAlignment="0" applyProtection="0"/>
    <xf numFmtId="0" fontId="84" fillId="34" borderId="150" applyNumberFormat="0" applyAlignment="0" applyProtection="0"/>
    <xf numFmtId="0" fontId="12" fillId="37" borderId="148" applyNumberFormat="0" applyFont="0" applyAlignment="0" applyProtection="0"/>
    <xf numFmtId="0" fontId="81" fillId="21" borderId="149" applyNumberFormat="0" applyAlignment="0" applyProtection="0"/>
    <xf numFmtId="0" fontId="76" fillId="34" borderId="149" applyNumberFormat="0" applyAlignment="0" applyProtection="0"/>
    <xf numFmtId="0" fontId="76" fillId="34" borderId="149" applyNumberFormat="0" applyAlignment="0" applyProtection="0"/>
    <xf numFmtId="0" fontId="76" fillId="34" borderId="149" applyNumberFormat="0" applyAlignment="0" applyProtection="0"/>
    <xf numFmtId="0" fontId="81" fillId="21" borderId="149" applyNumberFormat="0" applyAlignment="0" applyProtection="0"/>
    <xf numFmtId="0" fontId="81" fillId="21"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12" fillId="37" borderId="148" applyNumberFormat="0" applyFont="0" applyAlignment="0" applyProtection="0"/>
    <xf numFmtId="0" fontId="76" fillId="34" borderId="149" applyNumberForma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84" fillId="34" borderId="150" applyNumberFormat="0" applyAlignment="0" applyProtection="0"/>
    <xf numFmtId="0" fontId="12" fillId="37" borderId="148" applyNumberFormat="0" applyFont="0" applyAlignment="0" applyProtection="0"/>
    <xf numFmtId="0" fontId="81" fillId="21" borderId="149" applyNumberForma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12" fillId="37" borderId="181" applyNumberFormat="0" applyFont="0" applyAlignment="0" applyProtection="0"/>
    <xf numFmtId="0" fontId="12" fillId="37" borderId="156" applyNumberFormat="0" applyFont="0" applyAlignment="0" applyProtection="0"/>
    <xf numFmtId="0" fontId="12" fillId="37" borderId="148" applyNumberFormat="0" applyFont="0" applyAlignment="0" applyProtection="0"/>
    <xf numFmtId="0" fontId="84" fillId="34" borderId="150" applyNumberFormat="0" applyAlignment="0" applyProtection="0"/>
    <xf numFmtId="0" fontId="12" fillId="37" borderId="148" applyNumberFormat="0" applyFont="0" applyAlignment="0" applyProtection="0"/>
    <xf numFmtId="0" fontId="76" fillId="34" borderId="149"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5" fillId="0" borderId="151" applyNumberFormat="0" applyFill="0" applyAlignment="0" applyProtection="0"/>
    <xf numFmtId="0" fontId="84" fillId="34" borderId="150" applyNumberFormat="0" applyAlignment="0" applyProtection="0"/>
    <xf numFmtId="0" fontId="84" fillId="34" borderId="150" applyNumberFormat="0" applyAlignment="0" applyProtection="0"/>
    <xf numFmtId="0" fontId="12" fillId="37" borderId="148" applyNumberFormat="0" applyFont="0" applyAlignment="0" applyProtection="0"/>
    <xf numFmtId="0" fontId="12" fillId="37" borderId="148" applyNumberFormat="0" applyFont="0" applyAlignment="0" applyProtection="0"/>
    <xf numFmtId="0" fontId="81" fillId="21" borderId="149" applyNumberFormat="0" applyAlignment="0" applyProtection="0"/>
    <xf numFmtId="0" fontId="81" fillId="21" borderId="149" applyNumberFormat="0" applyAlignment="0" applyProtection="0"/>
    <xf numFmtId="0" fontId="76" fillId="34" borderId="149" applyNumberFormat="0" applyAlignment="0" applyProtection="0"/>
    <xf numFmtId="0" fontId="76" fillId="34" borderId="149" applyNumberFormat="0" applyAlignment="0" applyProtection="0"/>
    <xf numFmtId="0" fontId="84" fillId="34" borderId="150" applyNumberFormat="0" applyAlignment="0" applyProtection="0"/>
    <xf numFmtId="0" fontId="5" fillId="0" borderId="151" applyNumberFormat="0" applyFill="0" applyAlignment="0" applyProtection="0"/>
    <xf numFmtId="0" fontId="5" fillId="0" borderId="151" applyNumberFormat="0" applyFill="0" applyAlignment="0" applyProtection="0"/>
    <xf numFmtId="0" fontId="12" fillId="37" borderId="148" applyNumberFormat="0" applyFont="0" applyAlignment="0" applyProtection="0"/>
    <xf numFmtId="0" fontId="5" fillId="0" borderId="151" applyNumberFormat="0" applyFill="0" applyAlignment="0" applyProtection="0"/>
    <xf numFmtId="0" fontId="12" fillId="37" borderId="148" applyNumberFormat="0" applyFont="0" applyAlignment="0" applyProtection="0"/>
    <xf numFmtId="0" fontId="81" fillId="21" borderId="149" applyNumberFormat="0" applyAlignment="0" applyProtection="0"/>
    <xf numFmtId="0" fontId="12" fillId="37" borderId="148" applyNumberFormat="0" applyFont="0" applyAlignment="0" applyProtection="0"/>
    <xf numFmtId="0" fontId="76" fillId="34" borderId="149" applyNumberFormat="0" applyAlignment="0" applyProtection="0"/>
    <xf numFmtId="0" fontId="81" fillId="21" borderId="149" applyNumberFormat="0" applyAlignment="0" applyProtection="0"/>
    <xf numFmtId="0" fontId="81" fillId="21" borderId="157" applyNumberFormat="0" applyAlignment="0" applyProtection="0"/>
    <xf numFmtId="0" fontId="81" fillId="21" borderId="149" applyNumberFormat="0" applyAlignment="0" applyProtection="0"/>
    <xf numFmtId="0" fontId="12" fillId="37" borderId="168" applyNumberFormat="0" applyFont="0" applyAlignment="0" applyProtection="0"/>
    <xf numFmtId="0" fontId="5" fillId="0" borderId="151" applyNumberFormat="0" applyFill="0" applyAlignment="0" applyProtection="0"/>
    <xf numFmtId="0" fontId="81" fillId="21" borderId="149" applyNumberFormat="0" applyAlignment="0" applyProtection="0"/>
    <xf numFmtId="0" fontId="84" fillId="34" borderId="150" applyNumberFormat="0" applyAlignment="0" applyProtection="0"/>
    <xf numFmtId="0" fontId="5" fillId="0" borderId="159" applyNumberFormat="0" applyFill="0" applyAlignment="0" applyProtection="0"/>
    <xf numFmtId="0" fontId="76" fillId="34" borderId="149" applyNumberFormat="0" applyAlignment="0" applyProtection="0"/>
    <xf numFmtId="0" fontId="84" fillId="34" borderId="158" applyNumberFormat="0" applyAlignment="0" applyProtection="0"/>
    <xf numFmtId="0" fontId="12" fillId="37" borderId="148" applyNumberFormat="0" applyFont="0" applyAlignment="0" applyProtection="0"/>
    <xf numFmtId="0" fontId="84" fillId="34" borderId="150" applyNumberFormat="0" applyAlignment="0" applyProtection="0"/>
    <xf numFmtId="0" fontId="76" fillId="34" borderId="149" applyNumberFormat="0" applyAlignment="0" applyProtection="0"/>
    <xf numFmtId="0" fontId="12" fillId="37" borderId="156" applyNumberFormat="0" applyFont="0" applyAlignment="0" applyProtection="0"/>
    <xf numFmtId="0" fontId="12" fillId="37" borderId="156"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5" fillId="0" borderId="184" applyNumberFormat="0" applyFill="0" applyAlignment="0" applyProtection="0"/>
    <xf numFmtId="0" fontId="12" fillId="37" borderId="164" applyNumberFormat="0" applyFont="0" applyAlignment="0" applyProtection="0"/>
    <xf numFmtId="0" fontId="76" fillId="34" borderId="157" applyNumberFormat="0" applyAlignment="0" applyProtection="0"/>
    <xf numFmtId="0" fontId="81" fillId="21" borderId="161" applyNumberFormat="0" applyAlignment="0" applyProtection="0"/>
    <xf numFmtId="0" fontId="5" fillId="0" borderId="163" applyNumberFormat="0" applyFill="0" applyAlignment="0" applyProtection="0"/>
    <xf numFmtId="0" fontId="84" fillId="34" borderId="183" applyNumberFormat="0" applyAlignment="0" applyProtection="0"/>
    <xf numFmtId="0" fontId="84" fillId="34" borderId="162" applyNumberFormat="0" applyAlignment="0" applyProtection="0"/>
    <xf numFmtId="0" fontId="84" fillId="34" borderId="162" applyNumberFormat="0" applyAlignment="0" applyProtection="0"/>
    <xf numFmtId="0" fontId="12" fillId="37" borderId="160" applyNumberFormat="0" applyFont="0" applyAlignment="0" applyProtection="0"/>
    <xf numFmtId="0" fontId="12" fillId="37" borderId="164" applyNumberFormat="0" applyFon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62" applyNumberFormat="0" applyAlignment="0" applyProtection="0"/>
    <xf numFmtId="0" fontId="76" fillId="34" borderId="161" applyNumberFormat="0" applyAlignment="0" applyProtection="0"/>
    <xf numFmtId="0" fontId="12" fillId="37" borderId="172" applyNumberFormat="0" applyFont="0" applyAlignment="0" applyProtection="0"/>
    <xf numFmtId="0" fontId="81" fillId="21" borderId="157" applyNumberFormat="0" applyAlignment="0" applyProtection="0"/>
    <xf numFmtId="0" fontId="5" fillId="0" borderId="159" applyNumberFormat="0" applyFill="0" applyAlignment="0" applyProtection="0"/>
    <xf numFmtId="0" fontId="81" fillId="21" borderId="182" applyNumberFormat="0" applyAlignment="0" applyProtection="0"/>
    <xf numFmtId="0" fontId="84" fillId="34" borderId="183" applyNumberFormat="0" applyAlignment="0" applyProtection="0"/>
    <xf numFmtId="0" fontId="76" fillId="34" borderId="182" applyNumberFormat="0" applyAlignment="0" applyProtection="0"/>
    <xf numFmtId="0" fontId="76" fillId="34" borderId="165" applyNumberFormat="0" applyAlignment="0" applyProtection="0"/>
    <xf numFmtId="0" fontId="5" fillId="0" borderId="176" applyNumberFormat="0" applyFill="0" applyAlignment="0" applyProtection="0"/>
    <xf numFmtId="0" fontId="81" fillId="21" borderId="186"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8" applyNumberFormat="0" applyFont="0" applyAlignment="0" applyProtection="0"/>
    <xf numFmtId="0" fontId="84" fillId="34" borderId="166" applyNumberFormat="0" applyAlignment="0" applyProtection="0"/>
    <xf numFmtId="0" fontId="81" fillId="21" borderId="161" applyNumberFormat="0" applyAlignment="0" applyProtection="0"/>
    <xf numFmtId="0" fontId="12" fillId="37" borderId="181" applyNumberFormat="0" applyFont="0" applyAlignment="0" applyProtection="0"/>
    <xf numFmtId="0" fontId="84" fillId="34" borderId="166" applyNumberFormat="0" applyAlignment="0" applyProtection="0"/>
    <xf numFmtId="0" fontId="12" fillId="37" borderId="156" applyNumberFormat="0" applyFont="0" applyAlignment="0" applyProtection="0"/>
    <xf numFmtId="0" fontId="12" fillId="37" borderId="164" applyNumberFormat="0" applyFont="0" applyAlignment="0" applyProtection="0"/>
    <xf numFmtId="0" fontId="84" fillId="34" borderId="158" applyNumberFormat="0" applyAlignment="0" applyProtection="0"/>
    <xf numFmtId="0" fontId="81" fillId="21" borderId="157" applyNumberFormat="0" applyAlignment="0" applyProtection="0"/>
    <xf numFmtId="0" fontId="81" fillId="21" borderId="157" applyNumberFormat="0" applyAlignment="0" applyProtection="0"/>
    <xf numFmtId="0" fontId="81" fillId="21" borderId="161" applyNumberFormat="0" applyAlignment="0" applyProtection="0"/>
    <xf numFmtId="0" fontId="5" fillId="0" borderId="163" applyNumberFormat="0" applyFill="0" applyAlignment="0" applyProtection="0"/>
    <xf numFmtId="0" fontId="5" fillId="0" borderId="163" applyNumberFormat="0" applyFill="0" applyAlignment="0" applyProtection="0"/>
    <xf numFmtId="0" fontId="81" fillId="21" borderId="165" applyNumberFormat="0" applyAlignment="0" applyProtection="0"/>
    <xf numFmtId="0" fontId="12" fillId="37" borderId="160" applyNumberFormat="0" applyFont="0" applyAlignment="0" applyProtection="0"/>
    <xf numFmtId="0" fontId="76" fillId="34" borderId="157" applyNumberFormat="0" applyAlignment="0" applyProtection="0"/>
    <xf numFmtId="0" fontId="84" fillId="34" borderId="158" applyNumberFormat="0" applyAlignment="0" applyProtection="0"/>
    <xf numFmtId="0" fontId="81" fillId="21" borderId="161" applyNumberFormat="0" applyAlignment="0" applyProtection="0"/>
    <xf numFmtId="0" fontId="12" fillId="37" borderId="177" applyNumberFormat="0" applyFont="0" applyAlignment="0" applyProtection="0"/>
    <xf numFmtId="0" fontId="81" fillId="21" borderId="182" applyNumberFormat="0" applyAlignment="0" applyProtection="0"/>
    <xf numFmtId="0" fontId="84" fillId="34" borderId="166" applyNumberFormat="0" applyAlignment="0" applyProtection="0"/>
    <xf numFmtId="0" fontId="5" fillId="0" borderId="167" applyNumberFormat="0" applyFill="0" applyAlignment="0" applyProtection="0"/>
    <xf numFmtId="0" fontId="12" fillId="37" borderId="156" applyNumberFormat="0" applyFont="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84" fillId="34" borderId="166" applyNumberFormat="0" applyAlignment="0" applyProtection="0"/>
    <xf numFmtId="0" fontId="12" fillId="37" borderId="173" applyNumberFormat="0" applyFont="0" applyAlignment="0" applyProtection="0"/>
    <xf numFmtId="0" fontId="5" fillId="0" borderId="163" applyNumberFormat="0" applyFill="0" applyAlignment="0" applyProtection="0"/>
    <xf numFmtId="0" fontId="81" fillId="21" borderId="157" applyNumberFormat="0" applyAlignment="0" applyProtection="0"/>
    <xf numFmtId="0" fontId="12" fillId="37" borderId="181" applyNumberFormat="0" applyFont="0" applyAlignment="0" applyProtection="0"/>
    <xf numFmtId="0" fontId="12" fillId="37" borderId="164" applyNumberFormat="0" applyFont="0" applyAlignment="0" applyProtection="0"/>
    <xf numFmtId="0" fontId="12" fillId="37" borderId="181" applyNumberFormat="0" applyFont="0" applyAlignment="0" applyProtection="0"/>
    <xf numFmtId="0" fontId="81" fillId="21" borderId="161" applyNumberFormat="0" applyAlignment="0" applyProtection="0"/>
    <xf numFmtId="0" fontId="12" fillId="37" borderId="181" applyNumberFormat="0" applyFont="0" applyAlignment="0" applyProtection="0"/>
    <xf numFmtId="0" fontId="84" fillId="34" borderId="158" applyNumberFormat="0" applyAlignment="0" applyProtection="0"/>
    <xf numFmtId="0" fontId="12" fillId="37" borderId="156" applyNumberFormat="0" applyFont="0" applyAlignment="0" applyProtection="0"/>
    <xf numFmtId="0" fontId="76" fillId="34" borderId="161" applyNumberFormat="0" applyAlignment="0" applyProtection="0"/>
    <xf numFmtId="0" fontId="84" fillId="34" borderId="166" applyNumberFormat="0" applyAlignment="0" applyProtection="0"/>
    <xf numFmtId="0" fontId="81" fillId="21" borderId="153" applyNumberFormat="0" applyAlignment="0" applyProtection="0"/>
    <xf numFmtId="0" fontId="5" fillId="0" borderId="163" applyNumberFormat="0" applyFill="0" applyAlignment="0" applyProtection="0"/>
    <xf numFmtId="0" fontId="12" fillId="37" borderId="160" applyNumberFormat="0" applyFont="0" applyAlignment="0" applyProtection="0"/>
    <xf numFmtId="0" fontId="5" fillId="0" borderId="159" applyNumberFormat="0" applyFill="0" applyAlignment="0" applyProtection="0"/>
    <xf numFmtId="0" fontId="12" fillId="37" borderId="160"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12" fillId="37" borderId="181" applyNumberFormat="0" applyFont="0" applyAlignment="0" applyProtection="0"/>
    <xf numFmtId="0" fontId="81" fillId="21" borderId="182" applyNumberFormat="0" applyAlignment="0" applyProtection="0"/>
    <xf numFmtId="0" fontId="12" fillId="37" borderId="164" applyNumberFormat="0" applyFont="0" applyAlignment="0" applyProtection="0"/>
    <xf numFmtId="0" fontId="76" fillId="34" borderId="157" applyNumberFormat="0" applyAlignment="0" applyProtection="0"/>
    <xf numFmtId="0" fontId="81" fillId="21" borderId="165" applyNumberFormat="0" applyAlignment="0" applyProtection="0"/>
    <xf numFmtId="0" fontId="76" fillId="34" borderId="157" applyNumberFormat="0" applyAlignment="0" applyProtection="0"/>
    <xf numFmtId="0" fontId="5" fillId="0" borderId="167" applyNumberFormat="0" applyFill="0" applyAlignment="0" applyProtection="0"/>
    <xf numFmtId="0" fontId="12" fillId="37" borderId="164" applyNumberFormat="0" applyFont="0" applyAlignment="0" applyProtection="0"/>
    <xf numFmtId="0" fontId="84" fillId="34" borderId="154" applyNumberFormat="0" applyAlignment="0" applyProtection="0"/>
    <xf numFmtId="0" fontId="12" fillId="37" borderId="172" applyNumberFormat="0" applyFont="0" applyAlignment="0" applyProtection="0"/>
    <xf numFmtId="0" fontId="76" fillId="34" borderId="186" applyNumberFormat="0" applyAlignment="0" applyProtection="0"/>
    <xf numFmtId="0" fontId="12" fillId="37" borderId="164" applyNumberFormat="0" applyFont="0" applyAlignment="0" applyProtection="0"/>
    <xf numFmtId="0" fontId="12" fillId="37" borderId="164" applyNumberFormat="0" applyFont="0" applyAlignment="0" applyProtection="0"/>
    <xf numFmtId="0" fontId="5" fillId="0" borderId="167" applyNumberFormat="0" applyFill="0" applyAlignment="0" applyProtection="0"/>
    <xf numFmtId="0" fontId="81" fillId="21" borderId="165" applyNumberFormat="0" applyAlignment="0" applyProtection="0"/>
    <xf numFmtId="0" fontId="84" fillId="34" borderId="166" applyNumberFormat="0" applyAlignment="0" applyProtection="0"/>
    <xf numFmtId="0" fontId="12" fillId="37" borderId="164" applyNumberFormat="0" applyFont="0" applyAlignment="0" applyProtection="0"/>
    <xf numFmtId="0" fontId="12" fillId="37" borderId="164" applyNumberFormat="0" applyFont="0" applyAlignment="0" applyProtection="0"/>
    <xf numFmtId="0" fontId="12" fillId="37" borderId="164" applyNumberFormat="0" applyFont="0" applyAlignment="0" applyProtection="0"/>
    <xf numFmtId="0" fontId="84" fillId="34" borderId="166" applyNumberFormat="0" applyAlignment="0" applyProtection="0"/>
    <xf numFmtId="0" fontId="12" fillId="37" borderId="164" applyNumberFormat="0" applyFont="0" applyAlignment="0" applyProtection="0"/>
    <xf numFmtId="0" fontId="76" fillId="34" borderId="182" applyNumberFormat="0" applyAlignment="0" applyProtection="0"/>
    <xf numFmtId="0" fontId="76" fillId="34" borderId="165" applyNumberFormat="0" applyAlignment="0" applyProtection="0"/>
    <xf numFmtId="0" fontId="12" fillId="37" borderId="181" applyNumberFormat="0" applyFont="0" applyAlignment="0" applyProtection="0"/>
    <xf numFmtId="0" fontId="81" fillId="21" borderId="182" applyNumberFormat="0" applyAlignment="0" applyProtection="0"/>
    <xf numFmtId="0" fontId="5" fillId="0" borderId="163" applyNumberFormat="0" applyFill="0" applyAlignment="0" applyProtection="0"/>
    <xf numFmtId="0" fontId="5" fillId="0" borderId="163" applyNumberFormat="0" applyFill="0" applyAlignment="0" applyProtection="0"/>
    <xf numFmtId="0" fontId="76" fillId="34" borderId="153" applyNumberFormat="0" applyAlignment="0" applyProtection="0"/>
    <xf numFmtId="0" fontId="12" fillId="37" borderId="160" applyNumberFormat="0" applyFont="0" applyAlignment="0" applyProtection="0"/>
    <xf numFmtId="0" fontId="76" fillId="34" borderId="161" applyNumberFormat="0" applyAlignment="0" applyProtection="0"/>
    <xf numFmtId="0" fontId="12" fillId="37" borderId="160" applyNumberFormat="0" applyFont="0" applyAlignment="0" applyProtection="0"/>
    <xf numFmtId="0" fontId="5" fillId="0" borderId="184" applyNumberFormat="0" applyFill="0" applyAlignment="0" applyProtection="0"/>
    <xf numFmtId="0" fontId="12" fillId="37" borderId="160" applyNumberFormat="0" applyFont="0" applyAlignment="0" applyProtection="0"/>
    <xf numFmtId="0" fontId="81" fillId="21" borderId="165" applyNumberFormat="0" applyAlignment="0" applyProtection="0"/>
    <xf numFmtId="0" fontId="5" fillId="0" borderId="167" applyNumberFormat="0" applyFill="0" applyAlignment="0" applyProtection="0"/>
    <xf numFmtId="0" fontId="12" fillId="37" borderId="160" applyNumberFormat="0" applyFont="0" applyAlignment="0" applyProtection="0"/>
    <xf numFmtId="0" fontId="76" fillId="34" borderId="161" applyNumberFormat="0" applyAlignment="0" applyProtection="0"/>
    <xf numFmtId="0" fontId="12" fillId="37" borderId="181" applyNumberFormat="0" applyFont="0" applyAlignment="0" applyProtection="0"/>
    <xf numFmtId="0" fontId="84" fillId="34" borderId="162" applyNumberFormat="0" applyAlignment="0" applyProtection="0"/>
    <xf numFmtId="0" fontId="5" fillId="0" borderId="184" applyNumberFormat="0" applyFill="0" applyAlignment="0" applyProtection="0"/>
    <xf numFmtId="0" fontId="84" fillId="34" borderId="183" applyNumberFormat="0" applyAlignment="0" applyProtection="0"/>
    <xf numFmtId="0" fontId="12" fillId="37" borderId="181" applyNumberFormat="0" applyFont="0" applyAlignment="0" applyProtection="0"/>
    <xf numFmtId="0" fontId="84" fillId="34" borderId="162" applyNumberForma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87" applyNumberFormat="0" applyAlignment="0" applyProtection="0"/>
    <xf numFmtId="0" fontId="84" fillId="34" borderId="183" applyNumberFormat="0" applyAlignment="0" applyProtection="0"/>
    <xf numFmtId="0" fontId="12" fillId="37" borderId="177" applyNumberFormat="0" applyFont="0" applyAlignment="0" applyProtection="0"/>
    <xf numFmtId="0" fontId="84" fillId="34" borderId="183" applyNumberFormat="0" applyAlignment="0" applyProtection="0"/>
    <xf numFmtId="0" fontId="5" fillId="0" borderId="184" applyNumberFormat="0" applyFill="0" applyAlignment="0" applyProtection="0"/>
    <xf numFmtId="0" fontId="12" fillId="37" borderId="160" applyNumberFormat="0" applyFont="0" applyAlignment="0" applyProtection="0"/>
    <xf numFmtId="0" fontId="12" fillId="37" borderId="164" applyNumberFormat="0" applyFont="0" applyAlignment="0" applyProtection="0"/>
    <xf numFmtId="0" fontId="5" fillId="0" borderId="163" applyNumberFormat="0" applyFill="0" applyAlignment="0" applyProtection="0"/>
    <xf numFmtId="0" fontId="76" fillId="34" borderId="161" applyNumberFormat="0" applyAlignment="0" applyProtection="0"/>
    <xf numFmtId="0" fontId="84" fillId="34" borderId="166" applyNumberFormat="0" applyAlignment="0" applyProtection="0"/>
    <xf numFmtId="0" fontId="81" fillId="21" borderId="165" applyNumberFormat="0" applyAlignment="0" applyProtection="0"/>
    <xf numFmtId="0" fontId="81" fillId="21" borderId="165" applyNumberFormat="0" applyAlignment="0" applyProtection="0"/>
    <xf numFmtId="0" fontId="5" fillId="0" borderId="163" applyNumberFormat="0" applyFill="0" applyAlignment="0" applyProtection="0"/>
    <xf numFmtId="0" fontId="12" fillId="37" borderId="181" applyNumberFormat="0" applyFont="0" applyAlignment="0" applyProtection="0"/>
    <xf numFmtId="0" fontId="81" fillId="21" borderId="174" applyNumberFormat="0" applyAlignment="0" applyProtection="0"/>
    <xf numFmtId="0" fontId="76" fillId="34" borderId="165" applyNumberFormat="0" applyAlignment="0" applyProtection="0"/>
    <xf numFmtId="0" fontId="84" fillId="34" borderId="166" applyNumberFormat="0" applyAlignment="0" applyProtection="0"/>
    <xf numFmtId="0" fontId="12" fillId="37" borderId="160" applyNumberFormat="0" applyFont="0" applyAlignment="0" applyProtection="0"/>
    <xf numFmtId="0" fontId="12" fillId="37" borderId="177" applyNumberFormat="0" applyFont="0" applyAlignment="0" applyProtection="0"/>
    <xf numFmtId="0" fontId="81" fillId="21" borderId="161" applyNumberFormat="0" applyAlignment="0" applyProtection="0"/>
    <xf numFmtId="0" fontId="84" fillId="34" borderId="183" applyNumberFormat="0" applyAlignment="0" applyProtection="0"/>
    <xf numFmtId="0" fontId="12" fillId="37" borderId="164" applyNumberFormat="0" applyFont="0" applyAlignment="0" applyProtection="0"/>
    <xf numFmtId="0" fontId="12" fillId="37" borderId="172" applyNumberFormat="0" applyFont="0" applyAlignment="0" applyProtection="0"/>
    <xf numFmtId="0" fontId="84" fillId="34" borderId="162" applyNumberFormat="0" applyAlignment="0" applyProtection="0"/>
    <xf numFmtId="0" fontId="81" fillId="21" borderId="165" applyNumberFormat="0" applyAlignment="0" applyProtection="0"/>
    <xf numFmtId="0" fontId="76" fillId="34" borderId="161" applyNumberFormat="0" applyAlignment="0" applyProtection="0"/>
    <xf numFmtId="0" fontId="12" fillId="37" borderId="185" applyNumberFormat="0" applyFont="0" applyAlignment="0" applyProtection="0"/>
    <xf numFmtId="0" fontId="5" fillId="0" borderId="163" applyNumberFormat="0" applyFill="0" applyAlignment="0" applyProtection="0"/>
    <xf numFmtId="0" fontId="5" fillId="0" borderId="184" applyNumberFormat="0" applyFill="0" applyAlignment="0" applyProtection="0"/>
    <xf numFmtId="0" fontId="76" fillId="34" borderId="161" applyNumberFormat="0" applyAlignment="0" applyProtection="0"/>
    <xf numFmtId="0" fontId="5" fillId="0" borderId="180" applyNumberFormat="0" applyFill="0" applyAlignment="0" applyProtection="0"/>
    <xf numFmtId="0" fontId="84" fillId="34" borderId="166" applyNumberFormat="0" applyAlignment="0" applyProtection="0"/>
    <xf numFmtId="0" fontId="12" fillId="37" borderId="164" applyNumberFormat="0" applyFont="0" applyAlignment="0" applyProtection="0"/>
    <xf numFmtId="0" fontId="12" fillId="37" borderId="168" applyNumberFormat="0" applyFont="0" applyAlignment="0" applyProtection="0"/>
    <xf numFmtId="0" fontId="5" fillId="0" borderId="188" applyNumberFormat="0" applyFill="0" applyAlignment="0" applyProtection="0"/>
    <xf numFmtId="0" fontId="12" fillId="37" borderId="160" applyNumberFormat="0" applyFont="0" applyAlignment="0" applyProtection="0"/>
    <xf numFmtId="0" fontId="76" fillId="34" borderId="182" applyNumberFormat="0" applyAlignment="0" applyProtection="0"/>
    <xf numFmtId="0" fontId="12" fillId="37" borderId="181" applyNumberFormat="0" applyFont="0" applyAlignment="0" applyProtection="0"/>
    <xf numFmtId="0" fontId="5" fillId="0" borderId="167" applyNumberFormat="0" applyFill="0" applyAlignment="0" applyProtection="0"/>
    <xf numFmtId="0" fontId="84" fillId="34" borderId="162" applyNumberFormat="0" applyAlignment="0" applyProtection="0"/>
    <xf numFmtId="0" fontId="84" fillId="34" borderId="183" applyNumberFormat="0" applyAlignment="0" applyProtection="0"/>
    <xf numFmtId="0" fontId="81" fillId="21" borderId="169" applyNumberFormat="0" applyAlignment="0" applyProtection="0"/>
    <xf numFmtId="0" fontId="76" fillId="34" borderId="174" applyNumberFormat="0" applyAlignment="0" applyProtection="0"/>
    <xf numFmtId="0" fontId="76" fillId="34" borderId="165" applyNumberFormat="0" applyAlignment="0" applyProtection="0"/>
    <xf numFmtId="0" fontId="12" fillId="37" borderId="160" applyNumberFormat="0" applyFont="0" applyAlignment="0" applyProtection="0"/>
    <xf numFmtId="0" fontId="76" fillId="34" borderId="182" applyNumberFormat="0" applyAlignment="0" applyProtection="0"/>
    <xf numFmtId="0" fontId="76" fillId="34" borderId="165" applyNumberFormat="0" applyAlignment="0" applyProtection="0"/>
    <xf numFmtId="0" fontId="84" fillId="34" borderId="162" applyNumberFormat="0" applyAlignment="0" applyProtection="0"/>
    <xf numFmtId="0" fontId="76" fillId="34" borderId="161" applyNumberFormat="0" applyAlignment="0" applyProtection="0"/>
    <xf numFmtId="0" fontId="12" fillId="37" borderId="181" applyNumberFormat="0" applyFont="0" applyAlignment="0" applyProtection="0"/>
    <xf numFmtId="0" fontId="12" fillId="37" borderId="160" applyNumberFormat="0" applyFont="0" applyAlignment="0" applyProtection="0"/>
    <xf numFmtId="0" fontId="84" fillId="34" borderId="170" applyNumberFormat="0" applyAlignment="0" applyProtection="0"/>
    <xf numFmtId="0" fontId="81" fillId="21" borderId="169" applyNumberFormat="0" applyAlignment="0" applyProtection="0"/>
    <xf numFmtId="0" fontId="84" fillId="34" borderId="162" applyNumberFormat="0" applyAlignment="0" applyProtection="0"/>
    <xf numFmtId="0" fontId="12" fillId="37" borderId="160" applyNumberFormat="0" applyFont="0" applyAlignment="0" applyProtection="0"/>
    <xf numFmtId="0" fontId="81" fillId="21" borderId="161" applyNumberFormat="0" applyAlignment="0" applyProtection="0"/>
    <xf numFmtId="0" fontId="76" fillId="34" borderId="161" applyNumberFormat="0" applyAlignment="0" applyProtection="0"/>
    <xf numFmtId="0" fontId="84" fillId="34" borderId="183" applyNumberFormat="0" applyAlignment="0" applyProtection="0"/>
    <xf numFmtId="0" fontId="12" fillId="37" borderId="160" applyNumberFormat="0" applyFont="0" applyAlignment="0" applyProtection="0"/>
    <xf numFmtId="0" fontId="76" fillId="34" borderId="161"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81" fillId="21" borderId="161" applyNumberForma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5" fillId="0" borderId="171" applyNumberFormat="0" applyFill="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76" fillId="34"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84" fillId="34" borderId="170" applyNumberFormat="0" applyAlignment="0" applyProtection="0"/>
    <xf numFmtId="0" fontId="5" fillId="0" borderId="171" applyNumberFormat="0" applyFill="0" applyAlignment="0" applyProtection="0"/>
    <xf numFmtId="0" fontId="81" fillId="21" borderId="169" applyNumberFormat="0" applyAlignment="0" applyProtection="0"/>
    <xf numFmtId="0" fontId="12" fillId="37" borderId="168" applyNumberFormat="0" applyFont="0" applyAlignment="0" applyProtection="0"/>
    <xf numFmtId="0" fontId="81" fillId="21" borderId="169" applyNumberFormat="0" applyAlignment="0" applyProtection="0"/>
    <xf numFmtId="0" fontId="81" fillId="21" borderId="169" applyNumberFormat="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84" fillId="34" borderId="170" applyNumberFormat="0" applyAlignment="0" applyProtection="0"/>
    <xf numFmtId="0" fontId="5" fillId="0" borderId="171" applyNumberFormat="0" applyFill="0" applyAlignment="0" applyProtection="0"/>
    <xf numFmtId="0" fontId="5" fillId="0" borderId="171" applyNumberFormat="0" applyFill="0" applyAlignment="0" applyProtection="0"/>
    <xf numFmtId="0" fontId="84" fillId="34" borderId="170"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77" applyNumberFormat="0" applyFont="0" applyAlignment="0" applyProtection="0"/>
    <xf numFmtId="0" fontId="76" fillId="34" borderId="169" applyNumberFormat="0" applyAlignment="0" applyProtection="0"/>
    <xf numFmtId="0" fontId="84" fillId="34" borderId="170" applyNumberForma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76" fillId="34" borderId="169" applyNumberFormat="0" applyAlignment="0" applyProtection="0"/>
    <xf numFmtId="0" fontId="76" fillId="34" borderId="169" applyNumberFormat="0" applyAlignment="0" applyProtection="0"/>
    <xf numFmtId="0" fontId="81" fillId="21" borderId="169" applyNumberFormat="0" applyAlignment="0" applyProtection="0"/>
    <xf numFmtId="0" fontId="81" fillId="21"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5" fillId="0" borderId="171" applyNumberFormat="0" applyFill="0" applyAlignment="0" applyProtection="0"/>
    <xf numFmtId="0" fontId="5" fillId="0" borderId="171" applyNumberFormat="0" applyFill="0" applyAlignment="0" applyProtection="0"/>
    <xf numFmtId="0" fontId="12" fillId="37" borderId="168" applyNumberFormat="0" applyFont="0" applyAlignment="0" applyProtection="0"/>
    <xf numFmtId="0" fontId="12" fillId="37" borderId="168" applyNumberFormat="0" applyFont="0" applyAlignment="0" applyProtection="0"/>
    <xf numFmtId="0" fontId="76" fillId="34" borderId="169" applyNumberForma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84" fillId="34" borderId="170" applyNumberFormat="0" applyAlignment="0" applyProtection="0"/>
    <xf numFmtId="0" fontId="12" fillId="37" borderId="168" applyNumberFormat="0" applyFont="0" applyAlignment="0" applyProtection="0"/>
    <xf numFmtId="0" fontId="81" fillId="21" borderId="169" applyNumberForma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12" fillId="37" borderId="160" applyNumberFormat="0" applyFont="0" applyAlignment="0" applyProtection="0"/>
    <xf numFmtId="0" fontId="12" fillId="37" borderId="168" applyNumberFormat="0" applyFont="0" applyAlignment="0" applyProtection="0"/>
    <xf numFmtId="0" fontId="84" fillId="34" borderId="170" applyNumberFormat="0" applyAlignment="0" applyProtection="0"/>
    <xf numFmtId="0" fontId="12" fillId="37" borderId="168" applyNumberFormat="0" applyFont="0" applyAlignment="0" applyProtection="0"/>
    <xf numFmtId="0" fontId="76" fillId="34" borderId="169"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5" fillId="0" borderId="171" applyNumberFormat="0" applyFill="0" applyAlignment="0" applyProtection="0"/>
    <xf numFmtId="0" fontId="84" fillId="34" borderId="170" applyNumberFormat="0" applyAlignment="0" applyProtection="0"/>
    <xf numFmtId="0" fontId="84" fillId="34" borderId="170" applyNumberFormat="0" applyAlignment="0" applyProtection="0"/>
    <xf numFmtId="0" fontId="12" fillId="37" borderId="168" applyNumberFormat="0" applyFont="0" applyAlignment="0" applyProtection="0"/>
    <xf numFmtId="0" fontId="12" fillId="37" borderId="168" applyNumberFormat="0" applyFont="0" applyAlignment="0" applyProtection="0"/>
    <xf numFmtId="0" fontId="81" fillId="21" borderId="169" applyNumberFormat="0" applyAlignment="0" applyProtection="0"/>
    <xf numFmtId="0" fontId="81" fillId="21" borderId="169" applyNumberFormat="0" applyAlignment="0" applyProtection="0"/>
    <xf numFmtId="0" fontId="76" fillId="34" borderId="169" applyNumberFormat="0" applyAlignment="0" applyProtection="0"/>
    <xf numFmtId="0" fontId="76" fillId="34" borderId="169" applyNumberFormat="0" applyAlignment="0" applyProtection="0"/>
    <xf numFmtId="0" fontId="84" fillId="34" borderId="170" applyNumberFormat="0" applyAlignment="0" applyProtection="0"/>
    <xf numFmtId="0" fontId="5" fillId="0" borderId="171" applyNumberFormat="0" applyFill="0" applyAlignment="0" applyProtection="0"/>
    <xf numFmtId="0" fontId="76" fillId="34" borderId="161" applyNumberFormat="0" applyAlignment="0" applyProtection="0"/>
    <xf numFmtId="0" fontId="5" fillId="0" borderId="171" applyNumberFormat="0" applyFill="0" applyAlignment="0" applyProtection="0"/>
    <xf numFmtId="0" fontId="12" fillId="37" borderId="168" applyNumberFormat="0" applyFont="0" applyAlignment="0" applyProtection="0"/>
    <xf numFmtId="0" fontId="5" fillId="0" borderId="171" applyNumberFormat="0" applyFill="0" applyAlignment="0" applyProtection="0"/>
    <xf numFmtId="0" fontId="12" fillId="37" borderId="168" applyNumberFormat="0" applyFont="0" applyAlignment="0" applyProtection="0"/>
    <xf numFmtId="0" fontId="81" fillId="21" borderId="169" applyNumberFormat="0" applyAlignment="0" applyProtection="0"/>
    <xf numFmtId="0" fontId="12" fillId="37" borderId="168" applyNumberFormat="0" applyFont="0" applyAlignment="0" applyProtection="0"/>
    <xf numFmtId="0" fontId="76" fillId="34" borderId="169" applyNumberFormat="0" applyAlignment="0" applyProtection="0"/>
    <xf numFmtId="0" fontId="81" fillId="21" borderId="169" applyNumberFormat="0" applyAlignment="0" applyProtection="0"/>
    <xf numFmtId="0" fontId="81" fillId="21" borderId="161" applyNumberFormat="0" applyAlignment="0" applyProtection="0"/>
    <xf numFmtId="0" fontId="81" fillId="21" borderId="169" applyNumberFormat="0" applyAlignment="0" applyProtection="0"/>
    <xf numFmtId="0" fontId="12" fillId="37" borderId="173" applyNumberFormat="0" applyFont="0" applyAlignment="0" applyProtection="0"/>
    <xf numFmtId="0" fontId="5" fillId="0" borderId="171" applyNumberFormat="0" applyFill="0" applyAlignment="0" applyProtection="0"/>
    <xf numFmtId="0" fontId="81" fillId="21" borderId="169" applyNumberFormat="0" applyAlignment="0" applyProtection="0"/>
    <xf numFmtId="0" fontId="84" fillId="34" borderId="170" applyNumberFormat="0" applyAlignment="0" applyProtection="0"/>
    <xf numFmtId="0" fontId="76" fillId="34" borderId="169" applyNumberFormat="0" applyAlignment="0" applyProtection="0"/>
    <xf numFmtId="0" fontId="12" fillId="37" borderId="168" applyNumberFormat="0" applyFont="0" applyAlignment="0" applyProtection="0"/>
    <xf numFmtId="0" fontId="84" fillId="34" borderId="170" applyNumberFormat="0" applyAlignment="0" applyProtection="0"/>
    <xf numFmtId="0" fontId="76" fillId="34" borderId="169" applyNumberFormat="0" applyAlignment="0" applyProtection="0"/>
    <xf numFmtId="0" fontId="12" fillId="37" borderId="160" applyNumberFormat="0" applyFont="0" applyAlignment="0" applyProtection="0"/>
    <xf numFmtId="0" fontId="5" fillId="0" borderId="184" applyNumberFormat="0" applyFill="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5" fillId="0" borderId="176"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76" fillId="34"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84" fillId="34" borderId="175" applyNumberFormat="0" applyAlignment="0" applyProtection="0"/>
    <xf numFmtId="0" fontId="5" fillId="0" borderId="176" applyNumberFormat="0" applyFill="0" applyAlignment="0" applyProtection="0"/>
    <xf numFmtId="0" fontId="81" fillId="21" borderId="174" applyNumberFormat="0" applyAlignment="0" applyProtection="0"/>
    <xf numFmtId="0" fontId="12" fillId="37" borderId="173" applyNumberFormat="0" applyFont="0" applyAlignment="0" applyProtection="0"/>
    <xf numFmtId="0" fontId="81" fillId="21" borderId="174" applyNumberFormat="0" applyAlignment="0" applyProtection="0"/>
    <xf numFmtId="0" fontId="81" fillId="21" borderId="174" applyNumberFormat="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76" applyNumberFormat="0" applyFill="0" applyAlignment="0" applyProtection="0"/>
    <xf numFmtId="0" fontId="84" fillId="34" borderId="175"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60" applyNumberFormat="0" applyFont="0" applyAlignment="0" applyProtection="0"/>
    <xf numFmtId="0" fontId="76" fillId="34" borderId="174" applyNumberFormat="0" applyAlignment="0" applyProtection="0"/>
    <xf numFmtId="0" fontId="84" fillId="34" borderId="175" applyNumberFormat="0" applyAlignment="0" applyProtection="0"/>
    <xf numFmtId="0" fontId="12" fillId="37" borderId="173" applyNumberFormat="0" applyFont="0" applyAlignment="0" applyProtection="0"/>
    <xf numFmtId="0" fontId="81" fillId="21" borderId="174" applyNumberFormat="0" applyAlignment="0" applyProtection="0"/>
    <xf numFmtId="0" fontId="76" fillId="34" borderId="174" applyNumberFormat="0" applyAlignment="0" applyProtection="0"/>
    <xf numFmtId="0" fontId="76" fillId="34" borderId="174" applyNumberFormat="0" applyAlignment="0" applyProtection="0"/>
    <xf numFmtId="0" fontId="76" fillId="34" borderId="174" applyNumberFormat="0" applyAlignment="0" applyProtection="0"/>
    <xf numFmtId="0" fontId="81" fillId="21" borderId="174" applyNumberFormat="0" applyAlignment="0" applyProtection="0"/>
    <xf numFmtId="0" fontId="81" fillId="21"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12" fillId="37" borderId="173" applyNumberFormat="0" applyFont="0" applyAlignment="0" applyProtection="0"/>
    <xf numFmtId="0" fontId="76" fillId="34" borderId="174" applyNumberFormat="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84" fillId="34" borderId="175" applyNumberFormat="0" applyAlignment="0" applyProtection="0"/>
    <xf numFmtId="0" fontId="12" fillId="37" borderId="173" applyNumberFormat="0" applyFont="0" applyAlignment="0" applyProtection="0"/>
    <xf numFmtId="0" fontId="81" fillId="21" borderId="174" applyNumberForma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4" fillId="34" borderId="175" applyNumberFormat="0" applyAlignment="0" applyProtection="0"/>
    <xf numFmtId="0" fontId="5" fillId="0" borderId="163" applyNumberFormat="0" applyFill="0" applyAlignment="0" applyProtection="0"/>
    <xf numFmtId="0" fontId="84" fillId="34" borderId="162" applyNumberFormat="0" applyAlignment="0" applyProtection="0"/>
    <xf numFmtId="0" fontId="12" fillId="37" borderId="173" applyNumberFormat="0" applyFont="0" applyAlignment="0" applyProtection="0"/>
    <xf numFmtId="0" fontId="84" fillId="34" borderId="175" applyNumberFormat="0" applyAlignment="0" applyProtection="0"/>
    <xf numFmtId="0" fontId="12" fillId="37" borderId="173" applyNumberFormat="0" applyFont="0" applyAlignment="0" applyProtection="0"/>
    <xf numFmtId="0" fontId="76" fillId="34" borderId="174"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5" fillId="0" borderId="176" applyNumberFormat="0" applyFill="0" applyAlignment="0" applyProtection="0"/>
    <xf numFmtId="0" fontId="84" fillId="34" borderId="175" applyNumberFormat="0" applyAlignment="0" applyProtection="0"/>
    <xf numFmtId="0" fontId="84" fillId="34" borderId="175" applyNumberFormat="0" applyAlignment="0" applyProtection="0"/>
    <xf numFmtId="0" fontId="12" fillId="37" borderId="173" applyNumberFormat="0" applyFont="0" applyAlignment="0" applyProtection="0"/>
    <xf numFmtId="0" fontId="12" fillId="37" borderId="173" applyNumberFormat="0" applyFont="0" applyAlignment="0" applyProtection="0"/>
    <xf numFmtId="0" fontId="81" fillId="21" borderId="174" applyNumberFormat="0" applyAlignment="0" applyProtection="0"/>
    <xf numFmtId="0" fontId="81" fillId="21" borderId="174" applyNumberFormat="0" applyAlignment="0" applyProtection="0"/>
    <xf numFmtId="0" fontId="76" fillId="34" borderId="174" applyNumberFormat="0" applyAlignment="0" applyProtection="0"/>
    <xf numFmtId="0" fontId="76" fillId="34" borderId="174" applyNumberFormat="0" applyAlignment="0" applyProtection="0"/>
    <xf numFmtId="0" fontId="84" fillId="34" borderId="175" applyNumberFormat="0" applyAlignment="0" applyProtection="0"/>
    <xf numFmtId="0" fontId="5" fillId="0" borderId="176" applyNumberFormat="0" applyFill="0" applyAlignment="0" applyProtection="0"/>
    <xf numFmtId="0" fontId="5" fillId="0" borderId="163" applyNumberFormat="0" applyFill="0" applyAlignment="0" applyProtection="0"/>
    <xf numFmtId="0" fontId="5" fillId="0" borderId="176" applyNumberFormat="0" applyFill="0" applyAlignment="0" applyProtection="0"/>
    <xf numFmtId="0" fontId="12" fillId="37" borderId="173" applyNumberFormat="0" applyFont="0" applyAlignment="0" applyProtection="0"/>
    <xf numFmtId="0" fontId="5" fillId="0" borderId="176" applyNumberFormat="0" applyFill="0" applyAlignment="0" applyProtection="0"/>
    <xf numFmtId="0" fontId="12" fillId="37" borderId="173" applyNumberFormat="0" applyFont="0" applyAlignment="0" applyProtection="0"/>
    <xf numFmtId="0" fontId="81" fillId="21" borderId="174" applyNumberFormat="0" applyAlignment="0" applyProtection="0"/>
    <xf numFmtId="0" fontId="12" fillId="37" borderId="173" applyNumberFormat="0" applyFont="0" applyAlignment="0" applyProtection="0"/>
    <xf numFmtId="0" fontId="76" fillId="34" borderId="174" applyNumberFormat="0" applyAlignment="0" applyProtection="0"/>
    <xf numFmtId="0" fontId="81" fillId="21" borderId="174" applyNumberFormat="0" applyAlignment="0" applyProtection="0"/>
    <xf numFmtId="0" fontId="12" fillId="37" borderId="160" applyNumberFormat="0" applyFont="0" applyAlignment="0" applyProtection="0"/>
    <xf numFmtId="0" fontId="81" fillId="21" borderId="174" applyNumberFormat="0" applyAlignment="0" applyProtection="0"/>
    <xf numFmtId="0" fontId="5" fillId="0" borderId="176" applyNumberFormat="0" applyFill="0" applyAlignment="0" applyProtection="0"/>
    <xf numFmtId="0" fontId="81" fillId="21" borderId="174" applyNumberFormat="0" applyAlignment="0" applyProtection="0"/>
    <xf numFmtId="0" fontId="84" fillId="34" borderId="175" applyNumberFormat="0" applyAlignment="0" applyProtection="0"/>
    <xf numFmtId="0" fontId="76" fillId="34" borderId="161" applyNumberFormat="0" applyAlignment="0" applyProtection="0"/>
    <xf numFmtId="0" fontId="76" fillId="34" borderId="174" applyNumberFormat="0" applyAlignment="0" applyProtection="0"/>
    <xf numFmtId="0" fontId="12" fillId="37" borderId="173" applyNumberFormat="0" applyFont="0" applyAlignment="0" applyProtection="0"/>
    <xf numFmtId="0" fontId="84" fillId="34" borderId="175" applyNumberFormat="0" applyAlignment="0" applyProtection="0"/>
    <xf numFmtId="0" fontId="76" fillId="34" borderId="174" applyNumberFormat="0" applyAlignment="0" applyProtection="0"/>
    <xf numFmtId="0" fontId="12" fillId="37" borderId="160" applyNumberFormat="0" applyFont="0" applyAlignment="0" applyProtection="0"/>
    <xf numFmtId="0" fontId="5" fillId="0" borderId="163" applyNumberFormat="0" applyFill="0" applyAlignment="0" applyProtection="0"/>
    <xf numFmtId="0" fontId="81" fillId="21" borderId="161" applyNumberFormat="0" applyAlignment="0" applyProtection="0"/>
    <xf numFmtId="0" fontId="84" fillId="34" borderId="162" applyNumberFormat="0" applyAlignment="0" applyProtection="0"/>
    <xf numFmtId="0" fontId="12" fillId="37" borderId="160" applyNumberFormat="0" applyFont="0" applyAlignment="0" applyProtection="0"/>
    <xf numFmtId="0" fontId="12" fillId="37" borderId="160" applyNumberFormat="0" applyFont="0" applyAlignment="0" applyProtection="0"/>
    <xf numFmtId="0" fontId="12" fillId="37" borderId="160" applyNumberFormat="0" applyFont="0" applyAlignment="0" applyProtection="0"/>
    <xf numFmtId="0" fontId="84" fillId="34" borderId="162" applyNumberFormat="0" applyAlignment="0" applyProtection="0"/>
    <xf numFmtId="0" fontId="12" fillId="37" borderId="160" applyNumberFormat="0" applyFont="0" applyAlignment="0" applyProtection="0"/>
    <xf numFmtId="0" fontId="84" fillId="34" borderId="183" applyNumberFormat="0" applyAlignment="0" applyProtection="0"/>
    <xf numFmtId="0" fontId="76" fillId="34" borderId="161" applyNumberFormat="0" applyAlignment="0" applyProtection="0"/>
    <xf numFmtId="0" fontId="12" fillId="37" borderId="185" applyNumberFormat="0" applyFont="0" applyAlignment="0" applyProtection="0"/>
    <xf numFmtId="0" fontId="81" fillId="21" borderId="182"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1" fillId="21" borderId="161" applyNumberFormat="0" applyAlignment="0" applyProtection="0"/>
    <xf numFmtId="0" fontId="5" fillId="0" borderId="163" applyNumberFormat="0" applyFill="0" applyAlignment="0" applyProtection="0"/>
    <xf numFmtId="0" fontId="12" fillId="37" borderId="181" applyNumberFormat="0" applyFon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1" fillId="21" borderId="178"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12" fillId="37" borderId="160" applyNumberFormat="0" applyFont="0" applyAlignment="0" applyProtection="0"/>
    <xf numFmtId="0" fontId="12" fillId="37" borderId="185" applyNumberFormat="0" applyFont="0" applyAlignment="0" applyProtection="0"/>
    <xf numFmtId="0" fontId="84" fillId="34" borderId="162" applyNumberFormat="0" applyAlignment="0" applyProtection="0"/>
    <xf numFmtId="0" fontId="81" fillId="21" borderId="161" applyNumberFormat="0" applyAlignment="0" applyProtection="0"/>
    <xf numFmtId="0" fontId="81" fillId="21" borderId="161" applyNumberFormat="0" applyAlignment="0" applyProtection="0"/>
    <xf numFmtId="0" fontId="76" fillId="34" borderId="178" applyNumberFormat="0" applyAlignment="0" applyProtection="0"/>
    <xf numFmtId="0" fontId="5" fillId="0" borderId="184" applyNumberFormat="0" applyFill="0" applyAlignment="0" applyProtection="0"/>
    <xf numFmtId="0" fontId="81" fillId="21" borderId="182" applyNumberFormat="0" applyAlignment="0" applyProtection="0"/>
    <xf numFmtId="0" fontId="12" fillId="37" borderId="181" applyNumberFormat="0" applyFont="0" applyAlignment="0" applyProtection="0"/>
    <xf numFmtId="0" fontId="12" fillId="37" borderId="177" applyNumberFormat="0" applyFont="0" applyAlignment="0" applyProtection="0"/>
    <xf numFmtId="0" fontId="76" fillId="34" borderId="161" applyNumberFormat="0" applyAlignment="0" applyProtection="0"/>
    <xf numFmtId="0" fontId="84" fillId="34" borderId="162" applyNumberFormat="0" applyAlignment="0" applyProtection="0"/>
    <xf numFmtId="0" fontId="12" fillId="37" borderId="181" applyNumberFormat="0" applyFont="0" applyAlignment="0" applyProtection="0"/>
    <xf numFmtId="0" fontId="5" fillId="0" borderId="184" applyNumberFormat="0" applyFill="0" applyAlignment="0" applyProtection="0"/>
    <xf numFmtId="0" fontId="12" fillId="37" borderId="160" applyNumberFormat="0" applyFont="0" applyAlignment="0" applyProtection="0"/>
    <xf numFmtId="0" fontId="76" fillId="34" borderId="182" applyNumberFormat="0" applyAlignment="0" applyProtection="0"/>
    <xf numFmtId="0" fontId="81" fillId="21" borderId="182" applyNumberFormat="0" applyAlignment="0" applyProtection="0"/>
    <xf numFmtId="0" fontId="81" fillId="21" borderId="161" applyNumberFormat="0" applyAlignment="0" applyProtection="0"/>
    <xf numFmtId="0" fontId="81" fillId="21" borderId="182" applyNumberFormat="0" applyAlignment="0" applyProtection="0"/>
    <xf numFmtId="0" fontId="5" fillId="0" borderId="184" applyNumberFormat="0" applyFill="0" applyAlignment="0" applyProtection="0"/>
    <xf numFmtId="0" fontId="84" fillId="34" borderId="162" applyNumberFormat="0" applyAlignment="0" applyProtection="0"/>
    <xf numFmtId="0" fontId="12" fillId="37" borderId="160" applyNumberFormat="0" applyFont="0" applyAlignment="0" applyProtection="0"/>
    <xf numFmtId="0" fontId="84" fillId="34" borderId="183" applyNumberFormat="0" applyAlignment="0" applyProtection="0"/>
    <xf numFmtId="0" fontId="5" fillId="0" borderId="184" applyNumberFormat="0" applyFill="0" applyAlignment="0" applyProtection="0"/>
    <xf numFmtId="0" fontId="5" fillId="0" borderId="163" applyNumberFormat="0" applyFill="0" applyAlignment="0" applyProtection="0"/>
    <xf numFmtId="0" fontId="76" fillId="34" borderId="182" applyNumberFormat="0" applyAlignment="0" applyProtection="0"/>
    <xf numFmtId="0" fontId="76" fillId="34" borderId="186" applyNumberFormat="0" applyAlignment="0" applyProtection="0"/>
    <xf numFmtId="0" fontId="12" fillId="37" borderId="181" applyNumberFormat="0" applyFont="0" applyAlignment="0" applyProtection="0"/>
    <xf numFmtId="0" fontId="76" fillId="34" borderId="161" applyNumberFormat="0" applyAlignment="0" applyProtection="0"/>
    <xf numFmtId="0" fontId="5" fillId="0" borderId="155" applyNumberFormat="0" applyFill="0" applyAlignment="0" applyProtection="0"/>
    <xf numFmtId="0" fontId="76" fillId="34" borderId="161" applyNumberFormat="0" applyAlignment="0" applyProtection="0"/>
    <xf numFmtId="0" fontId="12" fillId="37" borderId="181" applyNumberFormat="0" applyFont="0" applyAlignment="0" applyProtection="0"/>
    <xf numFmtId="0" fontId="12" fillId="37" borderId="181" applyNumberFormat="0" applyFont="0" applyAlignment="0" applyProtection="0"/>
    <xf numFmtId="0" fontId="84" fillId="34" borderId="183" applyNumberFormat="0" applyAlignment="0" applyProtection="0"/>
    <xf numFmtId="0" fontId="12" fillId="37" borderId="181" applyNumberFormat="0" applyFont="0" applyAlignment="0" applyProtection="0"/>
    <xf numFmtId="0" fontId="76" fillId="34" borderId="182" applyNumberFormat="0" applyAlignment="0" applyProtection="0"/>
    <xf numFmtId="0" fontId="81" fillId="21" borderId="182" applyNumberFormat="0" applyAlignment="0" applyProtection="0"/>
    <xf numFmtId="0" fontId="5" fillId="0" borderId="184" applyNumberFormat="0" applyFill="0" applyAlignment="0" applyProtection="0"/>
    <xf numFmtId="0" fontId="12" fillId="37" borderId="181" applyNumberFormat="0" applyFont="0" applyAlignment="0" applyProtection="0"/>
    <xf numFmtId="0" fontId="84" fillId="34" borderId="183" applyNumberFormat="0" applyAlignment="0" applyProtection="0"/>
    <xf numFmtId="0" fontId="81" fillId="21" borderId="182" applyNumberFormat="0" applyAlignment="0" applyProtection="0"/>
    <xf numFmtId="0" fontId="81" fillId="21" borderId="182" applyNumberFormat="0" applyAlignment="0" applyProtection="0"/>
    <xf numFmtId="0" fontId="81" fillId="21" borderId="153" applyNumberFormat="0" applyAlignment="0" applyProtection="0"/>
    <xf numFmtId="0" fontId="76" fillId="34" borderId="182" applyNumberFormat="0" applyAlignment="0" applyProtection="0"/>
    <xf numFmtId="0" fontId="84" fillId="34" borderId="183" applyNumberFormat="0" applyAlignment="0" applyProtection="0"/>
    <xf numFmtId="0" fontId="12" fillId="37" borderId="181" applyNumberFormat="0" applyFont="0" applyAlignment="0" applyProtection="0"/>
    <xf numFmtId="0" fontId="81" fillId="21" borderId="182" applyNumberFormat="0" applyAlignment="0" applyProtection="0"/>
    <xf numFmtId="0" fontId="84" fillId="34" borderId="183" applyNumberFormat="0" applyAlignment="0" applyProtection="0"/>
    <xf numFmtId="0" fontId="12" fillId="37" borderId="181" applyNumberFormat="0" applyFont="0" applyAlignment="0" applyProtection="0"/>
    <xf numFmtId="0" fontId="12" fillId="37" borderId="185" applyNumberFormat="0" applyFont="0" applyAlignment="0" applyProtection="0"/>
    <xf numFmtId="0" fontId="5" fillId="0" borderId="184" applyNumberFormat="0" applyFill="0" applyAlignment="0" applyProtection="0"/>
    <xf numFmtId="0" fontId="81" fillId="21" borderId="186" applyNumberFormat="0" applyAlignment="0" applyProtection="0"/>
    <xf numFmtId="0" fontId="76" fillId="34" borderId="153" applyNumberFormat="0" applyAlignment="0" applyProtection="0"/>
    <xf numFmtId="0" fontId="76" fillId="34" borderId="182" applyNumberFormat="0" applyAlignment="0" applyProtection="0"/>
    <xf numFmtId="0" fontId="76" fillId="34" borderId="182" applyNumberFormat="0" applyAlignment="0" applyProtection="0"/>
    <xf numFmtId="0" fontId="84" fillId="34" borderId="187" applyNumberFormat="0" applyAlignment="0" applyProtection="0"/>
    <xf numFmtId="0" fontId="81" fillId="21" borderId="186" applyNumberForma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84" fillId="34" borderId="187" applyNumberFormat="0" applyAlignment="0" applyProtection="0"/>
    <xf numFmtId="0" fontId="5" fillId="0" borderId="188" applyNumberFormat="0" applyFill="0" applyAlignment="0" applyProtection="0"/>
    <xf numFmtId="0" fontId="81" fillId="21" borderId="186" applyNumberFormat="0" applyAlignment="0" applyProtection="0"/>
    <xf numFmtId="0" fontId="12" fillId="37" borderId="185" applyNumberFormat="0" applyFont="0" applyAlignment="0" applyProtection="0"/>
    <xf numFmtId="0" fontId="81" fillId="21" borderId="186" applyNumberFormat="0" applyAlignment="0" applyProtection="0"/>
    <xf numFmtId="0" fontId="81" fillId="21" borderId="186" applyNumberFormat="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84" fillId="34" borderId="187"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84" fillId="34" borderId="187" applyNumberFormat="0" applyAlignment="0" applyProtection="0"/>
    <xf numFmtId="0" fontId="12" fillId="37" borderId="185" applyNumberFormat="0" applyFont="0" applyAlignment="0" applyProtection="0"/>
    <xf numFmtId="0" fontId="81" fillId="21" borderId="186" applyNumberFormat="0" applyAlignment="0" applyProtection="0"/>
    <xf numFmtId="0" fontId="76" fillId="34" borderId="186" applyNumberFormat="0" applyAlignment="0" applyProtection="0"/>
    <xf numFmtId="0" fontId="76" fillId="34" borderId="186" applyNumberFormat="0" applyAlignment="0" applyProtection="0"/>
    <xf numFmtId="0" fontId="76" fillId="34" borderId="186" applyNumberFormat="0" applyAlignment="0" applyProtection="0"/>
    <xf numFmtId="0" fontId="81" fillId="21" borderId="186" applyNumberFormat="0" applyAlignment="0" applyProtection="0"/>
    <xf numFmtId="0" fontId="81" fillId="21"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12" fillId="37" borderId="185" applyNumberFormat="0" applyFont="0" applyAlignment="0" applyProtection="0"/>
    <xf numFmtId="0" fontId="76" fillId="34" borderId="186" applyNumberForma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84" fillId="34" borderId="187" applyNumberFormat="0" applyAlignment="0" applyProtection="0"/>
    <xf numFmtId="0" fontId="12" fillId="37" borderId="185" applyNumberFormat="0" applyFont="0" applyAlignment="0" applyProtection="0"/>
    <xf numFmtId="0" fontId="81" fillId="21" borderId="186" applyNumberForma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4" fillId="34" borderId="187" applyNumberFormat="0" applyAlignment="0" applyProtection="0"/>
    <xf numFmtId="0" fontId="12" fillId="37" borderId="185" applyNumberFormat="0" applyFont="0" applyAlignment="0" applyProtection="0"/>
    <xf numFmtId="0" fontId="84" fillId="34" borderId="187" applyNumberFormat="0" applyAlignment="0" applyProtection="0"/>
    <xf numFmtId="0" fontId="12" fillId="37" borderId="185" applyNumberFormat="0" applyFont="0" applyAlignment="0" applyProtection="0"/>
    <xf numFmtId="0" fontId="76" fillId="34" borderId="186"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5" fillId="0" borderId="188" applyNumberFormat="0" applyFill="0" applyAlignment="0" applyProtection="0"/>
    <xf numFmtId="0" fontId="84" fillId="34" borderId="187" applyNumberFormat="0" applyAlignment="0" applyProtection="0"/>
    <xf numFmtId="0" fontId="84" fillId="34" borderId="187" applyNumberFormat="0" applyAlignment="0" applyProtection="0"/>
    <xf numFmtId="0" fontId="12" fillId="37" borderId="185" applyNumberFormat="0" applyFont="0" applyAlignment="0" applyProtection="0"/>
    <xf numFmtId="0" fontId="12" fillId="37" borderId="185" applyNumberFormat="0" applyFont="0" applyAlignment="0" applyProtection="0"/>
    <xf numFmtId="0" fontId="81" fillId="21" borderId="186" applyNumberFormat="0" applyAlignment="0" applyProtection="0"/>
    <xf numFmtId="0" fontId="81" fillId="21" borderId="186" applyNumberFormat="0" applyAlignment="0" applyProtection="0"/>
    <xf numFmtId="0" fontId="76" fillId="34" borderId="186" applyNumberFormat="0" applyAlignment="0" applyProtection="0"/>
    <xf numFmtId="0" fontId="76" fillId="34" borderId="186" applyNumberFormat="0" applyAlignment="0" applyProtection="0"/>
    <xf numFmtId="0" fontId="84" fillId="34" borderId="187" applyNumberFormat="0" applyAlignment="0" applyProtection="0"/>
    <xf numFmtId="0" fontId="5" fillId="0" borderId="188" applyNumberFormat="0" applyFill="0" applyAlignment="0" applyProtection="0"/>
    <xf numFmtId="0" fontId="5" fillId="0" borderId="188" applyNumberFormat="0" applyFill="0" applyAlignment="0" applyProtection="0"/>
    <xf numFmtId="0" fontId="12" fillId="37" borderId="185" applyNumberFormat="0" applyFont="0" applyAlignment="0" applyProtection="0"/>
    <xf numFmtId="0" fontId="5" fillId="0" borderId="188" applyNumberFormat="0" applyFill="0" applyAlignment="0" applyProtection="0"/>
    <xf numFmtId="0" fontId="12" fillId="37" borderId="185" applyNumberFormat="0" applyFont="0" applyAlignment="0" applyProtection="0"/>
    <xf numFmtId="0" fontId="81" fillId="21" borderId="186" applyNumberFormat="0" applyAlignment="0" applyProtection="0"/>
    <xf numFmtId="0" fontId="12" fillId="37" borderId="185" applyNumberFormat="0" applyFont="0" applyAlignment="0" applyProtection="0"/>
    <xf numFmtId="0" fontId="76" fillId="34" borderId="186" applyNumberFormat="0" applyAlignment="0" applyProtection="0"/>
    <xf numFmtId="0" fontId="81" fillId="21" borderId="186" applyNumberFormat="0" applyAlignment="0" applyProtection="0"/>
    <xf numFmtId="0" fontId="81" fillId="21" borderId="186" applyNumberFormat="0" applyAlignment="0" applyProtection="0"/>
    <xf numFmtId="0" fontId="12" fillId="37" borderId="152" applyNumberFormat="0" applyFont="0" applyAlignment="0" applyProtection="0"/>
    <xf numFmtId="0" fontId="5" fillId="0" borderId="188" applyNumberFormat="0" applyFill="0" applyAlignment="0" applyProtection="0"/>
    <xf numFmtId="0" fontId="81" fillId="21" borderId="186" applyNumberFormat="0" applyAlignment="0" applyProtection="0"/>
    <xf numFmtId="0" fontId="84" fillId="34" borderId="187" applyNumberFormat="0" applyAlignment="0" applyProtection="0"/>
    <xf numFmtId="0" fontId="76" fillId="34" borderId="186" applyNumberFormat="0" applyAlignment="0" applyProtection="0"/>
    <xf numFmtId="0" fontId="12" fillId="37" borderId="185" applyNumberFormat="0" applyFont="0" applyAlignment="0" applyProtection="0"/>
    <xf numFmtId="0" fontId="84" fillId="34" borderId="187" applyNumberFormat="0" applyAlignment="0" applyProtection="0"/>
    <xf numFmtId="0" fontId="76" fillId="34" borderId="186" applyNumberForma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84" fillId="34" borderId="154" applyNumberFormat="0" applyAlignment="0" applyProtection="0"/>
    <xf numFmtId="0" fontId="5" fillId="0" borderId="155" applyNumberFormat="0" applyFill="0" applyAlignment="0" applyProtection="0"/>
    <xf numFmtId="0" fontId="81" fillId="21" borderId="153" applyNumberFormat="0" applyAlignment="0" applyProtection="0"/>
    <xf numFmtId="0" fontId="12" fillId="37" borderId="152" applyNumberFormat="0" applyFont="0" applyAlignment="0" applyProtection="0"/>
    <xf numFmtId="0" fontId="81" fillId="21" borderId="153" applyNumberFormat="0" applyAlignment="0" applyProtection="0"/>
    <xf numFmtId="0" fontId="81" fillId="21" borderId="153" applyNumberFormat="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84" fillId="34" borderId="154"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84" fillId="34" borderId="154" applyNumberFormat="0" applyAlignment="0" applyProtection="0"/>
    <xf numFmtId="0" fontId="12" fillId="37" borderId="152" applyNumberFormat="0" applyFont="0" applyAlignment="0" applyProtection="0"/>
    <xf numFmtId="0" fontId="81" fillId="21" borderId="153" applyNumberFormat="0" applyAlignment="0" applyProtection="0"/>
    <xf numFmtId="0" fontId="76" fillId="34" borderId="153" applyNumberFormat="0" applyAlignment="0" applyProtection="0"/>
    <xf numFmtId="0" fontId="76" fillId="34" borderId="153" applyNumberFormat="0" applyAlignment="0" applyProtection="0"/>
    <xf numFmtId="0" fontId="76" fillId="34" borderId="153" applyNumberFormat="0" applyAlignment="0" applyProtection="0"/>
    <xf numFmtId="0" fontId="81" fillId="21" borderId="153" applyNumberFormat="0" applyAlignment="0" applyProtection="0"/>
    <xf numFmtId="0" fontId="81" fillId="21"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12" fillId="37" borderId="152" applyNumberFormat="0" applyFont="0" applyAlignment="0" applyProtection="0"/>
    <xf numFmtId="0" fontId="76" fillId="34" borderId="153" applyNumberForma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84" fillId="34" borderId="154" applyNumberFormat="0" applyAlignment="0" applyProtection="0"/>
    <xf numFmtId="0" fontId="12" fillId="37" borderId="152" applyNumberFormat="0" applyFont="0" applyAlignment="0" applyProtection="0"/>
    <xf numFmtId="0" fontId="81" fillId="21" borderId="153" applyNumberForma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4" fillId="34" borderId="154" applyNumberFormat="0" applyAlignment="0" applyProtection="0"/>
    <xf numFmtId="0" fontId="12" fillId="37" borderId="152" applyNumberFormat="0" applyFont="0" applyAlignment="0" applyProtection="0"/>
    <xf numFmtId="0" fontId="84" fillId="34" borderId="154" applyNumberFormat="0" applyAlignment="0" applyProtection="0"/>
    <xf numFmtId="0" fontId="12" fillId="37" borderId="152" applyNumberFormat="0" applyFont="0" applyAlignment="0" applyProtection="0"/>
    <xf numFmtId="0" fontId="76" fillId="34" borderId="153"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5" fillId="0" borderId="155" applyNumberFormat="0" applyFill="0" applyAlignment="0" applyProtection="0"/>
    <xf numFmtId="0" fontId="84" fillId="34" borderId="154" applyNumberFormat="0" applyAlignment="0" applyProtection="0"/>
    <xf numFmtId="0" fontId="84" fillId="34" borderId="154" applyNumberFormat="0" applyAlignment="0" applyProtection="0"/>
    <xf numFmtId="0" fontId="12" fillId="37" borderId="152" applyNumberFormat="0" applyFont="0" applyAlignment="0" applyProtection="0"/>
    <xf numFmtId="0" fontId="12" fillId="37" borderId="152" applyNumberFormat="0" applyFont="0" applyAlignment="0" applyProtection="0"/>
    <xf numFmtId="0" fontId="81" fillId="21" borderId="153" applyNumberFormat="0" applyAlignment="0" applyProtection="0"/>
    <xf numFmtId="0" fontId="81" fillId="21" borderId="153" applyNumberFormat="0" applyAlignment="0" applyProtection="0"/>
    <xf numFmtId="0" fontId="76" fillId="34" borderId="153" applyNumberFormat="0" applyAlignment="0" applyProtection="0"/>
    <xf numFmtId="0" fontId="76" fillId="34" borderId="153" applyNumberFormat="0" applyAlignment="0" applyProtection="0"/>
    <xf numFmtId="0" fontId="84" fillId="34" borderId="154" applyNumberFormat="0" applyAlignment="0" applyProtection="0"/>
    <xf numFmtId="0" fontId="5" fillId="0" borderId="155" applyNumberFormat="0" applyFill="0" applyAlignment="0" applyProtection="0"/>
    <xf numFmtId="0" fontId="5" fillId="0" borderId="155" applyNumberFormat="0" applyFill="0" applyAlignment="0" applyProtection="0"/>
    <xf numFmtId="0" fontId="12" fillId="37" borderId="152" applyNumberFormat="0" applyFont="0" applyAlignment="0" applyProtection="0"/>
    <xf numFmtId="0" fontId="5" fillId="0" borderId="155" applyNumberFormat="0" applyFill="0" applyAlignment="0" applyProtection="0"/>
    <xf numFmtId="0" fontId="12" fillId="37" borderId="152" applyNumberFormat="0" applyFont="0" applyAlignment="0" applyProtection="0"/>
    <xf numFmtId="0" fontId="81" fillId="21" borderId="153" applyNumberFormat="0" applyAlignment="0" applyProtection="0"/>
    <xf numFmtId="0" fontId="12" fillId="37" borderId="152" applyNumberFormat="0" applyFont="0" applyAlignment="0" applyProtection="0"/>
    <xf numFmtId="0" fontId="76" fillId="34" borderId="153" applyNumberFormat="0" applyAlignment="0" applyProtection="0"/>
    <xf numFmtId="0" fontId="81" fillId="21" borderId="153" applyNumberFormat="0" applyAlignment="0" applyProtection="0"/>
    <xf numFmtId="0" fontId="81" fillId="21" borderId="153" applyNumberFormat="0" applyAlignment="0" applyProtection="0"/>
    <xf numFmtId="0" fontId="5" fillId="0" borderId="155" applyNumberFormat="0" applyFill="0" applyAlignment="0" applyProtection="0"/>
    <xf numFmtId="0" fontId="81" fillId="21" borderId="153" applyNumberFormat="0" applyAlignment="0" applyProtection="0"/>
    <xf numFmtId="0" fontId="84" fillId="34" borderId="154" applyNumberFormat="0" applyAlignment="0" applyProtection="0"/>
    <xf numFmtId="0" fontId="76" fillId="34" borderId="153" applyNumberFormat="0" applyAlignment="0" applyProtection="0"/>
    <xf numFmtId="0" fontId="12" fillId="37" borderId="152" applyNumberFormat="0" applyFont="0" applyAlignment="0" applyProtection="0"/>
    <xf numFmtId="0" fontId="84" fillId="34" borderId="154" applyNumberFormat="0" applyAlignment="0" applyProtection="0"/>
    <xf numFmtId="0" fontId="76" fillId="34" borderId="153" applyNumberFormat="0" applyAlignment="0" applyProtection="0"/>
    <xf numFmtId="0" fontId="76" fillId="34" borderId="208" applyNumberFormat="0" applyAlignment="0" applyProtection="0"/>
    <xf numFmtId="0" fontId="12" fillId="37" borderId="232" applyNumberFormat="0" applyFont="0" applyAlignment="0" applyProtection="0"/>
    <xf numFmtId="0" fontId="12" fillId="37" borderId="246" applyNumberFormat="0" applyFont="0" applyAlignment="0" applyProtection="0"/>
    <xf numFmtId="0" fontId="12" fillId="37" borderId="215" applyNumberFormat="0" applyFont="0" applyAlignment="0" applyProtection="0"/>
    <xf numFmtId="0" fontId="84" fillId="34" borderId="209" applyNumberFormat="0" applyAlignment="0" applyProtection="0"/>
    <xf numFmtId="0" fontId="12" fillId="37" borderId="35" applyNumberFormat="0" applyFont="0" applyAlignment="0" applyProtection="0"/>
    <xf numFmtId="0" fontId="5" fillId="0" borderId="206" applyNumberFormat="0" applyFill="0" applyAlignment="0" applyProtection="0"/>
    <xf numFmtId="0" fontId="84" fillId="34" borderId="205" applyNumberFormat="0" applyAlignment="0" applyProtection="0"/>
    <xf numFmtId="0" fontId="12" fillId="37" borderId="215" applyNumberFormat="0" applyFont="0" applyAlignment="0" applyProtection="0"/>
    <xf numFmtId="0" fontId="12" fillId="37" borderId="255"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12" fillId="37" borderId="35" applyNumberFormat="0" applyFont="0" applyAlignment="0" applyProtection="0"/>
    <xf numFmtId="0" fontId="81" fillId="21" borderId="238" applyNumberFormat="0" applyAlignment="0" applyProtection="0"/>
    <xf numFmtId="0" fontId="12" fillId="37" borderId="207" applyNumberFormat="0" applyFont="0" applyAlignment="0" applyProtection="0"/>
    <xf numFmtId="0" fontId="12" fillId="37" borderId="246" applyNumberFormat="0" applyFont="0" applyAlignment="0" applyProtection="0"/>
    <xf numFmtId="0" fontId="84" fillId="34" borderId="209"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10" applyNumberFormat="0" applyFill="0" applyAlignment="0" applyProtection="0"/>
    <xf numFmtId="0" fontId="12" fillId="37" borderId="237" applyNumberFormat="0" applyFont="0" applyAlignment="0" applyProtection="0"/>
    <xf numFmtId="0" fontId="76" fillId="34" borderId="220" applyNumberFormat="0" applyAlignment="0" applyProtection="0"/>
    <xf numFmtId="0" fontId="84" fillId="34" borderId="281" applyNumberFormat="0" applyAlignment="0" applyProtection="0"/>
    <xf numFmtId="0" fontId="84" fillId="34" borderId="209" applyNumberFormat="0" applyAlignment="0" applyProtection="0"/>
    <xf numFmtId="0" fontId="81" fillId="21" borderId="208" applyNumberFormat="0" applyAlignment="0" applyProtection="0"/>
    <xf numFmtId="0" fontId="76" fillId="34" borderId="208" applyNumberFormat="0" applyAlignment="0" applyProtection="0"/>
    <xf numFmtId="0" fontId="76" fillId="34" borderId="208" applyNumberFormat="0" applyAlignment="0" applyProtection="0"/>
    <xf numFmtId="0" fontId="5" fillId="0" borderId="210" applyNumberFormat="0" applyFill="0" applyAlignment="0" applyProtection="0"/>
    <xf numFmtId="0" fontId="81" fillId="21"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76" fillId="34" borderId="208" applyNumberFormat="0" applyAlignment="0" applyProtection="0"/>
    <xf numFmtId="0" fontId="12" fillId="37" borderId="232" applyNumberFormat="0" applyFont="0" applyAlignment="0" applyProtection="0"/>
    <xf numFmtId="0" fontId="12" fillId="37" borderId="246" applyNumberFormat="0" applyFont="0" applyAlignment="0" applyProtection="0"/>
    <xf numFmtId="0" fontId="12" fillId="37" borderId="279" applyNumberFormat="0" applyFont="0" applyAlignment="0" applyProtection="0"/>
    <xf numFmtId="0" fontId="12" fillId="37" borderId="251"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67" applyNumberFormat="0" applyFont="0" applyAlignment="0" applyProtection="0"/>
    <xf numFmtId="0" fontId="5" fillId="0" borderId="235" applyNumberFormat="0" applyFill="0" applyAlignment="0" applyProtection="0"/>
    <xf numFmtId="0" fontId="12" fillId="37" borderId="207" applyNumberFormat="0" applyFont="0" applyAlignment="0" applyProtection="0"/>
    <xf numFmtId="0" fontId="12" fillId="37" borderId="232" applyNumberFormat="0" applyFont="0" applyAlignment="0" applyProtection="0"/>
    <xf numFmtId="0" fontId="81" fillId="21" borderId="233" applyNumberFormat="0" applyAlignment="0" applyProtection="0"/>
    <xf numFmtId="0" fontId="84" fillId="34" borderId="225" applyNumberFormat="0" applyAlignment="0" applyProtection="0"/>
    <xf numFmtId="0" fontId="12" fillId="37" borderId="263" applyNumberFormat="0" applyFont="0" applyAlignment="0" applyProtection="0"/>
    <xf numFmtId="0" fontId="76" fillId="34" borderId="233" applyNumberFormat="0" applyAlignment="0" applyProtection="0"/>
    <xf numFmtId="0" fontId="12" fillId="37" borderId="246" applyNumberFormat="0" applyFont="0" applyAlignment="0" applyProtection="0"/>
    <xf numFmtId="0" fontId="76" fillId="34" borderId="208" applyNumberFormat="0" applyAlignment="0" applyProtection="0"/>
    <xf numFmtId="0" fontId="76" fillId="34" borderId="208" applyNumberFormat="0" applyAlignment="0" applyProtection="0"/>
    <xf numFmtId="0" fontId="12" fillId="37" borderId="215"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11" applyNumberFormat="0" applyFont="0" applyAlignment="0" applyProtection="0"/>
    <xf numFmtId="0" fontId="84" fillId="34" borderId="205" applyNumberFormat="0" applyAlignment="0" applyProtection="0"/>
    <xf numFmtId="0" fontId="81" fillId="21" borderId="204" applyNumberFormat="0" applyAlignment="0" applyProtection="0"/>
    <xf numFmtId="0" fontId="12" fillId="37" borderId="207" applyNumberFormat="0" applyFont="0" applyAlignment="0" applyProtection="0"/>
    <xf numFmtId="0" fontId="81" fillId="21" borderId="208" applyNumberFormat="0" applyAlignment="0" applyProtection="0"/>
    <xf numFmtId="0" fontId="5" fillId="0" borderId="210" applyNumberFormat="0" applyFill="0" applyAlignment="0" applyProtection="0"/>
    <xf numFmtId="0" fontId="84" fillId="34" borderId="244" applyNumberFormat="0" applyAlignment="0" applyProtection="0"/>
    <xf numFmtId="0" fontId="5" fillId="0" borderId="210" applyNumberFormat="0" applyFill="0" applyAlignment="0" applyProtection="0"/>
    <xf numFmtId="0" fontId="12" fillId="37" borderId="246" applyNumberFormat="0" applyFont="0" applyAlignment="0" applyProtection="0"/>
    <xf numFmtId="0" fontId="84" fillId="34" borderId="209" applyNumberFormat="0" applyAlignment="0" applyProtection="0"/>
    <xf numFmtId="0" fontId="12" fillId="37" borderId="211" applyNumberFormat="0" applyFont="0" applyAlignment="0" applyProtection="0"/>
    <xf numFmtId="0" fontId="84" fillId="34" borderId="209" applyNumberFormat="0" applyAlignment="0" applyProtection="0"/>
    <xf numFmtId="0" fontId="76" fillId="34" borderId="233" applyNumberFormat="0" applyAlignment="0" applyProtection="0"/>
    <xf numFmtId="0" fontId="81" fillId="21" borderId="233" applyNumberFormat="0" applyAlignment="0" applyProtection="0"/>
    <xf numFmtId="0" fontId="5" fillId="0" borderId="231" applyNumberFormat="0" applyFill="0" applyAlignment="0" applyProtection="0"/>
    <xf numFmtId="0" fontId="12" fillId="37" borderId="232" applyNumberFormat="0" applyFont="0" applyAlignment="0" applyProtection="0"/>
    <xf numFmtId="0" fontId="84" fillId="34" borderId="234" applyNumberFormat="0" applyAlignment="0" applyProtection="0"/>
    <xf numFmtId="0" fontId="81" fillId="21" borderId="243" applyNumberFormat="0" applyAlignment="0" applyProtection="0"/>
    <xf numFmtId="0" fontId="76" fillId="34" borderId="233" applyNumberFormat="0" applyAlignment="0" applyProtection="0"/>
    <xf numFmtId="0" fontId="81" fillId="21" borderId="272" applyNumberFormat="0" applyAlignment="0" applyProtection="0"/>
    <xf numFmtId="0" fontId="12" fillId="37" borderId="232" applyNumberFormat="0" applyFont="0" applyAlignment="0" applyProtection="0"/>
    <xf numFmtId="0" fontId="76" fillId="34" borderId="243" applyNumberFormat="0" applyAlignment="0" applyProtection="0"/>
    <xf numFmtId="0" fontId="81" fillId="21" borderId="233" applyNumberFormat="0" applyAlignment="0" applyProtection="0"/>
    <xf numFmtId="0" fontId="5" fillId="0" borderId="235" applyNumberFormat="0" applyFill="0" applyAlignment="0" applyProtection="0"/>
    <xf numFmtId="0" fontId="12" fillId="37" borderId="246" applyNumberFormat="0" applyFont="0" applyAlignment="0" applyProtection="0"/>
    <xf numFmtId="0" fontId="76" fillId="34" borderId="233" applyNumberFormat="0" applyAlignment="0" applyProtection="0"/>
    <xf numFmtId="0" fontId="81" fillId="21" borderId="243" applyNumberFormat="0" applyAlignment="0" applyProtection="0"/>
    <xf numFmtId="0" fontId="12" fillId="37" borderId="232" applyNumberFormat="0" applyFont="0" applyAlignment="0" applyProtection="0"/>
    <xf numFmtId="0" fontId="84" fillId="34" borderId="261" applyNumberFormat="0" applyAlignment="0" applyProtection="0"/>
    <xf numFmtId="0" fontId="12" fillId="37" borderId="232" applyNumberFormat="0" applyFont="0" applyAlignment="0" applyProtection="0"/>
    <xf numFmtId="0" fontId="5" fillId="0" borderId="218" applyNumberFormat="0" applyFill="0" applyAlignment="0" applyProtection="0"/>
    <xf numFmtId="0" fontId="84" fillId="34" borderId="230" applyNumberFormat="0" applyAlignment="0" applyProtection="0"/>
    <xf numFmtId="0" fontId="81" fillId="21" borderId="243" applyNumberFormat="0" applyAlignment="0" applyProtection="0"/>
    <xf numFmtId="0" fontId="5" fillId="0" borderId="206" applyNumberFormat="0" applyFill="0" applyAlignment="0" applyProtection="0"/>
    <xf numFmtId="0" fontId="12" fillId="37" borderId="203" applyNumberFormat="0" applyFont="0" applyAlignment="0" applyProtection="0"/>
    <xf numFmtId="0" fontId="84" fillId="34" borderId="217" applyNumberFormat="0" applyAlignment="0" applyProtection="0"/>
    <xf numFmtId="0" fontId="76" fillId="34" borderId="204" applyNumberFormat="0" applyAlignment="0" applyProtection="0"/>
    <xf numFmtId="0" fontId="12" fillId="37" borderId="223" applyNumberFormat="0" applyFont="0" applyAlignment="0" applyProtection="0"/>
    <xf numFmtId="0" fontId="5" fillId="0" borderId="245" applyNumberFormat="0" applyFill="0" applyAlignment="0" applyProtection="0"/>
    <xf numFmtId="0" fontId="76" fillId="34" borderId="220" applyNumberFormat="0" applyAlignment="0" applyProtection="0"/>
    <xf numFmtId="0" fontId="84" fillId="34" borderId="209" applyNumberFormat="0" applyAlignment="0" applyProtection="0"/>
    <xf numFmtId="0" fontId="12" fillId="37" borderId="202" applyNumberFormat="0" applyFont="0" applyAlignment="0" applyProtection="0"/>
    <xf numFmtId="0" fontId="84" fillId="34" borderId="234" applyNumberFormat="0" applyAlignment="0" applyProtection="0"/>
    <xf numFmtId="0" fontId="81" fillId="21" borderId="248" applyNumberFormat="0" applyAlignment="0" applyProtection="0"/>
    <xf numFmtId="0" fontId="5" fillId="0" borderId="218" applyNumberFormat="0" applyFill="0" applyAlignment="0" applyProtection="0"/>
    <xf numFmtId="0" fontId="81" fillId="21" borderId="208" applyNumberForma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84" fillId="34" borderId="239" applyNumberFormat="0" applyAlignment="0" applyProtection="0"/>
    <xf numFmtId="0" fontId="81" fillId="21" borderId="233" applyNumberFormat="0" applyAlignment="0" applyProtection="0"/>
    <xf numFmtId="0" fontId="12" fillId="37" borderId="232" applyNumberFormat="0" applyFont="0" applyAlignment="0" applyProtection="0"/>
    <xf numFmtId="0" fontId="12" fillId="37" borderId="283" applyNumberFormat="0" applyFont="0" applyAlignment="0" applyProtection="0"/>
    <xf numFmtId="0" fontId="12" fillId="37" borderId="246" applyNumberFormat="0" applyFont="0" applyAlignment="0" applyProtection="0"/>
    <xf numFmtId="0" fontId="84" fillId="34" borderId="269" applyNumberFormat="0" applyAlignment="0" applyProtection="0"/>
    <xf numFmtId="0" fontId="81" fillId="21" borderId="284" applyNumberFormat="0" applyAlignment="0" applyProtection="0"/>
    <xf numFmtId="0" fontId="12" fillId="37" borderId="211" applyNumberFormat="0" applyFont="0" applyAlignment="0" applyProtection="0"/>
    <xf numFmtId="0" fontId="12" fillId="37" borderId="232" applyNumberFormat="0" applyFont="0" applyAlignment="0" applyProtection="0"/>
    <xf numFmtId="0" fontId="12" fillId="37" borderId="215" applyNumberFormat="0" applyFont="0" applyAlignment="0" applyProtection="0"/>
    <xf numFmtId="0" fontId="76" fillId="34" borderId="208" applyNumberFormat="0" applyAlignment="0" applyProtection="0"/>
    <xf numFmtId="0" fontId="84" fillId="34" borderId="234" applyNumberFormat="0" applyAlignment="0" applyProtection="0"/>
    <xf numFmtId="0" fontId="76" fillId="34" borderId="212" applyNumberFormat="0" applyAlignment="0" applyProtection="0"/>
    <xf numFmtId="0" fontId="12" fillId="37" borderId="246" applyNumberFormat="0" applyFont="0" applyAlignment="0" applyProtection="0"/>
    <xf numFmtId="0" fontId="84" fillId="34" borderId="234" applyNumberFormat="0" applyAlignment="0" applyProtection="0"/>
    <xf numFmtId="0" fontId="84" fillId="34" borderId="209" applyNumberFormat="0" applyAlignment="0" applyProtection="0"/>
    <xf numFmtId="0" fontId="12" fillId="37" borderId="232" applyNumberFormat="0" applyFont="0" applyAlignment="0" applyProtection="0"/>
    <xf numFmtId="0" fontId="12" fillId="37" borderId="202" applyNumberFormat="0" applyFont="0" applyAlignment="0" applyProtection="0"/>
    <xf numFmtId="0" fontId="5" fillId="0" borderId="245" applyNumberFormat="0" applyFill="0" applyAlignment="0" applyProtection="0"/>
    <xf numFmtId="0" fontId="84" fillId="34" borderId="225" applyNumberFormat="0" applyAlignment="0" applyProtection="0"/>
    <xf numFmtId="0" fontId="12" fillId="37" borderId="232" applyNumberFormat="0" applyFont="0" applyAlignment="0" applyProtection="0"/>
    <xf numFmtId="0" fontId="76" fillId="34" borderId="204" applyNumberFormat="0" applyAlignment="0" applyProtection="0"/>
    <xf numFmtId="0" fontId="81" fillId="21" borderId="208" applyNumberFormat="0" applyAlignment="0" applyProtection="0"/>
    <xf numFmtId="0" fontId="84" fillId="34" borderId="209" applyNumberFormat="0" applyAlignment="0" applyProtection="0"/>
    <xf numFmtId="0" fontId="12" fillId="37" borderId="232" applyNumberFormat="0" applyFont="0" applyAlignment="0" applyProtection="0"/>
    <xf numFmtId="0" fontId="5" fillId="0" borderId="214" applyNumberFormat="0" applyFill="0" applyAlignment="0" applyProtection="0"/>
    <xf numFmtId="0" fontId="76" fillId="34" borderId="198" applyNumberFormat="0" applyAlignment="0" applyProtection="0"/>
    <xf numFmtId="0" fontId="76" fillId="34" borderId="198" applyNumberFormat="0" applyAlignment="0" applyProtection="0"/>
    <xf numFmtId="0" fontId="81" fillId="21" borderId="198" applyNumberFormat="0" applyAlignment="0" applyProtection="0"/>
    <xf numFmtId="0" fontId="81" fillId="21"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263" applyNumberFormat="0" applyFont="0" applyAlignment="0" applyProtection="0"/>
    <xf numFmtId="0" fontId="5" fillId="0" borderId="270" applyNumberFormat="0" applyFill="0" applyAlignment="0" applyProtection="0"/>
    <xf numFmtId="0" fontId="12" fillId="37" borderId="223" applyNumberFormat="0" applyFont="0" applyAlignment="0" applyProtection="0"/>
    <xf numFmtId="0" fontId="12" fillId="37" borderId="232" applyNumberFormat="0" applyFont="0" applyAlignment="0" applyProtection="0"/>
    <xf numFmtId="0" fontId="12" fillId="37" borderId="197" applyNumberFormat="0" applyFont="0" applyAlignment="0" applyProtection="0"/>
    <xf numFmtId="0" fontId="84" fillId="34" borderId="225" applyNumberFormat="0" applyAlignment="0" applyProtection="0"/>
    <xf numFmtId="0" fontId="76" fillId="34" borderId="208" applyNumberFormat="0" applyAlignment="0" applyProtection="0"/>
    <xf numFmtId="0" fontId="12" fillId="37" borderId="207" applyNumberFormat="0" applyFont="0" applyAlignment="0" applyProtection="0"/>
    <xf numFmtId="0" fontId="5" fillId="0" borderId="210" applyNumberFormat="0" applyFill="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1" fillId="21" borderId="208" applyNumberFormat="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76" fillId="34" borderId="208" applyNumberFormat="0" applyAlignment="0" applyProtection="0"/>
    <xf numFmtId="0" fontId="12" fillId="37" borderId="232" applyNumberFormat="0" applyFont="0" applyAlignment="0" applyProtection="0"/>
    <xf numFmtId="0" fontId="76" fillId="34" borderId="243" applyNumberFormat="0" applyAlignment="0" applyProtection="0"/>
    <xf numFmtId="0" fontId="12" fillId="37" borderId="232" applyNumberFormat="0" applyFont="0" applyAlignment="0" applyProtection="0"/>
    <xf numFmtId="0" fontId="84" fillId="34" borderId="217" applyNumberFormat="0" applyAlignment="0" applyProtection="0"/>
    <xf numFmtId="0" fontId="76" fillId="34" borderId="248" applyNumberFormat="0" applyAlignment="0" applyProtection="0"/>
    <xf numFmtId="0" fontId="12" fillId="37" borderId="232" applyNumberFormat="0" applyFont="0" applyAlignment="0" applyProtection="0"/>
    <xf numFmtId="0" fontId="81" fillId="21" borderId="220" applyNumberFormat="0" applyAlignment="0" applyProtection="0"/>
    <xf numFmtId="0" fontId="5" fillId="0" borderId="245" applyNumberFormat="0" applyFill="0" applyAlignment="0" applyProtection="0"/>
    <xf numFmtId="0" fontId="84" fillId="34" borderId="213" applyNumberFormat="0" applyAlignment="0" applyProtection="0"/>
    <xf numFmtId="0" fontId="5" fillId="0" borderId="266"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81" fillId="21" borderId="256" applyNumberFormat="0" applyAlignment="0" applyProtection="0"/>
    <xf numFmtId="0" fontId="84" fillId="34" borderId="234" applyNumberFormat="0" applyAlignment="0" applyProtection="0"/>
    <xf numFmtId="0" fontId="12" fillId="37" borderId="219"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2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84" fillId="34" borderId="209" applyNumberFormat="0" applyAlignment="0" applyProtection="0"/>
    <xf numFmtId="0" fontId="12" fillId="37" borderId="202" applyNumberFormat="0" applyFont="0" applyAlignment="0" applyProtection="0"/>
    <xf numFmtId="0" fontId="81" fillId="21" borderId="208" applyNumberFormat="0" applyAlignment="0" applyProtection="0"/>
    <xf numFmtId="0" fontId="12" fillId="37" borderId="232" applyNumberFormat="0" applyFont="0" applyAlignment="0" applyProtection="0"/>
    <xf numFmtId="0" fontId="12" fillId="37" borderId="207" applyNumberFormat="0" applyFont="0" applyAlignment="0" applyProtection="0"/>
    <xf numFmtId="0" fontId="12" fillId="37" borderId="232" applyNumberFormat="0" applyFont="0" applyAlignment="0" applyProtection="0"/>
    <xf numFmtId="0" fontId="76" fillId="34" borderId="233" applyNumberFormat="0" applyAlignment="0" applyProtection="0"/>
    <xf numFmtId="0" fontId="5" fillId="0" borderId="214" applyNumberFormat="0" applyFill="0" applyAlignment="0" applyProtection="0"/>
    <xf numFmtId="0" fontId="12" fillId="37" borderId="207" applyNumberFormat="0" applyFont="0" applyAlignment="0" applyProtection="0"/>
    <xf numFmtId="0" fontId="5" fillId="0" borderId="226" applyNumberFormat="0" applyFill="0" applyAlignment="0" applyProtection="0"/>
    <xf numFmtId="0" fontId="12" fillId="37" borderId="232" applyNumberFormat="0" applyFont="0" applyAlignment="0" applyProtection="0"/>
    <xf numFmtId="0" fontId="81" fillId="21" borderId="243" applyNumberFormat="0" applyAlignment="0" applyProtection="0"/>
    <xf numFmtId="0" fontId="5" fillId="0" borderId="235" applyNumberFormat="0" applyFill="0" applyAlignment="0" applyProtection="0"/>
    <xf numFmtId="0" fontId="84" fillId="34" borderId="234" applyNumberFormat="0" applyAlignment="0" applyProtection="0"/>
    <xf numFmtId="0" fontId="76" fillId="34" borderId="233" applyNumberFormat="0" applyAlignment="0" applyProtection="0"/>
    <xf numFmtId="0" fontId="12" fillId="37" borderId="207" applyNumberFormat="0" applyFont="0" applyAlignment="0" applyProtection="0"/>
    <xf numFmtId="0" fontId="81" fillId="21" borderId="233" applyNumberFormat="0" applyAlignment="0" applyProtection="0"/>
    <xf numFmtId="0" fontId="5" fillId="0" borderId="231" applyNumberFormat="0" applyFill="0" applyAlignment="0" applyProtection="0"/>
    <xf numFmtId="0" fontId="12" fillId="37" borderId="202" applyNumberFormat="0" applyFont="0" applyAlignment="0" applyProtection="0"/>
    <xf numFmtId="0" fontId="12" fillId="37" borderId="202"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1" fillId="21" borderId="216" applyNumberFormat="0" applyAlignment="0" applyProtection="0"/>
    <xf numFmtId="0" fontId="81" fillId="21" borderId="233" applyNumberFormat="0" applyAlignment="0" applyProtection="0"/>
    <xf numFmtId="0" fontId="81" fillId="21" borderId="233" applyNumberFormat="0" applyAlignment="0" applyProtection="0"/>
    <xf numFmtId="0" fontId="76" fillId="34" borderId="243" applyNumberFormat="0" applyAlignment="0" applyProtection="0"/>
    <xf numFmtId="0" fontId="12" fillId="37" borderId="255" applyNumberFormat="0" applyFont="0" applyAlignment="0" applyProtection="0"/>
    <xf numFmtId="0" fontId="12" fillId="37" borderId="237" applyNumberFormat="0" applyFont="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219" applyNumberFormat="0" applyFont="0" applyAlignment="0" applyProtection="0"/>
    <xf numFmtId="0" fontId="76" fillId="34" borderId="233" applyNumberFormat="0" applyAlignment="0" applyProtection="0"/>
    <xf numFmtId="0" fontId="76" fillId="34" borderId="256" applyNumberFormat="0" applyAlignment="0" applyProtection="0"/>
    <xf numFmtId="0" fontId="81" fillId="21" borderId="216" applyNumberFormat="0" applyAlignment="0" applyProtection="0"/>
    <xf numFmtId="0" fontId="84" fillId="34" borderId="244" applyNumberFormat="0" applyAlignment="0" applyProtection="0"/>
    <xf numFmtId="0" fontId="84" fillId="34" borderId="239" applyNumberFormat="0" applyAlignment="0" applyProtection="0"/>
    <xf numFmtId="0" fontId="12" fillId="37" borderId="255" applyNumberFormat="0" applyFont="0" applyAlignment="0" applyProtection="0"/>
    <xf numFmtId="0" fontId="81" fillId="21" borderId="252" applyNumberFormat="0" applyAlignment="0" applyProtection="0"/>
    <xf numFmtId="0" fontId="12" fillId="37" borderId="215" applyNumberFormat="0" applyFont="0" applyAlignment="0" applyProtection="0"/>
    <xf numFmtId="0" fontId="76" fillId="34" borderId="216" applyNumberFormat="0" applyAlignment="0" applyProtection="0"/>
    <xf numFmtId="0" fontId="12" fillId="37" borderId="232" applyNumberFormat="0" applyFont="0" applyAlignment="0" applyProtection="0"/>
    <xf numFmtId="0" fontId="84" fillId="34" borderId="217" applyNumberFormat="0" applyAlignment="0" applyProtection="0"/>
    <xf numFmtId="0" fontId="12" fillId="37" borderId="271" applyNumberFormat="0" applyFont="0" applyAlignment="0" applyProtection="0"/>
    <xf numFmtId="0" fontId="81" fillId="21" borderId="268" applyNumberFormat="0" applyAlignment="0" applyProtection="0"/>
    <xf numFmtId="0" fontId="12" fillId="37" borderId="232" applyNumberFormat="0" applyFont="0" applyAlignment="0" applyProtection="0"/>
    <xf numFmtId="0" fontId="84" fillId="34" borderId="230" applyNumberFormat="0" applyAlignment="0" applyProtection="0"/>
    <xf numFmtId="0" fontId="12" fillId="37" borderId="263" applyNumberFormat="0" applyFont="0" applyAlignment="0" applyProtection="0"/>
    <xf numFmtId="0" fontId="76" fillId="34" borderId="272" applyNumberFormat="0" applyAlignment="0" applyProtection="0"/>
    <xf numFmtId="0" fontId="84" fillId="34" borderId="244" applyNumberFormat="0" applyAlignment="0" applyProtection="0"/>
    <xf numFmtId="0" fontId="81" fillId="21" borderId="276" applyNumberFormat="0" applyAlignment="0" applyProtection="0"/>
    <xf numFmtId="0" fontId="12" fillId="37" borderId="237" applyNumberFormat="0" applyFont="0" applyAlignment="0" applyProtection="0"/>
    <xf numFmtId="0" fontId="81" fillId="21" borderId="243" applyNumberFormat="0" applyAlignment="0" applyProtection="0"/>
    <xf numFmtId="0" fontId="81" fillId="21" borderId="216" applyNumberFormat="0" applyAlignment="0" applyProtection="0"/>
    <xf numFmtId="0" fontId="84" fillId="34" borderId="244"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81" fillId="21" borderId="208" applyNumberFormat="0" applyAlignment="0" applyProtection="0"/>
    <xf numFmtId="0" fontId="12" fillId="37" borderId="207" applyNumberFormat="0" applyFont="0" applyAlignment="0" applyProtection="0"/>
    <xf numFmtId="0" fontId="84" fillId="34" borderId="244" applyNumberFormat="0" applyAlignment="0" applyProtection="0"/>
    <xf numFmtId="0" fontId="5" fillId="0" borderId="210" applyNumberFormat="0" applyFill="0" applyAlignment="0" applyProtection="0"/>
    <xf numFmtId="0" fontId="81" fillId="21" borderId="280" applyNumberFormat="0" applyAlignment="0" applyProtection="0"/>
    <xf numFmtId="0" fontId="81" fillId="21" borderId="264" applyNumberFormat="0" applyAlignment="0" applyProtection="0"/>
    <xf numFmtId="0" fontId="12" fillId="37" borderId="259" applyNumberFormat="0" applyFont="0" applyAlignment="0" applyProtection="0"/>
    <xf numFmtId="0" fontId="81" fillId="21" borderId="224" applyNumberFormat="0" applyAlignment="0" applyProtection="0"/>
    <xf numFmtId="0" fontId="84" fillId="34" borderId="213"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12" fillId="37" borderId="242" applyNumberFormat="0" applyFont="0" applyAlignment="0" applyProtection="0"/>
    <xf numFmtId="0" fontId="12" fillId="37" borderId="232" applyNumberFormat="0" applyFont="0" applyAlignment="0" applyProtection="0"/>
    <xf numFmtId="0" fontId="5" fillId="0" borderId="250" applyNumberFormat="0" applyFill="0" applyAlignment="0" applyProtection="0"/>
    <xf numFmtId="0" fontId="12" fillId="37" borderId="246" applyNumberFormat="0" applyFont="0" applyAlignment="0" applyProtection="0"/>
    <xf numFmtId="0" fontId="81" fillId="21" borderId="229" applyNumberFormat="0" applyAlignment="0" applyProtection="0"/>
    <xf numFmtId="0" fontId="12" fillId="37" borderId="246" applyNumberFormat="0" applyFont="0" applyAlignment="0" applyProtection="0"/>
    <xf numFmtId="0" fontId="81" fillId="21" borderId="233" applyNumberFormat="0" applyAlignment="0" applyProtection="0"/>
    <xf numFmtId="0" fontId="12" fillId="37" borderId="246" applyNumberFormat="0" applyFont="0" applyAlignment="0" applyProtection="0"/>
    <xf numFmtId="0" fontId="84" fillId="34" borderId="199" applyNumberFormat="0" applyAlignment="0" applyProtection="0"/>
    <xf numFmtId="0" fontId="81" fillId="21" borderId="198" applyNumberFormat="0" applyAlignment="0" applyProtection="0"/>
    <xf numFmtId="0" fontId="5" fillId="0" borderId="235" applyNumberFormat="0" applyFill="0" applyAlignment="0" applyProtection="0"/>
    <xf numFmtId="0" fontId="12" fillId="37" borderId="207" applyNumberFormat="0" applyFont="0" applyAlignment="0" applyProtection="0"/>
    <xf numFmtId="0" fontId="12" fillId="37" borderId="227" applyNumberFormat="0" applyFont="0" applyAlignment="0" applyProtection="0"/>
    <xf numFmtId="0" fontId="84" fillId="34" borderId="234" applyNumberFormat="0" applyAlignment="0" applyProtection="0"/>
    <xf numFmtId="0" fontId="76" fillId="34" borderId="224" applyNumberFormat="0" applyAlignment="0" applyProtection="0"/>
    <xf numFmtId="0" fontId="12" fillId="37" borderId="207" applyNumberFormat="0" applyFont="0" applyAlignment="0" applyProtection="0"/>
    <xf numFmtId="0" fontId="5" fillId="0" borderId="235" applyNumberFormat="0" applyFill="0" applyAlignment="0" applyProtection="0"/>
    <xf numFmtId="0" fontId="81" fillId="21" borderId="212" applyNumberFormat="0" applyAlignment="0" applyProtection="0"/>
    <xf numFmtId="0" fontId="81" fillId="21" borderId="224" applyNumberForma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84" fillId="34" borderId="199" applyNumberFormat="0" applyAlignment="0" applyProtection="0"/>
    <xf numFmtId="0" fontId="5" fillId="0" borderId="200" applyNumberFormat="0" applyFill="0" applyAlignment="0" applyProtection="0"/>
    <xf numFmtId="0" fontId="81" fillId="21" borderId="198" applyNumberFormat="0" applyAlignment="0" applyProtection="0"/>
    <xf numFmtId="0" fontId="12" fillId="37" borderId="197" applyNumberFormat="0" applyFont="0" applyAlignment="0" applyProtection="0"/>
    <xf numFmtId="0" fontId="81" fillId="21" borderId="198" applyNumberFormat="0" applyAlignment="0" applyProtection="0"/>
    <xf numFmtId="0" fontId="81" fillId="21" borderId="198" applyNumberFormat="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84" fillId="34" borderId="199"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84" fillId="34" borderId="199" applyNumberFormat="0" applyAlignment="0" applyProtection="0"/>
    <xf numFmtId="0" fontId="12" fillId="37" borderId="197" applyNumberFormat="0" applyFont="0" applyAlignment="0" applyProtection="0"/>
    <xf numFmtId="0" fontId="81" fillId="21" borderId="198" applyNumberFormat="0" applyAlignment="0" applyProtection="0"/>
    <xf numFmtId="0" fontId="76" fillId="34" borderId="198" applyNumberFormat="0" applyAlignment="0" applyProtection="0"/>
    <xf numFmtId="0" fontId="76" fillId="34" borderId="198" applyNumberFormat="0" applyAlignment="0" applyProtection="0"/>
    <xf numFmtId="0" fontId="76" fillId="34" borderId="198" applyNumberFormat="0" applyAlignment="0" applyProtection="0"/>
    <xf numFmtId="0" fontId="81" fillId="21" borderId="198" applyNumberFormat="0" applyAlignment="0" applyProtection="0"/>
    <xf numFmtId="0" fontId="81" fillId="21"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5" fillId="0" borderId="200" applyNumberFormat="0" applyFill="0" applyAlignment="0" applyProtection="0"/>
    <xf numFmtId="0" fontId="5" fillId="0" borderId="200" applyNumberFormat="0" applyFill="0" applyAlignment="0" applyProtection="0"/>
    <xf numFmtId="0" fontId="12" fillId="37" borderId="197" applyNumberFormat="0" applyFont="0" applyAlignment="0" applyProtection="0"/>
    <xf numFmtId="0" fontId="12" fillId="37" borderId="197" applyNumberFormat="0" applyFont="0" applyAlignment="0" applyProtection="0"/>
    <xf numFmtId="0" fontId="76" fillId="34" borderId="198" applyNumberForma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4" fillId="34" borderId="199" applyNumberFormat="0" applyAlignment="0" applyProtection="0"/>
    <xf numFmtId="0" fontId="12" fillId="37" borderId="197" applyNumberFormat="0" applyFont="0" applyAlignment="0" applyProtection="0"/>
    <xf numFmtId="0" fontId="81" fillId="21" borderId="198" applyNumberForma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81" fillId="21" borderId="264" applyNumberFormat="0" applyAlignment="0" applyProtection="0"/>
    <xf numFmtId="0" fontId="12" fillId="37" borderId="197" applyNumberFormat="0" applyFont="0" applyAlignment="0" applyProtection="0"/>
    <xf numFmtId="0" fontId="84" fillId="34" borderId="199" applyNumberFormat="0" applyAlignment="0" applyProtection="0"/>
    <xf numFmtId="0" fontId="12" fillId="37" borderId="197" applyNumberFormat="0" applyFont="0" applyAlignment="0" applyProtection="0"/>
    <xf numFmtId="0" fontId="76" fillId="34" borderId="198"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5" fillId="0" borderId="200" applyNumberFormat="0" applyFill="0" applyAlignment="0" applyProtection="0"/>
    <xf numFmtId="0" fontId="84" fillId="34" borderId="199" applyNumberFormat="0" applyAlignment="0" applyProtection="0"/>
    <xf numFmtId="0" fontId="84" fillId="34" borderId="199" applyNumberFormat="0" applyAlignment="0" applyProtection="0"/>
    <xf numFmtId="0" fontId="12" fillId="37" borderId="197" applyNumberFormat="0" applyFont="0" applyAlignment="0" applyProtection="0"/>
    <xf numFmtId="0" fontId="12" fillId="37" borderId="197" applyNumberFormat="0" applyFont="0" applyAlignment="0" applyProtection="0"/>
    <xf numFmtId="0" fontId="81" fillId="21" borderId="198" applyNumberFormat="0" applyAlignment="0" applyProtection="0"/>
    <xf numFmtId="0" fontId="81" fillId="21" borderId="198" applyNumberFormat="0" applyAlignment="0" applyProtection="0"/>
    <xf numFmtId="0" fontId="76" fillId="34" borderId="198" applyNumberFormat="0" applyAlignment="0" applyProtection="0"/>
    <xf numFmtId="0" fontId="76" fillId="34" borderId="198" applyNumberFormat="0" applyAlignment="0" applyProtection="0"/>
    <xf numFmtId="0" fontId="84" fillId="34" borderId="199" applyNumberFormat="0" applyAlignment="0" applyProtection="0"/>
    <xf numFmtId="0" fontId="5" fillId="0" borderId="200" applyNumberFormat="0" applyFill="0" applyAlignment="0" applyProtection="0"/>
    <xf numFmtId="0" fontId="12" fillId="37" borderId="232"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5" fillId="0" borderId="200" applyNumberFormat="0" applyFill="0" applyAlignment="0" applyProtection="0"/>
    <xf numFmtId="0" fontId="12" fillId="37" borderId="197" applyNumberFormat="0" applyFont="0" applyAlignment="0" applyProtection="0"/>
    <xf numFmtId="0" fontId="81" fillId="21" borderId="198" applyNumberFormat="0" applyAlignment="0" applyProtection="0"/>
    <xf numFmtId="0" fontId="12" fillId="37" borderId="197" applyNumberFormat="0" applyFont="0" applyAlignment="0" applyProtection="0"/>
    <xf numFmtId="0" fontId="76" fillId="34" borderId="198" applyNumberFormat="0" applyAlignment="0" applyProtection="0"/>
    <xf numFmtId="0" fontId="81" fillId="21" borderId="198" applyNumberFormat="0" applyAlignment="0" applyProtection="0"/>
    <xf numFmtId="0" fontId="12" fillId="37" borderId="203" applyNumberFormat="0" applyFont="0" applyAlignment="0" applyProtection="0"/>
    <xf numFmtId="0" fontId="81" fillId="21" borderId="198" applyNumberFormat="0" applyAlignment="0" applyProtection="0"/>
    <xf numFmtId="0" fontId="12" fillId="37" borderId="283" applyNumberFormat="0" applyFont="0" applyAlignment="0" applyProtection="0"/>
    <xf numFmtId="0" fontId="5" fillId="0" borderId="200" applyNumberFormat="0" applyFill="0" applyAlignment="0" applyProtection="0"/>
    <xf numFmtId="0" fontId="81" fillId="21" borderId="198" applyNumberFormat="0" applyAlignment="0" applyProtection="0"/>
    <xf numFmtId="0" fontId="84" fillId="34" borderId="199" applyNumberFormat="0" applyAlignment="0" applyProtection="0"/>
    <xf numFmtId="0" fontId="76" fillId="34" borderId="198" applyNumberFormat="0" applyAlignment="0" applyProtection="0"/>
    <xf numFmtId="0" fontId="12" fillId="37" borderId="203" applyNumberFormat="0" applyFont="0" applyAlignment="0" applyProtection="0"/>
    <xf numFmtId="0" fontId="12" fillId="37" borderId="197" applyNumberFormat="0" applyFont="0" applyAlignment="0" applyProtection="0"/>
    <xf numFmtId="0" fontId="84" fillId="34" borderId="199" applyNumberFormat="0" applyAlignment="0" applyProtection="0"/>
    <xf numFmtId="0" fontId="76" fillId="34" borderId="198" applyNumberFormat="0" applyAlignment="0" applyProtection="0"/>
    <xf numFmtId="0" fontId="76" fillId="34" borderId="208" applyNumberFormat="0" applyAlignment="0" applyProtection="0"/>
    <xf numFmtId="0" fontId="5" fillId="0" borderId="210" applyNumberFormat="0" applyFill="0" applyAlignment="0" applyProtection="0"/>
    <xf numFmtId="0" fontId="81" fillId="21" borderId="243" applyNumberFormat="0" applyAlignment="0" applyProtection="0"/>
    <xf numFmtId="0" fontId="84" fillId="34" borderId="265" applyNumberFormat="0" applyAlignment="0" applyProtection="0"/>
    <xf numFmtId="0" fontId="84" fillId="34" borderId="289" applyNumberFormat="0" applyAlignment="0" applyProtection="0"/>
    <xf numFmtId="0" fontId="81" fillId="21" borderId="248" applyNumberFormat="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07" applyNumberFormat="0" applyFon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5" fillId="0" borderId="206" applyNumberFormat="0" applyFill="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84" fillId="34" borderId="205" applyNumberFormat="0" applyAlignment="0" applyProtection="0"/>
    <xf numFmtId="0" fontId="5" fillId="0" borderId="206" applyNumberFormat="0" applyFill="0" applyAlignment="0" applyProtection="0"/>
    <xf numFmtId="0" fontId="81" fillId="21" borderId="204" applyNumberForma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84" fillId="34" borderId="205" applyNumberFormat="0" applyAlignment="0" applyProtection="0"/>
    <xf numFmtId="0" fontId="5" fillId="0" borderId="206" applyNumberFormat="0" applyFill="0" applyAlignment="0" applyProtection="0"/>
    <xf numFmtId="0" fontId="5" fillId="0" borderId="206" applyNumberFormat="0" applyFill="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84" fillId="34" borderId="205" applyNumberFormat="0" applyAlignment="0" applyProtection="0"/>
    <xf numFmtId="0" fontId="12" fillId="37" borderId="203" applyNumberFormat="0" applyFont="0" applyAlignment="0" applyProtection="0"/>
    <xf numFmtId="0" fontId="81" fillId="21" borderId="204" applyNumberFormat="0" applyAlignment="0" applyProtection="0"/>
    <xf numFmtId="0" fontId="76" fillId="34" borderId="204" applyNumberFormat="0" applyAlignment="0" applyProtection="0"/>
    <xf numFmtId="0" fontId="76" fillId="34" borderId="204" applyNumberFormat="0" applyAlignment="0" applyProtection="0"/>
    <xf numFmtId="0" fontId="76" fillId="34" borderId="204" applyNumberFormat="0" applyAlignment="0" applyProtection="0"/>
    <xf numFmtId="0" fontId="81" fillId="21" borderId="204" applyNumberFormat="0" applyAlignment="0" applyProtection="0"/>
    <xf numFmtId="0" fontId="81" fillId="21"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5" fillId="0" borderId="206" applyNumberFormat="0" applyFill="0" applyAlignment="0" applyProtection="0"/>
    <xf numFmtId="0" fontId="5" fillId="0" borderId="206" applyNumberFormat="0" applyFill="0" applyAlignment="0" applyProtection="0"/>
    <xf numFmtId="0" fontId="12" fillId="37" borderId="203" applyNumberFormat="0" applyFont="0" applyAlignment="0" applyProtection="0"/>
    <xf numFmtId="0" fontId="12" fillId="37" borderId="203" applyNumberFormat="0" applyFont="0" applyAlignment="0" applyProtection="0"/>
    <xf numFmtId="0" fontId="76" fillId="34" borderId="204" applyNumberForma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84" fillId="34" borderId="205" applyNumberFormat="0" applyAlignment="0" applyProtection="0"/>
    <xf numFmtId="0" fontId="12" fillId="37" borderId="203" applyNumberFormat="0" applyFont="0" applyAlignment="0" applyProtection="0"/>
    <xf numFmtId="0" fontId="81" fillId="21" borderId="204" applyNumberForma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84" fillId="34" borderId="205" applyNumberFormat="0" applyAlignment="0" applyProtection="0"/>
    <xf numFmtId="0" fontId="12" fillId="37" borderId="203" applyNumberFormat="0" applyFont="0" applyAlignment="0" applyProtection="0"/>
    <xf numFmtId="0" fontId="76" fillId="34" borderId="204"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5" fillId="0" borderId="206" applyNumberFormat="0" applyFill="0" applyAlignment="0" applyProtection="0"/>
    <xf numFmtId="0" fontId="84" fillId="34" borderId="205" applyNumberFormat="0" applyAlignment="0" applyProtection="0"/>
    <xf numFmtId="0" fontId="84" fillId="34" borderId="205" applyNumberFormat="0" applyAlignment="0" applyProtection="0"/>
    <xf numFmtId="0" fontId="12" fillId="37" borderId="203" applyNumberFormat="0" applyFont="0" applyAlignment="0" applyProtection="0"/>
    <xf numFmtId="0" fontId="12" fillId="37" borderId="203" applyNumberFormat="0" applyFont="0" applyAlignment="0" applyProtection="0"/>
    <xf numFmtId="0" fontId="81" fillId="21" borderId="204" applyNumberFormat="0" applyAlignment="0" applyProtection="0"/>
    <xf numFmtId="0" fontId="81" fillId="21" borderId="204" applyNumberFormat="0" applyAlignment="0" applyProtection="0"/>
    <xf numFmtId="0" fontId="76" fillId="34" borderId="204" applyNumberFormat="0" applyAlignment="0" applyProtection="0"/>
    <xf numFmtId="0" fontId="76" fillId="34" borderId="204" applyNumberFormat="0" applyAlignment="0" applyProtection="0"/>
    <xf numFmtId="0" fontId="84" fillId="34" borderId="205" applyNumberFormat="0" applyAlignment="0" applyProtection="0"/>
    <xf numFmtId="0" fontId="5" fillId="0" borderId="206" applyNumberFormat="0" applyFill="0" applyAlignment="0" applyProtection="0"/>
    <xf numFmtId="0" fontId="12" fillId="37" borderId="26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5" fillId="0" borderId="206" applyNumberFormat="0" applyFill="0" applyAlignment="0" applyProtection="0"/>
    <xf numFmtId="0" fontId="12" fillId="37" borderId="203" applyNumberFormat="0" applyFont="0" applyAlignment="0" applyProtection="0"/>
    <xf numFmtId="0" fontId="81" fillId="21" borderId="204" applyNumberFormat="0" applyAlignment="0" applyProtection="0"/>
    <xf numFmtId="0" fontId="12" fillId="37" borderId="203" applyNumberFormat="0" applyFont="0" applyAlignment="0" applyProtection="0"/>
    <xf numFmtId="0" fontId="76" fillId="34" borderId="204" applyNumberFormat="0" applyAlignment="0" applyProtection="0"/>
    <xf numFmtId="0" fontId="81" fillId="21" borderId="204" applyNumberFormat="0" applyAlignment="0" applyProtection="0"/>
    <xf numFmtId="0" fontId="12" fillId="37" borderId="263" applyNumberFormat="0" applyFont="0" applyAlignment="0" applyProtection="0"/>
    <xf numFmtId="0" fontId="81" fillId="21" borderId="204" applyNumberFormat="0" applyAlignment="0" applyProtection="0"/>
    <xf numFmtId="0" fontId="12" fillId="37" borderId="232" applyNumberFormat="0" applyFont="0" applyAlignment="0" applyProtection="0"/>
    <xf numFmtId="0" fontId="5" fillId="0" borderId="206" applyNumberFormat="0" applyFill="0" applyAlignment="0" applyProtection="0"/>
    <xf numFmtId="0" fontId="81" fillId="21" borderId="204" applyNumberFormat="0" applyAlignment="0" applyProtection="0"/>
    <xf numFmtId="0" fontId="84" fillId="34" borderId="205" applyNumberFormat="0" applyAlignment="0" applyProtection="0"/>
    <xf numFmtId="0" fontId="81" fillId="21" borderId="208" applyNumberFormat="0" applyAlignment="0" applyProtection="0"/>
    <xf numFmtId="0" fontId="76" fillId="34" borderId="204" applyNumberFormat="0" applyAlignment="0" applyProtection="0"/>
    <xf numFmtId="0" fontId="12" fillId="37" borderId="203" applyNumberFormat="0" applyFont="0" applyAlignment="0" applyProtection="0"/>
    <xf numFmtId="0" fontId="84" fillId="34" borderId="205" applyNumberFormat="0" applyAlignment="0" applyProtection="0"/>
    <xf numFmtId="0" fontId="76" fillId="34" borderId="204" applyNumberFormat="0" applyAlignment="0" applyProtection="0"/>
    <xf numFmtId="0" fontId="76" fillId="34" borderId="224" applyNumberFormat="0" applyAlignment="0" applyProtection="0"/>
    <xf numFmtId="0" fontId="5" fillId="0" borderId="235" applyNumberFormat="0" applyFill="0" applyAlignment="0" applyProtection="0"/>
    <xf numFmtId="0" fontId="5" fillId="0" borderId="240" applyNumberFormat="0" applyFill="0" applyAlignment="0" applyProtection="0"/>
    <xf numFmtId="0" fontId="12" fillId="37" borderId="247" applyNumberFormat="0" applyFont="0" applyAlignment="0" applyProtection="0"/>
    <xf numFmtId="0" fontId="81" fillId="21" borderId="233" applyNumberFormat="0" applyAlignment="0" applyProtection="0"/>
    <xf numFmtId="0" fontId="5" fillId="0" borderId="235" applyNumberFormat="0" applyFill="0" applyAlignment="0" applyProtection="0"/>
    <xf numFmtId="0" fontId="12" fillId="37" borderId="232" applyNumberFormat="0" applyFont="0" applyAlignment="0" applyProtection="0"/>
    <xf numFmtId="0" fontId="81" fillId="21" borderId="229" applyNumberFormat="0" applyAlignment="0" applyProtection="0"/>
    <xf numFmtId="0" fontId="5" fillId="0" borderId="254" applyNumberFormat="0" applyFill="0" applyAlignment="0" applyProtection="0"/>
    <xf numFmtId="0" fontId="76" fillId="34" borderId="216" applyNumberFormat="0" applyAlignment="0" applyProtection="0"/>
    <xf numFmtId="0" fontId="12" fillId="37" borderId="251" applyNumberFormat="0" applyFont="0" applyAlignment="0" applyProtection="0"/>
    <xf numFmtId="0" fontId="12" fillId="37" borderId="227" applyNumberFormat="0" applyFont="0" applyAlignment="0" applyProtection="0"/>
    <xf numFmtId="0" fontId="81" fillId="21" borderId="233" applyNumberFormat="0" applyAlignment="0" applyProtection="0"/>
    <xf numFmtId="0" fontId="76" fillId="34" borderId="280" applyNumberFormat="0" applyAlignment="0" applyProtection="0"/>
    <xf numFmtId="0" fontId="12" fillId="37" borderId="271" applyNumberFormat="0" applyFont="0" applyAlignment="0" applyProtection="0"/>
    <xf numFmtId="0" fontId="12" fillId="37" borderId="211" applyNumberFormat="0" applyFont="0" applyAlignment="0" applyProtection="0"/>
    <xf numFmtId="0" fontId="81" fillId="21" borderId="220" applyNumberFormat="0" applyAlignment="0" applyProtection="0"/>
    <xf numFmtId="0" fontId="81" fillId="21" borderId="238" applyNumberFormat="0" applyAlignment="0" applyProtection="0"/>
    <xf numFmtId="0" fontId="12" fillId="37" borderId="275" applyNumberFormat="0" applyFont="0" applyAlignment="0" applyProtection="0"/>
    <xf numFmtId="0" fontId="5" fillId="0" borderId="226" applyNumberFormat="0" applyFill="0" applyAlignment="0" applyProtection="0"/>
    <xf numFmtId="0" fontId="76" fillId="34" borderId="229" applyNumberFormat="0" applyAlignment="0" applyProtection="0"/>
    <xf numFmtId="0" fontId="12" fillId="37" borderId="232" applyNumberFormat="0" applyFont="0" applyAlignment="0" applyProtection="0"/>
    <xf numFmtId="0" fontId="81" fillId="21" borderId="224" applyNumberFormat="0" applyAlignment="0" applyProtection="0"/>
    <xf numFmtId="0" fontId="76" fillId="34" borderId="280" applyNumberFormat="0" applyAlignment="0" applyProtection="0"/>
    <xf numFmtId="0" fontId="81" fillId="21" borderId="233" applyNumberFormat="0" applyAlignment="0" applyProtection="0"/>
    <xf numFmtId="0" fontId="12" fillId="37" borderId="267" applyNumberFormat="0" applyFont="0" applyAlignment="0" applyProtection="0"/>
    <xf numFmtId="0" fontId="76" fillId="34" borderId="229" applyNumberFormat="0" applyAlignment="0" applyProtection="0"/>
    <xf numFmtId="0" fontId="12" fillId="37" borderId="207"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12" applyNumberFormat="0" applyAlignment="0" applyProtection="0"/>
    <xf numFmtId="0" fontId="12" fillId="37" borderId="35" applyNumberFormat="0" applyFont="0" applyAlignment="0" applyProtection="0"/>
    <xf numFmtId="0" fontId="12" fillId="37" borderId="223"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38"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08" applyNumberFormat="0" applyAlignment="0" applyProtection="0"/>
    <xf numFmtId="0" fontId="5" fillId="0" borderId="21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37" applyNumberFormat="0" applyFont="0" applyAlignment="0" applyProtection="0"/>
    <xf numFmtId="0" fontId="84" fillId="34" borderId="234"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85" applyNumberFormat="0" applyAlignment="0" applyProtection="0"/>
    <xf numFmtId="0" fontId="5" fillId="0" borderId="240" applyNumberFormat="0" applyFill="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35" applyNumberFormat="0" applyFill="0" applyAlignment="0" applyProtection="0"/>
    <xf numFmtId="0" fontId="5" fillId="0" borderId="210" applyNumberFormat="0" applyFill="0" applyAlignment="0" applyProtection="0"/>
    <xf numFmtId="0" fontId="81" fillId="21" borderId="243" applyNumberFormat="0" applyAlignment="0" applyProtection="0"/>
    <xf numFmtId="0" fontId="12" fillId="37" borderId="35" applyNumberFormat="0" applyFont="0" applyAlignment="0" applyProtection="0"/>
    <xf numFmtId="0" fontId="5" fillId="0" borderId="210" applyNumberFormat="0" applyFill="0" applyAlignment="0" applyProtection="0"/>
    <xf numFmtId="0" fontId="5" fillId="0" borderId="210" applyNumberFormat="0" applyFill="0" applyAlignment="0" applyProtection="0"/>
    <xf numFmtId="0" fontId="12" fillId="37" borderId="207" applyNumberFormat="0" applyFont="0" applyAlignment="0" applyProtection="0"/>
    <xf numFmtId="0" fontId="76" fillId="34" borderId="264" applyNumberFormat="0" applyAlignment="0" applyProtection="0"/>
    <xf numFmtId="0" fontId="76" fillId="34" borderId="243"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5" fillId="0" borderId="235"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5" fillId="0" borderId="210" applyNumberFormat="0" applyFill="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19" applyNumberFormat="0" applyFont="0" applyAlignment="0" applyProtection="0"/>
    <xf numFmtId="0" fontId="12" fillId="37" borderId="35" applyNumberFormat="0" applyFont="0" applyAlignment="0" applyProtection="0"/>
    <xf numFmtId="0" fontId="12" fillId="37" borderId="232" applyNumberFormat="0" applyFon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34" applyNumberFormat="0" applyAlignment="0" applyProtection="0"/>
    <xf numFmtId="0" fontId="81" fillId="21" borderId="252" applyNumberFormat="0" applyAlignment="0" applyProtection="0"/>
    <xf numFmtId="0" fontId="12" fillId="37" borderId="35"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76" fillId="34" borderId="264" applyNumberFormat="0" applyAlignment="0" applyProtection="0"/>
    <xf numFmtId="0" fontId="12" fillId="37" borderId="219" applyNumberFormat="0" applyFont="0" applyAlignment="0" applyProtection="0"/>
    <xf numFmtId="0" fontId="12" fillId="37" borderId="35" applyNumberFormat="0" applyFont="0" applyAlignment="0" applyProtection="0"/>
    <xf numFmtId="0" fontId="12" fillId="37" borderId="35" applyNumberFormat="0" applyFont="0" applyAlignment="0" applyProtection="0"/>
    <xf numFmtId="0" fontId="84" fillId="34" borderId="257" applyNumberFormat="0" applyAlignment="0" applyProtection="0"/>
    <xf numFmtId="0" fontId="12" fillId="37" borderId="232"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12" fillId="37" borderId="263" applyNumberFormat="0" applyFont="0" applyAlignment="0" applyProtection="0"/>
    <xf numFmtId="0" fontId="84" fillId="34" borderId="234" applyNumberFormat="0" applyAlignment="0" applyProtection="0"/>
    <xf numFmtId="0" fontId="12" fillId="37" borderId="247" applyNumberFormat="0" applyFont="0" applyAlignment="0" applyProtection="0"/>
    <xf numFmtId="0" fontId="12" fillId="37" borderId="35" applyNumberFormat="0" applyFont="0" applyAlignment="0" applyProtection="0"/>
    <xf numFmtId="0" fontId="5" fillId="0" borderId="235" applyNumberFormat="0" applyFill="0" applyAlignment="0" applyProtection="0"/>
    <xf numFmtId="0" fontId="12" fillId="37" borderId="35" applyNumberFormat="0" applyFont="0" applyAlignment="0" applyProtection="0"/>
    <xf numFmtId="0" fontId="12" fillId="37" borderId="246" applyNumberFormat="0" applyFont="0" applyAlignment="0" applyProtection="0"/>
    <xf numFmtId="0" fontId="12" fillId="37" borderId="35" applyNumberFormat="0" applyFont="0" applyAlignment="0" applyProtection="0"/>
    <xf numFmtId="0" fontId="12" fillId="37" borderId="207"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11" applyNumberFormat="0" applyFont="0" applyAlignment="0" applyProtection="0"/>
    <xf numFmtId="0" fontId="12" fillId="37" borderId="232" applyNumberFormat="0" applyFont="0" applyAlignment="0" applyProtection="0"/>
    <xf numFmtId="0" fontId="5" fillId="0" borderId="210" applyNumberFormat="0" applyFill="0" applyAlignment="0" applyProtection="0"/>
    <xf numFmtId="0" fontId="12" fillId="37" borderId="35" applyNumberFormat="0" applyFont="0" applyAlignment="0" applyProtection="0"/>
    <xf numFmtId="0" fontId="81" fillId="21" borderId="212" applyNumberFormat="0" applyAlignment="0" applyProtection="0"/>
    <xf numFmtId="0" fontId="12" fillId="37" borderId="207" applyNumberFormat="0" applyFont="0" applyAlignment="0" applyProtection="0"/>
    <xf numFmtId="0" fontId="81" fillId="21" borderId="208" applyNumberFormat="0" applyAlignment="0" applyProtection="0"/>
    <xf numFmtId="0" fontId="76" fillId="34"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4" fillId="34" borderId="209" applyNumberFormat="0" applyAlignment="0" applyProtection="0"/>
    <xf numFmtId="0" fontId="81" fillId="21" borderId="233" applyNumberFormat="0" applyAlignment="0" applyProtection="0"/>
    <xf numFmtId="0" fontId="12" fillId="37" borderId="207" applyNumberFormat="0" applyFont="0" applyAlignment="0" applyProtection="0"/>
    <xf numFmtId="0" fontId="84" fillId="34" borderId="209" applyNumberFormat="0" applyAlignment="0" applyProtection="0"/>
    <xf numFmtId="0" fontId="12" fillId="37" borderId="207" applyNumberFormat="0" applyFont="0" applyAlignment="0" applyProtection="0"/>
    <xf numFmtId="0" fontId="76" fillId="34" borderId="208"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5" fillId="0" borderId="210" applyNumberFormat="0" applyFill="0" applyAlignment="0" applyProtection="0"/>
    <xf numFmtId="0" fontId="84" fillId="34" borderId="209" applyNumberFormat="0" applyAlignment="0" applyProtection="0"/>
    <xf numFmtId="0" fontId="84" fillId="34" borderId="209" applyNumberFormat="0" applyAlignment="0" applyProtection="0"/>
    <xf numFmtId="0" fontId="12" fillId="37" borderId="207" applyNumberFormat="0" applyFont="0" applyAlignment="0" applyProtection="0"/>
    <xf numFmtId="0" fontId="12" fillId="37" borderId="207" applyNumberFormat="0" applyFont="0" applyAlignment="0" applyProtection="0"/>
    <xf numFmtId="0" fontId="81" fillId="21" borderId="208" applyNumberFormat="0" applyAlignment="0" applyProtection="0"/>
    <xf numFmtId="0" fontId="81" fillId="21" borderId="208" applyNumberFormat="0" applyAlignment="0" applyProtection="0"/>
    <xf numFmtId="0" fontId="76" fillId="34" borderId="208" applyNumberFormat="0" applyAlignment="0" applyProtection="0"/>
    <xf numFmtId="0" fontId="76" fillId="34" borderId="208" applyNumberFormat="0" applyAlignment="0" applyProtection="0"/>
    <xf numFmtId="0" fontId="84" fillId="34" borderId="209" applyNumberFormat="0" applyAlignment="0" applyProtection="0"/>
    <xf numFmtId="0" fontId="5" fillId="0" borderId="210" applyNumberFormat="0" applyFill="0" applyAlignment="0" applyProtection="0"/>
    <xf numFmtId="0" fontId="5" fillId="0" borderId="210" applyNumberFormat="0" applyFill="0" applyAlignment="0" applyProtection="0"/>
    <xf numFmtId="0" fontId="12" fillId="37" borderId="207" applyNumberFormat="0" applyFont="0" applyAlignment="0" applyProtection="0"/>
    <xf numFmtId="0" fontId="5" fillId="0" borderId="210" applyNumberFormat="0" applyFill="0" applyAlignment="0" applyProtection="0"/>
    <xf numFmtId="0" fontId="12" fillId="37" borderId="207" applyNumberFormat="0" applyFont="0" applyAlignment="0" applyProtection="0"/>
    <xf numFmtId="0" fontId="81" fillId="21" borderId="208" applyNumberFormat="0" applyAlignment="0" applyProtection="0"/>
    <xf numFmtId="0" fontId="12" fillId="37" borderId="207" applyNumberFormat="0" applyFont="0" applyAlignment="0" applyProtection="0"/>
    <xf numFmtId="0" fontId="76" fillId="34" borderId="208" applyNumberFormat="0" applyAlignment="0" applyProtection="0"/>
    <xf numFmtId="0" fontId="81" fillId="21" borderId="208" applyNumberFormat="0" applyAlignment="0" applyProtection="0"/>
    <xf numFmtId="0" fontId="81" fillId="21" borderId="208" applyNumberFormat="0" applyAlignment="0" applyProtection="0"/>
    <xf numFmtId="0" fontId="5" fillId="0" borderId="245" applyNumberFormat="0" applyFill="0" applyAlignment="0" applyProtection="0"/>
    <xf numFmtId="0" fontId="5" fillId="0" borderId="210" applyNumberFormat="0" applyFill="0" applyAlignment="0" applyProtection="0"/>
    <xf numFmtId="0" fontId="81" fillId="21" borderId="208" applyNumberFormat="0" applyAlignment="0" applyProtection="0"/>
    <xf numFmtId="0" fontId="84" fillId="34" borderId="209" applyNumberFormat="0" applyAlignment="0" applyProtection="0"/>
    <xf numFmtId="0" fontId="5" fillId="0" borderId="235" applyNumberFormat="0" applyFill="0" applyAlignment="0" applyProtection="0"/>
    <xf numFmtId="0" fontId="76" fillId="34" borderId="208" applyNumberFormat="0" applyAlignment="0" applyProtection="0"/>
    <xf numFmtId="0" fontId="12" fillId="37" borderId="207" applyNumberFormat="0" applyFont="0" applyAlignment="0" applyProtection="0"/>
    <xf numFmtId="0" fontId="84" fillId="34" borderId="209" applyNumberFormat="0" applyAlignment="0" applyProtection="0"/>
    <xf numFmtId="0" fontId="76" fillId="34" borderId="208" applyNumberFormat="0" applyAlignment="0" applyProtection="0"/>
    <xf numFmtId="0" fontId="12" fillId="37" borderId="227" applyNumberFormat="0" applyFont="0" applyAlignment="0" applyProtection="0"/>
    <xf numFmtId="0" fontId="5" fillId="0" borderId="222" applyNumberFormat="0" applyFill="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5" fillId="0" borderId="218" applyNumberFormat="0" applyFill="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76" fillId="34"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84" fillId="34" borderId="217" applyNumberFormat="0" applyAlignment="0" applyProtection="0"/>
    <xf numFmtId="0" fontId="5" fillId="0" borderId="218" applyNumberFormat="0" applyFill="0" applyAlignment="0" applyProtection="0"/>
    <xf numFmtId="0" fontId="81" fillId="21" borderId="216" applyNumberFormat="0" applyAlignment="0" applyProtection="0"/>
    <xf numFmtId="0" fontId="12" fillId="37" borderId="215" applyNumberFormat="0" applyFont="0" applyAlignment="0" applyProtection="0"/>
    <xf numFmtId="0" fontId="81" fillId="21" borderId="216" applyNumberFormat="0" applyAlignment="0" applyProtection="0"/>
    <xf numFmtId="0" fontId="81" fillId="21" borderId="216" applyNumberFormat="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84" fillId="34" borderId="217" applyNumberFormat="0" applyAlignment="0" applyProtection="0"/>
    <xf numFmtId="0" fontId="5" fillId="0" borderId="218" applyNumberFormat="0" applyFill="0" applyAlignment="0" applyProtection="0"/>
    <xf numFmtId="0" fontId="5" fillId="0" borderId="218" applyNumberFormat="0" applyFill="0" applyAlignment="0" applyProtection="0"/>
    <xf numFmtId="0" fontId="84" fillId="34" borderId="217"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22" applyNumberFormat="0" applyFill="0" applyAlignment="0" applyProtection="0"/>
    <xf numFmtId="0" fontId="76" fillId="34" borderId="216" applyNumberFormat="0" applyAlignment="0" applyProtection="0"/>
    <xf numFmtId="0" fontId="84" fillId="34" borderId="217" applyNumberFormat="0" applyAlignment="0" applyProtection="0"/>
    <xf numFmtId="0" fontId="12" fillId="37" borderId="215" applyNumberFormat="0" applyFont="0" applyAlignment="0" applyProtection="0"/>
    <xf numFmtId="0" fontId="81" fillId="21" borderId="216" applyNumberFormat="0" applyAlignment="0" applyProtection="0"/>
    <xf numFmtId="0" fontId="76" fillId="34" borderId="216" applyNumberFormat="0" applyAlignment="0" applyProtection="0"/>
    <xf numFmtId="0" fontId="76" fillId="34" borderId="216" applyNumberFormat="0" applyAlignment="0" applyProtection="0"/>
    <xf numFmtId="0" fontId="76" fillId="34" borderId="216" applyNumberFormat="0" applyAlignment="0" applyProtection="0"/>
    <xf numFmtId="0" fontId="81" fillId="21" borderId="216" applyNumberFormat="0" applyAlignment="0" applyProtection="0"/>
    <xf numFmtId="0" fontId="81" fillId="21"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5" fillId="0" borderId="218" applyNumberFormat="0" applyFill="0" applyAlignment="0" applyProtection="0"/>
    <xf numFmtId="0" fontId="5" fillId="0" borderId="218" applyNumberFormat="0" applyFill="0" applyAlignment="0" applyProtection="0"/>
    <xf numFmtId="0" fontId="12" fillId="37" borderId="215" applyNumberFormat="0" applyFont="0" applyAlignment="0" applyProtection="0"/>
    <xf numFmtId="0" fontId="12" fillId="37" borderId="215" applyNumberFormat="0" applyFont="0" applyAlignment="0" applyProtection="0"/>
    <xf numFmtId="0" fontId="76" fillId="34" borderId="216" applyNumberFormat="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84" fillId="34" borderId="217" applyNumberFormat="0" applyAlignment="0" applyProtection="0"/>
    <xf numFmtId="0" fontId="12" fillId="37" borderId="215" applyNumberFormat="0" applyFont="0" applyAlignment="0" applyProtection="0"/>
    <xf numFmtId="0" fontId="81" fillId="21" borderId="216" applyNumberForma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76" fillId="34" borderId="233" applyNumberFormat="0" applyAlignment="0" applyProtection="0"/>
    <xf numFmtId="0" fontId="12" fillId="37" borderId="219" applyNumberFormat="0" applyFont="0" applyAlignment="0" applyProtection="0"/>
    <xf numFmtId="0" fontId="12" fillId="37" borderId="215" applyNumberFormat="0" applyFont="0" applyAlignment="0" applyProtection="0"/>
    <xf numFmtId="0" fontId="84" fillId="34" borderId="217" applyNumberFormat="0" applyAlignment="0" applyProtection="0"/>
    <xf numFmtId="0" fontId="12" fillId="37" borderId="215" applyNumberFormat="0" applyFont="0" applyAlignment="0" applyProtection="0"/>
    <xf numFmtId="0" fontId="76" fillId="34" borderId="216"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5" fillId="0" borderId="218" applyNumberFormat="0" applyFill="0" applyAlignment="0" applyProtection="0"/>
    <xf numFmtId="0" fontId="84" fillId="34" borderId="217" applyNumberFormat="0" applyAlignment="0" applyProtection="0"/>
    <xf numFmtId="0" fontId="84" fillId="34" borderId="217" applyNumberFormat="0" applyAlignment="0" applyProtection="0"/>
    <xf numFmtId="0" fontId="12" fillId="37" borderId="215" applyNumberFormat="0" applyFont="0" applyAlignment="0" applyProtection="0"/>
    <xf numFmtId="0" fontId="12" fillId="37" borderId="215" applyNumberFormat="0" applyFont="0" applyAlignment="0" applyProtection="0"/>
    <xf numFmtId="0" fontId="81" fillId="21" borderId="216" applyNumberFormat="0" applyAlignment="0" applyProtection="0"/>
    <xf numFmtId="0" fontId="81" fillId="21" borderId="216" applyNumberFormat="0" applyAlignment="0" applyProtection="0"/>
    <xf numFmtId="0" fontId="76" fillId="34" borderId="216" applyNumberFormat="0" applyAlignment="0" applyProtection="0"/>
    <xf numFmtId="0" fontId="76" fillId="34" borderId="216" applyNumberFormat="0" applyAlignment="0" applyProtection="0"/>
    <xf numFmtId="0" fontId="84" fillId="34" borderId="217" applyNumberFormat="0" applyAlignment="0" applyProtection="0"/>
    <xf numFmtId="0" fontId="5" fillId="0" borderId="218" applyNumberFormat="0" applyFill="0" applyAlignment="0" applyProtection="0"/>
    <xf numFmtId="0" fontId="84" fillId="34" borderId="234" applyNumberFormat="0" applyAlignment="0" applyProtection="0"/>
    <xf numFmtId="0" fontId="5" fillId="0" borderId="218" applyNumberFormat="0" applyFill="0" applyAlignment="0" applyProtection="0"/>
    <xf numFmtId="0" fontId="12" fillId="37" borderId="215" applyNumberFormat="0" applyFont="0" applyAlignment="0" applyProtection="0"/>
    <xf numFmtId="0" fontId="5" fillId="0" borderId="218" applyNumberFormat="0" applyFill="0" applyAlignment="0" applyProtection="0"/>
    <xf numFmtId="0" fontId="12" fillId="37" borderId="215" applyNumberFormat="0" applyFont="0" applyAlignment="0" applyProtection="0"/>
    <xf numFmtId="0" fontId="81" fillId="21" borderId="216" applyNumberFormat="0" applyAlignment="0" applyProtection="0"/>
    <xf numFmtId="0" fontId="12" fillId="37" borderId="215" applyNumberFormat="0" applyFont="0" applyAlignment="0" applyProtection="0"/>
    <xf numFmtId="0" fontId="76" fillId="34" borderId="216" applyNumberFormat="0" applyAlignment="0" applyProtection="0"/>
    <xf numFmtId="0" fontId="81" fillId="21" borderId="216" applyNumberFormat="0" applyAlignment="0" applyProtection="0"/>
    <xf numFmtId="0" fontId="5" fillId="0" borderId="235" applyNumberFormat="0" applyFill="0" applyAlignment="0" applyProtection="0"/>
    <xf numFmtId="0" fontId="81" fillId="21" borderId="216" applyNumberFormat="0" applyAlignment="0" applyProtection="0"/>
    <xf numFmtId="0" fontId="84" fillId="34" borderId="221" applyNumberFormat="0" applyAlignment="0" applyProtection="0"/>
    <xf numFmtId="0" fontId="5" fillId="0" borderId="218" applyNumberFormat="0" applyFill="0" applyAlignment="0" applyProtection="0"/>
    <xf numFmtId="0" fontId="81" fillId="21" borderId="216" applyNumberFormat="0" applyAlignment="0" applyProtection="0"/>
    <xf numFmtId="0" fontId="84" fillId="34" borderId="217" applyNumberFormat="0" applyAlignment="0" applyProtection="0"/>
    <xf numFmtId="0" fontId="76" fillId="34" borderId="216" applyNumberFormat="0" applyAlignment="0" applyProtection="0"/>
    <xf numFmtId="0" fontId="84" fillId="34" borderId="221" applyNumberFormat="0" applyAlignment="0" applyProtection="0"/>
    <xf numFmtId="0" fontId="12" fillId="37" borderId="215" applyNumberFormat="0" applyFont="0" applyAlignment="0" applyProtection="0"/>
    <xf numFmtId="0" fontId="84" fillId="34" borderId="217" applyNumberFormat="0" applyAlignment="0" applyProtection="0"/>
    <xf numFmtId="0" fontId="76" fillId="34" borderId="216" applyNumberFormat="0" applyAlignment="0" applyProtection="0"/>
    <xf numFmtId="0" fontId="5" fillId="0" borderId="235" applyNumberFormat="0" applyFill="0" applyAlignment="0" applyProtection="0"/>
    <xf numFmtId="0" fontId="76" fillId="34" borderId="233" applyNumberFormat="0" applyAlignment="0" applyProtection="0"/>
    <xf numFmtId="0" fontId="5" fillId="0" borderId="258" applyNumberFormat="0" applyFill="0" applyAlignment="0" applyProtection="0"/>
    <xf numFmtId="0" fontId="84" fillId="34" borderId="221" applyNumberFormat="0" applyAlignment="0" applyProtection="0"/>
    <xf numFmtId="0" fontId="81" fillId="21" borderId="220" applyNumberFormat="0" applyAlignment="0" applyProtection="0"/>
    <xf numFmtId="0" fontId="5" fillId="0" borderId="235" applyNumberFormat="0" applyFill="0" applyAlignment="0" applyProtection="0"/>
    <xf numFmtId="0" fontId="12" fillId="37" borderId="232" applyNumberFormat="0" applyFont="0" applyAlignment="0" applyProtection="0"/>
    <xf numFmtId="0" fontId="76" fillId="34" borderId="233" applyNumberFormat="0" applyAlignment="0" applyProtection="0"/>
    <xf numFmtId="0" fontId="84" fillId="34" borderId="244" applyNumberFormat="0" applyAlignment="0" applyProtection="0"/>
    <xf numFmtId="0" fontId="12" fillId="37" borderId="232" applyNumberFormat="0" applyFont="0" applyAlignment="0" applyProtection="0"/>
    <xf numFmtId="0" fontId="76" fillId="34" borderId="233" applyNumberFormat="0" applyAlignment="0" applyProtection="0"/>
    <xf numFmtId="0" fontId="76" fillId="34" borderId="233" applyNumberFormat="0" applyAlignment="0" applyProtection="0"/>
    <xf numFmtId="0" fontId="76" fillId="34" borderId="233" applyNumberFormat="0" applyAlignment="0" applyProtection="0"/>
    <xf numFmtId="0" fontId="84" fillId="34" borderId="234" applyNumberFormat="0" applyAlignment="0" applyProtection="0"/>
    <xf numFmtId="0" fontId="5" fillId="0" borderId="235" applyNumberFormat="0" applyFill="0" applyAlignment="0" applyProtection="0"/>
    <xf numFmtId="0" fontId="5" fillId="0" borderId="23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5" fillId="0" borderId="222" applyNumberFormat="0" applyFill="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84" fillId="34" borderId="221" applyNumberFormat="0" applyAlignment="0" applyProtection="0"/>
    <xf numFmtId="0" fontId="5" fillId="0" borderId="222" applyNumberFormat="0" applyFill="0" applyAlignment="0" applyProtection="0"/>
    <xf numFmtId="0" fontId="81" fillId="21" borderId="220" applyNumberFormat="0" applyAlignment="0" applyProtection="0"/>
    <xf numFmtId="0" fontId="12" fillId="37" borderId="219" applyNumberFormat="0" applyFont="0" applyAlignment="0" applyProtection="0"/>
    <xf numFmtId="0" fontId="81" fillId="21" borderId="220" applyNumberFormat="0" applyAlignment="0" applyProtection="0"/>
    <xf numFmtId="0" fontId="81" fillId="21" borderId="220" applyNumberFormat="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84" fillId="34" borderId="221" applyNumberFormat="0" applyAlignment="0" applyProtection="0"/>
    <xf numFmtId="0" fontId="5" fillId="0" borderId="222" applyNumberFormat="0" applyFill="0" applyAlignment="0" applyProtection="0"/>
    <xf numFmtId="0" fontId="5" fillId="0" borderId="222" applyNumberFormat="0" applyFill="0" applyAlignment="0" applyProtection="0"/>
    <xf numFmtId="0" fontId="84" fillId="34" borderId="221"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84" fillId="34" borderId="221" applyNumberFormat="0" applyAlignment="0" applyProtection="0"/>
    <xf numFmtId="0" fontId="12" fillId="37" borderId="219" applyNumberFormat="0" applyFont="0" applyAlignment="0" applyProtection="0"/>
    <xf numFmtId="0" fontId="81" fillId="21" borderId="220" applyNumberFormat="0" applyAlignment="0" applyProtection="0"/>
    <xf numFmtId="0" fontId="76" fillId="34" borderId="220" applyNumberFormat="0" applyAlignment="0" applyProtection="0"/>
    <xf numFmtId="0" fontId="76" fillId="34" borderId="220" applyNumberFormat="0" applyAlignment="0" applyProtection="0"/>
    <xf numFmtId="0" fontId="76" fillId="34" borderId="220" applyNumberFormat="0" applyAlignment="0" applyProtection="0"/>
    <xf numFmtId="0" fontId="81" fillId="21" borderId="220" applyNumberFormat="0" applyAlignment="0" applyProtection="0"/>
    <xf numFmtId="0" fontId="81" fillId="21"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5" fillId="0" borderId="222" applyNumberFormat="0" applyFill="0" applyAlignment="0" applyProtection="0"/>
    <xf numFmtId="0" fontId="5" fillId="0" borderId="222" applyNumberFormat="0" applyFill="0" applyAlignment="0" applyProtection="0"/>
    <xf numFmtId="0" fontId="12" fillId="37" borderId="219" applyNumberFormat="0" applyFont="0" applyAlignment="0" applyProtection="0"/>
    <xf numFmtId="0" fontId="12" fillId="37" borderId="219" applyNumberFormat="0" applyFont="0" applyAlignment="0" applyProtection="0"/>
    <xf numFmtId="0" fontId="76" fillId="34" borderId="220" applyNumberForma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84" fillId="34" borderId="221" applyNumberFormat="0" applyAlignment="0" applyProtection="0"/>
    <xf numFmtId="0" fontId="12" fillId="37" borderId="219" applyNumberFormat="0" applyFont="0" applyAlignment="0" applyProtection="0"/>
    <xf numFmtId="0" fontId="81" fillId="21" borderId="220" applyNumberForma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12" fillId="37" borderId="232"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12" fillId="37" borderId="219" applyNumberFormat="0" applyFont="0" applyAlignment="0" applyProtection="0"/>
    <xf numFmtId="0" fontId="76" fillId="34" borderId="220"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5" fillId="0" borderId="222" applyNumberFormat="0" applyFill="0" applyAlignment="0" applyProtection="0"/>
    <xf numFmtId="0" fontId="84" fillId="34" borderId="221" applyNumberFormat="0" applyAlignment="0" applyProtection="0"/>
    <xf numFmtId="0" fontId="84" fillId="34" borderId="221" applyNumberFormat="0" applyAlignment="0" applyProtection="0"/>
    <xf numFmtId="0" fontId="12" fillId="37" borderId="219" applyNumberFormat="0" applyFont="0" applyAlignment="0" applyProtection="0"/>
    <xf numFmtId="0" fontId="12" fillId="37" borderId="219" applyNumberFormat="0" applyFont="0" applyAlignment="0" applyProtection="0"/>
    <xf numFmtId="0" fontId="81" fillId="21" borderId="220" applyNumberFormat="0" applyAlignment="0" applyProtection="0"/>
    <xf numFmtId="0" fontId="81" fillId="21" borderId="220" applyNumberFormat="0" applyAlignment="0" applyProtection="0"/>
    <xf numFmtId="0" fontId="76" fillId="34" borderId="220" applyNumberFormat="0" applyAlignment="0" applyProtection="0"/>
    <xf numFmtId="0" fontId="76" fillId="34" borderId="220" applyNumberFormat="0" applyAlignment="0" applyProtection="0"/>
    <xf numFmtId="0" fontId="84" fillId="34" borderId="221" applyNumberFormat="0" applyAlignment="0" applyProtection="0"/>
    <xf numFmtId="0" fontId="5" fillId="0" borderId="222" applyNumberFormat="0" applyFill="0" applyAlignment="0" applyProtection="0"/>
    <xf numFmtId="0" fontId="81" fillId="21" borderId="233" applyNumberFormat="0" applyAlignment="0" applyProtection="0"/>
    <xf numFmtId="0" fontId="5" fillId="0" borderId="222" applyNumberFormat="0" applyFill="0" applyAlignment="0" applyProtection="0"/>
    <xf numFmtId="0" fontId="12" fillId="37" borderId="219" applyNumberFormat="0" applyFont="0" applyAlignment="0" applyProtection="0"/>
    <xf numFmtId="0" fontId="5" fillId="0" borderId="222" applyNumberFormat="0" applyFill="0" applyAlignment="0" applyProtection="0"/>
    <xf numFmtId="0" fontId="12" fillId="37" borderId="219" applyNumberFormat="0" applyFont="0" applyAlignment="0" applyProtection="0"/>
    <xf numFmtId="0" fontId="81" fillId="21" borderId="220" applyNumberFormat="0" applyAlignment="0" applyProtection="0"/>
    <xf numFmtId="0" fontId="12" fillId="37" borderId="219" applyNumberFormat="0" applyFont="0" applyAlignment="0" applyProtection="0"/>
    <xf numFmtId="0" fontId="76" fillId="34" borderId="220" applyNumberFormat="0" applyAlignment="0" applyProtection="0"/>
    <xf numFmtId="0" fontId="81" fillId="21" borderId="220" applyNumberFormat="0" applyAlignment="0" applyProtection="0"/>
    <xf numFmtId="0" fontId="81" fillId="21" borderId="220" applyNumberFormat="0" applyAlignment="0" applyProtection="0"/>
    <xf numFmtId="0" fontId="12" fillId="37" borderId="223" applyNumberFormat="0" applyFont="0" applyAlignment="0" applyProtection="0"/>
    <xf numFmtId="0" fontId="5" fillId="0" borderId="222" applyNumberFormat="0" applyFill="0" applyAlignment="0" applyProtection="0"/>
    <xf numFmtId="0" fontId="81" fillId="21" borderId="220" applyNumberFormat="0" applyAlignment="0" applyProtection="0"/>
    <xf numFmtId="0" fontId="84" fillId="34" borderId="221" applyNumberFormat="0" applyAlignment="0" applyProtection="0"/>
    <xf numFmtId="0" fontId="81" fillId="21" borderId="243" applyNumberFormat="0" applyAlignment="0" applyProtection="0"/>
    <xf numFmtId="0" fontId="76" fillId="34" borderId="220" applyNumberFormat="0" applyAlignment="0" applyProtection="0"/>
    <xf numFmtId="0" fontId="12" fillId="37" borderId="267" applyNumberFormat="0" applyFont="0" applyAlignment="0" applyProtection="0"/>
    <xf numFmtId="0" fontId="12" fillId="37" borderId="219" applyNumberFormat="0" applyFont="0" applyAlignment="0" applyProtection="0"/>
    <xf numFmtId="0" fontId="84" fillId="34" borderId="221" applyNumberFormat="0" applyAlignment="0" applyProtection="0"/>
    <xf numFmtId="0" fontId="76" fillId="34" borderId="220" applyNumberFormat="0" applyAlignment="0" applyProtection="0"/>
    <xf numFmtId="0" fontId="12" fillId="37" borderId="227" applyNumberFormat="0" applyFont="0" applyAlignment="0" applyProtection="0"/>
    <xf numFmtId="0" fontId="12" fillId="37" borderId="227" applyNumberFormat="0" applyFont="0" applyAlignment="0" applyProtection="0"/>
    <xf numFmtId="0" fontId="12" fillId="37" borderId="237" applyNumberFormat="0" applyFont="0" applyAlignment="0" applyProtection="0"/>
    <xf numFmtId="0" fontId="81" fillId="21" borderId="233" applyNumberFormat="0" applyAlignment="0" applyProtection="0"/>
    <xf numFmtId="0" fontId="5" fillId="0" borderId="245" applyNumberFormat="0" applyFill="0" applyAlignment="0" applyProtection="0"/>
    <xf numFmtId="0" fontId="12" fillId="37" borderId="263" applyNumberFormat="0" applyFon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84" fillId="34" borderId="225" applyNumberFormat="0" applyAlignment="0" applyProtection="0"/>
    <xf numFmtId="0" fontId="5" fillId="0" borderId="226" applyNumberFormat="0" applyFill="0" applyAlignment="0" applyProtection="0"/>
    <xf numFmtId="0" fontId="81" fillId="21" borderId="224" applyNumberFormat="0" applyAlignment="0" applyProtection="0"/>
    <xf numFmtId="0" fontId="12" fillId="37" borderId="223" applyNumberFormat="0" applyFont="0" applyAlignment="0" applyProtection="0"/>
    <xf numFmtId="0" fontId="81" fillId="21" borderId="224" applyNumberFormat="0" applyAlignment="0" applyProtection="0"/>
    <xf numFmtId="0" fontId="81" fillId="21" borderId="224" applyNumberFormat="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84" fillId="34" borderId="225"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33" applyNumberFormat="0" applyAlignment="0" applyProtection="0"/>
    <xf numFmtId="0" fontId="76" fillId="34" borderId="224" applyNumberFormat="0" applyAlignment="0" applyProtection="0"/>
    <xf numFmtId="0" fontId="84" fillId="34" borderId="225" applyNumberFormat="0" applyAlignment="0" applyProtection="0"/>
    <xf numFmtId="0" fontId="12" fillId="37" borderId="223" applyNumberFormat="0" applyFont="0" applyAlignment="0" applyProtection="0"/>
    <xf numFmtId="0" fontId="81" fillId="21" borderId="224" applyNumberFormat="0" applyAlignment="0" applyProtection="0"/>
    <xf numFmtId="0" fontId="76" fillId="34" borderId="224" applyNumberFormat="0" applyAlignment="0" applyProtection="0"/>
    <xf numFmtId="0" fontId="76" fillId="34" borderId="224" applyNumberFormat="0" applyAlignment="0" applyProtection="0"/>
    <xf numFmtId="0" fontId="76" fillId="34" borderId="224" applyNumberFormat="0" applyAlignment="0" applyProtection="0"/>
    <xf numFmtId="0" fontId="81" fillId="21" borderId="224" applyNumberFormat="0" applyAlignment="0" applyProtection="0"/>
    <xf numFmtId="0" fontId="81" fillId="21"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12" fillId="37" borderId="223" applyNumberFormat="0" applyFont="0" applyAlignment="0" applyProtection="0"/>
    <xf numFmtId="0" fontId="76" fillId="34" borderId="224" applyNumberForma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84" fillId="34" borderId="225" applyNumberFormat="0" applyAlignment="0" applyProtection="0"/>
    <xf numFmtId="0" fontId="12" fillId="37" borderId="223" applyNumberFormat="0" applyFont="0" applyAlignment="0" applyProtection="0"/>
    <xf numFmtId="0" fontId="81" fillId="21" borderId="224" applyNumberForma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5" fillId="0" borderId="245" applyNumberFormat="0" applyFill="0" applyAlignment="0" applyProtection="0"/>
    <xf numFmtId="0" fontId="12" fillId="37" borderId="232" applyNumberFormat="0" applyFont="0" applyAlignment="0" applyProtection="0"/>
    <xf numFmtId="0" fontId="12" fillId="37" borderId="223" applyNumberFormat="0" applyFont="0" applyAlignment="0" applyProtection="0"/>
    <xf numFmtId="0" fontId="84" fillId="34" borderId="225" applyNumberFormat="0" applyAlignment="0" applyProtection="0"/>
    <xf numFmtId="0" fontId="12" fillId="37" borderId="223" applyNumberFormat="0" applyFont="0" applyAlignment="0" applyProtection="0"/>
    <xf numFmtId="0" fontId="76" fillId="34" borderId="224"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5" fillId="0" borderId="226" applyNumberFormat="0" applyFill="0" applyAlignment="0" applyProtection="0"/>
    <xf numFmtId="0" fontId="84" fillId="34" borderId="225" applyNumberFormat="0" applyAlignment="0" applyProtection="0"/>
    <xf numFmtId="0" fontId="84" fillId="34" borderId="225" applyNumberFormat="0" applyAlignment="0" applyProtection="0"/>
    <xf numFmtId="0" fontId="12" fillId="37" borderId="223" applyNumberFormat="0" applyFont="0" applyAlignment="0" applyProtection="0"/>
    <xf numFmtId="0" fontId="12" fillId="37" borderId="223" applyNumberFormat="0" applyFont="0" applyAlignment="0" applyProtection="0"/>
    <xf numFmtId="0" fontId="81" fillId="21" borderId="224" applyNumberFormat="0" applyAlignment="0" applyProtection="0"/>
    <xf numFmtId="0" fontId="81" fillId="21" borderId="224" applyNumberFormat="0" applyAlignment="0" applyProtection="0"/>
    <xf numFmtId="0" fontId="76" fillId="34" borderId="224" applyNumberFormat="0" applyAlignment="0" applyProtection="0"/>
    <xf numFmtId="0" fontId="76" fillId="34" borderId="224" applyNumberFormat="0" applyAlignment="0" applyProtection="0"/>
    <xf numFmtId="0" fontId="84" fillId="34" borderId="225" applyNumberFormat="0" applyAlignment="0" applyProtection="0"/>
    <xf numFmtId="0" fontId="5" fillId="0" borderId="226" applyNumberFormat="0" applyFill="0" applyAlignment="0" applyProtection="0"/>
    <xf numFmtId="0" fontId="5" fillId="0" borderId="226" applyNumberFormat="0" applyFill="0" applyAlignment="0" applyProtection="0"/>
    <xf numFmtId="0" fontId="12" fillId="37" borderId="223" applyNumberFormat="0" applyFont="0" applyAlignment="0" applyProtection="0"/>
    <xf numFmtId="0" fontId="5" fillId="0" borderId="226" applyNumberFormat="0" applyFill="0" applyAlignment="0" applyProtection="0"/>
    <xf numFmtId="0" fontId="12" fillId="37" borderId="223" applyNumberFormat="0" applyFont="0" applyAlignment="0" applyProtection="0"/>
    <xf numFmtId="0" fontId="81" fillId="21" borderId="224" applyNumberFormat="0" applyAlignment="0" applyProtection="0"/>
    <xf numFmtId="0" fontId="12" fillId="37" borderId="223" applyNumberFormat="0" applyFont="0" applyAlignment="0" applyProtection="0"/>
    <xf numFmtId="0" fontId="76" fillId="34" borderId="224" applyNumberFormat="0" applyAlignment="0" applyProtection="0"/>
    <xf numFmtId="0" fontId="81" fillId="21" borderId="224" applyNumberFormat="0" applyAlignment="0" applyProtection="0"/>
    <xf numFmtId="0" fontId="5" fillId="0" borderId="235" applyNumberFormat="0" applyFill="0" applyAlignment="0" applyProtection="0"/>
    <xf numFmtId="0" fontId="81" fillId="21" borderId="224" applyNumberFormat="0" applyAlignment="0" applyProtection="0"/>
    <xf numFmtId="0" fontId="84" fillId="34" borderId="234" applyNumberFormat="0" applyAlignment="0" applyProtection="0"/>
    <xf numFmtId="0" fontId="5" fillId="0" borderId="226" applyNumberFormat="0" applyFill="0" applyAlignment="0" applyProtection="0"/>
    <xf numFmtId="0" fontId="81" fillId="21" borderId="224" applyNumberFormat="0" applyAlignment="0" applyProtection="0"/>
    <xf numFmtId="0" fontId="84" fillId="34" borderId="225" applyNumberFormat="0" applyAlignment="0" applyProtection="0"/>
    <xf numFmtId="0" fontId="5" fillId="0" borderId="235" applyNumberFormat="0" applyFill="0" applyAlignment="0" applyProtection="0"/>
    <xf numFmtId="0" fontId="76" fillId="34" borderId="224" applyNumberFormat="0" applyAlignment="0" applyProtection="0"/>
    <xf numFmtId="0" fontId="84" fillId="34" borderId="234" applyNumberFormat="0" applyAlignment="0" applyProtection="0"/>
    <xf numFmtId="0" fontId="12" fillId="37" borderId="223" applyNumberFormat="0" applyFont="0" applyAlignment="0" applyProtection="0"/>
    <xf numFmtId="0" fontId="84" fillId="34" borderId="225" applyNumberFormat="0" applyAlignment="0" applyProtection="0"/>
    <xf numFmtId="0" fontId="76" fillId="34" borderId="224" applyNumberFormat="0" applyAlignment="0" applyProtection="0"/>
    <xf numFmtId="0" fontId="12" fillId="37" borderId="232" applyNumberFormat="0" applyFont="0" applyAlignment="0" applyProtection="0"/>
    <xf numFmtId="0" fontId="12" fillId="37" borderId="232" applyNumberFormat="0" applyFont="0" applyAlignment="0" applyProtection="0"/>
    <xf numFmtId="0" fontId="12" fillId="37" borderId="232" applyNumberFormat="0" applyFont="0" applyAlignment="0" applyProtection="0"/>
    <xf numFmtId="0" fontId="84" fillId="34" borderId="234" applyNumberFormat="0" applyAlignment="0" applyProtection="0"/>
    <xf numFmtId="0" fontId="12" fillId="37" borderId="232" applyNumberFormat="0" applyFont="0" applyAlignment="0" applyProtection="0"/>
    <xf numFmtId="0" fontId="76" fillId="34" borderId="233" applyNumberFormat="0" applyAlignment="0" applyProtection="0"/>
    <xf numFmtId="0" fontId="76" fillId="34" borderId="238" applyNumberFormat="0" applyAlignment="0" applyProtection="0"/>
    <xf numFmtId="0" fontId="76" fillId="34" borderId="243" applyNumberFormat="0" applyAlignment="0" applyProtection="0"/>
    <xf numFmtId="0" fontId="12" fillId="37" borderId="283" applyNumberFormat="0" applyFont="0" applyAlignment="0" applyProtection="0"/>
    <xf numFmtId="0" fontId="5" fillId="0" borderId="286" applyNumberFormat="0" applyFill="0" applyAlignment="0" applyProtection="0"/>
    <xf numFmtId="0" fontId="81" fillId="21" borderId="233" applyNumberFormat="0" applyAlignment="0" applyProtection="0"/>
    <xf numFmtId="0" fontId="5" fillId="0" borderId="235" applyNumberFormat="0" applyFill="0" applyAlignment="0" applyProtection="0"/>
    <xf numFmtId="0" fontId="76" fillId="34" borderId="243" applyNumberFormat="0" applyAlignment="0" applyProtection="0"/>
    <xf numFmtId="0" fontId="12" fillId="37" borderId="247"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32" applyNumberFormat="0" applyFont="0" applyAlignment="0" applyProtection="0"/>
    <xf numFmtId="0" fontId="84" fillId="34" borderId="234" applyNumberFormat="0" applyAlignment="0" applyProtection="0"/>
    <xf numFmtId="0" fontId="81" fillId="21" borderId="233" applyNumberFormat="0" applyAlignment="0" applyProtection="0"/>
    <xf numFmtId="0" fontId="81" fillId="21" borderId="23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51" applyNumberFormat="0" applyFont="0" applyAlignment="0" applyProtection="0"/>
    <xf numFmtId="0" fontId="76" fillId="34" borderId="233" applyNumberFormat="0" applyAlignment="0" applyProtection="0"/>
    <xf numFmtId="0" fontId="84" fillId="34" borderId="234" applyNumberFormat="0" applyAlignment="0" applyProtection="0"/>
    <xf numFmtId="0" fontId="12" fillId="37" borderId="246" applyNumberFormat="0" applyFont="0" applyAlignment="0" applyProtection="0"/>
    <xf numFmtId="0" fontId="12" fillId="37" borderId="232" applyNumberFormat="0" applyFont="0" applyAlignment="0" applyProtection="0"/>
    <xf numFmtId="0" fontId="81" fillId="21" borderId="243" applyNumberFormat="0" applyAlignment="0" applyProtection="0"/>
    <xf numFmtId="0" fontId="76" fillId="34" borderId="256" applyNumberFormat="0" applyAlignment="0" applyProtection="0"/>
    <xf numFmtId="0" fontId="84" fillId="34" borderId="265" applyNumberFormat="0" applyAlignment="0" applyProtection="0"/>
    <xf numFmtId="0" fontId="5" fillId="0" borderId="245" applyNumberFormat="0" applyFill="0" applyAlignment="0" applyProtection="0"/>
    <xf numFmtId="0" fontId="81" fillId="21" borderId="233" applyNumberFormat="0" applyAlignment="0" applyProtection="0"/>
    <xf numFmtId="0" fontId="84" fillId="34" borderId="234" applyNumberFormat="0" applyAlignment="0" applyProtection="0"/>
    <xf numFmtId="0" fontId="12" fillId="37" borderId="232" applyNumberFormat="0" applyFont="0" applyAlignment="0" applyProtection="0"/>
    <xf numFmtId="0" fontId="84" fillId="34" borderId="249" applyNumberFormat="0" applyAlignment="0" applyProtection="0"/>
    <xf numFmtId="0" fontId="12" fillId="37" borderId="242" applyNumberFormat="0" applyFont="0" applyAlignment="0" applyProtection="0"/>
    <xf numFmtId="0" fontId="12" fillId="37" borderId="246" applyNumberFormat="0" applyFont="0" applyAlignment="0" applyProtection="0"/>
    <xf numFmtId="0" fontId="81" fillId="21" borderId="268" applyNumberFormat="0" applyAlignment="0" applyProtection="0"/>
    <xf numFmtId="0" fontId="12" fillId="37" borderId="247" applyNumberFormat="0" applyFont="0" applyAlignment="0" applyProtection="0"/>
    <xf numFmtId="0" fontId="5" fillId="0" borderId="235" applyNumberFormat="0" applyFill="0" applyAlignment="0" applyProtection="0"/>
    <xf numFmtId="0" fontId="84" fillId="34" borderId="277" applyNumberFormat="0" applyAlignment="0" applyProtection="0"/>
    <xf numFmtId="0" fontId="12" fillId="37" borderId="275" applyNumberFormat="0" applyFont="0" applyAlignment="0" applyProtection="0"/>
    <xf numFmtId="0" fontId="84" fillId="34" borderId="244" applyNumberFormat="0" applyAlignment="0" applyProtection="0"/>
    <xf numFmtId="0" fontId="76" fillId="34" borderId="233" applyNumberFormat="0" applyAlignment="0" applyProtection="0"/>
    <xf numFmtId="0" fontId="5" fillId="0" borderId="245" applyNumberFormat="0" applyFill="0" applyAlignment="0" applyProtection="0"/>
    <xf numFmtId="0" fontId="12" fillId="37" borderId="259" applyNumberFormat="0" applyFont="0" applyAlignment="0" applyProtection="0"/>
    <xf numFmtId="0" fontId="76" fillId="34" borderId="233" applyNumberFormat="0" applyAlignment="0" applyProtection="0"/>
    <xf numFmtId="0" fontId="81" fillId="21" borderId="288" applyNumberFormat="0" applyAlignment="0" applyProtection="0"/>
    <xf numFmtId="0" fontId="81" fillId="21" borderId="280" applyNumberFormat="0" applyAlignment="0" applyProtection="0"/>
    <xf numFmtId="0" fontId="81" fillId="21" borderId="276"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68" applyNumberFormat="0" applyAlignment="0" applyProtection="0"/>
    <xf numFmtId="0" fontId="84" fillId="34" borderId="244" applyNumberFormat="0" applyAlignment="0" applyProtection="0"/>
    <xf numFmtId="0" fontId="5" fillId="0" borderId="250" applyNumberFormat="0" applyFill="0" applyAlignment="0" applyProtection="0"/>
    <xf numFmtId="0" fontId="81" fillId="21" borderId="243" applyNumberFormat="0" applyAlignment="0" applyProtection="0"/>
    <xf numFmtId="0" fontId="76" fillId="34" borderId="276" applyNumberFormat="0" applyAlignment="0" applyProtection="0"/>
    <xf numFmtId="0" fontId="76" fillId="34" borderId="243" applyNumberFormat="0" applyAlignment="0" applyProtection="0"/>
    <xf numFmtId="0" fontId="12" fillId="37" borderId="255" applyNumberFormat="0" applyFont="0" applyAlignment="0" applyProtection="0"/>
    <xf numFmtId="0" fontId="84" fillId="34" borderId="257" applyNumberFormat="0" applyAlignment="0" applyProtection="0"/>
    <xf numFmtId="0" fontId="12" fillId="37" borderId="279" applyNumberFormat="0" applyFont="0" applyAlignment="0" applyProtection="0"/>
    <xf numFmtId="0" fontId="81" fillId="21" borderId="256" applyNumberFormat="0" applyAlignment="0" applyProtection="0"/>
    <xf numFmtId="0" fontId="5" fillId="0" borderId="282" applyNumberFormat="0" applyFill="0" applyAlignment="0" applyProtection="0"/>
    <xf numFmtId="0" fontId="12" fillId="37" borderId="279" applyNumberFormat="0" applyFont="0" applyAlignment="0" applyProtection="0"/>
    <xf numFmtId="0" fontId="84" fillId="34" borderId="265" applyNumberFormat="0" applyAlignment="0" applyProtection="0"/>
    <xf numFmtId="0" fontId="12" fillId="37" borderId="242" applyNumberFormat="0" applyFont="0" applyAlignment="0" applyProtection="0"/>
    <xf numFmtId="0" fontId="84" fillId="34" borderId="244" applyNumberFormat="0" applyAlignment="0" applyProtection="0"/>
    <xf numFmtId="0" fontId="84" fillId="34" borderId="25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2" applyNumberFormat="0" applyFont="0" applyAlignment="0" applyProtection="0"/>
    <xf numFmtId="0" fontId="84" fillId="34" borderId="239" applyNumberFormat="0" applyAlignment="0" applyProtection="0"/>
    <xf numFmtId="0" fontId="81" fillId="21" borderId="238" applyNumberFormat="0" applyAlignment="0" applyProtection="0"/>
    <xf numFmtId="0" fontId="5" fillId="0" borderId="286"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76" applyNumberFormat="0" applyAlignment="0" applyProtection="0"/>
    <xf numFmtId="0" fontId="76" fillId="34" borderId="288" applyNumberForma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76" fillId="34"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84" fillId="34" borderId="239" applyNumberFormat="0" applyAlignment="0" applyProtection="0"/>
    <xf numFmtId="0" fontId="5" fillId="0" borderId="240" applyNumberFormat="0" applyFill="0" applyAlignment="0" applyProtection="0"/>
    <xf numFmtId="0" fontId="81" fillId="21" borderId="238" applyNumberFormat="0" applyAlignment="0" applyProtection="0"/>
    <xf numFmtId="0" fontId="12" fillId="37" borderId="237" applyNumberFormat="0" applyFont="0" applyAlignment="0" applyProtection="0"/>
    <xf numFmtId="0" fontId="81" fillId="21" borderId="238" applyNumberFormat="0" applyAlignment="0" applyProtection="0"/>
    <xf numFmtId="0" fontId="81" fillId="21" borderId="238" applyNumberFormat="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84" fillId="34" borderId="239"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44" applyNumberFormat="0" applyAlignment="0" applyProtection="0"/>
    <xf numFmtId="0" fontId="76" fillId="34" borderId="238" applyNumberFormat="0" applyAlignment="0" applyProtection="0"/>
    <xf numFmtId="0" fontId="84" fillId="34" borderId="239" applyNumberFormat="0" applyAlignment="0" applyProtection="0"/>
    <xf numFmtId="0" fontId="12" fillId="37" borderId="237" applyNumberFormat="0" applyFont="0" applyAlignment="0" applyProtection="0"/>
    <xf numFmtId="0" fontId="81" fillId="21" borderId="238" applyNumberFormat="0" applyAlignment="0" applyProtection="0"/>
    <xf numFmtId="0" fontId="76" fillId="34" borderId="238" applyNumberFormat="0" applyAlignment="0" applyProtection="0"/>
    <xf numFmtId="0" fontId="76" fillId="34" borderId="238" applyNumberFormat="0" applyAlignment="0" applyProtection="0"/>
    <xf numFmtId="0" fontId="76" fillId="34" borderId="238" applyNumberFormat="0" applyAlignment="0" applyProtection="0"/>
    <xf numFmtId="0" fontId="81" fillId="21" borderId="238" applyNumberFormat="0" applyAlignment="0" applyProtection="0"/>
    <xf numFmtId="0" fontId="81" fillId="21"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12" fillId="37" borderId="237" applyNumberFormat="0" applyFont="0" applyAlignment="0" applyProtection="0"/>
    <xf numFmtId="0" fontId="76" fillId="34" borderId="238" applyNumberForma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84" fillId="34" borderId="239" applyNumberFormat="0" applyAlignment="0" applyProtection="0"/>
    <xf numFmtId="0" fontId="12" fillId="37" borderId="237" applyNumberFormat="0" applyFont="0" applyAlignment="0" applyProtection="0"/>
    <xf numFmtId="0" fontId="81" fillId="21" borderId="238" applyNumberForma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4" fillId="34" borderId="239" applyNumberFormat="0" applyAlignment="0" applyProtection="0"/>
    <xf numFmtId="0" fontId="76" fillId="34" borderId="252" applyNumberFormat="0" applyAlignment="0" applyProtection="0"/>
    <xf numFmtId="0" fontId="12" fillId="37" borderId="237" applyNumberFormat="0" applyFont="0" applyAlignment="0" applyProtection="0"/>
    <xf numFmtId="0" fontId="84" fillId="34" borderId="239" applyNumberFormat="0" applyAlignment="0" applyProtection="0"/>
    <xf numFmtId="0" fontId="12" fillId="37" borderId="237" applyNumberFormat="0" applyFont="0" applyAlignment="0" applyProtection="0"/>
    <xf numFmtId="0" fontId="76" fillId="34" borderId="238"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5" fillId="0" borderId="240" applyNumberFormat="0" applyFill="0" applyAlignment="0" applyProtection="0"/>
    <xf numFmtId="0" fontId="84" fillId="34" borderId="239" applyNumberFormat="0" applyAlignment="0" applyProtection="0"/>
    <xf numFmtId="0" fontId="84" fillId="34" borderId="239" applyNumberFormat="0" applyAlignment="0" applyProtection="0"/>
    <xf numFmtId="0" fontId="12" fillId="37" borderId="237" applyNumberFormat="0" applyFont="0" applyAlignment="0" applyProtection="0"/>
    <xf numFmtId="0" fontId="12" fillId="37" borderId="237" applyNumberFormat="0" applyFont="0" applyAlignment="0" applyProtection="0"/>
    <xf numFmtId="0" fontId="81" fillId="21" borderId="238" applyNumberFormat="0" applyAlignment="0" applyProtection="0"/>
    <xf numFmtId="0" fontId="81" fillId="21" borderId="238" applyNumberFormat="0" applyAlignment="0" applyProtection="0"/>
    <xf numFmtId="0" fontId="76" fillId="34" borderId="238" applyNumberFormat="0" applyAlignment="0" applyProtection="0"/>
    <xf numFmtId="0" fontId="76" fillId="34" borderId="238" applyNumberFormat="0" applyAlignment="0" applyProtection="0"/>
    <xf numFmtId="0" fontId="84" fillId="34" borderId="239" applyNumberFormat="0" applyAlignment="0" applyProtection="0"/>
    <xf numFmtId="0" fontId="5" fillId="0" borderId="240" applyNumberFormat="0" applyFill="0" applyAlignment="0" applyProtection="0"/>
    <xf numFmtId="0" fontId="5" fillId="0" borderId="240" applyNumberFormat="0" applyFill="0" applyAlignment="0" applyProtection="0"/>
    <xf numFmtId="0" fontId="12" fillId="37" borderId="237" applyNumberFormat="0" applyFont="0" applyAlignment="0" applyProtection="0"/>
    <xf numFmtId="0" fontId="5" fillId="0" borderId="240" applyNumberFormat="0" applyFill="0" applyAlignment="0" applyProtection="0"/>
    <xf numFmtId="0" fontId="12" fillId="37" borderId="237" applyNumberFormat="0" applyFont="0" applyAlignment="0" applyProtection="0"/>
    <xf numFmtId="0" fontId="81" fillId="21" borderId="238" applyNumberFormat="0" applyAlignment="0" applyProtection="0"/>
    <xf numFmtId="0" fontId="12" fillId="37" borderId="237" applyNumberFormat="0" applyFont="0" applyAlignment="0" applyProtection="0"/>
    <xf numFmtId="0" fontId="76" fillId="34" borderId="238" applyNumberFormat="0" applyAlignment="0" applyProtection="0"/>
    <xf numFmtId="0" fontId="81" fillId="21" borderId="238" applyNumberFormat="0" applyAlignment="0" applyProtection="0"/>
    <xf numFmtId="0" fontId="12" fillId="37" borderId="267" applyNumberFormat="0" applyFont="0" applyAlignment="0" applyProtection="0"/>
    <xf numFmtId="0" fontId="81" fillId="21" borderId="238" applyNumberFormat="0" applyAlignment="0" applyProtection="0"/>
    <xf numFmtId="0" fontId="76" fillId="34" borderId="248" applyNumberFormat="0" applyAlignment="0" applyProtection="0"/>
    <xf numFmtId="0" fontId="5" fillId="0" borderId="240" applyNumberFormat="0" applyFill="0" applyAlignment="0" applyProtection="0"/>
    <xf numFmtId="0" fontId="81" fillId="21" borderId="238" applyNumberFormat="0" applyAlignment="0" applyProtection="0"/>
    <xf numFmtId="0" fontId="84" fillId="34" borderId="239" applyNumberFormat="0" applyAlignment="0" applyProtection="0"/>
    <xf numFmtId="0" fontId="76" fillId="34" borderId="238" applyNumberFormat="0" applyAlignment="0" applyProtection="0"/>
    <xf numFmtId="0" fontId="12" fillId="37" borderId="237" applyNumberFormat="0" applyFont="0" applyAlignment="0" applyProtection="0"/>
    <xf numFmtId="0" fontId="84" fillId="34" borderId="239" applyNumberFormat="0" applyAlignment="0" applyProtection="0"/>
    <xf numFmtId="0" fontId="76" fillId="34" borderId="238" applyNumberFormat="0" applyAlignment="0" applyProtection="0"/>
    <xf numFmtId="0" fontId="12" fillId="37" borderId="279" applyNumberFormat="0" applyFont="0" applyAlignment="0" applyProtection="0"/>
    <xf numFmtId="0" fontId="84" fillId="34" borderId="285" applyNumberFormat="0" applyAlignment="0" applyProtection="0"/>
    <xf numFmtId="0" fontId="84" fillId="34" borderId="244" applyNumberFormat="0" applyAlignment="0" applyProtection="0"/>
    <xf numFmtId="0" fontId="5" fillId="0" borderId="258"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68" applyNumberFormat="0" applyAlignment="0" applyProtection="0"/>
    <xf numFmtId="0" fontId="12" fillId="37" borderId="246" applyNumberFormat="0" applyFont="0" applyAlignment="0" applyProtection="0"/>
    <xf numFmtId="0" fontId="76" fillId="34" borderId="272"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82"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53" applyNumberFormat="0" applyAlignment="0" applyProtection="0"/>
    <xf numFmtId="0" fontId="81" fillId="21" borderId="243" applyNumberFormat="0" applyAlignment="0" applyProtection="0"/>
    <xf numFmtId="0" fontId="12" fillId="37" borderId="287"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6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2"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52"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51" applyNumberFormat="0" applyFont="0" applyAlignment="0" applyProtection="0"/>
    <xf numFmtId="0" fontId="81" fillId="21" borderId="264" applyNumberFormat="0" applyAlignment="0" applyProtection="0"/>
    <xf numFmtId="0" fontId="12" fillId="37" borderId="246" applyNumberFormat="0" applyFont="0" applyAlignment="0" applyProtection="0"/>
    <xf numFmtId="0" fontId="12" fillId="37" borderId="255"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9" applyNumberFormat="0" applyAlignment="0" applyProtection="0"/>
    <xf numFmtId="0" fontId="12" fillId="37" borderId="247"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87" applyNumberFormat="0" applyFont="0" applyAlignment="0" applyProtection="0"/>
    <xf numFmtId="0" fontId="76" fillId="34" borderId="288"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54" applyNumberFormat="0" applyFill="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67"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84" applyNumberFormat="0" applyAlignment="0" applyProtection="0"/>
    <xf numFmtId="0" fontId="81" fillId="21" borderId="243" applyNumberFormat="0" applyAlignment="0" applyProtection="0"/>
    <xf numFmtId="0" fontId="12" fillId="37" borderId="251" applyNumberFormat="0" applyFont="0" applyAlignment="0" applyProtection="0"/>
    <xf numFmtId="0" fontId="12" fillId="37" borderId="246" applyNumberFormat="0" applyFont="0" applyAlignment="0" applyProtection="0"/>
    <xf numFmtId="0" fontId="12" fillId="37" borderId="275" applyNumberFormat="0" applyFont="0" applyAlignment="0" applyProtection="0"/>
    <xf numFmtId="0" fontId="81" fillId="21" borderId="243" applyNumberFormat="0" applyAlignment="0" applyProtection="0"/>
    <xf numFmtId="0" fontId="76" fillId="34" borderId="284" applyNumberFormat="0" applyAlignment="0" applyProtection="0"/>
    <xf numFmtId="0" fontId="84" fillId="34" borderId="269" applyNumberFormat="0" applyAlignment="0" applyProtection="0"/>
    <xf numFmtId="0" fontId="5" fillId="0" borderId="270"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76" fillId="34" borderId="28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81" applyNumberFormat="0" applyAlignment="0" applyProtection="0"/>
    <xf numFmtId="0" fontId="76" fillId="34" borderId="264" applyNumberFormat="0" applyAlignment="0" applyProtection="0"/>
    <xf numFmtId="0" fontId="12" fillId="37" borderId="283" applyNumberFormat="0" applyFont="0" applyAlignment="0" applyProtection="0"/>
    <xf numFmtId="0" fontId="84" fillId="34" borderId="253" applyNumberFormat="0" applyAlignment="0" applyProtection="0"/>
    <xf numFmtId="0" fontId="81" fillId="21" borderId="252" applyNumberFormat="0" applyAlignment="0" applyProtection="0"/>
    <xf numFmtId="0" fontId="12" fillId="37" borderId="287" applyNumberFormat="0" applyFont="0" applyAlignment="0" applyProtection="0"/>
    <xf numFmtId="0" fontId="5" fillId="0" borderId="262" applyNumberFormat="0" applyFill="0" applyAlignment="0" applyProtection="0"/>
    <xf numFmtId="0" fontId="81" fillId="21" borderId="260" applyNumberFormat="0" applyAlignment="0" applyProtection="0"/>
    <xf numFmtId="0" fontId="81" fillId="21" borderId="284" applyNumberForma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5" fillId="0" borderId="254" applyNumberFormat="0" applyFill="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76" fillId="34"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84" fillId="34" borderId="253" applyNumberFormat="0" applyAlignment="0" applyProtection="0"/>
    <xf numFmtId="0" fontId="5" fillId="0" borderId="254" applyNumberFormat="0" applyFill="0" applyAlignment="0" applyProtection="0"/>
    <xf numFmtId="0" fontId="81" fillId="21" borderId="252" applyNumberFormat="0" applyAlignment="0" applyProtection="0"/>
    <xf numFmtId="0" fontId="12" fillId="37" borderId="251" applyNumberFormat="0" applyFont="0" applyAlignment="0" applyProtection="0"/>
    <xf numFmtId="0" fontId="81" fillId="21" borderId="252" applyNumberFormat="0" applyAlignment="0" applyProtection="0"/>
    <xf numFmtId="0" fontId="81" fillId="21" borderId="252" applyNumberFormat="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84" fillId="34" borderId="253" applyNumberFormat="0" applyAlignment="0" applyProtection="0"/>
    <xf numFmtId="0" fontId="5" fillId="0" borderId="254" applyNumberFormat="0" applyFill="0" applyAlignment="0" applyProtection="0"/>
    <xf numFmtId="0" fontId="5" fillId="0" borderId="254" applyNumberFormat="0" applyFill="0" applyAlignment="0" applyProtection="0"/>
    <xf numFmtId="0" fontId="84" fillId="34" borderId="253"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81" fillId="21" borderId="260" applyNumberFormat="0" applyAlignment="0" applyProtection="0"/>
    <xf numFmtId="0" fontId="76" fillId="34" borderId="252" applyNumberFormat="0" applyAlignment="0" applyProtection="0"/>
    <xf numFmtId="0" fontId="84" fillId="34" borderId="253" applyNumberFormat="0" applyAlignment="0" applyProtection="0"/>
    <xf numFmtId="0" fontId="12" fillId="37" borderId="251" applyNumberFormat="0" applyFont="0" applyAlignment="0" applyProtection="0"/>
    <xf numFmtId="0" fontId="81" fillId="21" borderId="252" applyNumberFormat="0" applyAlignment="0" applyProtection="0"/>
    <xf numFmtId="0" fontId="76" fillId="34" borderId="252" applyNumberFormat="0" applyAlignment="0" applyProtection="0"/>
    <xf numFmtId="0" fontId="76" fillId="34" borderId="252" applyNumberFormat="0" applyAlignment="0" applyProtection="0"/>
    <xf numFmtId="0" fontId="76" fillId="34" borderId="252" applyNumberFormat="0" applyAlignment="0" applyProtection="0"/>
    <xf numFmtId="0" fontId="81" fillId="21" borderId="252" applyNumberFormat="0" applyAlignment="0" applyProtection="0"/>
    <xf numFmtId="0" fontId="81" fillId="21"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5" fillId="0" borderId="254" applyNumberFormat="0" applyFill="0" applyAlignment="0" applyProtection="0"/>
    <xf numFmtId="0" fontId="5" fillId="0" borderId="254" applyNumberFormat="0" applyFill="0" applyAlignment="0" applyProtection="0"/>
    <xf numFmtId="0" fontId="12" fillId="37" borderId="251" applyNumberFormat="0" applyFont="0" applyAlignment="0" applyProtection="0"/>
    <xf numFmtId="0" fontId="12" fillId="37" borderId="251" applyNumberFormat="0" applyFont="0" applyAlignment="0" applyProtection="0"/>
    <xf numFmtId="0" fontId="76" fillId="34" borderId="252" applyNumberForma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84" fillId="34" borderId="253" applyNumberFormat="0" applyAlignment="0" applyProtection="0"/>
    <xf numFmtId="0" fontId="12" fillId="37" borderId="251" applyNumberFormat="0" applyFont="0" applyAlignment="0" applyProtection="0"/>
    <xf numFmtId="0" fontId="81" fillId="21" borderId="252" applyNumberForma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1" applyNumberFormat="0" applyFont="0" applyAlignment="0" applyProtection="0"/>
    <xf numFmtId="0" fontId="84" fillId="34" borderId="253" applyNumberFormat="0" applyAlignment="0" applyProtection="0"/>
    <xf numFmtId="0" fontId="12" fillId="37" borderId="251" applyNumberFormat="0" applyFont="0" applyAlignment="0" applyProtection="0"/>
    <xf numFmtId="0" fontId="76" fillId="34" borderId="252"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5" fillId="0" borderId="254" applyNumberFormat="0" applyFill="0" applyAlignment="0" applyProtection="0"/>
    <xf numFmtId="0" fontId="84" fillId="34" borderId="253" applyNumberFormat="0" applyAlignment="0" applyProtection="0"/>
    <xf numFmtId="0" fontId="84" fillId="34" borderId="253" applyNumberFormat="0" applyAlignment="0" applyProtection="0"/>
    <xf numFmtId="0" fontId="12" fillId="37" borderId="251" applyNumberFormat="0" applyFont="0" applyAlignment="0" applyProtection="0"/>
    <xf numFmtId="0" fontId="12" fillId="37" borderId="251" applyNumberFormat="0" applyFont="0" applyAlignment="0" applyProtection="0"/>
    <xf numFmtId="0" fontId="81" fillId="21" borderId="252" applyNumberFormat="0" applyAlignment="0" applyProtection="0"/>
    <xf numFmtId="0" fontId="81" fillId="21" borderId="252" applyNumberFormat="0" applyAlignment="0" applyProtection="0"/>
    <xf numFmtId="0" fontId="76" fillId="34" borderId="252" applyNumberFormat="0" applyAlignment="0" applyProtection="0"/>
    <xf numFmtId="0" fontId="76" fillId="34" borderId="252" applyNumberFormat="0" applyAlignment="0" applyProtection="0"/>
    <xf numFmtId="0" fontId="84" fillId="34" borderId="253" applyNumberFormat="0" applyAlignment="0" applyProtection="0"/>
    <xf numFmtId="0" fontId="5" fillId="0" borderId="254" applyNumberFormat="0" applyFill="0" applyAlignment="0" applyProtection="0"/>
    <xf numFmtId="0" fontId="12" fillId="37" borderId="259"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5" fillId="0" borderId="254" applyNumberFormat="0" applyFill="0" applyAlignment="0" applyProtection="0"/>
    <xf numFmtId="0" fontId="12" fillId="37" borderId="251" applyNumberFormat="0" applyFont="0" applyAlignment="0" applyProtection="0"/>
    <xf numFmtId="0" fontId="81" fillId="21" borderId="252" applyNumberFormat="0" applyAlignment="0" applyProtection="0"/>
    <xf numFmtId="0" fontId="12" fillId="37" borderId="251" applyNumberFormat="0" applyFont="0" applyAlignment="0" applyProtection="0"/>
    <xf numFmtId="0" fontId="76" fillId="34" borderId="252" applyNumberFormat="0" applyAlignment="0" applyProtection="0"/>
    <xf numFmtId="0" fontId="81" fillId="21" borderId="252" applyNumberFormat="0" applyAlignment="0" applyProtection="0"/>
    <xf numFmtId="0" fontId="5" fillId="0" borderId="262" applyNumberFormat="0" applyFill="0" applyAlignment="0" applyProtection="0"/>
    <xf numFmtId="0" fontId="81" fillId="21" borderId="252" applyNumberFormat="0" applyAlignment="0" applyProtection="0"/>
    <xf numFmtId="0" fontId="76" fillId="34" borderId="260" applyNumberFormat="0" applyAlignment="0" applyProtection="0"/>
    <xf numFmtId="0" fontId="5" fillId="0" borderId="254" applyNumberFormat="0" applyFill="0" applyAlignment="0" applyProtection="0"/>
    <xf numFmtId="0" fontId="81" fillId="21" borderId="252" applyNumberFormat="0" applyAlignment="0" applyProtection="0"/>
    <xf numFmtId="0" fontId="84" fillId="34" borderId="253" applyNumberFormat="0" applyAlignment="0" applyProtection="0"/>
    <xf numFmtId="0" fontId="84" fillId="34" borderId="261" applyNumberFormat="0" applyAlignment="0" applyProtection="0"/>
    <xf numFmtId="0" fontId="76" fillId="34" borderId="252" applyNumberFormat="0" applyAlignment="0" applyProtection="0"/>
    <xf numFmtId="0" fontId="76" fillId="34" borderId="260" applyNumberFormat="0" applyAlignment="0" applyProtection="0"/>
    <xf numFmtId="0" fontId="12" fillId="37" borderId="251" applyNumberFormat="0" applyFont="0" applyAlignment="0" applyProtection="0"/>
    <xf numFmtId="0" fontId="84" fillId="34" borderId="253" applyNumberFormat="0" applyAlignment="0" applyProtection="0"/>
    <xf numFmtId="0" fontId="76" fillId="34" borderId="252" applyNumberFormat="0" applyAlignment="0" applyProtection="0"/>
    <xf numFmtId="0" fontId="81" fillId="21" borderId="264"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61" applyNumberFormat="0" applyAlignment="0" applyProtection="0"/>
    <xf numFmtId="0" fontId="81" fillId="21" borderId="260" applyNumberFormat="0" applyAlignment="0" applyProtection="0"/>
    <xf numFmtId="0" fontId="81" fillId="21" borderId="288" applyNumberFormat="0" applyAlignment="0" applyProtection="0"/>
    <xf numFmtId="0" fontId="84" fillId="34" borderId="285" applyNumberFormat="0" applyAlignment="0" applyProtection="0"/>
    <xf numFmtId="0" fontId="5" fillId="0" borderId="266" applyNumberFormat="0" applyFill="0" applyAlignment="0" applyProtection="0"/>
    <xf numFmtId="0" fontId="81" fillId="21" borderId="272" applyNumberForma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76" fillId="34"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84" fillId="34" borderId="261" applyNumberFormat="0" applyAlignment="0" applyProtection="0"/>
    <xf numFmtId="0" fontId="5" fillId="0" borderId="262" applyNumberFormat="0" applyFill="0" applyAlignment="0" applyProtection="0"/>
    <xf numFmtId="0" fontId="81" fillId="21" borderId="260" applyNumberFormat="0" applyAlignment="0" applyProtection="0"/>
    <xf numFmtId="0" fontId="12" fillId="37" borderId="259" applyNumberFormat="0" applyFont="0" applyAlignment="0" applyProtection="0"/>
    <xf numFmtId="0" fontId="81" fillId="21" borderId="260" applyNumberFormat="0" applyAlignment="0" applyProtection="0"/>
    <xf numFmtId="0" fontId="81" fillId="21" borderId="260" applyNumberFormat="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84" fillId="34" borderId="261"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63" applyNumberFormat="0" applyFont="0" applyAlignment="0" applyProtection="0"/>
    <xf numFmtId="0" fontId="76" fillId="34" borderId="260" applyNumberFormat="0" applyAlignment="0" applyProtection="0"/>
    <xf numFmtId="0" fontId="84" fillId="34" borderId="261" applyNumberFormat="0" applyAlignment="0" applyProtection="0"/>
    <xf numFmtId="0" fontId="12" fillId="37" borderId="259" applyNumberFormat="0" applyFont="0" applyAlignment="0" applyProtection="0"/>
    <xf numFmtId="0" fontId="81" fillId="21" borderId="260" applyNumberFormat="0" applyAlignment="0" applyProtection="0"/>
    <xf numFmtId="0" fontId="76" fillId="34" borderId="260" applyNumberFormat="0" applyAlignment="0" applyProtection="0"/>
    <xf numFmtId="0" fontId="76" fillId="34" borderId="260" applyNumberFormat="0" applyAlignment="0" applyProtection="0"/>
    <xf numFmtId="0" fontId="76" fillId="34" borderId="260" applyNumberFormat="0" applyAlignment="0" applyProtection="0"/>
    <xf numFmtId="0" fontId="81" fillId="21" borderId="260" applyNumberFormat="0" applyAlignment="0" applyProtection="0"/>
    <xf numFmtId="0" fontId="81" fillId="21"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12" fillId="37" borderId="259" applyNumberFormat="0" applyFont="0" applyAlignment="0" applyProtection="0"/>
    <xf numFmtId="0" fontId="76" fillId="34" borderId="260" applyNumberForma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84" fillId="34" borderId="261" applyNumberFormat="0" applyAlignment="0" applyProtection="0"/>
    <xf numFmtId="0" fontId="12" fillId="37" borderId="259" applyNumberFormat="0" applyFont="0" applyAlignment="0" applyProtection="0"/>
    <xf numFmtId="0" fontId="81" fillId="21" borderId="260" applyNumberForma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12" fillId="37" borderId="263" applyNumberFormat="0" applyFont="0" applyAlignment="0" applyProtection="0"/>
    <xf numFmtId="0" fontId="12" fillId="37" borderId="259" applyNumberFormat="0" applyFont="0" applyAlignment="0" applyProtection="0"/>
    <xf numFmtId="0" fontId="84" fillId="34" borderId="261" applyNumberFormat="0" applyAlignment="0" applyProtection="0"/>
    <xf numFmtId="0" fontId="12" fillId="37" borderId="259" applyNumberFormat="0" applyFont="0" applyAlignment="0" applyProtection="0"/>
    <xf numFmtId="0" fontId="76" fillId="34" borderId="260"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5" fillId="0" borderId="262" applyNumberFormat="0" applyFill="0" applyAlignment="0" applyProtection="0"/>
    <xf numFmtId="0" fontId="84" fillId="34" borderId="261" applyNumberFormat="0" applyAlignment="0" applyProtection="0"/>
    <xf numFmtId="0" fontId="84" fillId="34" borderId="261" applyNumberFormat="0" applyAlignment="0" applyProtection="0"/>
    <xf numFmtId="0" fontId="12" fillId="37" borderId="259" applyNumberFormat="0" applyFont="0" applyAlignment="0" applyProtection="0"/>
    <xf numFmtId="0" fontId="12" fillId="37" borderId="259" applyNumberFormat="0" applyFont="0" applyAlignment="0" applyProtection="0"/>
    <xf numFmtId="0" fontId="81" fillId="21" borderId="260" applyNumberFormat="0" applyAlignment="0" applyProtection="0"/>
    <xf numFmtId="0" fontId="81" fillId="21" borderId="260" applyNumberFormat="0" applyAlignment="0" applyProtection="0"/>
    <xf numFmtId="0" fontId="76" fillId="34" borderId="260" applyNumberFormat="0" applyAlignment="0" applyProtection="0"/>
    <xf numFmtId="0" fontId="76" fillId="34" borderId="260" applyNumberFormat="0" applyAlignment="0" applyProtection="0"/>
    <xf numFmtId="0" fontId="84" fillId="34" borderId="261" applyNumberFormat="0" applyAlignment="0" applyProtection="0"/>
    <xf numFmtId="0" fontId="5" fillId="0" borderId="262" applyNumberFormat="0" applyFill="0" applyAlignment="0" applyProtection="0"/>
    <xf numFmtId="0" fontId="5" fillId="0" borderId="262" applyNumberFormat="0" applyFill="0" applyAlignment="0" applyProtection="0"/>
    <xf numFmtId="0" fontId="12" fillId="37" borderId="259" applyNumberFormat="0" applyFont="0" applyAlignment="0" applyProtection="0"/>
    <xf numFmtId="0" fontId="5" fillId="0" borderId="262" applyNumberFormat="0" applyFill="0" applyAlignment="0" applyProtection="0"/>
    <xf numFmtId="0" fontId="12" fillId="37" borderId="259" applyNumberFormat="0" applyFont="0" applyAlignment="0" applyProtection="0"/>
    <xf numFmtId="0" fontId="81" fillId="21" borderId="260" applyNumberFormat="0" applyAlignment="0" applyProtection="0"/>
    <xf numFmtId="0" fontId="12" fillId="37" borderId="259" applyNumberFormat="0" applyFont="0" applyAlignment="0" applyProtection="0"/>
    <xf numFmtId="0" fontId="76" fillId="34" borderId="260" applyNumberFormat="0" applyAlignment="0" applyProtection="0"/>
    <xf numFmtId="0" fontId="81" fillId="21" borderId="260" applyNumberFormat="0" applyAlignment="0" applyProtection="0"/>
    <xf numFmtId="0" fontId="81" fillId="21" borderId="260" applyNumberFormat="0" applyAlignment="0" applyProtection="0"/>
    <xf numFmtId="0" fontId="5" fillId="0" borderId="266" applyNumberFormat="0" applyFill="0" applyAlignment="0" applyProtection="0"/>
    <xf numFmtId="0" fontId="5" fillId="0" borderId="262" applyNumberFormat="0" applyFill="0" applyAlignment="0" applyProtection="0"/>
    <xf numFmtId="0" fontId="81" fillId="21" borderId="260" applyNumberFormat="0" applyAlignment="0" applyProtection="0"/>
    <xf numFmtId="0" fontId="84" fillId="34" borderId="261" applyNumberFormat="0" applyAlignment="0" applyProtection="0"/>
    <xf numFmtId="0" fontId="76" fillId="34" borderId="260" applyNumberFormat="0" applyAlignment="0" applyProtection="0"/>
    <xf numFmtId="0" fontId="84" fillId="34" borderId="265" applyNumberFormat="0" applyAlignment="0" applyProtection="0"/>
    <xf numFmtId="0" fontId="12" fillId="37" borderId="259" applyNumberFormat="0" applyFont="0" applyAlignment="0" applyProtection="0"/>
    <xf numFmtId="0" fontId="84" fillId="34" borderId="261" applyNumberFormat="0" applyAlignment="0" applyProtection="0"/>
    <xf numFmtId="0" fontId="76" fillId="34" borderId="260" applyNumberFormat="0" applyAlignment="0" applyProtection="0"/>
    <xf numFmtId="0" fontId="84" fillId="34" borderId="265" applyNumberFormat="0" applyAlignment="0" applyProtection="0"/>
    <xf numFmtId="0" fontId="81" fillId="21" borderId="264" applyNumberFormat="0" applyAlignment="0" applyProtection="0"/>
    <xf numFmtId="0" fontId="12" fillId="37" borderId="279" applyNumberFormat="0" applyFont="0" applyAlignment="0" applyProtection="0"/>
    <xf numFmtId="0" fontId="84" fillId="34" borderId="273" applyNumberForma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76" fillId="34"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4" fillId="34" borderId="265" applyNumberFormat="0" applyAlignment="0" applyProtection="0"/>
    <xf numFmtId="0" fontId="5" fillId="0" borderId="266" applyNumberFormat="0" applyFill="0" applyAlignment="0" applyProtection="0"/>
    <xf numFmtId="0" fontId="81" fillId="21" borderId="264" applyNumberFormat="0" applyAlignment="0" applyProtection="0"/>
    <xf numFmtId="0" fontId="12" fillId="37" borderId="263" applyNumberFormat="0" applyFont="0" applyAlignment="0" applyProtection="0"/>
    <xf numFmtId="0" fontId="81" fillId="21" borderId="264" applyNumberFormat="0" applyAlignment="0" applyProtection="0"/>
    <xf numFmtId="0" fontId="81" fillId="21" borderId="264" applyNumberFormat="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84"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74" applyNumberFormat="0" applyFill="0" applyAlignment="0" applyProtection="0"/>
    <xf numFmtId="0" fontId="76" fillId="34" borderId="264" applyNumberFormat="0" applyAlignment="0" applyProtection="0"/>
    <xf numFmtId="0" fontId="84" fillId="34" borderId="265" applyNumberFormat="0" applyAlignment="0" applyProtection="0"/>
    <xf numFmtId="0" fontId="12" fillId="37" borderId="263" applyNumberFormat="0" applyFont="0" applyAlignment="0" applyProtection="0"/>
    <xf numFmtId="0" fontId="81" fillId="21" borderId="264" applyNumberFormat="0" applyAlignment="0" applyProtection="0"/>
    <xf numFmtId="0" fontId="76" fillId="34" borderId="264" applyNumberFormat="0" applyAlignment="0" applyProtection="0"/>
    <xf numFmtId="0" fontId="76" fillId="34" borderId="264" applyNumberFormat="0" applyAlignment="0" applyProtection="0"/>
    <xf numFmtId="0" fontId="76" fillId="34" borderId="264" applyNumberFormat="0" applyAlignment="0" applyProtection="0"/>
    <xf numFmtId="0" fontId="81" fillId="21" borderId="264" applyNumberFormat="0" applyAlignment="0" applyProtection="0"/>
    <xf numFmtId="0" fontId="81" fillId="21"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12" fillId="37" borderId="263" applyNumberFormat="0" applyFont="0" applyAlignment="0" applyProtection="0"/>
    <xf numFmtId="0" fontId="76" fillId="34" borderId="264" applyNumberForma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84" fillId="34" borderId="265" applyNumberFormat="0" applyAlignment="0" applyProtection="0"/>
    <xf numFmtId="0" fontId="12" fillId="37" borderId="263" applyNumberFormat="0" applyFont="0" applyAlignment="0" applyProtection="0"/>
    <xf numFmtId="0" fontId="81" fillId="21" borderId="264" applyNumberForma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5" fillId="0" borderId="274" applyNumberFormat="0" applyFill="0" applyAlignment="0" applyProtection="0"/>
    <xf numFmtId="0" fontId="12" fillId="37" borderId="263" applyNumberFormat="0" applyFont="0" applyAlignment="0" applyProtection="0"/>
    <xf numFmtId="0" fontId="84" fillId="34" borderId="265" applyNumberFormat="0" applyAlignment="0" applyProtection="0"/>
    <xf numFmtId="0" fontId="12" fillId="37" borderId="263" applyNumberFormat="0" applyFont="0" applyAlignment="0" applyProtection="0"/>
    <xf numFmtId="0" fontId="76" fillId="34" borderId="264"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5" fillId="0" borderId="266" applyNumberFormat="0" applyFill="0" applyAlignment="0" applyProtection="0"/>
    <xf numFmtId="0" fontId="84" fillId="34" borderId="265" applyNumberFormat="0" applyAlignment="0" applyProtection="0"/>
    <xf numFmtId="0" fontId="84" fillId="34" borderId="265" applyNumberFormat="0" applyAlignment="0" applyProtection="0"/>
    <xf numFmtId="0" fontId="12" fillId="37" borderId="263" applyNumberFormat="0" applyFont="0" applyAlignment="0" applyProtection="0"/>
    <xf numFmtId="0" fontId="12" fillId="37" borderId="263" applyNumberFormat="0" applyFont="0" applyAlignment="0" applyProtection="0"/>
    <xf numFmtId="0" fontId="81" fillId="21" borderId="264" applyNumberFormat="0" applyAlignment="0" applyProtection="0"/>
    <xf numFmtId="0" fontId="81" fillId="21" borderId="264" applyNumberFormat="0" applyAlignment="0" applyProtection="0"/>
    <xf numFmtId="0" fontId="76" fillId="34" borderId="264" applyNumberFormat="0" applyAlignment="0" applyProtection="0"/>
    <xf numFmtId="0" fontId="76" fillId="34" borderId="264" applyNumberFormat="0" applyAlignment="0" applyProtection="0"/>
    <xf numFmtId="0" fontId="84" fillId="34" borderId="265" applyNumberFormat="0" applyAlignment="0" applyProtection="0"/>
    <xf numFmtId="0" fontId="5" fillId="0" borderId="266" applyNumberFormat="0" applyFill="0" applyAlignment="0" applyProtection="0"/>
    <xf numFmtId="0" fontId="5" fillId="0" borderId="266" applyNumberFormat="0" applyFill="0" applyAlignment="0" applyProtection="0"/>
    <xf numFmtId="0" fontId="12" fillId="37" borderId="263" applyNumberFormat="0" applyFont="0" applyAlignment="0" applyProtection="0"/>
    <xf numFmtId="0" fontId="5" fillId="0" borderId="266" applyNumberFormat="0" applyFill="0" applyAlignment="0" applyProtection="0"/>
    <xf numFmtId="0" fontId="12" fillId="37" borderId="263" applyNumberFormat="0" applyFont="0" applyAlignment="0" applyProtection="0"/>
    <xf numFmtId="0" fontId="81" fillId="21" borderId="264" applyNumberFormat="0" applyAlignment="0" applyProtection="0"/>
    <xf numFmtId="0" fontId="12" fillId="37" borderId="263" applyNumberFormat="0" applyFont="0" applyAlignment="0" applyProtection="0"/>
    <xf numFmtId="0" fontId="76" fillId="34" borderId="264" applyNumberFormat="0" applyAlignment="0" applyProtection="0"/>
    <xf numFmtId="0" fontId="81" fillId="21" borderId="264" applyNumberFormat="0" applyAlignment="0" applyProtection="0"/>
    <xf numFmtId="0" fontId="81" fillId="21" borderId="264" applyNumberFormat="0" applyAlignment="0" applyProtection="0"/>
    <xf numFmtId="0" fontId="84" fillId="34" borderId="273" applyNumberFormat="0" applyAlignment="0" applyProtection="0"/>
    <xf numFmtId="0" fontId="5" fillId="0" borderId="266" applyNumberFormat="0" applyFill="0" applyAlignment="0" applyProtection="0"/>
    <xf numFmtId="0" fontId="81" fillId="21" borderId="264" applyNumberFormat="0" applyAlignment="0" applyProtection="0"/>
    <xf numFmtId="0" fontId="84" fillId="34" borderId="265" applyNumberFormat="0" applyAlignment="0" applyProtection="0"/>
    <xf numFmtId="0" fontId="76" fillId="34" borderId="264" applyNumberFormat="0" applyAlignment="0" applyProtection="0"/>
    <xf numFmtId="0" fontId="12" fillId="37" borderId="271" applyNumberFormat="0" applyFont="0" applyAlignment="0" applyProtection="0"/>
    <xf numFmtId="0" fontId="12" fillId="37" borderId="263" applyNumberFormat="0" applyFont="0" applyAlignment="0" applyProtection="0"/>
    <xf numFmtId="0" fontId="84" fillId="34" borderId="265" applyNumberFormat="0" applyAlignment="0" applyProtection="0"/>
    <xf numFmtId="0" fontId="76" fillId="34" borderId="264" applyNumberFormat="0" applyAlignment="0" applyProtection="0"/>
    <xf numFmtId="0" fontId="84" fillId="34" borderId="273" applyNumberFormat="0" applyAlignment="0" applyProtection="0"/>
    <xf numFmtId="0" fontId="81" fillId="21" borderId="272" applyNumberFormat="0" applyAlignment="0" applyProtection="0"/>
    <xf numFmtId="0" fontId="5" fillId="0" borderId="278" applyNumberFormat="0" applyFill="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76" fillId="34"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84" fillId="34" borderId="273" applyNumberFormat="0" applyAlignment="0" applyProtection="0"/>
    <xf numFmtId="0" fontId="5" fillId="0" borderId="274" applyNumberFormat="0" applyFill="0" applyAlignment="0" applyProtection="0"/>
    <xf numFmtId="0" fontId="81" fillId="21" borderId="272" applyNumberFormat="0" applyAlignment="0" applyProtection="0"/>
    <xf numFmtId="0" fontId="12" fillId="37" borderId="271" applyNumberFormat="0" applyFont="0" applyAlignment="0" applyProtection="0"/>
    <xf numFmtId="0" fontId="81" fillId="21" borderId="272" applyNumberFormat="0" applyAlignment="0" applyProtection="0"/>
    <xf numFmtId="0" fontId="81" fillId="21" borderId="272" applyNumberFormat="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84" fillId="34" borderId="273"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5" applyNumberFormat="0" applyFont="0" applyAlignment="0" applyProtection="0"/>
    <xf numFmtId="0" fontId="76" fillId="34" borderId="272" applyNumberFormat="0" applyAlignment="0" applyProtection="0"/>
    <xf numFmtId="0" fontId="84" fillId="34" borderId="273" applyNumberFormat="0" applyAlignment="0" applyProtection="0"/>
    <xf numFmtId="0" fontId="12" fillId="37" borderId="271" applyNumberFormat="0" applyFont="0" applyAlignment="0" applyProtection="0"/>
    <xf numFmtId="0" fontId="81" fillId="21" borderId="272" applyNumberFormat="0" applyAlignment="0" applyProtection="0"/>
    <xf numFmtId="0" fontId="76" fillId="34" borderId="272" applyNumberFormat="0" applyAlignment="0" applyProtection="0"/>
    <xf numFmtId="0" fontId="76" fillId="34" borderId="272" applyNumberFormat="0" applyAlignment="0" applyProtection="0"/>
    <xf numFmtId="0" fontId="76" fillId="34" borderId="272" applyNumberFormat="0" applyAlignment="0" applyProtection="0"/>
    <xf numFmtId="0" fontId="81" fillId="21" borderId="272" applyNumberFormat="0" applyAlignment="0" applyProtection="0"/>
    <xf numFmtId="0" fontId="81" fillId="21"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12" fillId="37" borderId="271" applyNumberFormat="0" applyFont="0" applyAlignment="0" applyProtection="0"/>
    <xf numFmtId="0" fontId="76" fillId="34" borderId="272" applyNumberFormat="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84" fillId="34" borderId="273" applyNumberFormat="0" applyAlignment="0" applyProtection="0"/>
    <xf numFmtId="0" fontId="12" fillId="37" borderId="271" applyNumberFormat="0" applyFont="0" applyAlignment="0" applyProtection="0"/>
    <xf numFmtId="0" fontId="81" fillId="21" borderId="272" applyNumberForma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12" fillId="37" borderId="275" applyNumberFormat="0" applyFont="0" applyAlignment="0" applyProtection="0"/>
    <xf numFmtId="0" fontId="12" fillId="37" borderId="271" applyNumberFormat="0" applyFont="0" applyAlignment="0" applyProtection="0"/>
    <xf numFmtId="0" fontId="84" fillId="34" borderId="273" applyNumberFormat="0" applyAlignment="0" applyProtection="0"/>
    <xf numFmtId="0" fontId="12" fillId="37" borderId="271" applyNumberFormat="0" applyFont="0" applyAlignment="0" applyProtection="0"/>
    <xf numFmtId="0" fontId="76" fillId="34" borderId="272"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5" fillId="0" borderId="274" applyNumberFormat="0" applyFill="0" applyAlignment="0" applyProtection="0"/>
    <xf numFmtId="0" fontId="84" fillId="34" borderId="273" applyNumberFormat="0" applyAlignment="0" applyProtection="0"/>
    <xf numFmtId="0" fontId="84" fillId="34" borderId="273" applyNumberFormat="0" applyAlignment="0" applyProtection="0"/>
    <xf numFmtId="0" fontId="12" fillId="37" borderId="271" applyNumberFormat="0" applyFont="0" applyAlignment="0" applyProtection="0"/>
    <xf numFmtId="0" fontId="12" fillId="37" borderId="271" applyNumberFormat="0" applyFont="0" applyAlignment="0" applyProtection="0"/>
    <xf numFmtId="0" fontId="81" fillId="21" borderId="272" applyNumberFormat="0" applyAlignment="0" applyProtection="0"/>
    <xf numFmtId="0" fontId="81" fillId="21" borderId="272" applyNumberFormat="0" applyAlignment="0" applyProtection="0"/>
    <xf numFmtId="0" fontId="76" fillId="34" borderId="272" applyNumberFormat="0" applyAlignment="0" applyProtection="0"/>
    <xf numFmtId="0" fontId="76" fillId="34" borderId="272" applyNumberFormat="0" applyAlignment="0" applyProtection="0"/>
    <xf numFmtId="0" fontId="84" fillId="34" borderId="273" applyNumberFormat="0" applyAlignment="0" applyProtection="0"/>
    <xf numFmtId="0" fontId="5" fillId="0" borderId="274" applyNumberFormat="0" applyFill="0" applyAlignment="0" applyProtection="0"/>
    <xf numFmtId="0" fontId="5" fillId="0" borderId="274" applyNumberFormat="0" applyFill="0" applyAlignment="0" applyProtection="0"/>
    <xf numFmtId="0" fontId="12" fillId="37" borderId="271" applyNumberFormat="0" applyFont="0" applyAlignment="0" applyProtection="0"/>
    <xf numFmtId="0" fontId="5" fillId="0" borderId="274" applyNumberFormat="0" applyFill="0" applyAlignment="0" applyProtection="0"/>
    <xf numFmtId="0" fontId="12" fillId="37" borderId="271" applyNumberFormat="0" applyFont="0" applyAlignment="0" applyProtection="0"/>
    <xf numFmtId="0" fontId="81" fillId="21" borderId="272" applyNumberFormat="0" applyAlignment="0" applyProtection="0"/>
    <xf numFmtId="0" fontId="12" fillId="37" borderId="271" applyNumberFormat="0" applyFont="0" applyAlignment="0" applyProtection="0"/>
    <xf numFmtId="0" fontId="76" fillId="34" borderId="272" applyNumberFormat="0" applyAlignment="0" applyProtection="0"/>
    <xf numFmtId="0" fontId="81" fillId="21" borderId="272" applyNumberFormat="0" applyAlignment="0" applyProtection="0"/>
    <xf numFmtId="0" fontId="81" fillId="21" borderId="272" applyNumberFormat="0" applyAlignment="0" applyProtection="0"/>
    <xf numFmtId="0" fontId="5" fillId="0" borderId="278" applyNumberFormat="0" applyFill="0" applyAlignment="0" applyProtection="0"/>
    <xf numFmtId="0" fontId="5" fillId="0" borderId="274" applyNumberFormat="0" applyFill="0" applyAlignment="0" applyProtection="0"/>
    <xf numFmtId="0" fontId="81" fillId="21" borderId="272" applyNumberFormat="0" applyAlignment="0" applyProtection="0"/>
    <xf numFmtId="0" fontId="84" fillId="34" borderId="273" applyNumberFormat="0" applyAlignment="0" applyProtection="0"/>
    <xf numFmtId="0" fontId="76" fillId="34" borderId="272" applyNumberFormat="0" applyAlignment="0" applyProtection="0"/>
    <xf numFmtId="0" fontId="84" fillId="34" borderId="277" applyNumberFormat="0" applyAlignment="0" applyProtection="0"/>
    <xf numFmtId="0" fontId="12" fillId="37" borderId="271" applyNumberFormat="0" applyFont="0" applyAlignment="0" applyProtection="0"/>
    <xf numFmtId="0" fontId="84" fillId="34" borderId="273" applyNumberFormat="0" applyAlignment="0" applyProtection="0"/>
    <xf numFmtId="0" fontId="76" fillId="34" borderId="272" applyNumberFormat="0" applyAlignment="0" applyProtection="0"/>
    <xf numFmtId="0" fontId="84" fillId="34" borderId="277" applyNumberFormat="0" applyAlignment="0" applyProtection="0"/>
    <xf numFmtId="0" fontId="81" fillId="21" borderId="276" applyNumberForma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84" fillId="34" borderId="277" applyNumberFormat="0" applyAlignment="0" applyProtection="0"/>
    <xf numFmtId="0" fontId="5" fillId="0" borderId="278" applyNumberFormat="0" applyFill="0" applyAlignment="0" applyProtection="0"/>
    <xf numFmtId="0" fontId="81" fillId="21" borderId="276" applyNumberFormat="0" applyAlignment="0" applyProtection="0"/>
    <xf numFmtId="0" fontId="12" fillId="37" borderId="275" applyNumberFormat="0" applyFont="0" applyAlignment="0" applyProtection="0"/>
    <xf numFmtId="0" fontId="81" fillId="21" borderId="276" applyNumberFormat="0" applyAlignment="0" applyProtection="0"/>
    <xf numFmtId="0" fontId="81" fillId="21" borderId="276" applyNumberFormat="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84" fillId="34" borderId="277"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84" fillId="34" borderId="277" applyNumberFormat="0" applyAlignment="0" applyProtection="0"/>
    <xf numFmtId="0" fontId="12" fillId="37" borderId="275" applyNumberFormat="0" applyFont="0" applyAlignment="0" applyProtection="0"/>
    <xf numFmtId="0" fontId="81" fillId="21" borderId="276" applyNumberFormat="0" applyAlignment="0" applyProtection="0"/>
    <xf numFmtId="0" fontId="76" fillId="34" borderId="276" applyNumberFormat="0" applyAlignment="0" applyProtection="0"/>
    <xf numFmtId="0" fontId="76" fillId="34" borderId="276" applyNumberFormat="0" applyAlignment="0" applyProtection="0"/>
    <xf numFmtId="0" fontId="76" fillId="34" borderId="276" applyNumberFormat="0" applyAlignment="0" applyProtection="0"/>
    <xf numFmtId="0" fontId="81" fillId="21" borderId="276" applyNumberFormat="0" applyAlignment="0" applyProtection="0"/>
    <xf numFmtId="0" fontId="81" fillId="21"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12" fillId="37" borderId="275" applyNumberFormat="0" applyFont="0" applyAlignment="0" applyProtection="0"/>
    <xf numFmtId="0" fontId="76" fillId="34" borderId="276" applyNumberForma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84" fillId="34" borderId="277" applyNumberFormat="0" applyAlignment="0" applyProtection="0"/>
    <xf numFmtId="0" fontId="12" fillId="37" borderId="275" applyNumberFormat="0" applyFont="0" applyAlignment="0" applyProtection="0"/>
    <xf numFmtId="0" fontId="81" fillId="21" borderId="276" applyNumberForma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4" fillId="34" borderId="277" applyNumberFormat="0" applyAlignment="0" applyProtection="0"/>
    <xf numFmtId="0" fontId="12" fillId="37" borderId="275" applyNumberFormat="0" applyFont="0" applyAlignment="0" applyProtection="0"/>
    <xf numFmtId="0" fontId="84" fillId="34" borderId="277" applyNumberFormat="0" applyAlignment="0" applyProtection="0"/>
    <xf numFmtId="0" fontId="12" fillId="37" borderId="275" applyNumberFormat="0" applyFont="0" applyAlignment="0" applyProtection="0"/>
    <xf numFmtId="0" fontId="76" fillId="34" borderId="276"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5" fillId="0" borderId="278" applyNumberFormat="0" applyFill="0" applyAlignment="0" applyProtection="0"/>
    <xf numFmtId="0" fontId="84" fillId="34" borderId="277" applyNumberFormat="0" applyAlignment="0" applyProtection="0"/>
    <xf numFmtId="0" fontId="84" fillId="34" borderId="277" applyNumberFormat="0" applyAlignment="0" applyProtection="0"/>
    <xf numFmtId="0" fontId="12" fillId="37" borderId="275" applyNumberFormat="0" applyFont="0" applyAlignment="0" applyProtection="0"/>
    <xf numFmtId="0" fontId="12" fillId="37" borderId="275" applyNumberFormat="0" applyFont="0" applyAlignment="0" applyProtection="0"/>
    <xf numFmtId="0" fontId="81" fillId="21" borderId="276" applyNumberFormat="0" applyAlignment="0" applyProtection="0"/>
    <xf numFmtId="0" fontId="81" fillId="21" borderId="276" applyNumberFormat="0" applyAlignment="0" applyProtection="0"/>
    <xf numFmtId="0" fontId="76" fillId="34" borderId="276" applyNumberFormat="0" applyAlignment="0" applyProtection="0"/>
    <xf numFmtId="0" fontId="76" fillId="34" borderId="276" applyNumberFormat="0" applyAlignment="0" applyProtection="0"/>
    <xf numFmtId="0" fontId="84" fillId="34" borderId="277" applyNumberFormat="0" applyAlignment="0" applyProtection="0"/>
    <xf numFmtId="0" fontId="5" fillId="0" borderId="278" applyNumberFormat="0" applyFill="0" applyAlignment="0" applyProtection="0"/>
    <xf numFmtId="0" fontId="5" fillId="0" borderId="278" applyNumberFormat="0" applyFill="0" applyAlignment="0" applyProtection="0"/>
    <xf numFmtId="0" fontId="12" fillId="37" borderId="275" applyNumberFormat="0" applyFont="0" applyAlignment="0" applyProtection="0"/>
    <xf numFmtId="0" fontId="5" fillId="0" borderId="278" applyNumberFormat="0" applyFill="0" applyAlignment="0" applyProtection="0"/>
    <xf numFmtId="0" fontId="12" fillId="37" borderId="275" applyNumberFormat="0" applyFont="0" applyAlignment="0" applyProtection="0"/>
    <xf numFmtId="0" fontId="81" fillId="21" borderId="276" applyNumberFormat="0" applyAlignment="0" applyProtection="0"/>
    <xf numFmtId="0" fontId="12" fillId="37" borderId="275" applyNumberFormat="0" applyFont="0" applyAlignment="0" applyProtection="0"/>
    <xf numFmtId="0" fontId="76" fillId="34" borderId="276" applyNumberFormat="0" applyAlignment="0" applyProtection="0"/>
    <xf numFmtId="0" fontId="81" fillId="21" borderId="276" applyNumberFormat="0" applyAlignment="0" applyProtection="0"/>
    <xf numFmtId="0" fontId="81" fillId="21" borderId="276" applyNumberFormat="0" applyAlignment="0" applyProtection="0"/>
    <xf numFmtId="0" fontId="12" fillId="37" borderId="283" applyNumberFormat="0" applyFont="0" applyAlignment="0" applyProtection="0"/>
    <xf numFmtId="0" fontId="5" fillId="0" borderId="278" applyNumberFormat="0" applyFill="0" applyAlignment="0" applyProtection="0"/>
    <xf numFmtId="0" fontId="81" fillId="21" borderId="276" applyNumberFormat="0" applyAlignment="0" applyProtection="0"/>
    <xf numFmtId="0" fontId="84" fillId="34" borderId="277" applyNumberFormat="0" applyAlignment="0" applyProtection="0"/>
    <xf numFmtId="0" fontId="76" fillId="34" borderId="276" applyNumberFormat="0" applyAlignment="0" applyProtection="0"/>
    <xf numFmtId="0" fontId="12" fillId="37" borderId="275" applyNumberFormat="0" applyFont="0" applyAlignment="0" applyProtection="0"/>
    <xf numFmtId="0" fontId="84" fillId="34" borderId="277" applyNumberFormat="0" applyAlignment="0" applyProtection="0"/>
    <xf numFmtId="0" fontId="76" fillId="34" borderId="276" applyNumberFormat="0" applyAlignment="0" applyProtection="0"/>
    <xf numFmtId="0" fontId="5" fillId="0" borderId="290" applyNumberFormat="0" applyFill="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76" fillId="34"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84" fillId="34" borderId="285" applyNumberFormat="0" applyAlignment="0" applyProtection="0"/>
    <xf numFmtId="0" fontId="5" fillId="0" borderId="286" applyNumberFormat="0" applyFill="0" applyAlignment="0" applyProtection="0"/>
    <xf numFmtId="0" fontId="81" fillId="21" borderId="284" applyNumberFormat="0" applyAlignment="0" applyProtection="0"/>
    <xf numFmtId="0" fontId="12" fillId="37" borderId="283" applyNumberFormat="0" applyFont="0" applyAlignment="0" applyProtection="0"/>
    <xf numFmtId="0" fontId="81" fillId="21" borderId="284" applyNumberFormat="0" applyAlignment="0" applyProtection="0"/>
    <xf numFmtId="0" fontId="81" fillId="21" borderId="284" applyNumberFormat="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84" fillId="34" borderId="285"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7" applyNumberFormat="0" applyFont="0" applyAlignment="0" applyProtection="0"/>
    <xf numFmtId="0" fontId="76" fillId="34" borderId="284" applyNumberFormat="0" applyAlignment="0" applyProtection="0"/>
    <xf numFmtId="0" fontId="84" fillId="34" borderId="285" applyNumberFormat="0" applyAlignment="0" applyProtection="0"/>
    <xf numFmtId="0" fontId="12" fillId="37" borderId="283" applyNumberFormat="0" applyFont="0" applyAlignment="0" applyProtection="0"/>
    <xf numFmtId="0" fontId="81" fillId="21" borderId="284" applyNumberFormat="0" applyAlignment="0" applyProtection="0"/>
    <xf numFmtId="0" fontId="76" fillId="34" borderId="284" applyNumberFormat="0" applyAlignment="0" applyProtection="0"/>
    <xf numFmtId="0" fontId="76" fillId="34" borderId="284" applyNumberFormat="0" applyAlignment="0" applyProtection="0"/>
    <xf numFmtId="0" fontId="76" fillId="34" borderId="284" applyNumberFormat="0" applyAlignment="0" applyProtection="0"/>
    <xf numFmtId="0" fontId="81" fillId="21" borderId="284" applyNumberFormat="0" applyAlignment="0" applyProtection="0"/>
    <xf numFmtId="0" fontId="81" fillId="21"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12" fillId="37" borderId="283" applyNumberFormat="0" applyFont="0" applyAlignment="0" applyProtection="0"/>
    <xf numFmtId="0" fontId="76" fillId="34" borderId="284" applyNumberFormat="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84" fillId="34" borderId="285" applyNumberFormat="0" applyAlignment="0" applyProtection="0"/>
    <xf numFmtId="0" fontId="12" fillId="37" borderId="283" applyNumberFormat="0" applyFont="0" applyAlignment="0" applyProtection="0"/>
    <xf numFmtId="0" fontId="81" fillId="21" borderId="284" applyNumberForma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12" fillId="37" borderId="287" applyNumberFormat="0" applyFont="0" applyAlignment="0" applyProtection="0"/>
    <xf numFmtId="0" fontId="12" fillId="37" borderId="283" applyNumberFormat="0" applyFont="0" applyAlignment="0" applyProtection="0"/>
    <xf numFmtId="0" fontId="84" fillId="34" borderId="285" applyNumberFormat="0" applyAlignment="0" applyProtection="0"/>
    <xf numFmtId="0" fontId="12" fillId="37" borderId="283" applyNumberFormat="0" applyFont="0" applyAlignment="0" applyProtection="0"/>
    <xf numFmtId="0" fontId="76" fillId="34" borderId="284"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5" fillId="0" borderId="286" applyNumberFormat="0" applyFill="0" applyAlignment="0" applyProtection="0"/>
    <xf numFmtId="0" fontId="84" fillId="34" borderId="285" applyNumberFormat="0" applyAlignment="0" applyProtection="0"/>
    <xf numFmtId="0" fontId="84" fillId="34" borderId="285" applyNumberFormat="0" applyAlignment="0" applyProtection="0"/>
    <xf numFmtId="0" fontId="12" fillId="37" borderId="283" applyNumberFormat="0" applyFont="0" applyAlignment="0" applyProtection="0"/>
    <xf numFmtId="0" fontId="12" fillId="37" borderId="283" applyNumberFormat="0" applyFont="0" applyAlignment="0" applyProtection="0"/>
    <xf numFmtId="0" fontId="81" fillId="21" borderId="284" applyNumberFormat="0" applyAlignment="0" applyProtection="0"/>
    <xf numFmtId="0" fontId="81" fillId="21" borderId="284" applyNumberFormat="0" applyAlignment="0" applyProtection="0"/>
    <xf numFmtId="0" fontId="76" fillId="34" borderId="284" applyNumberFormat="0" applyAlignment="0" applyProtection="0"/>
    <xf numFmtId="0" fontId="76" fillId="34" borderId="284" applyNumberFormat="0" applyAlignment="0" applyProtection="0"/>
    <xf numFmtId="0" fontId="84" fillId="34" borderId="285" applyNumberFormat="0" applyAlignment="0" applyProtection="0"/>
    <xf numFmtId="0" fontId="5" fillId="0" borderId="286" applyNumberFormat="0" applyFill="0" applyAlignment="0" applyProtection="0"/>
    <xf numFmtId="0" fontId="5" fillId="0" borderId="286" applyNumberFormat="0" applyFill="0" applyAlignment="0" applyProtection="0"/>
    <xf numFmtId="0" fontId="12" fillId="37" borderId="283" applyNumberFormat="0" applyFont="0" applyAlignment="0" applyProtection="0"/>
    <xf numFmtId="0" fontId="5" fillId="0" borderId="286" applyNumberFormat="0" applyFill="0" applyAlignment="0" applyProtection="0"/>
    <xf numFmtId="0" fontId="12" fillId="37" borderId="283" applyNumberFormat="0" applyFont="0" applyAlignment="0" applyProtection="0"/>
    <xf numFmtId="0" fontId="81" fillId="21" borderId="284" applyNumberFormat="0" applyAlignment="0" applyProtection="0"/>
    <xf numFmtId="0" fontId="12" fillId="37" borderId="283" applyNumberFormat="0" applyFont="0" applyAlignment="0" applyProtection="0"/>
    <xf numFmtId="0" fontId="76" fillId="34" borderId="284" applyNumberFormat="0" applyAlignment="0" applyProtection="0"/>
    <xf numFmtId="0" fontId="81" fillId="21" borderId="284" applyNumberFormat="0" applyAlignment="0" applyProtection="0"/>
    <xf numFmtId="0" fontId="81" fillId="21" borderId="284" applyNumberFormat="0" applyAlignment="0" applyProtection="0"/>
    <xf numFmtId="0" fontId="5" fillId="0" borderId="290" applyNumberFormat="0" applyFill="0" applyAlignment="0" applyProtection="0"/>
    <xf numFmtId="0" fontId="5" fillId="0" borderId="286" applyNumberFormat="0" applyFill="0" applyAlignment="0" applyProtection="0"/>
    <xf numFmtId="0" fontId="81" fillId="21" borderId="284" applyNumberFormat="0" applyAlignment="0" applyProtection="0"/>
    <xf numFmtId="0" fontId="84" fillId="34" borderId="285" applyNumberFormat="0" applyAlignment="0" applyProtection="0"/>
    <xf numFmtId="0" fontId="76" fillId="34" borderId="284" applyNumberFormat="0" applyAlignment="0" applyProtection="0"/>
    <xf numFmtId="0" fontId="84" fillId="34" borderId="289" applyNumberFormat="0" applyAlignment="0" applyProtection="0"/>
    <xf numFmtId="0" fontId="12" fillId="37" borderId="283" applyNumberFormat="0" applyFont="0" applyAlignment="0" applyProtection="0"/>
    <xf numFmtId="0" fontId="84" fillId="34" borderId="285" applyNumberFormat="0" applyAlignment="0" applyProtection="0"/>
    <xf numFmtId="0" fontId="76" fillId="34" borderId="284" applyNumberFormat="0" applyAlignment="0" applyProtection="0"/>
    <xf numFmtId="0" fontId="84" fillId="34" borderId="289" applyNumberFormat="0" applyAlignment="0" applyProtection="0"/>
    <xf numFmtId="0" fontId="81" fillId="21" borderId="288" applyNumberForma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4" fillId="34" borderId="289" applyNumberFormat="0" applyAlignment="0" applyProtection="0"/>
    <xf numFmtId="0" fontId="5" fillId="0" borderId="290" applyNumberFormat="0" applyFill="0" applyAlignment="0" applyProtection="0"/>
    <xf numFmtId="0" fontId="81" fillId="21" borderId="288" applyNumberFormat="0" applyAlignment="0" applyProtection="0"/>
    <xf numFmtId="0" fontId="12" fillId="37" borderId="287" applyNumberFormat="0" applyFont="0" applyAlignment="0" applyProtection="0"/>
    <xf numFmtId="0" fontId="81" fillId="21" borderId="288" applyNumberFormat="0" applyAlignment="0" applyProtection="0"/>
    <xf numFmtId="0" fontId="81" fillId="21" borderId="288" applyNumberFormat="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84"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84" fillId="34" borderId="289" applyNumberFormat="0" applyAlignment="0" applyProtection="0"/>
    <xf numFmtId="0" fontId="12" fillId="37" borderId="287" applyNumberFormat="0" applyFont="0" applyAlignment="0" applyProtection="0"/>
    <xf numFmtId="0" fontId="81" fillId="21" borderId="288" applyNumberFormat="0" applyAlignment="0" applyProtection="0"/>
    <xf numFmtId="0" fontId="76" fillId="34" borderId="288" applyNumberFormat="0" applyAlignment="0" applyProtection="0"/>
    <xf numFmtId="0" fontId="76" fillId="34" borderId="288" applyNumberFormat="0" applyAlignment="0" applyProtection="0"/>
    <xf numFmtId="0" fontId="76" fillId="34" borderId="288" applyNumberFormat="0" applyAlignment="0" applyProtection="0"/>
    <xf numFmtId="0" fontId="81" fillId="21" borderId="288" applyNumberFormat="0" applyAlignment="0" applyProtection="0"/>
    <xf numFmtId="0" fontId="81" fillId="21"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12" fillId="37" borderId="287" applyNumberFormat="0" applyFont="0" applyAlignment="0" applyProtection="0"/>
    <xf numFmtId="0" fontId="76" fillId="34" borderId="288" applyNumberForma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84" fillId="34" borderId="289" applyNumberFormat="0" applyAlignment="0" applyProtection="0"/>
    <xf numFmtId="0" fontId="12" fillId="37" borderId="287" applyNumberFormat="0" applyFont="0" applyAlignment="0" applyProtection="0"/>
    <xf numFmtId="0" fontId="81" fillId="21" borderId="288" applyNumberForma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4" fillId="34" borderId="289" applyNumberFormat="0" applyAlignment="0" applyProtection="0"/>
    <xf numFmtId="0" fontId="12" fillId="37" borderId="287" applyNumberFormat="0" applyFont="0" applyAlignment="0" applyProtection="0"/>
    <xf numFmtId="0" fontId="84" fillId="34" borderId="289" applyNumberFormat="0" applyAlignment="0" applyProtection="0"/>
    <xf numFmtId="0" fontId="12" fillId="37" borderId="287" applyNumberFormat="0" applyFont="0" applyAlignment="0" applyProtection="0"/>
    <xf numFmtId="0" fontId="76" fillId="34" borderId="288"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5" fillId="0" borderId="290" applyNumberFormat="0" applyFill="0" applyAlignment="0" applyProtection="0"/>
    <xf numFmtId="0" fontId="84" fillId="34" borderId="289" applyNumberFormat="0" applyAlignment="0" applyProtection="0"/>
    <xf numFmtId="0" fontId="84" fillId="34" borderId="289" applyNumberFormat="0" applyAlignment="0" applyProtection="0"/>
    <xf numFmtId="0" fontId="12" fillId="37" borderId="287" applyNumberFormat="0" applyFont="0" applyAlignment="0" applyProtection="0"/>
    <xf numFmtId="0" fontId="12" fillId="37" borderId="287" applyNumberFormat="0" applyFont="0" applyAlignment="0" applyProtection="0"/>
    <xf numFmtId="0" fontId="81" fillId="21" borderId="288" applyNumberFormat="0" applyAlignment="0" applyProtection="0"/>
    <xf numFmtId="0" fontId="81" fillId="21" borderId="288" applyNumberFormat="0" applyAlignment="0" applyProtection="0"/>
    <xf numFmtId="0" fontId="76" fillId="34" borderId="288" applyNumberFormat="0" applyAlignment="0" applyProtection="0"/>
    <xf numFmtId="0" fontId="76" fillId="34" borderId="288" applyNumberFormat="0" applyAlignment="0" applyProtection="0"/>
    <xf numFmtId="0" fontId="84" fillId="34" borderId="289" applyNumberFormat="0" applyAlignment="0" applyProtection="0"/>
    <xf numFmtId="0" fontId="5" fillId="0" borderId="290" applyNumberFormat="0" applyFill="0" applyAlignment="0" applyProtection="0"/>
    <xf numFmtId="0" fontId="5" fillId="0" borderId="290" applyNumberFormat="0" applyFill="0" applyAlignment="0" applyProtection="0"/>
    <xf numFmtId="0" fontId="12" fillId="37" borderId="287" applyNumberFormat="0" applyFont="0" applyAlignment="0" applyProtection="0"/>
    <xf numFmtId="0" fontId="5" fillId="0" borderId="290" applyNumberFormat="0" applyFill="0" applyAlignment="0" applyProtection="0"/>
    <xf numFmtId="0" fontId="12" fillId="37" borderId="287" applyNumberFormat="0" applyFont="0" applyAlignment="0" applyProtection="0"/>
    <xf numFmtId="0" fontId="81" fillId="21" borderId="288" applyNumberFormat="0" applyAlignment="0" applyProtection="0"/>
    <xf numFmtId="0" fontId="12" fillId="37" borderId="287" applyNumberFormat="0" applyFont="0" applyAlignment="0" applyProtection="0"/>
    <xf numFmtId="0" fontId="76" fillId="34" borderId="288" applyNumberFormat="0" applyAlignment="0" applyProtection="0"/>
    <xf numFmtId="0" fontId="81" fillId="21" borderId="288" applyNumberFormat="0" applyAlignment="0" applyProtection="0"/>
    <xf numFmtId="0" fontId="81" fillId="21" borderId="288" applyNumberFormat="0" applyAlignment="0" applyProtection="0"/>
    <xf numFmtId="0" fontId="5" fillId="0" borderId="290" applyNumberFormat="0" applyFill="0" applyAlignment="0" applyProtection="0"/>
    <xf numFmtId="0" fontId="81" fillId="21" borderId="288" applyNumberFormat="0" applyAlignment="0" applyProtection="0"/>
    <xf numFmtId="0" fontId="84" fillId="34" borderId="289" applyNumberFormat="0" applyAlignment="0" applyProtection="0"/>
    <xf numFmtId="0" fontId="76" fillId="34" borderId="288" applyNumberFormat="0" applyAlignment="0" applyProtection="0"/>
    <xf numFmtId="0" fontId="12" fillId="37" borderId="287" applyNumberFormat="0" applyFont="0" applyAlignment="0" applyProtection="0"/>
    <xf numFmtId="0" fontId="84" fillId="34" borderId="289" applyNumberFormat="0" applyAlignment="0" applyProtection="0"/>
    <xf numFmtId="0" fontId="76" fillId="34" borderId="288" applyNumberFormat="0" applyAlignment="0" applyProtection="0"/>
    <xf numFmtId="0" fontId="84" fillId="34" borderId="366" applyNumberFormat="0" applyAlignment="0" applyProtection="0"/>
    <xf numFmtId="0" fontId="5" fillId="0" borderId="294" applyNumberFormat="0" applyFill="0" applyAlignment="0" applyProtection="0"/>
    <xf numFmtId="0" fontId="81" fillId="21" borderId="369" applyNumberFormat="0" applyAlignment="0" applyProtection="0"/>
    <xf numFmtId="0" fontId="12" fillId="37" borderId="368" applyNumberFormat="0" applyFont="0" applyAlignment="0" applyProtection="0"/>
    <xf numFmtId="0" fontId="76" fillId="34" borderId="305" applyNumberFormat="0" applyAlignment="0" applyProtection="0"/>
    <xf numFmtId="0" fontId="12" fillId="37" borderId="326" applyNumberFormat="0" applyFont="0" applyAlignment="0" applyProtection="0"/>
    <xf numFmtId="0" fontId="81" fillId="21" borderId="319" applyNumberFormat="0" applyAlignment="0" applyProtection="0"/>
    <xf numFmtId="0" fontId="81" fillId="21" borderId="327" applyNumberFormat="0" applyAlignment="0" applyProtection="0"/>
    <xf numFmtId="0" fontId="81" fillId="21" borderId="345" applyNumberFormat="0" applyAlignment="0" applyProtection="0"/>
    <xf numFmtId="0" fontId="81" fillId="21" borderId="315" applyNumberFormat="0" applyAlignment="0" applyProtection="0"/>
    <xf numFmtId="0" fontId="76" fillId="34" borderId="365" applyNumberFormat="0" applyAlignment="0" applyProtection="0"/>
    <xf numFmtId="0" fontId="84" fillId="34" borderId="328" applyNumberFormat="0" applyAlignment="0" applyProtection="0"/>
    <xf numFmtId="0" fontId="81" fillId="21" borderId="349" applyNumberFormat="0" applyAlignment="0" applyProtection="0"/>
    <xf numFmtId="0" fontId="81" fillId="21" borderId="345" applyNumberFormat="0" applyAlignment="0" applyProtection="0"/>
    <xf numFmtId="0" fontId="5" fillId="0" borderId="347" applyNumberFormat="0" applyFill="0" applyAlignment="0" applyProtection="0"/>
    <xf numFmtId="0" fontId="12" fillId="37" borderId="326" applyNumberFormat="0" applyFont="0" applyAlignment="0" applyProtection="0"/>
    <xf numFmtId="0" fontId="76" fillId="34" borderId="349" applyNumberFormat="0" applyAlignment="0" applyProtection="0"/>
    <xf numFmtId="0" fontId="12" fillId="37" borderId="308" applyNumberFormat="0" applyFont="0" applyAlignment="0" applyProtection="0"/>
    <xf numFmtId="0" fontId="5" fillId="0" borderId="347" applyNumberFormat="0" applyFill="0" applyAlignment="0" applyProtection="0"/>
    <xf numFmtId="0" fontId="12" fillId="37" borderId="318" applyNumberFormat="0" applyFont="0" applyAlignment="0" applyProtection="0"/>
    <xf numFmtId="0" fontId="5" fillId="0" borderId="329" applyNumberFormat="0" applyFill="0" applyAlignment="0" applyProtection="0"/>
    <xf numFmtId="0" fontId="12" fillId="37" borderId="295" applyNumberFormat="0" applyFont="0" applyAlignment="0" applyProtection="0"/>
    <xf numFmtId="0" fontId="76" fillId="34" borderId="327" applyNumberFormat="0" applyAlignment="0" applyProtection="0"/>
    <xf numFmtId="0" fontId="5" fillId="0" borderId="312" applyNumberFormat="0" applyFill="0" applyAlignment="0" applyProtection="0"/>
    <xf numFmtId="0" fontId="84" fillId="34" borderId="297" applyNumberFormat="0" applyAlignment="0" applyProtection="0"/>
    <xf numFmtId="0" fontId="12" fillId="37" borderId="295" applyNumberFormat="0" applyFont="0" applyAlignment="0" applyProtection="0"/>
    <xf numFmtId="0" fontId="76" fillId="34" borderId="327" applyNumberFormat="0" applyAlignment="0" applyProtection="0"/>
    <xf numFmtId="0" fontId="5" fillId="0" borderId="329" applyNumberFormat="0" applyFill="0" applyAlignment="0" applyProtection="0"/>
    <xf numFmtId="0" fontId="84" fillId="34" borderId="328" applyNumberFormat="0" applyAlignment="0" applyProtection="0"/>
    <xf numFmtId="0" fontId="76" fillId="34" borderId="292" applyNumberFormat="0" applyAlignment="0" applyProtection="0"/>
    <xf numFmtId="0" fontId="76" fillId="34" borderId="292" applyNumberFormat="0" applyAlignment="0" applyProtection="0"/>
    <xf numFmtId="0" fontId="5" fillId="0" borderId="312"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321" applyNumberFormat="0" applyFill="0" applyAlignment="0" applyProtection="0"/>
    <xf numFmtId="0" fontId="84" fillId="34" borderId="293" applyNumberFormat="0" applyAlignment="0" applyProtection="0"/>
    <xf numFmtId="0" fontId="12" fillId="37" borderId="326" applyNumberFormat="0" applyFont="0" applyAlignment="0" applyProtection="0"/>
    <xf numFmtId="0" fontId="84" fillId="34" borderId="320" applyNumberFormat="0" applyAlignment="0" applyProtection="0"/>
    <xf numFmtId="0" fontId="12" fillId="37" borderId="326"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294" applyNumberFormat="0" applyFill="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84" fillId="34" borderId="293" applyNumberFormat="0" applyAlignment="0" applyProtection="0"/>
    <xf numFmtId="0" fontId="5" fillId="0" borderId="294" applyNumberFormat="0" applyFill="0" applyAlignment="0" applyProtection="0"/>
    <xf numFmtId="0" fontId="12" fillId="37" borderId="291" applyNumberFormat="0" applyFont="0" applyAlignment="0" applyProtection="0"/>
    <xf numFmtId="0" fontId="81" fillId="21" borderId="292" applyNumberFormat="0" applyAlignment="0" applyProtection="0"/>
    <xf numFmtId="0" fontId="81" fillId="21" borderId="292" applyNumberFormat="0" applyAlignment="0" applyProtection="0"/>
    <xf numFmtId="0" fontId="81" fillId="21" borderId="292" applyNumberFormat="0" applyAlignment="0" applyProtection="0"/>
    <xf numFmtId="0" fontId="12" fillId="37" borderId="291" applyNumberFormat="0" applyFon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76" fillId="34"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81" fillId="21" borderId="292" applyNumberFormat="0" applyAlignment="0" applyProtection="0"/>
    <xf numFmtId="0" fontId="76" fillId="34" borderId="292" applyNumberFormat="0" applyAlignment="0" applyProtection="0"/>
    <xf numFmtId="0" fontId="5" fillId="0" borderId="302" applyNumberFormat="0" applyFill="0" applyAlignment="0" applyProtection="0"/>
    <xf numFmtId="0" fontId="81" fillId="21" borderId="305" applyNumberFormat="0" applyAlignment="0" applyProtection="0"/>
    <xf numFmtId="0" fontId="84" fillId="34" borderId="374" applyNumberFormat="0" applyAlignment="0" applyProtection="0"/>
    <xf numFmtId="0" fontId="76" fillId="34" borderId="345" applyNumberFormat="0" applyAlignment="0" applyProtection="0"/>
    <xf numFmtId="0" fontId="81" fillId="21" borderId="310" applyNumberFormat="0" applyAlignment="0" applyProtection="0"/>
    <xf numFmtId="0" fontId="84" fillId="34" borderId="346" applyNumberFormat="0" applyAlignment="0" applyProtection="0"/>
    <xf numFmtId="0" fontId="12" fillId="37" borderId="308" applyNumberFormat="0" applyFont="0" applyAlignment="0" applyProtection="0"/>
    <xf numFmtId="0" fontId="84" fillId="34" borderId="336" applyNumberFormat="0" applyAlignment="0" applyProtection="0"/>
    <xf numFmtId="0" fontId="76" fillId="34" borderId="300" applyNumberFormat="0" applyAlignment="0" applyProtection="0"/>
    <xf numFmtId="0" fontId="12" fillId="37" borderId="344" applyNumberFormat="0" applyFont="0" applyAlignment="0" applyProtection="0"/>
    <xf numFmtId="0" fontId="81" fillId="21" borderId="300" applyNumberFormat="0" applyAlignment="0" applyProtection="0"/>
    <xf numFmtId="0" fontId="81" fillId="21" borderId="345" applyNumberFormat="0" applyAlignment="0" applyProtection="0"/>
    <xf numFmtId="0" fontId="12" fillId="37" borderId="299" applyNumberFormat="0" applyFont="0" applyAlignment="0" applyProtection="0"/>
    <xf numFmtId="0" fontId="12" fillId="37" borderId="304" applyNumberFormat="0" applyFont="0" applyAlignment="0" applyProtection="0"/>
    <xf numFmtId="0" fontId="84" fillId="34" borderId="328" applyNumberFormat="0" applyAlignment="0" applyProtection="0"/>
    <xf numFmtId="0" fontId="12" fillId="37" borderId="309" applyNumberFormat="0" applyFont="0" applyAlignment="0" applyProtection="0"/>
    <xf numFmtId="0" fontId="12" fillId="37" borderId="356" applyNumberFormat="0" applyFont="0" applyAlignment="0" applyProtection="0"/>
    <xf numFmtId="0" fontId="81" fillId="21" borderId="305" applyNumberFormat="0" applyAlignment="0" applyProtection="0"/>
    <xf numFmtId="0" fontId="12" fillId="37" borderId="352" applyNumberFormat="0" applyFont="0" applyAlignment="0" applyProtection="0"/>
    <xf numFmtId="0" fontId="12" fillId="37" borderId="326" applyNumberFormat="0" applyFont="0" applyAlignment="0" applyProtection="0"/>
    <xf numFmtId="0" fontId="5" fillId="0" borderId="321" applyNumberFormat="0" applyFill="0" applyAlignment="0" applyProtection="0"/>
    <xf numFmtId="0" fontId="84" fillId="34" borderId="316" applyNumberFormat="0" applyAlignment="0" applyProtection="0"/>
    <xf numFmtId="0" fontId="12" fillId="37" borderId="344"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81" fillId="21" borderId="292" applyNumberFormat="0" applyAlignment="0" applyProtection="0"/>
    <xf numFmtId="0" fontId="12" fillId="37" borderId="326" applyNumberFormat="0" applyFont="0" applyAlignment="0" applyProtection="0"/>
    <xf numFmtId="0" fontId="84" fillId="34" borderId="341" applyNumberFormat="0" applyAlignment="0" applyProtection="0"/>
    <xf numFmtId="0" fontId="12" fillId="37" borderId="344"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5" fillId="0" borderId="347"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81" fillId="21" borderId="310" applyNumberFormat="0" applyAlignment="0" applyProtection="0"/>
    <xf numFmtId="0" fontId="81" fillId="21" borderId="331" applyNumberFormat="0" applyAlignment="0" applyProtection="0"/>
    <xf numFmtId="0" fontId="12" fillId="37" borderId="360"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12" fillId="37" borderId="318"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5" fillId="0" borderId="371" applyNumberFormat="0" applyFill="0" applyAlignment="0" applyProtection="0"/>
    <xf numFmtId="0" fontId="76" fillId="34" borderId="345" applyNumberFormat="0" applyAlignment="0" applyProtection="0"/>
    <xf numFmtId="0" fontId="5" fillId="0" borderId="371" applyNumberFormat="0" applyFill="0" applyAlignment="0" applyProtection="0"/>
    <xf numFmtId="0" fontId="5" fillId="0" borderId="329" applyNumberFormat="0" applyFill="0" applyAlignment="0" applyProtection="0"/>
    <xf numFmtId="0" fontId="84" fillId="34" borderId="311" applyNumberFormat="0" applyAlignment="0" applyProtection="0"/>
    <xf numFmtId="0" fontId="5" fillId="0" borderId="325" applyNumberFormat="0" applyFill="0" applyAlignment="0" applyProtection="0"/>
    <xf numFmtId="0" fontId="12" fillId="37" borderId="314" applyNumberFormat="0" applyFont="0" applyAlignment="0" applyProtection="0"/>
    <xf numFmtId="0" fontId="12" fillId="37" borderId="322" applyNumberFormat="0" applyFont="0" applyAlignment="0" applyProtection="0"/>
    <xf numFmtId="0" fontId="84" fillId="34" borderId="324" applyNumberFormat="0" applyAlignment="0" applyProtection="0"/>
    <xf numFmtId="0" fontId="81" fillId="21" borderId="296" applyNumberFormat="0" applyAlignment="0" applyProtection="0"/>
    <xf numFmtId="0" fontId="84" fillId="34" borderId="316" applyNumberFormat="0" applyAlignment="0" applyProtection="0"/>
    <xf numFmtId="0" fontId="84" fillId="34" borderId="328" applyNumberFormat="0" applyAlignment="0" applyProtection="0"/>
    <xf numFmtId="0" fontId="81" fillId="21" borderId="340"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14" applyNumberFormat="0" applyFont="0" applyAlignment="0" applyProtection="0"/>
    <xf numFmtId="0" fontId="84" fillId="34" borderId="332" applyNumberFormat="0" applyAlignment="0" applyProtection="0"/>
    <xf numFmtId="0" fontId="5" fillId="0" borderId="317" applyNumberFormat="0" applyFill="0" applyAlignment="0" applyProtection="0"/>
    <xf numFmtId="0" fontId="81" fillId="21" borderId="319" applyNumberFormat="0" applyAlignment="0" applyProtection="0"/>
    <xf numFmtId="0" fontId="76" fillId="34" borderId="345" applyNumberFormat="0" applyAlignment="0" applyProtection="0"/>
    <xf numFmtId="0" fontId="12" fillId="37" borderId="326" applyNumberFormat="0" applyFont="0" applyAlignment="0" applyProtection="0"/>
    <xf numFmtId="0" fontId="84" fillId="34" borderId="362" applyNumberFormat="0" applyAlignment="0" applyProtection="0"/>
    <xf numFmtId="0" fontId="12" fillId="37" borderId="344" applyNumberFormat="0" applyFont="0" applyAlignment="0" applyProtection="0"/>
    <xf numFmtId="0" fontId="76" fillId="34" borderId="296" applyNumberFormat="0" applyAlignment="0" applyProtection="0"/>
    <xf numFmtId="0" fontId="76" fillId="34" borderId="296" applyNumberFormat="0" applyAlignment="0" applyProtection="0"/>
    <xf numFmtId="0" fontId="12" fillId="37" borderId="318" applyNumberFormat="0" applyFont="0" applyAlignment="0" applyProtection="0"/>
    <xf numFmtId="0" fontId="76" fillId="34" borderId="327" applyNumberFormat="0" applyAlignment="0" applyProtection="0"/>
    <xf numFmtId="0" fontId="12" fillId="37" borderId="295" applyNumberFormat="0" applyFont="0" applyAlignment="0" applyProtection="0"/>
    <xf numFmtId="0" fontId="84" fillId="34" borderId="297" applyNumberFormat="0" applyAlignment="0" applyProtection="0"/>
    <xf numFmtId="0" fontId="84" fillId="34" borderId="354" applyNumberFormat="0" applyAlignment="0" applyProtection="0"/>
    <xf numFmtId="0" fontId="5" fillId="0" borderId="298" applyNumberFormat="0" applyFill="0" applyAlignment="0" applyProtection="0"/>
    <xf numFmtId="0" fontId="5" fillId="0" borderId="329" applyNumberFormat="0" applyFill="0" applyAlignment="0" applyProtection="0"/>
    <xf numFmtId="0" fontId="5" fillId="0" borderId="329" applyNumberFormat="0" applyFill="0" applyAlignment="0" applyProtection="0"/>
    <xf numFmtId="0" fontId="81" fillId="21" borderId="345" applyNumberFormat="0" applyAlignment="0" applyProtection="0"/>
    <xf numFmtId="0" fontId="12" fillId="37" borderId="368" applyNumberFormat="0" applyFont="0" applyAlignment="0" applyProtection="0"/>
    <xf numFmtId="0" fontId="81" fillId="21" borderId="353" applyNumberFormat="0" applyAlignment="0" applyProtection="0"/>
    <xf numFmtId="0" fontId="81" fillId="21" borderId="310" applyNumberFormat="0" applyAlignment="0" applyProtection="0"/>
    <xf numFmtId="0" fontId="5" fillId="0" borderId="329" applyNumberFormat="0" applyFill="0" applyAlignment="0" applyProtection="0"/>
    <xf numFmtId="0" fontId="76" fillId="34" borderId="300" applyNumberFormat="0" applyAlignment="0" applyProtection="0"/>
    <xf numFmtId="0" fontId="76" fillId="34" borderId="361" applyNumberFormat="0" applyAlignment="0" applyProtection="0"/>
    <xf numFmtId="0" fontId="76" fillId="34" borderId="335" applyNumberFormat="0" applyAlignment="0" applyProtection="0"/>
    <xf numFmtId="0" fontId="81" fillId="21" borderId="353" applyNumberFormat="0" applyAlignment="0" applyProtection="0"/>
    <xf numFmtId="0" fontId="84" fillId="34" borderId="33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292" applyNumberFormat="0" applyAlignment="0" applyProtection="0"/>
    <xf numFmtId="0" fontId="81" fillId="21" borderId="340" applyNumberFormat="0" applyAlignment="0" applyProtection="0"/>
    <xf numFmtId="0" fontId="12" fillId="37" borderId="322" applyNumberFormat="0" applyFont="0" applyAlignment="0" applyProtection="0"/>
    <xf numFmtId="0" fontId="5" fillId="0" borderId="329" applyNumberFormat="0" applyFill="0" applyAlignment="0" applyProtection="0"/>
    <xf numFmtId="0" fontId="12" fillId="37" borderId="291" applyNumberFormat="0" applyFont="0" applyAlignment="0" applyProtection="0"/>
    <xf numFmtId="0" fontId="76" fillId="34" borderId="310" applyNumberFormat="0" applyAlignment="0" applyProtection="0"/>
    <xf numFmtId="0" fontId="12" fillId="37" borderId="295" applyNumberFormat="0" applyFont="0" applyAlignment="0" applyProtection="0"/>
    <xf numFmtId="0" fontId="12" fillId="37" borderId="348" applyNumberFormat="0" applyFont="0" applyAlignment="0" applyProtection="0"/>
    <xf numFmtId="0" fontId="12" fillId="37" borderId="344" applyNumberFormat="0" applyFont="0" applyAlignment="0" applyProtection="0"/>
    <xf numFmtId="0" fontId="76" fillId="34" borderId="345" applyNumberFormat="0" applyAlignment="0" applyProtection="0"/>
    <xf numFmtId="0" fontId="84" fillId="34" borderId="324" applyNumberFormat="0" applyAlignment="0" applyProtection="0"/>
    <xf numFmtId="0" fontId="12" fillId="37" borderId="344" applyNumberFormat="0" applyFont="0" applyAlignment="0" applyProtection="0"/>
    <xf numFmtId="0" fontId="76" fillId="34" borderId="345" applyNumberFormat="0" applyAlignment="0" applyProtection="0"/>
    <xf numFmtId="0" fontId="76" fillId="34" borderId="305" applyNumberFormat="0" applyAlignment="0" applyProtection="0"/>
    <xf numFmtId="0" fontId="81" fillId="21" borderId="327" applyNumberFormat="0" applyAlignment="0" applyProtection="0"/>
    <xf numFmtId="0" fontId="76" fillId="34" borderId="345" applyNumberFormat="0" applyAlignment="0" applyProtection="0"/>
    <xf numFmtId="0" fontId="81" fillId="21" borderId="315" applyNumberFormat="0" applyAlignment="0" applyProtection="0"/>
    <xf numFmtId="0" fontId="12" fillId="37" borderId="309" applyNumberFormat="0" applyFont="0" applyAlignment="0" applyProtection="0"/>
    <xf numFmtId="0" fontId="76" fillId="34" borderId="345" applyNumberFormat="0" applyAlignment="0" applyProtection="0"/>
    <xf numFmtId="0" fontId="5" fillId="0" borderId="329" applyNumberFormat="0" applyFill="0" applyAlignment="0" applyProtection="0"/>
    <xf numFmtId="0" fontId="76" fillId="34" borderId="353" applyNumberFormat="0" applyAlignment="0" applyProtection="0"/>
    <xf numFmtId="0" fontId="81" fillId="21" borderId="327" applyNumberFormat="0" applyAlignment="0" applyProtection="0"/>
    <xf numFmtId="0" fontId="12" fillId="37" borderId="308" applyNumberFormat="0" applyFont="0" applyAlignment="0" applyProtection="0"/>
    <xf numFmtId="0" fontId="84" fillId="34" borderId="293" applyNumberFormat="0" applyAlignment="0" applyProtection="0"/>
    <xf numFmtId="0" fontId="12" fillId="37" borderId="308" applyNumberFormat="0" applyFont="0" applyAlignment="0" applyProtection="0"/>
    <xf numFmtId="0" fontId="12" fillId="37" borderId="291" applyNumberFormat="0" applyFont="0" applyAlignment="0" applyProtection="0"/>
    <xf numFmtId="0" fontId="12" fillId="37" borderId="360" applyNumberFormat="0" applyFont="0" applyAlignment="0" applyProtection="0"/>
    <xf numFmtId="0" fontId="81" fillId="21" borderId="292" applyNumberFormat="0" applyAlignment="0" applyProtection="0"/>
    <xf numFmtId="0" fontId="81" fillId="21" borderId="292" applyNumberFormat="0" applyAlignment="0" applyProtection="0"/>
    <xf numFmtId="0" fontId="84" fillId="34" borderId="301" applyNumberFormat="0" applyAlignment="0" applyProtection="0"/>
    <xf numFmtId="0" fontId="12" fillId="37" borderId="299" applyNumberFormat="0" applyFont="0" applyAlignment="0" applyProtection="0"/>
    <xf numFmtId="0" fontId="12" fillId="37" borderId="314"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81" fillId="21" borderId="345" applyNumberFormat="0" applyAlignment="0" applyProtection="0"/>
    <xf numFmtId="0" fontId="12" fillId="37" borderId="344" applyNumberFormat="0" applyFont="0" applyAlignment="0" applyProtection="0"/>
    <xf numFmtId="0" fontId="12" fillId="37" borderId="308" applyNumberFormat="0" applyFont="0" applyAlignment="0" applyProtection="0"/>
    <xf numFmtId="0" fontId="84" fillId="34" borderId="370" applyNumberFormat="0" applyAlignment="0" applyProtection="0"/>
    <xf numFmtId="0" fontId="5" fillId="0" borderId="359" applyNumberFormat="0" applyFill="0" applyAlignment="0" applyProtection="0"/>
    <xf numFmtId="0" fontId="76" fillId="34" borderId="292" applyNumberFormat="0" applyAlignment="0" applyProtection="0"/>
    <xf numFmtId="0" fontId="76" fillId="34" borderId="292" applyNumberFormat="0" applyAlignment="0" applyProtection="0"/>
    <xf numFmtId="0" fontId="76" fillId="34" borderId="327" applyNumberFormat="0" applyAlignment="0" applyProtection="0"/>
    <xf numFmtId="0" fontId="84" fillId="34" borderId="346" applyNumberFormat="0" applyAlignment="0" applyProtection="0"/>
    <xf numFmtId="0" fontId="84" fillId="34" borderId="341" applyNumberFormat="0" applyAlignment="0" applyProtection="0"/>
    <xf numFmtId="0" fontId="12" fillId="37" borderId="314" applyNumberFormat="0" applyFont="0" applyAlignment="0" applyProtection="0"/>
    <xf numFmtId="0" fontId="12" fillId="37" borderId="326" applyNumberFormat="0" applyFont="0" applyAlignment="0" applyProtection="0"/>
    <xf numFmtId="0" fontId="76" fillId="34" borderId="315" applyNumberFormat="0" applyAlignment="0" applyProtection="0"/>
    <xf numFmtId="0" fontId="76" fillId="34" borderId="315" applyNumberFormat="0" applyAlignment="0" applyProtection="0"/>
    <xf numFmtId="0" fontId="76" fillId="34" borderId="327" applyNumberFormat="0" applyAlignment="0" applyProtection="0"/>
    <xf numFmtId="0" fontId="5" fillId="0" borderId="347" applyNumberFormat="0" applyFill="0" applyAlignment="0" applyProtection="0"/>
    <xf numFmtId="0" fontId="12" fillId="37" borderId="326" applyNumberFormat="0" applyFont="0" applyAlignment="0" applyProtection="0"/>
    <xf numFmtId="0" fontId="76" fillId="34" borderId="327" applyNumberFormat="0" applyAlignment="0" applyProtection="0"/>
    <xf numFmtId="0" fontId="81" fillId="21" borderId="345" applyNumberFormat="0" applyAlignment="0" applyProtection="0"/>
    <xf numFmtId="0" fontId="84" fillId="34" borderId="336" applyNumberFormat="0" applyAlignment="0" applyProtection="0"/>
    <xf numFmtId="0" fontId="84" fillId="34" borderId="328" applyNumberFormat="0" applyAlignment="0" applyProtection="0"/>
    <xf numFmtId="0" fontId="5" fillId="0" borderId="347" applyNumberFormat="0" applyFill="0" applyAlignment="0" applyProtection="0"/>
    <xf numFmtId="0" fontId="12" fillId="37" borderId="314" applyNumberFormat="0" applyFont="0" applyAlignment="0" applyProtection="0"/>
    <xf numFmtId="0" fontId="81" fillId="21" borderId="323" applyNumberFormat="0" applyAlignment="0" applyProtection="0"/>
    <xf numFmtId="0" fontId="12" fillId="37" borderId="322" applyNumberFormat="0" applyFont="0" applyAlignment="0" applyProtection="0"/>
    <xf numFmtId="0" fontId="84" fillId="34" borderId="346" applyNumberFormat="0" applyAlignment="0" applyProtection="0"/>
    <xf numFmtId="0" fontId="12" fillId="37" borderId="318" applyNumberFormat="0" applyFont="0" applyAlignment="0" applyProtection="0"/>
    <xf numFmtId="0" fontId="81" fillId="21" borderId="349" applyNumberFormat="0" applyAlignment="0" applyProtection="0"/>
    <xf numFmtId="0" fontId="12" fillId="37" borderId="372" applyNumberFormat="0" applyFont="0" applyAlignment="0" applyProtection="0"/>
    <xf numFmtId="0" fontId="81" fillId="21" borderId="327" applyNumberFormat="0" applyAlignment="0" applyProtection="0"/>
    <xf numFmtId="0" fontId="84" fillId="34" borderId="328"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345" applyNumberFormat="0" applyAlignment="0" applyProtection="0"/>
    <xf numFmtId="0" fontId="76" fillId="34" borderId="323" applyNumberFormat="0" applyAlignment="0" applyProtection="0"/>
    <xf numFmtId="0" fontId="12" fillId="37" borderId="344" applyNumberFormat="0" applyFont="0" applyAlignment="0" applyProtection="0"/>
    <xf numFmtId="0" fontId="12" fillId="37" borderId="330" applyNumberFormat="0" applyFont="0" applyAlignment="0" applyProtection="0"/>
    <xf numFmtId="0" fontId="81" fillId="21" borderId="357" applyNumberFormat="0" applyAlignment="0" applyProtection="0"/>
    <xf numFmtId="0" fontId="76" fillId="34" borderId="369" applyNumberFormat="0" applyAlignment="0" applyProtection="0"/>
    <xf numFmtId="0" fontId="84" fillId="34" borderId="346" applyNumberFormat="0" applyAlignment="0" applyProtection="0"/>
    <xf numFmtId="0" fontId="5" fillId="0" borderId="329" applyNumberFormat="0" applyFill="0" applyAlignment="0" applyProtection="0"/>
    <xf numFmtId="0" fontId="12" fillId="37" borderId="344" applyNumberFormat="0" applyFont="0" applyAlignment="0" applyProtection="0"/>
    <xf numFmtId="0" fontId="84" fillId="34" borderId="346" applyNumberFormat="0" applyAlignment="0" applyProtection="0"/>
    <xf numFmtId="0" fontId="84" fillId="34" borderId="328" applyNumberFormat="0" applyAlignment="0" applyProtection="0"/>
    <xf numFmtId="0" fontId="84" fillId="34" borderId="316" applyNumberFormat="0" applyAlignment="0" applyProtection="0"/>
    <xf numFmtId="0" fontId="12" fillId="37" borderId="322" applyNumberFormat="0" applyFont="0" applyAlignment="0" applyProtection="0"/>
    <xf numFmtId="0" fontId="5" fillId="0" borderId="333" applyNumberFormat="0" applyFill="0" applyAlignment="0" applyProtection="0"/>
    <xf numFmtId="0" fontId="12" fillId="37" borderId="334" applyNumberFormat="0" applyFont="0" applyAlignment="0" applyProtection="0"/>
    <xf numFmtId="0" fontId="81" fillId="21" borderId="35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76" fillId="34" borderId="310" applyNumberFormat="0" applyAlignment="0" applyProtection="0"/>
    <xf numFmtId="0" fontId="76" fillId="34" borderId="327"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293" applyNumberFormat="0" applyAlignment="0" applyProtection="0"/>
    <xf numFmtId="0" fontId="76" fillId="34" borderId="327" applyNumberFormat="0" applyAlignment="0" applyProtection="0"/>
    <xf numFmtId="0" fontId="12" fillId="37" borderId="326" applyNumberFormat="0" applyFont="0" applyAlignment="0" applyProtection="0"/>
    <xf numFmtId="0" fontId="84" fillId="34" borderId="358" applyNumberFormat="0" applyAlignment="0" applyProtection="0"/>
    <xf numFmtId="0" fontId="5" fillId="0" borderId="351" applyNumberFormat="0" applyFill="0" applyAlignment="0" applyProtection="0"/>
    <xf numFmtId="0" fontId="12" fillId="37" borderId="309" applyNumberFormat="0" applyFont="0" applyAlignment="0" applyProtection="0"/>
    <xf numFmtId="0" fontId="12" fillId="37" borderId="344" applyNumberFormat="0" applyFont="0" applyAlignment="0" applyProtection="0"/>
    <xf numFmtId="0" fontId="12" fillId="37" borderId="299" applyNumberFormat="0" applyFont="0" applyAlignment="0" applyProtection="0"/>
    <xf numFmtId="0" fontId="12" fillId="37" borderId="344" applyNumberFormat="0" applyFont="0" applyAlignment="0" applyProtection="0"/>
    <xf numFmtId="0" fontId="5" fillId="0" borderId="329" applyNumberFormat="0" applyFill="0" applyAlignment="0" applyProtection="0"/>
    <xf numFmtId="0" fontId="12" fillId="37" borderId="330" applyNumberFormat="0" applyFont="0" applyAlignment="0" applyProtection="0"/>
    <xf numFmtId="0" fontId="84" fillId="34" borderId="328" applyNumberFormat="0" applyAlignment="0" applyProtection="0"/>
    <xf numFmtId="0" fontId="12" fillId="37" borderId="344" applyNumberFormat="0" applyFont="0" applyAlignment="0" applyProtection="0"/>
    <xf numFmtId="0" fontId="12" fillId="37" borderId="291" applyNumberFormat="0" applyFont="0" applyAlignment="0" applyProtection="0"/>
    <xf numFmtId="0" fontId="76" fillId="34" borderId="345" applyNumberFormat="0" applyAlignment="0" applyProtection="0"/>
    <xf numFmtId="0" fontId="5" fillId="0" borderId="337" applyNumberFormat="0" applyFill="0" applyAlignment="0" applyProtection="0"/>
    <xf numFmtId="0" fontId="12" fillId="37" borderId="344" applyNumberFormat="0" applyFont="0" applyAlignment="0" applyProtection="0"/>
    <xf numFmtId="0" fontId="81" fillId="21" borderId="345" applyNumberFormat="0" applyAlignment="0" applyProtection="0"/>
    <xf numFmtId="0" fontId="12" fillId="37" borderId="326" applyNumberFormat="0" applyFont="0" applyAlignment="0" applyProtection="0"/>
    <xf numFmtId="0" fontId="12" fillId="37" borderId="348" applyNumberFormat="0" applyFont="0" applyAlignment="0" applyProtection="0"/>
    <xf numFmtId="0" fontId="12" fillId="37" borderId="309" applyNumberFormat="0" applyFont="0" applyAlignment="0" applyProtection="0"/>
    <xf numFmtId="0" fontId="12" fillId="37" borderId="372"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39" applyNumberFormat="0" applyFont="0" applyAlignment="0" applyProtection="0"/>
    <xf numFmtId="0" fontId="5" fillId="0" borderId="298" applyNumberFormat="0" applyFill="0" applyAlignment="0" applyProtection="0"/>
    <xf numFmtId="0" fontId="81" fillId="21" borderId="373" applyNumberFormat="0" applyAlignment="0" applyProtection="0"/>
    <xf numFmtId="0" fontId="5" fillId="0" borderId="325" applyNumberFormat="0" applyFill="0" applyAlignment="0" applyProtection="0"/>
    <xf numFmtId="0" fontId="84" fillId="34" borderId="346" applyNumberFormat="0" applyAlignment="0" applyProtection="0"/>
    <xf numFmtId="0" fontId="84" fillId="34" borderId="346" applyNumberFormat="0" applyAlignment="0" applyProtection="0"/>
    <xf numFmtId="0" fontId="12" fillId="37" borderId="308" applyNumberFormat="0" applyFont="0" applyAlignment="0" applyProtection="0"/>
    <xf numFmtId="0" fontId="76" fillId="34" borderId="335" applyNumberFormat="0" applyAlignment="0" applyProtection="0"/>
    <xf numFmtId="0" fontId="5" fillId="0" borderId="359" applyNumberFormat="0" applyFill="0" applyAlignment="0" applyProtection="0"/>
    <xf numFmtId="0" fontId="76" fillId="34" borderId="319" applyNumberFormat="0" applyAlignment="0" applyProtection="0"/>
    <xf numFmtId="0" fontId="12" fillId="37" borderId="304" applyNumberFormat="0" applyFont="0" applyAlignment="0" applyProtection="0"/>
    <xf numFmtId="0" fontId="81" fillId="21" borderId="296" applyNumberFormat="0" applyAlignment="0" applyProtection="0"/>
    <xf numFmtId="0" fontId="12" fillId="37" borderId="344" applyNumberFormat="0" applyFont="0" applyAlignment="0" applyProtection="0"/>
    <xf numFmtId="0" fontId="76" fillId="34" borderId="327" applyNumberFormat="0" applyAlignment="0" applyProtection="0"/>
    <xf numFmtId="0" fontId="84" fillId="34" borderId="336" applyNumberFormat="0" applyAlignment="0" applyProtection="0"/>
    <xf numFmtId="0" fontId="12" fillId="37" borderId="295" applyNumberFormat="0" applyFont="0" applyAlignment="0" applyProtection="0"/>
    <xf numFmtId="0" fontId="12" fillId="37" borderId="344" applyNumberFormat="0" applyFont="0" applyAlignment="0" applyProtection="0"/>
    <xf numFmtId="0" fontId="84" fillId="34" borderId="311" applyNumberFormat="0" applyAlignment="0" applyProtection="0"/>
    <xf numFmtId="0" fontId="81" fillId="21" borderId="292" applyNumberFormat="0" applyAlignment="0" applyProtection="0"/>
    <xf numFmtId="0" fontId="5" fillId="0" borderId="317" applyNumberFormat="0" applyFill="0" applyAlignment="0" applyProtection="0"/>
    <xf numFmtId="0" fontId="81" fillId="21" borderId="315" applyNumberFormat="0" applyAlignment="0" applyProtection="0"/>
    <xf numFmtId="0" fontId="5" fillId="0" borderId="347" applyNumberFormat="0" applyFill="0" applyAlignment="0" applyProtection="0"/>
    <xf numFmtId="0" fontId="81" fillId="21" borderId="300" applyNumberFormat="0" applyAlignment="0" applyProtection="0"/>
    <xf numFmtId="0" fontId="12" fillId="37" borderId="322" applyNumberFormat="0" applyFont="0" applyAlignment="0" applyProtection="0"/>
    <xf numFmtId="0" fontId="84" fillId="34" borderId="311" applyNumberFormat="0" applyAlignment="0" applyProtection="0"/>
    <xf numFmtId="0" fontId="12" fillId="37" borderId="318" applyNumberFormat="0" applyFont="0" applyAlignment="0" applyProtection="0"/>
    <xf numFmtId="0" fontId="81" fillId="21" borderId="357" applyNumberFormat="0" applyAlignment="0" applyProtection="0"/>
    <xf numFmtId="0" fontId="12" fillId="37" borderId="299" applyNumberFormat="0" applyFont="0" applyAlignment="0" applyProtection="0"/>
    <xf numFmtId="0" fontId="76" fillId="34" borderId="292" applyNumberFormat="0" applyAlignment="0" applyProtection="0"/>
    <xf numFmtId="0" fontId="84" fillId="34" borderId="293" applyNumberFormat="0" applyAlignment="0" applyProtection="0"/>
    <xf numFmtId="0" fontId="12" fillId="37" borderId="291" applyNumberFormat="0" applyFont="0" applyAlignment="0" applyProtection="0"/>
    <xf numFmtId="0" fontId="81" fillId="21" borderId="292" applyNumberFormat="0" applyAlignment="0" applyProtection="0"/>
    <xf numFmtId="0" fontId="76" fillId="34" borderId="292" applyNumberFormat="0" applyAlignment="0" applyProtection="0"/>
    <xf numFmtId="0" fontId="76" fillId="34" borderId="292" applyNumberFormat="0" applyAlignment="0" applyProtection="0"/>
    <xf numFmtId="0" fontId="76" fillId="34" borderId="292" applyNumberFormat="0" applyAlignment="0" applyProtection="0"/>
    <xf numFmtId="0" fontId="81" fillId="21" borderId="292" applyNumberFormat="0" applyAlignment="0" applyProtection="0"/>
    <xf numFmtId="0" fontId="81" fillId="21"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12" fillId="37" borderId="291" applyNumberFormat="0" applyFont="0" applyAlignment="0" applyProtection="0"/>
    <xf numFmtId="0" fontId="76" fillId="34" borderId="292" applyNumberFormat="0" applyAlignment="0" applyProtection="0"/>
    <xf numFmtId="0" fontId="81" fillId="21"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81" fillId="21" borderId="292" applyNumberForma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9" applyNumberFormat="0" applyFont="0" applyAlignment="0" applyProtection="0"/>
    <xf numFmtId="0" fontId="12" fillId="37" borderId="291" applyNumberFormat="0" applyFont="0" applyAlignment="0" applyProtection="0"/>
    <xf numFmtId="0" fontId="84" fillId="34" borderId="293" applyNumberFormat="0" applyAlignment="0" applyProtection="0"/>
    <xf numFmtId="0" fontId="12" fillId="37" borderId="291" applyNumberFormat="0" applyFont="0" applyAlignment="0" applyProtection="0"/>
    <xf numFmtId="0" fontId="76" fillId="34" borderId="292"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5" fillId="0" borderId="294" applyNumberFormat="0" applyFill="0" applyAlignment="0" applyProtection="0"/>
    <xf numFmtId="0" fontId="84" fillId="34" borderId="293" applyNumberFormat="0" applyAlignment="0" applyProtection="0"/>
    <xf numFmtId="0" fontId="84" fillId="34" borderId="293" applyNumberFormat="0" applyAlignment="0" applyProtection="0"/>
    <xf numFmtId="0" fontId="12" fillId="37" borderId="291" applyNumberFormat="0" applyFont="0" applyAlignment="0" applyProtection="0"/>
    <xf numFmtId="0" fontId="12" fillId="37" borderId="291" applyNumberFormat="0" applyFont="0" applyAlignment="0" applyProtection="0"/>
    <xf numFmtId="0" fontId="81" fillId="21" borderId="292" applyNumberFormat="0" applyAlignment="0" applyProtection="0"/>
    <xf numFmtId="0" fontId="81" fillId="21" borderId="292" applyNumberFormat="0" applyAlignment="0" applyProtection="0"/>
    <xf numFmtId="0" fontId="76" fillId="34" borderId="292" applyNumberFormat="0" applyAlignment="0" applyProtection="0"/>
    <xf numFmtId="0" fontId="76" fillId="34" borderId="292" applyNumberFormat="0" applyAlignment="0" applyProtection="0"/>
    <xf numFmtId="0" fontId="84" fillId="34" borderId="293" applyNumberFormat="0" applyAlignment="0" applyProtection="0"/>
    <xf numFmtId="0" fontId="5" fillId="0" borderId="294" applyNumberFormat="0" applyFill="0" applyAlignment="0" applyProtection="0"/>
    <xf numFmtId="0" fontId="5" fillId="0" borderId="294" applyNumberFormat="0" applyFill="0" applyAlignment="0" applyProtection="0"/>
    <xf numFmtId="0" fontId="12" fillId="37" borderId="291" applyNumberFormat="0" applyFont="0" applyAlignment="0" applyProtection="0"/>
    <xf numFmtId="0" fontId="5" fillId="0" borderId="294" applyNumberFormat="0" applyFill="0" applyAlignment="0" applyProtection="0"/>
    <xf numFmtId="0" fontId="12" fillId="37" borderId="291" applyNumberFormat="0" applyFont="0" applyAlignment="0" applyProtection="0"/>
    <xf numFmtId="0" fontId="81" fillId="21" borderId="292" applyNumberFormat="0" applyAlignment="0" applyProtection="0"/>
    <xf numFmtId="0" fontId="12" fillId="37" borderId="291" applyNumberFormat="0" applyFont="0" applyAlignment="0" applyProtection="0"/>
    <xf numFmtId="0" fontId="76" fillId="34" borderId="292" applyNumberFormat="0" applyAlignment="0" applyProtection="0"/>
    <xf numFmtId="0" fontId="81" fillId="21" borderId="292" applyNumberFormat="0" applyAlignment="0" applyProtection="0"/>
    <xf numFmtId="0" fontId="76" fillId="34" borderId="327" applyNumberFormat="0" applyAlignment="0" applyProtection="0"/>
    <xf numFmtId="0" fontId="81" fillId="21" borderId="292" applyNumberFormat="0" applyAlignment="0" applyProtection="0"/>
    <xf numFmtId="0" fontId="5" fillId="0" borderId="302" applyNumberFormat="0" applyFill="0" applyAlignment="0" applyProtection="0"/>
    <xf numFmtId="0" fontId="5" fillId="0" borderId="294" applyNumberFormat="0" applyFill="0" applyAlignment="0" applyProtection="0"/>
    <xf numFmtId="0" fontId="81" fillId="21" borderId="292" applyNumberFormat="0" applyAlignment="0" applyProtection="0"/>
    <xf numFmtId="0" fontId="84" fillId="34" borderId="293" applyNumberFormat="0" applyAlignment="0" applyProtection="0"/>
    <xf numFmtId="0" fontId="76" fillId="34" borderId="292" applyNumberFormat="0" applyAlignment="0" applyProtection="0"/>
    <xf numFmtId="0" fontId="84" fillId="34" borderId="301" applyNumberFormat="0" applyAlignment="0" applyProtection="0"/>
    <xf numFmtId="0" fontId="12" fillId="37" borderId="291" applyNumberFormat="0" applyFont="0" applyAlignment="0" applyProtection="0"/>
    <xf numFmtId="0" fontId="84" fillId="34" borderId="293" applyNumberFormat="0" applyAlignment="0" applyProtection="0"/>
    <xf numFmtId="0" fontId="76" fillId="34" borderId="292" applyNumberFormat="0" applyAlignment="0" applyProtection="0"/>
    <xf numFmtId="0" fontId="12" fillId="37" borderId="344" applyNumberFormat="0" applyFont="0" applyAlignment="0" applyProtection="0"/>
    <xf numFmtId="0" fontId="84" fillId="34" borderId="301" applyNumberFormat="0" applyAlignment="0" applyProtection="0"/>
    <xf numFmtId="0" fontId="81" fillId="21" borderId="300" applyNumberFormat="0" applyAlignment="0" applyProtection="0"/>
    <xf numFmtId="0" fontId="12" fillId="37" borderId="334" applyNumberFormat="0" applyFont="0" applyAlignment="0" applyProtection="0"/>
    <xf numFmtId="0" fontId="84" fillId="34" borderId="320" applyNumberFormat="0" applyAlignment="0" applyProtection="0"/>
    <xf numFmtId="0" fontId="5" fillId="0" borderId="355" applyNumberFormat="0" applyFill="0" applyAlignment="0" applyProtection="0"/>
    <xf numFmtId="0" fontId="12" fillId="37" borderId="364" applyNumberFormat="0" applyFont="0" applyAlignment="0" applyProtection="0"/>
    <xf numFmtId="0" fontId="81" fillId="21" borderId="335" applyNumberFormat="0" applyAlignment="0" applyProtection="0"/>
    <xf numFmtId="0" fontId="84" fillId="34" borderId="306" applyNumberForma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76" fillId="34"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84" fillId="34" borderId="301" applyNumberFormat="0" applyAlignment="0" applyProtection="0"/>
    <xf numFmtId="0" fontId="5" fillId="0" borderId="302" applyNumberFormat="0" applyFill="0" applyAlignment="0" applyProtection="0"/>
    <xf numFmtId="0" fontId="81" fillId="21" borderId="300" applyNumberFormat="0" applyAlignment="0" applyProtection="0"/>
    <xf numFmtId="0" fontId="12" fillId="37" borderId="299" applyNumberFormat="0" applyFont="0" applyAlignment="0" applyProtection="0"/>
    <xf numFmtId="0" fontId="81" fillId="21" borderId="300" applyNumberFormat="0" applyAlignment="0" applyProtection="0"/>
    <xf numFmtId="0" fontId="81" fillId="21" borderId="300" applyNumberFormat="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84" fillId="34" borderId="301"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7" applyNumberFormat="0" applyFill="0" applyAlignment="0" applyProtection="0"/>
    <xf numFmtId="0" fontId="76" fillId="34" borderId="300" applyNumberFormat="0" applyAlignment="0" applyProtection="0"/>
    <xf numFmtId="0" fontId="84" fillId="34" borderId="301" applyNumberFormat="0" applyAlignment="0" applyProtection="0"/>
    <xf numFmtId="0" fontId="12" fillId="37" borderId="299" applyNumberFormat="0" applyFont="0" applyAlignment="0" applyProtection="0"/>
    <xf numFmtId="0" fontId="81" fillId="21" borderId="300" applyNumberFormat="0" applyAlignment="0" applyProtection="0"/>
    <xf numFmtId="0" fontId="76" fillId="34" borderId="300" applyNumberFormat="0" applyAlignment="0" applyProtection="0"/>
    <xf numFmtId="0" fontId="76" fillId="34" borderId="300" applyNumberFormat="0" applyAlignment="0" applyProtection="0"/>
    <xf numFmtId="0" fontId="76" fillId="34" borderId="300" applyNumberFormat="0" applyAlignment="0" applyProtection="0"/>
    <xf numFmtId="0" fontId="81" fillId="21" borderId="300" applyNumberFormat="0" applyAlignment="0" applyProtection="0"/>
    <xf numFmtId="0" fontId="81" fillId="21"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12" fillId="37" borderId="299" applyNumberFormat="0" applyFont="0" applyAlignment="0" applyProtection="0"/>
    <xf numFmtId="0" fontId="76" fillId="34" borderId="300" applyNumberForma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84" fillId="34" borderId="301" applyNumberFormat="0" applyAlignment="0" applyProtection="0"/>
    <xf numFmtId="0" fontId="12" fillId="37" borderId="299" applyNumberFormat="0" applyFont="0" applyAlignment="0" applyProtection="0"/>
    <xf numFmtId="0" fontId="81" fillId="21" borderId="300" applyNumberForma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5" fillId="0" borderId="307" applyNumberFormat="0" applyFill="0" applyAlignment="0" applyProtection="0"/>
    <xf numFmtId="0" fontId="12" fillId="37" borderId="299" applyNumberFormat="0" applyFont="0" applyAlignment="0" applyProtection="0"/>
    <xf numFmtId="0" fontId="84" fillId="34" borderId="301" applyNumberFormat="0" applyAlignment="0" applyProtection="0"/>
    <xf numFmtId="0" fontId="12" fillId="37" borderId="299" applyNumberFormat="0" applyFont="0" applyAlignment="0" applyProtection="0"/>
    <xf numFmtId="0" fontId="76" fillId="34" borderId="300"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5" fillId="0" borderId="302" applyNumberFormat="0" applyFill="0" applyAlignment="0" applyProtection="0"/>
    <xf numFmtId="0" fontId="84" fillId="34" borderId="301" applyNumberFormat="0" applyAlignment="0" applyProtection="0"/>
    <xf numFmtId="0" fontId="84" fillId="34" borderId="301" applyNumberFormat="0" applyAlignment="0" applyProtection="0"/>
    <xf numFmtId="0" fontId="12" fillId="37" borderId="299" applyNumberFormat="0" applyFont="0" applyAlignment="0" applyProtection="0"/>
    <xf numFmtId="0" fontId="12" fillId="37" borderId="299" applyNumberFormat="0" applyFont="0" applyAlignment="0" applyProtection="0"/>
    <xf numFmtId="0" fontId="81" fillId="21" borderId="300" applyNumberFormat="0" applyAlignment="0" applyProtection="0"/>
    <xf numFmtId="0" fontId="81" fillId="21" borderId="300" applyNumberFormat="0" applyAlignment="0" applyProtection="0"/>
    <xf numFmtId="0" fontId="76" fillId="34" borderId="300" applyNumberFormat="0" applyAlignment="0" applyProtection="0"/>
    <xf numFmtId="0" fontId="76" fillId="34" borderId="300" applyNumberFormat="0" applyAlignment="0" applyProtection="0"/>
    <xf numFmtId="0" fontId="84" fillId="34" borderId="301" applyNumberFormat="0" applyAlignment="0" applyProtection="0"/>
    <xf numFmtId="0" fontId="5" fillId="0" borderId="302" applyNumberFormat="0" applyFill="0" applyAlignment="0" applyProtection="0"/>
    <xf numFmtId="0" fontId="5" fillId="0" borderId="302" applyNumberFormat="0" applyFill="0" applyAlignment="0" applyProtection="0"/>
    <xf numFmtId="0" fontId="12" fillId="37" borderId="299" applyNumberFormat="0" applyFont="0" applyAlignment="0" applyProtection="0"/>
    <xf numFmtId="0" fontId="5" fillId="0" borderId="302" applyNumberFormat="0" applyFill="0" applyAlignment="0" applyProtection="0"/>
    <xf numFmtId="0" fontId="12" fillId="37" borderId="299" applyNumberFormat="0" applyFont="0" applyAlignment="0" applyProtection="0"/>
    <xf numFmtId="0" fontId="81" fillId="21" borderId="300" applyNumberFormat="0" applyAlignment="0" applyProtection="0"/>
    <xf numFmtId="0" fontId="12" fillId="37" borderId="299" applyNumberFormat="0" applyFont="0" applyAlignment="0" applyProtection="0"/>
    <xf numFmtId="0" fontId="76" fillId="34" borderId="300" applyNumberFormat="0" applyAlignment="0" applyProtection="0"/>
    <xf numFmtId="0" fontId="81" fillId="21" borderId="300" applyNumberFormat="0" applyAlignment="0" applyProtection="0"/>
    <xf numFmtId="0" fontId="81" fillId="21" borderId="300" applyNumberFormat="0" applyAlignment="0" applyProtection="0"/>
    <xf numFmtId="0" fontId="84" fillId="34" borderId="306" applyNumberFormat="0" applyAlignment="0" applyProtection="0"/>
    <xf numFmtId="0" fontId="5" fillId="0" borderId="302" applyNumberFormat="0" applyFill="0" applyAlignment="0" applyProtection="0"/>
    <xf numFmtId="0" fontId="81" fillId="21" borderId="300" applyNumberFormat="0" applyAlignment="0" applyProtection="0"/>
    <xf numFmtId="0" fontId="84" fillId="34" borderId="301" applyNumberFormat="0" applyAlignment="0" applyProtection="0"/>
    <xf numFmtId="0" fontId="76" fillId="34" borderId="300" applyNumberFormat="0" applyAlignment="0" applyProtection="0"/>
    <xf numFmtId="0" fontId="12" fillId="37" borderId="304" applyNumberFormat="0" applyFont="0" applyAlignment="0" applyProtection="0"/>
    <xf numFmtId="0" fontId="12" fillId="37" borderId="299" applyNumberFormat="0" applyFont="0" applyAlignment="0" applyProtection="0"/>
    <xf numFmtId="0" fontId="84" fillId="34" borderId="301" applyNumberFormat="0" applyAlignment="0" applyProtection="0"/>
    <xf numFmtId="0" fontId="76" fillId="34" borderId="300" applyNumberFormat="0" applyAlignment="0" applyProtection="0"/>
    <xf numFmtId="0" fontId="84" fillId="34" borderId="328" applyNumberFormat="0" applyAlignment="0" applyProtection="0"/>
    <xf numFmtId="0" fontId="12" fillId="37" borderId="326"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84" fillId="34" borderId="306" applyNumberFormat="0" applyAlignment="0" applyProtection="0"/>
    <xf numFmtId="0" fontId="81" fillId="21" borderId="305" applyNumberFormat="0" applyAlignment="0" applyProtection="0"/>
    <xf numFmtId="0" fontId="12" fillId="37" borderId="326" applyNumberFormat="0" applyFont="0" applyAlignment="0" applyProtection="0"/>
    <xf numFmtId="0" fontId="81" fillId="21" borderId="345" applyNumberFormat="0" applyAlignment="0" applyProtection="0"/>
    <xf numFmtId="0" fontId="81" fillId="21" borderId="327" applyNumberFormat="0" applyAlignment="0" applyProtection="0"/>
    <xf numFmtId="0" fontId="5" fillId="0" borderId="347" applyNumberFormat="0" applyFill="0" applyAlignment="0" applyProtection="0"/>
    <xf numFmtId="0" fontId="12" fillId="37" borderId="368" applyNumberFormat="0" applyFont="0" applyAlignment="0" applyProtection="0"/>
    <xf numFmtId="0" fontId="76" fillId="34" borderId="323" applyNumberFormat="0" applyAlignment="0" applyProtection="0"/>
    <xf numFmtId="0" fontId="12" fillId="37" borderId="326" applyNumberFormat="0" applyFont="0" applyAlignment="0" applyProtection="0"/>
    <xf numFmtId="0" fontId="84" fillId="34" borderId="346" applyNumberFormat="0" applyAlignment="0" applyProtection="0"/>
    <xf numFmtId="0" fontId="5" fillId="0" borderId="347" applyNumberFormat="0" applyFill="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5" fillId="0" borderId="307" applyNumberFormat="0" applyFill="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84" fillId="34" borderId="306" applyNumberFormat="0" applyAlignment="0" applyProtection="0"/>
    <xf numFmtId="0" fontId="5" fillId="0" borderId="307" applyNumberFormat="0" applyFill="0" applyAlignment="0" applyProtection="0"/>
    <xf numFmtId="0" fontId="81" fillId="21" borderId="305" applyNumberFormat="0" applyAlignment="0" applyProtection="0"/>
    <xf numFmtId="0" fontId="12" fillId="37" borderId="304" applyNumberFormat="0" applyFont="0" applyAlignment="0" applyProtection="0"/>
    <xf numFmtId="0" fontId="81" fillId="21" borderId="305" applyNumberFormat="0" applyAlignment="0" applyProtection="0"/>
    <xf numFmtId="0" fontId="81" fillId="21" borderId="305" applyNumberFormat="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84" fillId="34" borderId="306" applyNumberFormat="0" applyAlignment="0" applyProtection="0"/>
    <xf numFmtId="0" fontId="5" fillId="0" borderId="307" applyNumberFormat="0" applyFill="0" applyAlignment="0" applyProtection="0"/>
    <xf numFmtId="0" fontId="5" fillId="0" borderId="307" applyNumberFormat="0" applyFill="0" applyAlignment="0" applyProtection="0"/>
    <xf numFmtId="0" fontId="84" fillId="34" borderId="306"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84" fillId="34" borderId="306" applyNumberFormat="0" applyAlignment="0" applyProtection="0"/>
    <xf numFmtId="0" fontId="12" fillId="37" borderId="304" applyNumberFormat="0" applyFont="0" applyAlignment="0" applyProtection="0"/>
    <xf numFmtId="0" fontId="81" fillId="21" borderId="305" applyNumberFormat="0" applyAlignment="0" applyProtection="0"/>
    <xf numFmtId="0" fontId="76" fillId="34" borderId="305" applyNumberFormat="0" applyAlignment="0" applyProtection="0"/>
    <xf numFmtId="0" fontId="76" fillId="34" borderId="305" applyNumberFormat="0" applyAlignment="0" applyProtection="0"/>
    <xf numFmtId="0" fontId="76" fillId="34" borderId="305" applyNumberFormat="0" applyAlignment="0" applyProtection="0"/>
    <xf numFmtId="0" fontId="81" fillId="21" borderId="305" applyNumberFormat="0" applyAlignment="0" applyProtection="0"/>
    <xf numFmtId="0" fontId="81" fillId="21"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5" fillId="0" borderId="307" applyNumberFormat="0" applyFill="0" applyAlignment="0" applyProtection="0"/>
    <xf numFmtId="0" fontId="5" fillId="0" borderId="307" applyNumberFormat="0" applyFill="0" applyAlignment="0" applyProtection="0"/>
    <xf numFmtId="0" fontId="12" fillId="37" borderId="304" applyNumberFormat="0" applyFont="0" applyAlignment="0" applyProtection="0"/>
    <xf numFmtId="0" fontId="12" fillId="37" borderId="304" applyNumberFormat="0" applyFont="0" applyAlignment="0" applyProtection="0"/>
    <xf numFmtId="0" fontId="76" fillId="34" borderId="305" applyNumberFormat="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06" applyNumberFormat="0" applyAlignment="0" applyProtection="0"/>
    <xf numFmtId="0" fontId="12" fillId="37" borderId="304" applyNumberFormat="0" applyFont="0" applyAlignment="0" applyProtection="0"/>
    <xf numFmtId="0" fontId="81" fillId="21" borderId="305" applyNumberForma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4" fillId="34" borderId="306" applyNumberFormat="0" applyAlignment="0" applyProtection="0"/>
    <xf numFmtId="0" fontId="84" fillId="34" borderId="346" applyNumberFormat="0" applyAlignment="0" applyProtection="0"/>
    <xf numFmtId="0" fontId="12" fillId="37" borderId="304" applyNumberFormat="0" applyFont="0" applyAlignment="0" applyProtection="0"/>
    <xf numFmtId="0" fontId="84" fillId="34" borderId="306" applyNumberFormat="0" applyAlignment="0" applyProtection="0"/>
    <xf numFmtId="0" fontId="12" fillId="37" borderId="304" applyNumberFormat="0" applyFont="0" applyAlignment="0" applyProtection="0"/>
    <xf numFmtId="0" fontId="76" fillId="34" borderId="305"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5" fillId="0" borderId="307" applyNumberFormat="0" applyFill="0" applyAlignment="0" applyProtection="0"/>
    <xf numFmtId="0" fontId="84" fillId="34" borderId="306" applyNumberFormat="0" applyAlignment="0" applyProtection="0"/>
    <xf numFmtId="0" fontId="84" fillId="34" borderId="306" applyNumberFormat="0" applyAlignment="0" applyProtection="0"/>
    <xf numFmtId="0" fontId="12" fillId="37" borderId="304" applyNumberFormat="0" applyFont="0" applyAlignment="0" applyProtection="0"/>
    <xf numFmtId="0" fontId="12" fillId="37" borderId="304" applyNumberFormat="0" applyFont="0" applyAlignment="0" applyProtection="0"/>
    <xf numFmtId="0" fontId="81" fillId="21" borderId="305" applyNumberFormat="0" applyAlignment="0" applyProtection="0"/>
    <xf numFmtId="0" fontId="81" fillId="21" borderId="305" applyNumberFormat="0" applyAlignment="0" applyProtection="0"/>
    <xf numFmtId="0" fontId="76" fillId="34" borderId="305" applyNumberFormat="0" applyAlignment="0" applyProtection="0"/>
    <xf numFmtId="0" fontId="76" fillId="34" borderId="305" applyNumberFormat="0" applyAlignment="0" applyProtection="0"/>
    <xf numFmtId="0" fontId="84" fillId="34" borderId="306" applyNumberFormat="0" applyAlignment="0" applyProtection="0"/>
    <xf numFmtId="0" fontId="5" fillId="0" borderId="307" applyNumberFormat="0" applyFill="0" applyAlignment="0" applyProtection="0"/>
    <xf numFmtId="0" fontId="12" fillId="37" borderId="339"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5" fillId="0" borderId="307" applyNumberFormat="0" applyFill="0" applyAlignment="0" applyProtection="0"/>
    <xf numFmtId="0" fontId="12" fillId="37" borderId="304" applyNumberFormat="0" applyFont="0" applyAlignment="0" applyProtection="0"/>
    <xf numFmtId="0" fontId="81" fillId="21" borderId="305" applyNumberFormat="0" applyAlignment="0" applyProtection="0"/>
    <xf numFmtId="0" fontId="12" fillId="37" borderId="304" applyNumberFormat="0" applyFont="0" applyAlignment="0" applyProtection="0"/>
    <xf numFmtId="0" fontId="76" fillId="34" borderId="305" applyNumberFormat="0" applyAlignment="0" applyProtection="0"/>
    <xf numFmtId="0" fontId="81" fillId="21" borderId="305" applyNumberFormat="0" applyAlignment="0" applyProtection="0"/>
    <xf numFmtId="0" fontId="5" fillId="0" borderId="355" applyNumberFormat="0" applyFill="0" applyAlignment="0" applyProtection="0"/>
    <xf numFmtId="0" fontId="81" fillId="21" borderId="305" applyNumberFormat="0" applyAlignment="0" applyProtection="0"/>
    <xf numFmtId="0" fontId="12" fillId="37" borderId="309" applyNumberFormat="0" applyFont="0" applyAlignment="0" applyProtection="0"/>
    <xf numFmtId="0" fontId="5" fillId="0" borderId="307" applyNumberFormat="0" applyFill="0" applyAlignment="0" applyProtection="0"/>
    <xf numFmtId="0" fontId="81" fillId="21" borderId="305" applyNumberFormat="0" applyAlignment="0" applyProtection="0"/>
    <xf numFmtId="0" fontId="84" fillId="34" borderId="306" applyNumberFormat="0" applyAlignment="0" applyProtection="0"/>
    <xf numFmtId="0" fontId="76" fillId="34" borderId="305" applyNumberFormat="0" applyAlignment="0" applyProtection="0"/>
    <xf numFmtId="0" fontId="81" fillId="21" borderId="327" applyNumberFormat="0" applyAlignment="0" applyProtection="0"/>
    <xf numFmtId="0" fontId="12" fillId="37" borderId="304" applyNumberFormat="0" applyFont="0" applyAlignment="0" applyProtection="0"/>
    <xf numFmtId="0" fontId="84" fillId="34" borderId="306" applyNumberFormat="0" applyAlignment="0" applyProtection="0"/>
    <xf numFmtId="0" fontId="76" fillId="34" borderId="305" applyNumberFormat="0" applyAlignment="0" applyProtection="0"/>
    <xf numFmtId="0" fontId="81" fillId="21" borderId="377" applyNumberFormat="0" applyAlignment="0" applyProtection="0"/>
    <xf numFmtId="0" fontId="84" fillId="34" borderId="328" applyNumberFormat="0" applyAlignment="0" applyProtection="0"/>
    <xf numFmtId="0" fontId="76" fillId="34" borderId="353" applyNumberFormat="0" applyAlignment="0" applyProtection="0"/>
    <xf numFmtId="0" fontId="81" fillId="21" borderId="327" applyNumberForma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76" fillId="34"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4" fillId="34" borderId="311" applyNumberFormat="0" applyAlignment="0" applyProtection="0"/>
    <xf numFmtId="0" fontId="5" fillId="0" borderId="312" applyNumberFormat="0" applyFill="0" applyAlignment="0" applyProtection="0"/>
    <xf numFmtId="0" fontId="81" fillId="21" borderId="310" applyNumberFormat="0" applyAlignment="0" applyProtection="0"/>
    <xf numFmtId="0" fontId="12" fillId="37" borderId="309" applyNumberFormat="0" applyFont="0" applyAlignment="0" applyProtection="0"/>
    <xf numFmtId="0" fontId="81" fillId="21" borderId="310" applyNumberFormat="0" applyAlignment="0" applyProtection="0"/>
    <xf numFmtId="0" fontId="81" fillId="21" borderId="310" applyNumberFormat="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84"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29" applyNumberFormat="0" applyFill="0" applyAlignment="0" applyProtection="0"/>
    <xf numFmtId="0" fontId="76" fillId="34" borderId="310" applyNumberFormat="0" applyAlignment="0" applyProtection="0"/>
    <xf numFmtId="0" fontId="84" fillId="34" borderId="311" applyNumberFormat="0" applyAlignment="0" applyProtection="0"/>
    <xf numFmtId="0" fontId="12" fillId="37" borderId="309" applyNumberFormat="0" applyFont="0" applyAlignment="0" applyProtection="0"/>
    <xf numFmtId="0" fontId="81" fillId="21" borderId="310" applyNumberFormat="0" applyAlignment="0" applyProtection="0"/>
    <xf numFmtId="0" fontId="76" fillId="34" borderId="310" applyNumberFormat="0" applyAlignment="0" applyProtection="0"/>
    <xf numFmtId="0" fontId="76" fillId="34" borderId="310" applyNumberFormat="0" applyAlignment="0" applyProtection="0"/>
    <xf numFmtId="0" fontId="76" fillId="34" borderId="310" applyNumberFormat="0" applyAlignment="0" applyProtection="0"/>
    <xf numFmtId="0" fontId="81" fillId="21" borderId="310" applyNumberFormat="0" applyAlignment="0" applyProtection="0"/>
    <xf numFmtId="0" fontId="81" fillId="21"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12" fillId="37" borderId="309" applyNumberFormat="0" applyFont="0" applyAlignment="0" applyProtection="0"/>
    <xf numFmtId="0" fontId="76" fillId="34" borderId="310" applyNumberForma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84" fillId="34" borderId="311" applyNumberFormat="0" applyAlignment="0" applyProtection="0"/>
    <xf numFmtId="0" fontId="12" fillId="37" borderId="309" applyNumberFormat="0" applyFont="0" applyAlignment="0" applyProtection="0"/>
    <xf numFmtId="0" fontId="81" fillId="21" borderId="310" applyNumberForma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12" fillId="37" borderId="352" applyNumberFormat="0" applyFont="0" applyAlignment="0" applyProtection="0"/>
    <xf numFmtId="0" fontId="12" fillId="37" borderId="309" applyNumberFormat="0" applyFont="0" applyAlignment="0" applyProtection="0"/>
    <xf numFmtId="0" fontId="84" fillId="34" borderId="311" applyNumberFormat="0" applyAlignment="0" applyProtection="0"/>
    <xf numFmtId="0" fontId="12" fillId="37" borderId="309" applyNumberFormat="0" applyFont="0" applyAlignment="0" applyProtection="0"/>
    <xf numFmtId="0" fontId="76" fillId="34" borderId="310"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5" fillId="0" borderId="312" applyNumberFormat="0" applyFill="0" applyAlignment="0" applyProtection="0"/>
    <xf numFmtId="0" fontId="84" fillId="34" borderId="311" applyNumberFormat="0" applyAlignment="0" applyProtection="0"/>
    <xf numFmtId="0" fontId="84" fillId="34" borderId="311" applyNumberFormat="0" applyAlignment="0" applyProtection="0"/>
    <xf numFmtId="0" fontId="12" fillId="37" borderId="309" applyNumberFormat="0" applyFont="0" applyAlignment="0" applyProtection="0"/>
    <xf numFmtId="0" fontId="12" fillId="37" borderId="309" applyNumberFormat="0" applyFont="0" applyAlignment="0" applyProtection="0"/>
    <xf numFmtId="0" fontId="81" fillId="21" borderId="310" applyNumberFormat="0" applyAlignment="0" applyProtection="0"/>
    <xf numFmtId="0" fontId="81" fillId="21" borderId="310" applyNumberFormat="0" applyAlignment="0" applyProtection="0"/>
    <xf numFmtId="0" fontId="76" fillId="34" borderId="310" applyNumberFormat="0" applyAlignment="0" applyProtection="0"/>
    <xf numFmtId="0" fontId="76" fillId="34" borderId="310" applyNumberFormat="0" applyAlignment="0" applyProtection="0"/>
    <xf numFmtId="0" fontId="84" fillId="34" borderId="311" applyNumberFormat="0" applyAlignment="0" applyProtection="0"/>
    <xf numFmtId="0" fontId="5" fillId="0" borderId="312" applyNumberFormat="0" applyFill="0" applyAlignment="0" applyProtection="0"/>
    <xf numFmtId="0" fontId="5" fillId="0" borderId="312" applyNumberFormat="0" applyFill="0" applyAlignment="0" applyProtection="0"/>
    <xf numFmtId="0" fontId="12" fillId="37" borderId="309" applyNumberFormat="0" applyFont="0" applyAlignment="0" applyProtection="0"/>
    <xf numFmtId="0" fontId="5" fillId="0" borderId="312" applyNumberFormat="0" applyFill="0" applyAlignment="0" applyProtection="0"/>
    <xf numFmtId="0" fontId="12" fillId="37" borderId="309" applyNumberFormat="0" applyFont="0" applyAlignment="0" applyProtection="0"/>
    <xf numFmtId="0" fontId="81" fillId="21" borderId="310" applyNumberFormat="0" applyAlignment="0" applyProtection="0"/>
    <xf numFmtId="0" fontId="12" fillId="37" borderId="309" applyNumberFormat="0" applyFont="0" applyAlignment="0" applyProtection="0"/>
    <xf numFmtId="0" fontId="76" fillId="34" borderId="310" applyNumberFormat="0" applyAlignment="0" applyProtection="0"/>
    <xf numFmtId="0" fontId="81" fillId="21" borderId="310" applyNumberFormat="0" applyAlignment="0" applyProtection="0"/>
    <xf numFmtId="0" fontId="81" fillId="21" borderId="310" applyNumberFormat="0" applyAlignment="0" applyProtection="0"/>
    <xf numFmtId="0" fontId="81" fillId="21" borderId="345" applyNumberFormat="0" applyAlignment="0" applyProtection="0"/>
    <xf numFmtId="0" fontId="5" fillId="0" borderId="312" applyNumberFormat="0" applyFill="0" applyAlignment="0" applyProtection="0"/>
    <xf numFmtId="0" fontId="81" fillId="21" borderId="310" applyNumberFormat="0" applyAlignment="0" applyProtection="0"/>
    <xf numFmtId="0" fontId="84" fillId="34" borderId="311" applyNumberFormat="0" applyAlignment="0" applyProtection="0"/>
    <xf numFmtId="0" fontId="5" fillId="0" borderId="333" applyNumberFormat="0" applyFill="0" applyAlignment="0" applyProtection="0"/>
    <xf numFmtId="0" fontId="76" fillId="34" borderId="310" applyNumberFormat="0" applyAlignment="0" applyProtection="0"/>
    <xf numFmtId="0" fontId="12" fillId="37" borderId="309" applyNumberFormat="0" applyFont="0" applyAlignment="0" applyProtection="0"/>
    <xf numFmtId="0" fontId="84" fillId="34" borderId="311" applyNumberFormat="0" applyAlignment="0" applyProtection="0"/>
    <xf numFmtId="0" fontId="76" fillId="34" borderId="310" applyNumberFormat="0" applyAlignment="0" applyProtection="0"/>
    <xf numFmtId="0" fontId="12" fillId="37" borderId="326" applyNumberFormat="0" applyFont="0" applyAlignment="0" applyProtection="0"/>
    <xf numFmtId="0" fontId="12" fillId="37" borderId="344" applyNumberFormat="0" applyFont="0" applyAlignment="0" applyProtection="0"/>
    <xf numFmtId="0" fontId="84" fillId="34" borderId="328" applyNumberFormat="0" applyAlignment="0" applyProtection="0"/>
    <xf numFmtId="0" fontId="12" fillId="37" borderId="344"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76" fillId="34" borderId="345" applyNumberForma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5" fillId="0" borderId="317" applyNumberFormat="0" applyFill="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84" fillId="34" borderId="316" applyNumberFormat="0" applyAlignment="0" applyProtection="0"/>
    <xf numFmtId="0" fontId="5" fillId="0" borderId="317" applyNumberFormat="0" applyFill="0" applyAlignment="0" applyProtection="0"/>
    <xf numFmtId="0" fontId="81" fillId="21" borderId="315" applyNumberFormat="0" applyAlignment="0" applyProtection="0"/>
    <xf numFmtId="0" fontId="12" fillId="37" borderId="314" applyNumberFormat="0" applyFont="0" applyAlignment="0" applyProtection="0"/>
    <xf numFmtId="0" fontId="81" fillId="21" borderId="315" applyNumberFormat="0" applyAlignment="0" applyProtection="0"/>
    <xf numFmtId="0" fontId="81" fillId="21" borderId="315" applyNumberFormat="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84" fillId="34" borderId="316" applyNumberFormat="0" applyAlignment="0" applyProtection="0"/>
    <xf numFmtId="0" fontId="5" fillId="0" borderId="317" applyNumberFormat="0" applyFill="0" applyAlignment="0" applyProtection="0"/>
    <xf numFmtId="0" fontId="5" fillId="0" borderId="317" applyNumberFormat="0" applyFill="0" applyAlignment="0" applyProtection="0"/>
    <xf numFmtId="0" fontId="84" fillId="34" borderId="316"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84" fillId="34" borderId="316" applyNumberFormat="0" applyAlignment="0" applyProtection="0"/>
    <xf numFmtId="0" fontId="12" fillId="37" borderId="314" applyNumberFormat="0" applyFont="0" applyAlignment="0" applyProtection="0"/>
    <xf numFmtId="0" fontId="81" fillId="21" borderId="315" applyNumberFormat="0" applyAlignment="0" applyProtection="0"/>
    <xf numFmtId="0" fontId="76" fillId="34" borderId="315" applyNumberFormat="0" applyAlignment="0" applyProtection="0"/>
    <xf numFmtId="0" fontId="76" fillId="34" borderId="315" applyNumberFormat="0" applyAlignment="0" applyProtection="0"/>
    <xf numFmtId="0" fontId="76" fillId="34" borderId="315" applyNumberFormat="0" applyAlignment="0" applyProtection="0"/>
    <xf numFmtId="0" fontId="81" fillId="21" borderId="315" applyNumberFormat="0" applyAlignment="0" applyProtection="0"/>
    <xf numFmtId="0" fontId="81" fillId="21"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5" fillId="0" borderId="317" applyNumberFormat="0" applyFill="0" applyAlignment="0" applyProtection="0"/>
    <xf numFmtId="0" fontId="5" fillId="0" borderId="317" applyNumberFormat="0" applyFill="0" applyAlignment="0" applyProtection="0"/>
    <xf numFmtId="0" fontId="12" fillId="37" borderId="314" applyNumberFormat="0" applyFont="0" applyAlignment="0" applyProtection="0"/>
    <xf numFmtId="0" fontId="12" fillId="37" borderId="314" applyNumberFormat="0" applyFont="0" applyAlignment="0" applyProtection="0"/>
    <xf numFmtId="0" fontId="76" fillId="34" borderId="315" applyNumberForma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84" fillId="34" borderId="316" applyNumberFormat="0" applyAlignment="0" applyProtection="0"/>
    <xf numFmtId="0" fontId="12" fillId="37" borderId="314" applyNumberFormat="0" applyFont="0" applyAlignment="0" applyProtection="0"/>
    <xf numFmtId="0" fontId="81" fillId="21" borderId="315" applyNumberForma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76" fillId="34" borderId="319" applyNumberFormat="0" applyAlignment="0" applyProtection="0"/>
    <xf numFmtId="0" fontId="12" fillId="37" borderId="344" applyNumberFormat="0" applyFont="0" applyAlignment="0" applyProtection="0"/>
    <xf numFmtId="0" fontId="12" fillId="37" borderId="314" applyNumberFormat="0" applyFont="0" applyAlignment="0" applyProtection="0"/>
    <xf numFmtId="0" fontId="84" fillId="34" borderId="316" applyNumberFormat="0" applyAlignment="0" applyProtection="0"/>
    <xf numFmtId="0" fontId="12" fillId="37" borderId="314" applyNumberFormat="0" applyFont="0" applyAlignment="0" applyProtection="0"/>
    <xf numFmtId="0" fontId="76" fillId="34" borderId="315"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5" fillId="0" borderId="317" applyNumberFormat="0" applyFill="0" applyAlignment="0" applyProtection="0"/>
    <xf numFmtId="0" fontId="84" fillId="34" borderId="316" applyNumberFormat="0" applyAlignment="0" applyProtection="0"/>
    <xf numFmtId="0" fontId="84" fillId="34" borderId="316" applyNumberFormat="0" applyAlignment="0" applyProtection="0"/>
    <xf numFmtId="0" fontId="12" fillId="37" borderId="314" applyNumberFormat="0" applyFont="0" applyAlignment="0" applyProtection="0"/>
    <xf numFmtId="0" fontId="12" fillId="37" borderId="314" applyNumberFormat="0" applyFont="0" applyAlignment="0" applyProtection="0"/>
    <xf numFmtId="0" fontId="81" fillId="21" borderId="315" applyNumberFormat="0" applyAlignment="0" applyProtection="0"/>
    <xf numFmtId="0" fontId="81" fillId="21" borderId="315" applyNumberFormat="0" applyAlignment="0" applyProtection="0"/>
    <xf numFmtId="0" fontId="76" fillId="34" borderId="315" applyNumberFormat="0" applyAlignment="0" applyProtection="0"/>
    <xf numFmtId="0" fontId="76" fillId="34" borderId="315" applyNumberFormat="0" applyAlignment="0" applyProtection="0"/>
    <xf numFmtId="0" fontId="84" fillId="34" borderId="316" applyNumberFormat="0" applyAlignment="0" applyProtection="0"/>
    <xf numFmtId="0" fontId="5" fillId="0" borderId="317" applyNumberFormat="0" applyFill="0" applyAlignment="0" applyProtection="0"/>
    <xf numFmtId="0" fontId="81" fillId="21" borderId="331" applyNumberFormat="0" applyAlignment="0" applyProtection="0"/>
    <xf numFmtId="0" fontId="5" fillId="0" borderId="317" applyNumberFormat="0" applyFill="0" applyAlignment="0" applyProtection="0"/>
    <xf numFmtId="0" fontId="12" fillId="37" borderId="314" applyNumberFormat="0" applyFont="0" applyAlignment="0" applyProtection="0"/>
    <xf numFmtId="0" fontId="5" fillId="0" borderId="317" applyNumberFormat="0" applyFill="0" applyAlignment="0" applyProtection="0"/>
    <xf numFmtId="0" fontId="12" fillId="37" borderId="314" applyNumberFormat="0" applyFont="0" applyAlignment="0" applyProtection="0"/>
    <xf numFmtId="0" fontId="81" fillId="21" borderId="315" applyNumberFormat="0" applyAlignment="0" applyProtection="0"/>
    <xf numFmtId="0" fontId="12" fillId="37" borderId="314" applyNumberFormat="0" applyFont="0" applyAlignment="0" applyProtection="0"/>
    <xf numFmtId="0" fontId="76" fillId="34" borderId="315" applyNumberFormat="0" applyAlignment="0" applyProtection="0"/>
    <xf numFmtId="0" fontId="81" fillId="21" borderId="315" applyNumberFormat="0" applyAlignment="0" applyProtection="0"/>
    <xf numFmtId="0" fontId="5" fillId="0" borderId="347" applyNumberFormat="0" applyFill="0" applyAlignment="0" applyProtection="0"/>
    <xf numFmtId="0" fontId="81" fillId="21" borderId="315" applyNumberFormat="0" applyAlignment="0" applyProtection="0"/>
    <xf numFmtId="0" fontId="12" fillId="37" borderId="330" applyNumberFormat="0" applyFont="0" applyAlignment="0" applyProtection="0"/>
    <xf numFmtId="0" fontId="5" fillId="0" borderId="317" applyNumberFormat="0" applyFill="0" applyAlignment="0" applyProtection="0"/>
    <xf numFmtId="0" fontId="81" fillId="21" borderId="315" applyNumberFormat="0" applyAlignment="0" applyProtection="0"/>
    <xf numFmtId="0" fontId="84" fillId="34" borderId="316" applyNumberFormat="0" applyAlignment="0" applyProtection="0"/>
    <xf numFmtId="0" fontId="76" fillId="34" borderId="373" applyNumberFormat="0" applyAlignment="0" applyProtection="0"/>
    <xf numFmtId="0" fontId="76" fillId="34" borderId="315" applyNumberFormat="0" applyAlignment="0" applyProtection="0"/>
    <xf numFmtId="0" fontId="12" fillId="37" borderId="314" applyNumberFormat="0" applyFont="0" applyAlignment="0" applyProtection="0"/>
    <xf numFmtId="0" fontId="84" fillId="34" borderId="316" applyNumberFormat="0" applyAlignment="0" applyProtection="0"/>
    <xf numFmtId="0" fontId="76" fillId="34" borderId="315" applyNumberFormat="0" applyAlignment="0" applyProtection="0"/>
    <xf numFmtId="0" fontId="81" fillId="21" borderId="335" applyNumberFormat="0" applyAlignment="0" applyProtection="0"/>
    <xf numFmtId="0" fontId="12" fillId="37" borderId="360" applyNumberFormat="0" applyFont="0" applyAlignment="0" applyProtection="0"/>
    <xf numFmtId="0" fontId="5" fillId="0" borderId="337" applyNumberFormat="0" applyFill="0" applyAlignment="0" applyProtection="0"/>
    <xf numFmtId="0" fontId="12" fillId="37" borderId="356" applyNumberFormat="0" applyFont="0" applyAlignment="0" applyProtection="0"/>
    <xf numFmtId="0" fontId="76" fillId="34" borderId="331" applyNumberFormat="0" applyAlignment="0" applyProtection="0"/>
    <xf numFmtId="0" fontId="84" fillId="34" borderId="350" applyNumberFormat="0" applyAlignment="0" applyProtection="0"/>
    <xf numFmtId="0" fontId="81" fillId="21" borderId="377" applyNumberFormat="0" applyAlignment="0" applyProtection="0"/>
    <xf numFmtId="0" fontId="84" fillId="34" borderId="320" applyNumberFormat="0" applyAlignment="0" applyProtection="0"/>
    <xf numFmtId="0" fontId="81" fillId="21" borderId="319" applyNumberFormat="0" applyAlignment="0" applyProtection="0"/>
    <xf numFmtId="0" fontId="81" fillId="21" borderId="323" applyNumberFormat="0" applyAlignment="0" applyProtection="0"/>
    <xf numFmtId="0" fontId="84" fillId="34" borderId="346" applyNumberFormat="0" applyAlignment="0" applyProtection="0"/>
    <xf numFmtId="0" fontId="12" fillId="37" borderId="344" applyNumberFormat="0" applyFont="0" applyAlignment="0" applyProtection="0"/>
    <xf numFmtId="0" fontId="76" fillId="34" borderId="349" applyNumberFormat="0" applyAlignment="0" applyProtection="0"/>
    <xf numFmtId="0" fontId="76" fillId="34" borderId="331" applyNumberFormat="0" applyAlignment="0" applyProtection="0"/>
    <xf numFmtId="0" fontId="5" fillId="0" borderId="351" applyNumberFormat="0" applyFill="0" applyAlignment="0" applyProtection="0"/>
    <xf numFmtId="0" fontId="12" fillId="37" borderId="356" applyNumberFormat="0" applyFon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76" fillId="34"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84" fillId="34" borderId="320" applyNumberFormat="0" applyAlignment="0" applyProtection="0"/>
    <xf numFmtId="0" fontId="5" fillId="0" borderId="321" applyNumberFormat="0" applyFill="0" applyAlignment="0" applyProtection="0"/>
    <xf numFmtId="0" fontId="81" fillId="21" borderId="319" applyNumberFormat="0" applyAlignment="0" applyProtection="0"/>
    <xf numFmtId="0" fontId="12" fillId="37" borderId="318" applyNumberFormat="0" applyFont="0" applyAlignment="0" applyProtection="0"/>
    <xf numFmtId="0" fontId="81" fillId="21" borderId="319" applyNumberFormat="0" applyAlignment="0" applyProtection="0"/>
    <xf numFmtId="0" fontId="81" fillId="21" borderId="319" applyNumberFormat="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84" fillId="34" borderId="320"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34" applyNumberFormat="0" applyFont="0" applyAlignment="0" applyProtection="0"/>
    <xf numFmtId="0" fontId="76" fillId="34" borderId="319" applyNumberFormat="0" applyAlignment="0" applyProtection="0"/>
    <xf numFmtId="0" fontId="84" fillId="34" borderId="320" applyNumberFormat="0" applyAlignment="0" applyProtection="0"/>
    <xf numFmtId="0" fontId="12" fillId="37" borderId="318" applyNumberFormat="0" applyFont="0" applyAlignment="0" applyProtection="0"/>
    <xf numFmtId="0" fontId="81" fillId="21" borderId="319" applyNumberFormat="0" applyAlignment="0" applyProtection="0"/>
    <xf numFmtId="0" fontId="76" fillId="34" borderId="319" applyNumberFormat="0" applyAlignment="0" applyProtection="0"/>
    <xf numFmtId="0" fontId="76" fillId="34" borderId="319" applyNumberFormat="0" applyAlignment="0" applyProtection="0"/>
    <xf numFmtId="0" fontId="76" fillId="34" borderId="319" applyNumberFormat="0" applyAlignment="0" applyProtection="0"/>
    <xf numFmtId="0" fontId="81" fillId="21" borderId="319" applyNumberFormat="0" applyAlignment="0" applyProtection="0"/>
    <xf numFmtId="0" fontId="81" fillId="21"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12" fillId="37" borderId="318" applyNumberFormat="0" applyFont="0" applyAlignment="0" applyProtection="0"/>
    <xf numFmtId="0" fontId="76" fillId="34" borderId="319" applyNumberForma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84" fillId="34" borderId="320" applyNumberFormat="0" applyAlignment="0" applyProtection="0"/>
    <xf numFmtId="0" fontId="12" fillId="37" borderId="318" applyNumberFormat="0" applyFont="0" applyAlignment="0" applyProtection="0"/>
    <xf numFmtId="0" fontId="81" fillId="21" borderId="319" applyNumberForma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12" fillId="37" borderId="339" applyNumberFormat="0" applyFont="0" applyAlignment="0" applyProtection="0"/>
    <xf numFmtId="0" fontId="12" fillId="37" borderId="318" applyNumberFormat="0" applyFont="0" applyAlignment="0" applyProtection="0"/>
    <xf numFmtId="0" fontId="84" fillId="34" borderId="320" applyNumberFormat="0" applyAlignment="0" applyProtection="0"/>
    <xf numFmtId="0" fontId="12" fillId="37" borderId="318" applyNumberFormat="0" applyFont="0" applyAlignment="0" applyProtection="0"/>
    <xf numFmtId="0" fontId="76" fillId="34" borderId="319"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5" fillId="0" borderId="321" applyNumberFormat="0" applyFill="0" applyAlignment="0" applyProtection="0"/>
    <xf numFmtId="0" fontId="84" fillId="34" borderId="320" applyNumberFormat="0" applyAlignment="0" applyProtection="0"/>
    <xf numFmtId="0" fontId="84" fillId="34" borderId="320" applyNumberFormat="0" applyAlignment="0" applyProtection="0"/>
    <xf numFmtId="0" fontId="12" fillId="37" borderId="318" applyNumberFormat="0" applyFont="0" applyAlignment="0" applyProtection="0"/>
    <xf numFmtId="0" fontId="12" fillId="37" borderId="318" applyNumberFormat="0" applyFont="0" applyAlignment="0" applyProtection="0"/>
    <xf numFmtId="0" fontId="81" fillId="21" borderId="319" applyNumberFormat="0" applyAlignment="0" applyProtection="0"/>
    <xf numFmtId="0" fontId="81" fillId="21" borderId="319" applyNumberFormat="0" applyAlignment="0" applyProtection="0"/>
    <xf numFmtId="0" fontId="76" fillId="34" borderId="319" applyNumberFormat="0" applyAlignment="0" applyProtection="0"/>
    <xf numFmtId="0" fontId="76" fillId="34" borderId="319" applyNumberFormat="0" applyAlignment="0" applyProtection="0"/>
    <xf numFmtId="0" fontId="84" fillId="34" borderId="320" applyNumberFormat="0" applyAlignment="0" applyProtection="0"/>
    <xf numFmtId="0" fontId="5" fillId="0" borderId="321" applyNumberFormat="0" applyFill="0" applyAlignment="0" applyProtection="0"/>
    <xf numFmtId="0" fontId="5" fillId="0" borderId="321" applyNumberFormat="0" applyFill="0" applyAlignment="0" applyProtection="0"/>
    <xf numFmtId="0" fontId="12" fillId="37" borderId="318" applyNumberFormat="0" applyFont="0" applyAlignment="0" applyProtection="0"/>
    <xf numFmtId="0" fontId="5" fillId="0" borderId="321" applyNumberFormat="0" applyFill="0" applyAlignment="0" applyProtection="0"/>
    <xf numFmtId="0" fontId="12" fillId="37" borderId="318" applyNumberFormat="0" applyFont="0" applyAlignment="0" applyProtection="0"/>
    <xf numFmtId="0" fontId="81" fillId="21" borderId="319" applyNumberFormat="0" applyAlignment="0" applyProtection="0"/>
    <xf numFmtId="0" fontId="12" fillId="37" borderId="318" applyNumberFormat="0" applyFont="0" applyAlignment="0" applyProtection="0"/>
    <xf numFmtId="0" fontId="76" fillId="34" borderId="319" applyNumberFormat="0" applyAlignment="0" applyProtection="0"/>
    <xf numFmtId="0" fontId="81" fillId="21" borderId="319" applyNumberFormat="0" applyAlignment="0" applyProtection="0"/>
    <xf numFmtId="0" fontId="81" fillId="21" borderId="319" applyNumberFormat="0" applyAlignment="0" applyProtection="0"/>
    <xf numFmtId="0" fontId="12" fillId="37" borderId="308" applyNumberFormat="0" applyFont="0" applyAlignment="0" applyProtection="0"/>
    <xf numFmtId="0" fontId="5" fillId="0" borderId="321" applyNumberFormat="0" applyFill="0" applyAlignment="0" applyProtection="0"/>
    <xf numFmtId="0" fontId="81" fillId="21" borderId="319" applyNumberFormat="0" applyAlignment="0" applyProtection="0"/>
    <xf numFmtId="0" fontId="84" fillId="34" borderId="320" applyNumberFormat="0" applyAlignment="0" applyProtection="0"/>
    <xf numFmtId="0" fontId="76" fillId="34" borderId="319" applyNumberFormat="0" applyAlignment="0" applyProtection="0"/>
    <xf numFmtId="0" fontId="5" fillId="0" borderId="342" applyNumberFormat="0" applyFill="0" applyAlignment="0" applyProtection="0"/>
    <xf numFmtId="0" fontId="12" fillId="37" borderId="318" applyNumberFormat="0" applyFont="0" applyAlignment="0" applyProtection="0"/>
    <xf numFmtId="0" fontId="84" fillId="34" borderId="320" applyNumberFormat="0" applyAlignment="0" applyProtection="0"/>
    <xf numFmtId="0" fontId="76" fillId="34" borderId="319" applyNumberFormat="0" applyAlignment="0" applyProtection="0"/>
    <xf numFmtId="0" fontId="76" fillId="34" borderId="377" applyNumberFormat="0" applyAlignment="0" applyProtection="0"/>
    <xf numFmtId="0" fontId="5" fillId="0" borderId="347" applyNumberFormat="0" applyFill="0" applyAlignment="0" applyProtection="0"/>
    <xf numFmtId="0" fontId="81" fillId="21" borderId="327" applyNumberFormat="0" applyAlignment="0" applyProtection="0"/>
    <xf numFmtId="0" fontId="12" fillId="37" borderId="368" applyNumberFormat="0" applyFont="0" applyAlignment="0" applyProtection="0"/>
    <xf numFmtId="0" fontId="5" fillId="0" borderId="329" applyNumberFormat="0" applyFill="0" applyAlignment="0" applyProtection="0"/>
    <xf numFmtId="0" fontId="12" fillId="37" borderId="308" applyNumberFormat="0" applyFont="0" applyAlignment="0" applyProtection="0"/>
    <xf numFmtId="0" fontId="84" fillId="34" borderId="350" applyNumberFormat="0" applyAlignment="0" applyProtection="0"/>
    <xf numFmtId="0" fontId="76" fillId="34" borderId="361" applyNumberFormat="0" applyAlignment="0" applyProtection="0"/>
    <xf numFmtId="0" fontId="12" fillId="37" borderId="308" applyNumberFormat="0" applyFont="0" applyAlignment="0" applyProtection="0"/>
    <xf numFmtId="0" fontId="12" fillId="37" borderId="36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60"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4" fillId="34" borderId="341"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1" fillId="21" borderId="345"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4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12" fillId="37" borderId="308" applyNumberFormat="0" applyFont="0" applyAlignment="0" applyProtection="0"/>
    <xf numFmtId="0" fontId="81" fillId="21" borderId="361"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26" applyNumberFormat="0" applyFont="0" applyAlignment="0" applyProtection="0"/>
    <xf numFmtId="0" fontId="12" fillId="37" borderId="330"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4" fillId="34" borderId="346" applyNumberFormat="0" applyAlignment="0" applyProtection="0"/>
    <xf numFmtId="0" fontId="76" fillId="34" borderId="373" applyNumberFormat="0" applyAlignment="0" applyProtection="0"/>
    <xf numFmtId="0" fontId="12" fillId="37" borderId="33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81" fillId="21" borderId="32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30" applyNumberFormat="0" applyFont="0" applyAlignment="0" applyProtection="0"/>
    <xf numFmtId="0" fontId="5" fillId="0" borderId="329" applyNumberFormat="0" applyFill="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76" fillId="34" borderId="32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76" fillId="34" borderId="357" applyNumberFormat="0" applyAlignment="0" applyProtection="0"/>
    <xf numFmtId="0" fontId="12" fillId="37" borderId="308" applyNumberFormat="0" applyFont="0" applyAlignment="0" applyProtection="0"/>
    <xf numFmtId="0" fontId="12" fillId="37" borderId="308" applyNumberFormat="0" applyFont="0" applyAlignment="0" applyProtection="0"/>
    <xf numFmtId="0" fontId="5" fillId="0" borderId="342" applyNumberFormat="0" applyFill="0" applyAlignment="0" applyProtection="0"/>
    <xf numFmtId="0" fontId="5" fillId="0" borderId="329" applyNumberFormat="0" applyFill="0" applyAlignment="0" applyProtection="0"/>
    <xf numFmtId="0" fontId="12" fillId="37" borderId="34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08" applyNumberFormat="0" applyFont="0" applyAlignment="0" applyProtection="0"/>
    <xf numFmtId="0" fontId="12" fillId="37" borderId="326" applyNumberFormat="0" applyFont="0" applyAlignment="0" applyProtection="0"/>
    <xf numFmtId="0" fontId="5" fillId="0" borderId="347" applyNumberFormat="0" applyFill="0" applyAlignment="0" applyProtection="0"/>
    <xf numFmtId="0" fontId="5" fillId="0" borderId="347" applyNumberFormat="0" applyFill="0" applyAlignment="0" applyProtection="0"/>
    <xf numFmtId="0" fontId="76" fillId="34" borderId="377" applyNumberFormat="0" applyAlignment="0" applyProtection="0"/>
    <xf numFmtId="0" fontId="81" fillId="21" borderId="345" applyNumberFormat="0" applyAlignment="0" applyProtection="0"/>
    <xf numFmtId="0" fontId="5" fillId="0" borderId="347" applyNumberFormat="0" applyFill="0" applyAlignment="0" applyProtection="0"/>
    <xf numFmtId="0" fontId="12" fillId="37" borderId="308" applyNumberFormat="0" applyFont="0" applyAlignment="0" applyProtection="0"/>
    <xf numFmtId="0" fontId="81" fillId="21" borderId="335" applyNumberFormat="0" applyAlignment="0" applyProtection="0"/>
    <xf numFmtId="0" fontId="12" fillId="37" borderId="326" applyNumberFormat="0" applyFont="0" applyAlignment="0" applyProtection="0"/>
    <xf numFmtId="0" fontId="84" fillId="34" borderId="328" applyNumberFormat="0" applyAlignment="0" applyProtection="0"/>
    <xf numFmtId="0" fontId="84" fillId="34" borderId="328" applyNumberFormat="0" applyAlignment="0" applyProtection="0"/>
    <xf numFmtId="0" fontId="12" fillId="37" borderId="326" applyNumberFormat="0" applyFont="0" applyAlignment="0" applyProtection="0"/>
    <xf numFmtId="0" fontId="81" fillId="21" borderId="327" applyNumberFormat="0" applyAlignment="0" applyProtection="0"/>
    <xf numFmtId="0" fontId="76"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4" fillId="34" borderId="328" applyNumberFormat="0" applyAlignment="0" applyProtection="0"/>
    <xf numFmtId="0" fontId="5" fillId="0" borderId="363" applyNumberFormat="0" applyFill="0" applyAlignment="0" applyProtection="0"/>
    <xf numFmtId="0" fontId="12" fillId="37" borderId="326" applyNumberFormat="0" applyFont="0" applyAlignment="0" applyProtection="0"/>
    <xf numFmtId="0" fontId="84" fillId="34" borderId="328" applyNumberFormat="0" applyAlignment="0" applyProtection="0"/>
    <xf numFmtId="0" fontId="12" fillId="37" borderId="326" applyNumberFormat="0" applyFont="0" applyAlignment="0" applyProtection="0"/>
    <xf numFmtId="0" fontId="76" fillId="34" borderId="327"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5" fillId="0" borderId="329" applyNumberFormat="0" applyFill="0" applyAlignment="0" applyProtection="0"/>
    <xf numFmtId="0" fontId="84" fillId="34" borderId="328" applyNumberFormat="0" applyAlignment="0" applyProtection="0"/>
    <xf numFmtId="0" fontId="84" fillId="34" borderId="328" applyNumberFormat="0" applyAlignment="0" applyProtection="0"/>
    <xf numFmtId="0" fontId="12" fillId="37" borderId="326" applyNumberFormat="0" applyFont="0" applyAlignment="0" applyProtection="0"/>
    <xf numFmtId="0" fontId="12" fillId="37" borderId="326" applyNumberFormat="0" applyFont="0" applyAlignment="0" applyProtection="0"/>
    <xf numFmtId="0" fontId="81" fillId="21" borderId="327" applyNumberFormat="0" applyAlignment="0" applyProtection="0"/>
    <xf numFmtId="0" fontId="81" fillId="21" borderId="327" applyNumberFormat="0" applyAlignment="0" applyProtection="0"/>
    <xf numFmtId="0" fontId="76" fillId="34" borderId="327" applyNumberFormat="0" applyAlignment="0" applyProtection="0"/>
    <xf numFmtId="0" fontId="76" fillId="34" borderId="327" applyNumberFormat="0" applyAlignment="0" applyProtection="0"/>
    <xf numFmtId="0" fontId="84" fillId="34" borderId="328" applyNumberFormat="0" applyAlignment="0" applyProtection="0"/>
    <xf numFmtId="0" fontId="5" fillId="0" borderId="329" applyNumberFormat="0" applyFill="0" applyAlignment="0" applyProtection="0"/>
    <xf numFmtId="0" fontId="5" fillId="0" borderId="347" applyNumberFormat="0" applyFill="0" applyAlignment="0" applyProtection="0"/>
    <xf numFmtId="0" fontId="5" fillId="0" borderId="329" applyNumberFormat="0" applyFill="0" applyAlignment="0" applyProtection="0"/>
    <xf numFmtId="0" fontId="12" fillId="37" borderId="326" applyNumberFormat="0" applyFont="0" applyAlignment="0" applyProtection="0"/>
    <xf numFmtId="0" fontId="5" fillId="0" borderId="329" applyNumberFormat="0" applyFill="0" applyAlignment="0" applyProtection="0"/>
    <xf numFmtId="0" fontId="12" fillId="37" borderId="326" applyNumberFormat="0" applyFont="0" applyAlignment="0" applyProtection="0"/>
    <xf numFmtId="0" fontId="81" fillId="21" borderId="327" applyNumberFormat="0" applyAlignment="0" applyProtection="0"/>
    <xf numFmtId="0" fontId="12" fillId="37" borderId="326" applyNumberFormat="0" applyFont="0" applyAlignment="0" applyProtection="0"/>
    <xf numFmtId="0" fontId="76" fillId="34" borderId="327" applyNumberFormat="0" applyAlignment="0" applyProtection="0"/>
    <xf numFmtId="0" fontId="81" fillId="21" borderId="327" applyNumberFormat="0" applyAlignment="0" applyProtection="0"/>
    <xf numFmtId="0" fontId="81" fillId="21" borderId="327" applyNumberFormat="0" applyAlignment="0" applyProtection="0"/>
    <xf numFmtId="0" fontId="5" fillId="0" borderId="329" applyNumberFormat="0" applyFill="0" applyAlignment="0" applyProtection="0"/>
    <xf numFmtId="0" fontId="81" fillId="21" borderId="327" applyNumberFormat="0" applyAlignment="0" applyProtection="0"/>
    <xf numFmtId="0" fontId="84" fillId="34" borderId="328" applyNumberFormat="0" applyAlignment="0" applyProtection="0"/>
    <xf numFmtId="0" fontId="12" fillId="37" borderId="334" applyNumberFormat="0" applyFont="0" applyAlignment="0" applyProtection="0"/>
    <xf numFmtId="0" fontId="76" fillId="34" borderId="327" applyNumberFormat="0" applyAlignment="0" applyProtection="0"/>
    <xf numFmtId="0" fontId="12" fillId="37" borderId="326" applyNumberFormat="0" applyFont="0" applyAlignment="0" applyProtection="0"/>
    <xf numFmtId="0" fontId="84" fillId="34" borderId="328" applyNumberFormat="0" applyAlignment="0" applyProtection="0"/>
    <xf numFmtId="0" fontId="76" fillId="34" borderId="327" applyNumberFormat="0" applyAlignment="0" applyProtection="0"/>
    <xf numFmtId="0" fontId="84" fillId="34" borderId="358" applyNumberFormat="0" applyAlignment="0" applyProtection="0"/>
    <xf numFmtId="0" fontId="12" fillId="37" borderId="360"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81" fillId="21" borderId="361"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81" fillId="21" borderId="373" applyNumberFormat="0" applyAlignment="0" applyProtection="0"/>
    <xf numFmtId="0" fontId="76" fillId="34" borderId="340" applyNumberFormat="0" applyAlignment="0" applyProtection="0"/>
    <xf numFmtId="0" fontId="81" fillId="21" borderId="340" applyNumberFormat="0" applyAlignment="0" applyProtection="0"/>
    <xf numFmtId="0" fontId="84" fillId="34" borderId="332" applyNumberFormat="0" applyAlignment="0" applyProtection="0"/>
    <xf numFmtId="0" fontId="81" fillId="21" borderId="331"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12" fillId="37" borderId="344" applyNumberFormat="0" applyFont="0" applyAlignment="0" applyProtection="0"/>
    <xf numFmtId="0" fontId="84" fillId="34" borderId="346" applyNumberFormat="0" applyAlignment="0" applyProtection="0"/>
    <xf numFmtId="0" fontId="76" fillId="34" borderId="340" applyNumberForma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76" fillId="34"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84" fillId="34" borderId="332" applyNumberFormat="0" applyAlignment="0" applyProtection="0"/>
    <xf numFmtId="0" fontId="5" fillId="0" borderId="333" applyNumberFormat="0" applyFill="0" applyAlignment="0" applyProtection="0"/>
    <xf numFmtId="0" fontId="81" fillId="21" borderId="331" applyNumberFormat="0" applyAlignment="0" applyProtection="0"/>
    <xf numFmtId="0" fontId="12" fillId="37" borderId="330" applyNumberFormat="0" applyFont="0" applyAlignment="0" applyProtection="0"/>
    <xf numFmtId="0" fontId="81" fillId="21" borderId="331" applyNumberFormat="0" applyAlignment="0" applyProtection="0"/>
    <xf numFmtId="0" fontId="81" fillId="21" borderId="331" applyNumberFormat="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84" fillId="34" borderId="332"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1" fillId="21" borderId="345" applyNumberFormat="0" applyAlignment="0" applyProtection="0"/>
    <xf numFmtId="0" fontId="76" fillId="34" borderId="331" applyNumberFormat="0" applyAlignment="0" applyProtection="0"/>
    <xf numFmtId="0" fontId="84" fillId="34" borderId="332" applyNumberFormat="0" applyAlignment="0" applyProtection="0"/>
    <xf numFmtId="0" fontId="12" fillId="37" borderId="330" applyNumberFormat="0" applyFont="0" applyAlignment="0" applyProtection="0"/>
    <xf numFmtId="0" fontId="81" fillId="21" borderId="331" applyNumberFormat="0" applyAlignment="0" applyProtection="0"/>
    <xf numFmtId="0" fontId="76" fillId="34" borderId="331" applyNumberFormat="0" applyAlignment="0" applyProtection="0"/>
    <xf numFmtId="0" fontId="76" fillId="34" borderId="331" applyNumberFormat="0" applyAlignment="0" applyProtection="0"/>
    <xf numFmtId="0" fontId="76" fillId="34" borderId="331" applyNumberFormat="0" applyAlignment="0" applyProtection="0"/>
    <xf numFmtId="0" fontId="81" fillId="21" borderId="331" applyNumberFormat="0" applyAlignment="0" applyProtection="0"/>
    <xf numFmtId="0" fontId="81" fillId="21"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12" fillId="37" borderId="330" applyNumberFormat="0" applyFont="0" applyAlignment="0" applyProtection="0"/>
    <xf numFmtId="0" fontId="76" fillId="34" borderId="331" applyNumberForma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84" fillId="34" borderId="332" applyNumberFormat="0" applyAlignment="0" applyProtection="0"/>
    <xf numFmtId="0" fontId="12" fillId="37" borderId="330" applyNumberFormat="0" applyFont="0" applyAlignment="0" applyProtection="0"/>
    <xf numFmtId="0" fontId="81" fillId="21" borderId="331" applyNumberForma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4" fillId="34" borderId="332" applyNumberFormat="0" applyAlignment="0" applyProtection="0"/>
    <xf numFmtId="0" fontId="76" fillId="34" borderId="345" applyNumberFormat="0" applyAlignment="0" applyProtection="0"/>
    <xf numFmtId="0" fontId="12" fillId="37" borderId="330" applyNumberFormat="0" applyFont="0" applyAlignment="0" applyProtection="0"/>
    <xf numFmtId="0" fontId="84" fillId="34" borderId="332" applyNumberFormat="0" applyAlignment="0" applyProtection="0"/>
    <xf numFmtId="0" fontId="12" fillId="37" borderId="330" applyNumberFormat="0" applyFont="0" applyAlignment="0" applyProtection="0"/>
    <xf numFmtId="0" fontId="76" fillId="34" borderId="331"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5" fillId="0" borderId="333" applyNumberFormat="0" applyFill="0" applyAlignment="0" applyProtection="0"/>
    <xf numFmtId="0" fontId="84" fillId="34" borderId="332" applyNumberFormat="0" applyAlignment="0" applyProtection="0"/>
    <xf numFmtId="0" fontId="84" fillId="34" borderId="332" applyNumberFormat="0" applyAlignment="0" applyProtection="0"/>
    <xf numFmtId="0" fontId="12" fillId="37" borderId="330" applyNumberFormat="0" applyFont="0" applyAlignment="0" applyProtection="0"/>
    <xf numFmtId="0" fontId="12" fillId="37" borderId="330" applyNumberFormat="0" applyFont="0" applyAlignment="0" applyProtection="0"/>
    <xf numFmtId="0" fontId="81" fillId="21" borderId="331" applyNumberFormat="0" applyAlignment="0" applyProtection="0"/>
    <xf numFmtId="0" fontId="81" fillId="21" borderId="331" applyNumberFormat="0" applyAlignment="0" applyProtection="0"/>
    <xf numFmtId="0" fontId="76" fillId="34" borderId="331" applyNumberFormat="0" applyAlignment="0" applyProtection="0"/>
    <xf numFmtId="0" fontId="76" fillId="34" borderId="331" applyNumberFormat="0" applyAlignment="0" applyProtection="0"/>
    <xf numFmtId="0" fontId="84" fillId="34" borderId="332" applyNumberFormat="0" applyAlignment="0" applyProtection="0"/>
    <xf numFmtId="0" fontId="5" fillId="0" borderId="333" applyNumberFormat="0" applyFill="0" applyAlignment="0" applyProtection="0"/>
    <xf numFmtId="0" fontId="5" fillId="0" borderId="333" applyNumberFormat="0" applyFill="0" applyAlignment="0" applyProtection="0"/>
    <xf numFmtId="0" fontId="12" fillId="37" borderId="330" applyNumberFormat="0" applyFont="0" applyAlignment="0" applyProtection="0"/>
    <xf numFmtId="0" fontId="5" fillId="0" borderId="333" applyNumberFormat="0" applyFill="0" applyAlignment="0" applyProtection="0"/>
    <xf numFmtId="0" fontId="12" fillId="37" borderId="330" applyNumberFormat="0" applyFont="0" applyAlignment="0" applyProtection="0"/>
    <xf numFmtId="0" fontId="81" fillId="21" borderId="331" applyNumberFormat="0" applyAlignment="0" applyProtection="0"/>
    <xf numFmtId="0" fontId="12" fillId="37" borderId="330" applyNumberFormat="0" applyFont="0" applyAlignment="0" applyProtection="0"/>
    <xf numFmtId="0" fontId="76" fillId="34" borderId="331" applyNumberFormat="0" applyAlignment="0" applyProtection="0"/>
    <xf numFmtId="0" fontId="81" fillId="21" borderId="331" applyNumberFormat="0" applyAlignment="0" applyProtection="0"/>
    <xf numFmtId="0" fontId="76" fillId="34" borderId="345" applyNumberFormat="0" applyAlignment="0" applyProtection="0"/>
    <xf numFmtId="0" fontId="81" fillId="21" borderId="331" applyNumberFormat="0" applyAlignment="0" applyProtection="0"/>
    <xf numFmtId="0" fontId="5" fillId="0" borderId="333" applyNumberFormat="0" applyFill="0" applyAlignment="0" applyProtection="0"/>
    <xf numFmtId="0" fontId="81" fillId="21" borderId="331" applyNumberFormat="0" applyAlignment="0" applyProtection="0"/>
    <xf numFmtId="0" fontId="84" fillId="34" borderId="332" applyNumberFormat="0" applyAlignment="0" applyProtection="0"/>
    <xf numFmtId="0" fontId="76" fillId="34" borderId="345" applyNumberFormat="0" applyAlignment="0" applyProtection="0"/>
    <xf numFmtId="0" fontId="76" fillId="34" borderId="331" applyNumberFormat="0" applyAlignment="0" applyProtection="0"/>
    <xf numFmtId="0" fontId="12" fillId="37" borderId="330" applyNumberFormat="0" applyFont="0" applyAlignment="0" applyProtection="0"/>
    <xf numFmtId="0" fontId="84" fillId="34" borderId="332" applyNumberFormat="0" applyAlignment="0" applyProtection="0"/>
    <xf numFmtId="0" fontId="76" fillId="34" borderId="331" applyNumberFormat="0" applyAlignment="0" applyProtection="0"/>
    <xf numFmtId="0" fontId="12" fillId="37" borderId="344" applyNumberFormat="0" applyFont="0" applyAlignment="0" applyProtection="0"/>
    <xf numFmtId="0" fontId="84" fillId="34" borderId="346" applyNumberFormat="0" applyAlignment="0" applyProtection="0"/>
    <xf numFmtId="0" fontId="84" fillId="34" borderId="346" applyNumberFormat="0" applyAlignment="0" applyProtection="0"/>
    <xf numFmtId="0" fontId="12" fillId="37" borderId="348" applyNumberFormat="0" applyFont="0" applyAlignment="0" applyProtection="0"/>
    <xf numFmtId="0" fontId="76" fillId="34" borderId="345" applyNumberFormat="0" applyAlignment="0" applyProtection="0"/>
    <xf numFmtId="0" fontId="5" fillId="0" borderId="347" applyNumberFormat="0" applyFill="0" applyAlignment="0" applyProtection="0"/>
    <xf numFmtId="0" fontId="84" fillId="34" borderId="346" applyNumberForma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84" fillId="34" borderId="336" applyNumberFormat="0" applyAlignment="0" applyProtection="0"/>
    <xf numFmtId="0" fontId="5" fillId="0" borderId="337" applyNumberFormat="0" applyFill="0" applyAlignment="0" applyProtection="0"/>
    <xf numFmtId="0" fontId="81" fillId="21" borderId="335" applyNumberFormat="0" applyAlignment="0" applyProtection="0"/>
    <xf numFmtId="0" fontId="12" fillId="37" borderId="334" applyNumberFormat="0" applyFont="0" applyAlignment="0" applyProtection="0"/>
    <xf numFmtId="0" fontId="81" fillId="21" borderId="335" applyNumberFormat="0" applyAlignment="0" applyProtection="0"/>
    <xf numFmtId="0" fontId="81" fillId="21" borderId="335" applyNumberFormat="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84" fillId="34" borderId="336"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84" fillId="34" borderId="336" applyNumberFormat="0" applyAlignment="0" applyProtection="0"/>
    <xf numFmtId="0" fontId="12" fillId="37" borderId="334" applyNumberFormat="0" applyFont="0" applyAlignment="0" applyProtection="0"/>
    <xf numFmtId="0" fontId="81" fillId="21" borderId="335" applyNumberFormat="0" applyAlignment="0" applyProtection="0"/>
    <xf numFmtId="0" fontId="76" fillId="34" borderId="335" applyNumberFormat="0" applyAlignment="0" applyProtection="0"/>
    <xf numFmtId="0" fontId="76" fillId="34" borderId="335" applyNumberFormat="0" applyAlignment="0" applyProtection="0"/>
    <xf numFmtId="0" fontId="76" fillId="34" borderId="335" applyNumberFormat="0" applyAlignment="0" applyProtection="0"/>
    <xf numFmtId="0" fontId="81" fillId="21" borderId="335" applyNumberFormat="0" applyAlignment="0" applyProtection="0"/>
    <xf numFmtId="0" fontId="81" fillId="21"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12" fillId="37" borderId="334" applyNumberFormat="0" applyFont="0" applyAlignment="0" applyProtection="0"/>
    <xf numFmtId="0" fontId="76" fillId="34" borderId="335" applyNumberForma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84" fillId="34" borderId="336" applyNumberFormat="0" applyAlignment="0" applyProtection="0"/>
    <xf numFmtId="0" fontId="12" fillId="37" borderId="334" applyNumberFormat="0" applyFont="0" applyAlignment="0" applyProtection="0"/>
    <xf numFmtId="0" fontId="81" fillId="21" borderId="335" applyNumberForma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4" fillId="34" borderId="336" applyNumberFormat="0" applyAlignment="0" applyProtection="0"/>
    <xf numFmtId="0" fontId="12" fillId="37" borderId="334" applyNumberFormat="0" applyFont="0" applyAlignment="0" applyProtection="0"/>
    <xf numFmtId="0" fontId="84" fillId="34" borderId="336" applyNumberFormat="0" applyAlignment="0" applyProtection="0"/>
    <xf numFmtId="0" fontId="12" fillId="37" borderId="334" applyNumberFormat="0" applyFont="0" applyAlignment="0" applyProtection="0"/>
    <xf numFmtId="0" fontId="76" fillId="34" borderId="335"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5" fillId="0" borderId="337" applyNumberFormat="0" applyFill="0" applyAlignment="0" applyProtection="0"/>
    <xf numFmtId="0" fontId="84" fillId="34" borderId="336" applyNumberFormat="0" applyAlignment="0" applyProtection="0"/>
    <xf numFmtId="0" fontId="84" fillId="34" borderId="336" applyNumberFormat="0" applyAlignment="0" applyProtection="0"/>
    <xf numFmtId="0" fontId="12" fillId="37" borderId="334" applyNumberFormat="0" applyFont="0" applyAlignment="0" applyProtection="0"/>
    <xf numFmtId="0" fontId="12" fillId="37" borderId="334" applyNumberFormat="0" applyFont="0" applyAlignment="0" applyProtection="0"/>
    <xf numFmtId="0" fontId="81" fillId="21" borderId="335" applyNumberFormat="0" applyAlignment="0" applyProtection="0"/>
    <xf numFmtId="0" fontId="81" fillId="21" borderId="335" applyNumberFormat="0" applyAlignment="0" applyProtection="0"/>
    <xf numFmtId="0" fontId="76" fillId="34" borderId="335" applyNumberFormat="0" applyAlignment="0" applyProtection="0"/>
    <xf numFmtId="0" fontId="76" fillId="34" borderId="335" applyNumberFormat="0" applyAlignment="0" applyProtection="0"/>
    <xf numFmtId="0" fontId="84" fillId="34" borderId="336" applyNumberFormat="0" applyAlignment="0" applyProtection="0"/>
    <xf numFmtId="0" fontId="5" fillId="0" borderId="337" applyNumberFormat="0" applyFill="0" applyAlignment="0" applyProtection="0"/>
    <xf numFmtId="0" fontId="5" fillId="0" borderId="337" applyNumberFormat="0" applyFill="0" applyAlignment="0" applyProtection="0"/>
    <xf numFmtId="0" fontId="12" fillId="37" borderId="334" applyNumberFormat="0" applyFont="0" applyAlignment="0" applyProtection="0"/>
    <xf numFmtId="0" fontId="5" fillId="0" borderId="337" applyNumberFormat="0" applyFill="0" applyAlignment="0" applyProtection="0"/>
    <xf numFmtId="0" fontId="12" fillId="37" borderId="334" applyNumberFormat="0" applyFont="0" applyAlignment="0" applyProtection="0"/>
    <xf numFmtId="0" fontId="81" fillId="21" borderId="335" applyNumberFormat="0" applyAlignment="0" applyProtection="0"/>
    <xf numFmtId="0" fontId="12" fillId="37" borderId="334" applyNumberFormat="0" applyFont="0" applyAlignment="0" applyProtection="0"/>
    <xf numFmtId="0" fontId="76" fillId="34" borderId="335" applyNumberFormat="0" applyAlignment="0" applyProtection="0"/>
    <xf numFmtId="0" fontId="81" fillId="21" borderId="335" applyNumberFormat="0" applyAlignment="0" applyProtection="0"/>
    <xf numFmtId="0" fontId="84" fillId="34" borderId="362" applyNumberFormat="0" applyAlignment="0" applyProtection="0"/>
    <xf numFmtId="0" fontId="81" fillId="21" borderId="335" applyNumberFormat="0" applyAlignment="0" applyProtection="0"/>
    <xf numFmtId="0" fontId="5" fillId="0" borderId="337" applyNumberFormat="0" applyFill="0" applyAlignment="0" applyProtection="0"/>
    <xf numFmtId="0" fontId="81" fillId="21" borderId="335" applyNumberFormat="0" applyAlignment="0" applyProtection="0"/>
    <xf numFmtId="0" fontId="84" fillId="34" borderId="336" applyNumberFormat="0" applyAlignment="0" applyProtection="0"/>
    <xf numFmtId="0" fontId="76" fillId="34" borderId="335" applyNumberFormat="0" applyAlignment="0" applyProtection="0"/>
    <xf numFmtId="0" fontId="12" fillId="37" borderId="334" applyNumberFormat="0" applyFont="0" applyAlignment="0" applyProtection="0"/>
    <xf numFmtId="0" fontId="84" fillId="34" borderId="336" applyNumberFormat="0" applyAlignment="0" applyProtection="0"/>
    <xf numFmtId="0" fontId="76" fillId="34" borderId="335" applyNumberFormat="0" applyAlignment="0" applyProtection="0"/>
    <xf numFmtId="0" fontId="12" fillId="37" borderId="376" applyNumberFormat="0" applyFont="0" applyAlignment="0" applyProtection="0"/>
    <xf numFmtId="0" fontId="76" fillId="34" borderId="345" applyNumberFormat="0" applyAlignment="0" applyProtection="0"/>
    <xf numFmtId="0" fontId="84" fillId="34" borderId="378" applyNumberForma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76" fillId="34"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84" fillId="34" borderId="341" applyNumberFormat="0" applyAlignment="0" applyProtection="0"/>
    <xf numFmtId="0" fontId="5" fillId="0" borderId="342" applyNumberFormat="0" applyFill="0" applyAlignment="0" applyProtection="0"/>
    <xf numFmtId="0" fontId="81" fillId="21" borderId="340" applyNumberFormat="0" applyAlignment="0" applyProtection="0"/>
    <xf numFmtId="0" fontId="12" fillId="37" borderId="339" applyNumberFormat="0" applyFont="0" applyAlignment="0" applyProtection="0"/>
    <xf numFmtId="0" fontId="81" fillId="21" borderId="340" applyNumberFormat="0" applyAlignment="0" applyProtection="0"/>
    <xf numFmtId="0" fontId="81" fillId="21" borderId="340" applyNumberFormat="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84" fillId="34" borderId="341"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44" applyNumberFormat="0" applyFont="0" applyAlignment="0" applyProtection="0"/>
    <xf numFmtId="0" fontId="76" fillId="34" borderId="340" applyNumberFormat="0" applyAlignment="0" applyProtection="0"/>
    <xf numFmtId="0" fontId="84" fillId="34" borderId="341" applyNumberFormat="0" applyAlignment="0" applyProtection="0"/>
    <xf numFmtId="0" fontId="12" fillId="37" borderId="339" applyNumberFormat="0" applyFont="0" applyAlignment="0" applyProtection="0"/>
    <xf numFmtId="0" fontId="81" fillId="21" borderId="340" applyNumberFormat="0" applyAlignment="0" applyProtection="0"/>
    <xf numFmtId="0" fontId="76" fillId="34" borderId="340" applyNumberFormat="0" applyAlignment="0" applyProtection="0"/>
    <xf numFmtId="0" fontId="76" fillId="34" borderId="340" applyNumberFormat="0" applyAlignment="0" applyProtection="0"/>
    <xf numFmtId="0" fontId="76" fillId="34" borderId="340" applyNumberFormat="0" applyAlignment="0" applyProtection="0"/>
    <xf numFmtId="0" fontId="81" fillId="21" borderId="340" applyNumberFormat="0" applyAlignment="0" applyProtection="0"/>
    <xf numFmtId="0" fontId="81" fillId="21"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12" fillId="37" borderId="339" applyNumberFormat="0" applyFont="0" applyAlignment="0" applyProtection="0"/>
    <xf numFmtId="0" fontId="76" fillId="34" borderId="340" applyNumberForma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84" fillId="34" borderId="341" applyNumberFormat="0" applyAlignment="0" applyProtection="0"/>
    <xf numFmtId="0" fontId="12" fillId="37" borderId="339" applyNumberFormat="0" applyFont="0" applyAlignment="0" applyProtection="0"/>
    <xf numFmtId="0" fontId="81" fillId="21" borderId="340" applyNumberForma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12" fillId="37" borderId="344" applyNumberFormat="0" applyFont="0" applyAlignment="0" applyProtection="0"/>
    <xf numFmtId="0" fontId="12" fillId="37" borderId="339" applyNumberFormat="0" applyFont="0" applyAlignment="0" applyProtection="0"/>
    <xf numFmtId="0" fontId="84" fillId="34" borderId="341" applyNumberFormat="0" applyAlignment="0" applyProtection="0"/>
    <xf numFmtId="0" fontId="12" fillId="37" borderId="339" applyNumberFormat="0" applyFont="0" applyAlignment="0" applyProtection="0"/>
    <xf numFmtId="0" fontId="76" fillId="34" borderId="340"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5" fillId="0" borderId="342" applyNumberFormat="0" applyFill="0" applyAlignment="0" applyProtection="0"/>
    <xf numFmtId="0" fontId="84" fillId="34" borderId="341" applyNumberFormat="0" applyAlignment="0" applyProtection="0"/>
    <xf numFmtId="0" fontId="84" fillId="34" borderId="341" applyNumberFormat="0" applyAlignment="0" applyProtection="0"/>
    <xf numFmtId="0" fontId="12" fillId="37" borderId="339" applyNumberFormat="0" applyFont="0" applyAlignment="0" applyProtection="0"/>
    <xf numFmtId="0" fontId="12" fillId="37" borderId="339" applyNumberFormat="0" applyFont="0" applyAlignment="0" applyProtection="0"/>
    <xf numFmtId="0" fontId="81" fillId="21" borderId="340" applyNumberFormat="0" applyAlignment="0" applyProtection="0"/>
    <xf numFmtId="0" fontId="81" fillId="21" borderId="340" applyNumberFormat="0" applyAlignment="0" applyProtection="0"/>
    <xf numFmtId="0" fontId="76" fillId="34" borderId="340" applyNumberFormat="0" applyAlignment="0" applyProtection="0"/>
    <xf numFmtId="0" fontId="76" fillId="34" borderId="340" applyNumberFormat="0" applyAlignment="0" applyProtection="0"/>
    <xf numFmtId="0" fontId="84" fillId="34" borderId="341" applyNumberFormat="0" applyAlignment="0" applyProtection="0"/>
    <xf numFmtId="0" fontId="5" fillId="0" borderId="342" applyNumberFormat="0" applyFill="0" applyAlignment="0" applyProtection="0"/>
    <xf numFmtId="0" fontId="5" fillId="0" borderId="342" applyNumberFormat="0" applyFill="0" applyAlignment="0" applyProtection="0"/>
    <xf numFmtId="0" fontId="12" fillId="37" borderId="339" applyNumberFormat="0" applyFont="0" applyAlignment="0" applyProtection="0"/>
    <xf numFmtId="0" fontId="5" fillId="0" borderId="342" applyNumberFormat="0" applyFill="0" applyAlignment="0" applyProtection="0"/>
    <xf numFmtId="0" fontId="12" fillId="37" borderId="339" applyNumberFormat="0" applyFont="0" applyAlignment="0" applyProtection="0"/>
    <xf numFmtId="0" fontId="81" fillId="21" borderId="340" applyNumberFormat="0" applyAlignment="0" applyProtection="0"/>
    <xf numFmtId="0" fontId="12" fillId="37" borderId="339" applyNumberFormat="0" applyFont="0" applyAlignment="0" applyProtection="0"/>
    <xf numFmtId="0" fontId="76" fillId="34" borderId="340" applyNumberFormat="0" applyAlignment="0" applyProtection="0"/>
    <xf numFmtId="0" fontId="81" fillId="21" borderId="340" applyNumberFormat="0" applyAlignment="0" applyProtection="0"/>
    <xf numFmtId="0" fontId="81" fillId="21" borderId="345" applyNumberFormat="0" applyAlignment="0" applyProtection="0"/>
    <xf numFmtId="0" fontId="81" fillId="21" borderId="340" applyNumberFormat="0" applyAlignment="0" applyProtection="0"/>
    <xf numFmtId="0" fontId="5" fillId="0" borderId="342" applyNumberFormat="0" applyFill="0" applyAlignment="0" applyProtection="0"/>
    <xf numFmtId="0" fontId="81" fillId="21" borderId="340" applyNumberFormat="0" applyAlignment="0" applyProtection="0"/>
    <xf numFmtId="0" fontId="84" fillId="34" borderId="341" applyNumberFormat="0" applyAlignment="0" applyProtection="0"/>
    <xf numFmtId="0" fontId="5" fillId="0" borderId="347" applyNumberFormat="0" applyFill="0" applyAlignment="0" applyProtection="0"/>
    <xf numFmtId="0" fontId="76" fillId="34" borderId="340" applyNumberFormat="0" applyAlignment="0" applyProtection="0"/>
    <xf numFmtId="0" fontId="84" fillId="34" borderId="346" applyNumberFormat="0" applyAlignment="0" applyProtection="0"/>
    <xf numFmtId="0" fontId="12" fillId="37" borderId="339" applyNumberFormat="0" applyFont="0" applyAlignment="0" applyProtection="0"/>
    <xf numFmtId="0" fontId="84" fillId="34" borderId="341" applyNumberFormat="0" applyAlignment="0" applyProtection="0"/>
    <xf numFmtId="0" fontId="76" fillId="34" borderId="340" applyNumberFormat="0" applyAlignment="0" applyProtection="0"/>
    <xf numFmtId="0" fontId="12" fillId="37" borderId="344" applyNumberFormat="0" applyFont="0" applyAlignment="0" applyProtection="0"/>
    <xf numFmtId="0" fontId="12" fillId="37" borderId="344" applyNumberFormat="0" applyFont="0" applyAlignment="0" applyProtection="0"/>
    <xf numFmtId="0" fontId="84" fillId="34" borderId="346" applyNumberFormat="0" applyAlignment="0" applyProtection="0"/>
    <xf numFmtId="0" fontId="12" fillId="37" borderId="344" applyNumberFormat="0" applyFont="0" applyAlignment="0" applyProtection="0"/>
    <xf numFmtId="0" fontId="76" fillId="34" borderId="345" applyNumberFormat="0" applyAlignment="0" applyProtection="0"/>
    <xf numFmtId="0" fontId="81" fillId="21" borderId="365" applyNumberFormat="0" applyAlignment="0" applyProtection="0"/>
    <xf numFmtId="0" fontId="84" fillId="34" borderId="354" applyNumberFormat="0" applyAlignment="0" applyProtection="0"/>
    <xf numFmtId="0" fontId="81" fillId="21" borderId="345" applyNumberFormat="0" applyAlignment="0" applyProtection="0"/>
    <xf numFmtId="0" fontId="5" fillId="0" borderId="347" applyNumberFormat="0" applyFill="0" applyAlignment="0" applyProtection="0"/>
    <xf numFmtId="0" fontId="81" fillId="21" borderId="349" applyNumberFormat="0" applyAlignment="0" applyProtection="0"/>
    <xf numFmtId="0" fontId="12" fillId="37" borderId="352" applyNumberFormat="0" applyFont="0" applyAlignment="0" applyProtection="0"/>
    <xf numFmtId="0" fontId="81" fillId="21" borderId="365" applyNumberFormat="0" applyAlignment="0" applyProtection="0"/>
    <xf numFmtId="0" fontId="12" fillId="37" borderId="352" applyNumberFormat="0" applyFont="0" applyAlignment="0" applyProtection="0"/>
    <xf numFmtId="0" fontId="76" fillId="34" borderId="365" applyNumberFormat="0" applyAlignment="0" applyProtection="0"/>
    <xf numFmtId="0" fontId="12" fillId="37" borderId="344" applyNumberFormat="0" applyFont="0" applyAlignment="0" applyProtection="0"/>
    <xf numFmtId="0" fontId="81" fillId="21" borderId="369" applyNumberFormat="0" applyAlignment="0" applyProtection="0"/>
    <xf numFmtId="0" fontId="5" fillId="0" borderId="363" applyNumberFormat="0" applyFill="0" applyAlignment="0" applyProtection="0"/>
    <xf numFmtId="0" fontId="84" fillId="34" borderId="346" applyNumberFormat="0" applyAlignment="0" applyProtection="0"/>
    <xf numFmtId="0" fontId="81" fillId="21" borderId="345" applyNumberFormat="0" applyAlignment="0" applyProtection="0"/>
    <xf numFmtId="0" fontId="81" fillId="21" borderId="345" applyNumberFormat="0" applyAlignment="0" applyProtection="0"/>
    <xf numFmtId="0" fontId="84" fillId="34" borderId="350" applyNumberFormat="0" applyAlignment="0" applyProtection="0"/>
    <xf numFmtId="0" fontId="76" fillId="34" borderId="345" applyNumberFormat="0" applyAlignment="0" applyProtection="0"/>
    <xf numFmtId="0" fontId="84" fillId="34" borderId="346" applyNumberFormat="0" applyAlignment="0" applyProtection="0"/>
    <xf numFmtId="0" fontId="84" fillId="34" borderId="358" applyNumberFormat="0" applyAlignment="0" applyProtection="0"/>
    <xf numFmtId="0" fontId="12" fillId="37" borderId="344" applyNumberFormat="0" applyFont="0" applyAlignment="0" applyProtection="0"/>
    <xf numFmtId="0" fontId="12" fillId="37" borderId="364" applyNumberFormat="0" applyFont="0" applyAlignment="0" applyProtection="0"/>
    <xf numFmtId="0" fontId="12" fillId="37" borderId="352" applyNumberFormat="0" applyFont="0" applyAlignment="0" applyProtection="0"/>
    <xf numFmtId="0" fontId="81" fillId="21" borderId="345" applyNumberFormat="0" applyAlignment="0" applyProtection="0"/>
    <xf numFmtId="0" fontId="84" fillId="34" borderId="346" applyNumberFormat="0" applyAlignment="0" applyProtection="0"/>
    <xf numFmtId="0" fontId="12" fillId="37" borderId="344" applyNumberFormat="0" applyFont="0" applyAlignment="0" applyProtection="0"/>
    <xf numFmtId="0" fontId="76" fillId="34" borderId="357" applyNumberFormat="0" applyAlignment="0" applyProtection="0"/>
    <xf numFmtId="0" fontId="5" fillId="0" borderId="347" applyNumberFormat="0" applyFill="0" applyAlignment="0" applyProtection="0"/>
    <xf numFmtId="0" fontId="12" fillId="37" borderId="368" applyNumberFormat="0" applyFont="0" applyAlignment="0" applyProtection="0"/>
    <xf numFmtId="0" fontId="76" fillId="34" borderId="345" applyNumberFormat="0" applyAlignment="0" applyProtection="0"/>
    <xf numFmtId="0" fontId="12" fillId="37" borderId="356" applyNumberFormat="0" applyFont="0" applyAlignment="0" applyProtection="0"/>
    <xf numFmtId="0" fontId="76" fillId="34" borderId="345" applyNumberForma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4" fillId="34" borderId="350" applyNumberFormat="0" applyAlignment="0" applyProtection="0"/>
    <xf numFmtId="0" fontId="5" fillId="0" borderId="351" applyNumberFormat="0" applyFill="0" applyAlignment="0" applyProtection="0"/>
    <xf numFmtId="0" fontId="81" fillId="21" borderId="349" applyNumberFormat="0" applyAlignment="0" applyProtection="0"/>
    <xf numFmtId="0" fontId="12" fillId="37" borderId="348" applyNumberFormat="0" applyFont="0" applyAlignment="0" applyProtection="0"/>
    <xf numFmtId="0" fontId="81" fillId="21" borderId="349" applyNumberFormat="0" applyAlignment="0" applyProtection="0"/>
    <xf numFmtId="0" fontId="81" fillId="21" borderId="349" applyNumberFormat="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84"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84" fillId="34" borderId="350" applyNumberFormat="0" applyAlignment="0" applyProtection="0"/>
    <xf numFmtId="0" fontId="12" fillId="37" borderId="348" applyNumberFormat="0" applyFont="0" applyAlignment="0" applyProtection="0"/>
    <xf numFmtId="0" fontId="81" fillId="21" borderId="349" applyNumberFormat="0" applyAlignment="0" applyProtection="0"/>
    <xf numFmtId="0" fontId="76" fillId="34" borderId="349" applyNumberFormat="0" applyAlignment="0" applyProtection="0"/>
    <xf numFmtId="0" fontId="76" fillId="34" borderId="349" applyNumberFormat="0" applyAlignment="0" applyProtection="0"/>
    <xf numFmtId="0" fontId="76" fillId="34" borderId="349" applyNumberFormat="0" applyAlignment="0" applyProtection="0"/>
    <xf numFmtId="0" fontId="81" fillId="21" borderId="349" applyNumberFormat="0" applyAlignment="0" applyProtection="0"/>
    <xf numFmtId="0" fontId="81" fillId="21"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12" fillId="37" borderId="348" applyNumberFormat="0" applyFont="0" applyAlignment="0" applyProtection="0"/>
    <xf numFmtId="0" fontId="76" fillId="34" borderId="349" applyNumberForma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50" applyNumberFormat="0" applyAlignment="0" applyProtection="0"/>
    <xf numFmtId="0" fontId="12" fillId="37" borderId="348" applyNumberFormat="0" applyFont="0" applyAlignment="0" applyProtection="0"/>
    <xf numFmtId="0" fontId="81" fillId="21" borderId="349" applyNumberForma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4" fillId="34" borderId="350" applyNumberFormat="0" applyAlignment="0" applyProtection="0"/>
    <xf numFmtId="0" fontId="84" fillId="34" borderId="370" applyNumberFormat="0" applyAlignment="0" applyProtection="0"/>
    <xf numFmtId="0" fontId="76" fillId="34" borderId="369" applyNumberFormat="0" applyAlignment="0" applyProtection="0"/>
    <xf numFmtId="0" fontId="12" fillId="37" borderId="348" applyNumberFormat="0" applyFont="0" applyAlignment="0" applyProtection="0"/>
    <xf numFmtId="0" fontId="84" fillId="34" borderId="350" applyNumberFormat="0" applyAlignment="0" applyProtection="0"/>
    <xf numFmtId="0" fontId="12" fillId="37" borderId="348" applyNumberFormat="0" applyFont="0" applyAlignment="0" applyProtection="0"/>
    <xf numFmtId="0" fontId="76" fillId="34" borderId="349"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5" fillId="0" borderId="351" applyNumberFormat="0" applyFill="0" applyAlignment="0" applyProtection="0"/>
    <xf numFmtId="0" fontId="84" fillId="34" borderId="350" applyNumberFormat="0" applyAlignment="0" applyProtection="0"/>
    <xf numFmtId="0" fontId="84" fillId="34" borderId="350" applyNumberFormat="0" applyAlignment="0" applyProtection="0"/>
    <xf numFmtId="0" fontId="12" fillId="37" borderId="348" applyNumberFormat="0" applyFont="0" applyAlignment="0" applyProtection="0"/>
    <xf numFmtId="0" fontId="12" fillId="37" borderId="348" applyNumberFormat="0" applyFont="0" applyAlignment="0" applyProtection="0"/>
    <xf numFmtId="0" fontId="81" fillId="21" borderId="349" applyNumberFormat="0" applyAlignment="0" applyProtection="0"/>
    <xf numFmtId="0" fontId="81" fillId="21" borderId="349" applyNumberFormat="0" applyAlignment="0" applyProtection="0"/>
    <xf numFmtId="0" fontId="76" fillId="34" borderId="349" applyNumberFormat="0" applyAlignment="0" applyProtection="0"/>
    <xf numFmtId="0" fontId="76" fillId="34" borderId="349" applyNumberFormat="0" applyAlignment="0" applyProtection="0"/>
    <xf numFmtId="0" fontId="84" fillId="34" borderId="350" applyNumberFormat="0" applyAlignment="0" applyProtection="0"/>
    <xf numFmtId="0" fontId="5" fillId="0" borderId="351" applyNumberFormat="0" applyFill="0" applyAlignment="0" applyProtection="0"/>
    <xf numFmtId="0" fontId="5" fillId="0" borderId="351" applyNumberFormat="0" applyFill="0" applyAlignment="0" applyProtection="0"/>
    <xf numFmtId="0" fontId="12" fillId="37" borderId="348" applyNumberFormat="0" applyFont="0" applyAlignment="0" applyProtection="0"/>
    <xf numFmtId="0" fontId="5" fillId="0" borderId="351" applyNumberFormat="0" applyFill="0" applyAlignment="0" applyProtection="0"/>
    <xf numFmtId="0" fontId="12" fillId="37" borderId="348" applyNumberFormat="0" applyFont="0" applyAlignment="0" applyProtection="0"/>
    <xf numFmtId="0" fontId="81" fillId="21" borderId="349" applyNumberFormat="0" applyAlignment="0" applyProtection="0"/>
    <xf numFmtId="0" fontId="12" fillId="37" borderId="348" applyNumberFormat="0" applyFont="0" applyAlignment="0" applyProtection="0"/>
    <xf numFmtId="0" fontId="76" fillId="34" borderId="349" applyNumberFormat="0" applyAlignment="0" applyProtection="0"/>
    <xf numFmtId="0" fontId="81" fillId="21" borderId="349" applyNumberFormat="0" applyAlignment="0" applyProtection="0"/>
    <xf numFmtId="0" fontId="81" fillId="21" borderId="349" applyNumberFormat="0" applyAlignment="0" applyProtection="0"/>
    <xf numFmtId="0" fontId="12" fillId="37" borderId="356" applyNumberFormat="0" applyFont="0" applyAlignment="0" applyProtection="0"/>
    <xf numFmtId="0" fontId="5" fillId="0" borderId="351" applyNumberFormat="0" applyFill="0" applyAlignment="0" applyProtection="0"/>
    <xf numFmtId="0" fontId="81" fillId="21" borderId="349" applyNumberFormat="0" applyAlignment="0" applyProtection="0"/>
    <xf numFmtId="0" fontId="84" fillId="34" borderId="350" applyNumberFormat="0" applyAlignment="0" applyProtection="0"/>
    <xf numFmtId="0" fontId="76" fillId="34" borderId="349" applyNumberFormat="0" applyAlignment="0" applyProtection="0"/>
    <xf numFmtId="0" fontId="12" fillId="37" borderId="348" applyNumberFormat="0" applyFont="0" applyAlignment="0" applyProtection="0"/>
    <xf numFmtId="0" fontId="84" fillId="34" borderId="350" applyNumberFormat="0" applyAlignment="0" applyProtection="0"/>
    <xf numFmtId="0" fontId="76" fillId="34" borderId="349" applyNumberFormat="0" applyAlignment="0" applyProtection="0"/>
    <xf numFmtId="0" fontId="5" fillId="0" borderId="367" applyNumberFormat="0" applyFill="0" applyAlignment="0" applyProtection="0"/>
    <xf numFmtId="0" fontId="12" fillId="37" borderId="372" applyNumberFormat="0" applyFon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76" fillId="34"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4" fillId="34" borderId="358" applyNumberFormat="0" applyAlignment="0" applyProtection="0"/>
    <xf numFmtId="0" fontId="5" fillId="0" borderId="359" applyNumberFormat="0" applyFill="0" applyAlignment="0" applyProtection="0"/>
    <xf numFmtId="0" fontId="81" fillId="21" borderId="357" applyNumberFormat="0" applyAlignment="0" applyProtection="0"/>
    <xf numFmtId="0" fontId="12" fillId="37" borderId="356" applyNumberFormat="0" applyFont="0" applyAlignment="0" applyProtection="0"/>
    <xf numFmtId="0" fontId="81" fillId="21" borderId="357" applyNumberFormat="0" applyAlignment="0" applyProtection="0"/>
    <xf numFmtId="0" fontId="81" fillId="21" borderId="357" applyNumberFormat="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84"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64" applyNumberFormat="0" applyFont="0" applyAlignment="0" applyProtection="0"/>
    <xf numFmtId="0" fontId="76" fillId="34" borderId="357" applyNumberFormat="0" applyAlignment="0" applyProtection="0"/>
    <xf numFmtId="0" fontId="84" fillId="34" borderId="358" applyNumberFormat="0" applyAlignment="0" applyProtection="0"/>
    <xf numFmtId="0" fontId="12" fillId="37" borderId="356" applyNumberFormat="0" applyFont="0" applyAlignment="0" applyProtection="0"/>
    <xf numFmtId="0" fontId="81" fillId="21" borderId="357" applyNumberFormat="0" applyAlignment="0" applyProtection="0"/>
    <xf numFmtId="0" fontId="76" fillId="34" borderId="357" applyNumberFormat="0" applyAlignment="0" applyProtection="0"/>
    <xf numFmtId="0" fontId="76" fillId="34" borderId="357" applyNumberFormat="0" applyAlignment="0" applyProtection="0"/>
    <xf numFmtId="0" fontId="76" fillId="34" borderId="357" applyNumberFormat="0" applyAlignment="0" applyProtection="0"/>
    <xf numFmtId="0" fontId="81" fillId="21" borderId="357" applyNumberFormat="0" applyAlignment="0" applyProtection="0"/>
    <xf numFmtId="0" fontId="81" fillId="21"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12" fillId="37" borderId="356" applyNumberFormat="0" applyFont="0" applyAlignment="0" applyProtection="0"/>
    <xf numFmtId="0" fontId="76" fillId="34" borderId="357" applyNumberForma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84" fillId="34" borderId="358" applyNumberFormat="0" applyAlignment="0" applyProtection="0"/>
    <xf numFmtId="0" fontId="12" fillId="37" borderId="356" applyNumberFormat="0" applyFont="0" applyAlignment="0" applyProtection="0"/>
    <xf numFmtId="0" fontId="81" fillId="21" borderId="357" applyNumberForma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12" fillId="37" borderId="364" applyNumberFormat="0" applyFont="0" applyAlignment="0" applyProtection="0"/>
    <xf numFmtId="0" fontId="12" fillId="37" borderId="356" applyNumberFormat="0" applyFont="0" applyAlignment="0" applyProtection="0"/>
    <xf numFmtId="0" fontId="84" fillId="34" borderId="358" applyNumberFormat="0" applyAlignment="0" applyProtection="0"/>
    <xf numFmtId="0" fontId="12" fillId="37" borderId="356" applyNumberFormat="0" applyFont="0" applyAlignment="0" applyProtection="0"/>
    <xf numFmtId="0" fontId="76" fillId="34" borderId="357"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5" fillId="0" borderId="359" applyNumberFormat="0" applyFill="0" applyAlignment="0" applyProtection="0"/>
    <xf numFmtId="0" fontId="84" fillId="34" borderId="358" applyNumberFormat="0" applyAlignment="0" applyProtection="0"/>
    <xf numFmtId="0" fontId="84" fillId="34" borderId="358" applyNumberFormat="0" applyAlignment="0" applyProtection="0"/>
    <xf numFmtId="0" fontId="12" fillId="37" borderId="356" applyNumberFormat="0" applyFont="0" applyAlignment="0" applyProtection="0"/>
    <xf numFmtId="0" fontId="12" fillId="37" borderId="356" applyNumberFormat="0" applyFont="0" applyAlignment="0" applyProtection="0"/>
    <xf numFmtId="0" fontId="81" fillId="21" borderId="357" applyNumberFormat="0" applyAlignment="0" applyProtection="0"/>
    <xf numFmtId="0" fontId="81" fillId="21" borderId="357" applyNumberFormat="0" applyAlignment="0" applyProtection="0"/>
    <xf numFmtId="0" fontId="76" fillId="34" borderId="357" applyNumberFormat="0" applyAlignment="0" applyProtection="0"/>
    <xf numFmtId="0" fontId="76" fillId="34" borderId="357" applyNumberFormat="0" applyAlignment="0" applyProtection="0"/>
    <xf numFmtId="0" fontId="84" fillId="34" borderId="358" applyNumberFormat="0" applyAlignment="0" applyProtection="0"/>
    <xf numFmtId="0" fontId="5" fillId="0" borderId="359" applyNumberFormat="0" applyFill="0" applyAlignment="0" applyProtection="0"/>
    <xf numFmtId="0" fontId="5" fillId="0" borderId="359" applyNumberFormat="0" applyFill="0" applyAlignment="0" applyProtection="0"/>
    <xf numFmtId="0" fontId="12" fillId="37" borderId="356" applyNumberFormat="0" applyFont="0" applyAlignment="0" applyProtection="0"/>
    <xf numFmtId="0" fontId="5" fillId="0" borderId="359" applyNumberFormat="0" applyFill="0" applyAlignment="0" applyProtection="0"/>
    <xf numFmtId="0" fontId="12" fillId="37" borderId="356" applyNumberFormat="0" applyFont="0" applyAlignment="0" applyProtection="0"/>
    <xf numFmtId="0" fontId="81" fillId="21" borderId="357" applyNumberFormat="0" applyAlignment="0" applyProtection="0"/>
    <xf numFmtId="0" fontId="12" fillId="37" borderId="356" applyNumberFormat="0" applyFont="0" applyAlignment="0" applyProtection="0"/>
    <xf numFmtId="0" fontId="76" fillId="34" borderId="357" applyNumberFormat="0" applyAlignment="0" applyProtection="0"/>
    <xf numFmtId="0" fontId="81" fillId="21" borderId="357" applyNumberFormat="0" applyAlignment="0" applyProtection="0"/>
    <xf numFmtId="0" fontId="12" fillId="37" borderId="376" applyNumberFormat="0" applyFont="0" applyAlignment="0" applyProtection="0"/>
    <xf numFmtId="0" fontId="81" fillId="21" borderId="357" applyNumberFormat="0" applyAlignment="0" applyProtection="0"/>
    <xf numFmtId="0" fontId="5" fillId="0" borderId="367" applyNumberFormat="0" applyFill="0" applyAlignment="0" applyProtection="0"/>
    <xf numFmtId="0" fontId="5" fillId="0" borderId="359" applyNumberFormat="0" applyFill="0" applyAlignment="0" applyProtection="0"/>
    <xf numFmtId="0" fontId="81" fillId="21" borderId="357" applyNumberFormat="0" applyAlignment="0" applyProtection="0"/>
    <xf numFmtId="0" fontId="84" fillId="34" borderId="358" applyNumberFormat="0" applyAlignment="0" applyProtection="0"/>
    <xf numFmtId="0" fontId="76" fillId="34" borderId="357" applyNumberFormat="0" applyAlignment="0" applyProtection="0"/>
    <xf numFmtId="0" fontId="84" fillId="34" borderId="366" applyNumberFormat="0" applyAlignment="0" applyProtection="0"/>
    <xf numFmtId="0" fontId="12" fillId="37" borderId="356" applyNumberFormat="0" applyFont="0" applyAlignment="0" applyProtection="0"/>
    <xf numFmtId="0" fontId="84" fillId="34" borderId="358" applyNumberFormat="0" applyAlignment="0" applyProtection="0"/>
    <xf numFmtId="0" fontId="76" fillId="34" borderId="357" applyNumberFormat="0" applyAlignment="0" applyProtection="0"/>
    <xf numFmtId="0" fontId="84" fillId="34" borderId="366" applyNumberFormat="0" applyAlignment="0" applyProtection="0"/>
    <xf numFmtId="0" fontId="81" fillId="21" borderId="365" applyNumberFormat="0" applyAlignment="0" applyProtection="0"/>
    <xf numFmtId="0" fontId="5" fillId="0" borderId="375" applyNumberFormat="0" applyFill="0" applyAlignment="0" applyProtection="0"/>
    <xf numFmtId="0" fontId="12" fillId="37" borderId="376" applyNumberFormat="0" applyFon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76" fillId="34"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84" fillId="34" borderId="366" applyNumberFormat="0" applyAlignment="0" applyProtection="0"/>
    <xf numFmtId="0" fontId="5" fillId="0" borderId="367" applyNumberFormat="0" applyFill="0" applyAlignment="0" applyProtection="0"/>
    <xf numFmtId="0" fontId="81" fillId="21" borderId="365" applyNumberFormat="0" applyAlignment="0" applyProtection="0"/>
    <xf numFmtId="0" fontId="12" fillId="37" borderId="364" applyNumberFormat="0" applyFont="0" applyAlignment="0" applyProtection="0"/>
    <xf numFmtId="0" fontId="81" fillId="21" borderId="365" applyNumberFormat="0" applyAlignment="0" applyProtection="0"/>
    <xf numFmtId="0" fontId="81" fillId="21" borderId="365" applyNumberFormat="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84" fillId="34" borderId="366"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72" applyNumberFormat="0" applyFont="0" applyAlignment="0" applyProtection="0"/>
    <xf numFmtId="0" fontId="76" fillId="34" borderId="365" applyNumberFormat="0" applyAlignment="0" applyProtection="0"/>
    <xf numFmtId="0" fontId="84" fillId="34" borderId="366" applyNumberFormat="0" applyAlignment="0" applyProtection="0"/>
    <xf numFmtId="0" fontId="12" fillId="37" borderId="364" applyNumberFormat="0" applyFont="0" applyAlignment="0" applyProtection="0"/>
    <xf numFmtId="0" fontId="81" fillId="21" borderId="365" applyNumberFormat="0" applyAlignment="0" applyProtection="0"/>
    <xf numFmtId="0" fontId="76" fillId="34" borderId="365" applyNumberFormat="0" applyAlignment="0" applyProtection="0"/>
    <xf numFmtId="0" fontId="76" fillId="34" borderId="365" applyNumberFormat="0" applyAlignment="0" applyProtection="0"/>
    <xf numFmtId="0" fontId="76" fillId="34" borderId="365" applyNumberFormat="0" applyAlignment="0" applyProtection="0"/>
    <xf numFmtId="0" fontId="81" fillId="21" borderId="365" applyNumberFormat="0" applyAlignment="0" applyProtection="0"/>
    <xf numFmtId="0" fontId="81" fillId="21"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12" fillId="37" borderId="364" applyNumberFormat="0" applyFont="0" applyAlignment="0" applyProtection="0"/>
    <xf numFmtId="0" fontId="76" fillId="34" borderId="365" applyNumberForma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84" fillId="34" borderId="366" applyNumberFormat="0" applyAlignment="0" applyProtection="0"/>
    <xf numFmtId="0" fontId="12" fillId="37" borderId="364" applyNumberFormat="0" applyFont="0" applyAlignment="0" applyProtection="0"/>
    <xf numFmtId="0" fontId="81" fillId="21" borderId="365" applyNumberForma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12" fillId="37" borderId="372" applyNumberFormat="0" applyFont="0" applyAlignment="0" applyProtection="0"/>
    <xf numFmtId="0" fontId="12" fillId="37" borderId="364" applyNumberFormat="0" applyFont="0" applyAlignment="0" applyProtection="0"/>
    <xf numFmtId="0" fontId="84" fillId="34" borderId="366" applyNumberFormat="0" applyAlignment="0" applyProtection="0"/>
    <xf numFmtId="0" fontId="12" fillId="37" borderId="364" applyNumberFormat="0" applyFont="0" applyAlignment="0" applyProtection="0"/>
    <xf numFmtId="0" fontId="76" fillId="34" borderId="365"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5" fillId="0" borderId="367" applyNumberFormat="0" applyFill="0" applyAlignment="0" applyProtection="0"/>
    <xf numFmtId="0" fontId="84" fillId="34" borderId="366" applyNumberFormat="0" applyAlignment="0" applyProtection="0"/>
    <xf numFmtId="0" fontId="84" fillId="34" borderId="366" applyNumberFormat="0" applyAlignment="0" applyProtection="0"/>
    <xf numFmtId="0" fontId="12" fillId="37" borderId="364" applyNumberFormat="0" applyFont="0" applyAlignment="0" applyProtection="0"/>
    <xf numFmtId="0" fontId="12" fillId="37" borderId="364" applyNumberFormat="0" applyFont="0" applyAlignment="0" applyProtection="0"/>
    <xf numFmtId="0" fontId="81" fillId="21" borderId="365" applyNumberFormat="0" applyAlignment="0" applyProtection="0"/>
    <xf numFmtId="0" fontId="81" fillId="21" borderId="365" applyNumberFormat="0" applyAlignment="0" applyProtection="0"/>
    <xf numFmtId="0" fontId="76" fillId="34" borderId="365" applyNumberFormat="0" applyAlignment="0" applyProtection="0"/>
    <xf numFmtId="0" fontId="76" fillId="34" borderId="365" applyNumberFormat="0" applyAlignment="0" applyProtection="0"/>
    <xf numFmtId="0" fontId="84" fillId="34" borderId="366" applyNumberFormat="0" applyAlignment="0" applyProtection="0"/>
    <xf numFmtId="0" fontId="5" fillId="0" borderId="367" applyNumberFormat="0" applyFill="0" applyAlignment="0" applyProtection="0"/>
    <xf numFmtId="0" fontId="5" fillId="0" borderId="367" applyNumberFormat="0" applyFill="0" applyAlignment="0" applyProtection="0"/>
    <xf numFmtId="0" fontId="12" fillId="37" borderId="364" applyNumberFormat="0" applyFont="0" applyAlignment="0" applyProtection="0"/>
    <xf numFmtId="0" fontId="5" fillId="0" borderId="367" applyNumberFormat="0" applyFill="0" applyAlignment="0" applyProtection="0"/>
    <xf numFmtId="0" fontId="12" fillId="37" borderId="364" applyNumberFormat="0" applyFont="0" applyAlignment="0" applyProtection="0"/>
    <xf numFmtId="0" fontId="81" fillId="21" borderId="365" applyNumberFormat="0" applyAlignment="0" applyProtection="0"/>
    <xf numFmtId="0" fontId="12" fillId="37" borderId="364" applyNumberFormat="0" applyFont="0" applyAlignment="0" applyProtection="0"/>
    <xf numFmtId="0" fontId="76" fillId="34" borderId="365" applyNumberFormat="0" applyAlignment="0" applyProtection="0"/>
    <xf numFmtId="0" fontId="81" fillId="21" borderId="365" applyNumberFormat="0" applyAlignment="0" applyProtection="0"/>
    <xf numFmtId="0" fontId="81" fillId="21" borderId="365" applyNumberFormat="0" applyAlignment="0" applyProtection="0"/>
    <xf numFmtId="0" fontId="5" fillId="0" borderId="375" applyNumberFormat="0" applyFill="0" applyAlignment="0" applyProtection="0"/>
    <xf numFmtId="0" fontId="5" fillId="0" borderId="367" applyNumberFormat="0" applyFill="0" applyAlignment="0" applyProtection="0"/>
    <xf numFmtId="0" fontId="81" fillId="21" borderId="365" applyNumberFormat="0" applyAlignment="0" applyProtection="0"/>
    <xf numFmtId="0" fontId="84" fillId="34" borderId="366" applyNumberFormat="0" applyAlignment="0" applyProtection="0"/>
    <xf numFmtId="0" fontId="76" fillId="34" borderId="365" applyNumberFormat="0" applyAlignment="0" applyProtection="0"/>
    <xf numFmtId="0" fontId="84" fillId="34" borderId="374" applyNumberFormat="0" applyAlignment="0" applyProtection="0"/>
    <xf numFmtId="0" fontId="12" fillId="37" borderId="364" applyNumberFormat="0" applyFont="0" applyAlignment="0" applyProtection="0"/>
    <xf numFmtId="0" fontId="84" fillId="34" borderId="366" applyNumberFormat="0" applyAlignment="0" applyProtection="0"/>
    <xf numFmtId="0" fontId="76" fillId="34" borderId="365" applyNumberFormat="0" applyAlignment="0" applyProtection="0"/>
    <xf numFmtId="0" fontId="84" fillId="34" borderId="374" applyNumberFormat="0" applyAlignment="0" applyProtection="0"/>
    <xf numFmtId="0" fontId="81" fillId="21" borderId="373" applyNumberFormat="0" applyAlignment="0" applyProtection="0"/>
    <xf numFmtId="0" fontId="5" fillId="0" borderId="379" applyNumberFormat="0" applyFill="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76" fillId="34"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84" fillId="34" borderId="374" applyNumberFormat="0" applyAlignment="0" applyProtection="0"/>
    <xf numFmtId="0" fontId="5" fillId="0" borderId="375" applyNumberFormat="0" applyFill="0" applyAlignment="0" applyProtection="0"/>
    <xf numFmtId="0" fontId="81" fillId="21" borderId="373" applyNumberFormat="0" applyAlignment="0" applyProtection="0"/>
    <xf numFmtId="0" fontId="12" fillId="37" borderId="372" applyNumberFormat="0" applyFont="0" applyAlignment="0" applyProtection="0"/>
    <xf numFmtId="0" fontId="81" fillId="21" borderId="373" applyNumberFormat="0" applyAlignment="0" applyProtection="0"/>
    <xf numFmtId="0" fontId="81" fillId="21" borderId="373" applyNumberFormat="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84" fillId="34" borderId="374"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6" applyNumberFormat="0" applyFont="0" applyAlignment="0" applyProtection="0"/>
    <xf numFmtId="0" fontId="76" fillId="34" borderId="373" applyNumberFormat="0" applyAlignment="0" applyProtection="0"/>
    <xf numFmtId="0" fontId="84" fillId="34" borderId="374" applyNumberFormat="0" applyAlignment="0" applyProtection="0"/>
    <xf numFmtId="0" fontId="12" fillId="37" borderId="372" applyNumberFormat="0" applyFont="0" applyAlignment="0" applyProtection="0"/>
    <xf numFmtId="0" fontId="81" fillId="21" borderId="373" applyNumberFormat="0" applyAlignment="0" applyProtection="0"/>
    <xf numFmtId="0" fontId="76" fillId="34" borderId="373" applyNumberFormat="0" applyAlignment="0" applyProtection="0"/>
    <xf numFmtId="0" fontId="76" fillId="34" borderId="373" applyNumberFormat="0" applyAlignment="0" applyProtection="0"/>
    <xf numFmtId="0" fontId="76" fillId="34" borderId="373" applyNumberFormat="0" applyAlignment="0" applyProtection="0"/>
    <xf numFmtId="0" fontId="81" fillId="21" borderId="373" applyNumberFormat="0" applyAlignment="0" applyProtection="0"/>
    <xf numFmtId="0" fontId="81" fillId="21"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12" fillId="37" borderId="372" applyNumberFormat="0" applyFont="0" applyAlignment="0" applyProtection="0"/>
    <xf numFmtId="0" fontId="76" fillId="34" borderId="373" applyNumberFormat="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84" fillId="34" borderId="374" applyNumberFormat="0" applyAlignment="0" applyProtection="0"/>
    <xf numFmtId="0" fontId="12" fillId="37" borderId="372" applyNumberFormat="0" applyFont="0" applyAlignment="0" applyProtection="0"/>
    <xf numFmtId="0" fontId="81" fillId="21" borderId="373" applyNumberForma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12" fillId="37" borderId="376" applyNumberFormat="0" applyFont="0" applyAlignment="0" applyProtection="0"/>
    <xf numFmtId="0" fontId="12" fillId="37" borderId="372" applyNumberFormat="0" applyFont="0" applyAlignment="0" applyProtection="0"/>
    <xf numFmtId="0" fontId="84" fillId="34" borderId="374" applyNumberFormat="0" applyAlignment="0" applyProtection="0"/>
    <xf numFmtId="0" fontId="12" fillId="37" borderId="372" applyNumberFormat="0" applyFont="0" applyAlignment="0" applyProtection="0"/>
    <xf numFmtId="0" fontId="76" fillId="34" borderId="373"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5" fillId="0" borderId="375" applyNumberFormat="0" applyFill="0" applyAlignment="0" applyProtection="0"/>
    <xf numFmtId="0" fontId="84" fillId="34" borderId="374" applyNumberFormat="0" applyAlignment="0" applyProtection="0"/>
    <xf numFmtId="0" fontId="84" fillId="34" borderId="374" applyNumberFormat="0" applyAlignment="0" applyProtection="0"/>
    <xf numFmtId="0" fontId="12" fillId="37" borderId="372" applyNumberFormat="0" applyFont="0" applyAlignment="0" applyProtection="0"/>
    <xf numFmtId="0" fontId="12" fillId="37" borderId="372" applyNumberFormat="0" applyFont="0" applyAlignment="0" applyProtection="0"/>
    <xf numFmtId="0" fontId="81" fillId="21" borderId="373" applyNumberFormat="0" applyAlignment="0" applyProtection="0"/>
    <xf numFmtId="0" fontId="81" fillId="21" borderId="373" applyNumberFormat="0" applyAlignment="0" applyProtection="0"/>
    <xf numFmtId="0" fontId="76" fillId="34" borderId="373" applyNumberFormat="0" applyAlignment="0" applyProtection="0"/>
    <xf numFmtId="0" fontId="76" fillId="34" borderId="373" applyNumberFormat="0" applyAlignment="0" applyProtection="0"/>
    <xf numFmtId="0" fontId="84" fillId="34" borderId="374" applyNumberFormat="0" applyAlignment="0" applyProtection="0"/>
    <xf numFmtId="0" fontId="5" fillId="0" borderId="375" applyNumberFormat="0" applyFill="0" applyAlignment="0" applyProtection="0"/>
    <xf numFmtId="0" fontId="5" fillId="0" borderId="375" applyNumberFormat="0" applyFill="0" applyAlignment="0" applyProtection="0"/>
    <xf numFmtId="0" fontId="12" fillId="37" borderId="372" applyNumberFormat="0" applyFont="0" applyAlignment="0" applyProtection="0"/>
    <xf numFmtId="0" fontId="5" fillId="0" borderId="375" applyNumberFormat="0" applyFill="0" applyAlignment="0" applyProtection="0"/>
    <xf numFmtId="0" fontId="12" fillId="37" borderId="372" applyNumberFormat="0" applyFont="0" applyAlignment="0" applyProtection="0"/>
    <xf numFmtId="0" fontId="81" fillId="21" borderId="373" applyNumberFormat="0" applyAlignment="0" applyProtection="0"/>
    <xf numFmtId="0" fontId="12" fillId="37" borderId="372" applyNumberFormat="0" applyFont="0" applyAlignment="0" applyProtection="0"/>
    <xf numFmtId="0" fontId="76" fillId="34" borderId="373" applyNumberFormat="0" applyAlignment="0" applyProtection="0"/>
    <xf numFmtId="0" fontId="81" fillId="21" borderId="373" applyNumberFormat="0" applyAlignment="0" applyProtection="0"/>
    <xf numFmtId="0" fontId="81" fillId="21" borderId="373" applyNumberFormat="0" applyAlignment="0" applyProtection="0"/>
    <xf numFmtId="0" fontId="5" fillId="0" borderId="379" applyNumberFormat="0" applyFill="0" applyAlignment="0" applyProtection="0"/>
    <xf numFmtId="0" fontId="5" fillId="0" borderId="375" applyNumberFormat="0" applyFill="0" applyAlignment="0" applyProtection="0"/>
    <xf numFmtId="0" fontId="81" fillId="21" borderId="373" applyNumberFormat="0" applyAlignment="0" applyProtection="0"/>
    <xf numFmtId="0" fontId="84" fillId="34" borderId="374" applyNumberFormat="0" applyAlignment="0" applyProtection="0"/>
    <xf numFmtId="0" fontId="76" fillId="34" borderId="373" applyNumberFormat="0" applyAlignment="0" applyProtection="0"/>
    <xf numFmtId="0" fontId="84" fillId="34" borderId="378" applyNumberFormat="0" applyAlignment="0" applyProtection="0"/>
    <xf numFmtId="0" fontId="12" fillId="37" borderId="372" applyNumberFormat="0" applyFont="0" applyAlignment="0" applyProtection="0"/>
    <xf numFmtId="0" fontId="84" fillId="34" borderId="374" applyNumberFormat="0" applyAlignment="0" applyProtection="0"/>
    <xf numFmtId="0" fontId="76" fillId="34" borderId="373" applyNumberFormat="0" applyAlignment="0" applyProtection="0"/>
    <xf numFmtId="0" fontId="84" fillId="34" borderId="378" applyNumberFormat="0" applyAlignment="0" applyProtection="0"/>
    <xf numFmtId="0" fontId="81" fillId="21" borderId="377" applyNumberForma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84" fillId="34" borderId="378" applyNumberFormat="0" applyAlignment="0" applyProtection="0"/>
    <xf numFmtId="0" fontId="5" fillId="0" borderId="379" applyNumberFormat="0" applyFill="0" applyAlignment="0" applyProtection="0"/>
    <xf numFmtId="0" fontId="81" fillId="21" borderId="377" applyNumberFormat="0" applyAlignment="0" applyProtection="0"/>
    <xf numFmtId="0" fontId="12" fillId="37" borderId="376" applyNumberFormat="0" applyFont="0" applyAlignment="0" applyProtection="0"/>
    <xf numFmtId="0" fontId="81" fillId="21" borderId="377" applyNumberFormat="0" applyAlignment="0" applyProtection="0"/>
    <xf numFmtId="0" fontId="81" fillId="21" borderId="377" applyNumberFormat="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84" fillId="34" borderId="378"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84" fillId="34" borderId="378" applyNumberFormat="0" applyAlignment="0" applyProtection="0"/>
    <xf numFmtId="0" fontId="12" fillId="37" borderId="376" applyNumberFormat="0" applyFont="0" applyAlignment="0" applyProtection="0"/>
    <xf numFmtId="0" fontId="81" fillId="21" borderId="377" applyNumberFormat="0" applyAlignment="0" applyProtection="0"/>
    <xf numFmtId="0" fontId="76" fillId="34" borderId="377" applyNumberFormat="0" applyAlignment="0" applyProtection="0"/>
    <xf numFmtId="0" fontId="76" fillId="34" borderId="377" applyNumberFormat="0" applyAlignment="0" applyProtection="0"/>
    <xf numFmtId="0" fontId="76" fillId="34" borderId="377" applyNumberFormat="0" applyAlignment="0" applyProtection="0"/>
    <xf numFmtId="0" fontId="81" fillId="21" borderId="377" applyNumberFormat="0" applyAlignment="0" applyProtection="0"/>
    <xf numFmtId="0" fontId="81" fillId="21"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12" fillId="37" borderId="376" applyNumberFormat="0" applyFont="0" applyAlignment="0" applyProtection="0"/>
    <xf numFmtId="0" fontId="76" fillId="34" borderId="377" applyNumberForma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84" fillId="34" borderId="378" applyNumberFormat="0" applyAlignment="0" applyProtection="0"/>
    <xf numFmtId="0" fontId="12" fillId="37" borderId="376" applyNumberFormat="0" applyFont="0" applyAlignment="0" applyProtection="0"/>
    <xf numFmtId="0" fontId="81" fillId="21" borderId="377" applyNumberForma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4" fillId="34" borderId="378" applyNumberFormat="0" applyAlignment="0" applyProtection="0"/>
    <xf numFmtId="0" fontId="12" fillId="37" borderId="376" applyNumberFormat="0" applyFont="0" applyAlignment="0" applyProtection="0"/>
    <xf numFmtId="0" fontId="84" fillId="34" borderId="378" applyNumberFormat="0" applyAlignment="0" applyProtection="0"/>
    <xf numFmtId="0" fontId="12" fillId="37" borderId="376" applyNumberFormat="0" applyFont="0" applyAlignment="0" applyProtection="0"/>
    <xf numFmtId="0" fontId="76" fillId="34" borderId="377"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5" fillId="0" borderId="379" applyNumberFormat="0" applyFill="0" applyAlignment="0" applyProtection="0"/>
    <xf numFmtId="0" fontId="84" fillId="34" borderId="378" applyNumberFormat="0" applyAlignment="0" applyProtection="0"/>
    <xf numFmtId="0" fontId="84" fillId="34" borderId="378" applyNumberFormat="0" applyAlignment="0" applyProtection="0"/>
    <xf numFmtId="0" fontId="12" fillId="37" borderId="376" applyNumberFormat="0" applyFont="0" applyAlignment="0" applyProtection="0"/>
    <xf numFmtId="0" fontId="12" fillId="37" borderId="376" applyNumberFormat="0" applyFont="0" applyAlignment="0" applyProtection="0"/>
    <xf numFmtId="0" fontId="81" fillId="21" borderId="377" applyNumberFormat="0" applyAlignment="0" applyProtection="0"/>
    <xf numFmtId="0" fontId="81" fillId="21" borderId="377" applyNumberFormat="0" applyAlignment="0" applyProtection="0"/>
    <xf numFmtId="0" fontId="76" fillId="34" borderId="377" applyNumberFormat="0" applyAlignment="0" applyProtection="0"/>
    <xf numFmtId="0" fontId="76" fillId="34" borderId="377" applyNumberFormat="0" applyAlignment="0" applyProtection="0"/>
    <xf numFmtId="0" fontId="84" fillId="34" borderId="378" applyNumberFormat="0" applyAlignment="0" applyProtection="0"/>
    <xf numFmtId="0" fontId="5" fillId="0" borderId="379" applyNumberFormat="0" applyFill="0" applyAlignment="0" applyProtection="0"/>
    <xf numFmtId="0" fontId="5" fillId="0" borderId="379" applyNumberFormat="0" applyFill="0" applyAlignment="0" applyProtection="0"/>
    <xf numFmtId="0" fontId="12" fillId="37" borderId="376" applyNumberFormat="0" applyFont="0" applyAlignment="0" applyProtection="0"/>
    <xf numFmtId="0" fontId="5" fillId="0" borderId="379" applyNumberFormat="0" applyFill="0" applyAlignment="0" applyProtection="0"/>
    <xf numFmtId="0" fontId="12" fillId="37" borderId="376" applyNumberFormat="0" applyFont="0" applyAlignment="0" applyProtection="0"/>
    <xf numFmtId="0" fontId="81" fillId="21" borderId="377" applyNumberFormat="0" applyAlignment="0" applyProtection="0"/>
    <xf numFmtId="0" fontId="12" fillId="37" borderId="376" applyNumberFormat="0" applyFont="0" applyAlignment="0" applyProtection="0"/>
    <xf numFmtId="0" fontId="76" fillId="34" borderId="377" applyNumberFormat="0" applyAlignment="0" applyProtection="0"/>
    <xf numFmtId="0" fontId="81" fillId="21" borderId="377" applyNumberFormat="0" applyAlignment="0" applyProtection="0"/>
    <xf numFmtId="0" fontId="81" fillId="21" borderId="377" applyNumberFormat="0" applyAlignment="0" applyProtection="0"/>
    <xf numFmtId="0" fontId="5" fillId="0" borderId="379" applyNumberFormat="0" applyFill="0" applyAlignment="0" applyProtection="0"/>
    <xf numFmtId="0" fontId="81" fillId="21" borderId="377" applyNumberFormat="0" applyAlignment="0" applyProtection="0"/>
    <xf numFmtId="0" fontId="84" fillId="34" borderId="378" applyNumberFormat="0" applyAlignment="0" applyProtection="0"/>
    <xf numFmtId="0" fontId="76" fillId="34" borderId="377" applyNumberFormat="0" applyAlignment="0" applyProtection="0"/>
    <xf numFmtId="0" fontId="12" fillId="37" borderId="376" applyNumberFormat="0" applyFont="0" applyAlignment="0" applyProtection="0"/>
    <xf numFmtId="0" fontId="84" fillId="34" borderId="378" applyNumberFormat="0" applyAlignment="0" applyProtection="0"/>
    <xf numFmtId="0" fontId="76" fillId="34" borderId="377" applyNumberFormat="0" applyAlignment="0" applyProtection="0"/>
    <xf numFmtId="0" fontId="5" fillId="0" borderId="387" applyNumberFormat="0" applyFill="0" applyAlignment="0" applyProtection="0"/>
    <xf numFmtId="0" fontId="81" fillId="21" borderId="380" applyNumberFormat="0" applyAlignment="0" applyProtection="0"/>
    <xf numFmtId="0" fontId="76" fillId="34" borderId="385" applyNumberFormat="0" applyAlignment="0" applyProtection="0"/>
    <xf numFmtId="0" fontId="76" fillId="34" borderId="380"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76" fillId="34" borderId="385" applyNumberFormat="0" applyAlignment="0" applyProtection="0"/>
    <xf numFmtId="0" fontId="5" fillId="0" borderId="391" applyNumberFormat="0" applyFill="0" applyAlignment="0" applyProtection="0"/>
    <xf numFmtId="0" fontId="5" fillId="0" borderId="387" applyNumberFormat="0" applyFill="0" applyAlignment="0" applyProtection="0"/>
    <xf numFmtId="0" fontId="81" fillId="21" borderId="380" applyNumberFormat="0" applyAlignment="0" applyProtection="0"/>
    <xf numFmtId="0" fontId="76" fillId="34" borderId="389" applyNumberFormat="0" applyAlignment="0" applyProtection="0"/>
    <xf numFmtId="0" fontId="76" fillId="34" borderId="385" applyNumberFormat="0" applyAlignment="0" applyProtection="0"/>
    <xf numFmtId="0" fontId="81" fillId="21" borderId="385" applyNumberFormat="0" applyAlignment="0" applyProtection="0"/>
    <xf numFmtId="0" fontId="84" fillId="34" borderId="386" applyNumberFormat="0" applyAlignment="0" applyProtection="0"/>
    <xf numFmtId="0" fontId="12" fillId="37" borderId="384" applyNumberFormat="0" applyFont="0" applyAlignment="0" applyProtection="0"/>
    <xf numFmtId="0" fontId="81" fillId="21" borderId="380" applyNumberFormat="0" applyAlignment="0" applyProtection="0"/>
    <xf numFmtId="0" fontId="76" fillId="34" borderId="380" applyNumberFormat="0" applyAlignment="0" applyProtection="0"/>
    <xf numFmtId="0" fontId="5" fillId="0" borderId="387" applyNumberFormat="0" applyFill="0" applyAlignment="0" applyProtection="0"/>
    <xf numFmtId="0" fontId="76" fillId="34" borderId="389"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81" fillId="21" borderId="380" applyNumberFormat="0" applyAlignment="0" applyProtection="0"/>
    <xf numFmtId="0" fontId="76" fillId="34" borderId="380" applyNumberFormat="0" applyAlignment="0" applyProtection="0"/>
    <xf numFmtId="0" fontId="81" fillId="21"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5" fillId="0" borderId="382" applyNumberFormat="0" applyFill="0" applyAlignment="0" applyProtection="0"/>
    <xf numFmtId="0" fontId="12" fillId="37" borderId="383" applyNumberFormat="0" applyFont="0" applyAlignment="0" applyProtection="0"/>
    <xf numFmtId="0" fontId="5" fillId="0" borderId="382" applyNumberFormat="0" applyFill="0" applyAlignment="0" applyProtection="0"/>
    <xf numFmtId="0" fontId="12" fillId="37" borderId="383" applyNumberFormat="0" applyFont="0" applyAlignment="0" applyProtection="0"/>
    <xf numFmtId="0" fontId="5" fillId="0" borderId="382" applyNumberFormat="0" applyFill="0" applyAlignment="0" applyProtection="0"/>
    <xf numFmtId="0" fontId="76" fillId="34" borderId="380" applyNumberFormat="0" applyAlignment="0" applyProtection="0"/>
    <xf numFmtId="0" fontId="84" fillId="34" borderId="381" applyNumberFormat="0" applyAlignment="0" applyProtection="0"/>
    <xf numFmtId="0" fontId="81" fillId="21" borderId="380" applyNumberFormat="0" applyAlignment="0" applyProtection="0"/>
    <xf numFmtId="0" fontId="76" fillId="34" borderId="380" applyNumberFormat="0" applyAlignment="0" applyProtection="0"/>
    <xf numFmtId="0" fontId="12" fillId="37" borderId="383" applyNumberFormat="0" applyFont="0" applyAlignment="0" applyProtection="0"/>
    <xf numFmtId="0" fontId="81" fillId="21" borderId="380" applyNumberFormat="0" applyAlignment="0" applyProtection="0"/>
    <xf numFmtId="0" fontId="84" fillId="34" borderId="381" applyNumberFormat="0" applyAlignment="0" applyProtection="0"/>
    <xf numFmtId="0" fontId="12" fillId="37" borderId="383" applyNumberFormat="0" applyFont="0" applyAlignment="0" applyProtection="0"/>
    <xf numFmtId="0" fontId="5" fillId="0" borderId="382" applyNumberFormat="0" applyFill="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5"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81" fillId="21" borderId="380" applyNumberFormat="0" applyAlignment="0" applyProtection="0"/>
    <xf numFmtId="0" fontId="84" fillId="34" borderId="381" applyNumberFormat="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12" fillId="37" borderId="383" applyNumberFormat="0" applyFont="0" applyAlignment="0" applyProtection="0"/>
    <xf numFmtId="0" fontId="76" fillId="34"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84" fillId="34" borderId="381" applyNumberFormat="0" applyAlignment="0" applyProtection="0"/>
    <xf numFmtId="0" fontId="12" fillId="37" borderId="384" applyNumberFormat="0" applyFont="0" applyAlignment="0" applyProtection="0"/>
    <xf numFmtId="0" fontId="81" fillId="21" borderId="385" applyNumberFormat="0" applyAlignment="0" applyProtection="0"/>
    <xf numFmtId="0" fontId="84" fillId="34" borderId="386" applyNumberFormat="0" applyAlignment="0" applyProtection="0"/>
    <xf numFmtId="0" fontId="84" fillId="34" borderId="386" applyNumberFormat="0" applyAlignment="0" applyProtection="0"/>
    <xf numFmtId="0" fontId="76" fillId="34" borderId="385" applyNumberFormat="0" applyAlignment="0" applyProtection="0"/>
    <xf numFmtId="0" fontId="12" fillId="37" borderId="388" applyNumberFormat="0" applyFont="0" applyAlignment="0" applyProtection="0"/>
    <xf numFmtId="0" fontId="84" fillId="34" borderId="386" applyNumberFormat="0" applyAlignment="0" applyProtection="0"/>
    <xf numFmtId="0" fontId="5" fillId="0" borderId="387" applyNumberFormat="0" applyFill="0" applyAlignment="0" applyProtection="0"/>
    <xf numFmtId="0" fontId="12" fillId="37" borderId="388" applyNumberFormat="0" applyFont="0" applyAlignment="0" applyProtection="0"/>
    <xf numFmtId="0" fontId="76" fillId="34" borderId="380"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12" fillId="37" borderId="384"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81" fillId="21" borderId="380" applyNumberFormat="0" applyAlignment="0" applyProtection="0"/>
    <xf numFmtId="0" fontId="12" fillId="37" borderId="384" applyNumberFormat="0" applyFont="0" applyAlignment="0" applyProtection="0"/>
    <xf numFmtId="0" fontId="76" fillId="34" borderId="385" applyNumberFormat="0" applyAlignment="0" applyProtection="0"/>
    <xf numFmtId="0" fontId="81" fillId="21" borderId="385" applyNumberFormat="0" applyAlignment="0" applyProtection="0"/>
    <xf numFmtId="0" fontId="12" fillId="37" borderId="383"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5" fillId="0" borderId="382" applyNumberFormat="0" applyFill="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81" fillId="21" borderId="380" applyNumberFormat="0" applyAlignment="0" applyProtection="0"/>
    <xf numFmtId="0" fontId="12" fillId="37" borderId="383" applyNumberFormat="0" applyFont="0" applyAlignment="0" applyProtection="0"/>
    <xf numFmtId="0" fontId="76" fillId="34" borderId="385" applyNumberFormat="0" applyAlignment="0" applyProtection="0"/>
    <xf numFmtId="0" fontId="12" fillId="37" borderId="383" applyNumberFormat="0" applyFont="0" applyAlignment="0" applyProtection="0"/>
    <xf numFmtId="0" fontId="81" fillId="21" borderId="385" applyNumberFormat="0" applyAlignment="0" applyProtection="0"/>
    <xf numFmtId="0" fontId="84" fillId="34" borderId="386"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81" fillId="21" borderId="385" applyNumberFormat="0" applyAlignment="0" applyProtection="0"/>
    <xf numFmtId="0" fontId="5" fillId="0" borderId="387" applyNumberFormat="0" applyFill="0" applyAlignment="0" applyProtection="0"/>
    <xf numFmtId="0" fontId="84" fillId="34" borderId="381"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4" fillId="34" borderId="386" applyNumberFormat="0" applyAlignment="0" applyProtection="0"/>
    <xf numFmtId="0" fontId="81" fillId="21" borderId="389" applyNumberFormat="0" applyAlignment="0" applyProtection="0"/>
    <xf numFmtId="0" fontId="81" fillId="21" borderId="385" applyNumberFormat="0" applyAlignment="0" applyProtection="0"/>
    <xf numFmtId="0" fontId="12" fillId="37" borderId="384" applyNumberFormat="0" applyFont="0" applyAlignment="0" applyProtection="0"/>
    <xf numFmtId="0" fontId="76" fillId="34" borderId="385" applyNumberFormat="0" applyAlignment="0" applyProtection="0"/>
    <xf numFmtId="0" fontId="76" fillId="34" borderId="389" applyNumberFormat="0" applyAlignment="0" applyProtection="0"/>
    <xf numFmtId="0" fontId="84" fillId="34" borderId="386" applyNumberForma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8"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5" fillId="0" borderId="391" applyNumberFormat="0" applyFill="0" applyAlignment="0" applyProtection="0"/>
    <xf numFmtId="0" fontId="12" fillId="37" borderId="383" applyNumberFormat="0" applyFont="0" applyAlignment="0" applyProtection="0"/>
    <xf numFmtId="0" fontId="81" fillId="21" borderId="385" applyNumberFormat="0" applyAlignment="0" applyProtection="0"/>
    <xf numFmtId="0" fontId="5" fillId="0" borderId="387" applyNumberFormat="0" applyFill="0" applyAlignment="0" applyProtection="0"/>
    <xf numFmtId="0" fontId="12" fillId="37" borderId="383" applyNumberFormat="0" applyFont="0" applyAlignment="0" applyProtection="0"/>
    <xf numFmtId="0" fontId="12" fillId="37" borderId="383" applyNumberFormat="0" applyFont="0" applyAlignment="0" applyProtection="0"/>
    <xf numFmtId="0" fontId="76" fillId="34" borderId="380" applyNumberFormat="0" applyAlignment="0" applyProtection="0"/>
    <xf numFmtId="0" fontId="81" fillId="21" borderId="385" applyNumberFormat="0" applyAlignment="0" applyProtection="0"/>
    <xf numFmtId="0" fontId="84" fillId="34" borderId="386"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5" fillId="0" borderId="387" applyNumberFormat="0" applyFill="0" applyAlignment="0" applyProtection="0"/>
    <xf numFmtId="0" fontId="81" fillId="21" borderId="385"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8" applyNumberFormat="0" applyFont="0" applyAlignment="0" applyProtection="0"/>
    <xf numFmtId="0" fontId="76" fillId="34" borderId="385"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76" fillId="34" borderId="385" applyNumberFormat="0" applyAlignment="0" applyProtection="0"/>
    <xf numFmtId="0" fontId="12" fillId="37" borderId="388" applyNumberFormat="0" applyFont="0" applyAlignment="0" applyProtection="0"/>
    <xf numFmtId="0" fontId="84" fillId="34" borderId="381" applyNumberForma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76" fillId="34" borderId="385" applyNumberFormat="0" applyAlignment="0" applyProtection="0"/>
    <xf numFmtId="0" fontId="5" fillId="0" borderId="387" applyNumberFormat="0" applyFill="0" applyAlignment="0" applyProtection="0"/>
    <xf numFmtId="0" fontId="81" fillId="21" borderId="380" applyNumberFormat="0" applyAlignment="0" applyProtection="0"/>
    <xf numFmtId="0" fontId="81" fillId="21" borderId="380" applyNumberFormat="0" applyAlignment="0" applyProtection="0"/>
    <xf numFmtId="0" fontId="84" fillId="34" borderId="390" applyNumberFormat="0" applyAlignment="0" applyProtection="0"/>
    <xf numFmtId="0" fontId="5" fillId="0" borderId="387" applyNumberFormat="0" applyFill="0" applyAlignment="0" applyProtection="0"/>
    <xf numFmtId="0" fontId="84" fillId="34" borderId="386" applyNumberFormat="0" applyAlignment="0" applyProtection="0"/>
    <xf numFmtId="0" fontId="12" fillId="37" borderId="384" applyNumberFormat="0" applyFont="0" applyAlignment="0" applyProtection="0"/>
    <xf numFmtId="0" fontId="5" fillId="0" borderId="382" applyNumberFormat="0" applyFill="0" applyAlignment="0" applyProtection="0"/>
    <xf numFmtId="0" fontId="5" fillId="0" borderId="382" applyNumberFormat="0" applyFill="0" applyAlignment="0" applyProtection="0"/>
    <xf numFmtId="0" fontId="84" fillId="34" borderId="381"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81" fillId="21" borderId="380" applyNumberFormat="0" applyAlignment="0" applyProtection="0"/>
    <xf numFmtId="0" fontId="12" fillId="37" borderId="383" applyNumberFormat="0" applyFont="0" applyAlignment="0" applyProtection="0"/>
    <xf numFmtId="0" fontId="12" fillId="37" borderId="383" applyNumberFormat="0" applyFont="0" applyAlignment="0" applyProtection="0"/>
    <xf numFmtId="0" fontId="12" fillId="37" borderId="384" applyNumberFormat="0" applyFont="0" applyAlignment="0" applyProtection="0"/>
    <xf numFmtId="0" fontId="12" fillId="37" borderId="383" applyNumberFormat="0" applyFont="0" applyAlignment="0" applyProtection="0"/>
    <xf numFmtId="0" fontId="5" fillId="0" borderId="382" applyNumberFormat="0" applyFill="0" applyAlignment="0" applyProtection="0"/>
    <xf numFmtId="0" fontId="76" fillId="34" borderId="380" applyNumberFormat="0" applyAlignment="0" applyProtection="0"/>
    <xf numFmtId="0" fontId="76" fillId="34" borderId="380" applyNumberFormat="0" applyAlignment="0" applyProtection="0"/>
    <xf numFmtId="0" fontId="81" fillId="21" borderId="380" applyNumberFormat="0" applyAlignment="0" applyProtection="0"/>
    <xf numFmtId="0" fontId="5" fillId="0" borderId="382" applyNumberFormat="0" applyFill="0" applyAlignment="0" applyProtection="0"/>
    <xf numFmtId="0" fontId="5" fillId="0" borderId="382" applyNumberFormat="0" applyFill="0" applyAlignment="0" applyProtection="0"/>
    <xf numFmtId="0" fontId="12" fillId="37" borderId="383" applyNumberFormat="0" applyFont="0" applyAlignment="0" applyProtection="0"/>
    <xf numFmtId="0" fontId="84" fillId="34" borderId="381" applyNumberFormat="0" applyAlignment="0" applyProtection="0"/>
    <xf numFmtId="0" fontId="12" fillId="37" borderId="383" applyNumberFormat="0" applyFont="0" applyAlignment="0" applyProtection="0"/>
    <xf numFmtId="0" fontId="84" fillId="34" borderId="381" applyNumberFormat="0" applyAlignment="0" applyProtection="0"/>
    <xf numFmtId="0" fontId="81" fillId="21" borderId="380"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84" fillId="34" borderId="386" applyNumberFormat="0" applyAlignment="0" applyProtection="0"/>
    <xf numFmtId="0" fontId="5" fillId="0" borderId="382" applyNumberFormat="0" applyFill="0" applyAlignment="0" applyProtection="0"/>
    <xf numFmtId="0" fontId="81" fillId="21" borderId="380" applyNumberFormat="0" applyAlignment="0" applyProtection="0"/>
    <xf numFmtId="0" fontId="76" fillId="34" borderId="385" applyNumberFormat="0" applyAlignment="0" applyProtection="0"/>
    <xf numFmtId="0" fontId="12" fillId="37" borderId="384" applyNumberFormat="0" applyFont="0" applyAlignment="0" applyProtection="0"/>
    <xf numFmtId="0" fontId="84" fillId="34" borderId="390"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0" applyNumberFormat="0" applyAlignment="0" applyProtection="0"/>
    <xf numFmtId="0" fontId="81" fillId="21" borderId="385" applyNumberFormat="0" applyAlignment="0" applyProtection="0"/>
    <xf numFmtId="0" fontId="84" fillId="34" borderId="381" applyNumberFormat="0" applyAlignment="0" applyProtection="0"/>
    <xf numFmtId="0" fontId="12" fillId="37" borderId="383" applyNumberFormat="0" applyFont="0" applyAlignment="0" applyProtection="0"/>
    <xf numFmtId="0" fontId="81" fillId="21" borderId="380" applyNumberForma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3" applyNumberFormat="0" applyFont="0" applyAlignment="0" applyProtection="0"/>
    <xf numFmtId="0" fontId="84" fillId="34" borderId="381" applyNumberFormat="0" applyAlignment="0" applyProtection="0"/>
    <xf numFmtId="0" fontId="5" fillId="0" borderId="387" applyNumberFormat="0" applyFill="0" applyAlignment="0" applyProtection="0"/>
    <xf numFmtId="0" fontId="12" fillId="37" borderId="388" applyNumberFormat="0" applyFont="0" applyAlignment="0" applyProtection="0"/>
    <xf numFmtId="0" fontId="76" fillId="34" borderId="380"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3" applyNumberFormat="0" applyFont="0" applyAlignment="0" applyProtection="0"/>
    <xf numFmtId="0" fontId="84" fillId="34" borderId="386" applyNumberFormat="0" applyAlignment="0" applyProtection="0"/>
    <xf numFmtId="0" fontId="81" fillId="21" borderId="385" applyNumberFormat="0" applyAlignment="0" applyProtection="0"/>
    <xf numFmtId="0" fontId="84" fillId="34" borderId="390" applyNumberFormat="0" applyAlignment="0" applyProtection="0"/>
    <xf numFmtId="0" fontId="12" fillId="37" borderId="383" applyNumberFormat="0" applyFont="0" applyAlignment="0" applyProtection="0"/>
    <xf numFmtId="0" fontId="84" fillId="34" borderId="381" applyNumberFormat="0" applyAlignment="0" applyProtection="0"/>
    <xf numFmtId="0" fontId="12" fillId="37" borderId="384" applyNumberFormat="0" applyFont="0" applyAlignment="0" applyProtection="0"/>
    <xf numFmtId="0" fontId="84" fillId="34" borderId="386" applyNumberFormat="0" applyAlignment="0" applyProtection="0"/>
    <xf numFmtId="0" fontId="12" fillId="37" borderId="384" applyNumberFormat="0" applyFont="0" applyAlignment="0" applyProtection="0"/>
    <xf numFmtId="0" fontId="76" fillId="34" borderId="380" applyNumberFormat="0" applyAlignment="0" applyProtection="0"/>
    <xf numFmtId="0" fontId="84" fillId="34" borderId="381" applyNumberFormat="0" applyAlignment="0" applyProtection="0"/>
    <xf numFmtId="0" fontId="5" fillId="0" borderId="382" applyNumberFormat="0" applyFill="0" applyAlignment="0" applyProtection="0"/>
    <xf numFmtId="0" fontId="84" fillId="34" borderId="386" applyNumberFormat="0" applyAlignment="0" applyProtection="0"/>
    <xf numFmtId="0" fontId="5" fillId="0" borderId="382" applyNumberFormat="0" applyFill="0" applyAlignment="0" applyProtection="0"/>
    <xf numFmtId="0" fontId="81" fillId="21" borderId="380" applyNumberFormat="0" applyAlignment="0" applyProtection="0"/>
    <xf numFmtId="0" fontId="84" fillId="34" borderId="381" applyNumberFormat="0" applyAlignment="0" applyProtection="0"/>
    <xf numFmtId="0" fontId="76" fillId="34" borderId="380" applyNumberFormat="0" applyAlignment="0" applyProtection="0"/>
    <xf numFmtId="0" fontId="12" fillId="37" borderId="383" applyNumberFormat="0" applyFont="0" applyAlignment="0" applyProtection="0"/>
    <xf numFmtId="0" fontId="84" fillId="34" borderId="381" applyNumberFormat="0" applyAlignment="0" applyProtection="0"/>
    <xf numFmtId="0" fontId="76" fillId="34" borderId="380" applyNumberFormat="0" applyAlignment="0" applyProtection="0"/>
    <xf numFmtId="0" fontId="76" fillId="34" borderId="385" applyNumberFormat="0" applyAlignment="0" applyProtection="0"/>
    <xf numFmtId="0" fontId="12" fillId="37" borderId="384" applyNumberFormat="0" applyFont="0" applyAlignment="0" applyProtection="0"/>
    <xf numFmtId="0" fontId="5" fillId="0" borderId="391" applyNumberFormat="0" applyFill="0" applyAlignment="0" applyProtection="0"/>
    <xf numFmtId="0" fontId="84" fillId="34" borderId="386" applyNumberFormat="0" applyAlignment="0" applyProtection="0"/>
    <xf numFmtId="0" fontId="5" fillId="0" borderId="391" applyNumberFormat="0" applyFill="0" applyAlignment="0" applyProtection="0"/>
    <xf numFmtId="0" fontId="12" fillId="37" borderId="384" applyNumberFormat="0" applyFont="0" applyAlignment="0" applyProtection="0"/>
    <xf numFmtId="0" fontId="5" fillId="0" borderId="387" applyNumberFormat="0" applyFill="0" applyAlignment="0" applyProtection="0"/>
    <xf numFmtId="0" fontId="81" fillId="21" borderId="385"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76" fillId="34" borderId="385" applyNumberFormat="0" applyAlignment="0" applyProtection="0"/>
    <xf numFmtId="0" fontId="81" fillId="21" borderId="385" applyNumberFormat="0" applyAlignment="0" applyProtection="0"/>
    <xf numFmtId="0" fontId="76" fillId="34" borderId="389" applyNumberForma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4" applyNumberFormat="0" applyFont="0" applyAlignment="0" applyProtection="0"/>
    <xf numFmtId="0" fontId="12" fillId="37" borderId="384" applyNumberFormat="0" applyFont="0" applyAlignment="0" applyProtection="0"/>
    <xf numFmtId="0" fontId="5" fillId="0" borderId="387" applyNumberFormat="0" applyFill="0" applyAlignment="0" applyProtection="0"/>
    <xf numFmtId="0" fontId="12" fillId="37" borderId="384"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76" fillId="34" borderId="385" applyNumberFormat="0" applyAlignment="0" applyProtection="0"/>
    <xf numFmtId="0" fontId="81" fillId="21" borderId="389" applyNumberFormat="0" applyAlignment="0" applyProtection="0"/>
    <xf numFmtId="0" fontId="5" fillId="0" borderId="387" applyNumberFormat="0" applyFill="0" applyAlignment="0" applyProtection="0"/>
    <xf numFmtId="0" fontId="84" fillId="34" borderId="386" applyNumberFormat="0" applyAlignment="0" applyProtection="0"/>
    <xf numFmtId="0" fontId="12" fillId="37" borderId="384" applyNumberFormat="0" applyFont="0" applyAlignment="0" applyProtection="0"/>
    <xf numFmtId="0" fontId="81" fillId="21" borderId="385" applyNumberFormat="0" applyAlignment="0" applyProtection="0"/>
    <xf numFmtId="0" fontId="12" fillId="37" borderId="384"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84" fillId="34" borderId="386" applyNumberFormat="0" applyAlignment="0" applyProtection="0"/>
    <xf numFmtId="0" fontId="12" fillId="37" borderId="384" applyNumberFormat="0" applyFont="0" applyAlignment="0" applyProtection="0"/>
    <xf numFmtId="0" fontId="12" fillId="37" borderId="384" applyNumberFormat="0" applyFont="0" applyAlignment="0" applyProtection="0"/>
    <xf numFmtId="0" fontId="81" fillId="21" borderId="385" applyNumberFormat="0" applyAlignment="0" applyProtection="0"/>
    <xf numFmtId="0" fontId="76" fillId="34" borderId="385" applyNumberFormat="0" applyAlignment="0" applyProtection="0"/>
    <xf numFmtId="0" fontId="76" fillId="34" borderId="385" applyNumberFormat="0" applyAlignment="0" applyProtection="0"/>
    <xf numFmtId="0" fontId="76" fillId="34" borderId="385" applyNumberFormat="0" applyAlignment="0" applyProtection="0"/>
    <xf numFmtId="0" fontId="84" fillId="34" borderId="390" applyNumberFormat="0" applyAlignment="0" applyProtection="0"/>
    <xf numFmtId="0" fontId="84" fillId="34" borderId="386" applyNumberFormat="0" applyAlignment="0" applyProtection="0"/>
    <xf numFmtId="0" fontId="84" fillId="34" borderId="390" applyNumberFormat="0" applyAlignment="0" applyProtection="0"/>
    <xf numFmtId="0" fontId="81" fillId="21" borderId="389" applyNumberForma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84" fillId="34" borderId="390" applyNumberFormat="0" applyAlignment="0" applyProtection="0"/>
    <xf numFmtId="0" fontId="5" fillId="0" borderId="391" applyNumberFormat="0" applyFill="0" applyAlignment="0" applyProtection="0"/>
    <xf numFmtId="0" fontId="81" fillId="21" borderId="389" applyNumberFormat="0" applyAlignment="0" applyProtection="0"/>
    <xf numFmtId="0" fontId="12" fillId="37" borderId="388" applyNumberFormat="0" applyFont="0" applyAlignment="0" applyProtection="0"/>
    <xf numFmtId="0" fontId="81" fillId="21" borderId="389" applyNumberFormat="0" applyAlignment="0" applyProtection="0"/>
    <xf numFmtId="0" fontId="81" fillId="21" borderId="389" applyNumberFormat="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84" fillId="34" borderId="390"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84" fillId="34" borderId="390" applyNumberFormat="0" applyAlignment="0" applyProtection="0"/>
    <xf numFmtId="0" fontId="12" fillId="37" borderId="388" applyNumberFormat="0" applyFont="0" applyAlignment="0" applyProtection="0"/>
    <xf numFmtId="0" fontId="81" fillId="21" borderId="389" applyNumberFormat="0" applyAlignment="0" applyProtection="0"/>
    <xf numFmtId="0" fontId="76" fillId="34" borderId="389" applyNumberFormat="0" applyAlignment="0" applyProtection="0"/>
    <xf numFmtId="0" fontId="76" fillId="34" borderId="389" applyNumberFormat="0" applyAlignment="0" applyProtection="0"/>
    <xf numFmtId="0" fontId="76" fillId="34" borderId="389" applyNumberFormat="0" applyAlignment="0" applyProtection="0"/>
    <xf numFmtId="0" fontId="81" fillId="21" borderId="389" applyNumberFormat="0" applyAlignment="0" applyProtection="0"/>
    <xf numFmtId="0" fontId="81" fillId="21"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12" fillId="37" borderId="388" applyNumberFormat="0" applyFont="0" applyAlignment="0" applyProtection="0"/>
    <xf numFmtId="0" fontId="76" fillId="34" borderId="389" applyNumberForma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84" fillId="34" borderId="390" applyNumberFormat="0" applyAlignment="0" applyProtection="0"/>
    <xf numFmtId="0" fontId="12" fillId="37" borderId="388" applyNumberFormat="0" applyFont="0" applyAlignment="0" applyProtection="0"/>
    <xf numFmtId="0" fontId="81" fillId="21" borderId="389" applyNumberForma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4" fillId="34" borderId="390" applyNumberFormat="0" applyAlignment="0" applyProtection="0"/>
    <xf numFmtId="0" fontId="12" fillId="37" borderId="388" applyNumberFormat="0" applyFont="0" applyAlignment="0" applyProtection="0"/>
    <xf numFmtId="0" fontId="84" fillId="34" borderId="390" applyNumberFormat="0" applyAlignment="0" applyProtection="0"/>
    <xf numFmtId="0" fontId="12" fillId="37" borderId="388" applyNumberFormat="0" applyFont="0" applyAlignment="0" applyProtection="0"/>
    <xf numFmtId="0" fontId="76" fillId="34" borderId="389"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5" fillId="0" borderId="391" applyNumberFormat="0" applyFill="0" applyAlignment="0" applyProtection="0"/>
    <xf numFmtId="0" fontId="84" fillId="34" borderId="390" applyNumberFormat="0" applyAlignment="0" applyProtection="0"/>
    <xf numFmtId="0" fontId="84" fillId="34" borderId="390" applyNumberFormat="0" applyAlignment="0" applyProtection="0"/>
    <xf numFmtId="0" fontId="12" fillId="37" borderId="388" applyNumberFormat="0" applyFont="0" applyAlignment="0" applyProtection="0"/>
    <xf numFmtId="0" fontId="12" fillId="37" borderId="388" applyNumberFormat="0" applyFont="0" applyAlignment="0" applyProtection="0"/>
    <xf numFmtId="0" fontId="81" fillId="21" borderId="389" applyNumberFormat="0" applyAlignment="0" applyProtection="0"/>
    <xf numFmtId="0" fontId="81" fillId="21" borderId="389" applyNumberFormat="0" applyAlignment="0" applyProtection="0"/>
    <xf numFmtId="0" fontId="76" fillId="34" borderId="389" applyNumberFormat="0" applyAlignment="0" applyProtection="0"/>
    <xf numFmtId="0" fontId="76" fillId="34" borderId="389" applyNumberFormat="0" applyAlignment="0" applyProtection="0"/>
    <xf numFmtId="0" fontId="84" fillId="34" borderId="390" applyNumberFormat="0" applyAlignment="0" applyProtection="0"/>
    <xf numFmtId="0" fontId="5" fillId="0" borderId="391" applyNumberFormat="0" applyFill="0" applyAlignment="0" applyProtection="0"/>
    <xf numFmtId="0" fontId="5" fillId="0" borderId="391" applyNumberFormat="0" applyFill="0" applyAlignment="0" applyProtection="0"/>
    <xf numFmtId="0" fontId="12" fillId="37" borderId="388" applyNumberFormat="0" applyFont="0" applyAlignment="0" applyProtection="0"/>
    <xf numFmtId="0" fontId="5" fillId="0" borderId="391" applyNumberFormat="0" applyFill="0" applyAlignment="0" applyProtection="0"/>
    <xf numFmtId="0" fontId="12" fillId="37" borderId="388" applyNumberFormat="0" applyFont="0" applyAlignment="0" applyProtection="0"/>
    <xf numFmtId="0" fontId="81" fillId="21" borderId="389" applyNumberFormat="0" applyAlignment="0" applyProtection="0"/>
    <xf numFmtId="0" fontId="12" fillId="37" borderId="388" applyNumberFormat="0" applyFont="0" applyAlignment="0" applyProtection="0"/>
    <xf numFmtId="0" fontId="76" fillId="34" borderId="389" applyNumberFormat="0" applyAlignment="0" applyProtection="0"/>
    <xf numFmtId="0" fontId="81" fillId="21" borderId="389" applyNumberFormat="0" applyAlignment="0" applyProtection="0"/>
    <xf numFmtId="0" fontId="81" fillId="21" borderId="389" applyNumberFormat="0" applyAlignment="0" applyProtection="0"/>
    <xf numFmtId="0" fontId="5" fillId="0" borderId="391" applyNumberFormat="0" applyFill="0" applyAlignment="0" applyProtection="0"/>
    <xf numFmtId="0" fontId="81" fillId="21" borderId="389" applyNumberFormat="0" applyAlignment="0" applyProtection="0"/>
    <xf numFmtId="0" fontId="84" fillId="34" borderId="390" applyNumberFormat="0" applyAlignment="0" applyProtection="0"/>
    <xf numFmtId="0" fontId="76" fillId="34" borderId="389" applyNumberFormat="0" applyAlignment="0" applyProtection="0"/>
    <xf numFmtId="0" fontId="12" fillId="37" borderId="388" applyNumberFormat="0" applyFont="0" applyAlignment="0" applyProtection="0"/>
    <xf numFmtId="0" fontId="84" fillId="34" borderId="390" applyNumberFormat="0" applyAlignment="0" applyProtection="0"/>
    <xf numFmtId="0" fontId="76" fillId="34" borderId="389" applyNumberFormat="0" applyAlignment="0" applyProtection="0"/>
    <xf numFmtId="0" fontId="76" fillId="34" borderId="393" applyNumberForma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1" fillId="21" borderId="393" applyNumberForma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84" fillId="34" borderId="394" applyNumberFormat="0" applyAlignment="0" applyProtection="0"/>
    <xf numFmtId="0" fontId="5" fillId="0" borderId="395" applyNumberFormat="0" applyFill="0" applyAlignment="0" applyProtection="0"/>
    <xf numFmtId="0" fontId="81" fillId="21" borderId="393" applyNumberFormat="0" applyAlignment="0" applyProtection="0"/>
    <xf numFmtId="0" fontId="12" fillId="37" borderId="392" applyNumberFormat="0" applyFont="0" applyAlignment="0" applyProtection="0"/>
    <xf numFmtId="0" fontId="81" fillId="21" borderId="393" applyNumberFormat="0" applyAlignment="0" applyProtection="0"/>
    <xf numFmtId="0" fontId="81" fillId="21" borderId="393" applyNumberFormat="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84" fillId="34" borderId="394"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84" fillId="34" borderId="394" applyNumberFormat="0" applyAlignment="0" applyProtection="0"/>
    <xf numFmtId="0" fontId="12" fillId="37" borderId="392" applyNumberFormat="0" applyFont="0" applyAlignment="0" applyProtection="0"/>
    <xf numFmtId="0" fontId="81" fillId="21" borderId="393" applyNumberFormat="0" applyAlignment="0" applyProtection="0"/>
    <xf numFmtId="0" fontId="76" fillId="34" borderId="393" applyNumberFormat="0" applyAlignment="0" applyProtection="0"/>
    <xf numFmtId="0" fontId="76" fillId="34" borderId="393" applyNumberForma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12" fillId="37" borderId="392" applyNumberFormat="0" applyFont="0" applyAlignment="0" applyProtection="0"/>
    <xf numFmtId="0" fontId="76" fillId="34" borderId="393" applyNumberForma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84" fillId="34" borderId="394" applyNumberFormat="0" applyAlignment="0" applyProtection="0"/>
    <xf numFmtId="0" fontId="12" fillId="37" borderId="392" applyNumberFormat="0" applyFont="0" applyAlignment="0" applyProtection="0"/>
    <xf numFmtId="0" fontId="81" fillId="21" borderId="393" applyNumberForma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4" fillId="34" borderId="394" applyNumberFormat="0" applyAlignment="0" applyProtection="0"/>
    <xf numFmtId="0" fontId="12" fillId="37" borderId="392" applyNumberFormat="0" applyFont="0" applyAlignment="0" applyProtection="0"/>
    <xf numFmtId="0" fontId="84" fillId="34" borderId="394" applyNumberFormat="0" applyAlignment="0" applyProtection="0"/>
    <xf numFmtId="0" fontId="12" fillId="37" borderId="392" applyNumberFormat="0" applyFont="0" applyAlignment="0" applyProtection="0"/>
    <xf numFmtId="0" fontId="76" fillId="34" borderId="393"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5" fillId="0" borderId="395" applyNumberFormat="0" applyFill="0" applyAlignment="0" applyProtection="0"/>
    <xf numFmtId="0" fontId="84" fillId="34" borderId="394" applyNumberFormat="0" applyAlignment="0" applyProtection="0"/>
    <xf numFmtId="0" fontId="84" fillId="34" borderId="394" applyNumberFormat="0" applyAlignment="0" applyProtection="0"/>
    <xf numFmtId="0" fontId="12" fillId="37" borderId="392" applyNumberFormat="0" applyFont="0" applyAlignment="0" applyProtection="0"/>
    <xf numFmtId="0" fontId="12" fillId="37" borderId="392" applyNumberFormat="0" applyFont="0" applyAlignment="0" applyProtection="0"/>
    <xf numFmtId="0" fontId="81" fillId="21" borderId="393" applyNumberFormat="0" applyAlignment="0" applyProtection="0"/>
    <xf numFmtId="0" fontId="81" fillId="21" borderId="393" applyNumberFormat="0" applyAlignment="0" applyProtection="0"/>
    <xf numFmtId="0" fontId="76" fillId="34" borderId="393" applyNumberFormat="0" applyAlignment="0" applyProtection="0"/>
    <xf numFmtId="0" fontId="76" fillId="34" borderId="393" applyNumberFormat="0" applyAlignment="0" applyProtection="0"/>
    <xf numFmtId="0" fontId="84" fillId="34" borderId="394" applyNumberFormat="0" applyAlignment="0" applyProtection="0"/>
    <xf numFmtId="0" fontId="5" fillId="0" borderId="395" applyNumberFormat="0" applyFill="0" applyAlignment="0" applyProtection="0"/>
    <xf numFmtId="0" fontId="5" fillId="0" borderId="395" applyNumberFormat="0" applyFill="0" applyAlignment="0" applyProtection="0"/>
    <xf numFmtId="0" fontId="12" fillId="37" borderId="392" applyNumberFormat="0" applyFont="0" applyAlignment="0" applyProtection="0"/>
    <xf numFmtId="0" fontId="5" fillId="0" borderId="395" applyNumberFormat="0" applyFill="0" applyAlignment="0" applyProtection="0"/>
    <xf numFmtId="0" fontId="12" fillId="37" borderId="392" applyNumberFormat="0" applyFont="0" applyAlignment="0" applyProtection="0"/>
    <xf numFmtId="0" fontId="81" fillId="21" borderId="393" applyNumberFormat="0" applyAlignment="0" applyProtection="0"/>
    <xf numFmtId="0" fontId="12" fillId="37" borderId="392" applyNumberFormat="0" applyFont="0" applyAlignment="0" applyProtection="0"/>
    <xf numFmtId="0" fontId="76" fillId="34" borderId="393" applyNumberFormat="0" applyAlignment="0" applyProtection="0"/>
    <xf numFmtId="0" fontId="81" fillId="21" borderId="393" applyNumberFormat="0" applyAlignment="0" applyProtection="0"/>
    <xf numFmtId="0" fontId="81" fillId="21" borderId="393" applyNumberFormat="0" applyAlignment="0" applyProtection="0"/>
    <xf numFmtId="0" fontId="5" fillId="0" borderId="395" applyNumberFormat="0" applyFill="0" applyAlignment="0" applyProtection="0"/>
    <xf numFmtId="0" fontId="81" fillId="21" borderId="393" applyNumberFormat="0" applyAlignment="0" applyProtection="0"/>
    <xf numFmtId="0" fontId="84" fillId="34" borderId="394" applyNumberFormat="0" applyAlignment="0" applyProtection="0"/>
    <xf numFmtId="0" fontId="76" fillId="34" borderId="393" applyNumberFormat="0" applyAlignment="0" applyProtection="0"/>
    <xf numFmtId="0" fontId="12" fillId="37" borderId="392" applyNumberFormat="0" applyFont="0" applyAlignment="0" applyProtection="0"/>
    <xf numFmtId="0" fontId="84" fillId="34" borderId="394" applyNumberFormat="0" applyAlignment="0" applyProtection="0"/>
    <xf numFmtId="0" fontId="76" fillId="34" borderId="393" applyNumberFormat="0" applyAlignment="0" applyProtection="0"/>
    <xf numFmtId="0" fontId="12" fillId="37" borderId="410" applyNumberFormat="0" applyFont="0" applyAlignment="0" applyProtection="0"/>
    <xf numFmtId="0" fontId="76" fillId="34" borderId="411" applyNumberFormat="0" applyAlignment="0" applyProtection="0"/>
    <xf numFmtId="0" fontId="12" fillId="37" borderId="402" applyNumberFormat="0" applyFont="0" applyAlignment="0" applyProtection="0"/>
    <xf numFmtId="0" fontId="12" fillId="37" borderId="414" applyNumberFormat="0" applyFont="0" applyAlignment="0" applyProtection="0"/>
    <xf numFmtId="0" fontId="12" fillId="37" borderId="402"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76" fillId="34" borderId="411" applyNumberFormat="0" applyAlignment="0" applyProtection="0"/>
    <xf numFmtId="0" fontId="12" fillId="37" borderId="402" applyNumberFormat="0" applyFont="0" applyAlignment="0" applyProtection="0"/>
    <xf numFmtId="0" fontId="84" fillId="34" borderId="412" applyNumberFormat="0" applyAlignment="0" applyProtection="0"/>
    <xf numFmtId="0" fontId="81" fillId="21" borderId="403" applyNumberFormat="0" applyAlignment="0" applyProtection="0"/>
    <xf numFmtId="0" fontId="5" fillId="0" borderId="413" applyNumberFormat="0" applyFill="0" applyAlignment="0" applyProtection="0"/>
    <xf numFmtId="0" fontId="12" fillId="37" borderId="406" applyNumberFormat="0" applyFont="0" applyAlignment="0" applyProtection="0"/>
    <xf numFmtId="0" fontId="5" fillId="0" borderId="405" applyNumberFormat="0" applyFill="0" applyAlignment="0" applyProtection="0"/>
    <xf numFmtId="0" fontId="12" fillId="37" borderId="410" applyNumberFormat="0" applyFont="0" applyAlignment="0" applyProtection="0"/>
    <xf numFmtId="0" fontId="12" fillId="37" borderId="401"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00" applyNumberFormat="0" applyFont="0" applyAlignment="0" applyProtection="0"/>
    <xf numFmtId="0" fontId="76" fillId="34" borderId="407" applyNumberFormat="0" applyAlignment="0" applyProtection="0"/>
    <xf numFmtId="0" fontId="12" fillId="37" borderId="400"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06" applyNumberFormat="0" applyFont="0" applyAlignment="0" applyProtection="0"/>
    <xf numFmtId="0" fontId="76" fillId="34" borderId="411" applyNumberFormat="0" applyAlignment="0" applyProtection="0"/>
    <xf numFmtId="0" fontId="12" fillId="37" borderId="400" applyNumberFormat="0" applyFont="0" applyAlignment="0" applyProtection="0"/>
    <xf numFmtId="0" fontId="12" fillId="37" borderId="414" applyNumberFormat="0" applyFont="0" applyAlignment="0" applyProtection="0"/>
    <xf numFmtId="0" fontId="5" fillId="0" borderId="405" applyNumberFormat="0" applyFill="0" applyAlignment="0" applyProtection="0"/>
    <xf numFmtId="0" fontId="12" fillId="37" borderId="400" applyNumberFormat="0" applyFont="0" applyAlignment="0" applyProtection="0"/>
    <xf numFmtId="0" fontId="12" fillId="37" borderId="400" applyNumberFormat="0" applyFont="0" applyAlignment="0" applyProtection="0"/>
    <xf numFmtId="0" fontId="81" fillId="21" borderId="411" applyNumberFormat="0" applyAlignment="0" applyProtection="0"/>
    <xf numFmtId="0" fontId="81" fillId="21" borderId="411" applyNumberFormat="0" applyAlignment="0" applyProtection="0"/>
    <xf numFmtId="0" fontId="84" fillId="34" borderId="412" applyNumberFormat="0" applyAlignment="0" applyProtection="0"/>
    <xf numFmtId="0" fontId="81" fillId="21" borderId="411" applyNumberFormat="0" applyAlignment="0" applyProtection="0"/>
    <xf numFmtId="0" fontId="76" fillId="34" borderId="411" applyNumberFormat="0" applyAlignment="0" applyProtection="0"/>
    <xf numFmtId="0" fontId="76" fillId="34" borderId="411"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5" fillId="0" borderId="413" applyNumberFormat="0" applyFill="0" applyAlignment="0" applyProtection="0"/>
    <xf numFmtId="0" fontId="12" fillId="37" borderId="400" applyNumberFormat="0" applyFont="0" applyAlignment="0" applyProtection="0"/>
    <xf numFmtId="0" fontId="81" fillId="21" borderId="411"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2" applyNumberFormat="0" applyFont="0" applyAlignment="0" applyProtection="0"/>
    <xf numFmtId="0" fontId="5" fillId="0" borderId="409" applyNumberFormat="0" applyFill="0" applyAlignment="0" applyProtection="0"/>
    <xf numFmtId="0" fontId="12" fillId="37" borderId="400"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1"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76" fillId="34" borderId="411"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02" applyNumberFormat="0" applyFont="0" applyAlignment="0" applyProtection="0"/>
    <xf numFmtId="0" fontId="12" fillId="37" borderId="410" applyNumberFormat="0" applyFont="0" applyAlignment="0" applyProtection="0"/>
    <xf numFmtId="0" fontId="84" fillId="34" borderId="404" applyNumberFormat="0" applyAlignment="0" applyProtection="0"/>
    <xf numFmtId="0" fontId="84" fillId="34" borderId="412" applyNumberFormat="0" applyAlignment="0" applyProtection="0"/>
    <xf numFmtId="0" fontId="81" fillId="21" borderId="407" applyNumberFormat="0" applyAlignment="0" applyProtection="0"/>
    <xf numFmtId="0" fontId="12" fillId="37" borderId="40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76" fillId="34" borderId="397" applyNumberFormat="0" applyAlignment="0" applyProtection="0"/>
    <xf numFmtId="0" fontId="76" fillId="34" borderId="397" applyNumberFormat="0" applyAlignment="0" applyProtection="0"/>
    <xf numFmtId="0" fontId="81" fillId="21" borderId="397" applyNumberFormat="0" applyAlignment="0" applyProtection="0"/>
    <xf numFmtId="0" fontId="81" fillId="21"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410" applyNumberFormat="0" applyFont="0" applyAlignment="0" applyProtection="0"/>
    <xf numFmtId="0" fontId="12" fillId="37" borderId="396" applyNumberFormat="0" applyFont="0" applyAlignment="0" applyProtection="0"/>
    <xf numFmtId="0" fontId="12" fillId="37" borderId="410" applyNumberFormat="0" applyFont="0" applyAlignment="0" applyProtection="0"/>
    <xf numFmtId="0" fontId="12" fillId="37" borderId="400" applyNumberFormat="0" applyFont="0" applyAlignment="0" applyProtection="0"/>
    <xf numFmtId="0" fontId="84" fillId="34" borderId="412"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01" applyNumberFormat="0" applyFont="0" applyAlignment="0" applyProtection="0"/>
    <xf numFmtId="0" fontId="5" fillId="0" borderId="409" applyNumberFormat="0" applyFill="0" applyAlignment="0" applyProtection="0"/>
    <xf numFmtId="0" fontId="81" fillId="21" borderId="407" applyNumberFormat="0" applyAlignment="0" applyProtection="0"/>
    <xf numFmtId="0" fontId="12" fillId="37" borderId="400" applyNumberFormat="0" applyFont="0" applyAlignment="0" applyProtection="0"/>
    <xf numFmtId="0" fontId="84" fillId="34" borderId="404" applyNumberFormat="0" applyAlignment="0" applyProtection="0"/>
    <xf numFmtId="0" fontId="84" fillId="34" borderId="404" applyNumberFormat="0" applyAlignment="0" applyProtection="0"/>
    <xf numFmtId="0" fontId="84" fillId="34" borderId="412" applyNumberFormat="0" applyAlignment="0" applyProtection="0"/>
    <xf numFmtId="0" fontId="81" fillId="21" borderId="411" applyNumberFormat="0" applyAlignment="0" applyProtection="0"/>
    <xf numFmtId="0" fontId="84" fillId="34" borderId="404"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6"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84" fillId="34" borderId="404" applyNumberFormat="0" applyAlignment="0" applyProtection="0"/>
    <xf numFmtId="0" fontId="5" fillId="0" borderId="405" applyNumberFormat="0" applyFill="0" applyAlignment="0" applyProtection="0"/>
    <xf numFmtId="0" fontId="84" fillId="34" borderId="404" applyNumberFormat="0" applyAlignment="0" applyProtection="0"/>
    <xf numFmtId="0" fontId="12" fillId="37" borderId="402" applyNumberFormat="0" applyFont="0" applyAlignment="0" applyProtection="0"/>
    <xf numFmtId="0" fontId="81" fillId="21"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2" applyNumberFormat="0" applyFont="0" applyAlignment="0" applyProtection="0"/>
    <xf numFmtId="0" fontId="81" fillId="21"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81" fillId="21" borderId="403"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76" fillId="34" borderId="411"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5" fillId="0" borderId="417" applyNumberFormat="0" applyFill="0" applyAlignment="0" applyProtection="0"/>
    <xf numFmtId="0" fontId="12" fillId="37" borderId="402" applyNumberFormat="0" applyFont="0" applyAlignment="0" applyProtection="0"/>
    <xf numFmtId="0" fontId="76" fillId="34" borderId="411" applyNumberFormat="0" applyAlignment="0" applyProtection="0"/>
    <xf numFmtId="0" fontId="5" fillId="0" borderId="413" applyNumberFormat="0" applyFill="0" applyAlignment="0" applyProtection="0"/>
    <xf numFmtId="0" fontId="12" fillId="37" borderId="400" applyNumberFormat="0" applyFont="0" applyAlignment="0" applyProtection="0"/>
    <xf numFmtId="0" fontId="12" fillId="37" borderId="414" applyNumberFormat="0" applyFont="0" applyAlignment="0" applyProtection="0"/>
    <xf numFmtId="0" fontId="81" fillId="21" borderId="411" applyNumberFormat="0" applyAlignment="0" applyProtection="0"/>
    <xf numFmtId="0" fontId="84" fillId="34" borderId="416" applyNumberForma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84" fillId="34" borderId="412" applyNumberFormat="0" applyAlignment="0" applyProtection="0"/>
    <xf numFmtId="0" fontId="84" fillId="34" borderId="404" applyNumberFormat="0" applyAlignment="0" applyProtection="0"/>
    <xf numFmtId="0" fontId="5" fillId="0" borderId="413" applyNumberFormat="0" applyFill="0" applyAlignment="0" applyProtection="0"/>
    <xf numFmtId="0" fontId="84" fillId="34" borderId="412" applyNumberFormat="0" applyAlignment="0" applyProtection="0"/>
    <xf numFmtId="0" fontId="84" fillId="34" borderId="404" applyNumberFormat="0" applyAlignment="0" applyProtection="0"/>
    <xf numFmtId="0" fontId="5" fillId="0" borderId="405" applyNumberFormat="0" applyFill="0" applyAlignment="0" applyProtection="0"/>
    <xf numFmtId="0" fontId="84" fillId="34" borderId="412" applyNumberFormat="0" applyAlignment="0" applyProtection="0"/>
    <xf numFmtId="0" fontId="12" fillId="37" borderId="406" applyNumberFormat="0" applyFont="0" applyAlignment="0" applyProtection="0"/>
    <xf numFmtId="0" fontId="76" fillId="34" borderId="415" applyNumberFormat="0" applyAlignment="0" applyProtection="0"/>
    <xf numFmtId="0" fontId="84" fillId="34" borderId="398" applyNumberFormat="0" applyAlignment="0" applyProtection="0"/>
    <xf numFmtId="0" fontId="81" fillId="21" borderId="397" applyNumberFormat="0" applyAlignment="0" applyProtection="0"/>
    <xf numFmtId="0" fontId="12" fillId="37" borderId="400" applyNumberFormat="0" applyFont="0" applyAlignment="0" applyProtection="0"/>
    <xf numFmtId="0" fontId="84" fillId="34" borderId="412" applyNumberFormat="0" applyAlignment="0" applyProtection="0"/>
    <xf numFmtId="0" fontId="12" fillId="37" borderId="410" applyNumberFormat="0" applyFont="0" applyAlignment="0" applyProtection="0"/>
    <xf numFmtId="0" fontId="12" fillId="37" borderId="400" applyNumberFormat="0" applyFon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84" fillId="34" borderId="398" applyNumberFormat="0" applyAlignment="0" applyProtection="0"/>
    <xf numFmtId="0" fontId="5" fillId="0" borderId="399" applyNumberFormat="0" applyFill="0" applyAlignment="0" applyProtection="0"/>
    <xf numFmtId="0" fontId="81" fillId="21" borderId="397" applyNumberFormat="0" applyAlignment="0" applyProtection="0"/>
    <xf numFmtId="0" fontId="12" fillId="37" borderId="396" applyNumberFormat="0" applyFont="0" applyAlignment="0" applyProtection="0"/>
    <xf numFmtId="0" fontId="81" fillId="21" borderId="397" applyNumberFormat="0" applyAlignment="0" applyProtection="0"/>
    <xf numFmtId="0" fontId="81" fillId="21" borderId="397" applyNumberFormat="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84" fillId="34" borderId="398"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84" fillId="34" borderId="398" applyNumberFormat="0" applyAlignment="0" applyProtection="0"/>
    <xf numFmtId="0" fontId="12" fillId="37" borderId="396" applyNumberFormat="0" applyFont="0" applyAlignment="0" applyProtection="0"/>
    <xf numFmtId="0" fontId="81" fillId="21" borderId="397" applyNumberFormat="0" applyAlignment="0" applyProtection="0"/>
    <xf numFmtId="0" fontId="76" fillId="34" borderId="397" applyNumberFormat="0" applyAlignment="0" applyProtection="0"/>
    <xf numFmtId="0" fontId="76" fillId="34" borderId="397" applyNumberFormat="0" applyAlignment="0" applyProtection="0"/>
    <xf numFmtId="0" fontId="76" fillId="34" borderId="397" applyNumberFormat="0" applyAlignment="0" applyProtection="0"/>
    <xf numFmtId="0" fontId="81" fillId="21" borderId="397" applyNumberFormat="0" applyAlignment="0" applyProtection="0"/>
    <xf numFmtId="0" fontId="81" fillId="21"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12" fillId="37" borderId="396" applyNumberFormat="0" applyFont="0" applyAlignment="0" applyProtection="0"/>
    <xf numFmtId="0" fontId="76" fillId="34" borderId="397" applyNumberForma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84" fillId="34" borderId="398" applyNumberFormat="0" applyAlignment="0" applyProtection="0"/>
    <xf numFmtId="0" fontId="12" fillId="37" borderId="396" applyNumberFormat="0" applyFont="0" applyAlignment="0" applyProtection="0"/>
    <xf numFmtId="0" fontId="81" fillId="21" borderId="397" applyNumberForma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12" fillId="37" borderId="400" applyNumberFormat="0" applyFont="0" applyAlignment="0" applyProtection="0"/>
    <xf numFmtId="0" fontId="12" fillId="37" borderId="396" applyNumberFormat="0" applyFont="0" applyAlignment="0" applyProtection="0"/>
    <xf numFmtId="0" fontId="84" fillId="34" borderId="398" applyNumberFormat="0" applyAlignment="0" applyProtection="0"/>
    <xf numFmtId="0" fontId="12" fillId="37" borderId="396" applyNumberFormat="0" applyFont="0" applyAlignment="0" applyProtection="0"/>
    <xf numFmtId="0" fontId="76" fillId="34" borderId="397"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5" fillId="0" borderId="399" applyNumberFormat="0" applyFill="0" applyAlignment="0" applyProtection="0"/>
    <xf numFmtId="0" fontId="84" fillId="34" borderId="398" applyNumberFormat="0" applyAlignment="0" applyProtection="0"/>
    <xf numFmtId="0" fontId="84" fillId="34" borderId="398" applyNumberFormat="0" applyAlignment="0" applyProtection="0"/>
    <xf numFmtId="0" fontId="12" fillId="37" borderId="396" applyNumberFormat="0" applyFont="0" applyAlignment="0" applyProtection="0"/>
    <xf numFmtId="0" fontId="12" fillId="37" borderId="396" applyNumberFormat="0" applyFont="0" applyAlignment="0" applyProtection="0"/>
    <xf numFmtId="0" fontId="81" fillId="21" borderId="397" applyNumberFormat="0" applyAlignment="0" applyProtection="0"/>
    <xf numFmtId="0" fontId="81" fillId="21" borderId="397" applyNumberFormat="0" applyAlignment="0" applyProtection="0"/>
    <xf numFmtId="0" fontId="76" fillId="34" borderId="397" applyNumberFormat="0" applyAlignment="0" applyProtection="0"/>
    <xf numFmtId="0" fontId="76" fillId="34" borderId="397" applyNumberFormat="0" applyAlignment="0" applyProtection="0"/>
    <xf numFmtId="0" fontId="84" fillId="34" borderId="398" applyNumberFormat="0" applyAlignment="0" applyProtection="0"/>
    <xf numFmtId="0" fontId="5" fillId="0" borderId="399" applyNumberFormat="0" applyFill="0" applyAlignment="0" applyProtection="0"/>
    <xf numFmtId="0" fontId="5" fillId="0" borderId="399" applyNumberFormat="0" applyFill="0" applyAlignment="0" applyProtection="0"/>
    <xf numFmtId="0" fontId="12" fillId="37" borderId="396" applyNumberFormat="0" applyFont="0" applyAlignment="0" applyProtection="0"/>
    <xf numFmtId="0" fontId="5" fillId="0" borderId="399" applyNumberFormat="0" applyFill="0" applyAlignment="0" applyProtection="0"/>
    <xf numFmtId="0" fontId="12" fillId="37" borderId="396" applyNumberFormat="0" applyFont="0" applyAlignment="0" applyProtection="0"/>
    <xf numFmtId="0" fontId="81" fillId="21" borderId="397" applyNumberFormat="0" applyAlignment="0" applyProtection="0"/>
    <xf numFmtId="0" fontId="12" fillId="37" borderId="396" applyNumberFormat="0" applyFont="0" applyAlignment="0" applyProtection="0"/>
    <xf numFmtId="0" fontId="76" fillId="34" borderId="397" applyNumberFormat="0" applyAlignment="0" applyProtection="0"/>
    <xf numFmtId="0" fontId="81" fillId="21" borderId="397" applyNumberFormat="0" applyAlignment="0" applyProtection="0"/>
    <xf numFmtId="0" fontId="5" fillId="0" borderId="405" applyNumberFormat="0" applyFill="0" applyAlignment="0" applyProtection="0"/>
    <xf numFmtId="0" fontId="81" fillId="21" borderId="397" applyNumberFormat="0" applyAlignment="0" applyProtection="0"/>
    <xf numFmtId="0" fontId="5" fillId="0" borderId="399" applyNumberFormat="0" applyFill="0" applyAlignment="0" applyProtection="0"/>
    <xf numFmtId="0" fontId="81" fillId="21" borderId="397" applyNumberFormat="0" applyAlignment="0" applyProtection="0"/>
    <xf numFmtId="0" fontId="84" fillId="34" borderId="398" applyNumberFormat="0" applyAlignment="0" applyProtection="0"/>
    <xf numFmtId="0" fontId="76" fillId="34" borderId="397" applyNumberFormat="0" applyAlignment="0" applyProtection="0"/>
    <xf numFmtId="0" fontId="84" fillId="34" borderId="404" applyNumberFormat="0" applyAlignment="0" applyProtection="0"/>
    <xf numFmtId="0" fontId="12" fillId="37" borderId="396" applyNumberFormat="0" applyFont="0" applyAlignment="0" applyProtection="0"/>
    <xf numFmtId="0" fontId="84" fillId="34" borderId="398" applyNumberFormat="0" applyAlignment="0" applyProtection="0"/>
    <xf numFmtId="0" fontId="76" fillId="34" borderId="397" applyNumberFormat="0" applyAlignment="0" applyProtection="0"/>
    <xf numFmtId="0" fontId="12" fillId="37" borderId="400" applyNumberFormat="0" applyFont="0" applyAlignment="0" applyProtection="0"/>
    <xf numFmtId="0" fontId="84" fillId="34" borderId="412" applyNumberFormat="0" applyAlignment="0" applyProtection="0"/>
    <xf numFmtId="0" fontId="76" fillId="34" borderId="411" applyNumberFormat="0" applyAlignment="0" applyProtection="0"/>
    <xf numFmtId="0" fontId="5" fillId="0" borderId="405" applyNumberFormat="0" applyFill="0" applyAlignment="0" applyProtection="0"/>
    <xf numFmtId="0" fontId="12" fillId="37" borderId="41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00" applyNumberFormat="0" applyFont="0" applyAlignment="0" applyProtection="0"/>
    <xf numFmtId="0" fontId="12" fillId="37" borderId="410" applyNumberFormat="0" applyFont="0" applyAlignment="0" applyProtection="0"/>
    <xf numFmtId="0" fontId="5" fillId="0" borderId="417" applyNumberFormat="0" applyFill="0" applyAlignment="0" applyProtection="0"/>
    <xf numFmtId="0" fontId="12" fillId="37" borderId="400" applyNumberFormat="0" applyFont="0" applyAlignment="0" applyProtection="0"/>
    <xf numFmtId="0" fontId="84" fillId="34" borderId="404" applyNumberFormat="0" applyAlignment="0" applyProtection="0"/>
    <xf numFmtId="0" fontId="12" fillId="37" borderId="402"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76" fillId="34" borderId="403" applyNumberFormat="0" applyAlignment="0" applyProtection="0"/>
    <xf numFmtId="0" fontId="81" fillId="21" borderId="403" applyNumberFormat="0" applyAlignment="0" applyProtection="0"/>
    <xf numFmtId="0" fontId="81" fillId="21"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81" fillId="21" borderId="411"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76" fillId="34" borderId="403" applyNumberFormat="0" applyAlignment="0" applyProtection="0"/>
    <xf numFmtId="0" fontId="81" fillId="21" borderId="403" applyNumberFormat="0" applyAlignment="0" applyProtection="0"/>
    <xf numFmtId="0" fontId="81" fillId="21" borderId="403" applyNumberFormat="0" applyAlignment="0" applyProtection="0"/>
    <xf numFmtId="0" fontId="81" fillId="21" borderId="403" applyNumberFormat="0" applyAlignment="0" applyProtection="0"/>
    <xf numFmtId="0" fontId="5" fillId="0" borderId="405" applyNumberFormat="0" applyFill="0" applyAlignment="0" applyProtection="0"/>
    <xf numFmtId="0" fontId="81" fillId="21" borderId="411" applyNumberFormat="0" applyAlignment="0" applyProtection="0"/>
    <xf numFmtId="0" fontId="12" fillId="37" borderId="410" applyNumberFormat="0" applyFont="0" applyAlignment="0" applyProtection="0"/>
    <xf numFmtId="0" fontId="12" fillId="37" borderId="402" applyNumberFormat="0" applyFont="0" applyAlignment="0" applyProtection="0"/>
    <xf numFmtId="0" fontId="76" fillId="34" borderId="403"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12" fillId="37" borderId="400" applyNumberFormat="0" applyFont="0" applyAlignment="0" applyProtection="0"/>
    <xf numFmtId="0" fontId="5" fillId="0" borderId="405" applyNumberFormat="0" applyFill="0" applyAlignment="0" applyProtection="0"/>
    <xf numFmtId="0" fontId="12" fillId="37" borderId="40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4" fillId="34" borderId="416" applyNumberFormat="0" applyAlignment="0" applyProtection="0"/>
    <xf numFmtId="0" fontId="12" fillId="37" borderId="402" applyNumberFormat="0" applyFont="0" applyAlignment="0" applyProtection="0"/>
    <xf numFmtId="0" fontId="5" fillId="0" borderId="405" applyNumberFormat="0" applyFill="0" applyAlignment="0" applyProtection="0"/>
    <xf numFmtId="0" fontId="5" fillId="0" borderId="405" applyNumberFormat="0" applyFill="0" applyAlignment="0" applyProtection="0"/>
    <xf numFmtId="0" fontId="5" fillId="0" borderId="405" applyNumberFormat="0" applyFill="0" applyAlignment="0" applyProtection="0"/>
    <xf numFmtId="0" fontId="12" fillId="37" borderId="402" applyNumberFormat="0" applyFont="0" applyAlignment="0" applyProtection="0"/>
    <xf numFmtId="0" fontId="12" fillId="37" borderId="402" applyNumberFormat="0" applyFont="0" applyAlignment="0" applyProtection="0"/>
    <xf numFmtId="0" fontId="12" fillId="37" borderId="406"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81" fillId="21" borderId="403" applyNumberForma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76" fillId="34" borderId="411" applyNumberFormat="0" applyAlignment="0" applyProtection="0"/>
    <xf numFmtId="0" fontId="84" fillId="34" borderId="408" applyNumberFormat="0" applyAlignment="0" applyProtection="0"/>
    <xf numFmtId="0" fontId="76" fillId="34" borderId="407" applyNumberFormat="0" applyAlignment="0" applyProtection="0"/>
    <xf numFmtId="0" fontId="84" fillId="34" borderId="404"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5" fillId="0" borderId="405" applyNumberFormat="0" applyFill="0" applyAlignment="0" applyProtection="0"/>
    <xf numFmtId="0" fontId="12" fillId="37" borderId="401" applyNumberFormat="0" applyFont="0" applyAlignment="0" applyProtection="0"/>
    <xf numFmtId="0" fontId="76" fillId="34" borderId="403" applyNumberFormat="0" applyAlignment="0" applyProtection="0"/>
    <xf numFmtId="0" fontId="5" fillId="0" borderId="405" applyNumberFormat="0" applyFill="0" applyAlignment="0" applyProtection="0"/>
    <xf numFmtId="0" fontId="81" fillId="21" borderId="403" applyNumberFormat="0" applyAlignment="0" applyProtection="0"/>
    <xf numFmtId="0" fontId="76" fillId="34" borderId="403" applyNumberFormat="0" applyAlignment="0" applyProtection="0"/>
    <xf numFmtId="0" fontId="5" fillId="0" borderId="413" applyNumberFormat="0" applyFill="0" applyAlignment="0" applyProtection="0"/>
    <xf numFmtId="0" fontId="5" fillId="0" borderId="413" applyNumberFormat="0" applyFill="0" applyAlignment="0" applyProtection="0"/>
    <xf numFmtId="0" fontId="12" fillId="37" borderId="410" applyNumberFormat="0" applyFont="0" applyAlignment="0" applyProtection="0"/>
    <xf numFmtId="0" fontId="84" fillId="34" borderId="412" applyNumberFormat="0" applyAlignment="0" applyProtection="0"/>
    <xf numFmtId="0" fontId="76" fillId="34" borderId="403" applyNumberFormat="0" applyAlignment="0" applyProtection="0"/>
    <xf numFmtId="0" fontId="12" fillId="37" borderId="401" applyNumberFormat="0" applyFont="0" applyAlignment="0" applyProtection="0"/>
    <xf numFmtId="0" fontId="12" fillId="37" borderId="402" applyNumberFormat="0" applyFont="0" applyAlignment="0" applyProtection="0"/>
    <xf numFmtId="0" fontId="12" fillId="37" borderId="400" applyNumberFormat="0" applyFont="0" applyAlignment="0" applyProtection="0"/>
    <xf numFmtId="0" fontId="84" fillId="34" borderId="412" applyNumberFormat="0" applyAlignment="0" applyProtection="0"/>
    <xf numFmtId="0" fontId="76" fillId="34" borderId="411"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84" fillId="34" borderId="404" applyNumberFormat="0" applyAlignment="0" applyProtection="0"/>
    <xf numFmtId="0" fontId="12" fillId="37" borderId="402" applyNumberFormat="0" applyFont="0" applyAlignment="0" applyProtection="0"/>
    <xf numFmtId="0" fontId="81" fillId="21" borderId="403" applyNumberForma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12" fillId="37" borderId="410" applyNumberFormat="0" applyFont="0" applyAlignment="0" applyProtection="0"/>
    <xf numFmtId="0" fontId="12" fillId="37" borderId="402" applyNumberFormat="0" applyFont="0" applyAlignment="0" applyProtection="0"/>
    <xf numFmtId="0" fontId="84" fillId="34" borderId="404" applyNumberFormat="0" applyAlignment="0" applyProtection="0"/>
    <xf numFmtId="0" fontId="12" fillId="37" borderId="402"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5" fillId="0" borderId="405" applyNumberFormat="0" applyFill="0" applyAlignment="0" applyProtection="0"/>
    <xf numFmtId="0" fontId="84" fillId="34" borderId="404" applyNumberFormat="0" applyAlignment="0" applyProtection="0"/>
    <xf numFmtId="0" fontId="84" fillId="34" borderId="404" applyNumberFormat="0" applyAlignment="0" applyProtection="0"/>
    <xf numFmtId="0" fontId="12" fillId="37" borderId="402" applyNumberFormat="0" applyFont="0" applyAlignment="0" applyProtection="0"/>
    <xf numFmtId="0" fontId="12" fillId="37" borderId="402" applyNumberFormat="0" applyFont="0" applyAlignment="0" applyProtection="0"/>
    <xf numFmtId="0" fontId="81" fillId="21" borderId="403" applyNumberFormat="0" applyAlignment="0" applyProtection="0"/>
    <xf numFmtId="0" fontId="81" fillId="21" borderId="403" applyNumberFormat="0" applyAlignment="0" applyProtection="0"/>
    <xf numFmtId="0" fontId="76" fillId="34" borderId="403" applyNumberFormat="0" applyAlignment="0" applyProtection="0"/>
    <xf numFmtId="0" fontId="76" fillId="34" borderId="403" applyNumberFormat="0" applyAlignment="0" applyProtection="0"/>
    <xf numFmtId="0" fontId="84" fillId="34" borderId="404" applyNumberFormat="0" applyAlignment="0" applyProtection="0"/>
    <xf numFmtId="0" fontId="5" fillId="0" borderId="405" applyNumberFormat="0" applyFill="0" applyAlignment="0" applyProtection="0"/>
    <xf numFmtId="0" fontId="5" fillId="0" borderId="405" applyNumberFormat="0" applyFill="0" applyAlignment="0" applyProtection="0"/>
    <xf numFmtId="0" fontId="12" fillId="37" borderId="402" applyNumberFormat="0" applyFont="0" applyAlignment="0" applyProtection="0"/>
    <xf numFmtId="0" fontId="5" fillId="0" borderId="405" applyNumberFormat="0" applyFill="0" applyAlignment="0" applyProtection="0"/>
    <xf numFmtId="0" fontId="12" fillId="37" borderId="402" applyNumberFormat="0" applyFont="0" applyAlignment="0" applyProtection="0"/>
    <xf numFmtId="0" fontId="81" fillId="21" borderId="403" applyNumberFormat="0" applyAlignment="0" applyProtection="0"/>
    <xf numFmtId="0" fontId="12" fillId="37" borderId="402" applyNumberFormat="0" applyFont="0" applyAlignment="0" applyProtection="0"/>
    <xf numFmtId="0" fontId="76" fillId="34" borderId="403" applyNumberFormat="0" applyAlignment="0" applyProtection="0"/>
    <xf numFmtId="0" fontId="81" fillId="21" borderId="403" applyNumberFormat="0" applyAlignment="0" applyProtection="0"/>
    <xf numFmtId="0" fontId="81" fillId="21" borderId="411" applyNumberFormat="0" applyAlignment="0" applyProtection="0"/>
    <xf numFmtId="0" fontId="81" fillId="21" borderId="403" applyNumberFormat="0" applyAlignment="0" applyProtection="0"/>
    <xf numFmtId="0" fontId="5" fillId="0" borderId="405" applyNumberFormat="0" applyFill="0" applyAlignment="0" applyProtection="0"/>
    <xf numFmtId="0" fontId="81" fillId="21" borderId="403" applyNumberFormat="0" applyAlignment="0" applyProtection="0"/>
    <xf numFmtId="0" fontId="84" fillId="34" borderId="404" applyNumberFormat="0" applyAlignment="0" applyProtection="0"/>
    <xf numFmtId="0" fontId="12" fillId="37" borderId="410" applyNumberFormat="0" applyFont="0" applyAlignment="0" applyProtection="0"/>
    <xf numFmtId="0" fontId="76" fillId="34" borderId="403" applyNumberFormat="0" applyAlignment="0" applyProtection="0"/>
    <xf numFmtId="0" fontId="12" fillId="37" borderId="402" applyNumberFormat="0" applyFont="0" applyAlignment="0" applyProtection="0"/>
    <xf numFmtId="0" fontId="84" fillId="34" borderId="404" applyNumberFormat="0" applyAlignment="0" applyProtection="0"/>
    <xf numFmtId="0" fontId="76" fillId="34" borderId="403" applyNumberFormat="0" applyAlignment="0" applyProtection="0"/>
    <xf numFmtId="0" fontId="84" fillId="34" borderId="412" applyNumberFormat="0" applyAlignment="0" applyProtection="0"/>
    <xf numFmtId="0" fontId="76" fillId="34" borderId="411" applyNumberFormat="0" applyAlignment="0" applyProtection="0"/>
    <xf numFmtId="0" fontId="81" fillId="21" borderId="411" applyNumberFormat="0" applyAlignment="0" applyProtection="0"/>
    <xf numFmtId="0" fontId="5" fillId="0" borderId="413" applyNumberFormat="0" applyFill="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08" applyNumberFormat="0" applyAlignment="0" applyProtection="0"/>
    <xf numFmtId="0" fontId="12" fillId="37" borderId="410" applyNumberFormat="0" applyFont="0" applyAlignment="0" applyProtection="0"/>
    <xf numFmtId="0" fontId="5" fillId="0" borderId="413" applyNumberFormat="0" applyFill="0" applyAlignment="0" applyProtection="0"/>
    <xf numFmtId="0" fontId="5" fillId="0" borderId="413" applyNumberFormat="0" applyFill="0" applyAlignment="0" applyProtection="0"/>
    <xf numFmtId="0" fontId="81" fillId="21" borderId="411" applyNumberFormat="0" applyAlignment="0" applyProtection="0"/>
    <xf numFmtId="0" fontId="5" fillId="0" borderId="413" applyNumberFormat="0" applyFill="0" applyAlignment="0" applyProtection="0"/>
    <xf numFmtId="0" fontId="76" fillId="34" borderId="411" applyNumberFormat="0" applyAlignment="0" applyProtection="0"/>
    <xf numFmtId="0" fontId="84" fillId="34" borderId="412" applyNumberForma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12" fillId="37" borderId="410" applyNumberFormat="0" applyFont="0" applyAlignment="0" applyProtection="0"/>
    <xf numFmtId="0" fontId="84" fillId="34" borderId="412" applyNumberFormat="0" applyAlignment="0" applyProtection="0"/>
    <xf numFmtId="0" fontId="84" fillId="34" borderId="412" applyNumberFormat="0" applyAlignment="0" applyProtection="0"/>
    <xf numFmtId="0" fontId="12" fillId="37" borderId="414" applyNumberFormat="0" applyFont="0" applyAlignment="0" applyProtection="0"/>
    <xf numFmtId="0" fontId="5" fillId="0" borderId="413" applyNumberFormat="0" applyFill="0" applyAlignment="0" applyProtection="0"/>
    <xf numFmtId="0" fontId="12" fillId="37" borderId="410" applyNumberFormat="0" applyFont="0" applyAlignment="0" applyProtection="0"/>
    <xf numFmtId="0" fontId="76" fillId="34" borderId="411" applyNumberFormat="0" applyAlignment="0" applyProtection="0"/>
    <xf numFmtId="0" fontId="12" fillId="37" borderId="410" applyNumberFormat="0" applyFont="0" applyAlignment="0" applyProtection="0"/>
    <xf numFmtId="0" fontId="81" fillId="21" borderId="415" applyNumberFormat="0" applyAlignment="0" applyProtection="0"/>
    <xf numFmtId="0" fontId="76" fillId="34" borderId="411" applyNumberFormat="0" applyAlignment="0" applyProtection="0"/>
    <xf numFmtId="0" fontId="12" fillId="37" borderId="414" applyNumberFormat="0" applyFont="0" applyAlignment="0" applyProtection="0"/>
    <xf numFmtId="0" fontId="5" fillId="0" borderId="413" applyNumberFormat="0" applyFill="0" applyAlignment="0" applyProtection="0"/>
    <xf numFmtId="0" fontId="76" fillId="34" borderId="411" applyNumberFormat="0" applyAlignment="0" applyProtection="0"/>
    <xf numFmtId="0" fontId="12" fillId="37" borderId="410" applyNumberFormat="0" applyFont="0" applyAlignment="0" applyProtection="0"/>
    <xf numFmtId="0" fontId="76" fillId="34" borderId="411" applyNumberFormat="0" applyAlignment="0" applyProtection="0"/>
    <xf numFmtId="0" fontId="84" fillId="34" borderId="412" applyNumberFormat="0" applyAlignment="0" applyProtection="0"/>
    <xf numFmtId="0" fontId="81" fillId="21" borderId="411" applyNumberFormat="0" applyAlignment="0" applyProtection="0"/>
    <xf numFmtId="0" fontId="12" fillId="37" borderId="410" applyNumberFormat="0" applyFont="0" applyAlignment="0" applyProtection="0"/>
    <xf numFmtId="0" fontId="84" fillId="34" borderId="412" applyNumberFormat="0" applyAlignment="0" applyProtection="0"/>
    <xf numFmtId="0" fontId="76" fillId="34" borderId="411"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14" fillId="0" borderId="0"/>
    <xf numFmtId="44" fontId="114" fillId="0" borderId="0" applyFont="0" applyFill="0" applyBorder="0" applyAlignment="0" applyProtection="0"/>
    <xf numFmtId="43" fontId="114" fillId="0" borderId="0" applyFont="0" applyFill="0" applyBorder="0" applyAlignment="0" applyProtection="0"/>
    <xf numFmtId="9" fontId="114" fillId="0" borderId="0" applyFont="0" applyFill="0" applyBorder="0" applyAlignment="0" applyProtection="0"/>
    <xf numFmtId="0" fontId="57" fillId="0" borderId="0"/>
    <xf numFmtId="0" fontId="114" fillId="0" borderId="0"/>
    <xf numFmtId="43" fontId="26" fillId="0" borderId="0" applyFont="0" applyFill="0" applyBorder="0" applyAlignment="0" applyProtection="0"/>
    <xf numFmtId="44" fontId="26" fillId="0" borderId="0" applyFont="0" applyFill="0" applyBorder="0" applyAlignment="0" applyProtection="0"/>
    <xf numFmtId="0" fontId="22" fillId="0" borderId="0" applyNumberFormat="0" applyFill="0" applyBorder="0" applyAlignment="0" applyProtection="0">
      <alignment vertical="top"/>
      <protection locked="0"/>
    </xf>
    <xf numFmtId="9" fontId="26" fillId="0" borderId="0" applyFont="0" applyFill="0" applyBorder="0" applyAlignment="0" applyProtection="0"/>
    <xf numFmtId="0" fontId="114" fillId="0" borderId="0"/>
    <xf numFmtId="44" fontId="12" fillId="0" borderId="0" applyFont="0" applyFill="0" applyBorder="0" applyAlignment="0" applyProtection="0"/>
    <xf numFmtId="43" fontId="12" fillId="0" borderId="0" applyFont="0" applyFill="0" applyBorder="0" applyAlignment="0" applyProtection="0"/>
    <xf numFmtId="0" fontId="22" fillId="0" borderId="0" applyNumberFormat="0" applyFill="0" applyBorder="0" applyAlignment="0" applyProtection="0">
      <alignment vertical="top"/>
      <protection locked="0"/>
    </xf>
    <xf numFmtId="0" fontId="12" fillId="0" borderId="0"/>
    <xf numFmtId="0" fontId="12" fillId="0" borderId="0"/>
    <xf numFmtId="0" fontId="1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4"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3" fillId="35" borderId="432"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2" applyNumberFormat="0" applyAlignment="0" applyProtection="0"/>
    <xf numFmtId="0" fontId="3" fillId="35" borderId="432"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2" applyNumberFormat="0" applyAlignment="0" applyProtection="0"/>
    <xf numFmtId="0" fontId="80" fillId="0" borderId="430" applyNumberFormat="0" applyFill="0" applyAlignment="0" applyProtection="0"/>
    <xf numFmtId="0" fontId="80" fillId="0" borderId="430" applyNumberFormat="0" applyFill="0" applyAlignment="0" applyProtection="0"/>
    <xf numFmtId="0" fontId="3" fillId="35" borderId="431" applyNumberFormat="0" applyAlignment="0" applyProtection="0"/>
    <xf numFmtId="0" fontId="3" fillId="35" borderId="431" applyNumberFormat="0" applyAlignment="0" applyProtection="0"/>
    <xf numFmtId="0" fontId="3" fillId="35" borderId="431" applyNumberFormat="0" applyAlignment="0" applyProtection="0"/>
    <xf numFmtId="0" fontId="3" fillId="35" borderId="432" applyNumberFormat="0" applyAlignment="0" applyProtection="0"/>
    <xf numFmtId="0" fontId="3" fillId="35" borderId="432" applyNumberFormat="0" applyAlignment="0" applyProtection="0"/>
    <xf numFmtId="0" fontId="3" fillId="35" borderId="433" applyNumberFormat="0" applyAlignment="0" applyProtection="0"/>
    <xf numFmtId="0" fontId="80" fillId="0" borderId="435" applyNumberFormat="0" applyFill="0" applyAlignment="0" applyProtection="0"/>
    <xf numFmtId="0" fontId="76" fillId="34" borderId="243" applyNumberFormat="0" applyAlignment="0" applyProtection="0"/>
    <xf numFmtId="0" fontId="81" fillId="21" borderId="24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0" fillId="0" borderId="43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5"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76" fillId="34" borderId="415"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3" fillId="35" borderId="433" applyNumberFormat="0" applyAlignment="0" applyProtection="0"/>
    <xf numFmtId="0" fontId="84" fillId="34" borderId="416"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1" fillId="21" borderId="24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0" fillId="0" borderId="434"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0" fillId="0" borderId="43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0" fillId="0" borderId="434" applyNumberFormat="0" applyFill="0" applyAlignment="0" applyProtection="0"/>
    <xf numFmtId="0" fontId="80" fillId="0" borderId="434" applyNumberFormat="0" applyFill="0" applyAlignment="0" applyProtection="0"/>
    <xf numFmtId="0" fontId="80" fillId="0" borderId="434" applyNumberFormat="0" applyFill="0" applyAlignment="0" applyProtection="0"/>
    <xf numFmtId="0" fontId="12" fillId="37" borderId="246" applyNumberFormat="0" applyFont="0" applyAlignment="0" applyProtection="0"/>
    <xf numFmtId="0" fontId="80" fillId="0" borderId="434" applyNumberFormat="0" applyFill="0" applyAlignment="0" applyProtection="0"/>
    <xf numFmtId="0" fontId="81" fillId="21" borderId="243"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76" fillId="34" borderId="415" applyNumberFormat="0" applyAlignment="0" applyProtection="0"/>
    <xf numFmtId="0" fontId="84" fillId="34" borderId="244"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416"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4" fillId="34" borderId="244"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244" applyNumberFormat="0" applyAlignment="0" applyProtection="0"/>
    <xf numFmtId="0" fontId="76" fillId="34" borderId="415" applyNumberFormat="0" applyAlignment="0" applyProtection="0"/>
    <xf numFmtId="0" fontId="84" fillId="34" borderId="244" applyNumberForma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416"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12" fillId="37" borderId="414"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415"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246"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245" applyNumberFormat="0" applyFill="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246"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417"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245"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5" fillId="0" borderId="245"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243"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243"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244"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245"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243"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243"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246"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245" applyNumberFormat="0" applyFill="0" applyAlignment="0" applyProtection="0"/>
    <xf numFmtId="0" fontId="81" fillId="21" borderId="415" applyNumberFormat="0" applyAlignment="0" applyProtection="0"/>
    <xf numFmtId="0" fontId="84" fillId="34" borderId="244"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245" applyNumberFormat="0" applyFill="0" applyAlignment="0" applyProtection="0"/>
    <xf numFmtId="0" fontId="76" fillId="34" borderId="415" applyNumberFormat="0" applyAlignment="0" applyProtection="0"/>
    <xf numFmtId="0" fontId="84" fillId="34" borderId="244"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0" fillId="0" borderId="43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0" fillId="0" borderId="43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3" fillId="35" borderId="433" applyNumberFormat="0" applyAlignment="0" applyProtection="0"/>
    <xf numFmtId="0" fontId="80" fillId="0" borderId="435" applyNumberFormat="0" applyFill="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0" fillId="0" borderId="434" applyNumberFormat="0" applyFill="0" applyAlignment="0" applyProtection="0"/>
    <xf numFmtId="0" fontId="80" fillId="0" borderId="434" applyNumberFormat="0" applyFill="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3" fillId="35" borderId="43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4" fillId="34" borderId="244" applyNumberForma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4" fillId="34" borderId="244" applyNumberFormat="0" applyAlignment="0" applyProtection="0"/>
    <xf numFmtId="0" fontId="5" fillId="0" borderId="245" applyNumberFormat="0" applyFill="0" applyAlignment="0" applyProtection="0"/>
    <xf numFmtId="0" fontId="81" fillId="21" borderId="243" applyNumberForma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81" fillId="21" borderId="243" applyNumberForma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84" fillId="34" borderId="244" applyNumberFormat="0" applyAlignment="0" applyProtection="0"/>
    <xf numFmtId="0" fontId="12" fillId="37" borderId="246" applyNumberFormat="0" applyFont="0" applyAlignment="0" applyProtection="0"/>
    <xf numFmtId="0" fontId="76" fillId="34" borderId="243"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5" fillId="0" borderId="245" applyNumberFormat="0" applyFill="0" applyAlignment="0" applyProtection="0"/>
    <xf numFmtId="0" fontId="84" fillId="34" borderId="244" applyNumberFormat="0" applyAlignment="0" applyProtection="0"/>
    <xf numFmtId="0" fontId="84" fillId="34" borderId="244" applyNumberFormat="0" applyAlignment="0" applyProtection="0"/>
    <xf numFmtId="0" fontId="12" fillId="37" borderId="246" applyNumberFormat="0" applyFont="0" applyAlignment="0" applyProtection="0"/>
    <xf numFmtId="0" fontId="12" fillId="37" borderId="246" applyNumberFormat="0" applyFont="0" applyAlignment="0" applyProtection="0"/>
    <xf numFmtId="0" fontId="81" fillId="21" borderId="243" applyNumberFormat="0" applyAlignment="0" applyProtection="0"/>
    <xf numFmtId="0" fontId="81" fillId="21" borderId="243" applyNumberFormat="0" applyAlignment="0" applyProtection="0"/>
    <xf numFmtId="0" fontId="76" fillId="34" borderId="243" applyNumberFormat="0" applyAlignment="0" applyProtection="0"/>
    <xf numFmtId="0" fontId="76" fillId="34" borderId="243" applyNumberFormat="0" applyAlignment="0" applyProtection="0"/>
    <xf numFmtId="0" fontId="84" fillId="34" borderId="244" applyNumberFormat="0" applyAlignment="0" applyProtection="0"/>
    <xf numFmtId="0" fontId="5" fillId="0" borderId="245" applyNumberFormat="0" applyFill="0" applyAlignment="0" applyProtection="0"/>
    <xf numFmtId="0" fontId="5" fillId="0" borderId="245" applyNumberFormat="0" applyFill="0" applyAlignment="0" applyProtection="0"/>
    <xf numFmtId="0" fontId="12" fillId="37" borderId="246" applyNumberFormat="0" applyFont="0" applyAlignment="0" applyProtection="0"/>
    <xf numFmtId="0" fontId="5" fillId="0" borderId="245" applyNumberFormat="0" applyFill="0" applyAlignment="0" applyProtection="0"/>
    <xf numFmtId="0" fontId="12" fillId="37" borderId="246" applyNumberFormat="0" applyFont="0" applyAlignment="0" applyProtection="0"/>
    <xf numFmtId="0" fontId="81" fillId="21" borderId="243" applyNumberFormat="0" applyAlignment="0" applyProtection="0"/>
    <xf numFmtId="0" fontId="12" fillId="37" borderId="246" applyNumberFormat="0" applyFont="0" applyAlignment="0" applyProtection="0"/>
    <xf numFmtId="0" fontId="76" fillId="34" borderId="243" applyNumberFormat="0" applyAlignment="0" applyProtection="0"/>
    <xf numFmtId="0" fontId="81" fillId="21" borderId="243" applyNumberFormat="0" applyAlignment="0" applyProtection="0"/>
    <xf numFmtId="0" fontId="81" fillId="21" borderId="243" applyNumberFormat="0" applyAlignment="0" applyProtection="0"/>
    <xf numFmtId="0" fontId="5" fillId="0" borderId="245" applyNumberFormat="0" applyFill="0" applyAlignment="0" applyProtection="0"/>
    <xf numFmtId="0" fontId="81" fillId="21" borderId="243" applyNumberFormat="0" applyAlignment="0" applyProtection="0"/>
    <xf numFmtId="0" fontId="84" fillId="34" borderId="244" applyNumberFormat="0" applyAlignment="0" applyProtection="0"/>
    <xf numFmtId="0" fontId="76" fillId="34" borderId="243" applyNumberFormat="0" applyAlignment="0" applyProtection="0"/>
    <xf numFmtId="0" fontId="12" fillId="37" borderId="246" applyNumberFormat="0" applyFont="0" applyAlignment="0" applyProtection="0"/>
    <xf numFmtId="0" fontId="84" fillId="34" borderId="244" applyNumberFormat="0" applyAlignment="0" applyProtection="0"/>
    <xf numFmtId="0" fontId="76" fillId="34" borderId="243" applyNumberFormat="0" applyAlignment="0" applyProtection="0"/>
    <xf numFmtId="0" fontId="80" fillId="0" borderId="435" applyNumberFormat="0" applyFill="0" applyAlignment="0" applyProtection="0"/>
    <xf numFmtId="0" fontId="80" fillId="0" borderId="435"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0" fillId="0" borderId="436" applyNumberFormat="0" applyFill="0" applyAlignment="0" applyProtection="0"/>
    <xf numFmtId="0" fontId="80" fillId="0" borderId="436"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0" fillId="0" borderId="436" applyNumberFormat="0" applyFill="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0" fillId="0" borderId="436"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80" fillId="0" borderId="436" applyNumberFormat="0" applyFill="0" applyAlignment="0" applyProtection="0"/>
    <xf numFmtId="0" fontId="80" fillId="0" borderId="436"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0" fillId="0" borderId="442"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0" fillId="0" borderId="442"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0" fillId="0" borderId="442"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14" applyNumberFormat="0" applyFont="0" applyAlignment="0" applyProtection="0"/>
    <xf numFmtId="0" fontId="81" fillId="21" borderId="438"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38"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84" fillId="34" borderId="416" applyNumberFormat="0" applyAlignment="0" applyProtection="0"/>
    <xf numFmtId="0" fontId="81" fillId="21" borderId="415"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84" fillId="34" borderId="416" applyNumberFormat="0" applyAlignment="0" applyProtection="0"/>
    <xf numFmtId="0" fontId="84" fillId="34" borderId="439"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38"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38" applyNumberFormat="0" applyAlignment="0" applyProtection="0"/>
    <xf numFmtId="0" fontId="5" fillId="0" borderId="417" applyNumberFormat="0" applyFill="0" applyAlignment="0" applyProtection="0"/>
    <xf numFmtId="0" fontId="84" fillId="34" borderId="439" applyNumberFormat="0" applyAlignment="0" applyProtection="0"/>
    <xf numFmtId="0" fontId="5" fillId="0" borderId="417" applyNumberFormat="0" applyFill="0" applyAlignment="0" applyProtection="0"/>
    <xf numFmtId="0" fontId="12" fillId="37" borderId="437" applyNumberFormat="0" applyFon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40"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39" applyNumberFormat="0" applyAlignment="0" applyProtection="0"/>
    <xf numFmtId="0" fontId="12" fillId="37" borderId="414"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84" fillId="34" borderId="416"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39" applyNumberFormat="0" applyAlignment="0" applyProtection="0"/>
    <xf numFmtId="0" fontId="5" fillId="0" borderId="417"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38"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15" applyNumberFormat="0" applyAlignment="0" applyProtection="0"/>
    <xf numFmtId="0" fontId="80" fillId="0" borderId="441"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38"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76" fillId="34" borderId="438"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38"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15"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39"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15"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15"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81" fillId="21" borderId="438"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14"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15"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15"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17" applyNumberFormat="0" applyFill="0" applyAlignment="0" applyProtection="0"/>
    <xf numFmtId="0" fontId="5" fillId="0" borderId="440" applyNumberFormat="0" applyFill="0" applyAlignment="0" applyProtection="0"/>
    <xf numFmtId="0" fontId="84" fillId="34" borderId="416"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84" fillId="34" borderId="416"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37"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37" applyNumberFormat="0" applyFon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76" fillId="34" borderId="415"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81" fillId="21" borderId="415" applyNumberForma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5" fillId="0" borderId="417" applyNumberFormat="0" applyFill="0" applyAlignment="0" applyProtection="0"/>
    <xf numFmtId="0" fontId="84" fillId="34" borderId="416"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81" fillId="21" borderId="415" applyNumberFormat="0" applyAlignment="0" applyProtection="0"/>
    <xf numFmtId="0" fontId="81" fillId="21" borderId="415" applyNumberFormat="0" applyAlignment="0" applyProtection="0"/>
    <xf numFmtId="0" fontId="76" fillId="34" borderId="415" applyNumberFormat="0" applyAlignment="0" applyProtection="0"/>
    <xf numFmtId="0" fontId="76" fillId="34" borderId="415" applyNumberFormat="0" applyAlignment="0" applyProtection="0"/>
    <xf numFmtId="0" fontId="84" fillId="34" borderId="416" applyNumberFormat="0" applyAlignment="0" applyProtection="0"/>
    <xf numFmtId="0" fontId="5" fillId="0" borderId="417" applyNumberFormat="0" applyFill="0" applyAlignment="0" applyProtection="0"/>
    <xf numFmtId="0" fontId="5" fillId="0" borderId="417" applyNumberFormat="0" applyFill="0" applyAlignment="0" applyProtection="0"/>
    <xf numFmtId="0" fontId="12" fillId="37" borderId="414" applyNumberFormat="0" applyFont="0" applyAlignment="0" applyProtection="0"/>
    <xf numFmtId="0" fontId="5" fillId="0" borderId="417" applyNumberFormat="0" applyFill="0" applyAlignment="0" applyProtection="0"/>
    <xf numFmtId="0" fontId="12" fillId="37" borderId="414" applyNumberFormat="0" applyFont="0" applyAlignment="0" applyProtection="0"/>
    <xf numFmtId="0" fontId="81" fillId="21"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1" fillId="21" borderId="415" applyNumberFormat="0" applyAlignment="0" applyProtection="0"/>
    <xf numFmtId="0" fontId="81" fillId="21"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81" fillId="21"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84" fillId="34" borderId="416" applyNumberFormat="0" applyAlignment="0" applyProtection="0"/>
    <xf numFmtId="0" fontId="76" fillId="34" borderId="415" applyNumberFormat="0" applyAlignment="0" applyProtection="0"/>
    <xf numFmtId="0" fontId="81" fillId="21" borderId="415"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12" fillId="37" borderId="414" applyNumberFormat="0" applyFont="0" applyAlignment="0" applyProtection="0"/>
    <xf numFmtId="0" fontId="5" fillId="0" borderId="417" applyNumberFormat="0" applyFill="0" applyAlignment="0" applyProtection="0"/>
    <xf numFmtId="0" fontId="5" fillId="0" borderId="417" applyNumberFormat="0" applyFill="0" applyAlignment="0" applyProtection="0"/>
    <xf numFmtId="0" fontId="81" fillId="21" borderId="415" applyNumberFormat="0" applyAlignment="0" applyProtection="0"/>
    <xf numFmtId="0" fontId="5" fillId="0" borderId="417" applyNumberFormat="0" applyFill="0" applyAlignment="0" applyProtection="0"/>
    <xf numFmtId="0" fontId="76" fillId="34" borderId="415" applyNumberFormat="0" applyAlignment="0" applyProtection="0"/>
    <xf numFmtId="0" fontId="84" fillId="34" borderId="416" applyNumberForma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12" fillId="37" borderId="414" applyNumberFormat="0" applyFont="0" applyAlignment="0" applyProtection="0"/>
    <xf numFmtId="0" fontId="84" fillId="34" borderId="416" applyNumberFormat="0" applyAlignment="0" applyProtection="0"/>
    <xf numFmtId="0" fontId="84" fillId="34" borderId="416" applyNumberFormat="0" applyAlignment="0" applyProtection="0"/>
    <xf numFmtId="0" fontId="5" fillId="0" borderId="417" applyNumberFormat="0" applyFill="0" applyAlignment="0" applyProtection="0"/>
    <xf numFmtId="0" fontId="12" fillId="37" borderId="414" applyNumberFormat="0" applyFont="0" applyAlignment="0" applyProtection="0"/>
    <xf numFmtId="0" fontId="76" fillId="34" borderId="415" applyNumberFormat="0" applyAlignment="0" applyProtection="0"/>
    <xf numFmtId="0" fontId="12" fillId="37" borderId="414" applyNumberFormat="0" applyFont="0" applyAlignment="0" applyProtection="0"/>
    <xf numFmtId="0" fontId="84" fillId="34" borderId="439" applyNumberFormat="0" applyAlignment="0" applyProtection="0"/>
    <xf numFmtId="0" fontId="76" fillId="34" borderId="415" applyNumberFormat="0" applyAlignment="0" applyProtection="0"/>
    <xf numFmtId="0" fontId="12" fillId="37" borderId="437" applyNumberFormat="0" applyFont="0" applyAlignment="0" applyProtection="0"/>
    <xf numFmtId="0" fontId="5" fillId="0" borderId="417" applyNumberFormat="0" applyFill="0" applyAlignment="0" applyProtection="0"/>
    <xf numFmtId="0" fontId="76" fillId="34" borderId="415" applyNumberFormat="0" applyAlignment="0" applyProtection="0"/>
    <xf numFmtId="0" fontId="12" fillId="37" borderId="414" applyNumberFormat="0" applyFont="0" applyAlignment="0" applyProtection="0"/>
    <xf numFmtId="0" fontId="76" fillId="34" borderId="415" applyNumberFormat="0" applyAlignment="0" applyProtection="0"/>
    <xf numFmtId="0" fontId="84" fillId="34" borderId="416" applyNumberFormat="0" applyAlignment="0" applyProtection="0"/>
    <xf numFmtId="0" fontId="81" fillId="21" borderId="415" applyNumberFormat="0" applyAlignment="0" applyProtection="0"/>
    <xf numFmtId="0" fontId="12" fillId="37" borderId="414" applyNumberFormat="0" applyFont="0" applyAlignment="0" applyProtection="0"/>
    <xf numFmtId="0" fontId="84" fillId="34" borderId="416" applyNumberFormat="0" applyAlignment="0" applyProtection="0"/>
    <xf numFmtId="0" fontId="76" fillId="34" borderId="415"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0" fillId="0" borderId="442"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5" fillId="0" borderId="440" applyNumberFormat="0" applyFill="0" applyAlignment="0" applyProtection="0"/>
    <xf numFmtId="0" fontId="80" fillId="0" borderId="442"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80" fillId="0" borderId="442"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0" fillId="0" borderId="441"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0" fillId="0" borderId="442"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0" fillId="0" borderId="436" applyNumberFormat="0" applyFill="0" applyAlignment="0" applyProtection="0"/>
    <xf numFmtId="0" fontId="80" fillId="0" borderId="436"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2" applyNumberFormat="0" applyFill="0" applyAlignment="0" applyProtection="0"/>
    <xf numFmtId="0" fontId="80" fillId="0" borderId="442" applyNumberFormat="0" applyFill="0" applyAlignment="0" applyProtection="0"/>
    <xf numFmtId="0" fontId="80" fillId="0" borderId="442"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80" fillId="0" borderId="441"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0" fillId="0" borderId="443" applyNumberFormat="0" applyFill="0" applyAlignment="0" applyProtection="0"/>
    <xf numFmtId="0" fontId="80" fillId="0" borderId="443"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3"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0" fillId="0" borderId="443" applyNumberFormat="0" applyFill="0" applyAlignment="0" applyProtection="0"/>
    <xf numFmtId="0" fontId="80" fillId="0" borderId="443"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0" fillId="0" borderId="443"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4" fillId="34" borderId="447" applyNumberFormat="0" applyAlignment="0" applyProtection="0"/>
    <xf numFmtId="0" fontId="80" fillId="0" borderId="443"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0" fillId="0" borderId="449"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0" fillId="0" borderId="444"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0" fillId="0" borderId="444"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0" fillId="0" borderId="444"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0" fillId="0" borderId="449"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38"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8"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38"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0"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46"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45"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37" applyNumberFormat="0" applyFont="0" applyAlignment="0" applyProtection="0"/>
    <xf numFmtId="0" fontId="76" fillId="34" borderId="446"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12" fillId="37" borderId="445"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46"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45"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46"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38"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12" fillId="37" borderId="437" applyNumberFormat="0" applyFont="0" applyAlignment="0" applyProtection="0"/>
    <xf numFmtId="0" fontId="5" fillId="0" borderId="448"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45"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39" applyNumberFormat="0" applyAlignment="0" applyProtection="0"/>
    <xf numFmtId="0" fontId="81" fillId="21" borderId="438" applyNumberFormat="0" applyAlignment="0" applyProtection="0"/>
    <xf numFmtId="0" fontId="80" fillId="0" borderId="449" applyNumberFormat="0" applyFill="0" applyAlignment="0" applyProtection="0"/>
    <xf numFmtId="0" fontId="81" fillId="21" borderId="446" applyNumberFormat="0" applyAlignment="0" applyProtection="0"/>
    <xf numFmtId="0" fontId="76" fillId="34" borderId="438" applyNumberFormat="0" applyAlignment="0" applyProtection="0"/>
    <xf numFmtId="0" fontId="76" fillId="34" borderId="446"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0"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0"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38"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39" applyNumberFormat="0" applyAlignment="0" applyProtection="0"/>
    <xf numFmtId="0" fontId="12" fillId="37" borderId="445" applyNumberFormat="0" applyFont="0" applyAlignment="0" applyProtection="0"/>
    <xf numFmtId="0" fontId="5" fillId="0" borderId="440" applyNumberFormat="0" applyFill="0" applyAlignment="0" applyProtection="0"/>
    <xf numFmtId="0" fontId="81" fillId="21" borderId="446" applyNumberFormat="0" applyAlignment="0" applyProtection="0"/>
    <xf numFmtId="0" fontId="76" fillId="34" borderId="446" applyNumberFormat="0" applyAlignment="0" applyProtection="0"/>
    <xf numFmtId="0" fontId="80" fillId="0" borderId="444"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38"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38" applyNumberFormat="0" applyAlignment="0" applyProtection="0"/>
    <xf numFmtId="0" fontId="84" fillId="34" borderId="447" applyNumberFormat="0" applyAlignment="0" applyProtection="0"/>
    <xf numFmtId="0" fontId="12" fillId="37" borderId="437"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38"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0" applyNumberFormat="0" applyFill="0" applyAlignment="0" applyProtection="0"/>
    <xf numFmtId="0" fontId="84" fillId="34" borderId="447"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84" fillId="34" borderId="447"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84" fillId="34" borderId="439"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76" fillId="34" borderId="438"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76" fillId="34"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81" fillId="21" borderId="438" applyNumberFormat="0" applyAlignment="0" applyProtection="0"/>
    <xf numFmtId="0" fontId="5" fillId="0" borderId="440" applyNumberFormat="0" applyFill="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76" fillId="34"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84" fillId="34" borderId="439" applyNumberForma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4" fillId="34" borderId="439" applyNumberFormat="0" applyAlignment="0" applyProtection="0"/>
    <xf numFmtId="0" fontId="5" fillId="0" borderId="440" applyNumberFormat="0" applyFill="0" applyAlignment="0" applyProtection="0"/>
    <xf numFmtId="0" fontId="81" fillId="21" borderId="438" applyNumberForma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81" fillId="21" borderId="438" applyNumberForma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84" fillId="34" borderId="439" applyNumberFormat="0" applyAlignment="0" applyProtection="0"/>
    <xf numFmtId="0" fontId="12" fillId="37" borderId="437" applyNumberFormat="0" applyFont="0" applyAlignment="0" applyProtection="0"/>
    <xf numFmtId="0" fontId="76" fillId="34" borderId="438"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5" fillId="0" borderId="440" applyNumberFormat="0" applyFill="0" applyAlignment="0" applyProtection="0"/>
    <xf numFmtId="0" fontId="84" fillId="34" borderId="439" applyNumberFormat="0" applyAlignment="0" applyProtection="0"/>
    <xf numFmtId="0" fontId="84" fillId="34" borderId="439" applyNumberFormat="0" applyAlignment="0" applyProtection="0"/>
    <xf numFmtId="0" fontId="12" fillId="37" borderId="437" applyNumberFormat="0" applyFont="0" applyAlignment="0" applyProtection="0"/>
    <xf numFmtId="0" fontId="12" fillId="37" borderId="437" applyNumberFormat="0" applyFont="0" applyAlignment="0" applyProtection="0"/>
    <xf numFmtId="0" fontId="81" fillId="21" borderId="438" applyNumberFormat="0" applyAlignment="0" applyProtection="0"/>
    <xf numFmtId="0" fontId="81" fillId="21" borderId="438" applyNumberFormat="0" applyAlignment="0" applyProtection="0"/>
    <xf numFmtId="0" fontId="76" fillId="34" borderId="438" applyNumberFormat="0" applyAlignment="0" applyProtection="0"/>
    <xf numFmtId="0" fontId="76" fillId="34" borderId="438" applyNumberFormat="0" applyAlignment="0" applyProtection="0"/>
    <xf numFmtId="0" fontId="84" fillId="34" borderId="439" applyNumberFormat="0" applyAlignment="0" applyProtection="0"/>
    <xf numFmtId="0" fontId="5" fillId="0" borderId="440" applyNumberFormat="0" applyFill="0" applyAlignment="0" applyProtection="0"/>
    <xf numFmtId="0" fontId="5" fillId="0" borderId="440" applyNumberFormat="0" applyFill="0" applyAlignment="0" applyProtection="0"/>
    <xf numFmtId="0" fontId="12" fillId="37" borderId="437" applyNumberFormat="0" applyFont="0" applyAlignment="0" applyProtection="0"/>
    <xf numFmtId="0" fontId="5" fillId="0" borderId="440" applyNumberFormat="0" applyFill="0" applyAlignment="0" applyProtection="0"/>
    <xf numFmtId="0" fontId="12" fillId="37" borderId="437" applyNumberFormat="0" applyFont="0" applyAlignment="0" applyProtection="0"/>
    <xf numFmtId="0" fontId="81" fillId="21" borderId="438" applyNumberFormat="0" applyAlignment="0" applyProtection="0"/>
    <xf numFmtId="0" fontId="12" fillId="37" borderId="437" applyNumberFormat="0" applyFont="0" applyAlignment="0" applyProtection="0"/>
    <xf numFmtId="0" fontId="76" fillId="34" borderId="438" applyNumberFormat="0" applyAlignment="0" applyProtection="0"/>
    <xf numFmtId="0" fontId="81" fillId="21" borderId="438" applyNumberFormat="0" applyAlignment="0" applyProtection="0"/>
    <xf numFmtId="0" fontId="81" fillId="21" borderId="438" applyNumberFormat="0" applyAlignment="0" applyProtection="0"/>
    <xf numFmtId="0" fontId="5" fillId="0" borderId="440" applyNumberFormat="0" applyFill="0" applyAlignment="0" applyProtection="0"/>
    <xf numFmtId="0" fontId="81" fillId="21" borderId="438" applyNumberFormat="0" applyAlignment="0" applyProtection="0"/>
    <xf numFmtId="0" fontId="84" fillId="34" borderId="439" applyNumberFormat="0" applyAlignment="0" applyProtection="0"/>
    <xf numFmtId="0" fontId="76" fillId="34" borderId="438" applyNumberFormat="0" applyAlignment="0" applyProtection="0"/>
    <xf numFmtId="0" fontId="12" fillId="37" borderId="437" applyNumberFormat="0" applyFont="0" applyAlignment="0" applyProtection="0"/>
    <xf numFmtId="0" fontId="84" fillId="34" borderId="439" applyNumberFormat="0" applyAlignment="0" applyProtection="0"/>
    <xf numFmtId="0" fontId="76" fillId="34" borderId="438"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0" fillId="0" borderId="443" applyNumberFormat="0" applyFill="0" applyAlignment="0" applyProtection="0"/>
    <xf numFmtId="0" fontId="80" fillId="0" borderId="443"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0" fillId="0" borderId="449"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80" fillId="0" borderId="449"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0" fillId="0" borderId="449"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45"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5" fillId="0" borderId="448" applyNumberFormat="0" applyFill="0" applyAlignment="0" applyProtection="0"/>
    <xf numFmtId="0" fontId="12" fillId="37" borderId="445" applyNumberFormat="0" applyFont="0" applyAlignment="0" applyProtection="0"/>
    <xf numFmtId="0" fontId="84" fillId="34" borderId="447" applyNumberFormat="0" applyAlignment="0" applyProtection="0"/>
    <xf numFmtId="0" fontId="12" fillId="37" borderId="445" applyNumberFormat="0" applyFont="0" applyAlignment="0" applyProtection="0"/>
    <xf numFmtId="0" fontId="81" fillId="21"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4" applyNumberFormat="0" applyFill="0" applyAlignment="0" applyProtection="0"/>
    <xf numFmtId="0" fontId="80" fillId="0" borderId="444" applyNumberFormat="0" applyFill="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12" fillId="37" borderId="445" applyNumberFormat="0" applyFont="0" applyAlignment="0" applyProtection="0"/>
    <xf numFmtId="0" fontId="80" fillId="0" borderId="449" applyNumberFormat="0" applyFill="0" applyAlignment="0" applyProtection="0"/>
    <xf numFmtId="0" fontId="80" fillId="0" borderId="449"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0" fillId="0" borderId="450" applyNumberFormat="0" applyFill="0" applyAlignment="0" applyProtection="0"/>
    <xf numFmtId="0" fontId="80" fillId="0" borderId="450"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0" fillId="0" borderId="450"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76" fillId="34" borderId="452" applyNumberFormat="0" applyAlignment="0" applyProtection="0"/>
    <xf numFmtId="0" fontId="80" fillId="0" borderId="450" applyNumberFormat="0" applyFill="0" applyAlignment="0" applyProtection="0"/>
    <xf numFmtId="0" fontId="80" fillId="0" borderId="450"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54" applyNumberFormat="0" applyFill="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84" fillId="34" borderId="447" applyNumberFormat="0" applyAlignment="0" applyProtection="0"/>
    <xf numFmtId="0" fontId="84" fillId="34" borderId="447"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81" fillId="21"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81" fillId="21"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76" fillId="34" borderId="446"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12" fillId="37" borderId="451" applyNumberFormat="0" applyFon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47"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81" fillId="21" borderId="446" applyNumberFormat="0" applyAlignment="0" applyProtection="0"/>
    <xf numFmtId="0" fontId="81" fillId="21" borderId="446"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81" fillId="21" borderId="446"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46"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46"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52"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81" fillId="21" borderId="446"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46"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84" fillId="34" borderId="447"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84" fillId="34" borderId="447"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81" fillId="21" borderId="452"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5" fillId="0" borderId="454" applyNumberFormat="0" applyFill="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5" fillId="0" borderId="448"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54"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46"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47"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76" fillId="34" borderId="452" applyNumberFormat="0" applyAlignment="0" applyProtection="0"/>
    <xf numFmtId="0" fontId="5" fillId="0" borderId="448" applyNumberFormat="0" applyFill="0" applyAlignment="0" applyProtection="0"/>
    <xf numFmtId="0" fontId="76" fillId="34" borderId="452" applyNumberFormat="0" applyAlignment="0" applyProtection="0"/>
    <xf numFmtId="0" fontId="81" fillId="21" borderId="446" applyNumberFormat="0" applyAlignment="0" applyProtection="0"/>
    <xf numFmtId="0" fontId="84" fillId="34" borderId="453"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81" fillId="21" borderId="452" applyNumberFormat="0" applyAlignment="0" applyProtection="0"/>
    <xf numFmtId="0" fontId="76" fillId="34"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76" fillId="34"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1" fillId="21" borderId="446" applyNumberFormat="0" applyAlignment="0" applyProtection="0"/>
    <xf numFmtId="0" fontId="5" fillId="0" borderId="448" applyNumberFormat="0" applyFill="0" applyAlignment="0" applyProtection="0"/>
    <xf numFmtId="0" fontId="76" fillId="34" borderId="446"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47" applyNumberFormat="0" applyAlignment="0" applyProtection="0"/>
    <xf numFmtId="0" fontId="84" fillId="34" borderId="447" applyNumberFormat="0" applyAlignment="0" applyProtection="0"/>
    <xf numFmtId="0" fontId="84" fillId="34" borderId="453" applyNumberFormat="0" applyAlignment="0" applyProtection="0"/>
    <xf numFmtId="0" fontId="5" fillId="0" borderId="448" applyNumberFormat="0" applyFill="0" applyAlignment="0" applyProtection="0"/>
    <xf numFmtId="0" fontId="84" fillId="34" borderId="453"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76" fillId="34" borderId="446" applyNumberFormat="0" applyAlignment="0" applyProtection="0"/>
    <xf numFmtId="0" fontId="84" fillId="34" borderId="453"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4" fillId="34" borderId="453" applyNumberFormat="0" applyAlignment="0" applyProtection="0"/>
    <xf numFmtId="0" fontId="84" fillId="34" borderId="447" applyNumberFormat="0" applyAlignment="0" applyProtection="0"/>
    <xf numFmtId="0" fontId="76" fillId="34" borderId="446" applyNumberFormat="0" applyAlignment="0" applyProtection="0"/>
    <xf numFmtId="0" fontId="84" fillId="34" borderId="447" applyNumberForma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5" fillId="0" borderId="454" applyNumberFormat="0" applyFill="0" applyAlignment="0" applyProtection="0"/>
    <xf numFmtId="0" fontId="5" fillId="0" borderId="448"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5" fillId="0" borderId="448" applyNumberFormat="0" applyFill="0" applyAlignment="0" applyProtection="0"/>
    <xf numFmtId="0" fontId="81" fillId="21" borderId="446" applyNumberFormat="0" applyAlignment="0" applyProtection="0"/>
    <xf numFmtId="0" fontId="76" fillId="34" borderId="452"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4" fillId="34" borderId="447"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47"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46"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47"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76" fillId="34" borderId="446"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47" applyNumberFormat="0" applyAlignment="0" applyProtection="0"/>
    <xf numFmtId="0" fontId="84" fillId="34" borderId="447" applyNumberFormat="0" applyAlignment="0" applyProtection="0"/>
    <xf numFmtId="0" fontId="12" fillId="37" borderId="451" applyNumberFormat="0" applyFont="0" applyAlignment="0" applyProtection="0"/>
    <xf numFmtId="0" fontId="81" fillId="21" borderId="446" applyNumberFormat="0" applyAlignment="0" applyProtection="0"/>
    <xf numFmtId="0" fontId="76" fillId="34" borderId="446"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47" applyNumberFormat="0" applyAlignment="0" applyProtection="0"/>
    <xf numFmtId="0" fontId="81" fillId="21" borderId="452" applyNumberFormat="0" applyAlignment="0" applyProtection="0"/>
    <xf numFmtId="0" fontId="84" fillId="34" borderId="447" applyNumberFormat="0" applyAlignment="0" applyProtection="0"/>
    <xf numFmtId="0" fontId="12" fillId="37" borderId="451" applyNumberFormat="0" applyFont="0" applyAlignment="0" applyProtection="0"/>
    <xf numFmtId="0" fontId="76" fillId="34" borderId="446"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48" applyNumberFormat="0" applyFill="0" applyAlignment="0" applyProtection="0"/>
    <xf numFmtId="0" fontId="84" fillId="34" borderId="447" applyNumberFormat="0" applyAlignment="0" applyProtection="0"/>
    <xf numFmtId="0" fontId="84" fillId="34" borderId="447"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81" fillId="21" borderId="446" applyNumberFormat="0" applyAlignment="0" applyProtection="0"/>
    <xf numFmtId="0" fontId="76" fillId="34" borderId="446" applyNumberFormat="0" applyAlignment="0" applyProtection="0"/>
    <xf numFmtId="0" fontId="76" fillId="34" borderId="446" applyNumberFormat="0" applyAlignment="0" applyProtection="0"/>
    <xf numFmtId="0" fontId="84" fillId="34" borderId="447" applyNumberFormat="0" applyAlignment="0" applyProtection="0"/>
    <xf numFmtId="0" fontId="5" fillId="0" borderId="448" applyNumberFormat="0" applyFill="0" applyAlignment="0" applyProtection="0"/>
    <xf numFmtId="0" fontId="5" fillId="0" borderId="448" applyNumberFormat="0" applyFill="0" applyAlignment="0" applyProtection="0"/>
    <xf numFmtId="0" fontId="84" fillId="34" borderId="453" applyNumberFormat="0" applyAlignment="0" applyProtection="0"/>
    <xf numFmtId="0" fontId="5" fillId="0" borderId="448" applyNumberFormat="0" applyFill="0" applyAlignment="0" applyProtection="0"/>
    <xf numFmtId="0" fontId="12" fillId="37" borderId="451" applyNumberFormat="0" applyFont="0" applyAlignment="0" applyProtection="0"/>
    <xf numFmtId="0" fontId="81" fillId="21" borderId="446" applyNumberFormat="0" applyAlignment="0" applyProtection="0"/>
    <xf numFmtId="0" fontId="12" fillId="37" borderId="451" applyNumberFormat="0" applyFont="0" applyAlignment="0" applyProtection="0"/>
    <xf numFmtId="0" fontId="76" fillId="34" borderId="446" applyNumberFormat="0" applyAlignment="0" applyProtection="0"/>
    <xf numFmtId="0" fontId="81" fillId="21" borderId="446" applyNumberFormat="0" applyAlignment="0" applyProtection="0"/>
    <xf numFmtId="0" fontId="81" fillId="21" borderId="446" applyNumberFormat="0" applyAlignment="0" applyProtection="0"/>
    <xf numFmtId="0" fontId="5" fillId="0" borderId="448" applyNumberFormat="0" applyFill="0" applyAlignment="0" applyProtection="0"/>
    <xf numFmtId="0" fontId="81" fillId="21" borderId="446" applyNumberFormat="0" applyAlignment="0" applyProtection="0"/>
    <xf numFmtId="0" fontId="84" fillId="34" borderId="447" applyNumberFormat="0" applyAlignment="0" applyProtection="0"/>
    <xf numFmtId="0" fontId="76" fillId="34" borderId="446" applyNumberFormat="0" applyAlignment="0" applyProtection="0"/>
    <xf numFmtId="0" fontId="12" fillId="37" borderId="451" applyNumberFormat="0" applyFont="0" applyAlignment="0" applyProtection="0"/>
    <xf numFmtId="0" fontId="84" fillId="34" borderId="447" applyNumberFormat="0" applyAlignment="0" applyProtection="0"/>
    <xf numFmtId="0" fontId="76" fillId="34" borderId="446" applyNumberFormat="0" applyAlignment="0" applyProtection="0"/>
    <xf numFmtId="0" fontId="84" fillId="34" borderId="453" applyNumberFormat="0" applyAlignment="0" applyProtection="0"/>
    <xf numFmtId="0" fontId="5" fillId="0" borderId="454" applyNumberFormat="0" applyFill="0" applyAlignment="0" applyProtection="0"/>
    <xf numFmtId="0" fontId="80" fillId="0" borderId="450" applyNumberFormat="0" applyFill="0" applyAlignment="0" applyProtection="0"/>
    <xf numFmtId="0" fontId="80" fillId="0" borderId="450"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0" fillId="0" borderId="456"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0" fillId="0" borderId="456"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84" fillId="34" borderId="453"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76" fillId="34" borderId="452"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76" fillId="34"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81" fillId="21" borderId="452" applyNumberFormat="0" applyAlignment="0" applyProtection="0"/>
    <xf numFmtId="0" fontId="5" fillId="0" borderId="454" applyNumberFormat="0" applyFill="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76" fillId="34"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4" fillId="34" borderId="453" applyNumberForma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4" fillId="34" borderId="453" applyNumberFormat="0" applyAlignment="0" applyProtection="0"/>
    <xf numFmtId="0" fontId="5" fillId="0" borderId="454" applyNumberFormat="0" applyFill="0" applyAlignment="0" applyProtection="0"/>
    <xf numFmtId="0" fontId="81" fillId="21" borderId="452" applyNumberForma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81" fillId="21" borderId="452" applyNumberForma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84" fillId="34" borderId="453" applyNumberFormat="0" applyAlignment="0" applyProtection="0"/>
    <xf numFmtId="0" fontId="12" fillId="37" borderId="451" applyNumberFormat="0" applyFont="0" applyAlignment="0" applyProtection="0"/>
    <xf numFmtId="0" fontId="76" fillId="34" borderId="452"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5" fillId="0" borderId="454" applyNumberFormat="0" applyFill="0" applyAlignment="0" applyProtection="0"/>
    <xf numFmtId="0" fontId="84" fillId="34" borderId="453" applyNumberFormat="0" applyAlignment="0" applyProtection="0"/>
    <xf numFmtId="0" fontId="84" fillId="34" borderId="453" applyNumberFormat="0" applyAlignment="0" applyProtection="0"/>
    <xf numFmtId="0" fontId="12" fillId="37" borderId="451" applyNumberFormat="0" applyFont="0" applyAlignment="0" applyProtection="0"/>
    <xf numFmtId="0" fontId="12" fillId="37" borderId="451" applyNumberFormat="0" applyFont="0" applyAlignment="0" applyProtection="0"/>
    <xf numFmtId="0" fontId="81" fillId="21" borderId="452" applyNumberFormat="0" applyAlignment="0" applyProtection="0"/>
    <xf numFmtId="0" fontId="81" fillId="21" borderId="452" applyNumberFormat="0" applyAlignment="0" applyProtection="0"/>
    <xf numFmtId="0" fontId="76" fillId="34" borderId="452" applyNumberFormat="0" applyAlignment="0" applyProtection="0"/>
    <xf numFmtId="0" fontId="76" fillId="34" borderId="452" applyNumberFormat="0" applyAlignment="0" applyProtection="0"/>
    <xf numFmtId="0" fontId="84" fillId="34" borderId="453" applyNumberFormat="0" applyAlignment="0" applyProtection="0"/>
    <xf numFmtId="0" fontId="5" fillId="0" borderId="454" applyNumberFormat="0" applyFill="0" applyAlignment="0" applyProtection="0"/>
    <xf numFmtId="0" fontId="5" fillId="0" borderId="454" applyNumberFormat="0" applyFill="0" applyAlignment="0" applyProtection="0"/>
    <xf numFmtId="0" fontId="12" fillId="37" borderId="451" applyNumberFormat="0" applyFont="0" applyAlignment="0" applyProtection="0"/>
    <xf numFmtId="0" fontId="5" fillId="0" borderId="454" applyNumberFormat="0" applyFill="0" applyAlignment="0" applyProtection="0"/>
    <xf numFmtId="0" fontId="12" fillId="37" borderId="451" applyNumberFormat="0" applyFont="0" applyAlignment="0" applyProtection="0"/>
    <xf numFmtId="0" fontId="81" fillId="21" borderId="452" applyNumberFormat="0" applyAlignment="0" applyProtection="0"/>
    <xf numFmtId="0" fontId="12" fillId="37" borderId="451" applyNumberFormat="0" applyFont="0" applyAlignment="0" applyProtection="0"/>
    <xf numFmtId="0" fontId="76" fillId="34" borderId="452" applyNumberFormat="0" applyAlignment="0" applyProtection="0"/>
    <xf numFmtId="0" fontId="81" fillId="21" borderId="452" applyNumberFormat="0" applyAlignment="0" applyProtection="0"/>
    <xf numFmtId="0" fontId="81" fillId="21" borderId="452" applyNumberFormat="0" applyAlignment="0" applyProtection="0"/>
    <xf numFmtId="0" fontId="5" fillId="0" borderId="454" applyNumberFormat="0" applyFill="0" applyAlignment="0" applyProtection="0"/>
    <xf numFmtId="0" fontId="81" fillId="21" borderId="452" applyNumberFormat="0" applyAlignment="0" applyProtection="0"/>
    <xf numFmtId="0" fontId="84" fillId="34" borderId="453" applyNumberFormat="0" applyAlignment="0" applyProtection="0"/>
    <xf numFmtId="0" fontId="76" fillId="34" borderId="452" applyNumberFormat="0" applyAlignment="0" applyProtection="0"/>
    <xf numFmtId="0" fontId="12" fillId="37" borderId="451" applyNumberFormat="0" applyFont="0" applyAlignment="0" applyProtection="0"/>
    <xf numFmtId="0" fontId="84" fillId="34" borderId="453" applyNumberFormat="0" applyAlignment="0" applyProtection="0"/>
    <xf numFmtId="0" fontId="76" fillId="34" borderId="452" applyNumberFormat="0" applyAlignment="0" applyProtection="0"/>
    <xf numFmtId="0" fontId="80" fillId="0" borderId="455" applyNumberFormat="0" applyFill="0" applyAlignment="0" applyProtection="0"/>
    <xf numFmtId="0" fontId="80" fillId="0" borderId="455"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80" fillId="0" borderId="456"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0" fillId="0" borderId="458"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0" fillId="0" borderId="458"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0" fillId="0" borderId="458"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81" fillId="21" borderId="460" applyNumberFormat="0" applyAlignment="0" applyProtection="0"/>
    <xf numFmtId="0" fontId="84" fillId="34" borderId="461" applyNumberFormat="0" applyAlignment="0" applyProtection="0"/>
    <xf numFmtId="0" fontId="80" fillId="0" borderId="458" applyNumberFormat="0" applyFill="0" applyAlignment="0" applyProtection="0"/>
    <xf numFmtId="0" fontId="84" fillId="34" borderId="461" applyNumberFormat="0" applyAlignment="0" applyProtection="0"/>
    <xf numFmtId="0" fontId="80" fillId="0" borderId="458"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4" fillId="34" borderId="461" applyNumberFormat="0" applyAlignment="0" applyProtection="0"/>
    <xf numFmtId="0" fontId="84" fillId="34" borderId="461" applyNumberForma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5" fillId="0" borderId="462" applyNumberFormat="0" applyFill="0" applyAlignment="0" applyProtection="0"/>
    <xf numFmtId="0" fontId="76" fillId="34" borderId="460"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76" fillId="34" borderId="460" applyNumberFormat="0" applyAlignment="0" applyProtection="0"/>
    <xf numFmtId="0" fontId="81" fillId="21" borderId="460"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84" fillId="34" borderId="461" applyNumberFormat="0" applyAlignment="0" applyProtection="0"/>
    <xf numFmtId="0" fontId="76" fillId="34"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4" fillId="34" borderId="461" applyNumberFormat="0" applyAlignment="0" applyProtection="0"/>
    <xf numFmtId="0" fontId="81" fillId="21" borderId="460" applyNumberFormat="0" applyAlignment="0" applyProtection="0"/>
    <xf numFmtId="0" fontId="76" fillId="34" borderId="460" applyNumberFormat="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81" fillId="21" borderId="460"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81" fillId="21" borderId="460" applyNumberFormat="0" applyAlignment="0" applyProtection="0"/>
    <xf numFmtId="0" fontId="81" fillId="21"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5" fillId="0" borderId="462" applyNumberFormat="0" applyFill="0" applyAlignment="0" applyProtection="0"/>
    <xf numFmtId="0" fontId="12" fillId="37" borderId="459" applyNumberFormat="0" applyFont="0" applyAlignment="0" applyProtection="0"/>
    <xf numFmtId="0" fontId="81" fillId="21"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81" fillId="21" borderId="460" applyNumberFormat="0" applyAlignment="0" applyProtection="0"/>
    <xf numFmtId="0" fontId="12" fillId="37" borderId="459" applyNumberFormat="0" applyFont="0" applyAlignment="0" applyProtection="0"/>
    <xf numFmtId="0" fontId="84" fillId="34" borderId="461" applyNumberFormat="0" applyAlignment="0" applyProtection="0"/>
    <xf numFmtId="0" fontId="5" fillId="0" borderId="462" applyNumberFormat="0" applyFill="0" applyAlignment="0" applyProtection="0"/>
    <xf numFmtId="0" fontId="76" fillId="34" borderId="460" applyNumberFormat="0" applyAlignment="0" applyProtection="0"/>
    <xf numFmtId="0" fontId="76" fillId="34" borderId="460" applyNumberFormat="0" applyAlignment="0" applyProtection="0"/>
    <xf numFmtId="0" fontId="12" fillId="37" borderId="459" applyNumberFormat="0" applyFont="0" applyAlignment="0" applyProtection="0"/>
    <xf numFmtId="0" fontId="76" fillId="34" borderId="460" applyNumberForma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12" fillId="37" borderId="459" applyNumberFormat="0" applyFont="0" applyAlignment="0" applyProtection="0"/>
    <xf numFmtId="0" fontId="5" fillId="0" borderId="462" applyNumberFormat="0" applyFill="0" applyAlignment="0" applyProtection="0"/>
    <xf numFmtId="0" fontId="12" fillId="37" borderId="459" applyNumberFormat="0" applyFont="0" applyAlignment="0" applyProtection="0"/>
    <xf numFmtId="0" fontId="84" fillId="34" borderId="461" applyNumberFormat="0" applyAlignment="0" applyProtection="0"/>
    <xf numFmtId="0" fontId="81" fillId="21"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76" fillId="34" borderId="460" applyNumberFormat="0" applyAlignment="0" applyProtection="0"/>
    <xf numFmtId="0" fontId="12" fillId="37" borderId="459" applyNumberFormat="0" applyFont="0" applyAlignment="0" applyProtection="0"/>
    <xf numFmtId="0" fontId="5" fillId="0" borderId="462" applyNumberFormat="0" applyFill="0" applyAlignment="0" applyProtection="0"/>
    <xf numFmtId="0" fontId="5" fillId="0" borderId="462" applyNumberFormat="0" applyFill="0" applyAlignment="0" applyProtection="0"/>
    <xf numFmtId="0" fontId="84" fillId="34" borderId="461" applyNumberFormat="0" applyAlignment="0" applyProtection="0"/>
    <xf numFmtId="0" fontId="12" fillId="37" borderId="459" applyNumberFormat="0" applyFont="0" applyAlignment="0" applyProtection="0"/>
    <xf numFmtId="0" fontId="76" fillId="34" borderId="460" applyNumberFormat="0" applyAlignment="0" applyProtection="0"/>
    <xf numFmtId="0" fontId="80" fillId="0" borderId="458" applyNumberFormat="0" applyFill="0" applyAlignment="0" applyProtection="0"/>
    <xf numFmtId="0" fontId="80" fillId="0" borderId="458" applyNumberFormat="0" applyFill="0" applyAlignment="0" applyProtection="0"/>
    <xf numFmtId="0" fontId="81" fillId="21" borderId="460" applyNumberFormat="0" applyAlignment="0" applyProtection="0"/>
    <xf numFmtId="0" fontId="5" fillId="0" borderId="462" applyNumberFormat="0" applyFill="0" applyAlignment="0" applyProtection="0"/>
    <xf numFmtId="0" fontId="12" fillId="37" borderId="459" applyNumberFormat="0" applyFont="0" applyAlignment="0" applyProtection="0"/>
    <xf numFmtId="0" fontId="12" fillId="37" borderId="459" applyNumberFormat="0" applyFont="0" applyAlignment="0" applyProtection="0"/>
    <xf numFmtId="0" fontId="84" fillId="34" borderId="461" applyNumberFormat="0" applyAlignment="0" applyProtection="0"/>
    <xf numFmtId="0" fontId="12" fillId="37" borderId="459" applyNumberFormat="0" applyFont="0" applyAlignment="0" applyProtection="0"/>
    <xf numFmtId="43" fontId="60" fillId="0" borderId="0" applyFont="0" applyFill="0" applyBorder="0" applyAlignment="0" applyProtection="0"/>
    <xf numFmtId="44" fontId="12" fillId="0" borderId="0" applyFont="0" applyFill="0" applyBorder="0" applyAlignment="0" applyProtection="0"/>
    <xf numFmtId="0" fontId="132" fillId="0" borderId="0" applyNumberFormat="0" applyFill="0" applyBorder="0" applyAlignment="0" applyProtection="0">
      <alignment vertical="top"/>
      <protection locked="0"/>
    </xf>
    <xf numFmtId="0" fontId="60" fillId="0" borderId="0"/>
    <xf numFmtId="0" fontId="60" fillId="0" borderId="0"/>
    <xf numFmtId="0" fontId="60" fillId="0" borderId="0"/>
    <xf numFmtId="9" fontId="60" fillId="0" borderId="0" applyFont="0" applyFill="0" applyBorder="0" applyAlignment="0" applyProtection="0"/>
    <xf numFmtId="9" fontId="12" fillId="0" borderId="0" applyFont="0" applyFill="0" applyBorder="0" applyAlignment="0" applyProtection="0"/>
    <xf numFmtId="0" fontId="133" fillId="0" borderId="0"/>
    <xf numFmtId="43" fontId="133" fillId="0" borderId="0" applyFont="0" applyFill="0" applyBorder="0" applyAlignment="0" applyProtection="0"/>
    <xf numFmtId="43" fontId="133" fillId="0" borderId="0" applyFont="0" applyFill="0" applyBorder="0" applyAlignment="0" applyProtection="0"/>
    <xf numFmtId="44" fontId="133" fillId="0" borderId="0" applyFont="0" applyFill="0" applyBorder="0" applyAlignment="0" applyProtection="0"/>
    <xf numFmtId="44" fontId="133"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44" fontId="12" fillId="0" borderId="0" applyFont="0" applyFill="0" applyBorder="0" applyAlignment="0" applyProtection="0"/>
    <xf numFmtId="43" fontId="12" fillId="0" borderId="0" applyFont="0" applyFill="0" applyBorder="0" applyAlignment="0" applyProtection="0"/>
    <xf numFmtId="0" fontId="12" fillId="0" borderId="0"/>
    <xf numFmtId="0" fontId="57" fillId="0" borderId="0"/>
    <xf numFmtId="0" fontId="60" fillId="0" borderId="0"/>
    <xf numFmtId="0" fontId="1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xf numFmtId="0" fontId="114" fillId="0" borderId="0"/>
  </cellStyleXfs>
  <cellXfs count="3620">
    <xf numFmtId="0" fontId="0" fillId="0" borderId="0" xfId="0"/>
    <xf numFmtId="0" fontId="0" fillId="0" borderId="0" xfId="0" applyAlignment="1">
      <alignment wrapText="1"/>
    </xf>
    <xf numFmtId="164" fontId="0" fillId="0" borderId="0" xfId="0" applyNumberFormat="1" applyAlignment="1">
      <alignment horizontal="center"/>
    </xf>
    <xf numFmtId="0" fontId="9" fillId="0" borderId="0" xfId="0" applyFont="1" applyAlignment="1">
      <alignment wrapText="1"/>
    </xf>
    <xf numFmtId="0" fontId="10" fillId="0" borderId="0" xfId="0" applyFont="1" applyAlignment="1">
      <alignment wrapText="1"/>
    </xf>
    <xf numFmtId="0" fontId="11" fillId="0" borderId="0" xfId="0" applyFont="1" applyAlignment="1"/>
    <xf numFmtId="0" fontId="13" fillId="0" borderId="0" xfId="2" applyFont="1" applyAlignment="1">
      <alignment horizontal="right" wrapText="1"/>
    </xf>
    <xf numFmtId="0" fontId="12" fillId="0" borderId="0" xfId="2"/>
    <xf numFmtId="0" fontId="12" fillId="0" borderId="0" xfId="2" applyAlignment="1">
      <alignment wrapText="1"/>
    </xf>
    <xf numFmtId="0" fontId="0" fillId="0" borderId="0" xfId="0" applyAlignment="1">
      <alignment horizontal="center"/>
    </xf>
    <xf numFmtId="0" fontId="16" fillId="0" borderId="0" xfId="2" applyFont="1" applyFill="1" applyAlignment="1">
      <alignment horizontal="right" wrapText="1"/>
    </xf>
    <xf numFmtId="0" fontId="1" fillId="0" borderId="0" xfId="2" applyFont="1" applyFill="1"/>
    <xf numFmtId="0" fontId="1" fillId="0" borderId="0" xfId="0" applyFont="1" applyFill="1" applyAlignment="1">
      <alignment horizontal="center"/>
    </xf>
    <xf numFmtId="164" fontId="12" fillId="0" borderId="0" xfId="2" applyNumberFormat="1" applyAlignment="1">
      <alignment horizontal="center"/>
    </xf>
    <xf numFmtId="0" fontId="1" fillId="0" borderId="0" xfId="0" applyFont="1" applyFill="1"/>
    <xf numFmtId="0" fontId="13" fillId="0" borderId="0" xfId="2" applyFont="1" applyFill="1" applyAlignment="1">
      <alignment horizontal="right" wrapText="1"/>
    </xf>
    <xf numFmtId="0" fontId="18" fillId="0" borderId="0" xfId="2" applyFont="1" applyFill="1" applyBorder="1" applyAlignment="1">
      <alignment horizontal="center"/>
    </xf>
    <xf numFmtId="0" fontId="12" fillId="0" borderId="0" xfId="2" applyFill="1"/>
    <xf numFmtId="0" fontId="0" fillId="0" borderId="0" xfId="0" applyFill="1"/>
    <xf numFmtId="0" fontId="2" fillId="0" borderId="0" xfId="2" applyFont="1"/>
    <xf numFmtId="164" fontId="2" fillId="0" borderId="0" xfId="2" applyNumberFormat="1" applyFont="1" applyAlignment="1">
      <alignment horizontal="left"/>
    </xf>
    <xf numFmtId="0" fontId="13" fillId="0" borderId="0" xfId="0" applyFont="1" applyAlignment="1">
      <alignment horizontal="right" wrapText="1"/>
    </xf>
    <xf numFmtId="0" fontId="4" fillId="0" borderId="0" xfId="2" applyFont="1"/>
    <xf numFmtId="0" fontId="0" fillId="0" borderId="0" xfId="0" applyAlignment="1">
      <alignment horizontal="right"/>
    </xf>
    <xf numFmtId="165" fontId="0" fillId="0" borderId="0" xfId="0" applyNumberFormat="1"/>
    <xf numFmtId="165" fontId="18" fillId="0" borderId="0" xfId="5" applyNumberFormat="1" applyFont="1"/>
    <xf numFmtId="0" fontId="19" fillId="0" borderId="0" xfId="0" applyFont="1" applyAlignment="1"/>
    <xf numFmtId="165" fontId="0" fillId="0" borderId="0" xfId="5" applyNumberFormat="1" applyFont="1"/>
    <xf numFmtId="0" fontId="13" fillId="0" borderId="0" xfId="0" applyFont="1" applyFill="1" applyAlignment="1">
      <alignment horizontal="right" wrapText="1"/>
    </xf>
    <xf numFmtId="0" fontId="18" fillId="0" borderId="0" xfId="0" applyFont="1" applyFill="1" applyBorder="1" applyAlignment="1">
      <alignment horizontal="center"/>
    </xf>
    <xf numFmtId="0" fontId="0" fillId="0" borderId="0" xfId="0" applyFill="1" applyBorder="1"/>
    <xf numFmtId="0" fontId="13" fillId="0" borderId="0" xfId="0" applyFont="1" applyFill="1" applyBorder="1" applyAlignment="1">
      <alignment horizontal="right" wrapText="1"/>
    </xf>
    <xf numFmtId="165" fontId="0" fillId="0" borderId="0" xfId="0" applyNumberFormat="1" applyFill="1" applyBorder="1"/>
    <xf numFmtId="0" fontId="2" fillId="0" borderId="0" xfId="0" applyFont="1"/>
    <xf numFmtId="164" fontId="2" fillId="0" borderId="0" xfId="0" applyNumberFormat="1" applyFont="1" applyAlignment="1">
      <alignment horizontal="left"/>
    </xf>
    <xf numFmtId="165" fontId="20" fillId="0" borderId="0" xfId="0" applyNumberFormat="1" applyFont="1" applyFill="1" applyBorder="1"/>
    <xf numFmtId="0" fontId="12" fillId="0" borderId="0" xfId="6"/>
    <xf numFmtId="0" fontId="4" fillId="0" borderId="0" xfId="0" applyFont="1"/>
    <xf numFmtId="0" fontId="18" fillId="0" borderId="0" xfId="0" applyFont="1"/>
    <xf numFmtId="0" fontId="4" fillId="0" borderId="0" xfId="0" applyFont="1" applyAlignment="1">
      <alignment wrapText="1"/>
    </xf>
    <xf numFmtId="165" fontId="0" fillId="0" borderId="0" xfId="0" applyNumberFormat="1" applyBorder="1"/>
    <xf numFmtId="0" fontId="13" fillId="0" borderId="0" xfId="6" applyFont="1" applyAlignment="1">
      <alignment horizontal="right" wrapText="1"/>
    </xf>
    <xf numFmtId="0" fontId="21" fillId="0" borderId="0" xfId="0" applyFont="1"/>
    <xf numFmtId="0" fontId="12" fillId="0" borderId="0" xfId="0" applyFont="1" applyFill="1" applyBorder="1"/>
    <xf numFmtId="0" fontId="23" fillId="0" borderId="0" xfId="0" applyFont="1"/>
    <xf numFmtId="0" fontId="23" fillId="0" borderId="0" xfId="0" applyFont="1" applyAlignment="1">
      <alignment horizontal="left"/>
    </xf>
    <xf numFmtId="0" fontId="25" fillId="0" borderId="18" xfId="0" applyFont="1" applyFill="1" applyBorder="1" applyAlignment="1">
      <alignment horizontal="center"/>
    </xf>
    <xf numFmtId="0" fontId="25" fillId="0" borderId="20" xfId="0" applyFont="1" applyFill="1" applyBorder="1" applyAlignment="1">
      <alignment horizontal="center"/>
    </xf>
    <xf numFmtId="44" fontId="25" fillId="4" borderId="24" xfId="1" applyFont="1" applyFill="1" applyBorder="1" applyAlignment="1">
      <alignment horizontal="right"/>
    </xf>
    <xf numFmtId="164" fontId="0" fillId="0" borderId="27" xfId="0" applyNumberFormat="1" applyBorder="1"/>
    <xf numFmtId="164" fontId="0" fillId="0" borderId="10" xfId="0" applyNumberFormat="1" applyBorder="1"/>
    <xf numFmtId="0" fontId="27" fillId="0" borderId="0" xfId="0" applyFont="1"/>
    <xf numFmtId="169" fontId="25" fillId="0" borderId="0" xfId="0" applyNumberFormat="1" applyFont="1" applyAlignment="1">
      <alignment horizontal="right"/>
    </xf>
    <xf numFmtId="0" fontId="25" fillId="0" borderId="0" xfId="0" applyFont="1"/>
    <xf numFmtId="8" fontId="25" fillId="0" borderId="0" xfId="0" applyNumberFormat="1" applyFont="1" applyAlignment="1">
      <alignment horizontal="right"/>
    </xf>
    <xf numFmtId="10" fontId="26" fillId="0" borderId="0" xfId="8" applyNumberFormat="1" applyFont="1"/>
    <xf numFmtId="0" fontId="22" fillId="0" borderId="0" xfId="9" applyAlignment="1" applyProtection="1"/>
    <xf numFmtId="0" fontId="36" fillId="0" borderId="0" xfId="0" applyFont="1"/>
    <xf numFmtId="0" fontId="39" fillId="0" borderId="0" xfId="12"/>
    <xf numFmtId="49" fontId="40" fillId="0" borderId="0" xfId="12" applyNumberFormat="1" applyFont="1" applyFill="1" applyBorder="1" applyAlignment="1">
      <alignment horizontal="left" vertical="center"/>
    </xf>
    <xf numFmtId="0" fontId="42" fillId="0" borderId="0" xfId="12" applyFont="1"/>
    <xf numFmtId="0" fontId="39" fillId="0" borderId="0" xfId="12" applyFill="1" applyBorder="1"/>
    <xf numFmtId="165" fontId="39" fillId="0" borderId="0" xfId="15" applyNumberFormat="1" applyFont="1" applyBorder="1"/>
    <xf numFmtId="165" fontId="39" fillId="0" borderId="0" xfId="15" applyNumberFormat="1" applyFont="1"/>
    <xf numFmtId="0" fontId="47" fillId="0" borderId="0" xfId="17" applyNumberFormat="1" applyFont="1" applyAlignment="1" applyProtection="1">
      <alignment horizontal="left"/>
      <protection locked="0"/>
    </xf>
    <xf numFmtId="44" fontId="39" fillId="0" borderId="0" xfId="15" applyFont="1"/>
    <xf numFmtId="0" fontId="39" fillId="0" borderId="0" xfId="18" applyNumberFormat="1" applyFont="1"/>
    <xf numFmtId="165" fontId="12" fillId="0" borderId="0" xfId="15" applyNumberFormat="1" applyFont="1"/>
    <xf numFmtId="165" fontId="17" fillId="0" borderId="0" xfId="15" applyNumberFormat="1" applyFont="1" applyFill="1"/>
    <xf numFmtId="175" fontId="17" fillId="0" borderId="0" xfId="12" applyNumberFormat="1" applyFont="1" applyFill="1" applyAlignment="1">
      <alignment horizontal="center"/>
    </xf>
    <xf numFmtId="9" fontId="35" fillId="0" borderId="0" xfId="18" applyFont="1" applyFill="1" applyBorder="1"/>
    <xf numFmtId="175" fontId="12" fillId="0" borderId="0" xfId="12" applyNumberFormat="1" applyFont="1" applyFill="1" applyAlignment="1">
      <alignment horizontal="left"/>
    </xf>
    <xf numFmtId="165" fontId="39" fillId="0" borderId="0" xfId="15" applyNumberFormat="1" applyFont="1" applyFill="1" applyBorder="1"/>
    <xf numFmtId="165" fontId="12" fillId="0" borderId="0" xfId="15" applyNumberFormat="1" applyFont="1" applyFill="1" applyBorder="1"/>
    <xf numFmtId="165" fontId="17" fillId="0" borderId="0" xfId="15" applyNumberFormat="1" applyFont="1" applyFill="1" applyBorder="1"/>
    <xf numFmtId="165" fontId="18" fillId="0" borderId="0" xfId="15" applyNumberFormat="1" applyFont="1" applyFill="1" applyBorder="1"/>
    <xf numFmtId="0" fontId="42" fillId="0" borderId="0" xfId="12" applyFont="1" applyAlignment="1">
      <alignment horizontal="right"/>
    </xf>
    <xf numFmtId="44" fontId="48" fillId="0" borderId="0" xfId="15" applyFont="1" applyBorder="1" applyAlignment="1">
      <alignment horizontal="center"/>
    </xf>
    <xf numFmtId="0" fontId="39" fillId="0" borderId="0" xfId="12" applyAlignment="1">
      <alignment horizontal="right"/>
    </xf>
    <xf numFmtId="44" fontId="53" fillId="0" borderId="0" xfId="15" applyFont="1"/>
    <xf numFmtId="9" fontId="35" fillId="0" borderId="40" xfId="18" applyFont="1" applyFill="1" applyBorder="1"/>
    <xf numFmtId="44" fontId="48" fillId="0" borderId="40" xfId="15" applyFont="1" applyBorder="1" applyAlignment="1">
      <alignment horizontal="center"/>
    </xf>
    <xf numFmtId="9" fontId="17" fillId="0" borderId="0" xfId="18" applyFont="1" applyFill="1" applyBorder="1"/>
    <xf numFmtId="0" fontId="55" fillId="0" borderId="0" xfId="12" applyNumberFormat="1" applyFont="1" applyFill="1" applyBorder="1" applyAlignment="1">
      <alignment horizontal="left" indent="2"/>
    </xf>
    <xf numFmtId="0" fontId="39" fillId="0" borderId="0" xfId="12"/>
    <xf numFmtId="49" fontId="40" fillId="0" borderId="0" xfId="12" applyNumberFormat="1" applyFont="1" applyFill="1" applyBorder="1" applyAlignment="1">
      <alignment horizontal="left" vertical="center"/>
    </xf>
    <xf numFmtId="0" fontId="39" fillId="0" borderId="0" xfId="12" applyBorder="1"/>
    <xf numFmtId="0" fontId="42" fillId="0" borderId="0" xfId="12" applyFont="1"/>
    <xf numFmtId="0" fontId="39" fillId="0" borderId="0" xfId="12" applyFill="1" applyBorder="1"/>
    <xf numFmtId="0" fontId="47" fillId="0" borderId="0" xfId="17" applyNumberFormat="1" applyFont="1" applyAlignment="1" applyProtection="1">
      <alignment horizontal="left"/>
      <protection locked="0"/>
    </xf>
    <xf numFmtId="165" fontId="12" fillId="0" borderId="0" xfId="15" applyNumberFormat="1" applyFont="1"/>
    <xf numFmtId="0" fontId="39" fillId="0" borderId="0" xfId="12" applyFill="1"/>
    <xf numFmtId="165" fontId="17" fillId="0" borderId="0" xfId="15" applyNumberFormat="1" applyFont="1" applyFill="1"/>
    <xf numFmtId="9" fontId="35" fillId="0" borderId="0" xfId="18" applyFont="1" applyFill="1" applyBorder="1"/>
    <xf numFmtId="165" fontId="12" fillId="0" borderId="0" xfId="15" applyNumberFormat="1" applyFont="1" applyFill="1" applyBorder="1"/>
    <xf numFmtId="165" fontId="17" fillId="0" borderId="0" xfId="15" applyNumberFormat="1" applyFont="1" applyFill="1" applyBorder="1"/>
    <xf numFmtId="165" fontId="18" fillId="0" borderId="0" xfId="15" applyNumberFormat="1" applyFont="1" applyFill="1" applyBorder="1"/>
    <xf numFmtId="0" fontId="42" fillId="0" borderId="0" xfId="12" applyFont="1" applyFill="1" applyAlignment="1">
      <alignment horizontal="right"/>
    </xf>
    <xf numFmtId="44" fontId="48" fillId="0" borderId="0" xfId="15" applyFont="1" applyBorder="1" applyAlignment="1">
      <alignment horizontal="center"/>
    </xf>
    <xf numFmtId="44" fontId="39" fillId="0" borderId="0" xfId="15"/>
    <xf numFmtId="0" fontId="39" fillId="0" borderId="0" xfId="18" applyNumberFormat="1"/>
    <xf numFmtId="165" fontId="39" fillId="0" borderId="0" xfId="15" applyNumberFormat="1" applyFill="1"/>
    <xf numFmtId="165" fontId="39" fillId="0" borderId="0" xfId="15" applyNumberFormat="1"/>
    <xf numFmtId="165" fontId="39" fillId="0" borderId="0" xfId="15" applyNumberFormat="1" applyBorder="1"/>
    <xf numFmtId="165" fontId="39" fillId="0" borderId="0" xfId="15" applyNumberFormat="1" applyFill="1" applyBorder="1"/>
    <xf numFmtId="166" fontId="42" fillId="0" borderId="0" xfId="12" applyNumberFormat="1" applyFont="1" applyFill="1" applyAlignment="1">
      <alignment horizontal="right"/>
    </xf>
    <xf numFmtId="44" fontId="53" fillId="0" borderId="0" xfId="15" applyFont="1"/>
    <xf numFmtId="3" fontId="39" fillId="0" borderId="0" xfId="12" applyNumberFormat="1" applyFill="1"/>
    <xf numFmtId="3" fontId="39" fillId="0" borderId="0" xfId="12" applyNumberFormat="1" applyFill="1" applyAlignment="1">
      <alignment horizontal="center"/>
    </xf>
    <xf numFmtId="0" fontId="55" fillId="0" borderId="0" xfId="12" applyNumberFormat="1" applyFont="1" applyFill="1" applyBorder="1" applyAlignment="1">
      <alignment horizontal="left" indent="1"/>
    </xf>
    <xf numFmtId="0" fontId="55" fillId="0" borderId="0" xfId="12" applyFont="1" applyFill="1" applyBorder="1" applyAlignment="1">
      <alignment horizontal="left"/>
    </xf>
    <xf numFmtId="0" fontId="39" fillId="0" borderId="0" xfId="12"/>
    <xf numFmtId="49" fontId="40" fillId="0" borderId="0" xfId="12" applyNumberFormat="1" applyFont="1" applyFill="1" applyBorder="1" applyAlignment="1">
      <alignment horizontal="left" vertical="center"/>
    </xf>
    <xf numFmtId="0" fontId="42" fillId="0" borderId="0" xfId="12" applyFont="1"/>
    <xf numFmtId="0" fontId="39" fillId="0" borderId="0" xfId="12" applyFill="1" applyBorder="1"/>
    <xf numFmtId="0" fontId="47" fillId="0" borderId="0" xfId="17" applyNumberFormat="1" applyFont="1" applyAlignment="1" applyProtection="1">
      <alignment horizontal="left"/>
      <protection locked="0"/>
    </xf>
    <xf numFmtId="0" fontId="7" fillId="0" borderId="0" xfId="12" applyFont="1"/>
    <xf numFmtId="165" fontId="12" fillId="0" borderId="0" xfId="15" applyNumberFormat="1" applyFont="1"/>
    <xf numFmtId="0" fontId="39" fillId="0" borderId="0" xfId="12" applyFill="1"/>
    <xf numFmtId="165" fontId="17" fillId="0" borderId="0" xfId="15" applyNumberFormat="1" applyFont="1" applyFill="1"/>
    <xf numFmtId="175" fontId="17" fillId="0" borderId="0" xfId="12" applyNumberFormat="1" applyFont="1" applyFill="1" applyAlignment="1">
      <alignment horizontal="center"/>
    </xf>
    <xf numFmtId="9" fontId="35" fillId="0" borderId="0" xfId="18" applyFont="1" applyFill="1" applyBorder="1"/>
    <xf numFmtId="165" fontId="39" fillId="0" borderId="0" xfId="15" applyNumberFormat="1" applyFont="1" applyFill="1" applyBorder="1"/>
    <xf numFmtId="165" fontId="12" fillId="0" borderId="0" xfId="15" applyNumberFormat="1" applyFont="1" applyFill="1" applyBorder="1"/>
    <xf numFmtId="165" fontId="17" fillId="0" borderId="0" xfId="15" applyNumberFormat="1" applyFont="1" applyFill="1" applyBorder="1"/>
    <xf numFmtId="0" fontId="18" fillId="0" borderId="0" xfId="12" applyFont="1" applyFill="1" applyBorder="1"/>
    <xf numFmtId="165" fontId="18" fillId="0" borderId="0" xfId="15" applyNumberFormat="1" applyFont="1" applyFill="1" applyBorder="1"/>
    <xf numFmtId="44" fontId="48" fillId="0" borderId="0" xfId="15" applyFont="1" applyBorder="1" applyAlignment="1">
      <alignment horizontal="center"/>
    </xf>
    <xf numFmtId="44" fontId="39" fillId="0" borderId="0" xfId="15"/>
    <xf numFmtId="0" fontId="39" fillId="0" borderId="0" xfId="18" applyNumberFormat="1"/>
    <xf numFmtId="165" fontId="39" fillId="0" borderId="0" xfId="15" applyNumberFormat="1" applyFill="1"/>
    <xf numFmtId="165" fontId="39" fillId="0" borderId="0" xfId="15" applyNumberFormat="1"/>
    <xf numFmtId="165" fontId="39" fillId="0" borderId="0" xfId="15" applyNumberFormat="1" applyBorder="1"/>
    <xf numFmtId="165" fontId="39" fillId="0" borderId="0" xfId="15" applyNumberFormat="1" applyFill="1" applyBorder="1"/>
    <xf numFmtId="3" fontId="39" fillId="0" borderId="0" xfId="15" applyNumberFormat="1" applyFill="1" applyBorder="1"/>
    <xf numFmtId="44" fontId="53" fillId="0" borderId="0" xfId="15" applyFont="1"/>
    <xf numFmtId="165" fontId="44" fillId="0" borderId="0" xfId="15" applyNumberFormat="1" applyFont="1"/>
    <xf numFmtId="1" fontId="49" fillId="0" borderId="42" xfId="18" applyNumberFormat="1" applyFont="1" applyFill="1" applyBorder="1" applyAlignment="1">
      <alignment horizontal="center"/>
    </xf>
    <xf numFmtId="1" fontId="49" fillId="0" borderId="39" xfId="18" applyNumberFormat="1" applyFont="1" applyFill="1" applyBorder="1" applyAlignment="1">
      <alignment horizontal="center"/>
    </xf>
    <xf numFmtId="3" fontId="39" fillId="0" borderId="0" xfId="12" applyNumberFormat="1" applyFill="1"/>
    <xf numFmtId="3" fontId="39" fillId="0" borderId="0" xfId="12" applyNumberFormat="1" applyFill="1" applyAlignment="1">
      <alignment horizontal="center"/>
    </xf>
    <xf numFmtId="165" fontId="18" fillId="0" borderId="0" xfId="15" applyNumberFormat="1" applyFont="1" applyFill="1" applyBorder="1"/>
    <xf numFmtId="165" fontId="39" fillId="0" borderId="0" xfId="15" applyNumberFormat="1"/>
    <xf numFmtId="3" fontId="39" fillId="0" borderId="0" xfId="12" applyNumberFormat="1" applyFill="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75" fontId="12" fillId="0" borderId="0" xfId="3" applyNumberFormat="1" applyFont="1" applyFill="1" applyAlignment="1">
      <alignment horizontal="left"/>
    </xf>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0" fontId="43" fillId="0" borderId="0" xfId="3" applyFont="1"/>
    <xf numFmtId="44" fontId="53" fillId="0" borderId="0" xfId="20" applyFont="1"/>
    <xf numFmtId="0" fontId="15" fillId="0" borderId="0" xfId="3" applyAlignment="1">
      <alignment vertical="top"/>
    </xf>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applyNumberFormat="1" applyFont="1" applyAlignment="1">
      <alignment horizontal="left" vertical="top" wrapText="1"/>
    </xf>
    <xf numFmtId="0" fontId="22" fillId="0" borderId="0" xfId="9" applyAlignment="1" applyProtection="1">
      <alignment horizontal="right" wrapText="1"/>
    </xf>
    <xf numFmtId="0" fontId="38" fillId="0" borderId="0" xfId="0" applyFont="1" applyAlignment="1">
      <alignment horizontal="right"/>
    </xf>
    <xf numFmtId="0" fontId="22" fillId="0" borderId="0" xfId="9" applyFill="1" applyBorder="1" applyAlignment="1" applyProtection="1">
      <alignment horizontal="center" wrapText="1"/>
    </xf>
    <xf numFmtId="0" fontId="15" fillId="0" borderId="0" xfId="3"/>
    <xf numFmtId="49" fontId="40" fillId="0" borderId="0" xfId="3" applyNumberFormat="1" applyFont="1" applyFill="1" applyBorder="1" applyAlignment="1">
      <alignment horizontal="left" vertical="center"/>
    </xf>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175" fontId="12" fillId="0" borderId="0" xfId="3" applyNumberFormat="1" applyFont="1" applyFill="1" applyAlignment="1">
      <alignment horizontal="left"/>
    </xf>
    <xf numFmtId="165" fontId="42" fillId="0" borderId="0" xfId="20" applyNumberFormat="1" applyFont="1" applyBorder="1"/>
    <xf numFmtId="165" fontId="15" fillId="0" borderId="0" xfId="20" applyNumberFormat="1" applyFont="1" applyFill="1" applyBorder="1"/>
    <xf numFmtId="165" fontId="12" fillId="0" borderId="0" xfId="20" applyNumberFormat="1" applyFont="1" applyFill="1" applyBorder="1"/>
    <xf numFmtId="0" fontId="17" fillId="0" borderId="0" xfId="3" applyFont="1" applyFill="1" applyBorder="1"/>
    <xf numFmtId="165" fontId="17" fillId="0" borderId="0" xfId="20" applyNumberFormat="1" applyFont="1" applyFill="1" applyBorder="1"/>
    <xf numFmtId="0" fontId="18" fillId="0" borderId="0" xfId="3" applyFont="1" applyFill="1" applyBorder="1"/>
    <xf numFmtId="165" fontId="18" fillId="0" borderId="0" xfId="20" applyNumberFormat="1" applyFont="1" applyFill="1" applyBorder="1"/>
    <xf numFmtId="0" fontId="12" fillId="0" borderId="0" xfId="3" applyFont="1" applyFill="1" applyBorder="1"/>
    <xf numFmtId="165" fontId="42" fillId="0" borderId="0" xfId="20" applyNumberFormat="1" applyFont="1" applyFill="1" applyBorder="1"/>
    <xf numFmtId="0" fontId="42" fillId="0" borderId="0" xfId="3" applyFont="1" applyFill="1"/>
    <xf numFmtId="0" fontId="42"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3" fillId="0" borderId="0" xfId="20" applyFont="1"/>
    <xf numFmtId="165" fontId="42" fillId="0" borderId="0" xfId="3" applyNumberFormat="1" applyFont="1" applyBorder="1"/>
    <xf numFmtId="0" fontId="15" fillId="0" borderId="28" xfId="3" applyBorder="1"/>
    <xf numFmtId="165" fontId="15" fillId="0" borderId="28" xfId="20" applyNumberFormat="1" applyFill="1" applyBorder="1"/>
    <xf numFmtId="165" fontId="15" fillId="0" borderId="28" xfId="20" applyNumberFormat="1" applyBorder="1"/>
    <xf numFmtId="3" fontId="42" fillId="0" borderId="9" xfId="20" applyNumberFormat="1" applyFont="1" applyFill="1" applyBorder="1"/>
    <xf numFmtId="3" fontId="42" fillId="0" borderId="4" xfId="20" applyNumberFormat="1" applyFont="1" applyFill="1" applyBorder="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42" fontId="42" fillId="0" borderId="28" xfId="3" applyNumberFormat="1" applyFont="1" applyBorder="1"/>
    <xf numFmtId="165" fontId="42" fillId="0" borderId="28" xfId="3" applyNumberFormat="1" applyFont="1" applyBorder="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applyFont="1" applyFill="1" applyAlignment="1">
      <alignment horizontal="right"/>
    </xf>
    <xf numFmtId="0" fontId="42" fillId="0" borderId="0" xfId="3" quotePrefix="1" applyFont="1"/>
    <xf numFmtId="0" fontId="15" fillId="0" borderId="0" xfId="3" applyFill="1" applyAlignment="1">
      <alignment horizontal="center"/>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2" fillId="0" borderId="0" xfId="3" applyNumberFormat="1" applyFont="1" applyFill="1" applyAlignment="1">
      <alignment horizontal="right"/>
    </xf>
    <xf numFmtId="0" fontId="15" fillId="0" borderId="0" xfId="3" applyAlignment="1">
      <alignment horizontal="right"/>
    </xf>
    <xf numFmtId="44" fontId="53" fillId="0" borderId="0" xfId="20"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9" fontId="17" fillId="0" borderId="0" xfId="4" applyFont="1" applyFill="1" applyBorder="1"/>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17"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7" fillId="0" borderId="0" xfId="3" applyFont="1" applyFill="1" applyBorder="1" applyAlignment="1">
      <alignment horizontal="center"/>
    </xf>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quotePrefix="1" applyFont="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76" fontId="17" fillId="0" borderId="0" xfId="20" applyNumberFormat="1" applyFont="1" applyFill="1" applyBorder="1" applyAlignment="1">
      <alignment horizontal="center" vertical="center"/>
    </xf>
    <xf numFmtId="169" fontId="17" fillId="0" borderId="0" xfId="20" applyNumberFormat="1" applyFont="1" applyFill="1" applyBorder="1" applyAlignment="1">
      <alignment horizontal="center" vertical="center"/>
    </xf>
    <xf numFmtId="44" fontId="53" fillId="0" borderId="0" xfId="20" applyFont="1"/>
    <xf numFmtId="172" fontId="42" fillId="0" borderId="0" xfId="3" applyNumberFormat="1" applyFont="1" applyFill="1" applyBorder="1"/>
    <xf numFmtId="0" fontId="42" fillId="0" borderId="0" xfId="3" applyFont="1" applyFill="1" applyBorder="1" applyAlignment="1">
      <alignment horizontal="right"/>
    </xf>
    <xf numFmtId="177" fontId="17" fillId="0" borderId="0" xfId="3" applyNumberFormat="1" applyFont="1" applyFill="1" applyBorder="1" applyAlignment="1">
      <alignment horizontal="right" vertical="center"/>
    </xf>
    <xf numFmtId="177" fontId="17" fillId="0" borderId="0" xfId="3" applyNumberFormat="1" applyFont="1" applyFill="1" applyBorder="1" applyAlignment="1">
      <alignment horizontal="center" vertical="center"/>
    </xf>
    <xf numFmtId="4" fontId="17" fillId="0" borderId="0" xfId="3" applyNumberFormat="1" applyFont="1" applyFill="1" applyBorder="1" applyAlignment="1">
      <alignment horizontal="center" vertical="center"/>
    </xf>
    <xf numFmtId="178" fontId="17" fillId="0" borderId="0" xfId="3" applyNumberFormat="1" applyFont="1" applyFill="1" applyBorder="1" applyAlignment="1">
      <alignment horizontal="center" vertical="center"/>
    </xf>
    <xf numFmtId="0" fontId="51"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2" fillId="0" borderId="0" xfId="3" applyNumberFormat="1" applyFont="1" applyFill="1" applyBorder="1"/>
    <xf numFmtId="0" fontId="7" fillId="0" borderId="0" xfId="3" applyFont="1" applyFill="1" applyBorder="1" applyAlignment="1">
      <alignment horizontal="center" vertical="center"/>
    </xf>
    <xf numFmtId="169" fontId="50" fillId="0" borderId="0" xfId="3" applyNumberFormat="1" applyFont="1" applyFill="1" applyBorder="1" applyAlignment="1">
      <alignment horizontal="center" vertical="center"/>
    </xf>
    <xf numFmtId="169" fontId="25"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65" fontId="44" fillId="0" borderId="0" xfId="20" applyNumberFormat="1"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xf numFmtId="49" fontId="40" fillId="0" borderId="0" xfId="3" applyNumberFormat="1" applyFont="1" applyFill="1" applyBorder="1" applyAlignment="1">
      <alignment horizontal="left" vertical="center"/>
    </xf>
    <xf numFmtId="0" fontId="15" fillId="0" borderId="0" xfId="3" applyFill="1" applyBorder="1"/>
    <xf numFmtId="0" fontId="17" fillId="0" borderId="0" xfId="3" applyFont="1" applyFill="1" applyBorder="1" applyAlignment="1">
      <alignment horizontal="center" wrapText="1"/>
    </xf>
    <xf numFmtId="0" fontId="12" fillId="0" borderId="0" xfId="3" applyNumberFormat="1" applyFont="1" applyFill="1" applyBorder="1" applyAlignment="1">
      <alignment horizontal="right"/>
    </xf>
    <xf numFmtId="0" fontId="17" fillId="0" borderId="0" xfId="3" applyFont="1" applyFill="1" applyBorder="1" applyAlignment="1">
      <alignment horizontal="center"/>
    </xf>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2" fillId="0" borderId="0" xfId="20" applyNumberFormat="1" applyFont="1" applyFill="1" applyBorder="1"/>
    <xf numFmtId="165" fontId="17" fillId="0" borderId="0" xfId="20" applyNumberFormat="1" applyFont="1" applyFill="1" applyBorder="1"/>
    <xf numFmtId="165" fontId="18" fillId="0" borderId="0" xfId="20" applyNumberFormat="1" applyFont="1" applyFill="1" applyBorder="1"/>
    <xf numFmtId="0" fontId="42" fillId="0" borderId="0" xfId="3" applyFont="1" applyFill="1" applyAlignment="1">
      <alignment horizontal="right"/>
    </xf>
    <xf numFmtId="0" fontId="42" fillId="0" borderId="0" xfId="3" quotePrefix="1" applyFont="1"/>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166" fontId="42" fillId="0" borderId="0" xfId="3" applyNumberFormat="1" applyFont="1" applyFill="1" applyAlignment="1">
      <alignment horizontal="right"/>
    </xf>
    <xf numFmtId="176" fontId="17" fillId="0" borderId="0" xfId="20" applyNumberFormat="1" applyFont="1" applyFill="1" applyBorder="1" applyAlignment="1">
      <alignment horizontal="center" vertical="center"/>
    </xf>
    <xf numFmtId="169" fontId="17" fillId="0" borderId="0" xfId="20" applyNumberFormat="1" applyFont="1" applyFill="1" applyBorder="1" applyAlignment="1">
      <alignment horizontal="center" vertical="center"/>
    </xf>
    <xf numFmtId="44" fontId="53" fillId="0" borderId="0" xfId="20" applyFont="1"/>
    <xf numFmtId="172" fontId="42" fillId="0" borderId="0" xfId="3" applyNumberFormat="1" applyFont="1" applyFill="1" applyBorder="1"/>
    <xf numFmtId="0" fontId="42" fillId="0" borderId="0" xfId="3" applyFont="1" applyFill="1" applyBorder="1" applyAlignment="1">
      <alignment horizontal="right"/>
    </xf>
    <xf numFmtId="177" fontId="17" fillId="0" borderId="0" xfId="3" applyNumberFormat="1" applyFont="1" applyFill="1" applyBorder="1" applyAlignment="1">
      <alignment horizontal="right" vertical="center"/>
    </xf>
    <xf numFmtId="177" fontId="17" fillId="0" borderId="0" xfId="3" applyNumberFormat="1" applyFont="1" applyFill="1" applyBorder="1" applyAlignment="1">
      <alignment horizontal="center" vertical="center"/>
    </xf>
    <xf numFmtId="4" fontId="17" fillId="0" borderId="0" xfId="3" applyNumberFormat="1" applyFont="1" applyFill="1" applyBorder="1" applyAlignment="1">
      <alignment horizontal="center" vertical="center"/>
    </xf>
    <xf numFmtId="178" fontId="17" fillId="0" borderId="0" xfId="3" applyNumberFormat="1" applyFont="1" applyFill="1" applyBorder="1" applyAlignment="1">
      <alignment horizontal="center" vertical="center"/>
    </xf>
    <xf numFmtId="0" fontId="51" fillId="0" borderId="0" xfId="3" applyFont="1" applyFill="1" applyBorder="1"/>
    <xf numFmtId="172" fontId="15" fillId="0" borderId="0" xfId="21" applyNumberFormat="1" applyFill="1" applyBorder="1"/>
    <xf numFmtId="165" fontId="15" fillId="0" borderId="0" xfId="20" applyNumberFormat="1" applyFill="1" applyBorder="1" applyAlignment="1">
      <alignment horizontal="center"/>
    </xf>
    <xf numFmtId="165" fontId="42" fillId="0" borderId="0" xfId="3" applyNumberFormat="1" applyFont="1" applyFill="1" applyBorder="1"/>
    <xf numFmtId="0" fontId="7" fillId="0" borderId="0" xfId="3" applyFont="1" applyFill="1" applyBorder="1" applyAlignment="1">
      <alignment horizontal="center" vertical="center"/>
    </xf>
    <xf numFmtId="169" fontId="50" fillId="0" borderId="0" xfId="3" applyNumberFormat="1" applyFont="1" applyFill="1" applyBorder="1" applyAlignment="1">
      <alignment horizontal="center" vertical="center"/>
    </xf>
    <xf numFmtId="169" fontId="25" fillId="0" borderId="0" xfId="3" applyNumberFormat="1" applyFont="1" applyFill="1" applyBorder="1" applyAlignment="1">
      <alignment horizontal="center" vertical="center"/>
    </xf>
    <xf numFmtId="176" fontId="17" fillId="0" borderId="0" xfId="3" applyNumberFormat="1" applyFont="1" applyFill="1" applyBorder="1" applyAlignment="1">
      <alignment horizontal="center" vertical="center"/>
    </xf>
    <xf numFmtId="169" fontId="7" fillId="0" borderId="0" xfId="3" applyNumberFormat="1" applyFont="1" applyFill="1" applyBorder="1" applyAlignment="1">
      <alignment horizontal="center" vertical="center"/>
    </xf>
    <xf numFmtId="179" fontId="17" fillId="0" borderId="0" xfId="3" applyNumberFormat="1" applyFont="1" applyFill="1" applyBorder="1" applyAlignment="1">
      <alignment horizontal="center" vertical="center"/>
    </xf>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3" fontId="15" fillId="0" borderId="0" xfId="3" applyNumberFormat="1" applyFill="1"/>
    <xf numFmtId="3" fontId="15" fillId="0" borderId="0" xfId="3" applyNumberFormat="1" applyFill="1" applyAlignment="1">
      <alignment horizontal="center"/>
    </xf>
    <xf numFmtId="0" fontId="15" fillId="0" borderId="0" xfId="3"/>
    <xf numFmtId="49" fontId="40" fillId="0" borderId="0" xfId="3" applyNumberFormat="1" applyFont="1" applyFill="1" applyBorder="1" applyAlignment="1">
      <alignment horizontal="left" vertical="center"/>
    </xf>
    <xf numFmtId="0" fontId="42" fillId="0" borderId="0" xfId="3" applyFont="1"/>
    <xf numFmtId="0" fontId="15" fillId="0" borderId="0" xfId="3" applyFill="1" applyBorder="1"/>
    <xf numFmtId="0" fontId="47" fillId="0" borderId="0" xfId="23" applyNumberFormat="1" applyFont="1" applyAlignment="1" applyProtection="1">
      <alignment horizontal="left"/>
      <protection locked="0"/>
    </xf>
    <xf numFmtId="0" fontId="7" fillId="0" borderId="0" xfId="3" applyFont="1"/>
    <xf numFmtId="165" fontId="12" fillId="0" borderId="0" xfId="20" applyNumberFormat="1" applyFont="1"/>
    <xf numFmtId="0" fontId="15" fillId="0" borderId="0" xfId="3" applyFill="1"/>
    <xf numFmtId="165" fontId="17" fillId="0" borderId="0" xfId="20" applyNumberFormat="1" applyFont="1" applyFill="1"/>
    <xf numFmtId="175" fontId="17" fillId="0" borderId="0" xfId="3" applyNumberFormat="1" applyFont="1" applyFill="1" applyAlignment="1">
      <alignment horizontal="center"/>
    </xf>
    <xf numFmtId="9" fontId="35" fillId="0" borderId="0" xfId="4" applyFont="1" applyFill="1" applyBorder="1"/>
    <xf numFmtId="175" fontId="12" fillId="0" borderId="0" xfId="3" applyNumberFormat="1" applyFont="1" applyFill="1" applyAlignment="1">
      <alignment horizontal="left"/>
    </xf>
    <xf numFmtId="165" fontId="15" fillId="0" borderId="0" xfId="20" applyNumberFormat="1" applyFont="1" applyFill="1" applyBorder="1"/>
    <xf numFmtId="165" fontId="12" fillId="0" borderId="0" xfId="20" applyNumberFormat="1" applyFont="1" applyFill="1" applyBorder="1"/>
    <xf numFmtId="165" fontId="17" fillId="0" borderId="0" xfId="20" applyNumberFormat="1" applyFont="1" applyFill="1" applyBorder="1"/>
    <xf numFmtId="0" fontId="18" fillId="0" borderId="0" xfId="3" applyFont="1" applyFill="1" applyBorder="1"/>
    <xf numFmtId="165" fontId="18" fillId="0" borderId="0" xfId="20" applyNumberFormat="1" applyFont="1" applyFill="1" applyBorder="1"/>
    <xf numFmtId="165" fontId="42" fillId="0" borderId="0" xfId="20" applyNumberFormat="1" applyFont="1" applyFill="1" applyBorder="1"/>
    <xf numFmtId="0" fontId="42" fillId="0" borderId="0" xfId="3" applyFont="1" applyFill="1"/>
    <xf numFmtId="0" fontId="42" fillId="0" borderId="0" xfId="3" quotePrefix="1" applyFont="1"/>
    <xf numFmtId="0" fontId="15" fillId="0" borderId="0" xfId="3" applyFill="1" applyAlignment="1">
      <alignment horizontal="center"/>
    </xf>
    <xf numFmtId="2" fontId="12" fillId="0" borderId="0" xfId="3" applyNumberFormat="1" applyFont="1" applyFill="1" applyAlignment="1">
      <alignment horizontal="right"/>
    </xf>
    <xf numFmtId="44" fontId="48" fillId="0" borderId="0" xfId="20" applyFont="1" applyBorder="1" applyAlignment="1">
      <alignment horizontal="center"/>
    </xf>
    <xf numFmtId="44" fontId="15" fillId="0" borderId="0" xfId="20"/>
    <xf numFmtId="0" fontId="15" fillId="0" borderId="0" xfId="4" applyNumberFormat="1"/>
    <xf numFmtId="165" fontId="15" fillId="0" borderId="0" xfId="20" applyNumberFormat="1" applyFill="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20" applyNumberFormat="1" applyFill="1" applyBorder="1"/>
    <xf numFmtId="0" fontId="15" fillId="0" borderId="0" xfId="3" applyAlignment="1">
      <alignment horizontal="right"/>
    </xf>
    <xf numFmtId="44" fontId="53" fillId="0" borderId="0" xfId="20" applyFont="1"/>
    <xf numFmtId="1" fontId="49" fillId="0" borderId="42" xfId="4" applyNumberFormat="1" applyFont="1" applyFill="1" applyBorder="1" applyAlignment="1">
      <alignment horizontal="center"/>
    </xf>
    <xf numFmtId="1" fontId="49" fillId="0" borderId="39" xfId="4" applyNumberFormat="1" applyFont="1" applyFill="1" applyBorder="1" applyAlignment="1">
      <alignment horizontal="center"/>
    </xf>
    <xf numFmtId="9" fontId="17" fillId="0" borderId="0" xfId="4" applyFont="1" applyFill="1" applyBorder="1"/>
    <xf numFmtId="0" fontId="47" fillId="0" borderId="0" xfId="23" applyNumberFormat="1" applyFont="1" applyAlignment="1" applyProtection="1">
      <alignment horizontal="left"/>
      <protection locked="0"/>
    </xf>
    <xf numFmtId="165" fontId="12" fillId="0" borderId="0" xfId="20" applyNumberFormat="1" applyFont="1"/>
    <xf numFmtId="165" fontId="17" fillId="0" borderId="0" xfId="20" applyNumberFormat="1" applyFont="1" applyFill="1"/>
    <xf numFmtId="175" fontId="12" fillId="0" borderId="0" xfId="3" applyNumberFormat="1" applyFont="1" applyFill="1" applyAlignment="1">
      <alignment horizontal="left"/>
    </xf>
    <xf numFmtId="165" fontId="12" fillId="0" borderId="0" xfId="20" applyNumberFormat="1" applyFont="1" applyFill="1" applyBorder="1"/>
    <xf numFmtId="165" fontId="15" fillId="0" borderId="0" xfId="20" applyNumberFormat="1"/>
    <xf numFmtId="165" fontId="15" fillId="0" borderId="0" xfId="20" applyNumberFormat="1" applyBorder="1"/>
    <xf numFmtId="165" fontId="15" fillId="0" borderId="0" xfId="20" applyNumberFormat="1" applyFill="1" applyBorder="1"/>
    <xf numFmtId="3" fontId="15" fillId="0" borderId="0" xfId="3" applyNumberFormat="1" applyFill="1"/>
    <xf numFmtId="3" fontId="15" fillId="0" borderId="0" xfId="3" applyNumberFormat="1" applyFill="1" applyAlignment="1">
      <alignment horizontal="center"/>
    </xf>
    <xf numFmtId="0" fontId="12" fillId="0" borderId="0" xfId="2"/>
    <xf numFmtId="0" fontId="18"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8" fillId="0" borderId="0" xfId="2" applyFont="1" applyFill="1" applyBorder="1" applyAlignment="1">
      <alignment horizontal="center"/>
    </xf>
    <xf numFmtId="0" fontId="12" fillId="0" borderId="0" xfId="2"/>
    <xf numFmtId="0" fontId="18" fillId="0" borderId="0" xfId="2" applyFont="1"/>
    <xf numFmtId="0" fontId="12" fillId="0" borderId="0" xfId="2" applyAlignment="1">
      <alignment wrapText="1"/>
    </xf>
    <xf numFmtId="164" fontId="12" fillId="0" borderId="0" xfId="2" applyNumberFormat="1" applyAlignment="1">
      <alignment horizontal="center"/>
    </xf>
    <xf numFmtId="0" fontId="4" fillId="0" borderId="0" xfId="2" applyFont="1"/>
    <xf numFmtId="0" fontId="12" fillId="0" borderId="0" xfId="2" applyFill="1"/>
    <xf numFmtId="0" fontId="4" fillId="0" borderId="0" xfId="2" applyFont="1" applyAlignment="1">
      <alignment wrapText="1"/>
    </xf>
    <xf numFmtId="0" fontId="2" fillId="0" borderId="0" xfId="2" applyFont="1"/>
    <xf numFmtId="164" fontId="2" fillId="0" borderId="0" xfId="2" applyNumberFormat="1" applyFont="1" applyAlignment="1">
      <alignment horizontal="left"/>
    </xf>
    <xf numFmtId="0" fontId="13" fillId="0" borderId="0" xfId="2" applyFont="1" applyAlignment="1">
      <alignment horizontal="right" wrapText="1"/>
    </xf>
    <xf numFmtId="0" fontId="13" fillId="0" borderId="0" xfId="2" applyFont="1" applyFill="1" applyAlignment="1">
      <alignment horizontal="right" wrapText="1"/>
    </xf>
    <xf numFmtId="0" fontId="18" fillId="0" borderId="0" xfId="2" applyFont="1" applyFill="1" applyBorder="1" applyAlignment="1">
      <alignment horizontal="center"/>
    </xf>
    <xf numFmtId="0" fontId="13" fillId="0" borderId="0" xfId="6" applyFont="1" applyAlignment="1">
      <alignment horizontal="right" wrapText="1"/>
    </xf>
    <xf numFmtId="0" fontId="57" fillId="0" borderId="0" xfId="28"/>
    <xf numFmtId="0" fontId="62" fillId="0" borderId="0" xfId="0" applyFont="1"/>
    <xf numFmtId="0" fontId="61" fillId="0" borderId="0" xfId="0" applyFont="1"/>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9" fillId="0" borderId="0" xfId="28" applyFont="1"/>
    <xf numFmtId="0" fontId="23" fillId="0" borderId="0" xfId="28" applyFont="1" applyAlignment="1">
      <alignment horizontal="left"/>
    </xf>
    <xf numFmtId="0" fontId="27" fillId="0" borderId="0" xfId="28" applyFont="1"/>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57" fillId="0" borderId="0" xfId="28"/>
    <xf numFmtId="0" fontId="57" fillId="0" borderId="0" xfId="28" applyFill="1"/>
    <xf numFmtId="0" fontId="23" fillId="0" borderId="0" xfId="28" applyFont="1"/>
    <xf numFmtId="0" fontId="25" fillId="0" borderId="0" xfId="28" applyFont="1" applyFill="1" applyBorder="1"/>
    <xf numFmtId="0" fontId="57" fillId="0" borderId="0" xfId="28" applyFill="1" applyBorder="1"/>
    <xf numFmtId="0" fontId="29" fillId="0" borderId="0" xfId="28" applyFont="1"/>
    <xf numFmtId="0" fontId="23" fillId="0" borderId="0" xfId="28" applyFont="1" applyAlignment="1">
      <alignment horizontal="left"/>
    </xf>
    <xf numFmtId="0" fontId="57" fillId="0" borderId="0" xfId="28"/>
    <xf numFmtId="0" fontId="57" fillId="0" borderId="0" xfId="28" applyFill="1"/>
    <xf numFmtId="0" fontId="23" fillId="0" borderId="0" xfId="28" applyFont="1"/>
    <xf numFmtId="0" fontId="57" fillId="0" borderId="0" xfId="28" applyFill="1" applyBorder="1"/>
    <xf numFmtId="0" fontId="29" fillId="0" borderId="0" xfId="28" applyFont="1"/>
    <xf numFmtId="0" fontId="25" fillId="0" borderId="0" xfId="28" applyFont="1" applyAlignment="1">
      <alignment horizontal="right"/>
    </xf>
    <xf numFmtId="172" fontId="0" fillId="0" borderId="0" xfId="7" applyNumberFormat="1" applyFont="1"/>
    <xf numFmtId="0" fontId="64" fillId="0" borderId="0" xfId="9" applyFont="1" applyFill="1" applyBorder="1" applyAlignment="1" applyProtection="1">
      <alignment horizontal="center" wrapText="1"/>
    </xf>
    <xf numFmtId="165" fontId="38" fillId="0" borderId="0" xfId="1" applyNumberFormat="1" applyFont="1"/>
    <xf numFmtId="0" fontId="64" fillId="0" borderId="35" xfId="9" applyFont="1" applyFill="1" applyBorder="1" applyAlignment="1" applyProtection="1">
      <alignment horizontal="center" wrapText="1"/>
    </xf>
    <xf numFmtId="181" fontId="0" fillId="0" borderId="0" xfId="7" applyNumberFormat="1" applyFont="1"/>
    <xf numFmtId="165" fontId="25" fillId="0" borderId="0" xfId="1" applyNumberFormat="1" applyFont="1" applyFill="1" applyBorder="1" applyAlignment="1">
      <alignment horizontal="center"/>
    </xf>
    <xf numFmtId="183" fontId="0" fillId="0" borderId="0" xfId="0" applyNumberFormat="1"/>
    <xf numFmtId="183" fontId="65" fillId="0" borderId="0" xfId="0" applyNumberFormat="1" applyFont="1"/>
    <xf numFmtId="0" fontId="65" fillId="0" borderId="0" xfId="0" applyFont="1"/>
    <xf numFmtId="0" fontId="18" fillId="0" borderId="0" xfId="0" applyFont="1"/>
    <xf numFmtId="0" fontId="17" fillId="0" borderId="9" xfId="0" applyFont="1" applyBorder="1"/>
    <xf numFmtId="0" fontId="0" fillId="0" borderId="2" xfId="0" applyBorder="1"/>
    <xf numFmtId="0" fontId="0" fillId="0" borderId="56" xfId="0" applyBorder="1"/>
    <xf numFmtId="0" fontId="0" fillId="0" borderId="57" xfId="0" applyBorder="1"/>
    <xf numFmtId="0" fontId="0" fillId="0" borderId="47" xfId="0" applyFill="1" applyBorder="1"/>
    <xf numFmtId="0" fontId="70" fillId="4" borderId="2" xfId="0" applyFont="1" applyFill="1" applyBorder="1" applyAlignment="1">
      <alignment horizontal="left"/>
    </xf>
    <xf numFmtId="0" fontId="70" fillId="4" borderId="2" xfId="0" applyFont="1" applyFill="1" applyBorder="1" applyAlignment="1">
      <alignment horizontal="right"/>
    </xf>
    <xf numFmtId="0" fontId="17" fillId="0" borderId="4" xfId="0" applyFont="1" applyBorder="1"/>
    <xf numFmtId="0" fontId="17" fillId="0" borderId="6" xfId="0" applyFont="1" applyBorder="1"/>
    <xf numFmtId="0" fontId="17" fillId="0" borderId="7" xfId="0" applyFont="1" applyBorder="1"/>
    <xf numFmtId="0" fontId="0" fillId="0" borderId="0" xfId="0" applyFill="1" applyBorder="1" applyAlignment="1">
      <alignment vertical="center"/>
    </xf>
    <xf numFmtId="0" fontId="66" fillId="8" borderId="9" xfId="0" applyFont="1" applyFill="1" applyBorder="1"/>
    <xf numFmtId="0" fontId="18" fillId="9" borderId="9" xfId="0" applyFont="1" applyFill="1" applyBorder="1"/>
    <xf numFmtId="0" fontId="66" fillId="10" borderId="42" xfId="0" applyFont="1" applyFill="1" applyBorder="1"/>
    <xf numFmtId="0" fontId="18" fillId="11" borderId="9" xfId="0" applyFont="1" applyFill="1" applyBorder="1"/>
    <xf numFmtId="0" fontId="0" fillId="0" borderId="44" xfId="0" applyFill="1" applyBorder="1"/>
    <xf numFmtId="0" fontId="17" fillId="0" borderId="13" xfId="0" applyFont="1" applyFill="1" applyBorder="1"/>
    <xf numFmtId="3" fontId="17" fillId="0" borderId="13" xfId="0" applyNumberFormat="1" applyFont="1" applyBorder="1"/>
    <xf numFmtId="3" fontId="0" fillId="0" borderId="0" xfId="0" applyNumberFormat="1" applyBorder="1"/>
    <xf numFmtId="0" fontId="0" fillId="0" borderId="0" xfId="0"/>
    <xf numFmtId="0" fontId="0" fillId="0" borderId="0" xfId="0" applyAlignment="1">
      <alignment wrapText="1"/>
    </xf>
    <xf numFmtId="0" fontId="0" fillId="0" borderId="45" xfId="0" applyFill="1" applyBorder="1"/>
    <xf numFmtId="0" fontId="65" fillId="0" borderId="0" xfId="0" applyFont="1" applyAlignment="1">
      <alignment wrapText="1"/>
    </xf>
    <xf numFmtId="164" fontId="25" fillId="0" borderId="0" xfId="28" applyNumberFormat="1" applyFont="1" applyBorder="1" applyAlignment="1">
      <alignment horizontal="right"/>
    </xf>
    <xf numFmtId="37" fontId="5" fillId="0" borderId="9" xfId="0" applyNumberFormat="1" applyFont="1" applyFill="1" applyBorder="1" applyProtection="1"/>
    <xf numFmtId="3" fontId="21" fillId="8" borderId="9" xfId="0" applyNumberFormat="1" applyFont="1" applyFill="1" applyBorder="1" applyProtection="1"/>
    <xf numFmtId="42" fontId="5" fillId="14" borderId="9" xfId="0" applyNumberFormat="1" applyFont="1" applyFill="1" applyBorder="1" applyProtection="1"/>
    <xf numFmtId="3" fontId="21" fillId="9" borderId="9" xfId="0" applyNumberFormat="1" applyFont="1" applyFill="1" applyBorder="1" applyProtection="1"/>
    <xf numFmtId="42" fontId="5" fillId="0" borderId="9" xfId="0" applyNumberFormat="1" applyFont="1" applyFill="1" applyBorder="1" applyProtection="1"/>
    <xf numFmtId="3" fontId="5" fillId="0" borderId="9" xfId="0" applyNumberFormat="1" applyFont="1" applyFill="1" applyBorder="1" applyProtection="1"/>
    <xf numFmtId="3" fontId="1" fillId="0" borderId="2" xfId="0" applyNumberFormat="1" applyFont="1" applyBorder="1" applyProtection="1"/>
    <xf numFmtId="42" fontId="1" fillId="0" borderId="2" xfId="0" applyNumberFormat="1" applyFont="1" applyBorder="1" applyProtection="1"/>
    <xf numFmtId="3" fontId="66" fillId="10" borderId="42" xfId="0" applyNumberFormat="1" applyFont="1" applyFill="1" applyBorder="1" applyProtection="1"/>
    <xf numFmtId="3" fontId="5" fillId="4" borderId="2" xfId="0" applyNumberFormat="1" applyFont="1" applyFill="1" applyBorder="1" applyProtection="1"/>
    <xf numFmtId="186" fontId="5" fillId="0" borderId="2" xfId="0" applyNumberFormat="1" applyFont="1" applyBorder="1" applyProtection="1"/>
    <xf numFmtId="3" fontId="21" fillId="11" borderId="9" xfId="0" applyNumberFormat="1" applyFont="1" applyFill="1" applyBorder="1" applyProtection="1"/>
    <xf numFmtId="3" fontId="0" fillId="0" borderId="9" xfId="0" applyNumberFormat="1" applyBorder="1" applyProtection="1"/>
    <xf numFmtId="0" fontId="40" fillId="0" borderId="0" xfId="156" applyFont="1" applyBorder="1" applyAlignment="1">
      <alignment vertical="top" wrapText="1"/>
    </xf>
    <xf numFmtId="165" fontId="63" fillId="0" borderId="0" xfId="1" applyNumberFormat="1" applyFont="1" applyBorder="1" applyAlignment="1">
      <alignment vertical="top"/>
    </xf>
    <xf numFmtId="165" fontId="0" fillId="0" borderId="0" xfId="1" applyNumberFormat="1" applyFont="1" applyBorder="1"/>
    <xf numFmtId="0" fontId="6" fillId="0" borderId="0" xfId="0" applyFont="1"/>
    <xf numFmtId="0" fontId="6" fillId="0" borderId="31" xfId="171" applyFont="1" applyBorder="1" applyAlignment="1">
      <alignment vertical="center" wrapText="1"/>
    </xf>
    <xf numFmtId="0" fontId="6" fillId="0" borderId="4" xfId="171" applyFont="1" applyBorder="1" applyAlignment="1">
      <alignment vertical="center" wrapText="1"/>
    </xf>
    <xf numFmtId="0" fontId="88" fillId="0" borderId="0" xfId="175" applyFont="1"/>
    <xf numFmtId="0" fontId="34" fillId="0" borderId="0" xfId="175"/>
    <xf numFmtId="0" fontId="7" fillId="0" borderId="0" xfId="171" applyFont="1" applyAlignment="1">
      <alignment horizontal="left"/>
    </xf>
    <xf numFmtId="0" fontId="6" fillId="0" borderId="0" xfId="155"/>
    <xf numFmtId="0" fontId="3" fillId="3" borderId="2" xfId="171" applyFont="1" applyFill="1" applyBorder="1" applyAlignment="1">
      <alignment horizontal="center" vertical="center" wrapText="1"/>
    </xf>
    <xf numFmtId="0" fontId="3" fillId="3" borderId="9" xfId="171" applyFont="1" applyFill="1" applyBorder="1" applyAlignment="1">
      <alignment horizontal="center" vertical="center" wrapText="1"/>
    </xf>
    <xf numFmtId="0" fontId="39" fillId="0" borderId="0" xfId="12"/>
    <xf numFmtId="49" fontId="40" fillId="0" borderId="0" xfId="12" applyNumberFormat="1" applyFont="1" applyFill="1" applyBorder="1" applyAlignment="1">
      <alignment horizontal="left" vertical="center"/>
    </xf>
    <xf numFmtId="0" fontId="39" fillId="0" borderId="0" xfId="12" applyBorder="1"/>
    <xf numFmtId="0" fontId="42" fillId="0" borderId="0" xfId="12" applyFont="1"/>
    <xf numFmtId="0" fontId="39" fillId="0" borderId="0" xfId="12" applyFill="1" applyBorder="1"/>
    <xf numFmtId="0" fontId="39" fillId="0" borderId="37" xfId="12" applyBorder="1"/>
    <xf numFmtId="0" fontId="42" fillId="0" borderId="0" xfId="12" applyFont="1" applyFill="1" applyBorder="1"/>
    <xf numFmtId="0" fontId="17" fillId="0" borderId="0" xfId="12" applyFont="1"/>
    <xf numFmtId="165" fontId="39" fillId="0" borderId="0" xfId="15" applyNumberFormat="1" applyFont="1" applyBorder="1"/>
    <xf numFmtId="165" fontId="39" fillId="0" borderId="0" xfId="15" applyNumberFormat="1" applyFont="1"/>
    <xf numFmtId="0" fontId="47" fillId="0" borderId="0" xfId="17" applyNumberFormat="1" applyFont="1" applyAlignment="1" applyProtection="1">
      <alignment horizontal="left"/>
      <protection locked="0"/>
    </xf>
    <xf numFmtId="44" fontId="39" fillId="0" borderId="0" xfId="15" applyFont="1"/>
    <xf numFmtId="0" fontId="39" fillId="0" borderId="0" xfId="18" applyNumberFormat="1" applyFont="1"/>
    <xf numFmtId="0" fontId="7" fillId="0" borderId="0" xfId="12" applyFont="1"/>
    <xf numFmtId="165" fontId="12" fillId="0" borderId="0" xfId="15" applyNumberFormat="1" applyFont="1"/>
    <xf numFmtId="41" fontId="12" fillId="0" borderId="0" xfId="17" applyNumberFormat="1" applyFont="1" applyFill="1" applyBorder="1" applyAlignment="1" applyProtection="1">
      <alignment horizontal="left"/>
    </xf>
    <xf numFmtId="0" fontId="39" fillId="0" borderId="0" xfId="12" applyFill="1"/>
    <xf numFmtId="165" fontId="17" fillId="0" borderId="0" xfId="15" applyNumberFormat="1" applyFont="1" applyFill="1"/>
    <xf numFmtId="175" fontId="17" fillId="0" borderId="0" xfId="12" applyNumberFormat="1" applyFont="1" applyFill="1" applyAlignment="1">
      <alignment horizontal="center"/>
    </xf>
    <xf numFmtId="165" fontId="39" fillId="0" borderId="0" xfId="15" applyNumberFormat="1" applyFont="1" applyFill="1"/>
    <xf numFmtId="0" fontId="12" fillId="0" borderId="0" xfId="12" applyFont="1" applyAlignment="1">
      <alignment horizontal="left"/>
    </xf>
    <xf numFmtId="9" fontId="35" fillId="0" borderId="0" xfId="18" applyFont="1" applyFill="1" applyBorder="1"/>
    <xf numFmtId="175" fontId="12" fillId="0" borderId="0" xfId="12" applyNumberFormat="1" applyFont="1" applyFill="1" applyAlignment="1">
      <alignment horizontal="left"/>
    </xf>
    <xf numFmtId="165" fontId="42" fillId="0" borderId="0" xfId="15" applyNumberFormat="1" applyFont="1" applyBorder="1"/>
    <xf numFmtId="165" fontId="39" fillId="0" borderId="0" xfId="15" applyNumberFormat="1" applyFont="1" applyFill="1" applyBorder="1"/>
    <xf numFmtId="165" fontId="12" fillId="0" borderId="0" xfId="15" applyNumberFormat="1" applyFont="1" applyFill="1" applyBorder="1"/>
    <xf numFmtId="0" fontId="17" fillId="0" borderId="0" xfId="12" applyFont="1" applyFill="1" applyBorder="1"/>
    <xf numFmtId="165" fontId="17" fillId="0" borderId="0" xfId="15" applyNumberFormat="1" applyFont="1" applyFill="1" applyBorder="1"/>
    <xf numFmtId="0" fontId="12" fillId="0" borderId="0" xfId="12" applyFont="1" applyFill="1" applyBorder="1"/>
    <xf numFmtId="165" fontId="42" fillId="0" borderId="0" xfId="15" applyNumberFormat="1" applyFont="1" applyFill="1" applyBorder="1"/>
    <xf numFmtId="3" fontId="42" fillId="0" borderId="0" xfId="15" applyNumberFormat="1" applyFont="1" applyFill="1" applyBorder="1"/>
    <xf numFmtId="0" fontId="42" fillId="0" borderId="0" xfId="12" applyFont="1" applyFill="1" applyAlignment="1">
      <alignment horizontal="right"/>
    </xf>
    <xf numFmtId="0" fontId="42" fillId="0" borderId="0" xfId="12" applyFont="1" applyAlignment="1">
      <alignment horizontal="right"/>
    </xf>
    <xf numFmtId="2" fontId="12" fillId="0" borderId="0" xfId="12" applyNumberFormat="1" applyFont="1" applyFill="1" applyAlignment="1">
      <alignment horizontal="right"/>
    </xf>
    <xf numFmtId="44" fontId="48" fillId="0" borderId="0" xfId="15" applyFont="1" applyBorder="1" applyAlignment="1">
      <alignment horizontal="center"/>
    </xf>
    <xf numFmtId="166" fontId="42" fillId="0" borderId="0" xfId="12" applyNumberFormat="1" applyFont="1" applyFill="1" applyAlignment="1">
      <alignment horizontal="right"/>
    </xf>
    <xf numFmtId="0" fontId="39" fillId="0" borderId="0" xfId="12" applyAlignment="1">
      <alignment horizontal="right"/>
    </xf>
    <xf numFmtId="44" fontId="53" fillId="0" borderId="0" xfId="15" applyFont="1"/>
    <xf numFmtId="165" fontId="42" fillId="0" borderId="0" xfId="12" applyNumberFormat="1" applyFont="1" applyBorder="1"/>
    <xf numFmtId="172" fontId="39" fillId="0" borderId="0" xfId="13" applyNumberFormat="1" applyFont="1" applyBorder="1"/>
    <xf numFmtId="9" fontId="35" fillId="0" borderId="40" xfId="18" applyFont="1" applyFill="1" applyBorder="1"/>
    <xf numFmtId="0" fontId="39" fillId="0" borderId="28" xfId="12" applyBorder="1"/>
    <xf numFmtId="165" fontId="42" fillId="0" borderId="40" xfId="15" applyNumberFormat="1" applyFont="1" applyFill="1" applyBorder="1"/>
    <xf numFmtId="165" fontId="42" fillId="2" borderId="14" xfId="15" applyNumberFormat="1" applyFont="1" applyFill="1" applyBorder="1"/>
    <xf numFmtId="0" fontId="7" fillId="0" borderId="28" xfId="12" applyFont="1" applyBorder="1"/>
    <xf numFmtId="1" fontId="49" fillId="0" borderId="42" xfId="18" applyNumberFormat="1" applyFont="1" applyFill="1" applyBorder="1" applyAlignment="1">
      <alignment horizontal="center"/>
    </xf>
    <xf numFmtId="44" fontId="48" fillId="0" borderId="40" xfId="15" applyFont="1" applyBorder="1" applyAlignment="1">
      <alignment horizontal="center"/>
    </xf>
    <xf numFmtId="165" fontId="39" fillId="0" borderId="28" xfId="12" applyNumberFormat="1" applyBorder="1"/>
    <xf numFmtId="1" fontId="49" fillId="0" borderId="0" xfId="18" applyNumberFormat="1" applyFont="1" applyFill="1" applyBorder="1" applyAlignment="1">
      <alignment horizontal="center"/>
    </xf>
    <xf numFmtId="165" fontId="12" fillId="5" borderId="40" xfId="2" applyNumberFormat="1" applyFill="1" applyBorder="1"/>
    <xf numFmtId="165" fontId="39" fillId="0" borderId="0" xfId="12" applyNumberFormat="1" applyBorder="1"/>
    <xf numFmtId="42" fontId="42" fillId="0" borderId="0" xfId="12" applyNumberFormat="1" applyFont="1" applyBorder="1"/>
    <xf numFmtId="9" fontId="17" fillId="0" borderId="0" xfId="18" applyFont="1" applyFill="1" applyBorder="1"/>
    <xf numFmtId="180" fontId="41" fillId="0" borderId="0" xfId="12" applyNumberFormat="1" applyFont="1" applyBorder="1"/>
    <xf numFmtId="42" fontId="41" fillId="0" borderId="28" xfId="12" applyNumberFormat="1" applyFont="1" applyBorder="1"/>
    <xf numFmtId="165" fontId="42" fillId="0" borderId="28" xfId="12" applyNumberFormat="1" applyFont="1" applyBorder="1"/>
    <xf numFmtId="3" fontId="39" fillId="0" borderId="0" xfId="12" applyNumberFormat="1" applyBorder="1"/>
    <xf numFmtId="3" fontId="39" fillId="0" borderId="0" xfId="15" applyNumberFormat="1" applyFont="1" applyFill="1" applyBorder="1"/>
    <xf numFmtId="165" fontId="15" fillId="0" borderId="0" xfId="15" applyNumberFormat="1" applyFont="1" applyFill="1" applyBorder="1"/>
    <xf numFmtId="0" fontId="42" fillId="0" borderId="0" xfId="12" applyFont="1" applyAlignment="1">
      <alignment horizontal="left" indent="2"/>
    </xf>
    <xf numFmtId="0" fontId="39" fillId="0" borderId="0" xfId="12" applyBorder="1" applyAlignment="1">
      <alignment horizontal="left" indent="1"/>
    </xf>
    <xf numFmtId="0" fontId="39" fillId="0" borderId="0" xfId="12" applyBorder="1" applyAlignment="1">
      <alignment horizontal="left" indent="2"/>
    </xf>
    <xf numFmtId="3" fontId="39" fillId="0" borderId="0" xfId="12" applyNumberFormat="1" applyFont="1" applyBorder="1"/>
    <xf numFmtId="3" fontId="41" fillId="0" borderId="0" xfId="15" applyNumberFormat="1" applyFont="1" applyFill="1" applyBorder="1"/>
    <xf numFmtId="3" fontId="42" fillId="0" borderId="0" xfId="12" applyNumberFormat="1" applyFont="1" applyBorder="1"/>
    <xf numFmtId="165" fontId="42" fillId="0" borderId="73" xfId="22" applyNumberFormat="1" applyFont="1" applyFill="1" applyBorder="1"/>
    <xf numFmtId="3" fontId="42" fillId="0" borderId="44" xfId="22" applyNumberFormat="1" applyFont="1" applyFill="1" applyBorder="1"/>
    <xf numFmtId="172" fontId="39" fillId="0" borderId="0" xfId="12" applyNumberFormat="1" applyBorder="1"/>
    <xf numFmtId="0" fontId="15" fillId="0" borderId="0" xfId="3"/>
    <xf numFmtId="0" fontId="15" fillId="0" borderId="37" xfId="3" applyBorder="1"/>
    <xf numFmtId="165" fontId="15" fillId="0" borderId="0" xfId="22" applyNumberFormat="1" applyFont="1"/>
    <xf numFmtId="165" fontId="17" fillId="0" borderId="0" xfId="22" applyNumberFormat="1" applyFont="1" applyFill="1"/>
    <xf numFmtId="175" fontId="17" fillId="0" borderId="0" xfId="3" applyNumberFormat="1" applyFont="1" applyFill="1" applyAlignment="1">
      <alignment horizontal="center"/>
    </xf>
    <xf numFmtId="9" fontId="35" fillId="0" borderId="0" xfId="4" applyFont="1" applyFill="1" applyBorder="1"/>
    <xf numFmtId="165" fontId="17" fillId="0" borderId="0" xfId="22" applyNumberFormat="1" applyFont="1" applyFill="1" applyBorder="1"/>
    <xf numFmtId="2" fontId="12" fillId="0" borderId="0" xfId="3" applyNumberFormat="1" applyFont="1" applyFill="1" applyAlignment="1">
      <alignment horizontal="right"/>
    </xf>
    <xf numFmtId="1" fontId="49" fillId="0" borderId="42" xfId="4" applyNumberFormat="1" applyFont="1" applyFill="1" applyBorder="1" applyAlignment="1">
      <alignment horizontal="center"/>
    </xf>
    <xf numFmtId="1" fontId="49" fillId="0" borderId="0" xfId="4" applyNumberFormat="1" applyFont="1" applyFill="1" applyBorder="1" applyAlignment="1">
      <alignment horizontal="center"/>
    </xf>
    <xf numFmtId="165" fontId="15" fillId="0" borderId="28" xfId="22" applyNumberFormat="1" applyFont="1" applyFill="1" applyBorder="1"/>
    <xf numFmtId="3" fontId="15" fillId="0" borderId="0" xfId="3" applyNumberFormat="1" applyBorder="1"/>
    <xf numFmtId="0" fontId="1" fillId="0" borderId="0" xfId="3" applyNumberFormat="1" applyFont="1" applyFill="1" applyBorder="1" applyAlignment="1">
      <alignment horizontal="left" indent="2"/>
    </xf>
    <xf numFmtId="165" fontId="15" fillId="0" borderId="39" xfId="22" applyNumberFormat="1" applyFont="1" applyBorder="1"/>
    <xf numFmtId="3" fontId="42" fillId="0" borderId="2" xfId="3" applyNumberFormat="1" applyFont="1" applyBorder="1"/>
    <xf numFmtId="165" fontId="42" fillId="0" borderId="31" xfId="22" applyNumberFormat="1" applyFont="1" applyFill="1" applyBorder="1"/>
    <xf numFmtId="3" fontId="15" fillId="0" borderId="2" xfId="3" applyNumberFormat="1" applyBorder="1"/>
    <xf numFmtId="0" fontId="15" fillId="0" borderId="31" xfId="3" applyBorder="1"/>
    <xf numFmtId="9" fontId="17" fillId="0" borderId="0" xfId="4" applyNumberFormat="1" applyFont="1" applyFill="1" applyBorder="1"/>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0" fontId="17" fillId="0" borderId="0" xfId="3" applyFont="1" applyFill="1" applyBorder="1"/>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165" fontId="15" fillId="0" borderId="28" xfId="22" applyNumberFormat="1" applyFill="1" applyBorder="1"/>
    <xf numFmtId="165" fontId="15" fillId="0" borderId="28" xfId="22" applyNumberFormat="1" applyBorder="1"/>
    <xf numFmtId="165" fontId="42" fillId="2" borderId="15" xfId="22" applyNumberFormat="1" applyFont="1" applyFill="1" applyBorder="1"/>
    <xf numFmtId="165" fontId="42" fillId="2" borderId="16" xfId="22" applyNumberFormat="1" applyFont="1" applyFill="1" applyBorder="1"/>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42" fillId="0" borderId="0" xfId="3" applyFont="1" applyFill="1" applyAlignment="1">
      <alignment horizontal="right"/>
    </xf>
    <xf numFmtId="166" fontId="42" fillId="0" borderId="0" xfId="3" applyNumberFormat="1" applyFont="1" applyFill="1" applyAlignment="1">
      <alignment horizontal="right"/>
    </xf>
    <xf numFmtId="165" fontId="15" fillId="0" borderId="28" xfId="3" applyNumberFormat="1" applyFont="1" applyBorder="1"/>
    <xf numFmtId="0" fontId="15" fillId="0" borderId="0" xfId="3"/>
    <xf numFmtId="0" fontId="15" fillId="0" borderId="0" xfId="3" applyBorder="1"/>
    <xf numFmtId="0" fontId="15" fillId="0" borderId="0" xfId="3" applyFill="1" applyBorder="1"/>
    <xf numFmtId="0" fontId="42" fillId="0" borderId="0" xfId="3" applyFont="1" applyFill="1" applyBorder="1"/>
    <xf numFmtId="0" fontId="17" fillId="0" borderId="0" xfId="3" applyFont="1"/>
    <xf numFmtId="165" fontId="15" fillId="0" borderId="0" xfId="22" applyNumberFormat="1" applyFont="1" applyBorder="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0" fontId="12" fillId="0" borderId="0" xfId="3" applyFont="1" applyAlignment="1">
      <alignment horizontal="left"/>
    </xf>
    <xf numFmtId="9" fontId="35" fillId="0" borderId="0" xfId="4" applyFont="1" applyFill="1" applyBorder="1"/>
    <xf numFmtId="42" fontId="37" fillId="0" borderId="0" xfId="4" applyNumberFormat="1" applyFont="1" applyFill="1" applyBorder="1"/>
    <xf numFmtId="165" fontId="15" fillId="0" borderId="0" xfId="22" applyNumberFormat="1" applyFont="1" applyFill="1" applyBorder="1"/>
    <xf numFmtId="165" fontId="12" fillId="0" borderId="0" xfId="22" applyNumberFormat="1" applyFont="1" applyFill="1" applyBorder="1"/>
    <xf numFmtId="0" fontId="17" fillId="0" borderId="0" xfId="3" applyFont="1" applyFill="1" applyBorder="1"/>
    <xf numFmtId="165" fontId="42" fillId="0" borderId="0" xfId="22" applyNumberFormat="1" applyFont="1" applyFill="1" applyBorder="1"/>
    <xf numFmtId="3" fontId="42"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9" fontId="35" fillId="0" borderId="28" xfId="4" applyFont="1" applyFill="1" applyBorder="1"/>
    <xf numFmtId="42" fontId="37" fillId="0" borderId="28" xfId="4" applyNumberFormat="1" applyFont="1" applyFill="1" applyBorder="1"/>
    <xf numFmtId="165" fontId="17" fillId="0" borderId="28" xfId="22" applyNumberFormat="1" applyFont="1" applyFill="1" applyBorder="1"/>
    <xf numFmtId="165" fontId="17" fillId="0" borderId="0" xfId="22" applyNumberFormat="1" applyFont="1"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42" fillId="0" borderId="28" xfId="22" applyNumberFormat="1" applyFont="1" applyBorder="1"/>
    <xf numFmtId="165" fontId="15" fillId="0" borderId="28" xfId="3" applyNumberFormat="1" applyBorder="1"/>
    <xf numFmtId="0" fontId="43" fillId="0" borderId="0" xfId="3" applyFont="1" applyAlignment="1">
      <alignment horizontal="center"/>
    </xf>
    <xf numFmtId="9" fontId="17" fillId="0" borderId="0" xfId="4" applyFont="1" applyFill="1" applyBorder="1"/>
    <xf numFmtId="165" fontId="15" fillId="0" borderId="28" xfId="22" applyNumberFormat="1" applyFont="1" applyBorder="1"/>
    <xf numFmtId="165" fontId="12" fillId="0" borderId="0" xfId="22" applyNumberFormat="1" applyFont="1" applyBorder="1"/>
    <xf numFmtId="165" fontId="15" fillId="0" borderId="28" xfId="22" applyNumberFormat="1" applyFont="1" applyFill="1" applyBorder="1"/>
    <xf numFmtId="165" fontId="12" fillId="0" borderId="28" xfId="22" applyNumberFormat="1" applyFont="1" applyBorder="1"/>
    <xf numFmtId="0" fontId="15" fillId="0" borderId="0" xfId="3"/>
    <xf numFmtId="42" fontId="42" fillId="0" borderId="0" xfId="3" applyNumberFormat="1" applyFont="1"/>
    <xf numFmtId="165" fontId="15" fillId="0" borderId="0" xfId="3" applyNumberFormat="1"/>
    <xf numFmtId="0" fontId="15" fillId="0" borderId="0" xfId="3" applyFill="1"/>
    <xf numFmtId="9" fontId="35" fillId="0" borderId="0" xfId="4" applyFont="1" applyFill="1" applyBorder="1"/>
    <xf numFmtId="42" fontId="15" fillId="0" borderId="0" xfId="3" applyNumberFormat="1" applyFill="1"/>
    <xf numFmtId="165" fontId="15" fillId="0" borderId="0" xfId="3" applyNumberFormat="1" applyFill="1"/>
    <xf numFmtId="0" fontId="42" fillId="0" borderId="0" xfId="3" applyFont="1" applyFill="1" applyAlignment="1">
      <alignment horizontal="right"/>
    </xf>
    <xf numFmtId="0" fontId="42" fillId="0" borderId="0" xfId="3" applyFont="1" applyAlignment="1">
      <alignment horizontal="right"/>
    </xf>
    <xf numFmtId="165" fontId="56" fillId="0" borderId="0" xfId="3" applyNumberFormat="1" applyFont="1"/>
    <xf numFmtId="9" fontId="49" fillId="0" borderId="0" xfId="4" applyFont="1" applyFill="1" applyBorder="1"/>
    <xf numFmtId="44" fontId="42" fillId="0" borderId="0" xfId="3" applyNumberFormat="1" applyFont="1" applyAlignment="1">
      <alignment horizontal="right"/>
    </xf>
    <xf numFmtId="3" fontId="42" fillId="0" borderId="0" xfId="3" applyNumberFormat="1" applyFont="1" applyAlignment="1">
      <alignment horizontal="right"/>
    </xf>
    <xf numFmtId="166" fontId="42" fillId="0" borderId="0" xfId="3" applyNumberFormat="1" applyFont="1" applyFill="1" applyAlignment="1">
      <alignment horizontal="right"/>
    </xf>
    <xf numFmtId="0" fontId="15" fillId="0" borderId="0" xfId="3" applyAlignment="1">
      <alignment horizontal="right"/>
    </xf>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0" fontId="12" fillId="0" borderId="0" xfId="3" applyFont="1" applyAlignment="1">
      <alignment horizontal="left"/>
    </xf>
    <xf numFmtId="165" fontId="42" fillId="0" borderId="0" xfId="22" applyNumberFormat="1" applyFont="1" applyBorder="1"/>
    <xf numFmtId="0" fontId="17" fillId="0" borderId="0" xfId="3" applyFont="1" applyFill="1" applyBorder="1"/>
    <xf numFmtId="0" fontId="12" fillId="0" borderId="0" xfId="3" applyFont="1" applyFill="1" applyBorder="1"/>
    <xf numFmtId="165" fontId="42" fillId="0" borderId="0" xfId="22" applyNumberFormat="1" applyFont="1" applyFill="1" applyBorder="1"/>
    <xf numFmtId="165" fontId="15" fillId="0" borderId="0" xfId="22" applyNumberFormat="1" applyBorder="1"/>
    <xf numFmtId="165" fontId="15" fillId="0" borderId="0" xfId="22" applyNumberFormat="1" applyFill="1" applyBorder="1"/>
    <xf numFmtId="165" fontId="42" fillId="0" borderId="0" xfId="3" applyNumberFormat="1" applyFont="1" applyBorder="1"/>
    <xf numFmtId="0" fontId="15" fillId="0" borderId="28" xfId="3" applyBorder="1"/>
    <xf numFmtId="165" fontId="15" fillId="0" borderId="28" xfId="22" applyNumberFormat="1" applyFill="1" applyBorder="1"/>
    <xf numFmtId="165" fontId="15" fillId="0" borderId="28" xfId="22" applyNumberFormat="1" applyBorder="1"/>
    <xf numFmtId="3" fontId="42" fillId="0" borderId="9" xfId="22" applyNumberFormat="1" applyFont="1" applyFill="1" applyBorder="1"/>
    <xf numFmtId="3" fontId="42" fillId="0" borderId="4" xfId="22" applyNumberFormat="1" applyFont="1" applyFill="1" applyBorder="1"/>
    <xf numFmtId="165" fontId="15" fillId="0" borderId="28" xfId="3" applyNumberFormat="1" applyBorder="1"/>
    <xf numFmtId="0" fontId="43" fillId="0" borderId="0" xfId="3" applyFont="1" applyAlignment="1">
      <alignment horizontal="center"/>
    </xf>
    <xf numFmtId="165" fontId="15" fillId="0" borderId="0" xfId="3" applyNumberFormat="1" applyBorder="1"/>
    <xf numFmtId="42" fontId="42" fillId="0" borderId="0" xfId="3" applyNumberFormat="1" applyFont="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15" fillId="0" borderId="0" xfId="3"/>
    <xf numFmtId="42" fontId="42" fillId="0" borderId="0" xfId="3" applyNumberFormat="1" applyFont="1"/>
    <xf numFmtId="165" fontId="15" fillId="0" borderId="0" xfId="3" applyNumberFormat="1"/>
    <xf numFmtId="0" fontId="15" fillId="0" borderId="0" xfId="3" applyFill="1"/>
    <xf numFmtId="9" fontId="35" fillId="0" borderId="0" xfId="4" applyFont="1" applyFill="1" applyBorder="1"/>
    <xf numFmtId="42" fontId="15" fillId="0" borderId="0" xfId="3" applyNumberFormat="1" applyFill="1"/>
    <xf numFmtId="165" fontId="15" fillId="0" borderId="0" xfId="3" applyNumberFormat="1" applyFill="1"/>
    <xf numFmtId="0" fontId="42" fillId="0" borderId="0" xfId="3" applyFont="1" applyFill="1" applyAlignment="1">
      <alignment horizontal="right"/>
    </xf>
    <xf numFmtId="0" fontId="42" fillId="0" borderId="0" xfId="3" applyFont="1" applyAlignment="1">
      <alignment horizontal="right"/>
    </xf>
    <xf numFmtId="165" fontId="56" fillId="0" borderId="0" xfId="3" applyNumberFormat="1" applyFont="1"/>
    <xf numFmtId="9" fontId="49" fillId="0" borderId="0" xfId="4" applyFont="1" applyFill="1" applyBorder="1"/>
    <xf numFmtId="3" fontId="42" fillId="0" borderId="0" xfId="3" applyNumberFormat="1" applyFont="1" applyAlignment="1">
      <alignment horizontal="right"/>
    </xf>
    <xf numFmtId="0" fontId="15" fillId="0" borderId="0" xfId="3" applyAlignment="1">
      <alignment horizontal="right"/>
    </xf>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0" fontId="17" fillId="0" borderId="0" xfId="3" applyFont="1" applyFill="1" applyBorder="1"/>
    <xf numFmtId="165" fontId="17" fillId="0" borderId="0" xfId="22" applyNumberFormat="1" applyFont="1" applyFill="1" applyBorder="1"/>
    <xf numFmtId="165" fontId="42" fillId="0" borderId="0" xfId="22" applyNumberFormat="1" applyFont="1" applyFill="1" applyBorder="1"/>
    <xf numFmtId="165" fontId="15" fillId="0" borderId="0" xfId="22" applyNumberFormat="1" applyBorder="1"/>
    <xf numFmtId="165" fontId="15" fillId="0" borderId="0" xfId="22" applyNumberFormat="1" applyFill="1" applyBorder="1"/>
    <xf numFmtId="3"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3" fontId="42" fillId="0" borderId="30" xfId="22" applyNumberFormat="1" applyFont="1" applyFill="1"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15" fillId="0" borderId="28" xfId="3" applyNumberFormat="1" applyBorder="1"/>
    <xf numFmtId="3" fontId="15" fillId="0" borderId="28" xfId="22" applyNumberFormat="1" applyFill="1" applyBorder="1"/>
    <xf numFmtId="3" fontId="42" fillId="0" borderId="2" xfId="22" applyNumberFormat="1" applyFont="1" applyFill="1" applyBorder="1"/>
    <xf numFmtId="3" fontId="42" fillId="0" borderId="31" xfId="22" applyNumberFormat="1" applyFont="1" applyFill="1" applyBorder="1"/>
    <xf numFmtId="167" fontId="54" fillId="0" borderId="2" xfId="22" applyNumberFormat="1" applyFont="1" applyFill="1" applyBorder="1" applyAlignment="1">
      <alignment horizontal="center"/>
    </xf>
    <xf numFmtId="165" fontId="15" fillId="0" borderId="0" xfId="3" applyNumberFormat="1" applyBorder="1"/>
    <xf numFmtId="42" fontId="42" fillId="0" borderId="0" xfId="3" applyNumberFormat="1" applyFont="1" applyBorder="1"/>
    <xf numFmtId="9" fontId="17" fillId="0" borderId="0" xfId="4" applyFont="1" applyFill="1" applyBorder="1"/>
    <xf numFmtId="180" fontId="42" fillId="0" borderId="0" xfId="3" applyNumberFormat="1" applyFont="1" applyBorder="1"/>
    <xf numFmtId="42" fontId="42" fillId="0" borderId="28" xfId="3" applyNumberFormat="1" applyFont="1" applyBorder="1"/>
    <xf numFmtId="165" fontId="42" fillId="0" borderId="28" xfId="3" applyNumberFormat="1" applyFont="1" applyBorder="1"/>
    <xf numFmtId="0" fontId="15" fillId="0" borderId="0" xfId="3" applyAlignment="1">
      <alignment horizontal="left" indent="1"/>
    </xf>
    <xf numFmtId="0" fontId="15" fillId="0" borderId="0" xfId="3" applyAlignment="1">
      <alignment horizontal="left" indent="2"/>
    </xf>
    <xf numFmtId="0" fontId="15" fillId="0" borderId="0" xfId="3" applyFont="1" applyBorder="1" applyAlignment="1">
      <alignment horizontal="left" indent="1"/>
    </xf>
    <xf numFmtId="0" fontId="12" fillId="0" borderId="0" xfId="3" applyFont="1" applyFill="1" applyBorder="1" applyAlignment="1">
      <alignment horizontal="left" indent="2"/>
    </xf>
    <xf numFmtId="165" fontId="15" fillId="0" borderId="0" xfId="3" applyNumberFormat="1" applyFont="1" applyBorder="1"/>
    <xf numFmtId="42" fontId="15" fillId="0" borderId="28" xfId="3" applyNumberFormat="1" applyFont="1" applyBorder="1"/>
    <xf numFmtId="165" fontId="42" fillId="2" borderId="13" xfId="22" applyNumberFormat="1" applyFont="1" applyFill="1" applyBorder="1"/>
    <xf numFmtId="165" fontId="42" fillId="2" borderId="38" xfId="22" applyNumberFormat="1" applyFont="1" applyFill="1" applyBorder="1"/>
    <xf numFmtId="165" fontId="15" fillId="0" borderId="2" xfId="22" applyNumberFormat="1" applyFill="1" applyBorder="1"/>
    <xf numFmtId="165" fontId="15" fillId="0" borderId="31" xfId="22" applyNumberFormat="1" applyFill="1" applyBorder="1"/>
    <xf numFmtId="0" fontId="15" fillId="0" borderId="0" xfId="3"/>
    <xf numFmtId="3" fontId="15" fillId="0" borderId="0" xfId="3" applyNumberFormat="1"/>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75" fontId="17" fillId="0" borderId="0" xfId="3" applyNumberFormat="1" applyFont="1" applyFill="1" applyAlignment="1">
      <alignment horizontal="center"/>
    </xf>
    <xf numFmtId="0" fontId="12" fillId="0" borderId="0" xfId="3" applyFont="1" applyAlignment="1">
      <alignment horizontal="left"/>
    </xf>
    <xf numFmtId="9" fontId="35" fillId="0" borderId="0" xfId="4" applyFont="1" applyFill="1" applyBorder="1"/>
    <xf numFmtId="0" fontId="17" fillId="0" borderId="0" xfId="3" applyFont="1" applyFill="1" applyBorder="1"/>
    <xf numFmtId="165" fontId="17" fillId="0" borderId="0" xfId="22" applyNumberFormat="1" applyFont="1" applyFill="1" applyBorder="1"/>
    <xf numFmtId="0" fontId="12" fillId="0" borderId="0" xfId="3" applyFont="1" applyFill="1" applyBorder="1"/>
    <xf numFmtId="165" fontId="15" fillId="0" borderId="0" xfId="22" applyNumberFormat="1" applyBorder="1"/>
    <xf numFmtId="165" fontId="15" fillId="0" borderId="0" xfId="22" applyNumberFormat="1" applyFill="1" applyBorder="1"/>
    <xf numFmtId="0" fontId="15" fillId="0" borderId="0" xfId="3" applyAlignment="1">
      <alignment horizontal="right"/>
    </xf>
    <xf numFmtId="0" fontId="15" fillId="0" borderId="28" xfId="3" applyBorder="1"/>
    <xf numFmtId="165" fontId="15" fillId="0" borderId="28" xfId="22" applyNumberFormat="1" applyFill="1" applyBorder="1"/>
    <xf numFmtId="165" fontId="15" fillId="0" borderId="28" xfId="22" applyNumberFormat="1" applyBorder="1"/>
    <xf numFmtId="0" fontId="43" fillId="0" borderId="0" xfId="3" applyFont="1" applyAlignment="1">
      <alignment horizontal="center"/>
    </xf>
    <xf numFmtId="9" fontId="17" fillId="0" borderId="0" xfId="4" applyFont="1" applyFill="1" applyBorder="1"/>
    <xf numFmtId="0" fontId="15" fillId="0" borderId="0" xfId="3"/>
    <xf numFmtId="0" fontId="15" fillId="0" borderId="0" xfId="3" applyBorder="1"/>
    <xf numFmtId="0" fontId="42" fillId="0" borderId="0" xfId="3" applyFont="1"/>
    <xf numFmtId="0" fontId="15" fillId="0" borderId="0" xfId="3" applyFill="1" applyBorder="1"/>
    <xf numFmtId="0" fontId="42" fillId="0" borderId="0" xfId="3" applyFont="1" applyFill="1" applyBorder="1"/>
    <xf numFmtId="0" fontId="17" fillId="0" borderId="0" xfId="3" applyFont="1"/>
    <xf numFmtId="0" fontId="7" fillId="0" borderId="0" xfId="3" applyFont="1"/>
    <xf numFmtId="41" fontId="12" fillId="0" borderId="0" xfId="23" applyNumberFormat="1" applyFont="1" applyFill="1" applyBorder="1" applyAlignment="1" applyProtection="1">
      <alignment horizontal="left"/>
    </xf>
    <xf numFmtId="165" fontId="17" fillId="0" borderId="0" xfId="22" applyNumberFormat="1" applyFont="1" applyFill="1"/>
    <xf numFmtId="0" fontId="12" fillId="0" borderId="0" xfId="3" applyFont="1" applyAlignment="1">
      <alignment horizontal="left"/>
    </xf>
    <xf numFmtId="9" fontId="35" fillId="0" borderId="0" xfId="4" applyFont="1" applyFill="1" applyBorder="1"/>
    <xf numFmtId="165" fontId="42" fillId="0" borderId="0" xfId="22" applyNumberFormat="1" applyFont="1" applyBorder="1"/>
    <xf numFmtId="165" fontId="15" fillId="0" borderId="0" xfId="22" applyNumberFormat="1" applyFont="1" applyFill="1" applyBorder="1"/>
    <xf numFmtId="0" fontId="17" fillId="0" borderId="0" xfId="3" applyFont="1" applyFill="1" applyBorder="1"/>
    <xf numFmtId="0" fontId="12" fillId="0" borderId="0" xfId="3" applyFont="1" applyFill="1" applyBorder="1"/>
    <xf numFmtId="165" fontId="42" fillId="0" borderId="0" xfId="22" applyNumberFormat="1" applyFont="1" applyFill="1" applyBorder="1"/>
    <xf numFmtId="2" fontId="12" fillId="0" borderId="0" xfId="3" applyNumberFormat="1" applyFont="1" applyFill="1" applyAlignment="1">
      <alignment horizontal="right"/>
    </xf>
    <xf numFmtId="165" fontId="15" fillId="0" borderId="0" xfId="22" applyNumberFormat="1" applyFill="1"/>
    <xf numFmtId="165" fontId="15" fillId="0" borderId="0" xfId="22" applyNumberFormat="1"/>
    <xf numFmtId="165" fontId="15" fillId="0" borderId="0" xfId="22" applyNumberFormat="1" applyBorder="1"/>
    <xf numFmtId="165" fontId="15" fillId="0" borderId="0" xfId="22" applyNumberFormat="1" applyFill="1" applyBorder="1"/>
    <xf numFmtId="0" fontId="15" fillId="0" borderId="0" xfId="3" applyAlignment="1">
      <alignment horizontal="right"/>
    </xf>
    <xf numFmtId="165" fontId="42" fillId="0" borderId="0" xfId="3" applyNumberFormat="1" applyFont="1" applyBorder="1"/>
    <xf numFmtId="0" fontId="15" fillId="0" borderId="28" xfId="3" applyBorder="1"/>
    <xf numFmtId="165" fontId="15" fillId="0" borderId="28" xfId="22" applyNumberFormat="1" applyFill="1" applyBorder="1"/>
    <xf numFmtId="165" fontId="42" fillId="0" borderId="28" xfId="22" applyNumberFormat="1" applyFont="1" applyFill="1" applyBorder="1"/>
    <xf numFmtId="165" fontId="15" fillId="0" borderId="28" xfId="22" applyNumberFormat="1" applyBorder="1"/>
    <xf numFmtId="165" fontId="42" fillId="2" borderId="15" xfId="22" applyNumberFormat="1" applyFont="1" applyFill="1" applyBorder="1"/>
    <xf numFmtId="165" fontId="42" fillId="2" borderId="16" xfId="22" applyNumberFormat="1" applyFont="1" applyFill="1" applyBorder="1"/>
    <xf numFmtId="0" fontId="43" fillId="0" borderId="0" xfId="3" applyFont="1" applyAlignment="1">
      <alignment horizontal="center"/>
    </xf>
    <xf numFmtId="9" fontId="17" fillId="0" borderId="0" xfId="4" applyFont="1" applyFill="1" applyBorder="1"/>
    <xf numFmtId="165" fontId="42" fillId="0" borderId="28" xfId="3" applyNumberFormat="1" applyFont="1" applyBorder="1"/>
    <xf numFmtId="0" fontId="42" fillId="0" borderId="0" xfId="3" applyFont="1" applyFill="1" applyAlignment="1">
      <alignment horizontal="right"/>
    </xf>
    <xf numFmtId="166" fontId="42" fillId="0" borderId="0" xfId="3" applyNumberFormat="1" applyFont="1" applyFill="1" applyAlignment="1">
      <alignment horizontal="right"/>
    </xf>
    <xf numFmtId="0" fontId="0" fillId="0" borderId="0" xfId="0"/>
    <xf numFmtId="0" fontId="0" fillId="0" borderId="0" xfId="0" applyAlignment="1">
      <alignment wrapText="1"/>
    </xf>
    <xf numFmtId="0" fontId="0" fillId="0" borderId="0" xfId="0" applyBorder="1"/>
    <xf numFmtId="165" fontId="38" fillId="0" borderId="0" xfId="0" applyNumberFormat="1" applyFont="1"/>
    <xf numFmtId="165" fontId="15" fillId="0" borderId="0" xfId="22" applyNumberFormat="1" applyFont="1"/>
    <xf numFmtId="165" fontId="15" fillId="0" borderId="0" xfId="3" applyNumberFormat="1" applyBorder="1"/>
    <xf numFmtId="165" fontId="15" fillId="0" borderId="0" xfId="3" applyNumberFormat="1" applyFont="1" applyBorder="1"/>
    <xf numFmtId="165" fontId="15" fillId="0" borderId="28" xfId="22" applyNumberFormat="1" applyFont="1" applyFill="1" applyBorder="1"/>
    <xf numFmtId="3" fontId="15" fillId="0" borderId="0" xfId="3" applyNumberFormat="1" applyBorder="1"/>
    <xf numFmtId="0" fontId="1" fillId="0" borderId="0" xfId="3" applyFont="1" applyFill="1" applyBorder="1" applyAlignment="1">
      <alignment horizontal="left" indent="2"/>
    </xf>
    <xf numFmtId="49" fontId="40" fillId="0" borderId="0" xfId="3" applyNumberFormat="1" applyFont="1" applyFill="1" applyBorder="1" applyAlignment="1">
      <alignment horizontal="left" vertical="center"/>
    </xf>
    <xf numFmtId="165" fontId="15" fillId="0" borderId="0" xfId="22" applyNumberFormat="1"/>
    <xf numFmtId="165" fontId="15" fillId="0" borderId="0" xfId="22" applyNumberFormat="1" applyFill="1" applyBorder="1"/>
    <xf numFmtId="165" fontId="15" fillId="0" borderId="28" xfId="22" applyNumberFormat="1" applyFill="1" applyBorder="1"/>
    <xf numFmtId="0" fontId="15" fillId="0" borderId="0" xfId="3" applyFill="1" applyBorder="1"/>
    <xf numFmtId="165" fontId="15" fillId="0" borderId="0" xfId="22" applyNumberFormat="1" applyFont="1" applyFill="1" applyBorder="1"/>
    <xf numFmtId="3" fontId="15" fillId="0" borderId="0" xfId="22" applyNumberFormat="1" applyFill="1" applyBorder="1"/>
    <xf numFmtId="165" fontId="15" fillId="0" borderId="28" xfId="22" applyNumberFormat="1" applyFill="1" applyBorder="1"/>
    <xf numFmtId="165" fontId="15" fillId="0" borderId="28" xfId="3" applyNumberFormat="1" applyBorder="1"/>
    <xf numFmtId="3" fontId="15" fillId="0" borderId="28" xfId="22" applyNumberFormat="1" applyFill="1" applyBorder="1"/>
    <xf numFmtId="0" fontId="15" fillId="0" borderId="0" xfId="3" applyAlignment="1">
      <alignment horizontal="left" indent="2"/>
    </xf>
    <xf numFmtId="0" fontId="12" fillId="0" borderId="0" xfId="3" applyFont="1" applyFill="1" applyBorder="1" applyAlignment="1">
      <alignment horizontal="left" indent="2"/>
    </xf>
    <xf numFmtId="0" fontId="0" fillId="0" borderId="48" xfId="0" applyFill="1" applyBorder="1"/>
    <xf numFmtId="0" fontId="0" fillId="0" borderId="50" xfId="0" applyFill="1" applyBorder="1"/>
    <xf numFmtId="0" fontId="0" fillId="0" borderId="52" xfId="0" applyFill="1" applyBorder="1"/>
    <xf numFmtId="0" fontId="0" fillId="0" borderId="56" xfId="0" applyFill="1" applyBorder="1"/>
    <xf numFmtId="42" fontId="68" fillId="0" borderId="46" xfId="0" applyNumberFormat="1" applyFont="1" applyFill="1" applyBorder="1"/>
    <xf numFmtId="0" fontId="0" fillId="0" borderId="57" xfId="0" applyFill="1" applyBorder="1"/>
    <xf numFmtId="3" fontId="90" fillId="0" borderId="40" xfId="179" applyNumberFormat="1" applyFont="1" applyFill="1" applyBorder="1"/>
    <xf numFmtId="172" fontId="0" fillId="0" borderId="0" xfId="178" applyNumberFormat="1" applyFont="1" applyBorder="1"/>
    <xf numFmtId="3" fontId="90" fillId="0" borderId="30" xfId="0" applyNumberFormat="1" applyFont="1" applyBorder="1"/>
    <xf numFmtId="3" fontId="0" fillId="0" borderId="2" xfId="0" applyNumberFormat="1" applyBorder="1"/>
    <xf numFmtId="165" fontId="42" fillId="2" borderId="15" xfId="20" applyNumberFormat="1" applyFont="1" applyFill="1" applyBorder="1"/>
    <xf numFmtId="165" fontId="5" fillId="0" borderId="77" xfId="1" applyNumberFormat="1" applyFont="1" applyFill="1" applyBorder="1" applyProtection="1"/>
    <xf numFmtId="3" fontId="21" fillId="8" borderId="77" xfId="0" applyNumberFormat="1" applyFont="1" applyFill="1" applyBorder="1" applyProtection="1"/>
    <xf numFmtId="165" fontId="1" fillId="0" borderId="79" xfId="1" applyNumberFormat="1" applyFont="1" applyFill="1" applyBorder="1" applyProtection="1"/>
    <xf numFmtId="42" fontId="5" fillId="0" borderId="77" xfId="0" applyNumberFormat="1" applyFont="1" applyBorder="1" applyProtection="1"/>
    <xf numFmtId="3" fontId="21" fillId="9" borderId="77" xfId="0" applyNumberFormat="1" applyFont="1" applyFill="1" applyBorder="1" applyProtection="1"/>
    <xf numFmtId="3" fontId="21" fillId="11" borderId="77" xfId="0" applyNumberFormat="1" applyFont="1" applyFill="1" applyBorder="1" applyProtection="1"/>
    <xf numFmtId="0" fontId="24" fillId="0" borderId="0" xfId="28" applyFont="1" applyBorder="1" applyAlignment="1">
      <alignment horizontal="center"/>
    </xf>
    <xf numFmtId="0" fontId="57" fillId="0" borderId="0" xfId="28"/>
    <xf numFmtId="0" fontId="91" fillId="0" borderId="0" xfId="28" applyFont="1" applyAlignment="1">
      <alignment horizontal="left"/>
    </xf>
    <xf numFmtId="0" fontId="57" fillId="0" borderId="0" xfId="28" applyBorder="1"/>
    <xf numFmtId="0" fontId="23" fillId="0" borderId="0" xfId="28" applyFont="1"/>
    <xf numFmtId="0" fontId="0" fillId="0" borderId="62" xfId="0" applyBorder="1"/>
    <xf numFmtId="3" fontId="0" fillId="0" borderId="52" xfId="0" applyNumberFormat="1" applyFill="1" applyBorder="1" applyProtection="1"/>
    <xf numFmtId="3" fontId="66" fillId="10" borderId="79" xfId="0" applyNumberFormat="1" applyFont="1" applyFill="1" applyBorder="1" applyProtection="1"/>
    <xf numFmtId="42" fontId="5" fillId="4" borderId="80" xfId="0" applyNumberFormat="1" applyFont="1" applyFill="1" applyBorder="1" applyProtection="1"/>
    <xf numFmtId="0" fontId="0" fillId="0" borderId="62" xfId="0" applyFill="1" applyBorder="1"/>
    <xf numFmtId="165" fontId="1" fillId="0" borderId="2" xfId="1" applyNumberFormat="1" applyFont="1" applyBorder="1" applyProtection="1"/>
    <xf numFmtId="165" fontId="1" fillId="0" borderId="64" xfId="1" applyNumberFormat="1" applyFont="1" applyBorder="1" applyProtection="1"/>
    <xf numFmtId="165" fontId="1" fillId="0" borderId="80" xfId="1" applyNumberFormat="1" applyFont="1" applyFill="1" applyBorder="1" applyProtection="1"/>
    <xf numFmtId="0" fontId="0" fillId="0" borderId="30" xfId="0" applyBorder="1"/>
    <xf numFmtId="42" fontId="69" fillId="0" borderId="64" xfId="0" applyNumberFormat="1" applyFont="1" applyBorder="1" applyProtection="1"/>
    <xf numFmtId="42" fontId="5" fillId="0" borderId="0" xfId="0" applyNumberFormat="1" applyFont="1" applyFill="1" applyBorder="1" applyAlignment="1" applyProtection="1">
      <alignment vertical="center"/>
    </xf>
    <xf numFmtId="3" fontId="5" fillId="0" borderId="0" xfId="0" applyNumberFormat="1" applyFont="1" applyFill="1" applyBorder="1" applyAlignment="1" applyProtection="1">
      <alignment vertical="center"/>
    </xf>
    <xf numFmtId="165" fontId="1" fillId="0" borderId="52" xfId="1" applyNumberFormat="1" applyFont="1" applyFill="1" applyBorder="1" applyProtection="1"/>
    <xf numFmtId="165" fontId="1" fillId="0" borderId="44" xfId="1" applyNumberFormat="1" applyFont="1" applyFill="1" applyBorder="1" applyProtection="1"/>
    <xf numFmtId="165" fontId="0" fillId="0" borderId="44" xfId="1" applyNumberFormat="1" applyFont="1" applyFill="1" applyBorder="1" applyProtection="1"/>
    <xf numFmtId="165" fontId="1" fillId="0" borderId="63" xfId="1" applyNumberFormat="1" applyFont="1" applyFill="1" applyBorder="1" applyProtection="1"/>
    <xf numFmtId="0" fontId="52" fillId="0" borderId="0" xfId="177" applyFont="1" applyAlignment="1">
      <alignment horizontal="left" indent="2"/>
    </xf>
    <xf numFmtId="165" fontId="41" fillId="0" borderId="28" xfId="177" applyNumberFormat="1" applyFont="1" applyBorder="1"/>
    <xf numFmtId="165" fontId="41" fillId="0" borderId="0" xfId="179" applyNumberFormat="1" applyFont="1" applyBorder="1"/>
    <xf numFmtId="165" fontId="41" fillId="0" borderId="28" xfId="179" applyNumberFormat="1" applyFont="1" applyBorder="1"/>
    <xf numFmtId="0" fontId="12" fillId="0" borderId="0" xfId="177" applyFont="1" applyAlignment="1">
      <alignment horizontal="left" indent="2"/>
    </xf>
    <xf numFmtId="165" fontId="41" fillId="0" borderId="0" xfId="179" applyNumberFormat="1" applyFont="1" applyBorder="1"/>
    <xf numFmtId="165" fontId="41" fillId="0" borderId="28" xfId="179" applyNumberFormat="1" applyFont="1" applyBorder="1"/>
    <xf numFmtId="0" fontId="12" fillId="0" borderId="0" xfId="184" applyFont="1" applyAlignment="1">
      <alignment horizontal="left"/>
    </xf>
    <xf numFmtId="165" fontId="92" fillId="0" borderId="28" xfId="184" applyNumberFormat="1" applyBorder="1"/>
    <xf numFmtId="165" fontId="92" fillId="0" borderId="0" xfId="184" applyNumberFormat="1" applyBorder="1"/>
    <xf numFmtId="0" fontId="17" fillId="0" borderId="0" xfId="184" applyFont="1" applyAlignment="1">
      <alignment horizontal="left"/>
    </xf>
    <xf numFmtId="165" fontId="41" fillId="0" borderId="0" xfId="186" applyNumberFormat="1" applyFont="1" applyBorder="1"/>
    <xf numFmtId="165" fontId="41" fillId="0" borderId="28" xfId="184" applyNumberFormat="1" applyFont="1" applyBorder="1"/>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18" fillId="0" borderId="0" xfId="0" applyFont="1" applyFill="1" applyBorder="1" applyAlignment="1"/>
    <xf numFmtId="172" fontId="0" fillId="0" borderId="0" xfId="7" applyNumberFormat="1" applyFont="1" applyAlignment="1">
      <alignment horizontal="center"/>
    </xf>
    <xf numFmtId="0" fontId="12" fillId="0" borderId="0" xfId="3" applyFont="1" applyAlignment="1">
      <alignment horizontal="center"/>
    </xf>
    <xf numFmtId="0" fontId="95" fillId="0" borderId="0" xfId="9" applyFont="1" applyAlignment="1" applyProtection="1"/>
    <xf numFmtId="0" fontId="95" fillId="0" borderId="0" xfId="9" applyFont="1" applyAlignment="1" applyProtection="1">
      <alignment horizontal="right" wrapText="1"/>
    </xf>
    <xf numFmtId="0" fontId="95" fillId="0" borderId="0" xfId="9" applyFont="1" applyAlignment="1" applyProtection="1">
      <alignment horizontal="center" vertical="top"/>
    </xf>
    <xf numFmtId="0" fontId="92" fillId="0" borderId="0" xfId="184"/>
    <xf numFmtId="0" fontId="41" fillId="0" borderId="0" xfId="184" applyFont="1"/>
    <xf numFmtId="0" fontId="41" fillId="0" borderId="0" xfId="184" applyFont="1" applyFill="1" applyBorder="1" applyAlignment="1">
      <alignment horizontal="right"/>
    </xf>
    <xf numFmtId="0" fontId="92" fillId="0" borderId="28" xfId="184" applyBorder="1"/>
    <xf numFmtId="165" fontId="92" fillId="0" borderId="40" xfId="186" applyNumberFormat="1" applyFont="1" applyBorder="1"/>
    <xf numFmtId="0" fontId="92" fillId="0" borderId="39" xfId="184" applyBorder="1"/>
    <xf numFmtId="165" fontId="92" fillId="0" borderId="41" xfId="186" applyNumberFormat="1" applyFont="1" applyBorder="1"/>
    <xf numFmtId="0" fontId="41" fillId="0" borderId="42" xfId="184" applyFont="1" applyFill="1" applyBorder="1" applyAlignment="1">
      <alignment horizontal="right"/>
    </xf>
    <xf numFmtId="165" fontId="41" fillId="0" borderId="42" xfId="184" applyNumberFormat="1" applyFont="1" applyBorder="1" applyAlignment="1">
      <alignment horizontal="right"/>
    </xf>
    <xf numFmtId="165" fontId="41" fillId="0" borderId="0" xfId="184" applyNumberFormat="1" applyFont="1" applyBorder="1" applyAlignment="1">
      <alignment horizontal="right"/>
    </xf>
    <xf numFmtId="165" fontId="92" fillId="0" borderId="30" xfId="186" applyNumberFormat="1" applyFont="1" applyBorder="1"/>
    <xf numFmtId="9" fontId="35" fillId="0" borderId="2" xfId="187" applyFont="1" applyFill="1" applyBorder="1"/>
    <xf numFmtId="44" fontId="41" fillId="0" borderId="2" xfId="184" applyNumberFormat="1" applyFont="1" applyBorder="1" applyAlignment="1">
      <alignment horizontal="right"/>
    </xf>
    <xf numFmtId="0" fontId="41" fillId="0" borderId="31" xfId="184" quotePrefix="1" applyFont="1" applyBorder="1"/>
    <xf numFmtId="0" fontId="95" fillId="0" borderId="0" xfId="9" applyFont="1" applyFill="1" applyAlignment="1" applyProtection="1">
      <alignment horizontal="center"/>
    </xf>
    <xf numFmtId="0" fontId="22" fillId="0" borderId="0" xfId="9" applyFill="1" applyAlignment="1" applyProtection="1">
      <alignment horizontal="center"/>
    </xf>
    <xf numFmtId="0" fontId="22" fillId="0" borderId="0" xfId="9" applyFill="1" applyBorder="1" applyAlignment="1" applyProtection="1">
      <alignment horizontal="center"/>
    </xf>
    <xf numFmtId="0" fontId="25" fillId="0" borderId="0" xfId="28" applyFont="1" applyFill="1"/>
    <xf numFmtId="8" fontId="25" fillId="0" borderId="0" xfId="28" applyNumberFormat="1" applyFont="1" applyFill="1" applyAlignment="1">
      <alignment horizontal="right"/>
    </xf>
    <xf numFmtId="9" fontId="25" fillId="0" borderId="0" xfId="11" applyFont="1" applyFill="1"/>
    <xf numFmtId="44" fontId="25" fillId="4" borderId="24" xfId="1" applyFont="1" applyFill="1" applyBorder="1" applyAlignment="1">
      <alignment horizontal="right"/>
    </xf>
    <xf numFmtId="0" fontId="57" fillId="0" borderId="0" xfId="28"/>
    <xf numFmtId="0" fontId="57" fillId="0" borderId="0" xfId="28" applyFill="1"/>
    <xf numFmtId="0" fontId="57" fillId="0" borderId="0" xfId="28"/>
    <xf numFmtId="166" fontId="0" fillId="0" borderId="0" xfId="8" applyNumberFormat="1" applyFont="1" applyFill="1" applyBorder="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2" fillId="0" borderId="35" xfId="9" applyFill="1" applyBorder="1" applyAlignment="1" applyProtection="1">
      <alignment horizontal="center" wrapText="1"/>
    </xf>
    <xf numFmtId="0" fontId="92" fillId="0" borderId="0" xfId="184"/>
    <xf numFmtId="165" fontId="92" fillId="0" borderId="0" xfId="184" applyNumberFormat="1"/>
    <xf numFmtId="0" fontId="92" fillId="0" borderId="0" xfId="184" applyFill="1"/>
    <xf numFmtId="165" fontId="17" fillId="0" borderId="0" xfId="186" applyNumberFormat="1" applyFont="1" applyFill="1"/>
    <xf numFmtId="175" fontId="17" fillId="0" borderId="0" xfId="184" applyNumberFormat="1" applyFont="1" applyFill="1" applyAlignment="1">
      <alignment horizontal="center"/>
    </xf>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9" fontId="49" fillId="0" borderId="0" xfId="187" applyFont="1" applyFill="1" applyBorder="1"/>
    <xf numFmtId="44"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40" xfId="184" applyBorder="1"/>
    <xf numFmtId="0" fontId="92" fillId="0" borderId="41" xfId="184" applyBorder="1"/>
    <xf numFmtId="165" fontId="92" fillId="0" borderId="41" xfId="186" applyNumberFormat="1" applyFont="1" applyBorder="1" applyAlignment="1">
      <alignment horizontal="right"/>
    </xf>
    <xf numFmtId="165" fontId="92" fillId="0" borderId="40" xfId="186" applyNumberFormat="1" applyFont="1" applyBorder="1" applyAlignment="1">
      <alignment horizontal="right"/>
    </xf>
    <xf numFmtId="165" fontId="92" fillId="0" borderId="30" xfId="186" applyNumberFormat="1" applyFont="1" applyBorder="1" applyAlignment="1">
      <alignment horizontal="right"/>
    </xf>
    <xf numFmtId="0" fontId="92" fillId="0" borderId="30" xfId="184" applyBorder="1"/>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0" xfId="184"/>
    <xf numFmtId="42" fontId="41" fillId="0" borderId="0" xfId="184" applyNumberFormat="1" applyFont="1"/>
    <xf numFmtId="165" fontId="92" fillId="0" borderId="0" xfId="184" applyNumberFormat="1"/>
    <xf numFmtId="0" fontId="92" fillId="0" borderId="0" xfId="184" applyFill="1"/>
    <xf numFmtId="9" fontId="35" fillId="0" borderId="0" xfId="187"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165" fontId="93" fillId="0" borderId="0" xfId="184" applyNumberFormat="1" applyFont="1"/>
    <xf numFmtId="9" fontId="49" fillId="0" borderId="0" xfId="187" applyFont="1" applyFill="1" applyBorder="1"/>
    <xf numFmtId="44" fontId="41" fillId="0" borderId="0" xfId="184" applyNumberFormat="1" applyFont="1" applyAlignment="1">
      <alignment horizontal="right"/>
    </xf>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0" fillId="0" borderId="0" xfId="0" applyBorder="1" applyAlignment="1">
      <alignment horizontal="right"/>
    </xf>
    <xf numFmtId="0" fontId="98" fillId="0" borderId="0" xfId="28" applyFont="1" applyAlignment="1">
      <alignment horizontal="left"/>
    </xf>
    <xf numFmtId="0" fontId="57" fillId="0" borderId="0" xfId="28"/>
    <xf numFmtId="0" fontId="57" fillId="0" borderId="0" xfId="28" applyFill="1" applyBorder="1"/>
    <xf numFmtId="0" fontId="23" fillId="0" borderId="0" xfId="28" applyFont="1" applyAlignment="1">
      <alignment horizontal="left"/>
    </xf>
    <xf numFmtId="0" fontId="94" fillId="0" borderId="0" xfId="28" applyFont="1" applyAlignment="1">
      <alignment horizontal="left"/>
    </xf>
    <xf numFmtId="0" fontId="18" fillId="0" borderId="0" xfId="2" applyFont="1" applyFill="1" applyBorder="1" applyAlignment="1"/>
    <xf numFmtId="0" fontId="92" fillId="0" borderId="0" xfId="184"/>
    <xf numFmtId="0" fontId="92" fillId="0" borderId="0" xfId="184" applyBorder="1"/>
    <xf numFmtId="42" fontId="41" fillId="0" borderId="0" xfId="184" applyNumberFormat="1" applyFont="1"/>
    <xf numFmtId="165" fontId="92" fillId="0" borderId="0" xfId="184" applyNumberFormat="1"/>
    <xf numFmtId="0" fontId="92" fillId="0" borderId="0" xfId="184" applyFill="1"/>
    <xf numFmtId="165" fontId="17" fillId="0" borderId="0" xfId="186" applyNumberFormat="1" applyFont="1" applyFill="1"/>
    <xf numFmtId="175" fontId="17" fillId="0" borderId="0" xfId="184" applyNumberFormat="1" applyFont="1" applyFill="1" applyAlignment="1">
      <alignment horizontal="center"/>
    </xf>
    <xf numFmtId="9" fontId="35" fillId="0" borderId="0" xfId="187" applyFont="1" applyFill="1" applyBorder="1"/>
    <xf numFmtId="165" fontId="17" fillId="0" borderId="0" xfId="186" applyNumberFormat="1" applyFont="1" applyFill="1" applyBorder="1"/>
    <xf numFmtId="42" fontId="92" fillId="0" borderId="0" xfId="184" applyNumberFormat="1" applyFill="1"/>
    <xf numFmtId="165" fontId="92" fillId="0" borderId="0" xfId="184" applyNumberFormat="1" applyFill="1"/>
    <xf numFmtId="0" fontId="41" fillId="0" borderId="0" xfId="184" applyFont="1" applyFill="1"/>
    <xf numFmtId="0" fontId="41" fillId="0" borderId="0" xfId="184" applyFont="1" applyFill="1" applyAlignment="1">
      <alignment horizontal="right"/>
    </xf>
    <xf numFmtId="0" fontId="41" fillId="0" borderId="0" xfId="184" applyFont="1" applyAlignment="1">
      <alignment horizontal="right"/>
    </xf>
    <xf numFmtId="0" fontId="41" fillId="0" borderId="0" xfId="184" quotePrefix="1" applyFont="1"/>
    <xf numFmtId="9" fontId="49" fillId="0" borderId="0" xfId="187" applyFont="1" applyFill="1" applyBorder="1"/>
    <xf numFmtId="44" fontId="41" fillId="0" borderId="0" xfId="184" applyNumberFormat="1" applyFont="1" applyAlignment="1">
      <alignment horizontal="right"/>
    </xf>
    <xf numFmtId="165" fontId="92" fillId="0" borderId="0" xfId="186" applyNumberFormat="1" applyFill="1"/>
    <xf numFmtId="165" fontId="92" fillId="0" borderId="0" xfId="186" applyNumberFormat="1"/>
    <xf numFmtId="3" fontId="41" fillId="0" borderId="0" xfId="184" applyNumberFormat="1" applyFont="1" applyAlignment="1">
      <alignment horizontal="right"/>
    </xf>
    <xf numFmtId="166" fontId="41" fillId="0" borderId="0" xfId="184" applyNumberFormat="1" applyFont="1" applyFill="1" applyAlignment="1">
      <alignment horizontal="right"/>
    </xf>
    <xf numFmtId="0" fontId="92" fillId="0" borderId="0" xfId="184" applyAlignment="1">
      <alignment horizontal="right"/>
    </xf>
    <xf numFmtId="0" fontId="92" fillId="0" borderId="40" xfId="184" applyBorder="1"/>
    <xf numFmtId="165" fontId="92" fillId="0" borderId="0" xfId="184" applyNumberFormat="1" applyFont="1"/>
    <xf numFmtId="0" fontId="92" fillId="0" borderId="41" xfId="184" applyBorder="1"/>
    <xf numFmtId="165" fontId="92" fillId="0" borderId="39" xfId="184" applyNumberFormat="1" applyFill="1" applyBorder="1"/>
    <xf numFmtId="0" fontId="92" fillId="0" borderId="30" xfId="184" applyBorder="1"/>
    <xf numFmtId="165" fontId="92" fillId="0" borderId="2" xfId="186" applyNumberFormat="1" applyFont="1" applyBorder="1" applyAlignment="1">
      <alignment horizontal="right"/>
    </xf>
    <xf numFmtId="3" fontId="0" fillId="0" borderId="13" xfId="0" applyNumberFormat="1" applyFill="1" applyBorder="1"/>
    <xf numFmtId="0" fontId="24" fillId="0" borderId="0" xfId="0" applyFont="1" applyFill="1" applyAlignment="1">
      <alignment horizontal="right"/>
    </xf>
    <xf numFmtId="169" fontId="33" fillId="0" borderId="0" xfId="10" applyNumberFormat="1" applyFill="1" applyAlignment="1" applyProtection="1">
      <alignment horizontal="right"/>
    </xf>
    <xf numFmtId="169" fontId="25" fillId="0" borderId="0" xfId="0" applyNumberFormat="1" applyFont="1" applyFill="1" applyAlignment="1">
      <alignment horizontal="right"/>
    </xf>
    <xf numFmtId="0" fontId="25" fillId="0" borderId="0" xfId="0" applyFont="1" applyFill="1"/>
    <xf numFmtId="169" fontId="24" fillId="0" borderId="0" xfId="0" applyNumberFormat="1" applyFont="1" applyFill="1" applyAlignment="1">
      <alignment horizontal="right"/>
    </xf>
    <xf numFmtId="183" fontId="0" fillId="0" borderId="0" xfId="0" applyNumberFormat="1" applyAlignment="1">
      <alignment horizontal="right"/>
    </xf>
    <xf numFmtId="0" fontId="72" fillId="0" borderId="0" xfId="28" applyFont="1" applyFill="1" applyBorder="1"/>
    <xf numFmtId="0" fontId="99" fillId="0" borderId="0" xfId="28" applyFont="1" applyFill="1" applyBorder="1" applyAlignment="1">
      <alignment horizontal="center"/>
    </xf>
    <xf numFmtId="0" fontId="71" fillId="0" borderId="0" xfId="155" applyFont="1"/>
    <xf numFmtId="0" fontId="0" fillId="0" borderId="0" xfId="0"/>
    <xf numFmtId="0" fontId="0" fillId="0" borderId="0" xfId="0" applyAlignment="1">
      <alignment horizontal="left"/>
    </xf>
    <xf numFmtId="0" fontId="23" fillId="0" borderId="0" xfId="0" applyFont="1"/>
    <xf numFmtId="0" fontId="23" fillId="0" borderId="0" xfId="0" applyFont="1" applyAlignment="1">
      <alignment horizontal="left"/>
    </xf>
    <xf numFmtId="44" fontId="25" fillId="4" borderId="107" xfId="1" applyFont="1" applyFill="1" applyBorder="1" applyAlignment="1">
      <alignment horizontal="right"/>
    </xf>
    <xf numFmtId="0" fontId="107" fillId="0" borderId="0" xfId="0" applyFont="1" applyAlignment="1">
      <alignment horizontal="left"/>
    </xf>
    <xf numFmtId="0" fontId="0" fillId="0" borderId="0" xfId="0"/>
    <xf numFmtId="0" fontId="0" fillId="0" borderId="0" xfId="0"/>
    <xf numFmtId="0" fontId="23" fillId="0" borderId="0" xfId="0" applyFont="1"/>
    <xf numFmtId="0" fontId="23" fillId="0" borderId="0" xfId="0" applyFont="1" applyAlignment="1">
      <alignment horizontal="left"/>
    </xf>
    <xf numFmtId="0" fontId="25" fillId="0" borderId="0" xfId="0" applyFont="1"/>
    <xf numFmtId="0" fontId="25" fillId="0" borderId="0" xfId="0" applyFont="1" applyFill="1" applyBorder="1" applyAlignment="1">
      <alignment horizontal="center"/>
    </xf>
    <xf numFmtId="166" fontId="25" fillId="0" borderId="107" xfId="11" applyNumberFormat="1" applyFont="1" applyFill="1" applyBorder="1" applyAlignment="1">
      <alignment horizontal="right"/>
    </xf>
    <xf numFmtId="44" fontId="25" fillId="4" borderId="107" xfId="40" applyFont="1" applyFill="1" applyBorder="1" applyAlignment="1">
      <alignment horizontal="right"/>
    </xf>
    <xf numFmtId="44" fontId="25" fillId="0" borderId="107" xfId="40" applyFont="1" applyFill="1" applyBorder="1" applyAlignment="1">
      <alignment horizontal="right"/>
    </xf>
    <xf numFmtId="0" fontId="109" fillId="0" borderId="0" xfId="1116" applyFont="1" applyAlignment="1" applyProtection="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5" fillId="0" borderId="105" xfId="0" applyFont="1" applyFill="1" applyBorder="1" applyAlignment="1">
      <alignment horizontal="center"/>
    </xf>
    <xf numFmtId="44" fontId="25" fillId="4" borderId="107" xfId="1" applyFont="1" applyFill="1" applyBorder="1" applyAlignment="1">
      <alignment horizontal="right"/>
    </xf>
    <xf numFmtId="166" fontId="25" fillId="4" borderId="107" xfId="11" applyNumberFormat="1" applyFont="1" applyFill="1" applyBorder="1" applyAlignment="1">
      <alignment horizontal="right"/>
    </xf>
    <xf numFmtId="166" fontId="25" fillId="0" borderId="107" xfId="11" applyNumberFormat="1" applyFont="1" applyFill="1" applyBorder="1" applyAlignment="1">
      <alignment horizontal="right"/>
    </xf>
    <xf numFmtId="0" fontId="110" fillId="0" borderId="0" xfId="0" applyFont="1" applyAlignment="1">
      <alignment horizontal="left"/>
    </xf>
    <xf numFmtId="0" fontId="0" fillId="0" borderId="0" xfId="0" applyFill="1" applyBorder="1" applyAlignment="1">
      <alignment horizontal="center"/>
    </xf>
    <xf numFmtId="0" fontId="23" fillId="0" borderId="0" xfId="0" applyFont="1"/>
    <xf numFmtId="0" fontId="23" fillId="0" borderId="0" xfId="0" applyFont="1"/>
    <xf numFmtId="0" fontId="25" fillId="0" borderId="19" xfId="0" applyFont="1" applyBorder="1" applyAlignment="1">
      <alignment horizontal="center"/>
    </xf>
    <xf numFmtId="44" fontId="25" fillId="4" borderId="24" xfId="1" applyFont="1" applyFill="1" applyBorder="1" applyAlignment="1">
      <alignment horizontal="right"/>
    </xf>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164" fontId="0" fillId="0" borderId="12" xfId="0" applyNumberFormat="1" applyBorder="1"/>
    <xf numFmtId="0" fontId="27" fillId="0" borderId="0" xfId="0" applyFont="1"/>
    <xf numFmtId="0" fontId="97" fillId="0" borderId="0" xfId="0" applyFont="1" applyFill="1" applyBorder="1" applyAlignment="1">
      <alignment horizontal="center" wrapText="1"/>
    </xf>
    <xf numFmtId="0" fontId="110" fillId="0" borderId="0" xfId="0" applyFont="1"/>
    <xf numFmtId="0" fontId="0" fillId="0" borderId="0" xfId="0" applyBorder="1" applyAlignment="1">
      <alignment horizontal="center"/>
    </xf>
    <xf numFmtId="0" fontId="0" fillId="0" borderId="0" xfId="0"/>
    <xf numFmtId="0" fontId="23" fillId="0" borderId="0" xfId="0" applyFont="1"/>
    <xf numFmtId="0" fontId="23" fillId="0" borderId="0" xfId="0" applyFont="1" applyAlignment="1">
      <alignment horizontal="left"/>
    </xf>
    <xf numFmtId="44" fontId="25" fillId="4" borderId="195" xfId="1" applyFont="1" applyFill="1" applyBorder="1" applyAlignment="1">
      <alignment horizontal="right"/>
    </xf>
    <xf numFmtId="0" fontId="27" fillId="0" borderId="0" xfId="0" applyFont="1"/>
    <xf numFmtId="164" fontId="25" fillId="0" borderId="18" xfId="0" applyNumberFormat="1" applyFont="1" applyBorder="1"/>
    <xf numFmtId="0" fontId="110" fillId="0" borderId="0" xfId="0" applyFont="1" applyAlignment="1">
      <alignment horizontal="left"/>
    </xf>
    <xf numFmtId="0" fontId="0" fillId="0" borderId="0" xfId="0" applyFont="1"/>
    <xf numFmtId="0" fontId="38" fillId="0" borderId="0" xfId="0" applyFont="1" applyFill="1"/>
    <xf numFmtId="0" fontId="0" fillId="0" borderId="0" xfId="0"/>
    <xf numFmtId="0" fontId="0" fillId="0" borderId="0" xfId="0" applyAlignment="1">
      <alignment horizontal="center"/>
    </xf>
    <xf numFmtId="0" fontId="23" fillId="0" borderId="0" xfId="0" applyFont="1"/>
    <xf numFmtId="0" fontId="23" fillId="0" borderId="0" xfId="0" applyFont="1" applyAlignment="1">
      <alignment horizontal="left"/>
    </xf>
    <xf numFmtId="0" fontId="24" fillId="0" borderId="0" xfId="0" applyFont="1"/>
    <xf numFmtId="0" fontId="25" fillId="0" borderId="18" xfId="0" applyFont="1" applyBorder="1" applyAlignment="1">
      <alignment horizontal="center"/>
    </xf>
    <xf numFmtId="0" fontId="25" fillId="0" borderId="193" xfId="0" applyFont="1" applyBorder="1" applyAlignment="1">
      <alignment horizontal="center"/>
    </xf>
    <xf numFmtId="0" fontId="25" fillId="0" borderId="18" xfId="0" applyFont="1" applyFill="1" applyBorder="1" applyAlignment="1">
      <alignment horizontal="center"/>
    </xf>
    <xf numFmtId="0" fontId="25" fillId="0" borderId="194" xfId="0" applyFont="1" applyFill="1" applyBorder="1" applyAlignment="1">
      <alignment horizontal="center"/>
    </xf>
    <xf numFmtId="44" fontId="25" fillId="4" borderId="195" xfId="1" applyFont="1" applyFill="1" applyBorder="1" applyAlignment="1">
      <alignment horizontal="right"/>
    </xf>
    <xf numFmtId="164" fontId="0" fillId="0" borderId="25" xfId="0" applyNumberFormat="1" applyBorder="1"/>
    <xf numFmtId="0" fontId="27" fillId="0" borderId="0" xfId="0" applyFont="1"/>
    <xf numFmtId="166" fontId="25" fillId="4" borderId="195" xfId="11" applyNumberFormat="1" applyFont="1" applyFill="1" applyBorder="1" applyAlignment="1">
      <alignment horizontal="right"/>
    </xf>
    <xf numFmtId="166" fontId="25" fillId="0" borderId="195" xfId="11" applyNumberFormat="1" applyFont="1" applyFill="1" applyBorder="1" applyAlignment="1">
      <alignment horizontal="right"/>
    </xf>
    <xf numFmtId="0" fontId="36" fillId="0" borderId="0" xfId="0" applyFont="1"/>
    <xf numFmtId="42" fontId="1" fillId="0" borderId="80" xfId="0" applyNumberFormat="1" applyFont="1" applyBorder="1" applyProtection="1"/>
    <xf numFmtId="0" fontId="23" fillId="0" borderId="0" xfId="0" applyFont="1"/>
    <xf numFmtId="0" fontId="17" fillId="0" borderId="13" xfId="0" applyFont="1" applyBorder="1"/>
    <xf numFmtId="184" fontId="4" fillId="0" borderId="13" xfId="0" applyNumberFormat="1" applyFont="1" applyBorder="1" applyAlignment="1">
      <alignment horizontal="left"/>
    </xf>
    <xf numFmtId="42" fontId="0" fillId="0" borderId="13" xfId="0" applyNumberFormat="1" applyBorder="1"/>
    <xf numFmtId="3" fontId="5" fillId="0" borderId="13" xfId="0" applyNumberFormat="1" applyFont="1" applyFill="1" applyBorder="1" applyProtection="1"/>
    <xf numFmtId="42" fontId="5" fillId="0" borderId="13" xfId="0" applyNumberFormat="1" applyFont="1" applyFill="1" applyBorder="1" applyProtection="1"/>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18" fillId="0" borderId="0" xfId="0" applyFont="1"/>
    <xf numFmtId="0" fontId="0" fillId="0" borderId="0" xfId="0" applyBorder="1"/>
    <xf numFmtId="0" fontId="23" fillId="0" borderId="0" xfId="0" applyFont="1" applyAlignment="1">
      <alignment horizontal="right"/>
    </xf>
    <xf numFmtId="169" fontId="25" fillId="0" borderId="0" xfId="0" applyNumberFormat="1" applyFont="1" applyAlignment="1">
      <alignment horizontal="right"/>
    </xf>
    <xf numFmtId="0" fontId="25" fillId="0" borderId="0" xfId="0" applyFont="1"/>
    <xf numFmtId="8" fontId="25" fillId="0" borderId="0" xfId="0" applyNumberFormat="1" applyFont="1" applyAlignment="1">
      <alignment horizontal="right"/>
    </xf>
    <xf numFmtId="164" fontId="25" fillId="0" borderId="0" xfId="0" applyNumberFormat="1" applyFont="1" applyAlignment="1">
      <alignment horizontal="right"/>
    </xf>
    <xf numFmtId="0" fontId="38" fillId="0" borderId="0" xfId="0" applyFont="1" applyAlignment="1">
      <alignment horizontal="center"/>
    </xf>
    <xf numFmtId="0" fontId="18" fillId="0" borderId="0" xfId="0" applyFont="1" applyBorder="1"/>
    <xf numFmtId="0" fontId="4" fillId="0" borderId="40" xfId="0" applyFont="1" applyFill="1" applyBorder="1" applyAlignment="1">
      <alignment horizontal="right"/>
    </xf>
    <xf numFmtId="0" fontId="0" fillId="0" borderId="45" xfId="0" applyBorder="1"/>
    <xf numFmtId="0" fontId="14" fillId="0" borderId="0" xfId="0" applyFont="1" applyBorder="1"/>
    <xf numFmtId="0" fontId="0" fillId="0" borderId="51" xfId="0" applyBorder="1"/>
    <xf numFmtId="0" fontId="12" fillId="0" borderId="0" xfId="0" applyFont="1" applyBorder="1"/>
    <xf numFmtId="0" fontId="0" fillId="0" borderId="60" xfId="0" applyBorder="1"/>
    <xf numFmtId="0" fontId="0" fillId="0" borderId="61" xfId="0" applyBorder="1"/>
    <xf numFmtId="0" fontId="70" fillId="0" borderId="0" xfId="0" applyFont="1" applyFill="1" applyBorder="1" applyAlignment="1">
      <alignment vertical="center"/>
    </xf>
    <xf numFmtId="42" fontId="0" fillId="0" borderId="0" xfId="0" applyNumberFormat="1" applyBorder="1"/>
    <xf numFmtId="3" fontId="0" fillId="0" borderId="0" xfId="0" applyNumberFormat="1" applyBorder="1"/>
    <xf numFmtId="42" fontId="0" fillId="0" borderId="44" xfId="0" applyNumberFormat="1" applyFill="1" applyBorder="1" applyProtection="1"/>
    <xf numFmtId="42" fontId="0" fillId="0" borderId="44" xfId="0" applyNumberFormat="1" applyFont="1" applyFill="1" applyBorder="1" applyProtection="1"/>
    <xf numFmtId="186" fontId="5" fillId="0" borderId="0" xfId="1" applyNumberFormat="1" applyFont="1" applyFill="1" applyBorder="1" applyProtection="1"/>
    <xf numFmtId="42" fontId="14" fillId="0" borderId="0" xfId="0" applyNumberFormat="1" applyFont="1" applyBorder="1" applyProtection="1"/>
    <xf numFmtId="3" fontId="14" fillId="0" borderId="0" xfId="0" applyNumberFormat="1" applyFont="1" applyBorder="1" applyProtection="1"/>
    <xf numFmtId="42" fontId="0" fillId="0" borderId="64" xfId="0" applyNumberFormat="1" applyFill="1" applyBorder="1" applyProtection="1"/>
    <xf numFmtId="42" fontId="1" fillId="0" borderId="0" xfId="0" applyNumberFormat="1" applyFont="1" applyBorder="1" applyProtection="1"/>
    <xf numFmtId="3" fontId="1" fillId="0" borderId="0" xfId="0" applyNumberFormat="1" applyFont="1" applyBorder="1" applyProtection="1"/>
    <xf numFmtId="3" fontId="0" fillId="0" borderId="44" xfId="0" applyNumberFormat="1" applyFont="1" applyFill="1" applyBorder="1" applyProtection="1"/>
    <xf numFmtId="3" fontId="1" fillId="0" borderId="45" xfId="0" applyNumberFormat="1" applyFont="1" applyBorder="1" applyProtection="1"/>
    <xf numFmtId="3" fontId="0" fillId="0" borderId="44" xfId="0" applyNumberFormat="1" applyFont="1" applyBorder="1" applyProtection="1"/>
    <xf numFmtId="3" fontId="1" fillId="0" borderId="62" xfId="0" applyNumberFormat="1" applyFont="1" applyBorder="1" applyProtection="1"/>
    <xf numFmtId="3" fontId="0" fillId="0" borderId="52" xfId="0" applyNumberFormat="1" applyFont="1" applyBorder="1" applyProtection="1"/>
    <xf numFmtId="3" fontId="69" fillId="0" borderId="45" xfId="0" applyNumberFormat="1" applyFont="1" applyBorder="1" applyProtection="1"/>
    <xf numFmtId="42" fontId="0" fillId="14" borderId="44" xfId="0" applyNumberFormat="1" applyFont="1" applyFill="1" applyBorder="1" applyProtection="1"/>
    <xf numFmtId="42" fontId="0" fillId="14" borderId="52" xfId="0" applyNumberFormat="1" applyFont="1" applyFill="1" applyBorder="1" applyProtection="1"/>
    <xf numFmtId="3" fontId="1" fillId="0" borderId="61" xfId="0" applyNumberFormat="1" applyFont="1" applyBorder="1" applyProtection="1"/>
    <xf numFmtId="42" fontId="1" fillId="0" borderId="64" xfId="0" applyNumberFormat="1" applyFont="1" applyBorder="1" applyProtection="1"/>
    <xf numFmtId="3" fontId="1" fillId="0" borderId="64" xfId="0" applyNumberFormat="1" applyFont="1" applyBorder="1" applyProtection="1"/>
    <xf numFmtId="186" fontId="5" fillId="0" borderId="0" xfId="0" applyNumberFormat="1" applyFont="1" applyBorder="1" applyProtection="1"/>
    <xf numFmtId="186" fontId="17" fillId="0" borderId="0" xfId="0" applyNumberFormat="1" applyFont="1" applyFill="1" applyBorder="1" applyAlignment="1" applyProtection="1">
      <alignment vertical="center"/>
    </xf>
    <xf numFmtId="42" fontId="17" fillId="0" borderId="0" xfId="0" applyNumberFormat="1" applyFont="1" applyFill="1" applyBorder="1" applyAlignment="1" applyProtection="1">
      <alignment vertical="center"/>
    </xf>
    <xf numFmtId="3" fontId="17" fillId="0" borderId="0" xfId="0" applyNumberFormat="1" applyFont="1" applyFill="1" applyBorder="1" applyAlignment="1" applyProtection="1">
      <alignment vertical="center"/>
    </xf>
    <xf numFmtId="185" fontId="67" fillId="0" borderId="0" xfId="0" applyNumberFormat="1" applyFont="1" applyFill="1" applyBorder="1" applyAlignment="1" applyProtection="1">
      <alignment vertical="center"/>
    </xf>
    <xf numFmtId="0" fontId="0" fillId="0" borderId="0" xfId="0" applyProtection="1"/>
    <xf numFmtId="42" fontId="0" fillId="0" borderId="0" xfId="0" applyNumberFormat="1" applyAlignment="1" applyProtection="1">
      <alignment horizontal="center"/>
    </xf>
    <xf numFmtId="42" fontId="0" fillId="0" borderId="52" xfId="0" applyNumberFormat="1" applyFill="1" applyBorder="1" applyProtection="1"/>
    <xf numFmtId="10" fontId="0" fillId="0" borderId="0" xfId="8" applyNumberFormat="1" applyFont="1"/>
    <xf numFmtId="165" fontId="6" fillId="0" borderId="76" xfId="1" applyNumberFormat="1" applyFont="1" applyFill="1" applyBorder="1" applyProtection="1"/>
    <xf numFmtId="165" fontId="0" fillId="0" borderId="76" xfId="1" applyNumberFormat="1" applyFont="1" applyFill="1" applyBorder="1" applyProtection="1"/>
    <xf numFmtId="42" fontId="1" fillId="0" borderId="75" xfId="0" applyNumberFormat="1" applyFont="1" applyFill="1" applyBorder="1" applyProtection="1"/>
    <xf numFmtId="165" fontId="1" fillId="0" borderId="78" xfId="1" applyNumberFormat="1" applyFont="1" applyFill="1" applyBorder="1" applyProtection="1"/>
    <xf numFmtId="165" fontId="1" fillId="0" borderId="76" xfId="1" applyNumberFormat="1" applyFont="1" applyFill="1" applyBorder="1" applyProtection="1"/>
    <xf numFmtId="42" fontId="1" fillId="0" borderId="75" xfId="0" applyNumberFormat="1" applyFont="1" applyBorder="1" applyProtection="1"/>
    <xf numFmtId="165" fontId="5" fillId="0" borderId="38" xfId="1" applyNumberFormat="1" applyFont="1" applyFill="1" applyBorder="1" applyProtection="1"/>
    <xf numFmtId="0" fontId="0" fillId="0" borderId="46" xfId="0" applyFill="1" applyBorder="1"/>
    <xf numFmtId="0" fontId="0" fillId="0" borderId="0" xfId="0" applyFill="1"/>
    <xf numFmtId="0" fontId="15" fillId="0" borderId="0" xfId="3" applyFill="1"/>
    <xf numFmtId="9" fontId="26" fillId="0" borderId="0" xfId="11" applyFont="1" applyFill="1" applyBorder="1"/>
    <xf numFmtId="9" fontId="25" fillId="0" borderId="0" xfId="11" applyFont="1" applyFill="1" applyBorder="1"/>
    <xf numFmtId="169" fontId="57" fillId="0" borderId="0" xfId="28" applyNumberFormat="1" applyFill="1" applyBorder="1"/>
    <xf numFmtId="171" fontId="25" fillId="0" borderId="0" xfId="28" applyNumberFormat="1" applyFont="1" applyFill="1" applyBorder="1"/>
    <xf numFmtId="173" fontId="26" fillId="0" borderId="0" xfId="30" applyNumberFormat="1" applyFont="1" applyFill="1" applyBorder="1"/>
    <xf numFmtId="0" fontId="0" fillId="0" borderId="0" xfId="0" applyFont="1" applyAlignment="1">
      <alignment horizontal="right"/>
    </xf>
    <xf numFmtId="9" fontId="25" fillId="0" borderId="0" xfId="28" applyNumberFormat="1" applyFont="1" applyFill="1" applyBorder="1"/>
    <xf numFmtId="0" fontId="57" fillId="0" borderId="0" xfId="28" applyFill="1" applyBorder="1" applyAlignment="1">
      <alignment horizontal="right"/>
    </xf>
    <xf numFmtId="10" fontId="26" fillId="0" borderId="0" xfId="11" applyNumberFormat="1" applyFont="1" applyFill="1" applyBorder="1"/>
    <xf numFmtId="0" fontId="113" fillId="0" borderId="0" xfId="9" applyFont="1" applyAlignment="1" applyProtection="1">
      <alignment horizontal="right" wrapText="1"/>
    </xf>
    <xf numFmtId="164" fontId="0" fillId="0" borderId="0" xfId="0" applyNumberFormat="1" applyFont="1" applyAlignment="1">
      <alignment horizontal="center"/>
    </xf>
    <xf numFmtId="0" fontId="29" fillId="0" borderId="0" xfId="28" applyFont="1" applyFill="1"/>
    <xf numFmtId="0" fontId="6" fillId="0" borderId="0" xfId="0" applyFont="1" applyAlignment="1">
      <alignment wrapText="1"/>
    </xf>
    <xf numFmtId="0" fontId="65" fillId="0" borderId="0" xfId="0" applyFont="1" applyFill="1" applyBorder="1" applyAlignment="1"/>
    <xf numFmtId="164" fontId="6" fillId="0" borderId="0" xfId="0" applyNumberFormat="1" applyFont="1" applyAlignment="1">
      <alignment horizontal="center"/>
    </xf>
    <xf numFmtId="165" fontId="6" fillId="0" borderId="0" xfId="5" applyNumberFormat="1" applyFont="1"/>
    <xf numFmtId="172" fontId="25" fillId="0" borderId="0" xfId="28" applyNumberFormat="1" applyFont="1" applyFill="1" applyBorder="1"/>
    <xf numFmtId="164" fontId="57" fillId="0" borderId="0" xfId="28" applyNumberFormat="1" applyFill="1" applyBorder="1"/>
    <xf numFmtId="171" fontId="57" fillId="0" borderId="0" xfId="28" applyNumberFormat="1" applyFill="1" applyBorder="1" applyAlignment="1">
      <alignment horizontal="right"/>
    </xf>
    <xf numFmtId="171" fontId="57" fillId="0" borderId="0" xfId="28" applyNumberFormat="1" applyFill="1" applyBorder="1"/>
    <xf numFmtId="2" fontId="30" fillId="0" borderId="0" xfId="28" applyNumberFormat="1" applyFont="1" applyFill="1" applyBorder="1" applyAlignment="1">
      <alignment horizontal="center"/>
    </xf>
    <xf numFmtId="0" fontId="112" fillId="0" borderId="0" xfId="28" applyFont="1"/>
    <xf numFmtId="168" fontId="26" fillId="0" borderId="0" xfId="30" applyNumberFormat="1" applyFont="1" applyFill="1" applyBorder="1"/>
    <xf numFmtId="170" fontId="57" fillId="0" borderId="0" xfId="28" applyNumberFormat="1" applyFill="1" applyBorder="1"/>
    <xf numFmtId="0" fontId="57" fillId="0" borderId="0" xfId="28" applyFill="1" applyBorder="1" applyAlignment="1">
      <alignment horizontal="center"/>
    </xf>
    <xf numFmtId="174" fontId="57" fillId="0" borderId="0" xfId="28" applyNumberFormat="1" applyFill="1" applyBorder="1"/>
    <xf numFmtId="0" fontId="0" fillId="0" borderId="0" xfId="0" applyFont="1" applyAlignment="1">
      <alignment wrapText="1"/>
    </xf>
    <xf numFmtId="0" fontId="0" fillId="0" borderId="0" xfId="0" applyFill="1" applyBorder="1"/>
    <xf numFmtId="0" fontId="25" fillId="0" borderId="0" xfId="28" applyFont="1" applyFill="1" applyBorder="1"/>
    <xf numFmtId="0" fontId="57" fillId="0" borderId="0" xfId="28" applyFill="1" applyBorder="1"/>
    <xf numFmtId="0" fontId="27" fillId="0" borderId="0" xfId="28" applyFont="1"/>
    <xf numFmtId="0" fontId="38" fillId="0" borderId="0" xfId="0" applyFont="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68" fontId="25" fillId="0" borderId="0" xfId="28" applyNumberFormat="1" applyFont="1" applyFill="1" applyBorder="1"/>
    <xf numFmtId="0" fontId="25" fillId="0" borderId="0" xfId="28" applyFont="1" applyFill="1" applyBorder="1"/>
    <xf numFmtId="0" fontId="57" fillId="0" borderId="0" xfId="28" applyFill="1" applyBorder="1"/>
    <xf numFmtId="168" fontId="25" fillId="0" borderId="0" xfId="28" applyNumberFormat="1" applyFont="1" applyFill="1" applyBorder="1"/>
    <xf numFmtId="165" fontId="6" fillId="0" borderId="0" xfId="5" applyNumberFormat="1" applyFont="1" applyAlignment="1">
      <alignment wrapText="1"/>
    </xf>
    <xf numFmtId="0" fontId="0" fillId="0" borderId="0" xfId="0" applyFont="1" applyAlignment="1">
      <alignment horizontal="center"/>
    </xf>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68" fontId="25" fillId="0" borderId="0" xfId="28" applyNumberFormat="1" applyFont="1" applyFill="1" applyBorder="1"/>
    <xf numFmtId="165" fontId="6" fillId="0" borderId="0" xfId="5" applyNumberFormat="1" applyFont="1" applyFill="1"/>
    <xf numFmtId="0" fontId="6" fillId="0" borderId="0" xfId="0" applyFont="1"/>
    <xf numFmtId="0" fontId="0" fillId="0" borderId="0" xfId="0" applyFont="1"/>
    <xf numFmtId="0" fontId="0" fillId="0" borderId="0" xfId="0" applyFont="1" applyFill="1"/>
    <xf numFmtId="0" fontId="0" fillId="0" borderId="0" xfId="0" applyFont="1"/>
    <xf numFmtId="0" fontId="0" fillId="0" borderId="0" xfId="0" applyFill="1" applyBorder="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0" fontId="23" fillId="0" borderId="0" xfId="28" applyFont="1" applyFill="1" applyBorder="1"/>
    <xf numFmtId="0" fontId="23" fillId="0" borderId="0" xfId="28" applyFont="1" applyFill="1" applyBorder="1" applyAlignment="1">
      <alignment horizontal="center"/>
    </xf>
    <xf numFmtId="173" fontId="25" fillId="0" borderId="0" xfId="28" applyNumberFormat="1" applyFont="1" applyFill="1" applyBorder="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173" fontId="25" fillId="0" borderId="0" xfId="28" applyNumberFormat="1" applyFont="1" applyFill="1" applyBorder="1"/>
    <xf numFmtId="0" fontId="57" fillId="0" borderId="0" xfId="28" applyFill="1"/>
    <xf numFmtId="0" fontId="25" fillId="0" borderId="0" xfId="28" applyFont="1" applyFill="1" applyBorder="1"/>
    <xf numFmtId="0" fontId="57" fillId="0" borderId="0" xfId="28" applyFill="1" applyBorder="1"/>
    <xf numFmtId="0" fontId="25" fillId="0" borderId="0" xfId="28" applyFont="1" applyFill="1"/>
    <xf numFmtId="9" fontId="25" fillId="0" borderId="0" xfId="11" applyFont="1" applyFill="1"/>
    <xf numFmtId="173" fontId="25" fillId="0" borderId="0" xfId="28" applyNumberFormat="1" applyFont="1" applyFill="1" applyBorder="1"/>
    <xf numFmtId="0" fontId="25" fillId="0" borderId="0" xfId="28" applyFont="1" applyFill="1" applyBorder="1"/>
    <xf numFmtId="0" fontId="57" fillId="0" borderId="0" xfId="28" applyFill="1" applyBorder="1"/>
    <xf numFmtId="0" fontId="23" fillId="0" borderId="0" xfId="28" applyFont="1" applyFill="1" applyBorder="1"/>
    <xf numFmtId="0" fontId="23" fillId="0" borderId="0" xfId="28" applyFont="1" applyFill="1" applyBorder="1" applyAlignment="1">
      <alignment horizontal="center"/>
    </xf>
    <xf numFmtId="173" fontId="25" fillId="0" borderId="0" xfId="28" applyNumberFormat="1" applyFont="1" applyFill="1" applyBorder="1"/>
    <xf numFmtId="164" fontId="12" fillId="0" borderId="0" xfId="2" applyNumberFormat="1" applyAlignment="1">
      <alignment horizontal="center"/>
    </xf>
    <xf numFmtId="0" fontId="0" fillId="0" borderId="75" xfId="0" applyBorder="1"/>
    <xf numFmtId="0" fontId="0" fillId="0" borderId="0" xfId="0"/>
    <xf numFmtId="0" fontId="0" fillId="0" borderId="0" xfId="0" applyAlignment="1">
      <alignment wrapText="1"/>
    </xf>
    <xf numFmtId="164" fontId="0" fillId="0" borderId="0" xfId="0" applyNumberFormat="1" applyAlignment="1">
      <alignment horizontal="center"/>
    </xf>
    <xf numFmtId="0" fontId="4" fillId="0" borderId="0" xfId="0" applyFont="1" applyAlignment="1">
      <alignment wrapText="1"/>
    </xf>
    <xf numFmtId="0" fontId="0" fillId="0" borderId="0" xfId="0" applyAlignment="1">
      <alignment horizontal="center"/>
    </xf>
    <xf numFmtId="0" fontId="0" fillId="0" borderId="0" xfId="0" applyFill="1"/>
    <xf numFmtId="0" fontId="13" fillId="0" borderId="0" xfId="0" applyFont="1" applyAlignment="1">
      <alignment horizontal="right" wrapText="1"/>
    </xf>
    <xf numFmtId="0" fontId="13" fillId="0" borderId="0" xfId="0" applyFont="1" applyFill="1" applyAlignment="1">
      <alignment horizontal="right" wrapText="1"/>
    </xf>
    <xf numFmtId="0" fontId="18" fillId="0" borderId="0" xfId="0" applyFont="1" applyFill="1" applyBorder="1" applyAlignment="1">
      <alignment horizontal="center"/>
    </xf>
    <xf numFmtId="0" fontId="2" fillId="0" borderId="0" xfId="0" applyFont="1"/>
    <xf numFmtId="164" fontId="2" fillId="0" borderId="0" xfId="0" applyNumberFormat="1" applyFont="1" applyAlignment="1">
      <alignment horizontal="left"/>
    </xf>
    <xf numFmtId="0" fontId="4" fillId="0" borderId="0" xfId="0" applyFont="1"/>
    <xf numFmtId="0" fontId="18" fillId="0" borderId="0" xfId="0" applyFont="1"/>
    <xf numFmtId="0" fontId="13" fillId="0" borderId="0" xfId="6" applyFont="1" applyAlignment="1">
      <alignment horizontal="right" wrapText="1"/>
    </xf>
    <xf numFmtId="0" fontId="18" fillId="0" borderId="0" xfId="0" applyFont="1" applyFill="1" applyBorder="1" applyAlignment="1"/>
    <xf numFmtId="0" fontId="95" fillId="0" borderId="0" xfId="9" applyFont="1" applyAlignment="1" applyProtection="1">
      <alignment horizontal="right" wrapText="1"/>
    </xf>
    <xf numFmtId="0" fontId="100" fillId="0" borderId="0" xfId="0" applyFont="1" applyAlignment="1">
      <alignment horizontal="right"/>
    </xf>
    <xf numFmtId="0" fontId="57" fillId="0" borderId="0" xfId="28"/>
    <xf numFmtId="0" fontId="0" fillId="0" borderId="0" xfId="0" applyAlignment="1">
      <alignment wrapText="1"/>
    </xf>
    <xf numFmtId="0" fontId="12" fillId="0" borderId="0" xfId="0" applyFont="1" applyAlignment="1">
      <alignment horizontal="center" wrapText="1"/>
    </xf>
    <xf numFmtId="0" fontId="0" fillId="0" borderId="0" xfId="0" applyFont="1" applyAlignment="1">
      <alignment horizontal="center" wrapText="1"/>
    </xf>
    <xf numFmtId="0" fontId="12" fillId="0" borderId="0" xfId="0" applyFont="1" applyAlignment="1">
      <alignment horizontal="center"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wrapText="1"/>
    </xf>
    <xf numFmtId="0" fontId="6" fillId="0" borderId="0" xfId="2" applyFont="1" applyAlignment="1">
      <alignment horizontal="center"/>
    </xf>
    <xf numFmtId="0" fontId="96" fillId="0" borderId="0" xfId="2" applyFont="1" applyFill="1" applyAlignment="1">
      <alignment horizontal="center" wrapText="1"/>
    </xf>
    <xf numFmtId="0" fontId="6" fillId="0" borderId="0" xfId="2" applyFont="1" applyAlignment="1">
      <alignment horizontal="center" wrapText="1"/>
    </xf>
    <xf numFmtId="0" fontId="6" fillId="0" borderId="0" xfId="2" applyFont="1" applyAlignment="1">
      <alignment horizontal="center" vertical="center"/>
    </xf>
    <xf numFmtId="0" fontId="6" fillId="0" borderId="0" xfId="2" applyFont="1" applyAlignment="1">
      <alignment horizontal="center" vertical="center" wrapText="1"/>
    </xf>
    <xf numFmtId="0" fontId="96" fillId="0" borderId="0" xfId="0" applyFont="1" applyFill="1" applyAlignment="1">
      <alignment horizontal="right" wrapText="1"/>
    </xf>
    <xf numFmtId="0" fontId="96" fillId="0" borderId="0" xfId="0" applyFont="1" applyFill="1" applyAlignment="1">
      <alignment horizontal="center" wrapText="1"/>
    </xf>
    <xf numFmtId="0" fontId="96" fillId="0" borderId="0" xfId="0" applyFont="1" applyFill="1" applyAlignment="1">
      <alignment horizontal="center" vertical="center" wrapText="1"/>
    </xf>
    <xf numFmtId="0" fontId="96" fillId="0" borderId="0" xfId="2" applyFont="1" applyAlignment="1">
      <alignment horizontal="center" wrapText="1"/>
    </xf>
    <xf numFmtId="0" fontId="96" fillId="0" borderId="0" xfId="0" applyFont="1" applyAlignment="1">
      <alignment horizontal="center" wrapText="1"/>
    </xf>
    <xf numFmtId="0" fontId="6" fillId="0" borderId="0" xfId="28" applyFont="1" applyAlignment="1">
      <alignment horizontal="center" wrapText="1"/>
    </xf>
    <xf numFmtId="0" fontId="6" fillId="0" borderId="0" xfId="28" applyFont="1" applyAlignment="1">
      <alignment horizontal="center" vertical="center" wrapText="1"/>
    </xf>
    <xf numFmtId="0" fontId="23" fillId="0" borderId="0" xfId="28" applyFont="1" applyFill="1"/>
    <xf numFmtId="0" fontId="23" fillId="0" borderId="0" xfId="28" applyFont="1" applyFill="1" applyAlignment="1">
      <alignment horizontal="left"/>
    </xf>
    <xf numFmtId="0" fontId="91" fillId="0" borderId="0" xfId="28" applyFont="1" applyFill="1" applyBorder="1" applyAlignment="1">
      <alignment horizontal="left"/>
    </xf>
    <xf numFmtId="0" fontId="23" fillId="0" borderId="0" xfId="28" applyFont="1" applyFill="1" applyBorder="1" applyAlignment="1">
      <alignment horizontal="left"/>
    </xf>
    <xf numFmtId="165" fontId="6" fillId="0" borderId="0" xfId="5" applyNumberFormat="1" applyFont="1" applyAlignment="1">
      <alignment horizontal="center" wrapText="1"/>
    </xf>
    <xf numFmtId="165" fontId="6" fillId="0" borderId="0" xfId="5" applyNumberFormat="1" applyFont="1" applyAlignment="1">
      <alignment horizontal="center" vertical="center" wrapText="1"/>
    </xf>
    <xf numFmtId="0" fontId="0" fillId="0" borderId="0" xfId="0" applyAlignment="1">
      <alignment horizontal="center" vertical="center" wrapText="1"/>
    </xf>
    <xf numFmtId="0" fontId="27" fillId="0" borderId="0" xfId="28" applyFont="1" applyFill="1"/>
    <xf numFmtId="0" fontId="6" fillId="0" borderId="0" xfId="17" applyNumberFormat="1" applyFont="1" applyAlignment="1" applyProtection="1">
      <alignment horizontal="center" wrapText="1"/>
      <protection locked="0"/>
    </xf>
    <xf numFmtId="0" fontId="97" fillId="15" borderId="1" xfId="0" applyFont="1" applyFill="1" applyBorder="1" applyAlignment="1">
      <alignment wrapText="1"/>
    </xf>
    <xf numFmtId="0" fontId="6" fillId="0" borderId="0" xfId="23" applyNumberFormat="1" applyFont="1" applyAlignment="1" applyProtection="1">
      <alignment horizontal="center" vertical="center" wrapText="1"/>
      <protection locked="0"/>
    </xf>
    <xf numFmtId="0" fontId="97" fillId="0" borderId="0" xfId="0" applyFont="1" applyFill="1" applyBorder="1" applyAlignment="1">
      <alignment wrapText="1"/>
    </xf>
    <xf numFmtId="0" fontId="0" fillId="0" borderId="0" xfId="0" applyFont="1" applyFill="1" applyAlignment="1">
      <alignment horizontal="center" vertical="center" wrapText="1"/>
    </xf>
    <xf numFmtId="0" fontId="6" fillId="0" borderId="0" xfId="17" applyNumberFormat="1" applyFont="1" applyAlignment="1" applyProtection="1">
      <alignment horizontal="center" vertical="center" wrapText="1"/>
      <protection locked="0"/>
    </xf>
    <xf numFmtId="0" fontId="0" fillId="0" borderId="0" xfId="0" applyFont="1" applyFill="1" applyAlignment="1">
      <alignment horizontal="center" wrapText="1"/>
    </xf>
    <xf numFmtId="0" fontId="6" fillId="0" borderId="0" xfId="23" applyNumberFormat="1" applyFont="1" applyAlignment="1" applyProtection="1">
      <alignment horizontal="center" wrapText="1"/>
      <protection locked="0"/>
    </xf>
    <xf numFmtId="0" fontId="0" fillId="0" borderId="0" xfId="0"/>
    <xf numFmtId="0" fontId="0" fillId="0" borderId="0" xfId="0" applyAlignment="1">
      <alignment horizontal="center"/>
    </xf>
    <xf numFmtId="0" fontId="0" fillId="0" borderId="0" xfId="0" applyAlignment="1">
      <alignment horizontal="center" wrapText="1"/>
    </xf>
    <xf numFmtId="0" fontId="23" fillId="5" borderId="14" xfId="0" applyFont="1" applyFill="1" applyBorder="1" applyAlignment="1">
      <alignment horizontal="center"/>
    </xf>
    <xf numFmtId="0" fontId="25" fillId="6" borderId="21" xfId="0" applyFont="1" applyFill="1" applyBorder="1" applyAlignment="1">
      <alignment horizontal="center" wrapText="1"/>
    </xf>
    <xf numFmtId="16" fontId="25" fillId="0" borderId="101" xfId="0" applyNumberFormat="1" applyFont="1" applyBorder="1" applyAlignment="1">
      <alignment horizontal="center"/>
    </xf>
    <xf numFmtId="0" fontId="23" fillId="5" borderId="102" xfId="0" applyFont="1" applyFill="1" applyBorder="1" applyAlignment="1">
      <alignment horizontal="center"/>
    </xf>
    <xf numFmtId="0" fontId="23" fillId="5" borderId="103" xfId="0" applyFont="1" applyFill="1" applyBorder="1" applyAlignment="1">
      <alignment horizontal="center"/>
    </xf>
    <xf numFmtId="0" fontId="25" fillId="6" borderId="104" xfId="0" applyFont="1" applyFill="1" applyBorder="1" applyAlignment="1">
      <alignment horizontal="center" wrapText="1"/>
    </xf>
    <xf numFmtId="16" fontId="25" fillId="0" borderId="13" xfId="28" applyNumberFormat="1" applyFont="1" applyBorder="1" applyAlignment="1">
      <alignment horizontal="center"/>
    </xf>
    <xf numFmtId="0" fontId="26" fillId="0" borderId="0" xfId="0" applyFont="1" applyAlignment="1">
      <alignment horizontal="center" wrapText="1"/>
    </xf>
    <xf numFmtId="0" fontId="26" fillId="0" borderId="0" xfId="0" applyFont="1" applyAlignment="1">
      <alignment horizontal="center" vertical="center" wrapText="1"/>
    </xf>
    <xf numFmtId="0" fontId="88" fillId="0" borderId="0" xfId="0" applyFont="1" applyAlignment="1">
      <alignment horizontal="center" wrapText="1"/>
    </xf>
    <xf numFmtId="0" fontId="88" fillId="0" borderId="0" xfId="0" applyFont="1" applyAlignment="1">
      <alignment horizontal="center" vertical="center" wrapText="1"/>
    </xf>
    <xf numFmtId="0" fontId="26" fillId="0" borderId="0" xfId="0" applyFont="1" applyFill="1" applyAlignment="1">
      <alignment horizontal="center" wrapText="1"/>
    </xf>
    <xf numFmtId="0" fontId="26" fillId="0" borderId="0" xfId="0" applyFont="1" applyFill="1" applyAlignment="1">
      <alignment horizontal="center" vertical="center" wrapText="1"/>
    </xf>
    <xf numFmtId="0" fontId="1" fillId="0" borderId="0" xfId="3" applyFont="1" applyBorder="1" applyAlignment="1">
      <alignment horizontal="left" indent="2"/>
    </xf>
    <xf numFmtId="165" fontId="15" fillId="0" borderId="40" xfId="22" applyNumberFormat="1" applyBorder="1"/>
    <xf numFmtId="0" fontId="0" fillId="0" borderId="0" xfId="0" applyAlignment="1">
      <alignment horizontal="center"/>
    </xf>
    <xf numFmtId="0" fontId="0" fillId="0" borderId="0" xfId="0" applyFill="1"/>
    <xf numFmtId="0" fontId="13" fillId="0" borderId="0" xfId="0" applyFont="1" applyFill="1" applyAlignment="1">
      <alignment horizontal="right" wrapText="1"/>
    </xf>
    <xf numFmtId="0" fontId="0" fillId="0" borderId="0" xfId="0"/>
    <xf numFmtId="0" fontId="13" fillId="0" borderId="0" xfId="0" applyFont="1" applyAlignment="1">
      <alignment horizontal="right" wrapText="1"/>
    </xf>
    <xf numFmtId="0" fontId="0" fillId="0" borderId="0" xfId="0"/>
    <xf numFmtId="0" fontId="0" fillId="0" borderId="0" xfId="0" applyAlignment="1">
      <alignment horizontal="center"/>
    </xf>
    <xf numFmtId="16" fontId="25" fillId="0" borderId="13" xfId="0" applyNumberFormat="1" applyFont="1" applyBorder="1" applyAlignment="1">
      <alignment horizontal="center"/>
    </xf>
    <xf numFmtId="16" fontId="25" fillId="0" borderId="13" xfId="28" applyNumberFormat="1" applyFont="1" applyBorder="1" applyAlignment="1">
      <alignment horizontal="center"/>
    </xf>
    <xf numFmtId="165" fontId="25" fillId="13" borderId="18" xfId="1" applyNumberFormat="1" applyFont="1" applyFill="1" applyBorder="1" applyAlignment="1">
      <alignment horizontal="center"/>
    </xf>
    <xf numFmtId="165" fontId="25" fillId="13" borderId="19" xfId="1" applyNumberFormat="1" applyFont="1" applyFill="1" applyBorder="1" applyAlignment="1">
      <alignment horizontal="center"/>
    </xf>
    <xf numFmtId="165" fontId="25" fillId="13" borderId="20" xfId="1" applyNumberFormat="1" applyFont="1" applyFill="1" applyBorder="1" applyAlignment="1">
      <alignment horizontal="center"/>
    </xf>
    <xf numFmtId="172" fontId="25" fillId="13" borderId="20" xfId="7" applyNumberFormat="1" applyFont="1" applyFill="1" applyBorder="1" applyAlignment="1">
      <alignment horizontal="center" wrapText="1"/>
    </xf>
    <xf numFmtId="9" fontId="25" fillId="0" borderId="0" xfId="8" applyFont="1" applyFill="1"/>
    <xf numFmtId="9" fontId="25" fillId="0" borderId="0" xfId="8" applyFont="1" applyFill="1" applyBorder="1"/>
    <xf numFmtId="0" fontId="116" fillId="40" borderId="421" xfId="8201" applyFont="1" applyFill="1" applyBorder="1" applyAlignment="1" applyProtection="1">
      <alignment horizontal="left" vertical="center" indent="1"/>
      <protection locked="0"/>
    </xf>
    <xf numFmtId="0" fontId="0" fillId="0" borderId="75" xfId="0" applyBorder="1" applyAlignment="1">
      <alignment horizontal="left" indent="2"/>
    </xf>
    <xf numFmtId="169" fontId="24" fillId="0" borderId="0" xfId="0" applyNumberFormat="1" applyFont="1" applyFill="1" applyBorder="1" applyAlignment="1">
      <alignment horizontal="right"/>
    </xf>
    <xf numFmtId="169" fontId="0" fillId="0" borderId="420" xfId="0" applyNumberFormat="1" applyBorder="1" applyAlignment="1">
      <alignment horizontal="right"/>
    </xf>
    <xf numFmtId="1" fontId="0" fillId="0" borderId="0" xfId="0" applyNumberFormat="1" applyFont="1" applyFill="1" applyBorder="1" applyAlignment="1">
      <alignment horizontal="center" vertical="center" wrapText="1"/>
    </xf>
    <xf numFmtId="1" fontId="6" fillId="0" borderId="0" xfId="2" applyNumberFormat="1" applyFont="1" applyFill="1" applyBorder="1" applyAlignment="1">
      <alignment horizontal="center" vertical="center" wrapText="1"/>
    </xf>
    <xf numFmtId="1" fontId="0" fillId="0" borderId="0" xfId="0" applyNumberFormat="1" applyFont="1" applyFill="1" applyBorder="1" applyAlignment="1">
      <alignment horizontal="center" vertical="center"/>
    </xf>
    <xf numFmtId="1" fontId="6" fillId="0" borderId="0" xfId="2" applyNumberFormat="1" applyFont="1" applyFill="1" applyBorder="1" applyAlignment="1">
      <alignment horizontal="center" vertical="center"/>
    </xf>
    <xf numFmtId="169" fontId="0" fillId="0" borderId="75" xfId="0" applyNumberFormat="1" applyBorder="1" applyAlignment="1">
      <alignment horizontal="right"/>
    </xf>
    <xf numFmtId="39" fontId="120" fillId="40" borderId="343" xfId="8203" applyNumberFormat="1" applyFont="1" applyFill="1" applyBorder="1" applyAlignment="1" applyProtection="1">
      <alignment horizontal="center" vertical="center"/>
      <protection locked="0"/>
    </xf>
    <xf numFmtId="0" fontId="114" fillId="49" borderId="343" xfId="8201" applyFont="1" applyFill="1" applyBorder="1" applyAlignment="1" applyProtection="1">
      <alignment horizontal="right" vertical="center" indent="1"/>
      <protection hidden="1"/>
    </xf>
    <xf numFmtId="0" fontId="114" fillId="48" borderId="421" xfId="8211" applyFont="1" applyFill="1" applyBorder="1" applyAlignment="1" applyProtection="1">
      <alignment vertical="center"/>
      <protection hidden="1"/>
    </xf>
    <xf numFmtId="0" fontId="23" fillId="0" borderId="75" xfId="0" applyFont="1" applyBorder="1"/>
    <xf numFmtId="169" fontId="0" fillId="0" borderId="422" xfId="0" applyNumberFormat="1" applyBorder="1" applyAlignment="1">
      <alignment horizontal="right"/>
    </xf>
    <xf numFmtId="169" fontId="0" fillId="0" borderId="419" xfId="0" applyNumberFormat="1" applyBorder="1" applyAlignment="1">
      <alignment horizontal="right"/>
    </xf>
    <xf numFmtId="169" fontId="0" fillId="0" borderId="201" xfId="0" applyNumberFormat="1" applyBorder="1" applyAlignment="1">
      <alignment horizontal="right"/>
    </xf>
    <xf numFmtId="169" fontId="0" fillId="0" borderId="0" xfId="0" applyNumberFormat="1" applyBorder="1" applyAlignment="1">
      <alignment horizontal="right"/>
    </xf>
    <xf numFmtId="1" fontId="12" fillId="0" borderId="0" xfId="0" applyNumberFormat="1" applyFont="1" applyFill="1" applyBorder="1" applyAlignment="1">
      <alignment horizontal="center" vertical="center" wrapText="1"/>
    </xf>
    <xf numFmtId="44" fontId="114" fillId="48" borderId="419" xfId="8202" applyFont="1" applyFill="1" applyBorder="1" applyAlignment="1" applyProtection="1">
      <alignment horizontal="center" vertical="center"/>
      <protection hidden="1"/>
    </xf>
    <xf numFmtId="164" fontId="108" fillId="0" borderId="0" xfId="0" applyNumberFormat="1" applyFont="1" applyAlignment="1">
      <alignment horizontal="right"/>
    </xf>
    <xf numFmtId="169" fontId="0" fillId="40" borderId="423" xfId="0" applyNumberFormat="1" applyFill="1" applyBorder="1" applyAlignment="1">
      <alignment horizontal="right"/>
    </xf>
    <xf numFmtId="169" fontId="0" fillId="40" borderId="421" xfId="0" applyNumberFormat="1" applyFill="1" applyBorder="1" applyAlignment="1">
      <alignment horizontal="right"/>
    </xf>
    <xf numFmtId="0" fontId="0" fillId="40" borderId="421" xfId="0" applyFill="1" applyBorder="1" applyAlignment="1">
      <alignment horizontal="left" indent="2"/>
    </xf>
    <xf numFmtId="169" fontId="0" fillId="40" borderId="26" xfId="0" applyNumberFormat="1" applyFill="1" applyBorder="1" applyAlignment="1">
      <alignment horizontal="right"/>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39" fontId="0" fillId="0" borderId="0" xfId="0" applyNumberFormat="1"/>
    <xf numFmtId="0" fontId="114" fillId="51" borderId="418" xfId="8206" applyFont="1" applyFill="1" applyBorder="1" applyAlignment="1" applyProtection="1">
      <alignment horizontal="left" vertical="center" indent="1"/>
      <protection hidden="1"/>
    </xf>
    <xf numFmtId="0" fontId="114" fillId="48" borderId="418" xfId="8206" applyFont="1" applyFill="1" applyBorder="1" applyAlignment="1" applyProtection="1">
      <alignment vertical="center"/>
      <protection hidden="1"/>
    </xf>
    <xf numFmtId="10" fontId="114" fillId="13" borderId="421" xfId="8204" applyNumberFormat="1" applyFont="1" applyFill="1" applyBorder="1" applyAlignment="1" applyProtection="1">
      <alignment horizontal="center" vertical="center"/>
      <protection hidden="1"/>
    </xf>
    <xf numFmtId="39" fontId="120" fillId="0" borderId="0" xfId="8203" applyNumberFormat="1" applyFont="1" applyFill="1" applyBorder="1" applyAlignment="1" applyProtection="1">
      <alignment horizontal="center" vertical="center"/>
      <protection locked="0"/>
    </xf>
    <xf numFmtId="0" fontId="117" fillId="39" borderId="0" xfId="8220" applyFont="1" applyFill="1" applyBorder="1" applyAlignment="1" applyProtection="1">
      <alignment vertical="center"/>
      <protection hidden="1"/>
    </xf>
    <xf numFmtId="0" fontId="28" fillId="0" borderId="0" xfId="0" applyFont="1" applyBorder="1" applyAlignment="1"/>
    <xf numFmtId="0" fontId="114" fillId="0" borderId="0" xfId="8220"/>
    <xf numFmtId="0" fontId="114" fillId="0" borderId="0" xfId="8220" applyFont="1" applyAlignment="1" applyProtection="1">
      <alignment horizontal="center" vertical="center"/>
      <protection hidden="1"/>
    </xf>
    <xf numFmtId="0" fontId="119" fillId="40" borderId="0" xfId="8220" applyFont="1" applyFill="1" applyAlignment="1" applyProtection="1">
      <alignment horizontal="center" vertical="center"/>
      <protection hidden="1"/>
    </xf>
    <xf numFmtId="44" fontId="116" fillId="12" borderId="303" xfId="8202" applyFont="1" applyFill="1" applyBorder="1" applyAlignment="1" applyProtection="1">
      <alignment horizontal="center" vertical="center"/>
      <protection hidden="1"/>
    </xf>
    <xf numFmtId="0" fontId="116" fillId="40" borderId="303" xfId="8220" applyFont="1" applyFill="1" applyBorder="1" applyAlignment="1" applyProtection="1">
      <alignment horizontal="center" vertical="center"/>
      <protection locked="0"/>
    </xf>
    <xf numFmtId="9" fontId="116" fillId="40" borderId="303" xfId="8202" applyNumberFormat="1" applyFont="1" applyFill="1" applyBorder="1" applyAlignment="1" applyProtection="1">
      <alignment horizontal="center" vertical="center"/>
      <protection locked="0"/>
    </xf>
    <xf numFmtId="44" fontId="114" fillId="48" borderId="419" xfId="8202" applyFont="1" applyFill="1" applyBorder="1" applyAlignment="1" applyProtection="1">
      <alignment horizontal="center" vertical="center"/>
      <protection hidden="1"/>
    </xf>
    <xf numFmtId="0" fontId="120" fillId="40" borderId="303" xfId="8220" applyFont="1" applyFill="1" applyBorder="1" applyAlignment="1" applyProtection="1">
      <alignment horizontal="center" vertical="center"/>
      <protection locked="0"/>
    </xf>
    <xf numFmtId="44" fontId="114" fillId="48" borderId="421" xfId="8202" applyFont="1" applyFill="1" applyBorder="1" applyAlignment="1" applyProtection="1">
      <alignment horizontal="center" vertical="center"/>
      <protection hidden="1"/>
    </xf>
    <xf numFmtId="0" fontId="117" fillId="39" borderId="0" xfId="8220" applyFont="1" applyFill="1" applyAlignment="1" applyProtection="1">
      <alignment vertical="center"/>
      <protection hidden="1"/>
    </xf>
    <xf numFmtId="37" fontId="120" fillId="40" borderId="303" xfId="8203" applyNumberFormat="1" applyFont="1" applyFill="1" applyBorder="1" applyAlignment="1" applyProtection="1">
      <alignment horizontal="center" vertical="center"/>
      <protection locked="0"/>
    </xf>
    <xf numFmtId="44" fontId="120" fillId="40" borderId="303" xfId="8202"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37" fontId="116" fillId="12" borderId="303" xfId="8203" applyNumberFormat="1" applyFont="1" applyFill="1" applyBorder="1" applyAlignment="1" applyProtection="1">
      <alignment horizontal="center" vertical="center"/>
      <protection hidden="1"/>
    </xf>
    <xf numFmtId="0" fontId="116" fillId="12" borderId="303" xfId="8220" applyFont="1" applyFill="1" applyBorder="1" applyAlignment="1" applyProtection="1">
      <alignment horizontal="center" vertical="center"/>
      <protection hidden="1"/>
    </xf>
    <xf numFmtId="0" fontId="114" fillId="38" borderId="0" xfId="8220" applyFont="1" applyFill="1" applyAlignment="1" applyProtection="1">
      <alignment horizontal="center" vertical="center"/>
      <protection hidden="1"/>
    </xf>
    <xf numFmtId="0" fontId="114" fillId="46" borderId="0" xfId="8220" applyFont="1" applyFill="1" applyAlignment="1" applyProtection="1">
      <alignment horizontal="center" vertical="center"/>
      <protection hidden="1"/>
    </xf>
    <xf numFmtId="0" fontId="114" fillId="45" borderId="0" xfId="8220" applyFont="1" applyFill="1" applyAlignment="1" applyProtection="1">
      <alignment horizontal="center" vertical="center"/>
      <protection hidden="1"/>
    </xf>
    <xf numFmtId="0" fontId="114" fillId="13" borderId="0" xfId="8220" applyFont="1" applyFill="1" applyAlignment="1" applyProtection="1">
      <alignment horizontal="center" vertical="center"/>
      <protection hidden="1"/>
    </xf>
    <xf numFmtId="0" fontId="117" fillId="47" borderId="0" xfId="8220" applyFont="1" applyFill="1" applyAlignment="1" applyProtection="1">
      <alignment horizontal="right" vertical="center"/>
      <protection hidden="1"/>
    </xf>
    <xf numFmtId="0" fontId="121" fillId="47" borderId="0" xfId="8220" applyFont="1" applyFill="1" applyAlignment="1" applyProtection="1">
      <alignment horizontal="center" vertical="center"/>
      <protection hidden="1"/>
    </xf>
    <xf numFmtId="0" fontId="117" fillId="47" borderId="0" xfId="8220" applyFont="1" applyFill="1" applyAlignment="1" applyProtection="1">
      <alignment horizontal="center" vertical="center"/>
      <protection hidden="1"/>
    </xf>
    <xf numFmtId="44" fontId="117" fillId="47" borderId="0" xfId="8220" applyNumberFormat="1" applyFont="1" applyFill="1" applyAlignment="1" applyProtection="1">
      <alignment horizontal="center" vertical="center"/>
      <protection hidden="1"/>
    </xf>
    <xf numFmtId="9" fontId="117" fillId="47" borderId="0" xfId="8220" applyNumberFormat="1" applyFont="1" applyFill="1" applyAlignment="1" applyProtection="1">
      <alignment horizontal="center" vertical="center"/>
      <protection hidden="1"/>
    </xf>
    <xf numFmtId="37" fontId="117" fillId="47" borderId="0" xfId="8220" applyNumberFormat="1" applyFont="1" applyFill="1" applyAlignment="1" applyProtection="1">
      <alignment horizontal="center" vertical="center"/>
      <protection hidden="1"/>
    </xf>
    <xf numFmtId="0" fontId="117" fillId="47" borderId="0" xfId="8220" applyNumberFormat="1" applyFont="1" applyFill="1" applyAlignment="1" applyProtection="1">
      <alignment horizontal="center" vertical="center"/>
      <protection hidden="1"/>
    </xf>
    <xf numFmtId="0" fontId="120" fillId="40" borderId="303" xfId="8202" applyNumberFormat="1" applyFont="1" applyFill="1" applyBorder="1" applyAlignment="1" applyProtection="1">
      <alignment horizontal="center" vertical="center"/>
      <protection locked="0"/>
    </xf>
    <xf numFmtId="0" fontId="0" fillId="0" borderId="424" xfId="0" applyBorder="1"/>
    <xf numFmtId="44" fontId="114" fillId="48" borderId="425" xfId="8202" applyFont="1" applyFill="1" applyBorder="1" applyAlignment="1" applyProtection="1">
      <alignment horizontal="center" vertical="center"/>
      <protection hidden="1"/>
    </xf>
    <xf numFmtId="44" fontId="114" fillId="0" borderId="420" xfId="8202" applyFont="1" applyFill="1" applyBorder="1" applyAlignment="1" applyProtection="1">
      <alignment horizontal="center" vertical="center"/>
      <protection hidden="1"/>
    </xf>
    <xf numFmtId="0" fontId="23" fillId="0" borderId="36" xfId="0" applyFont="1" applyBorder="1" applyAlignment="1">
      <alignment horizontal="center"/>
    </xf>
    <xf numFmtId="0" fontId="0" fillId="0" borderId="40" xfId="0" applyBorder="1"/>
    <xf numFmtId="0" fontId="0" fillId="0" borderId="425" xfId="0" applyBorder="1" applyAlignment="1">
      <alignment horizontal="left" indent="2"/>
    </xf>
    <xf numFmtId="0" fontId="0" fillId="0" borderId="28" xfId="0" applyBorder="1"/>
    <xf numFmtId="169" fontId="0" fillId="0" borderId="425" xfId="0" applyNumberFormat="1" applyBorder="1" applyAlignment="1">
      <alignment horizontal="right"/>
    </xf>
    <xf numFmtId="169" fontId="0" fillId="50" borderId="420" xfId="0" applyNumberFormat="1" applyFont="1" applyFill="1" applyBorder="1" applyAlignment="1">
      <alignment horizontal="right"/>
    </xf>
    <xf numFmtId="169" fontId="0" fillId="0" borderId="196" xfId="0" applyNumberFormat="1" applyBorder="1" applyAlignment="1">
      <alignment horizontal="right"/>
    </xf>
    <xf numFmtId="169" fontId="0" fillId="0" borderId="427" xfId="0" applyNumberFormat="1" applyBorder="1" applyAlignment="1">
      <alignment horizontal="right"/>
    </xf>
    <xf numFmtId="0" fontId="26" fillId="50" borderId="425" xfId="0" applyFont="1" applyFill="1" applyBorder="1"/>
    <xf numFmtId="0" fontId="0" fillId="0" borderId="11" xfId="0" applyBorder="1"/>
    <xf numFmtId="169" fontId="0" fillId="51" borderId="421" xfId="0" applyNumberFormat="1" applyFont="1" applyFill="1" applyBorder="1" applyAlignment="1">
      <alignment horizontal="right"/>
    </xf>
    <xf numFmtId="169" fontId="0" fillId="0" borderId="425" xfId="0" applyNumberFormat="1" applyFont="1" applyFill="1" applyBorder="1" applyAlignment="1">
      <alignment horizontal="right"/>
    </xf>
    <xf numFmtId="169" fontId="0" fillId="0" borderId="427" xfId="0" applyNumberFormat="1" applyFont="1" applyFill="1" applyBorder="1" applyAlignment="1">
      <alignment horizontal="right"/>
    </xf>
    <xf numFmtId="169" fontId="0" fillId="51" borderId="420" xfId="0" applyNumberFormat="1" applyFont="1" applyFill="1" applyBorder="1" applyAlignment="1">
      <alignment horizontal="right"/>
    </xf>
    <xf numFmtId="0" fontId="26" fillId="51" borderId="425" xfId="0" applyFont="1" applyFill="1" applyBorder="1"/>
    <xf numFmtId="0" fontId="26" fillId="0" borderId="425" xfId="0" applyFont="1" applyFill="1" applyBorder="1"/>
    <xf numFmtId="0" fontId="23" fillId="0" borderId="80" xfId="0" applyFont="1" applyBorder="1" applyAlignment="1">
      <alignment horizontal="center"/>
    </xf>
    <xf numFmtId="169" fontId="116" fillId="40" borderId="201" xfId="0" applyNumberFormat="1" applyFont="1" applyFill="1" applyBorder="1" applyAlignment="1">
      <alignment horizontal="right"/>
    </xf>
    <xf numFmtId="169" fontId="116" fillId="40" borderId="26" xfId="0" applyNumberFormat="1" applyFont="1" applyFill="1" applyBorder="1" applyAlignment="1">
      <alignment horizontal="right"/>
    </xf>
    <xf numFmtId="169" fontId="116" fillId="40" borderId="419" xfId="0" applyNumberFormat="1" applyFont="1" applyFill="1" applyBorder="1" applyAlignment="1">
      <alignment horizontal="right"/>
    </xf>
    <xf numFmtId="0" fontId="0" fillId="0" borderId="0" xfId="0" applyFont="1" applyBorder="1" applyAlignment="1">
      <alignment horizontal="center"/>
    </xf>
    <xf numFmtId="0" fontId="0" fillId="0" borderId="0" xfId="0" applyFont="1" applyBorder="1" applyAlignment="1">
      <alignment horizontal="center" vertical="center"/>
    </xf>
    <xf numFmtId="0" fontId="0" fillId="0" borderId="0" xfId="0" applyFont="1" applyBorder="1" applyAlignment="1">
      <alignment horizontal="center" wrapText="1"/>
    </xf>
    <xf numFmtId="0" fontId="0" fillId="0" borderId="0" xfId="0" applyFont="1" applyBorder="1" applyAlignment="1">
      <alignment horizontal="center" vertical="center" wrapText="1"/>
    </xf>
    <xf numFmtId="0" fontId="96" fillId="0" borderId="0" xfId="0" applyFont="1" applyFill="1" applyBorder="1" applyAlignment="1">
      <alignment horizontal="center" wrapText="1"/>
    </xf>
    <xf numFmtId="0" fontId="13" fillId="0" borderId="0" xfId="0" applyFont="1" applyFill="1" applyBorder="1" applyAlignment="1">
      <alignment horizontal="center" wrapText="1"/>
    </xf>
    <xf numFmtId="0" fontId="6" fillId="0" borderId="0" xfId="2" applyFont="1" applyBorder="1" applyAlignment="1">
      <alignment horizontal="center" vertical="center"/>
    </xf>
    <xf numFmtId="0" fontId="6" fillId="0" borderId="0" xfId="2" applyFont="1" applyBorder="1" applyAlignment="1">
      <alignment horizontal="center" vertical="center" wrapText="1"/>
    </xf>
    <xf numFmtId="0" fontId="6" fillId="0" borderId="0" xfId="2" applyFont="1" applyBorder="1" applyAlignment="1">
      <alignment horizontal="center"/>
    </xf>
    <xf numFmtId="0" fontId="6" fillId="0" borderId="0" xfId="2" applyFont="1" applyBorder="1" applyAlignment="1">
      <alignment horizontal="center" wrapText="1"/>
    </xf>
    <xf numFmtId="0" fontId="6" fillId="0" borderId="0" xfId="28" applyFont="1" applyBorder="1" applyAlignment="1">
      <alignment horizontal="center" vertical="center" wrapText="1"/>
    </xf>
    <xf numFmtId="0" fontId="6" fillId="0" borderId="0" xfId="28" applyFont="1" applyBorder="1" applyAlignment="1">
      <alignment horizontal="center" wrapText="1"/>
    </xf>
    <xf numFmtId="165" fontId="6" fillId="0" borderId="0" xfId="5" applyNumberFormat="1" applyFont="1" applyBorder="1" applyAlignment="1">
      <alignment horizontal="center" vertical="center" wrapText="1"/>
    </xf>
    <xf numFmtId="165" fontId="6" fillId="0" borderId="0" xfId="5" applyNumberFormat="1" applyFont="1" applyBorder="1" applyAlignment="1">
      <alignment horizontal="center" wrapText="1"/>
    </xf>
    <xf numFmtId="169" fontId="116" fillId="40" borderId="80" xfId="0" applyNumberFormat="1" applyFont="1" applyFill="1" applyBorder="1" applyAlignment="1">
      <alignment horizontal="right"/>
    </xf>
    <xf numFmtId="164" fontId="0" fillId="0" borderId="422" xfId="0" applyNumberFormat="1" applyBorder="1"/>
    <xf numFmtId="164" fontId="0" fillId="0" borderId="428" xfId="0" applyNumberFormat="1" applyBorder="1"/>
    <xf numFmtId="164" fontId="25" fillId="0" borderId="193" xfId="0" applyNumberFormat="1" applyFont="1" applyBorder="1"/>
    <xf numFmtId="164" fontId="25" fillId="0" borderId="313" xfId="0" applyNumberFormat="1" applyFont="1" applyBorder="1"/>
    <xf numFmtId="164" fontId="25" fillId="0" borderId="429" xfId="0" applyNumberFormat="1" applyFont="1" applyBorder="1"/>
    <xf numFmtId="168" fontId="25" fillId="0" borderId="194" xfId="0" applyNumberFormat="1" applyFont="1" applyBorder="1"/>
    <xf numFmtId="0" fontId="25" fillId="0" borderId="338" xfId="0" applyFont="1" applyBorder="1" applyAlignment="1">
      <alignment horizontal="center"/>
    </xf>
    <xf numFmtId="168" fontId="25" fillId="0" borderId="75" xfId="0" applyNumberFormat="1" applyFont="1" applyBorder="1"/>
    <xf numFmtId="164" fontId="25" fillId="0" borderId="34" xfId="0" applyNumberFormat="1" applyFont="1" applyBorder="1"/>
    <xf numFmtId="168" fontId="25" fillId="15" borderId="424" xfId="0" applyNumberFormat="1" applyFont="1" applyFill="1" applyBorder="1"/>
    <xf numFmtId="168" fontId="25" fillId="0" borderId="421" xfId="0" applyNumberFormat="1" applyFont="1" applyBorder="1"/>
    <xf numFmtId="164" fontId="25" fillId="15" borderId="428" xfId="0" applyNumberFormat="1" applyFont="1" applyFill="1" applyBorder="1"/>
    <xf numFmtId="164" fontId="25" fillId="0" borderId="343" xfId="0" applyNumberFormat="1" applyFont="1" applyBorder="1"/>
    <xf numFmtId="164" fontId="0" fillId="15" borderId="23" xfId="0" applyNumberFormat="1" applyFill="1" applyBorder="1"/>
    <xf numFmtId="164" fontId="0" fillId="15" borderId="22" xfId="0" applyNumberFormat="1" applyFill="1" applyBorder="1"/>
    <xf numFmtId="0" fontId="0" fillId="0" borderId="0" xfId="0" applyAlignment="1">
      <alignment wrapText="1"/>
    </xf>
    <xf numFmtId="0" fontId="0" fillId="0" borderId="0" xfId="0"/>
    <xf numFmtId="0" fontId="0" fillId="0" borderId="0" xfId="0" applyAlignment="1">
      <alignment horizontal="center"/>
    </xf>
    <xf numFmtId="0" fontId="38" fillId="0" borderId="0" xfId="0" applyFont="1" applyAlignment="1">
      <alignment horizontal="right"/>
    </xf>
    <xf numFmtId="0" fontId="38" fillId="0" borderId="0" xfId="0" applyFont="1" applyAlignment="1">
      <alignment horizontal="center"/>
    </xf>
    <xf numFmtId="165" fontId="38" fillId="0" borderId="0" xfId="1" applyNumberFormat="1" applyFont="1"/>
    <xf numFmtId="172" fontId="38" fillId="0" borderId="0" xfId="7" applyNumberFormat="1" applyFont="1"/>
    <xf numFmtId="169" fontId="114" fillId="48" borderId="421" xfId="8202" applyNumberFormat="1" applyFont="1" applyFill="1" applyBorder="1" applyAlignment="1" applyProtection="1">
      <alignment horizontal="center" vertical="center"/>
      <protection hidden="1"/>
    </xf>
    <xf numFmtId="0" fontId="123" fillId="11" borderId="9" xfId="0" applyFont="1" applyFill="1" applyBorder="1"/>
    <xf numFmtId="0" fontId="0" fillId="0" borderId="46" xfId="0" applyFont="1" applyFill="1" applyBorder="1"/>
    <xf numFmtId="0" fontId="0" fillId="0" borderId="45" xfId="0" applyFont="1" applyFill="1" applyBorder="1"/>
    <xf numFmtId="0" fontId="0" fillId="0" borderId="47" xfId="0" applyFont="1" applyFill="1" applyBorder="1"/>
    <xf numFmtId="0" fontId="0" fillId="0" borderId="44" xfId="0" applyFont="1" applyFill="1" applyBorder="1"/>
    <xf numFmtId="165" fontId="124" fillId="0" borderId="28" xfId="177" applyNumberFormat="1" applyFont="1" applyBorder="1"/>
    <xf numFmtId="164" fontId="0" fillId="0" borderId="0" xfId="0" applyNumberFormat="1" applyFill="1" applyBorder="1"/>
    <xf numFmtId="164" fontId="25" fillId="0" borderId="0" xfId="0" applyNumberFormat="1" applyFont="1" applyFill="1" applyBorder="1"/>
    <xf numFmtId="168" fontId="25" fillId="0" borderId="0" xfId="0" applyNumberFormat="1" applyFont="1" applyFill="1" applyBorder="1"/>
    <xf numFmtId="164" fontId="0" fillId="0" borderId="0" xfId="0" applyNumberFormat="1" applyFill="1" applyBorder="1" applyAlignment="1">
      <alignment wrapText="1"/>
    </xf>
    <xf numFmtId="164" fontId="25" fillId="0" borderId="0" xfId="0" applyNumberFormat="1" applyFont="1" applyFill="1" applyBorder="1" applyAlignment="1">
      <alignment wrapText="1"/>
    </xf>
    <xf numFmtId="168" fontId="25" fillId="0" borderId="0" xfId="0" applyNumberFormat="1" applyFont="1" applyFill="1" applyBorder="1" applyAlignment="1">
      <alignment wrapText="1"/>
    </xf>
    <xf numFmtId="165" fontId="15" fillId="0" borderId="0" xfId="186" applyNumberFormat="1" applyFont="1" applyBorder="1" applyAlignment="1">
      <alignment horizontal="right"/>
    </xf>
    <xf numFmtId="165" fontId="15" fillId="0" borderId="42" xfId="186" applyNumberFormat="1" applyFont="1" applyBorder="1" applyAlignment="1">
      <alignment horizontal="right"/>
    </xf>
    <xf numFmtId="0" fontId="25" fillId="0" borderId="19" xfId="0" applyFont="1" applyBorder="1" applyAlignment="1">
      <alignment horizontal="center" wrapText="1"/>
    </xf>
    <xf numFmtId="0" fontId="0" fillId="0" borderId="0" xfId="0" applyFont="1" applyAlignment="1">
      <alignment horizontal="center" wrapText="1"/>
    </xf>
    <xf numFmtId="49" fontId="0" fillId="0" borderId="47" xfId="0" applyNumberFormat="1" applyFont="1" applyFill="1" applyBorder="1"/>
    <xf numFmtId="0" fontId="22" fillId="0" borderId="414" xfId="9" applyFill="1" applyBorder="1" applyAlignment="1" applyProtection="1">
      <alignment horizontal="center" wrapText="1"/>
    </xf>
    <xf numFmtId="169" fontId="57" fillId="40" borderId="421" xfId="0" applyNumberFormat="1" applyFont="1" applyFill="1" applyBorder="1" applyAlignment="1">
      <alignment horizontal="right"/>
    </xf>
    <xf numFmtId="169" fontId="57" fillId="40" borderId="423"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0" fontId="0" fillId="0" borderId="0" xfId="0"/>
    <xf numFmtId="0" fontId="38" fillId="0" borderId="0" xfId="0" applyFont="1"/>
    <xf numFmtId="0" fontId="116" fillId="40" borderId="421" xfId="8201" applyFont="1" applyFill="1" applyBorder="1" applyAlignment="1" applyProtection="1">
      <alignment horizontal="left" vertical="center" indent="1"/>
      <protection locked="0"/>
    </xf>
    <xf numFmtId="0" fontId="0" fillId="0" borderId="0" xfId="0" applyAlignment="1"/>
    <xf numFmtId="0" fontId="0" fillId="0" borderId="0" xfId="0" applyFill="1" applyBorder="1" applyAlignment="1"/>
    <xf numFmtId="164" fontId="0" fillId="0" borderId="0" xfId="1" applyNumberFormat="1" applyFont="1" applyBorder="1" applyAlignment="1">
      <alignment horizontal="right" vertical="top"/>
    </xf>
    <xf numFmtId="5" fontId="0" fillId="0" borderId="0" xfId="1" applyNumberFormat="1" applyFont="1" applyBorder="1" applyAlignment="1">
      <alignment horizontal="right"/>
    </xf>
    <xf numFmtId="5" fontId="0" fillId="0" borderId="0" xfId="0" applyNumberFormat="1" applyFill="1" applyAlignment="1">
      <alignment horizontal="right"/>
    </xf>
    <xf numFmtId="0" fontId="0" fillId="0" borderId="0" xfId="0"/>
    <xf numFmtId="0" fontId="13" fillId="0" borderId="0" xfId="2" applyFont="1" applyAlignment="1">
      <alignment horizontal="right" wrapText="1"/>
    </xf>
    <xf numFmtId="0" fontId="12" fillId="0" borderId="0" xfId="2"/>
    <xf numFmtId="169" fontId="114" fillId="48" borderId="421" xfId="8202" applyNumberFormat="1" applyFont="1" applyFill="1" applyBorder="1" applyAlignment="1" applyProtection="1">
      <alignment horizontal="center" vertical="center"/>
      <protection hidden="1"/>
    </xf>
    <xf numFmtId="169" fontId="57" fillId="40" borderId="26" xfId="0" applyNumberFormat="1" applyFont="1" applyFill="1" applyBorder="1" applyAlignment="1">
      <alignment horizontal="right"/>
    </xf>
    <xf numFmtId="0" fontId="12" fillId="0" borderId="0" xfId="2"/>
    <xf numFmtId="0" fontId="116" fillId="40" borderId="421" xfId="8201" applyFont="1" applyFill="1" applyBorder="1" applyAlignment="1" applyProtection="1">
      <alignment horizontal="left" vertical="center" indent="1"/>
      <protection locked="0"/>
    </xf>
    <xf numFmtId="169" fontId="116" fillId="40" borderId="26"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169" fontId="114" fillId="48" borderId="421"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114" fillId="48" borderId="418" xfId="8206" applyFont="1" applyFill="1" applyBorder="1" applyAlignment="1" applyProtection="1">
      <alignment vertical="center"/>
      <protection hidden="1"/>
    </xf>
    <xf numFmtId="169" fontId="114" fillId="48" borderId="421"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169" fontId="114" fillId="48" borderId="419" xfId="8202" applyNumberFormat="1" applyFont="1" applyFill="1" applyBorder="1" applyAlignment="1" applyProtection="1">
      <alignment horizontal="center" vertical="center"/>
      <protection hidden="1"/>
    </xf>
    <xf numFmtId="0" fontId="116" fillId="40" borderId="421" xfId="8201" applyFont="1" applyFill="1" applyBorder="1" applyAlignment="1" applyProtection="1">
      <alignment vertical="center"/>
      <protection locked="0"/>
    </xf>
    <xf numFmtId="0" fontId="116" fillId="40" borderId="421" xfId="8201" applyFont="1" applyFill="1" applyBorder="1" applyAlignment="1" applyProtection="1">
      <alignment horizontal="left" vertical="center" indent="1"/>
      <protection locked="0"/>
    </xf>
    <xf numFmtId="0" fontId="0" fillId="0" borderId="0" xfId="0"/>
    <xf numFmtId="0" fontId="13" fillId="0" borderId="0" xfId="2" applyFont="1" applyAlignment="1">
      <alignment horizontal="right" wrapText="1"/>
    </xf>
    <xf numFmtId="0" fontId="13" fillId="0" borderId="0" xfId="0" applyFont="1" applyAlignment="1">
      <alignment horizontal="right" wrapText="1"/>
    </xf>
    <xf numFmtId="0" fontId="116" fillId="40" borderId="421" xfId="8201" applyFont="1" applyFill="1" applyBorder="1" applyAlignment="1" applyProtection="1">
      <alignment horizontal="left" vertical="center" indent="1"/>
      <protection locked="0"/>
    </xf>
    <xf numFmtId="39" fontId="120" fillId="40" borderId="343" xfId="8203" applyNumberFormat="1" applyFont="1" applyFill="1" applyBorder="1" applyAlignment="1" applyProtection="1">
      <alignment horizontal="center" vertical="center"/>
      <protection locked="0"/>
    </xf>
    <xf numFmtId="169" fontId="0" fillId="0" borderId="201" xfId="0" applyNumberFormat="1" applyBorder="1" applyAlignment="1">
      <alignment horizontal="right"/>
    </xf>
    <xf numFmtId="169" fontId="57" fillId="40" borderId="26" xfId="28" applyNumberFormat="1" applyFill="1" applyBorder="1" applyAlignment="1">
      <alignment horizontal="right"/>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0" fillId="0" borderId="54" xfId="0" applyFill="1" applyBorder="1"/>
    <xf numFmtId="0" fontId="116" fillId="40" borderId="421" xfId="8201" applyFont="1" applyFill="1" applyBorder="1" applyAlignment="1" applyProtection="1">
      <alignment horizontal="left" vertical="center" indent="1"/>
      <protection locked="0"/>
    </xf>
    <xf numFmtId="42" fontId="0" fillId="14" borderId="48" xfId="0" applyNumberFormat="1" applyFont="1" applyFill="1" applyBorder="1" applyProtection="1"/>
    <xf numFmtId="169" fontId="57" fillId="40" borderId="421" xfId="28" applyNumberFormat="1" applyFill="1" applyBorder="1" applyAlignment="1">
      <alignment horizontal="right"/>
    </xf>
    <xf numFmtId="169" fontId="57" fillId="40" borderId="419" xfId="28" applyNumberFormat="1" applyFill="1" applyBorder="1" applyAlignment="1">
      <alignment horizontal="right"/>
    </xf>
    <xf numFmtId="169" fontId="57" fillId="40" borderId="26" xfId="28" applyNumberForma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80" xfId="0" applyNumberFormat="1" applyFont="1" applyFill="1" applyBorder="1" applyAlignment="1">
      <alignment horizontal="right"/>
    </xf>
    <xf numFmtId="0" fontId="0" fillId="0" borderId="0" xfId="0"/>
    <xf numFmtId="0" fontId="0" fillId="0" borderId="0" xfId="0" applyAlignment="1">
      <alignment wrapText="1"/>
    </xf>
    <xf numFmtId="0" fontId="0" fillId="0" borderId="0" xfId="0" applyAlignment="1">
      <alignment horizontal="center"/>
    </xf>
    <xf numFmtId="165" fontId="0" fillId="0" borderId="0" xfId="1" applyNumberFormat="1" applyFont="1"/>
    <xf numFmtId="0" fontId="22" fillId="0" borderId="445" xfId="9" applyFill="1" applyBorder="1" applyAlignment="1" applyProtection="1">
      <alignment horizontal="center" wrapText="1"/>
    </xf>
    <xf numFmtId="172" fontId="0" fillId="0" borderId="0" xfId="7" applyNumberFormat="1" applyFont="1"/>
    <xf numFmtId="42" fontId="0" fillId="14" borderId="52" xfId="0" applyNumberFormat="1" applyFont="1" applyFill="1" applyBorder="1" applyProtection="1"/>
    <xf numFmtId="3" fontId="1" fillId="0" borderId="59" xfId="0" applyNumberFormat="1" applyFont="1" applyBorder="1" applyProtection="1"/>
    <xf numFmtId="3" fontId="0" fillId="0" borderId="48" xfId="0" applyNumberFormat="1" applyFont="1" applyBorder="1" applyProtection="1"/>
    <xf numFmtId="0" fontId="0" fillId="0" borderId="59" xfId="0" applyFill="1" applyBorder="1"/>
    <xf numFmtId="0" fontId="0" fillId="0" borderId="58" xfId="0" applyFill="1" applyBorder="1"/>
    <xf numFmtId="165" fontId="1" fillId="0" borderId="78" xfId="1" applyNumberFormat="1" applyFont="1" applyFill="1" applyBorder="1" applyProtection="1"/>
    <xf numFmtId="166" fontId="0" fillId="0" borderId="0" xfId="8" applyNumberFormat="1" applyFont="1"/>
    <xf numFmtId="0" fontId="116" fillId="40" borderId="421" xfId="8201" applyFont="1" applyFill="1" applyBorder="1" applyAlignment="1" applyProtection="1">
      <alignment horizontal="left" vertical="center" indent="1"/>
      <protection locked="0"/>
    </xf>
    <xf numFmtId="0" fontId="116" fillId="40" borderId="421" xfId="8201" applyFont="1" applyFill="1" applyBorder="1" applyAlignment="1" applyProtection="1">
      <alignment horizontal="left" vertical="center" indent="1"/>
      <protection locked="0"/>
    </xf>
    <xf numFmtId="169" fontId="0" fillId="0" borderId="201" xfId="0" applyNumberFormat="1" applyBorder="1" applyAlignment="1">
      <alignment horizontal="right"/>
    </xf>
    <xf numFmtId="44" fontId="114" fillId="48" borderId="419" xfId="8202" applyFont="1" applyFill="1" applyBorder="1" applyAlignment="1" applyProtection="1">
      <alignment horizontal="center" vertical="center"/>
      <protection hidden="1"/>
    </xf>
    <xf numFmtId="169" fontId="116" fillId="40" borderId="26" xfId="0" applyNumberFormat="1" applyFont="1" applyFill="1" applyBorder="1" applyAlignment="1">
      <alignment horizontal="right"/>
    </xf>
    <xf numFmtId="0" fontId="116" fillId="40" borderId="421" xfId="8201" applyFont="1" applyFill="1" applyBorder="1" applyAlignment="1" applyProtection="1">
      <alignment horizontal="left" vertical="center" indent="1"/>
      <protection locked="0"/>
    </xf>
    <xf numFmtId="169" fontId="116" fillId="40" borderId="26" xfId="0" applyNumberFormat="1" applyFont="1" applyFill="1" applyBorder="1" applyAlignment="1">
      <alignment horizontal="right"/>
    </xf>
    <xf numFmtId="0" fontId="0" fillId="0" borderId="0" xfId="0"/>
    <xf numFmtId="0" fontId="13" fillId="0" borderId="0" xfId="0" applyFont="1" applyAlignment="1">
      <alignment horizontal="right" wrapText="1"/>
    </xf>
    <xf numFmtId="169" fontId="0" fillId="0" borderId="201" xfId="0" applyNumberFormat="1" applyBorder="1" applyAlignment="1">
      <alignment horizontal="right"/>
    </xf>
    <xf numFmtId="169" fontId="114" fillId="48" borderId="421" xfId="8202" applyNumberFormat="1" applyFont="1" applyFill="1" applyBorder="1" applyAlignment="1" applyProtection="1">
      <alignment horizontal="center" vertical="center"/>
      <protection hidden="1"/>
    </xf>
    <xf numFmtId="169" fontId="114" fillId="40" borderId="421" xfId="0" applyNumberFormat="1" applyFont="1" applyFill="1" applyBorder="1" applyAlignment="1">
      <alignment horizontal="right"/>
    </xf>
    <xf numFmtId="169" fontId="0" fillId="0" borderId="201" xfId="0" applyNumberFormat="1" applyBorder="1" applyAlignment="1">
      <alignment horizontal="right"/>
    </xf>
    <xf numFmtId="0" fontId="0" fillId="0" borderId="0" xfId="0"/>
    <xf numFmtId="0" fontId="13" fillId="0" borderId="0" xfId="0" applyFont="1" applyAlignment="1">
      <alignment horizontal="right" wrapText="1"/>
    </xf>
    <xf numFmtId="169" fontId="0" fillId="0" borderId="201" xfId="0" applyNumberFormat="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0" fillId="0" borderId="0" xfId="0"/>
    <xf numFmtId="0" fontId="13" fillId="0" borderId="0" xfId="0" applyFont="1" applyAlignment="1">
      <alignment horizontal="right" wrapText="1"/>
    </xf>
    <xf numFmtId="0" fontId="116" fillId="40" borderId="421" xfId="8201" applyFont="1" applyFill="1" applyBorder="1" applyAlignment="1" applyProtection="1">
      <alignment horizontal="left" vertical="center" indent="1"/>
      <protection locked="0"/>
    </xf>
    <xf numFmtId="169" fontId="0" fillId="0" borderId="201" xfId="0" applyNumberFormat="1" applyBorder="1" applyAlignment="1">
      <alignment horizontal="right"/>
    </xf>
    <xf numFmtId="169" fontId="116" fillId="40" borderId="80" xfId="0" applyNumberFormat="1" applyFont="1" applyFill="1" applyBorder="1" applyAlignment="1">
      <alignment horizontal="right"/>
    </xf>
    <xf numFmtId="169" fontId="114" fillId="48" borderId="421" xfId="8202" applyNumberFormat="1" applyFont="1" applyFill="1" applyBorder="1" applyAlignment="1" applyProtection="1">
      <alignment horizontal="center" vertical="center"/>
      <protection hidden="1"/>
    </xf>
    <xf numFmtId="0" fontId="114" fillId="48" borderId="421" xfId="8206" applyFont="1" applyFill="1" applyBorder="1" applyAlignment="1" applyProtection="1">
      <alignment vertical="center"/>
      <protection hidden="1"/>
    </xf>
    <xf numFmtId="169" fontId="0" fillId="0" borderId="457" xfId="0" applyNumberFormat="1" applyBorder="1" applyAlignment="1">
      <alignment horizontal="right"/>
    </xf>
    <xf numFmtId="169" fontId="116" fillId="40" borderId="421" xfId="0" applyNumberFormat="1" applyFont="1" applyFill="1" applyBorder="1" applyAlignment="1">
      <alignment horizontal="right"/>
    </xf>
    <xf numFmtId="169" fontId="0" fillId="0" borderId="201" xfId="0" applyNumberFormat="1" applyBorder="1" applyAlignment="1">
      <alignment horizontal="right"/>
    </xf>
    <xf numFmtId="0" fontId="0" fillId="0" borderId="0" xfId="0" applyAlignment="1">
      <alignment wrapText="1"/>
    </xf>
    <xf numFmtId="0" fontId="0" fillId="0" borderId="0" xfId="0" applyAlignment="1">
      <alignment horizontal="center"/>
    </xf>
    <xf numFmtId="0" fontId="0" fillId="0" borderId="0" xfId="0" applyFill="1"/>
    <xf numFmtId="0" fontId="0" fillId="0" borderId="0" xfId="0" applyFont="1" applyFill="1"/>
    <xf numFmtId="0" fontId="0" fillId="0" borderId="0" xfId="0" applyAlignment="1">
      <alignment horizontal="center" vertical="center"/>
    </xf>
    <xf numFmtId="0" fontId="116" fillId="40" borderId="421" xfId="8201" applyFont="1" applyFill="1" applyBorder="1" applyAlignment="1" applyProtection="1">
      <alignment horizontal="left" vertical="center" indent="1"/>
      <protection locked="0"/>
    </xf>
    <xf numFmtId="169" fontId="57" fillId="40" borderId="421" xfId="28" applyNumberFormat="1" applyFill="1" applyBorder="1" applyAlignment="1">
      <alignment horizontal="right"/>
    </xf>
    <xf numFmtId="169" fontId="57" fillId="40" borderId="26" xfId="28" applyNumberFormat="1" applyFill="1" applyBorder="1" applyAlignment="1">
      <alignment horizontal="right"/>
    </xf>
    <xf numFmtId="169" fontId="57" fillId="40" borderId="201" xfId="28" applyNumberFormat="1" applyFill="1" applyBorder="1" applyAlignment="1">
      <alignment horizontal="right"/>
    </xf>
    <xf numFmtId="169" fontId="116" fillId="40" borderId="201" xfId="0" applyNumberFormat="1" applyFont="1" applyFill="1" applyBorder="1" applyAlignment="1">
      <alignment horizontal="right"/>
    </xf>
    <xf numFmtId="169" fontId="116" fillId="40" borderId="80" xfId="0" applyNumberFormat="1" applyFont="1" applyFill="1" applyBorder="1" applyAlignment="1">
      <alignment horizontal="right"/>
    </xf>
    <xf numFmtId="5" fontId="0" fillId="0" borderId="0" xfId="0" applyNumberFormat="1" applyFill="1" applyBorder="1"/>
    <xf numFmtId="0" fontId="126" fillId="0" borderId="0" xfId="0" applyFont="1" applyFill="1" applyBorder="1" applyAlignment="1">
      <alignment horizontal="left" vertical="top"/>
    </xf>
    <xf numFmtId="164" fontId="126" fillId="0" borderId="0" xfId="1" applyNumberFormat="1" applyFont="1" applyFill="1" applyBorder="1" applyAlignment="1">
      <alignment horizontal="right" vertical="top" wrapText="1"/>
    </xf>
    <xf numFmtId="5" fontId="126" fillId="0" borderId="0" xfId="1" applyNumberFormat="1" applyFont="1" applyFill="1" applyBorder="1" applyAlignment="1">
      <alignment vertical="top" wrapText="1"/>
    </xf>
    <xf numFmtId="5" fontId="0" fillId="0" borderId="0" xfId="0" applyNumberFormat="1" applyFill="1" applyBorder="1" applyAlignment="1">
      <alignment horizontal="right"/>
    </xf>
    <xf numFmtId="0" fontId="38" fillId="0" borderId="0" xfId="0" applyFont="1" applyFill="1" applyBorder="1"/>
    <xf numFmtId="0" fontId="125" fillId="0" borderId="0" xfId="0" applyFont="1" applyFill="1" applyBorder="1" applyAlignment="1">
      <alignment horizontal="center" vertical="top"/>
    </xf>
    <xf numFmtId="0" fontId="125" fillId="0" borderId="0" xfId="0" applyFont="1" applyFill="1" applyBorder="1" applyAlignment="1">
      <alignment horizontal="right" vertical="top"/>
    </xf>
    <xf numFmtId="0" fontId="0" fillId="0" borderId="0" xfId="0" applyFill="1" applyBorder="1" applyAlignment="1">
      <alignment horizontal="left" vertical="top"/>
    </xf>
    <xf numFmtId="164" fontId="0" fillId="0" borderId="0" xfId="1" applyNumberFormat="1" applyFont="1" applyFill="1" applyBorder="1" applyAlignment="1">
      <alignment horizontal="right" vertical="top"/>
    </xf>
    <xf numFmtId="164" fontId="0" fillId="0" borderId="0" xfId="0" applyNumberFormat="1" applyFill="1" applyBorder="1" applyAlignment="1">
      <alignment horizontal="right" vertical="top"/>
    </xf>
    <xf numFmtId="9" fontId="0" fillId="0" borderId="0" xfId="8" applyFont="1" applyFill="1" applyBorder="1"/>
    <xf numFmtId="5" fontId="0" fillId="0" borderId="0" xfId="1" applyNumberFormat="1" applyFont="1" applyFill="1" applyBorder="1"/>
    <xf numFmtId="164" fontId="0" fillId="0" borderId="0" xfId="0" applyNumberFormat="1" applyFill="1" applyBorder="1" applyAlignment="1">
      <alignment horizontal="right"/>
    </xf>
    <xf numFmtId="164" fontId="0" fillId="0" borderId="0" xfId="1" applyNumberFormat="1" applyFont="1" applyFill="1" applyBorder="1" applyAlignment="1">
      <alignment horizontal="right" wrapText="1"/>
    </xf>
    <xf numFmtId="164" fontId="126" fillId="0" borderId="0" xfId="1" applyNumberFormat="1" applyFont="1" applyFill="1" applyBorder="1" applyAlignment="1">
      <alignment horizontal="right" vertical="top"/>
    </xf>
    <xf numFmtId="5" fontId="126" fillId="0" borderId="0" xfId="1" applyNumberFormat="1" applyFont="1" applyFill="1" applyBorder="1" applyAlignment="1">
      <alignment horizontal="center" vertical="top"/>
    </xf>
    <xf numFmtId="5" fontId="0" fillId="0" borderId="0" xfId="1" applyNumberFormat="1" applyFont="1" applyFill="1" applyBorder="1" applyAlignment="1">
      <alignment horizontal="right" vertical="top"/>
    </xf>
    <xf numFmtId="5" fontId="0" fillId="0" borderId="0" xfId="1" applyNumberFormat="1" applyFont="1" applyFill="1" applyBorder="1" applyAlignment="1">
      <alignment horizontal="right"/>
    </xf>
    <xf numFmtId="5" fontId="126" fillId="0" borderId="0" xfId="1" applyNumberFormat="1" applyFont="1" applyFill="1" applyBorder="1" applyAlignment="1">
      <alignment horizontal="right" vertical="top"/>
    </xf>
    <xf numFmtId="165" fontId="125" fillId="0" borderId="0" xfId="1" applyNumberFormat="1" applyFont="1" applyFill="1" applyBorder="1" applyAlignment="1">
      <alignment vertical="top" wrapText="1"/>
    </xf>
    <xf numFmtId="5" fontId="125" fillId="0" borderId="0" xfId="1" applyNumberFormat="1" applyFont="1" applyFill="1" applyBorder="1" applyAlignment="1">
      <alignment horizontal="right" vertical="top" wrapText="1"/>
    </xf>
    <xf numFmtId="9" fontId="0" fillId="0" borderId="0" xfId="8" quotePrefix="1" applyFont="1" applyBorder="1" applyAlignment="1">
      <alignment horizontal="right"/>
    </xf>
    <xf numFmtId="9" fontId="0" fillId="0" borderId="0" xfId="8" applyFont="1" applyBorder="1" applyAlignment="1">
      <alignment horizontal="right"/>
    </xf>
    <xf numFmtId="9" fontId="0" fillId="0" borderId="0" xfId="8" applyFont="1" applyBorder="1"/>
    <xf numFmtId="5" fontId="126" fillId="0" borderId="0" xfId="1" applyNumberFormat="1" applyFont="1" applyFill="1" applyBorder="1" applyAlignment="1">
      <alignment horizontal="right" vertical="top" wrapText="1"/>
    </xf>
    <xf numFmtId="164" fontId="126" fillId="0" borderId="0" xfId="1" applyNumberFormat="1" applyFont="1" applyFill="1" applyBorder="1" applyAlignment="1">
      <alignment vertical="top" wrapText="1"/>
    </xf>
    <xf numFmtId="0" fontId="0" fillId="0" borderId="0" xfId="0" applyBorder="1" applyAlignment="1">
      <alignment horizontal="left" vertical="top"/>
    </xf>
    <xf numFmtId="0" fontId="0" fillId="0" borderId="0" xfId="28" applyFont="1" applyAlignment="1">
      <alignment horizontal="center" vertical="center" wrapText="1"/>
    </xf>
    <xf numFmtId="0" fontId="0" fillId="0" borderId="0" xfId="28" applyFont="1" applyAlignment="1">
      <alignment horizontal="center" wrapText="1"/>
    </xf>
    <xf numFmtId="0" fontId="0" fillId="0" borderId="463" xfId="0" applyBorder="1"/>
    <xf numFmtId="0" fontId="0" fillId="0" borderId="463" xfId="0" applyBorder="1" applyProtection="1"/>
    <xf numFmtId="44" fontId="114" fillId="48" borderId="457" xfId="8202" applyFont="1" applyFill="1" applyBorder="1" applyAlignment="1" applyProtection="1">
      <alignment horizontal="center" vertical="center"/>
      <protection hidden="1"/>
    </xf>
    <xf numFmtId="169" fontId="114" fillId="48" borderId="420" xfId="8202" applyNumberFormat="1" applyFont="1" applyFill="1" applyBorder="1" applyAlignment="1" applyProtection="1">
      <alignment horizontal="right" vertical="center"/>
      <protection hidden="1"/>
    </xf>
    <xf numFmtId="169" fontId="114" fillId="48" borderId="421" xfId="8202" applyNumberFormat="1" applyFont="1" applyFill="1" applyBorder="1" applyAlignment="1" applyProtection="1">
      <alignment horizontal="right" vertical="center"/>
      <protection hidden="1"/>
    </xf>
    <xf numFmtId="42" fontId="0" fillId="0" borderId="48" xfId="0" applyNumberFormat="1" applyFont="1" applyFill="1" applyBorder="1" applyProtection="1"/>
    <xf numFmtId="0" fontId="18" fillId="0" borderId="37" xfId="0" applyFont="1" applyBorder="1" applyAlignment="1">
      <alignment vertical="center" wrapText="1"/>
    </xf>
    <xf numFmtId="0" fontId="18" fillId="0" borderId="0" xfId="0" applyFont="1" applyBorder="1" applyAlignment="1">
      <alignment vertical="center" wrapText="1"/>
    </xf>
    <xf numFmtId="0" fontId="22" fillId="0" borderId="0" xfId="9" applyBorder="1" applyAlignment="1" applyProtection="1">
      <alignment horizontal="center" vertical="center" wrapText="1"/>
    </xf>
    <xf numFmtId="0" fontId="18" fillId="0" borderId="75" xfId="0" applyFont="1" applyBorder="1" applyAlignment="1">
      <alignment horizontal="center" vertical="center" wrapText="1"/>
    </xf>
    <xf numFmtId="0" fontId="18" fillId="0" borderId="37" xfId="0" applyFont="1" applyBorder="1" applyAlignment="1"/>
    <xf numFmtId="0" fontId="18" fillId="0" borderId="32" xfId="0" applyFont="1" applyBorder="1" applyAlignment="1">
      <alignment horizontal="center" wrapText="1"/>
    </xf>
    <xf numFmtId="0" fontId="22" fillId="0" borderId="37" xfId="9" applyBorder="1" applyAlignment="1" applyProtection="1">
      <alignment horizontal="center" wrapText="1"/>
    </xf>
    <xf numFmtId="0" fontId="61" fillId="0" borderId="46" xfId="0" applyFont="1" applyFill="1" applyBorder="1"/>
    <xf numFmtId="0" fontId="65" fillId="0" borderId="46" xfId="0" applyFont="1" applyFill="1" applyBorder="1"/>
    <xf numFmtId="0" fontId="63" fillId="0" borderId="0" xfId="0" applyFont="1" applyAlignment="1">
      <alignment horizontal="center"/>
    </xf>
    <xf numFmtId="0" fontId="0" fillId="0" borderId="0" xfId="0" applyFont="1" applyAlignment="1">
      <alignment horizontal="center" wrapText="1"/>
    </xf>
    <xf numFmtId="1" fontId="0" fillId="0" borderId="0" xfId="0" applyNumberFormat="1" applyFill="1" applyBorder="1" applyAlignment="1">
      <alignment horizontal="center" vertical="center"/>
    </xf>
    <xf numFmtId="0" fontId="22" fillId="0" borderId="459" xfId="9" applyFill="1" applyBorder="1" applyAlignment="1" applyProtection="1">
      <alignment horizontal="center" wrapText="1"/>
    </xf>
    <xf numFmtId="0" fontId="18" fillId="0" borderId="37" xfId="0" applyFont="1" applyBorder="1" applyAlignment="1">
      <alignment horizontal="center" vertical="center" wrapText="1"/>
    </xf>
    <xf numFmtId="0" fontId="18" fillId="0" borderId="0" xfId="0" applyFont="1" applyBorder="1" applyAlignment="1">
      <alignment horizontal="center" vertical="center" wrapText="1"/>
    </xf>
    <xf numFmtId="0" fontId="0" fillId="0" borderId="47" xfId="0" applyBorder="1" applyAlignment="1">
      <alignment horizontal="center"/>
    </xf>
    <xf numFmtId="0" fontId="0" fillId="0" borderId="56" xfId="0" applyBorder="1" applyAlignment="1">
      <alignment horizontal="center"/>
    </xf>
    <xf numFmtId="0" fontId="0" fillId="0" borderId="427" xfId="0" applyBorder="1" applyAlignment="1">
      <alignment horizontal="center"/>
    </xf>
    <xf numFmtId="0" fontId="18" fillId="8" borderId="427" xfId="0" applyFont="1" applyFill="1" applyBorder="1" applyAlignment="1">
      <alignment horizontal="center"/>
    </xf>
    <xf numFmtId="0" fontId="18" fillId="9" borderId="427" xfId="0" applyFont="1" applyFill="1" applyBorder="1" applyAlignment="1">
      <alignment horizontal="center"/>
    </xf>
    <xf numFmtId="0" fontId="0" fillId="0" borderId="60" xfId="0" applyBorder="1" applyAlignment="1">
      <alignment horizontal="center"/>
    </xf>
    <xf numFmtId="0" fontId="0" fillId="0" borderId="201" xfId="0" applyBorder="1" applyAlignment="1">
      <alignment horizontal="center"/>
    </xf>
    <xf numFmtId="0" fontId="0" fillId="0" borderId="463" xfId="0" applyBorder="1" applyAlignment="1">
      <alignment horizontal="center"/>
    </xf>
    <xf numFmtId="3" fontId="66" fillId="10" borderId="464" xfId="0" applyNumberFormat="1" applyFont="1" applyFill="1" applyBorder="1" applyAlignment="1">
      <alignment horizontal="center"/>
    </xf>
    <xf numFmtId="0" fontId="0" fillId="0" borderId="58" xfId="0" applyBorder="1" applyAlignment="1">
      <alignment horizontal="center"/>
    </xf>
    <xf numFmtId="0" fontId="70" fillId="4" borderId="463" xfId="0" applyFont="1" applyFill="1" applyBorder="1" applyAlignment="1">
      <alignment horizontal="left"/>
    </xf>
    <xf numFmtId="3" fontId="18" fillId="11" borderId="427" xfId="0" applyNumberFormat="1" applyFont="1" applyFill="1" applyBorder="1" applyAlignment="1">
      <alignment horizontal="center"/>
    </xf>
    <xf numFmtId="0" fontId="0" fillId="0" borderId="13" xfId="0" applyBorder="1" applyAlignment="1">
      <alignment horizontal="center"/>
    </xf>
    <xf numFmtId="0" fontId="0" fillId="0" borderId="37" xfId="0" applyBorder="1"/>
    <xf numFmtId="0" fontId="63" fillId="0" borderId="47" xfId="0" applyFont="1" applyBorder="1" applyAlignment="1">
      <alignment horizontal="center"/>
    </xf>
    <xf numFmtId="0" fontId="63" fillId="0" borderId="427" xfId="0" applyFont="1" applyBorder="1" applyAlignment="1">
      <alignment horizontal="center"/>
    </xf>
    <xf numFmtId="0" fontId="63" fillId="0" borderId="0" xfId="0" applyFont="1" applyBorder="1" applyAlignment="1">
      <alignment horizontal="center"/>
    </xf>
    <xf numFmtId="0" fontId="128" fillId="8" borderId="420" xfId="0" applyFont="1" applyFill="1" applyBorder="1" applyAlignment="1">
      <alignment horizontal="center"/>
    </xf>
    <xf numFmtId="0" fontId="63" fillId="0" borderId="55" xfId="0" applyFont="1" applyBorder="1" applyAlignment="1">
      <alignment horizontal="center"/>
    </xf>
    <xf numFmtId="0" fontId="63" fillId="0" borderId="43" xfId="0" applyFont="1" applyBorder="1" applyAlignment="1">
      <alignment horizontal="center"/>
    </xf>
    <xf numFmtId="0" fontId="128" fillId="9" borderId="427" xfId="0" applyFont="1" applyFill="1" applyBorder="1" applyAlignment="1">
      <alignment horizontal="center"/>
    </xf>
    <xf numFmtId="0" fontId="63" fillId="0" borderId="60" xfId="0" applyFont="1" applyBorder="1" applyAlignment="1">
      <alignment horizontal="center"/>
    </xf>
    <xf numFmtId="0" fontId="63" fillId="0" borderId="201" xfId="0" applyFont="1" applyBorder="1" applyAlignment="1">
      <alignment horizontal="center"/>
    </xf>
    <xf numFmtId="0" fontId="63" fillId="0" borderId="463" xfId="0" applyFont="1" applyBorder="1" applyAlignment="1">
      <alignment horizontal="center"/>
    </xf>
    <xf numFmtId="3" fontId="129" fillId="10" borderId="464" xfId="0" applyNumberFormat="1" applyFont="1" applyFill="1" applyBorder="1" applyAlignment="1">
      <alignment horizontal="center"/>
    </xf>
    <xf numFmtId="0" fontId="63" fillId="0" borderId="56" xfId="0" applyFont="1" applyBorder="1" applyAlignment="1">
      <alignment horizontal="center"/>
    </xf>
    <xf numFmtId="3" fontId="128" fillId="11" borderId="427" xfId="0" applyNumberFormat="1" applyFont="1" applyFill="1" applyBorder="1" applyAlignment="1">
      <alignment horizontal="center"/>
    </xf>
    <xf numFmtId="49" fontId="0" fillId="0" borderId="47" xfId="0" applyNumberFormat="1" applyFont="1" applyBorder="1" applyAlignment="1">
      <alignment horizontal="center"/>
    </xf>
    <xf numFmtId="0" fontId="0" fillId="0" borderId="50" xfId="0" applyBorder="1" applyAlignment="1">
      <alignment horizontal="center"/>
    </xf>
    <xf numFmtId="0" fontId="58" fillId="4" borderId="463" xfId="0" applyFont="1" applyFill="1" applyBorder="1" applyAlignment="1">
      <alignment horizontal="center"/>
    </xf>
    <xf numFmtId="0" fontId="0" fillId="0" borderId="0" xfId="0" applyFill="1" applyAlignment="1">
      <alignment horizontal="center"/>
    </xf>
    <xf numFmtId="0" fontId="0" fillId="0" borderId="31" xfId="171" applyFont="1" applyFill="1" applyBorder="1" applyAlignment="1">
      <alignment vertical="center" wrapText="1"/>
    </xf>
    <xf numFmtId="0" fontId="0" fillId="0" borderId="31" xfId="171" applyFont="1" applyBorder="1" applyAlignment="1">
      <alignment vertical="center" wrapText="1"/>
    </xf>
    <xf numFmtId="0" fontId="0" fillId="0" borderId="4" xfId="171" applyFont="1" applyBorder="1" applyAlignment="1">
      <alignment vertical="center" wrapText="1"/>
    </xf>
    <xf numFmtId="0" fontId="130" fillId="52" borderId="6" xfId="171" applyFont="1" applyFill="1" applyBorder="1" applyAlignment="1">
      <alignment horizontal="center" vertical="center" wrapText="1"/>
    </xf>
    <xf numFmtId="0" fontId="0" fillId="0" borderId="6" xfId="171" applyFont="1" applyBorder="1" applyAlignment="1">
      <alignment vertical="center" wrapText="1"/>
    </xf>
    <xf numFmtId="0" fontId="6" fillId="0" borderId="0" xfId="155" applyAlignment="1">
      <alignment vertical="center"/>
    </xf>
    <xf numFmtId="0" fontId="0" fillId="0" borderId="0" xfId="0" applyAlignment="1">
      <alignment vertical="center"/>
    </xf>
    <xf numFmtId="165" fontId="25" fillId="13" borderId="19" xfId="1" applyNumberFormat="1" applyFont="1" applyFill="1" applyBorder="1" applyAlignment="1">
      <alignment horizontal="center" wrapText="1"/>
    </xf>
    <xf numFmtId="0" fontId="65" fillId="0" borderId="0" xfId="0" applyFont="1" applyAlignment="1"/>
    <xf numFmtId="165" fontId="0" fillId="0" borderId="0" xfId="5" applyNumberFormat="1" applyFont="1" applyAlignment="1">
      <alignment horizontal="center" wrapText="1"/>
    </xf>
    <xf numFmtId="0" fontId="58" fillId="0" borderId="0" xfId="0" applyFont="1" applyBorder="1" applyAlignment="1">
      <alignment vertical="center"/>
    </xf>
    <xf numFmtId="0" fontId="63" fillId="0" borderId="0" xfId="0" applyFont="1" applyBorder="1" applyAlignment="1">
      <alignment horizontal="center" vertical="top"/>
    </xf>
    <xf numFmtId="0" fontId="63" fillId="0" borderId="0" xfId="0" applyFont="1" applyBorder="1" applyAlignment="1">
      <alignment vertical="top"/>
    </xf>
    <xf numFmtId="0" fontId="131" fillId="0" borderId="0" xfId="156" applyFont="1" applyFill="1" applyBorder="1" applyAlignment="1">
      <alignment horizontal="right" vertical="top" wrapText="1"/>
    </xf>
    <xf numFmtId="172" fontId="63" fillId="0" borderId="0" xfId="7" applyNumberFormat="1" applyFont="1" applyBorder="1" applyAlignment="1">
      <alignment vertical="top"/>
    </xf>
    <xf numFmtId="0" fontId="63" fillId="0" borderId="0" xfId="171" applyFont="1" applyBorder="1" applyAlignment="1">
      <alignment vertical="top" wrapText="1"/>
    </xf>
    <xf numFmtId="0" fontId="63" fillId="0" borderId="0" xfId="171" applyFont="1" applyFill="1" applyBorder="1" applyAlignment="1">
      <alignment vertical="top" wrapText="1"/>
    </xf>
    <xf numFmtId="0" fontId="86" fillId="0" borderId="0" xfId="156" applyFont="1" applyFill="1" applyBorder="1" applyAlignment="1">
      <alignment horizontal="right" vertical="top"/>
    </xf>
    <xf numFmtId="0" fontId="0" fillId="0" borderId="0" xfId="0" applyFont="1" applyAlignment="1">
      <alignment horizontal="center" wrapText="1"/>
    </xf>
    <xf numFmtId="0" fontId="39" fillId="0" borderId="0" xfId="12"/>
    <xf numFmtId="0" fontId="117" fillId="0" borderId="0" xfId="8220" applyFont="1" applyFill="1" applyBorder="1" applyAlignment="1" applyProtection="1">
      <alignment vertical="center"/>
      <protection hidden="1"/>
    </xf>
    <xf numFmtId="0" fontId="114" fillId="0" borderId="0" xfId="8220" applyFill="1" applyBorder="1"/>
    <xf numFmtId="0" fontId="114" fillId="0" borderId="0" xfId="8220" applyFont="1" applyFill="1" applyBorder="1" applyAlignment="1" applyProtection="1">
      <alignment horizontal="center" vertical="center"/>
      <protection hidden="1"/>
    </xf>
    <xf numFmtId="0" fontId="119" fillId="0" borderId="0" xfId="8220" applyFont="1" applyFill="1" applyBorder="1" applyAlignment="1" applyProtection="1">
      <alignment horizontal="center" vertical="center"/>
      <protection hidden="1"/>
    </xf>
    <xf numFmtId="44" fontId="117" fillId="0" borderId="0" xfId="8220" applyNumberFormat="1" applyFont="1" applyFill="1" applyBorder="1" applyAlignment="1" applyProtection="1">
      <alignment horizontal="center" vertical="center"/>
      <protection hidden="1"/>
    </xf>
    <xf numFmtId="0" fontId="117" fillId="0" borderId="0" xfId="8220" applyNumberFormat="1" applyFont="1" applyFill="1" applyBorder="1" applyAlignment="1" applyProtection="1">
      <alignment horizontal="center" vertical="center"/>
      <protection hidden="1"/>
    </xf>
    <xf numFmtId="2" fontId="117" fillId="0" borderId="0" xfId="8220" applyNumberFormat="1" applyFont="1" applyFill="1" applyBorder="1" applyAlignment="1" applyProtection="1">
      <alignment horizontal="center" vertical="center"/>
      <protection hidden="1"/>
    </xf>
    <xf numFmtId="37" fontId="114" fillId="0" borderId="0" xfId="8220" applyNumberFormat="1" applyFont="1" applyFill="1" applyBorder="1" applyAlignment="1" applyProtection="1">
      <alignment horizontal="center" vertical="center"/>
      <protection hidden="1"/>
    </xf>
    <xf numFmtId="37" fontId="116" fillId="0" borderId="0" xfId="8203" applyNumberFormat="1" applyFont="1" applyFill="1" applyBorder="1" applyAlignment="1" applyProtection="1">
      <alignment horizontal="center" vertical="center"/>
      <protection hidden="1"/>
    </xf>
    <xf numFmtId="44" fontId="116" fillId="0" borderId="0" xfId="8202" applyFont="1" applyFill="1" applyBorder="1" applyAlignment="1" applyProtection="1">
      <alignment horizontal="center" vertical="center"/>
      <protection hidden="1"/>
    </xf>
    <xf numFmtId="0" fontId="120" fillId="0" borderId="0" xfId="8202" applyNumberFormat="1" applyFont="1" applyFill="1" applyBorder="1" applyAlignment="1" applyProtection="1">
      <alignment horizontal="center" vertical="center"/>
      <protection locked="0"/>
    </xf>
    <xf numFmtId="2" fontId="116" fillId="0" borderId="0" xfId="8220" applyNumberFormat="1" applyFont="1" applyFill="1" applyBorder="1" applyAlignment="1" applyProtection="1">
      <alignment horizontal="center" vertical="center"/>
      <protection hidden="1"/>
    </xf>
    <xf numFmtId="0" fontId="15" fillId="0" borderId="0" xfId="3"/>
    <xf numFmtId="0" fontId="17" fillId="0" borderId="28" xfId="3" applyFont="1" applyFill="1" applyBorder="1" applyAlignment="1"/>
    <xf numFmtId="3" fontId="42" fillId="0" borderId="427" xfId="22" applyNumberFormat="1" applyFont="1" applyFill="1" applyBorder="1"/>
    <xf numFmtId="0" fontId="45" fillId="3" borderId="81" xfId="12" applyFont="1" applyFill="1" applyBorder="1" applyAlignment="1">
      <alignment horizontal="center" vertical="center" wrapText="1"/>
    </xf>
    <xf numFmtId="0" fontId="6" fillId="0" borderId="0" xfId="17" applyNumberFormat="1" applyFont="1" applyBorder="1" applyAlignment="1" applyProtection="1">
      <alignment horizontal="center" vertical="center" wrapText="1"/>
      <protection locked="0"/>
    </xf>
    <xf numFmtId="0" fontId="25" fillId="0" borderId="13" xfId="0" applyFont="1" applyBorder="1" applyAlignment="1">
      <alignment horizontal="center"/>
    </xf>
    <xf numFmtId="0" fontId="39" fillId="0" borderId="13" xfId="12" applyBorder="1"/>
    <xf numFmtId="165" fontId="35" fillId="0" borderId="0" xfId="1" applyNumberFormat="1" applyFont="1" applyFill="1" applyBorder="1"/>
    <xf numFmtId="180" fontId="35" fillId="0" borderId="28" xfId="18" applyNumberFormat="1" applyFont="1" applyFill="1" applyBorder="1"/>
    <xf numFmtId="0" fontId="0" fillId="0" borderId="0" xfId="17" applyNumberFormat="1" applyFont="1" applyAlignment="1" applyProtection="1">
      <alignment horizontal="center" wrapText="1"/>
      <protection locked="0"/>
    </xf>
    <xf numFmtId="165" fontId="35" fillId="0" borderId="28" xfId="1" applyNumberFormat="1" applyFont="1" applyFill="1" applyBorder="1"/>
    <xf numFmtId="0" fontId="17" fillId="0" borderId="0" xfId="183" applyFont="1" applyFill="1"/>
    <xf numFmtId="0" fontId="12" fillId="0" borderId="0" xfId="183" applyFont="1" applyFill="1" applyAlignment="1">
      <alignment horizontal="left"/>
    </xf>
    <xf numFmtId="0" fontId="12" fillId="0" borderId="0" xfId="183" applyFont="1" applyFill="1" applyAlignment="1">
      <alignment horizontal="left" wrapText="1"/>
    </xf>
    <xf numFmtId="0" fontId="12" fillId="0" borderId="0" xfId="201"/>
    <xf numFmtId="0" fontId="41" fillId="0" borderId="0" xfId="183" applyFont="1" applyAlignment="1">
      <alignment horizontal="right"/>
    </xf>
    <xf numFmtId="0" fontId="41" fillId="0" borderId="0" xfId="183" applyFont="1" applyFill="1" applyBorder="1"/>
    <xf numFmtId="1" fontId="49" fillId="0" borderId="0" xfId="4" applyNumberFormat="1" applyFont="1" applyFill="1" applyBorder="1" applyAlignment="1">
      <alignment horizontal="center"/>
    </xf>
    <xf numFmtId="3" fontId="41" fillId="0" borderId="463" xfId="183" applyNumberFormat="1" applyFont="1" applyBorder="1"/>
    <xf numFmtId="0" fontId="43" fillId="0" borderId="0" xfId="183" applyFont="1" applyBorder="1" applyAlignment="1">
      <alignment horizontal="center"/>
    </xf>
    <xf numFmtId="3" fontId="15" fillId="0" borderId="0" xfId="194" applyNumberFormat="1" applyFill="1" applyBorder="1"/>
    <xf numFmtId="165" fontId="15" fillId="0" borderId="0" xfId="194" applyNumberFormat="1" applyFont="1" applyFill="1" applyBorder="1"/>
    <xf numFmtId="9" fontId="17" fillId="0" borderId="0" xfId="4" applyFont="1" applyFill="1" applyBorder="1"/>
    <xf numFmtId="165" fontId="15" fillId="0" borderId="28" xfId="194" applyNumberFormat="1" applyFont="1" applyFill="1" applyBorder="1"/>
    <xf numFmtId="165" fontId="15" fillId="0" borderId="201" xfId="194" applyNumberFormat="1" applyFont="1" applyFill="1" applyBorder="1"/>
    <xf numFmtId="3" fontId="15" fillId="0" borderId="464" xfId="194" applyNumberFormat="1" applyFont="1" applyFill="1" applyBorder="1"/>
    <xf numFmtId="165" fontId="15" fillId="0" borderId="422" xfId="194" applyNumberFormat="1" applyFont="1" applyFill="1" applyBorder="1"/>
    <xf numFmtId="0" fontId="12" fillId="0" borderId="0" xfId="183" applyFont="1" applyFill="1" applyBorder="1" applyAlignment="1">
      <alignment horizontal="left"/>
    </xf>
    <xf numFmtId="0" fontId="12" fillId="0" borderId="0" xfId="183" applyFont="1" applyFill="1" applyBorder="1"/>
    <xf numFmtId="165" fontId="15" fillId="0" borderId="201" xfId="22" applyNumberFormat="1" applyFont="1" applyFill="1" applyBorder="1"/>
    <xf numFmtId="3" fontId="15" fillId="0" borderId="464" xfId="22" applyNumberFormat="1" applyFont="1" applyFill="1" applyBorder="1"/>
    <xf numFmtId="165" fontId="15" fillId="0" borderId="422" xfId="22" applyNumberFormat="1" applyFont="1" applyFill="1" applyBorder="1"/>
    <xf numFmtId="3" fontId="15" fillId="0" borderId="463" xfId="22" applyNumberFormat="1" applyFont="1" applyFill="1" applyBorder="1"/>
    <xf numFmtId="3" fontId="38" fillId="0" borderId="427" xfId="0" applyNumberFormat="1" applyFont="1" applyBorder="1"/>
    <xf numFmtId="165" fontId="41" fillId="0" borderId="419" xfId="22" applyNumberFormat="1" applyFont="1" applyFill="1" applyBorder="1"/>
    <xf numFmtId="0" fontId="12" fillId="0" borderId="0" xfId="3" applyFont="1"/>
    <xf numFmtId="42" fontId="35" fillId="0" borderId="0" xfId="4" applyNumberFormat="1" applyFont="1" applyFill="1" applyBorder="1"/>
    <xf numFmtId="42" fontId="35" fillId="0" borderId="28" xfId="4" applyNumberFormat="1" applyFont="1" applyFill="1" applyBorder="1"/>
    <xf numFmtId="165" fontId="92" fillId="0" borderId="0" xfId="184" applyNumberFormat="1" applyFill="1" applyBorder="1"/>
    <xf numFmtId="165" fontId="15" fillId="0" borderId="0" xfId="186" quotePrefix="1" applyNumberFormat="1" applyFont="1" applyBorder="1" applyAlignment="1">
      <alignment horizontal="right"/>
    </xf>
    <xf numFmtId="165" fontId="15" fillId="0" borderId="463" xfId="186" applyNumberFormat="1" applyFont="1" applyBorder="1" applyAlignment="1">
      <alignment horizontal="right"/>
    </xf>
    <xf numFmtId="0" fontId="12" fillId="0" borderId="28" xfId="177" applyFont="1" applyBorder="1" applyAlignment="1">
      <alignment horizontal="left" indent="2"/>
    </xf>
    <xf numFmtId="165" fontId="0" fillId="0" borderId="28" xfId="1" applyNumberFormat="1" applyFont="1" applyBorder="1"/>
    <xf numFmtId="165" fontId="42" fillId="2" borderId="468" xfId="22" applyNumberFormat="1" applyFont="1" applyFill="1" applyBorder="1"/>
    <xf numFmtId="165" fontId="42" fillId="2" borderId="467" xfId="22" applyNumberFormat="1" applyFont="1" applyFill="1" applyBorder="1"/>
    <xf numFmtId="180" fontId="37" fillId="0" borderId="0" xfId="3" applyNumberFormat="1" applyFont="1" applyBorder="1"/>
    <xf numFmtId="165" fontId="41" fillId="0" borderId="28" xfId="3" applyNumberFormat="1" applyFont="1" applyBorder="1"/>
    <xf numFmtId="165" fontId="41" fillId="0" borderId="28" xfId="20" applyNumberFormat="1" applyFont="1" applyFill="1" applyBorder="1"/>
    <xf numFmtId="165" fontId="42" fillId="2" borderId="338" xfId="20" applyNumberFormat="1" applyFont="1" applyFill="1" applyBorder="1"/>
    <xf numFmtId="44" fontId="41" fillId="0" borderId="0" xfId="3" applyNumberFormat="1" applyFont="1" applyAlignment="1">
      <alignment horizontal="right"/>
    </xf>
    <xf numFmtId="0" fontId="15" fillId="0" borderId="0" xfId="3"/>
    <xf numFmtId="0" fontId="0" fillId="0" borderId="0" xfId="0" applyFont="1" applyAlignment="1">
      <alignment horizontal="center" wrapText="1"/>
    </xf>
    <xf numFmtId="0" fontId="15" fillId="0" borderId="0" xfId="3"/>
    <xf numFmtId="3" fontId="38" fillId="0" borderId="0" xfId="0" applyNumberFormat="1" applyFont="1"/>
    <xf numFmtId="3" fontId="15" fillId="0" borderId="0" xfId="22" applyNumberFormat="1" applyFont="1" applyFill="1" applyBorder="1"/>
    <xf numFmtId="0" fontId="41" fillId="0" borderId="0" xfId="3" applyFont="1" applyFill="1" applyBorder="1" applyAlignment="1">
      <alignment horizontal="right"/>
    </xf>
    <xf numFmtId="0" fontId="15" fillId="0" borderId="0" xfId="3" applyAlignment="1">
      <alignment horizontal="right" wrapText="1"/>
    </xf>
    <xf numFmtId="165" fontId="42" fillId="2" borderId="470" xfId="22" applyNumberFormat="1" applyFont="1" applyFill="1" applyBorder="1"/>
    <xf numFmtId="165" fontId="41" fillId="0" borderId="28" xfId="1" applyNumberFormat="1" applyFont="1" applyBorder="1"/>
    <xf numFmtId="165" fontId="41" fillId="0" borderId="0" xfId="1" applyNumberFormat="1" applyFont="1" applyBorder="1"/>
    <xf numFmtId="180" fontId="15" fillId="0" borderId="0" xfId="3" applyNumberFormat="1" applyFont="1" applyBorder="1"/>
    <xf numFmtId="9" fontId="35" fillId="0" borderId="0" xfId="4" applyFont="1" applyFill="1" applyBorder="1"/>
    <xf numFmtId="165" fontId="41" fillId="0" borderId="0" xfId="22" applyNumberFormat="1" applyFont="1" applyFill="1" applyBorder="1"/>
    <xf numFmtId="1" fontId="49" fillId="0" borderId="28" xfId="4" applyNumberFormat="1" applyFont="1" applyFill="1" applyBorder="1" applyAlignment="1">
      <alignment horizontal="center"/>
    </xf>
    <xf numFmtId="3" fontId="41" fillId="0" borderId="0" xfId="3" applyNumberFormat="1" applyFont="1"/>
    <xf numFmtId="166" fontId="41" fillId="0" borderId="0" xfId="3" applyNumberFormat="1" applyFont="1" applyFill="1" applyAlignment="1">
      <alignment horizontal="right"/>
    </xf>
    <xf numFmtId="165" fontId="124" fillId="0" borderId="0" xfId="3" applyNumberFormat="1" applyFont="1" applyBorder="1"/>
    <xf numFmtId="165" fontId="124" fillId="0" borderId="28" xfId="3" applyNumberFormat="1" applyFont="1" applyBorder="1"/>
    <xf numFmtId="165" fontId="124" fillId="0" borderId="0" xfId="22" applyNumberFormat="1" applyFont="1" applyFill="1" applyBorder="1"/>
    <xf numFmtId="165" fontId="124" fillId="0" borderId="28" xfId="22" applyNumberFormat="1" applyFont="1" applyFill="1" applyBorder="1"/>
    <xf numFmtId="165" fontId="124" fillId="0" borderId="0" xfId="1" applyNumberFormat="1" applyFont="1" applyBorder="1"/>
    <xf numFmtId="165" fontId="124" fillId="0" borderId="28" xfId="1" applyNumberFormat="1" applyFont="1" applyBorder="1"/>
    <xf numFmtId="42" fontId="124" fillId="0" borderId="28" xfId="3" applyNumberFormat="1" applyFont="1" applyBorder="1"/>
    <xf numFmtId="3" fontId="124" fillId="0" borderId="0" xfId="22" applyNumberFormat="1" applyFont="1" applyFill="1" applyBorder="1"/>
    <xf numFmtId="3" fontId="124" fillId="0" borderId="28" xfId="22" applyNumberFormat="1" applyFont="1" applyFill="1" applyBorder="1"/>
    <xf numFmtId="0" fontId="0" fillId="0" borderId="0" xfId="23" applyNumberFormat="1" applyFont="1" applyAlignment="1" applyProtection="1">
      <alignment horizontal="center" wrapText="1"/>
      <protection locked="0"/>
    </xf>
    <xf numFmtId="165" fontId="124" fillId="0" borderId="0" xfId="3" applyNumberFormat="1" applyFont="1" applyBorder="1" applyAlignment="1">
      <alignment horizontal="center"/>
    </xf>
    <xf numFmtId="165" fontId="124" fillId="0" borderId="28" xfId="3" applyNumberFormat="1" applyFont="1" applyBorder="1" applyAlignment="1">
      <alignment horizontal="center"/>
    </xf>
    <xf numFmtId="42" fontId="135" fillId="0" borderId="0" xfId="4" applyNumberFormat="1" applyFont="1" applyFill="1" applyBorder="1"/>
    <xf numFmtId="42" fontId="135" fillId="0" borderId="28" xfId="4" applyNumberFormat="1" applyFont="1" applyFill="1" applyBorder="1"/>
    <xf numFmtId="165" fontId="135" fillId="0" borderId="0" xfId="1" applyNumberFormat="1" applyFont="1" applyFill="1" applyBorder="1"/>
    <xf numFmtId="165" fontId="135" fillId="0" borderId="28" xfId="1" applyNumberFormat="1" applyFont="1" applyFill="1" applyBorder="1"/>
    <xf numFmtId="165" fontId="135" fillId="0" borderId="0" xfId="3" applyNumberFormat="1" applyFont="1" applyBorder="1"/>
    <xf numFmtId="165" fontId="135" fillId="0" borderId="28" xfId="3" applyNumberFormat="1" applyFont="1" applyBorder="1"/>
    <xf numFmtId="165" fontId="135" fillId="0" borderId="0" xfId="22" applyNumberFormat="1" applyFont="1" applyFill="1" applyBorder="1"/>
    <xf numFmtId="165" fontId="135" fillId="0" borderId="28" xfId="22" applyNumberFormat="1" applyFont="1" applyFill="1" applyBorder="1"/>
    <xf numFmtId="3" fontId="134" fillId="0" borderId="0" xfId="194" applyNumberFormat="1" applyFont="1" applyFill="1" applyBorder="1"/>
    <xf numFmtId="0" fontId="45" fillId="3" borderId="3" xfId="12" applyFont="1" applyFill="1" applyBorder="1" applyAlignment="1">
      <alignment horizontal="center" vertical="center" wrapText="1"/>
    </xf>
    <xf numFmtId="0" fontId="116" fillId="40" borderId="418" xfId="54572" applyFont="1" applyFill="1" applyBorder="1" applyAlignment="1" applyProtection="1">
      <alignment horizontal="left" vertical="center" indent="1"/>
      <protection locked="0"/>
    </xf>
    <xf numFmtId="0" fontId="116" fillId="40" borderId="343" xfId="5458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12" borderId="343" xfId="54573" applyFont="1" applyFill="1" applyBorder="1" applyAlignment="1" applyProtection="1">
      <alignment horizontal="center" vertical="center"/>
      <protection hidden="1"/>
    </xf>
    <xf numFmtId="0" fontId="116" fillId="40" borderId="343" xfId="54634" applyFont="1" applyFill="1" applyBorder="1" applyAlignment="1" applyProtection="1">
      <alignment horizontal="center" vertical="center"/>
      <protection locked="0"/>
    </xf>
    <xf numFmtId="0" fontId="116" fillId="12" borderId="343" xfId="54634"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0" fontId="116" fillId="40" borderId="343" xfId="54583" applyFont="1" applyFill="1" applyBorder="1" applyAlignment="1" applyProtection="1">
      <alignment horizontal="center" vertical="center"/>
      <protection locked="0"/>
    </xf>
    <xf numFmtId="0" fontId="120" fillId="40" borderId="343" xfId="54583" applyFont="1" applyFill="1" applyBorder="1" applyAlignment="1" applyProtection="1">
      <alignment horizontal="center" vertical="center"/>
      <protection locked="0"/>
    </xf>
    <xf numFmtId="0" fontId="120" fillId="52" borderId="343" xfId="54583" applyFont="1" applyFill="1" applyBorder="1" applyAlignment="1" applyProtection="1">
      <alignment horizontal="center" vertical="center"/>
      <protection hidden="1"/>
    </xf>
    <xf numFmtId="37" fontId="116" fillId="12" borderId="343" xfId="8203" applyNumberFormat="1" applyFont="1" applyFill="1" applyBorder="1" applyAlignment="1" applyProtection="1">
      <alignment horizontal="center" vertical="center"/>
      <protection hidden="1"/>
    </xf>
    <xf numFmtId="37" fontId="116" fillId="52" borderId="343" xfId="8203" applyNumberFormat="1" applyFont="1" applyFill="1" applyBorder="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0" fontId="119" fillId="40" borderId="0" xfId="54575" applyFont="1" applyFill="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17" fillId="47" borderId="0" xfId="54575" applyNumberFormat="1" applyFont="1" applyFill="1" applyAlignment="1" applyProtection="1">
      <alignment horizontal="center" vertical="center"/>
      <protection hidden="1"/>
    </xf>
    <xf numFmtId="0" fontId="114" fillId="54" borderId="0" xfId="54575" applyFill="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10" fontId="116" fillId="12" borderId="343" xfId="8204" applyNumberFormat="1" applyFont="1" applyFill="1" applyBorder="1" applyAlignment="1" applyProtection="1">
      <alignment horizontal="center" vertical="center"/>
      <protection hidden="1"/>
    </xf>
    <xf numFmtId="8" fontId="120" fillId="40" borderId="343" xfId="8202" applyNumberFormat="1" applyFont="1" applyFill="1" applyBorder="1" applyAlignment="1" applyProtection="1">
      <alignment horizontal="center" vertical="center"/>
      <protection locked="0"/>
    </xf>
    <xf numFmtId="0" fontId="116" fillId="40" borderId="343" xfId="54636"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581"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0" fontId="120" fillId="40" borderId="343" xfId="54581"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37" fontId="116" fillId="12" borderId="343" xfId="8203" applyNumberFormat="1" applyFont="1" applyFill="1" applyBorder="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7" fillId="39" borderId="0" xfId="8220" applyFont="1" applyFill="1" applyAlignment="1" applyProtection="1">
      <alignment horizontal="left" vertical="center" indent="2"/>
      <protection hidden="1"/>
    </xf>
    <xf numFmtId="44" fontId="0" fillId="0" borderId="0" xfId="1" applyFont="1"/>
    <xf numFmtId="44" fontId="119" fillId="40" borderId="0" xfId="1" applyFont="1" applyFill="1" applyAlignment="1" applyProtection="1">
      <alignment horizontal="center" vertical="center"/>
      <protection hidden="1"/>
    </xf>
    <xf numFmtId="169" fontId="114" fillId="48" borderId="425" xfId="8202" applyNumberFormat="1" applyFont="1" applyFill="1" applyBorder="1" applyAlignment="1" applyProtection="1">
      <alignment horizontal="center" vertical="center"/>
      <protection hidden="1"/>
    </xf>
    <xf numFmtId="44" fontId="120" fillId="40" borderId="303" xfId="1" applyFont="1" applyFill="1" applyBorder="1" applyAlignment="1" applyProtection="1">
      <alignment horizontal="center" vertical="center"/>
      <protection locked="0"/>
    </xf>
    <xf numFmtId="44" fontId="117" fillId="47" borderId="0" xfId="1" applyFont="1" applyFill="1" applyAlignment="1" applyProtection="1">
      <alignment horizontal="center" vertical="center"/>
      <protection hidden="1"/>
    </xf>
    <xf numFmtId="44" fontId="0" fillId="0" borderId="0" xfId="1" applyFont="1" applyAlignment="1">
      <alignment horizontal="center" vertical="center" wrapText="1"/>
    </xf>
    <xf numFmtId="0" fontId="116" fillId="40" borderId="343" xfId="54637"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0" fontId="120" fillId="40" borderId="343" xfId="8203" applyNumberFormat="1" applyFont="1" applyFill="1" applyBorder="1" applyAlignment="1" applyProtection="1">
      <alignment horizontal="center" vertical="center"/>
      <protection locked="0"/>
    </xf>
    <xf numFmtId="0" fontId="116" fillId="40" borderId="343" xfId="54642"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40" borderId="343" xfId="54638" applyFont="1" applyFill="1" applyBorder="1" applyAlignment="1" applyProtection="1">
      <alignment horizontal="center" vertical="center"/>
      <protection locked="0"/>
    </xf>
    <xf numFmtId="0" fontId="116" fillId="40" borderId="343" xfId="5464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44" fontId="114" fillId="0" borderId="0" xfId="1" applyFont="1"/>
    <xf numFmtId="0" fontId="116" fillId="40" borderId="343" xfId="54639" applyFont="1" applyFill="1" applyBorder="1" applyAlignment="1" applyProtection="1">
      <alignment horizontal="center" vertical="center"/>
      <protection locked="0"/>
    </xf>
    <xf numFmtId="0" fontId="116" fillId="40" borderId="343" xfId="54640"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639" applyFont="1" applyFill="1" applyBorder="1" applyAlignment="1" applyProtection="1">
      <alignment horizontal="center" vertical="center" wrapText="1"/>
      <protection locked="0"/>
    </xf>
    <xf numFmtId="0" fontId="117" fillId="39" borderId="0" xfId="8220" applyFont="1" applyFill="1" applyAlignment="1" applyProtection="1">
      <alignment horizontal="left" vertical="center" indent="2"/>
      <protection hidden="1"/>
    </xf>
    <xf numFmtId="0" fontId="116" fillId="40" borderId="343" xfId="54742" applyFont="1" applyFill="1" applyBorder="1" applyAlignment="1" applyProtection="1">
      <alignment horizontal="center" vertical="center"/>
      <protection locked="0"/>
    </xf>
    <xf numFmtId="0" fontId="116" fillId="40" borderId="343" xfId="8220" applyFont="1" applyFill="1" applyBorder="1" applyAlignment="1" applyProtection="1">
      <alignment horizontal="center" vertical="center"/>
      <protection locked="0"/>
    </xf>
    <xf numFmtId="0" fontId="116" fillId="12" borderId="343" xfId="8220" applyFont="1" applyFill="1" applyBorder="1" applyAlignment="1" applyProtection="1">
      <alignment horizontal="center" vertical="center"/>
      <protection hidden="1"/>
    </xf>
    <xf numFmtId="44" fontId="120" fillId="40" borderId="343" xfId="1" applyFont="1" applyFill="1" applyBorder="1" applyAlignment="1" applyProtection="1">
      <alignment horizontal="center" vertical="center"/>
      <protection locked="0"/>
    </xf>
    <xf numFmtId="44" fontId="26" fillId="0" borderId="0" xfId="1" applyFont="1" applyAlignment="1">
      <alignment horizontal="center" vertical="center" wrapText="1"/>
    </xf>
    <xf numFmtId="0" fontId="116" fillId="40" borderId="343" xfId="54733"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742" applyFont="1" applyFill="1" applyBorder="1" applyAlignment="1" applyProtection="1">
      <alignment horizontal="center" vertical="center"/>
    </xf>
    <xf numFmtId="0" fontId="116" fillId="40" borderId="343" xfId="54745" applyFont="1" applyFill="1" applyBorder="1" applyAlignment="1" applyProtection="1">
      <alignment horizontal="center" vertical="center"/>
      <protection locked="0"/>
    </xf>
    <xf numFmtId="0" fontId="120" fillId="40" borderId="343" xfId="54743"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3" fontId="120" fillId="40" borderId="343" xfId="8203" applyNumberFormat="1" applyFont="1" applyFill="1" applyBorder="1" applyAlignment="1" applyProtection="1">
      <alignment horizontal="center" vertical="center"/>
      <protection locked="0"/>
    </xf>
    <xf numFmtId="0" fontId="116" fillId="40" borderId="343" xfId="54735"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187" fontId="120" fillId="40" borderId="343" xfId="8202" applyNumberFormat="1" applyFont="1" applyFill="1" applyBorder="1" applyAlignment="1" applyProtection="1">
      <alignment horizontal="center" vertical="center"/>
      <protection locked="0"/>
    </xf>
    <xf numFmtId="0" fontId="120" fillId="40" borderId="343" xfId="54734"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0" fontId="116" fillId="40" borderId="343" xfId="54747" applyFont="1" applyFill="1" applyBorder="1" applyAlignment="1" applyProtection="1">
      <alignment horizontal="center" vertical="center"/>
      <protection locked="0"/>
    </xf>
    <xf numFmtId="37" fontId="116" fillId="12" borderId="343" xfId="8203" applyNumberFormat="1" applyFont="1" applyFill="1" applyBorder="1" applyAlignment="1" applyProtection="1">
      <alignment horizontal="center" vertical="center"/>
      <protection hidden="1"/>
    </xf>
    <xf numFmtId="0" fontId="116" fillId="40" borderId="343" xfId="54758" applyFont="1" applyFill="1" applyBorder="1" applyAlignment="1" applyProtection="1">
      <alignment horizontal="center" vertical="center"/>
      <protection locked="0"/>
    </xf>
    <xf numFmtId="0" fontId="116" fillId="12" borderId="343" xfId="54758"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20" fillId="52" borderId="343" xfId="8202" applyFont="1" applyFill="1" applyBorder="1" applyAlignment="1" applyProtection="1">
      <alignment horizontal="center" vertical="center"/>
      <protection hidden="1"/>
    </xf>
    <xf numFmtId="0" fontId="120" fillId="40" borderId="343" xfId="54754" applyFont="1" applyFill="1" applyBorder="1" applyAlignment="1" applyProtection="1">
      <alignment horizontal="center" vertical="center"/>
      <protection locked="0"/>
    </xf>
    <xf numFmtId="0" fontId="120" fillId="52" borderId="343" xfId="54754" applyFont="1" applyFill="1" applyBorder="1" applyAlignment="1" applyProtection="1">
      <alignment horizontal="center" vertical="center"/>
      <protection hidden="1"/>
    </xf>
    <xf numFmtId="0" fontId="120" fillId="52" borderId="343" xfId="54749" applyFont="1" applyFill="1" applyBorder="1" applyAlignment="1" applyProtection="1">
      <alignment horizontal="center" vertical="center"/>
      <protection hidden="1"/>
    </xf>
    <xf numFmtId="0" fontId="116" fillId="40" borderId="343" xfId="54750" applyFont="1" applyFill="1" applyBorder="1" applyAlignment="1" applyProtection="1">
      <alignment horizontal="center" vertical="center"/>
      <protection locked="0"/>
    </xf>
    <xf numFmtId="0" fontId="116" fillId="40" borderId="343" xfId="54760"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16" fillId="40" borderId="343" xfId="54761" applyFont="1" applyFill="1" applyBorder="1" applyAlignment="1" applyProtection="1">
      <alignment horizontal="center" vertical="center"/>
      <protection locked="0"/>
    </xf>
    <xf numFmtId="39" fontId="120" fillId="40" borderId="343" xfId="8203" applyNumberFormat="1" applyFont="1" applyFill="1" applyBorder="1" applyAlignment="1" applyProtection="1">
      <alignment horizontal="center" vertical="center"/>
      <protection locked="0"/>
    </xf>
    <xf numFmtId="0" fontId="120" fillId="40" borderId="343" xfId="8202" applyNumberFormat="1" applyFont="1" applyFill="1" applyBorder="1" applyAlignment="1" applyProtection="1">
      <alignment horizontal="center" vertical="center"/>
      <protection locked="0"/>
    </xf>
    <xf numFmtId="0" fontId="116" fillId="40" borderId="343" xfId="54771" applyFont="1" applyFill="1" applyBorder="1" applyAlignment="1" applyProtection="1">
      <alignment horizontal="center" vertical="center"/>
      <protection locked="0"/>
    </xf>
    <xf numFmtId="0" fontId="116" fillId="40" borderId="343" xfId="54762" applyFont="1" applyFill="1" applyBorder="1" applyAlignment="1" applyProtection="1">
      <alignment horizontal="center" vertical="center"/>
      <protection locked="0"/>
    </xf>
    <xf numFmtId="0" fontId="116" fillId="40" borderId="343" xfId="54769" applyFont="1" applyFill="1" applyBorder="1" applyAlignment="1" applyProtection="1">
      <alignment horizontal="center" vertical="center"/>
      <protection locked="0"/>
    </xf>
    <xf numFmtId="0" fontId="116" fillId="40" borderId="343" xfId="54764" applyFont="1" applyFill="1" applyBorder="1" applyAlignment="1" applyProtection="1">
      <alignment horizontal="center" vertical="center"/>
      <protection locked="0"/>
    </xf>
    <xf numFmtId="0" fontId="120" fillId="40" borderId="343" xfId="8203" applyNumberFormat="1" applyFont="1" applyFill="1" applyBorder="1" applyAlignment="1" applyProtection="1">
      <alignment horizontal="center" vertical="center"/>
      <protection locked="0"/>
    </xf>
    <xf numFmtId="0" fontId="116" fillId="40" borderId="343" xfId="54765"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9" fontId="116" fillId="40" borderId="343" xfId="8202"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44" fontId="120" fillId="40" borderId="343" xfId="8202" applyFont="1" applyFill="1" applyBorder="1" applyAlignment="1" applyProtection="1">
      <alignment horizontal="center" vertical="center"/>
      <protection locked="0"/>
    </xf>
    <xf numFmtId="39" fontId="120" fillId="40" borderId="343" xfId="8203" applyNumberFormat="1" applyFont="1" applyFill="1" applyBorder="1" applyAlignment="1" applyProtection="1">
      <alignment horizontal="center" vertical="center"/>
      <protection locked="0"/>
    </xf>
    <xf numFmtId="37" fontId="120" fillId="40" borderId="343" xfId="8203" applyNumberFormat="1" applyFont="1" applyFill="1" applyBorder="1" applyAlignment="1" applyProtection="1">
      <alignment horizontal="center" vertical="center"/>
      <protection locked="0"/>
    </xf>
    <xf numFmtId="0" fontId="120" fillId="40" borderId="343" xfId="54767"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166" fontId="0" fillId="51" borderId="421" xfId="8" applyNumberFormat="1" applyFont="1" applyFill="1" applyBorder="1" applyAlignment="1">
      <alignment horizontal="right"/>
    </xf>
    <xf numFmtId="0" fontId="117" fillId="47" borderId="0" xfId="8220" applyFont="1" applyFill="1" applyBorder="1" applyAlignment="1" applyProtection="1">
      <alignment horizontal="right" vertical="center"/>
      <protection hidden="1"/>
    </xf>
    <xf numFmtId="0" fontId="119" fillId="40" borderId="0" xfId="8220" applyFont="1" applyFill="1" applyBorder="1" applyAlignment="1" applyProtection="1">
      <alignment horizontal="center" vertical="center"/>
      <protection hidden="1"/>
    </xf>
    <xf numFmtId="0" fontId="121" fillId="47" borderId="0" xfId="8220" applyFont="1" applyFill="1" applyBorder="1" applyAlignment="1" applyProtection="1">
      <alignment horizontal="center" vertical="center"/>
      <protection hidden="1"/>
    </xf>
    <xf numFmtId="44" fontId="117" fillId="47" borderId="0" xfId="8220" applyNumberFormat="1" applyFont="1" applyFill="1" applyBorder="1" applyAlignment="1" applyProtection="1">
      <alignment horizontal="center" vertical="center"/>
      <protection hidden="1"/>
    </xf>
    <xf numFmtId="9" fontId="117" fillId="47" borderId="0" xfId="8220" applyNumberFormat="1" applyFont="1" applyFill="1" applyBorder="1" applyAlignment="1" applyProtection="1">
      <alignment horizontal="center" vertical="center"/>
      <protection hidden="1"/>
    </xf>
    <xf numFmtId="0" fontId="117" fillId="47" borderId="0" xfId="8220" applyFont="1" applyFill="1" applyBorder="1" applyAlignment="1" applyProtection="1">
      <alignment horizontal="center" vertical="center"/>
      <protection hidden="1"/>
    </xf>
    <xf numFmtId="0" fontId="114" fillId="46" borderId="0" xfId="8220" applyFont="1" applyFill="1" applyBorder="1" applyAlignment="1" applyProtection="1">
      <alignment horizontal="center" vertical="center"/>
      <protection hidden="1"/>
    </xf>
    <xf numFmtId="37" fontId="117" fillId="47" borderId="0" xfId="8220" applyNumberFormat="1" applyFont="1" applyFill="1" applyBorder="1" applyAlignment="1" applyProtection="1">
      <alignment horizontal="center" vertical="center"/>
      <protection hidden="1"/>
    </xf>
    <xf numFmtId="0" fontId="114" fillId="45" borderId="0" xfId="8220" applyFont="1" applyFill="1" applyBorder="1" applyAlignment="1" applyProtection="1">
      <alignment horizontal="center" vertical="center"/>
      <protection hidden="1"/>
    </xf>
    <xf numFmtId="0" fontId="114" fillId="13" borderId="0" xfId="8220" applyFont="1" applyFill="1" applyBorder="1" applyAlignment="1" applyProtection="1">
      <alignment horizontal="center" vertical="center"/>
      <protection hidden="1"/>
    </xf>
    <xf numFmtId="0" fontId="117" fillId="47" borderId="0" xfId="8220" applyNumberFormat="1" applyFont="1" applyFill="1" applyBorder="1" applyAlignment="1" applyProtection="1">
      <alignment horizontal="center" vertical="center"/>
      <protection hidden="1"/>
    </xf>
    <xf numFmtId="165" fontId="17" fillId="0" borderId="0" xfId="186" applyNumberFormat="1" applyFont="1" applyBorder="1"/>
    <xf numFmtId="165" fontId="17" fillId="0" borderId="28" xfId="186" applyNumberFormat="1" applyFont="1" applyBorder="1"/>
    <xf numFmtId="0" fontId="15" fillId="0" borderId="0" xfId="12" applyFont="1" applyBorder="1" applyAlignment="1">
      <alignment horizontal="left" indent="1"/>
    </xf>
    <xf numFmtId="0" fontId="0" fillId="0" borderId="30" xfId="0" applyFill="1" applyBorder="1"/>
    <xf numFmtId="0" fontId="0" fillId="0" borderId="463" xfId="0" applyFill="1" applyBorder="1"/>
    <xf numFmtId="0" fontId="0" fillId="0" borderId="201" xfId="0" applyFill="1" applyBorder="1"/>
    <xf numFmtId="42" fontId="69" fillId="0" borderId="463" xfId="0" applyNumberFormat="1" applyFont="1" applyBorder="1" applyProtection="1"/>
    <xf numFmtId="0" fontId="0" fillId="0" borderId="51" xfId="0" applyFill="1" applyBorder="1"/>
    <xf numFmtId="10" fontId="116" fillId="0" borderId="0" xfId="8202" applyNumberFormat="1" applyFont="1" applyFill="1" applyBorder="1" applyAlignment="1" applyProtection="1">
      <alignment horizontal="center" vertical="center"/>
      <protection locked="0"/>
    </xf>
    <xf numFmtId="44" fontId="120" fillId="40" borderId="428" xfId="8202" applyFont="1" applyFill="1" applyBorder="1" applyAlignment="1" applyProtection="1">
      <alignment horizontal="center" vertical="center"/>
      <protection locked="0"/>
    </xf>
    <xf numFmtId="44" fontId="116" fillId="12" borderId="428" xfId="8202" applyFont="1" applyFill="1" applyBorder="1" applyAlignment="1" applyProtection="1">
      <alignment horizontal="center" vertical="center"/>
      <protection hidden="1"/>
    </xf>
    <xf numFmtId="10" fontId="116" fillId="40" borderId="428" xfId="8202" applyNumberFormat="1" applyFont="1" applyFill="1" applyBorder="1" applyAlignment="1" applyProtection="1">
      <alignment horizontal="center" vertical="center"/>
      <protection locked="0"/>
    </xf>
    <xf numFmtId="0" fontId="114" fillId="0" borderId="0" xfId="54772"/>
    <xf numFmtId="0" fontId="119" fillId="40" borderId="0" xfId="54772" applyFont="1" applyFill="1" applyAlignment="1" applyProtection="1">
      <alignment horizontal="center" vertical="center"/>
      <protection hidden="1"/>
    </xf>
    <xf numFmtId="44" fontId="116" fillId="12" borderId="343" xfId="8202" applyFont="1" applyFill="1" applyBorder="1" applyAlignment="1" applyProtection="1">
      <alignment horizontal="center" vertical="center"/>
      <protection hidden="1"/>
    </xf>
    <xf numFmtId="44" fontId="120" fillId="40" borderId="343" xfId="8202" applyFont="1" applyFill="1" applyBorder="1" applyAlignment="1" applyProtection="1">
      <alignment horizontal="center" vertical="center"/>
      <protection locked="0"/>
    </xf>
    <xf numFmtId="44" fontId="117" fillId="47" borderId="0" xfId="54772" applyNumberFormat="1" applyFont="1" applyFill="1" applyAlignment="1" applyProtection="1">
      <alignment horizontal="center" vertical="center"/>
      <protection hidden="1"/>
    </xf>
    <xf numFmtId="10" fontId="114" fillId="0" borderId="0" xfId="8204" applyNumberFormat="1" applyFont="1" applyAlignment="1" applyProtection="1">
      <alignment horizontal="center" vertical="center"/>
      <protection hidden="1"/>
    </xf>
    <xf numFmtId="0" fontId="114" fillId="54" borderId="0" xfId="54772" applyFill="1" applyAlignment="1" applyProtection="1">
      <alignment horizontal="center" vertical="center"/>
      <protection hidden="1"/>
    </xf>
    <xf numFmtId="44" fontId="116" fillId="52" borderId="343" xfId="8202" applyFont="1" applyFill="1" applyBorder="1" applyAlignment="1" applyProtection="1">
      <alignment horizontal="center" vertical="center"/>
      <protection hidden="1"/>
    </xf>
    <xf numFmtId="10" fontId="116" fillId="12" borderId="343" xfId="8204" applyNumberFormat="1" applyFont="1" applyFill="1" applyBorder="1" applyAlignment="1" applyProtection="1">
      <alignment horizontal="center" vertical="center"/>
      <protection hidden="1"/>
    </xf>
    <xf numFmtId="10" fontId="116" fillId="40" borderId="343" xfId="8202" applyNumberFormat="1" applyFont="1" applyFill="1" applyBorder="1" applyAlignment="1" applyProtection="1">
      <alignment horizontal="center" vertical="center"/>
      <protection locked="0"/>
    </xf>
    <xf numFmtId="8" fontId="120" fillId="40" borderId="343" xfId="8202" applyNumberFormat="1" applyFont="1" applyFill="1" applyBorder="1" applyAlignment="1" applyProtection="1">
      <alignment horizontal="center" vertical="center"/>
      <protection locked="0"/>
    </xf>
    <xf numFmtId="0" fontId="137" fillId="0" borderId="0" xfId="54772" applyFont="1" applyAlignment="1" applyProtection="1">
      <alignment vertical="center"/>
      <protection hidden="1"/>
    </xf>
    <xf numFmtId="0" fontId="0" fillId="0" borderId="0" xfId="0" applyFont="1" applyFill="1" applyAlignment="1">
      <alignment horizontal="center"/>
    </xf>
    <xf numFmtId="49" fontId="0" fillId="0" borderId="0" xfId="0" applyNumberFormat="1" applyAlignment="1">
      <alignment horizontal="center" wrapText="1"/>
    </xf>
    <xf numFmtId="0" fontId="0" fillId="0" borderId="0" xfId="23" applyNumberFormat="1" applyFont="1" applyAlignment="1" applyProtection="1">
      <alignment horizontal="center" vertical="center" wrapText="1"/>
      <protection locked="0"/>
    </xf>
    <xf numFmtId="0" fontId="0" fillId="0" borderId="0" xfId="0" applyFont="1" applyFill="1" applyAlignment="1">
      <alignment horizontal="center" vertical="center"/>
    </xf>
    <xf numFmtId="49" fontId="0" fillId="0" borderId="0" xfId="0" applyNumberFormat="1" applyAlignment="1">
      <alignment horizontal="center" vertical="center" wrapText="1"/>
    </xf>
    <xf numFmtId="189" fontId="120" fillId="40" borderId="303" xfId="8203" applyNumberFormat="1" applyFont="1" applyFill="1" applyBorder="1" applyAlignment="1" applyProtection="1">
      <alignment horizontal="center" vertical="center"/>
      <protection locked="0"/>
    </xf>
    <xf numFmtId="0" fontId="0" fillId="0" borderId="75" xfId="0" applyFont="1" applyBorder="1"/>
    <xf numFmtId="3" fontId="65" fillId="0" borderId="44" xfId="0" applyNumberFormat="1" applyFont="1" applyFill="1" applyBorder="1" applyAlignment="1">
      <alignment horizontal="center"/>
    </xf>
    <xf numFmtId="0" fontId="0" fillId="0" borderId="46" xfId="0" applyFont="1" applyFill="1" applyBorder="1" applyAlignment="1">
      <alignment horizontal="left"/>
    </xf>
    <xf numFmtId="3" fontId="65" fillId="0" borderId="45" xfId="0" applyNumberFormat="1" applyFont="1" applyFill="1" applyBorder="1" applyProtection="1"/>
    <xf numFmtId="0" fontId="0" fillId="0" borderId="44" xfId="0" applyFont="1" applyBorder="1" applyAlignment="1">
      <alignment horizontal="center"/>
    </xf>
    <xf numFmtId="3" fontId="0" fillId="0" borderId="45" xfId="0" applyNumberFormat="1" applyFont="1" applyFill="1" applyBorder="1" applyProtection="1"/>
    <xf numFmtId="42" fontId="0" fillId="0" borderId="0" xfId="0" applyNumberFormat="1" applyFont="1" applyFill="1" applyBorder="1" applyProtection="1"/>
    <xf numFmtId="0" fontId="138" fillId="0" borderId="75" xfId="0" applyFont="1" applyBorder="1"/>
    <xf numFmtId="0" fontId="139" fillId="0" borderId="43" xfId="0" applyFont="1" applyBorder="1" applyAlignment="1">
      <alignment horizontal="center"/>
    </xf>
    <xf numFmtId="0" fontId="138" fillId="0" borderId="44" xfId="0" applyFont="1" applyBorder="1" applyAlignment="1">
      <alignment horizontal="center"/>
    </xf>
    <xf numFmtId="0" fontId="138" fillId="0" borderId="46" xfId="0" applyFont="1" applyFill="1" applyBorder="1"/>
    <xf numFmtId="3" fontId="138" fillId="0" borderId="45" xfId="0" applyNumberFormat="1" applyFont="1" applyFill="1" applyBorder="1" applyProtection="1"/>
    <xf numFmtId="42" fontId="138" fillId="0" borderId="44" xfId="0" applyNumberFormat="1" applyFont="1" applyFill="1" applyBorder="1" applyProtection="1"/>
    <xf numFmtId="3" fontId="138" fillId="0" borderId="44" xfId="0" applyNumberFormat="1" applyFont="1" applyFill="1" applyBorder="1" applyProtection="1"/>
    <xf numFmtId="165" fontId="138" fillId="0" borderId="76" xfId="1" applyNumberFormat="1" applyFont="1" applyFill="1" applyBorder="1" applyProtection="1"/>
    <xf numFmtId="166" fontId="138" fillId="0" borderId="0" xfId="8" applyNumberFormat="1" applyFont="1"/>
    <xf numFmtId="0" fontId="138" fillId="0" borderId="0" xfId="0" applyFont="1"/>
    <xf numFmtId="0" fontId="138" fillId="0" borderId="45" xfId="0" applyFont="1" applyFill="1" applyBorder="1"/>
    <xf numFmtId="0" fontId="140" fillId="0" borderId="47" xfId="0" applyFont="1" applyFill="1" applyBorder="1"/>
    <xf numFmtId="0" fontId="141" fillId="0" borderId="75" xfId="0" applyFont="1" applyBorder="1"/>
    <xf numFmtId="0" fontId="142" fillId="0" borderId="43" xfId="0" applyFont="1" applyBorder="1" applyAlignment="1">
      <alignment horizontal="center"/>
    </xf>
    <xf numFmtId="0" fontId="141" fillId="0" borderId="44" xfId="0" applyFont="1" applyBorder="1" applyAlignment="1">
      <alignment horizontal="center"/>
    </xf>
    <xf numFmtId="0" fontId="141" fillId="0" borderId="45" xfId="0" applyFont="1" applyFill="1" applyBorder="1"/>
    <xf numFmtId="0" fontId="141" fillId="0" borderId="47" xfId="0" applyFont="1" applyFill="1" applyBorder="1"/>
    <xf numFmtId="0" fontId="141" fillId="0" borderId="46" xfId="0" applyFont="1" applyFill="1" applyBorder="1"/>
    <xf numFmtId="42" fontId="141" fillId="0" borderId="44" xfId="0" applyNumberFormat="1" applyFont="1" applyFill="1" applyBorder="1" applyProtection="1"/>
    <xf numFmtId="165" fontId="141" fillId="0" borderId="76" xfId="1" applyNumberFormat="1" applyFont="1" applyFill="1" applyBorder="1" applyProtection="1"/>
    <xf numFmtId="166" fontId="141" fillId="0" borderId="0" xfId="8" applyNumberFormat="1" applyFont="1"/>
    <xf numFmtId="0" fontId="141" fillId="0" borderId="0" xfId="0" applyFont="1"/>
    <xf numFmtId="0" fontId="0" fillId="0" borderId="28" xfId="0" applyBorder="1" applyAlignment="1">
      <alignment horizontal="center" vertical="center"/>
    </xf>
    <xf numFmtId="0" fontId="140" fillId="0" borderId="75" xfId="0" applyFont="1" applyBorder="1"/>
    <xf numFmtId="0" fontId="140" fillId="0" borderId="44" xfId="0" applyFont="1" applyBorder="1" applyAlignment="1">
      <alignment horizontal="center"/>
    </xf>
    <xf numFmtId="0" fontId="140" fillId="0" borderId="45" xfId="0" applyFont="1" applyFill="1" applyBorder="1"/>
    <xf numFmtId="0" fontId="140" fillId="0" borderId="46" xfId="0" applyFont="1" applyFill="1" applyBorder="1"/>
    <xf numFmtId="37" fontId="140" fillId="0" borderId="45" xfId="0" applyNumberFormat="1" applyFont="1" applyFill="1" applyBorder="1" applyProtection="1"/>
    <xf numFmtId="42" fontId="140" fillId="0" borderId="44" xfId="0" applyNumberFormat="1" applyFont="1" applyFill="1" applyBorder="1" applyProtection="1"/>
    <xf numFmtId="3" fontId="140" fillId="0" borderId="44" xfId="0" applyNumberFormat="1" applyFont="1" applyFill="1" applyBorder="1" applyProtection="1"/>
    <xf numFmtId="165" fontId="140" fillId="0" borderId="76" xfId="1" applyNumberFormat="1" applyFont="1" applyFill="1" applyBorder="1" applyProtection="1"/>
    <xf numFmtId="166" fontId="140" fillId="0" borderId="0" xfId="8" applyNumberFormat="1" applyFont="1"/>
    <xf numFmtId="0" fontId="140" fillId="0" borderId="0" xfId="0" applyFont="1"/>
    <xf numFmtId="0" fontId="140" fillId="0" borderId="44" xfId="0" applyFont="1" applyFill="1" applyBorder="1"/>
    <xf numFmtId="3" fontId="140" fillId="0" borderId="0" xfId="0" applyNumberFormat="1" applyFont="1" applyFill="1" applyProtection="1"/>
    <xf numFmtId="0" fontId="117" fillId="39" borderId="0" xfId="8220" applyFont="1" applyFill="1" applyAlignment="1" applyProtection="1">
      <alignment horizontal="left" vertical="center" indent="2"/>
      <protection hidden="1"/>
    </xf>
    <xf numFmtId="0" fontId="0" fillId="0" borderId="0" xfId="0" applyFont="1" applyAlignment="1">
      <alignment horizontal="center" wrapText="1"/>
    </xf>
    <xf numFmtId="0" fontId="38" fillId="0" borderId="0" xfId="0" applyFont="1" applyFill="1" applyAlignment="1">
      <alignment horizontal="center"/>
    </xf>
    <xf numFmtId="0" fontId="38" fillId="0" borderId="0" xfId="0" applyFont="1" applyFill="1" applyAlignment="1">
      <alignment horizontal="right"/>
    </xf>
    <xf numFmtId="0" fontId="0" fillId="0" borderId="0" xfId="0" applyFont="1" applyFill="1" applyBorder="1"/>
    <xf numFmtId="165" fontId="6" fillId="0" borderId="0" xfId="1" applyNumberFormat="1" applyFont="1" applyFill="1" applyBorder="1"/>
    <xf numFmtId="172" fontId="6" fillId="0" borderId="0" xfId="7" applyNumberFormat="1" applyFont="1" applyFill="1" applyBorder="1"/>
    <xf numFmtId="0" fontId="22" fillId="0" borderId="0" xfId="9" applyAlignment="1" applyProtection="1">
      <alignment horizontal="center"/>
    </xf>
    <xf numFmtId="42" fontId="1" fillId="0" borderId="463" xfId="0" applyNumberFormat="1" applyFont="1" applyBorder="1" applyProtection="1"/>
    <xf numFmtId="186" fontId="1" fillId="0" borderId="0" xfId="0" applyNumberFormat="1" applyFont="1" applyFill="1" applyBorder="1" applyAlignment="1" applyProtection="1">
      <alignment vertical="center"/>
    </xf>
    <xf numFmtId="0" fontId="145" fillId="0" borderId="0" xfId="0" applyFont="1"/>
    <xf numFmtId="0" fontId="146" fillId="0" borderId="0" xfId="0" applyFont="1"/>
    <xf numFmtId="3" fontId="15" fillId="0" borderId="0" xfId="194" applyNumberFormat="1" applyFont="1" applyFill="1" applyBorder="1"/>
    <xf numFmtId="7" fontId="26" fillId="0" borderId="11" xfId="1" applyNumberFormat="1" applyFont="1" applyBorder="1"/>
    <xf numFmtId="7" fontId="26" fillId="0" borderId="0" xfId="1" applyNumberFormat="1" applyFont="1" applyBorder="1"/>
    <xf numFmtId="7" fontId="25" fillId="0" borderId="0" xfId="0" applyNumberFormat="1" applyFont="1" applyBorder="1"/>
    <xf numFmtId="0" fontId="147" fillId="0" borderId="0" xfId="0" applyFont="1"/>
    <xf numFmtId="0" fontId="148" fillId="0" borderId="0" xfId="28" applyFont="1" applyAlignment="1">
      <alignment horizontal="left"/>
    </xf>
    <xf numFmtId="182" fontId="63" fillId="0" borderId="0" xfId="1" applyNumberFormat="1" applyFont="1" applyBorder="1" applyAlignment="1"/>
    <xf numFmtId="182" fontId="149" fillId="0" borderId="0" xfId="1" applyNumberFormat="1" applyFont="1" applyBorder="1" applyAlignment="1"/>
    <xf numFmtId="0" fontId="0" fillId="0" borderId="0" xfId="0" applyFont="1" applyFill="1" applyBorder="1" applyAlignment="1">
      <alignment horizontal="center" vertical="center"/>
    </xf>
    <xf numFmtId="0" fontId="17" fillId="0" borderId="0" xfId="0" applyFont="1" applyFill="1" applyBorder="1" applyAlignment="1">
      <alignment vertical="center"/>
    </xf>
    <xf numFmtId="0" fontId="150" fillId="10" borderId="37" xfId="0" applyFont="1" applyFill="1" applyBorder="1" applyAlignment="1">
      <alignment horizontal="center"/>
    </xf>
    <xf numFmtId="0" fontId="150" fillId="10" borderId="463" xfId="0" applyFont="1" applyFill="1" applyBorder="1" applyAlignment="1">
      <alignment horizontal="center"/>
    </xf>
    <xf numFmtId="0" fontId="0" fillId="52" borderId="0" xfId="0" applyFill="1"/>
    <xf numFmtId="0" fontId="0" fillId="12" borderId="36" xfId="0" applyFill="1" applyBorder="1" applyAlignment="1">
      <alignment horizontal="center"/>
    </xf>
    <xf numFmtId="0" fontId="0" fillId="12" borderId="228" xfId="0" applyFill="1" applyBorder="1" applyAlignment="1">
      <alignment horizontal="center"/>
    </xf>
    <xf numFmtId="0" fontId="0" fillId="12" borderId="428" xfId="0" applyFill="1" applyBorder="1" applyAlignment="1">
      <alignment horizontal="center"/>
    </xf>
    <xf numFmtId="191" fontId="0" fillId="12" borderId="428" xfId="0" applyNumberFormat="1" applyFill="1" applyBorder="1" applyAlignment="1">
      <alignment horizontal="center"/>
    </xf>
    <xf numFmtId="0" fontId="0" fillId="12" borderId="0" xfId="0" applyFill="1" applyBorder="1" applyAlignment="1">
      <alignment horizontal="center"/>
    </xf>
    <xf numFmtId="0" fontId="0" fillId="12" borderId="28" xfId="0" applyFill="1" applyBorder="1" applyAlignment="1">
      <alignment horizontal="center"/>
    </xf>
    <xf numFmtId="0" fontId="0" fillId="12" borderId="75" xfId="0" applyFill="1" applyBorder="1" applyAlignment="1">
      <alignment horizontal="center"/>
    </xf>
    <xf numFmtId="0" fontId="38" fillId="12" borderId="53" xfId="0" applyFont="1" applyFill="1" applyBorder="1" applyAlignment="1">
      <alignment horizontal="center"/>
    </xf>
    <xf numFmtId="0" fontId="38" fillId="12" borderId="201" xfId="0" applyFont="1" applyFill="1" applyBorder="1" applyAlignment="1">
      <alignment horizontal="center" wrapText="1"/>
    </xf>
    <xf numFmtId="0" fontId="38" fillId="12" borderId="12" xfId="0" applyFont="1" applyFill="1" applyBorder="1" applyAlignment="1">
      <alignment horizontal="center"/>
    </xf>
    <xf numFmtId="191" fontId="38" fillId="12" borderId="12" xfId="0" applyNumberFormat="1" applyFont="1" applyFill="1" applyBorder="1" applyAlignment="1">
      <alignment horizontal="center"/>
    </xf>
    <xf numFmtId="0" fontId="38" fillId="12" borderId="80" xfId="0" applyFont="1" applyFill="1" applyBorder="1" applyAlignment="1">
      <alignment horizontal="center"/>
    </xf>
    <xf numFmtId="0" fontId="38" fillId="52" borderId="0" xfId="0" applyFont="1" applyFill="1"/>
    <xf numFmtId="0" fontId="0" fillId="0" borderId="11" xfId="0" applyFont="1" applyBorder="1"/>
    <xf numFmtId="0" fontId="0" fillId="0" borderId="0" xfId="0" applyFont="1" applyBorder="1"/>
    <xf numFmtId="0" fontId="0" fillId="0" borderId="28" xfId="0" applyFont="1" applyBorder="1"/>
    <xf numFmtId="0" fontId="0" fillId="52" borderId="0" xfId="0" applyFont="1" applyFill="1"/>
    <xf numFmtId="0" fontId="0" fillId="0" borderId="475" xfId="0" applyBorder="1" applyAlignment="1">
      <alignment horizontal="center"/>
    </xf>
    <xf numFmtId="0" fontId="0" fillId="0" borderId="476" xfId="0" applyBorder="1" applyAlignment="1">
      <alignment horizontal="center"/>
    </xf>
    <xf numFmtId="0" fontId="0" fillId="0" borderId="477" xfId="0" applyBorder="1"/>
    <xf numFmtId="191" fontId="0" fillId="0" borderId="477" xfId="0" applyNumberFormat="1" applyBorder="1" applyAlignment="1">
      <alignment horizontal="center"/>
    </xf>
    <xf numFmtId="0" fontId="0" fillId="0" borderId="472" xfId="0" applyBorder="1"/>
    <xf numFmtId="0" fontId="0" fillId="0" borderId="476" xfId="0" applyBorder="1"/>
    <xf numFmtId="0" fontId="0" fillId="52" borderId="0" xfId="0" applyFill="1" applyAlignment="1">
      <alignment horizontal="center"/>
    </xf>
    <xf numFmtId="3" fontId="0" fillId="12" borderId="428" xfId="0" applyNumberFormat="1" applyFill="1" applyBorder="1" applyAlignment="1">
      <alignment horizontal="center"/>
    </xf>
    <xf numFmtId="3" fontId="38" fillId="12" borderId="12" xfId="0" applyNumberFormat="1" applyFont="1" applyFill="1" applyBorder="1" applyAlignment="1">
      <alignment horizontal="center"/>
    </xf>
    <xf numFmtId="3" fontId="0" fillId="0" borderId="477" xfId="0" applyNumberFormat="1" applyBorder="1" applyAlignment="1">
      <alignment horizontal="center"/>
    </xf>
    <xf numFmtId="3" fontId="0" fillId="52" borderId="0" xfId="0" applyNumberFormat="1" applyFill="1" applyAlignment="1">
      <alignment horizontal="center"/>
    </xf>
    <xf numFmtId="0" fontId="63" fillId="0" borderId="0" xfId="0" applyFont="1"/>
    <xf numFmtId="165" fontId="1" fillId="0" borderId="75" xfId="1" applyNumberFormat="1" applyFont="1" applyFill="1" applyBorder="1" applyProtection="1"/>
    <xf numFmtId="165" fontId="1" fillId="0" borderId="44" xfId="1" applyNumberFormat="1" applyFont="1" applyBorder="1" applyProtection="1"/>
    <xf numFmtId="0" fontId="156" fillId="0" borderId="47" xfId="0" applyFont="1" applyFill="1" applyBorder="1"/>
    <xf numFmtId="3" fontId="0" fillId="0" borderId="0" xfId="0" applyNumberFormat="1" applyFont="1" applyFill="1" applyBorder="1" applyProtection="1"/>
    <xf numFmtId="165" fontId="0" fillId="0" borderId="75" xfId="1" applyNumberFormat="1" applyFont="1" applyFill="1" applyBorder="1" applyProtection="1"/>
    <xf numFmtId="0" fontId="0" fillId="0" borderId="40" xfId="0" applyFont="1" applyFill="1" applyBorder="1"/>
    <xf numFmtId="165" fontId="6" fillId="0" borderId="78" xfId="1" applyNumberFormat="1" applyFont="1" applyFill="1" applyBorder="1" applyProtection="1"/>
    <xf numFmtId="42" fontId="1" fillId="0" borderId="52" xfId="0" applyNumberFormat="1" applyFont="1" applyBorder="1" applyProtection="1"/>
    <xf numFmtId="3" fontId="1" fillId="0" borderId="52" xfId="0" applyNumberFormat="1" applyFont="1" applyBorder="1" applyProtection="1"/>
    <xf numFmtId="0" fontId="63" fillId="0" borderId="483" xfId="0" applyFont="1" applyBorder="1" applyAlignment="1">
      <alignment horizontal="center"/>
    </xf>
    <xf numFmtId="0" fontId="0" fillId="0" borderId="45" xfId="0" applyFont="1" applyBorder="1" applyAlignment="1">
      <alignment horizontal="center"/>
    </xf>
    <xf numFmtId="0" fontId="63" fillId="0" borderId="479" xfId="0" applyFont="1" applyBorder="1" applyAlignment="1">
      <alignment horizontal="center"/>
    </xf>
    <xf numFmtId="0" fontId="0" fillId="0" borderId="201" xfId="0" applyFont="1" applyFill="1" applyBorder="1"/>
    <xf numFmtId="0" fontId="15" fillId="0" borderId="0" xfId="3"/>
    <xf numFmtId="0" fontId="0" fillId="0" borderId="0" xfId="0" applyFont="1" applyAlignment="1">
      <alignment horizontal="center" wrapText="1"/>
    </xf>
    <xf numFmtId="0" fontId="39" fillId="0" borderId="0" xfId="12"/>
    <xf numFmtId="44" fontId="116" fillId="40" borderId="5" xfId="8202" applyFont="1" applyFill="1" applyBorder="1" applyAlignment="1" applyProtection="1">
      <alignment horizontal="center" vertical="center"/>
      <protection locked="0"/>
    </xf>
    <xf numFmtId="0" fontId="117" fillId="39" borderId="0" xfId="8220" applyFont="1" applyFill="1" applyAlignment="1" applyProtection="1">
      <alignment horizontal="left" vertical="center" indent="2"/>
      <protection hidden="1"/>
    </xf>
    <xf numFmtId="16" fontId="25" fillId="0" borderId="13" xfId="0" applyNumberFormat="1" applyFont="1" applyBorder="1" applyAlignment="1">
      <alignment horizontal="center"/>
    </xf>
    <xf numFmtId="0" fontId="0" fillId="0" borderId="0" xfId="0" applyFont="1" applyAlignment="1">
      <alignment horizontal="center" wrapText="1"/>
    </xf>
    <xf numFmtId="1" fontId="0" fillId="0" borderId="0" xfId="0" applyNumberFormat="1" applyAlignment="1">
      <alignment horizontal="left"/>
    </xf>
    <xf numFmtId="166" fontId="0" fillId="0" borderId="40" xfId="8" applyNumberFormat="1" applyFont="1" applyBorder="1" applyAlignment="1">
      <alignment horizontal="left" indent="2"/>
    </xf>
    <xf numFmtId="0" fontId="0" fillId="0" borderId="0" xfId="0" applyFont="1" applyAlignment="1">
      <alignment horizontal="center" wrapText="1"/>
    </xf>
    <xf numFmtId="0" fontId="57" fillId="0" borderId="472" xfId="28" applyBorder="1"/>
    <xf numFmtId="0" fontId="0" fillId="0" borderId="0" xfId="2" applyFont="1" applyAlignment="1">
      <alignment horizontal="center" vertical="center" wrapText="1"/>
    </xf>
    <xf numFmtId="0" fontId="0" fillId="0" borderId="0" xfId="2" applyFont="1" applyAlignment="1">
      <alignment horizontal="center" wrapText="1"/>
    </xf>
    <xf numFmtId="0" fontId="25" fillId="0" borderId="469" xfId="0" applyFont="1" applyBorder="1" applyAlignment="1">
      <alignment horizontal="center"/>
    </xf>
    <xf numFmtId="0" fontId="157" fillId="0" borderId="0" xfId="0" applyFont="1" applyAlignment="1">
      <alignment horizontal="center"/>
    </xf>
    <xf numFmtId="0" fontId="152" fillId="0" borderId="0" xfId="0" applyFont="1"/>
    <xf numFmtId="0" fontId="158" fillId="0" borderId="0" xfId="9" applyFont="1" applyFill="1" applyBorder="1" applyAlignment="1" applyProtection="1">
      <alignment horizontal="center" wrapText="1"/>
    </xf>
    <xf numFmtId="165" fontId="152" fillId="0" borderId="0" xfId="1" applyNumberFormat="1" applyFont="1"/>
    <xf numFmtId="0" fontId="158" fillId="0" borderId="35" xfId="9" applyFont="1" applyFill="1" applyBorder="1" applyAlignment="1" applyProtection="1">
      <alignment horizontal="center" wrapText="1"/>
    </xf>
    <xf numFmtId="172" fontId="152" fillId="0" borderId="0" xfId="7" applyNumberFormat="1" applyFont="1"/>
    <xf numFmtId="1" fontId="12" fillId="0" borderId="0" xfId="15" applyNumberFormat="1" applyFont="1" applyBorder="1" applyAlignment="1">
      <alignment horizontal="left"/>
    </xf>
    <xf numFmtId="0" fontId="159" fillId="40" borderId="0" xfId="0" applyFont="1" applyFill="1"/>
    <xf numFmtId="0" fontId="159" fillId="0" borderId="0" xfId="0" applyFont="1"/>
    <xf numFmtId="42" fontId="1" fillId="0" borderId="44" xfId="0" applyNumberFormat="1" applyFont="1" applyBorder="1" applyProtection="1"/>
    <xf numFmtId="0" fontId="0" fillId="0" borderId="0" xfId="0" applyFont="1" applyAlignment="1">
      <alignment horizontal="center" wrapText="1"/>
    </xf>
    <xf numFmtId="180" fontId="15" fillId="15" borderId="464" xfId="3" applyNumberFormat="1" applyFill="1" applyBorder="1"/>
    <xf numFmtId="42" fontId="15" fillId="15" borderId="343" xfId="3" applyNumberFormat="1" applyFill="1" applyBorder="1"/>
    <xf numFmtId="42" fontId="15" fillId="0" borderId="471" xfId="3" applyNumberFormat="1" applyBorder="1"/>
    <xf numFmtId="44" fontId="39" fillId="0" borderId="0" xfId="15" applyFont="1" applyBorder="1"/>
    <xf numFmtId="44" fontId="53" fillId="0" borderId="0" xfId="15" applyFont="1" applyBorder="1"/>
    <xf numFmtId="0" fontId="39" fillId="0" borderId="0" xfId="18" applyNumberFormat="1" applyFont="1" applyBorder="1"/>
    <xf numFmtId="0" fontId="0" fillId="0" borderId="0" xfId="0" applyBorder="1" applyAlignment="1">
      <alignment wrapText="1"/>
    </xf>
    <xf numFmtId="0" fontId="25" fillId="0" borderId="0" xfId="0" applyFont="1" applyBorder="1" applyAlignment="1">
      <alignment horizontal="center"/>
    </xf>
    <xf numFmtId="0" fontId="45" fillId="3" borderId="482" xfId="12" applyFont="1" applyFill="1" applyBorder="1" applyAlignment="1">
      <alignment horizontal="center" vertical="center" wrapText="1"/>
    </xf>
    <xf numFmtId="0" fontId="95" fillId="0" borderId="0" xfId="9" applyFont="1" applyBorder="1" applyAlignment="1" applyProtection="1">
      <alignment horizontal="center" vertical="top" wrapText="1"/>
    </xf>
    <xf numFmtId="0" fontId="95" fillId="0" borderId="0" xfId="9" applyFont="1" applyBorder="1" applyAlignment="1" applyProtection="1">
      <alignment horizontal="center" vertical="center"/>
    </xf>
    <xf numFmtId="0" fontId="95" fillId="0" borderId="0" xfId="9" applyFont="1" applyBorder="1" applyAlignment="1" applyProtection="1">
      <alignment horizontal="center" vertical="top"/>
    </xf>
    <xf numFmtId="0" fontId="63" fillId="0" borderId="0" xfId="0" applyFont="1" applyFill="1" applyAlignment="1">
      <alignment horizontal="center"/>
    </xf>
    <xf numFmtId="42" fontId="5" fillId="59" borderId="9" xfId="0" applyNumberFormat="1" applyFont="1" applyFill="1" applyBorder="1" applyProtection="1"/>
    <xf numFmtId="166" fontId="0" fillId="59" borderId="9" xfId="8" applyNumberFormat="1" applyFont="1" applyFill="1" applyBorder="1" applyAlignment="1" applyProtection="1">
      <alignment horizontal="center"/>
    </xf>
    <xf numFmtId="166" fontId="0" fillId="59" borderId="419" xfId="8" applyNumberFormat="1" applyFont="1" applyFill="1" applyBorder="1" applyAlignment="1" applyProtection="1">
      <alignment horizontal="center"/>
    </xf>
    <xf numFmtId="42" fontId="5" fillId="59" borderId="2" xfId="0" applyNumberFormat="1" applyFont="1" applyFill="1" applyBorder="1" applyProtection="1"/>
    <xf numFmtId="0" fontId="0" fillId="59" borderId="427" xfId="0" applyFill="1" applyBorder="1" applyAlignment="1">
      <alignment horizontal="center"/>
    </xf>
    <xf numFmtId="0" fontId="0" fillId="59" borderId="427" xfId="0" applyFill="1" applyBorder="1" applyAlignment="1">
      <alignment horizontal="left"/>
    </xf>
    <xf numFmtId="0" fontId="0" fillId="59" borderId="418" xfId="0" applyFill="1" applyBorder="1" applyAlignment="1">
      <alignment horizontal="left"/>
    </xf>
    <xf numFmtId="0" fontId="128" fillId="60" borderId="420" xfId="0" applyFont="1" applyFill="1" applyBorder="1" applyAlignment="1">
      <alignment horizontal="center"/>
    </xf>
    <xf numFmtId="0" fontId="18" fillId="60" borderId="427" xfId="0" applyFont="1" applyFill="1" applyBorder="1" applyAlignment="1">
      <alignment horizontal="center"/>
    </xf>
    <xf numFmtId="0" fontId="66" fillId="60" borderId="9" xfId="0" applyFont="1" applyFill="1" applyBorder="1"/>
    <xf numFmtId="3" fontId="21" fillId="60" borderId="9" xfId="0" applyNumberFormat="1" applyFont="1" applyFill="1" applyBorder="1" applyProtection="1"/>
    <xf numFmtId="3" fontId="21" fillId="60" borderId="77" xfId="0" applyNumberFormat="1" applyFont="1" applyFill="1" applyBorder="1" applyProtection="1"/>
    <xf numFmtId="3" fontId="18" fillId="61" borderId="480" xfId="0" applyNumberFormat="1" applyFont="1" applyFill="1" applyBorder="1" applyAlignment="1">
      <alignment horizontal="center"/>
    </xf>
    <xf numFmtId="3" fontId="18" fillId="61" borderId="481" xfId="0" applyNumberFormat="1" applyFont="1" applyFill="1" applyBorder="1" applyAlignment="1">
      <alignment horizontal="center"/>
    </xf>
    <xf numFmtId="0" fontId="66" fillId="61" borderId="482" xfId="0" applyFont="1" applyFill="1" applyBorder="1"/>
    <xf numFmtId="3" fontId="18" fillId="61" borderId="482" xfId="0" applyNumberFormat="1" applyFont="1" applyFill="1" applyBorder="1" applyProtection="1"/>
    <xf numFmtId="42" fontId="18" fillId="61" borderId="482" xfId="0" applyNumberFormat="1" applyFont="1" applyFill="1" applyBorder="1" applyProtection="1"/>
    <xf numFmtId="3" fontId="18" fillId="61" borderId="81" xfId="0" applyNumberFormat="1" applyFont="1" applyFill="1" applyBorder="1" applyProtection="1"/>
    <xf numFmtId="0" fontId="128" fillId="62" borderId="427" xfId="0" applyFont="1" applyFill="1" applyBorder="1" applyAlignment="1">
      <alignment horizontal="center"/>
    </xf>
    <xf numFmtId="0" fontId="18" fillId="62" borderId="427" xfId="0" applyFont="1" applyFill="1" applyBorder="1" applyAlignment="1">
      <alignment horizontal="center"/>
    </xf>
    <xf numFmtId="0" fontId="18" fillId="62" borderId="9" xfId="0" applyFont="1" applyFill="1" applyBorder="1"/>
    <xf numFmtId="3" fontId="21" fillId="62" borderId="9" xfId="0" applyNumberFormat="1" applyFont="1" applyFill="1" applyBorder="1" applyProtection="1"/>
    <xf numFmtId="3" fontId="21" fillId="62" borderId="77" xfId="0" applyNumberFormat="1" applyFont="1" applyFill="1" applyBorder="1" applyProtection="1"/>
    <xf numFmtId="0" fontId="0" fillId="0" borderId="28" xfId="0" applyFont="1" applyBorder="1" applyAlignment="1">
      <alignment horizontal="center" vertical="center"/>
    </xf>
    <xf numFmtId="0" fontId="116" fillId="40" borderId="421" xfId="8201" applyFont="1" applyFill="1" applyBorder="1" applyAlignment="1" applyProtection="1">
      <alignment horizontal="center" vertical="center"/>
      <protection locked="0"/>
    </xf>
    <xf numFmtId="39" fontId="35" fillId="40" borderId="343" xfId="8203" applyNumberFormat="1" applyFont="1" applyFill="1" applyBorder="1" applyAlignment="1" applyProtection="1">
      <alignment horizontal="center" vertical="center"/>
      <protection locked="0"/>
    </xf>
    <xf numFmtId="0" fontId="97" fillId="40" borderId="421" xfId="8201" applyFont="1" applyFill="1" applyBorder="1" applyAlignment="1" applyProtection="1">
      <alignment horizontal="left" vertical="center" indent="1"/>
      <protection locked="0"/>
    </xf>
    <xf numFmtId="169" fontId="6" fillId="40" borderId="26" xfId="28" applyNumberFormat="1" applyFont="1" applyFill="1" applyBorder="1" applyAlignment="1">
      <alignment horizontal="right"/>
    </xf>
    <xf numFmtId="169" fontId="116" fillId="40" borderId="26" xfId="28" applyNumberFormat="1" applyFont="1" applyFill="1" applyBorder="1" applyAlignment="1">
      <alignment horizontal="right"/>
    </xf>
    <xf numFmtId="39" fontId="0" fillId="0" borderId="0" xfId="0" applyNumberFormat="1" applyAlignment="1">
      <alignment horizontal="center"/>
    </xf>
    <xf numFmtId="39" fontId="120" fillId="40" borderId="303" xfId="8203" applyNumberFormat="1" applyFont="1" applyFill="1" applyBorder="1" applyAlignment="1" applyProtection="1">
      <alignment horizontal="center" vertical="center"/>
      <protection locked="0"/>
    </xf>
    <xf numFmtId="6" fontId="38" fillId="0" borderId="0" xfId="0" applyNumberFormat="1" applyFont="1" applyAlignment="1">
      <alignment horizontal="left"/>
    </xf>
    <xf numFmtId="0" fontId="117" fillId="39" borderId="0" xfId="8220" applyFont="1" applyFill="1" applyAlignment="1" applyProtection="1">
      <alignment horizontal="left" vertical="center" indent="2"/>
      <protection hidden="1"/>
    </xf>
    <xf numFmtId="0" fontId="117" fillId="0" borderId="0" xfId="8220" applyFont="1" applyFill="1" applyBorder="1" applyAlignment="1" applyProtection="1">
      <alignment horizontal="left" vertical="center" indent="2"/>
      <protection hidden="1"/>
    </xf>
    <xf numFmtId="0" fontId="0" fillId="0" borderId="0" xfId="0" applyAlignment="1">
      <alignment horizontal="left"/>
    </xf>
    <xf numFmtId="0" fontId="25" fillId="6" borderId="17" xfId="0" applyFont="1" applyFill="1" applyBorder="1" applyAlignment="1">
      <alignment horizontal="center" wrapText="1"/>
    </xf>
    <xf numFmtId="0" fontId="25" fillId="6" borderId="21" xfId="0" applyFont="1" applyFill="1" applyBorder="1" applyAlignment="1">
      <alignment horizontal="center" wrapText="1"/>
    </xf>
    <xf numFmtId="16" fontId="25" fillId="0" borderId="13" xfId="0" applyNumberFormat="1" applyFont="1" applyBorder="1" applyAlignment="1">
      <alignment horizontal="center"/>
    </xf>
    <xf numFmtId="0" fontId="23" fillId="5" borderId="14" xfId="0" applyFont="1" applyFill="1" applyBorder="1" applyAlignment="1">
      <alignment horizontal="center"/>
    </xf>
    <xf numFmtId="0" fontId="23" fillId="5" borderId="15" xfId="0" applyFont="1" applyFill="1" applyBorder="1" applyAlignment="1">
      <alignment horizontal="center"/>
    </xf>
    <xf numFmtId="0" fontId="23" fillId="5" borderId="16" xfId="0" applyFont="1" applyFill="1" applyBorder="1" applyAlignment="1">
      <alignment horizontal="center"/>
    </xf>
    <xf numFmtId="0" fontId="115" fillId="39" borderId="0" xfId="8220" applyFont="1" applyFill="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0" fillId="0" borderId="0" xfId="0" applyFont="1" applyAlignment="1">
      <alignment horizontal="center" wrapText="1"/>
    </xf>
    <xf numFmtId="189" fontId="120" fillId="40" borderId="343" xfId="8203" applyNumberFormat="1" applyFont="1" applyFill="1" applyBorder="1" applyAlignment="1" applyProtection="1">
      <alignment horizontal="center" vertical="center"/>
      <protection locked="0"/>
    </xf>
    <xf numFmtId="39" fontId="116" fillId="12" borderId="343" xfId="8203" applyNumberFormat="1" applyFont="1" applyFill="1" applyBorder="1" applyAlignment="1" applyProtection="1">
      <alignment horizontal="center" vertical="center"/>
      <protection hidden="1"/>
    </xf>
    <xf numFmtId="0" fontId="164" fillId="40" borderId="343" xfId="0" applyFont="1" applyFill="1" applyBorder="1" applyAlignment="1" applyProtection="1">
      <alignment horizontal="center" vertical="center"/>
      <protection locked="0"/>
    </xf>
    <xf numFmtId="0" fontId="165" fillId="40" borderId="343" xfId="0" applyFont="1" applyFill="1" applyBorder="1" applyAlignment="1" applyProtection="1">
      <alignment horizontal="center" vertical="center"/>
      <protection locked="0"/>
    </xf>
    <xf numFmtId="0" fontId="164" fillId="12" borderId="343" xfId="0" applyFont="1" applyFill="1" applyBorder="1" applyAlignment="1" applyProtection="1">
      <alignment horizontal="center" vertical="center"/>
      <protection hidden="1"/>
    </xf>
    <xf numFmtId="44" fontId="165" fillId="40" borderId="343" xfId="0" applyNumberFormat="1" applyFont="1" applyFill="1" applyBorder="1" applyAlignment="1" applyProtection="1">
      <alignment horizontal="center" vertical="center"/>
      <protection locked="0"/>
    </xf>
    <xf numFmtId="37" fontId="164" fillId="12" borderId="343" xfId="0" applyNumberFormat="1" applyFont="1" applyFill="1" applyBorder="1" applyAlignment="1" applyProtection="1">
      <alignment horizontal="center" vertical="center"/>
      <protection hidden="1"/>
    </xf>
    <xf numFmtId="37" fontId="165" fillId="40" borderId="343" xfId="0" applyNumberFormat="1" applyFont="1" applyFill="1" applyBorder="1" applyAlignment="1" applyProtection="1">
      <alignment horizontal="center" vertical="center"/>
      <protection locked="0"/>
    </xf>
    <xf numFmtId="44" fontId="164" fillId="12" borderId="343" xfId="0" applyNumberFormat="1" applyFont="1" applyFill="1" applyBorder="1" applyAlignment="1" applyProtection="1">
      <alignment horizontal="center" vertical="center"/>
      <protection hidden="1"/>
    </xf>
    <xf numFmtId="10" fontId="35" fillId="64" borderId="343" xfId="8202" applyNumberFormat="1" applyFont="1" applyFill="1" applyBorder="1" applyAlignment="1" applyProtection="1">
      <alignment horizontal="center" vertical="center"/>
      <protection locked="0"/>
    </xf>
    <xf numFmtId="10" fontId="35" fillId="64" borderId="343" xfId="0" applyNumberFormat="1" applyFont="1" applyFill="1" applyBorder="1" applyAlignment="1" applyProtection="1">
      <alignment horizontal="center" vertical="center"/>
      <protection locked="0"/>
    </xf>
    <xf numFmtId="44" fontId="120" fillId="40" borderId="303" xfId="8202" applyNumberFormat="1" applyFont="1" applyFill="1" applyBorder="1" applyAlignment="1" applyProtection="1">
      <alignment horizontal="center" vertical="center"/>
      <protection locked="0"/>
    </xf>
    <xf numFmtId="0" fontId="168" fillId="40" borderId="343" xfId="8203" applyNumberFormat="1" applyFont="1" applyFill="1" applyBorder="1" applyAlignment="1" applyProtection="1">
      <alignment horizontal="center" vertical="center"/>
      <protection locked="0"/>
    </xf>
    <xf numFmtId="0" fontId="167" fillId="12" borderId="343" xfId="54573" applyFont="1" applyFill="1" applyBorder="1" applyAlignment="1" applyProtection="1">
      <alignment horizontal="center" vertical="center"/>
      <protection hidden="1"/>
    </xf>
    <xf numFmtId="0" fontId="167" fillId="40" borderId="343" xfId="54634" applyFont="1" applyFill="1" applyBorder="1" applyAlignment="1" applyProtection="1">
      <alignment horizontal="center" vertical="center"/>
      <protection locked="0"/>
    </xf>
    <xf numFmtId="44" fontId="168" fillId="40" borderId="343" xfId="8202" applyFont="1" applyFill="1" applyBorder="1" applyAlignment="1" applyProtection="1">
      <alignment horizontal="center" vertical="center"/>
      <protection locked="0"/>
    </xf>
    <xf numFmtId="9" fontId="167" fillId="40" borderId="303" xfId="8202" applyNumberFormat="1" applyFont="1" applyFill="1" applyBorder="1" applyAlignment="1" applyProtection="1">
      <alignment horizontal="center" vertical="center"/>
      <protection locked="0"/>
    </xf>
    <xf numFmtId="0" fontId="167" fillId="40" borderId="343" xfId="54583" applyFont="1" applyFill="1" applyBorder="1" applyAlignment="1" applyProtection="1">
      <alignment horizontal="center" vertical="center"/>
      <protection locked="0"/>
    </xf>
    <xf numFmtId="0" fontId="168" fillId="40" borderId="343" xfId="54583" applyFont="1" applyFill="1" applyBorder="1" applyAlignment="1" applyProtection="1">
      <alignment horizontal="center" vertical="center"/>
      <protection locked="0"/>
    </xf>
    <xf numFmtId="172" fontId="120" fillId="40" borderId="343" xfId="8203" applyNumberFormat="1" applyFont="1" applyFill="1" applyBorder="1" applyAlignment="1" applyProtection="1">
      <alignment horizontal="center" vertical="center"/>
      <protection locked="0"/>
    </xf>
    <xf numFmtId="37" fontId="120" fillId="40" borderId="343" xfId="54574" applyNumberFormat="1" applyFont="1" applyFill="1" applyBorder="1" applyAlignment="1" applyProtection="1">
      <alignment horizontal="center" vertical="center"/>
      <protection locked="0"/>
    </xf>
    <xf numFmtId="44" fontId="117" fillId="47" borderId="0" xfId="1" applyNumberFormat="1" applyFont="1" applyFill="1" applyAlignment="1" applyProtection="1">
      <alignment horizontal="center" vertical="center"/>
      <protection hidden="1"/>
    </xf>
    <xf numFmtId="0" fontId="0" fillId="44" borderId="0" xfId="8220" applyFont="1" applyFill="1" applyAlignment="1" applyProtection="1">
      <alignment horizontal="center" vertical="center"/>
      <protection hidden="1"/>
    </xf>
    <xf numFmtId="0" fontId="0" fillId="44" borderId="0" xfId="1" applyNumberFormat="1" applyFont="1" applyFill="1" applyAlignment="1" applyProtection="1">
      <alignment horizontal="center" vertical="center"/>
      <protection hidden="1"/>
    </xf>
    <xf numFmtId="44" fontId="35" fillId="40" borderId="303" xfId="8202" applyNumberFormat="1" applyFont="1" applyFill="1" applyBorder="1" applyAlignment="1" applyProtection="1">
      <alignment horizontal="center" vertical="center"/>
      <protection locked="0"/>
    </xf>
    <xf numFmtId="44" fontId="120" fillId="40" borderId="303" xfId="1" applyNumberFormat="1" applyFont="1" applyFill="1" applyBorder="1" applyAlignment="1" applyProtection="1">
      <alignment horizontal="center" vertical="center"/>
      <protection locked="0"/>
    </xf>
    <xf numFmtId="0" fontId="116" fillId="40" borderId="418" xfId="8201" applyFont="1" applyFill="1" applyBorder="1" applyAlignment="1" applyProtection="1">
      <alignment horizontal="left" vertical="center" indent="1"/>
      <protection locked="0"/>
    </xf>
    <xf numFmtId="44" fontId="164" fillId="40" borderId="421" xfId="28" applyNumberFormat="1" applyFont="1" applyFill="1" applyBorder="1" applyAlignment="1" applyProtection="1">
      <alignment horizontal="center" vertical="center"/>
      <protection locked="0"/>
    </xf>
    <xf numFmtId="9" fontId="164" fillId="40" borderId="343" xfId="0" applyNumberFormat="1" applyFont="1" applyFill="1" applyBorder="1" applyAlignment="1" applyProtection="1">
      <alignment horizontal="center" vertical="center"/>
      <protection locked="0"/>
    </xf>
    <xf numFmtId="44" fontId="35" fillId="64" borderId="303" xfId="1" applyFont="1" applyFill="1" applyBorder="1" applyAlignment="1" applyProtection="1">
      <alignment horizontal="center" vertical="center"/>
      <protection locked="0"/>
    </xf>
    <xf numFmtId="44" fontId="35" fillId="64" borderId="343" xfId="1" applyFont="1" applyFill="1" applyBorder="1" applyAlignment="1" applyProtection="1">
      <alignment horizontal="center" vertical="center"/>
      <protection locked="0"/>
    </xf>
    <xf numFmtId="44" fontId="37" fillId="64" borderId="303" xfId="1" applyFont="1" applyFill="1" applyBorder="1" applyAlignment="1" applyProtection="1">
      <alignment horizontal="center" vertical="center"/>
      <protection locked="0"/>
    </xf>
    <xf numFmtId="44" fontId="169" fillId="64" borderId="303" xfId="1" applyFont="1" applyFill="1" applyBorder="1" applyAlignment="1" applyProtection="1">
      <alignment horizontal="center" vertical="center"/>
      <protection locked="0"/>
    </xf>
    <xf numFmtId="0" fontId="97" fillId="64" borderId="30" xfId="8201" applyFont="1" applyFill="1" applyBorder="1" applyAlignment="1" applyProtection="1">
      <alignment horizontal="left" vertical="center" indent="1"/>
      <protection locked="0"/>
    </xf>
    <xf numFmtId="44" fontId="35" fillId="64" borderId="343" xfId="0" applyNumberFormat="1" applyFont="1" applyFill="1" applyBorder="1" applyAlignment="1" applyProtection="1">
      <alignment horizontal="center" vertical="center"/>
      <protection locked="0"/>
    </xf>
    <xf numFmtId="0" fontId="0" fillId="44" borderId="0" xfId="8220" applyFont="1" applyFill="1" applyBorder="1" applyAlignment="1" applyProtection="1">
      <alignment horizontal="center" vertical="center"/>
      <protection hidden="1"/>
    </xf>
    <xf numFmtId="0" fontId="119" fillId="64" borderId="0" xfId="8220" applyFont="1" applyFill="1" applyBorder="1" applyAlignment="1" applyProtection="1">
      <alignment horizontal="center" vertical="center"/>
      <protection hidden="1"/>
    </xf>
    <xf numFmtId="44" fontId="166" fillId="63" borderId="0" xfId="0" applyNumberFormat="1" applyFont="1" applyFill="1"/>
    <xf numFmtId="44" fontId="35" fillId="64" borderId="343" xfId="8202" applyNumberFormat="1" applyFont="1" applyFill="1" applyBorder="1" applyAlignment="1" applyProtection="1">
      <alignment horizontal="center" vertical="center"/>
      <protection locked="0"/>
    </xf>
    <xf numFmtId="44" fontId="35" fillId="0" borderId="0" xfId="0" applyNumberFormat="1" applyFont="1" applyFill="1" applyBorder="1" applyAlignment="1" applyProtection="1">
      <alignment horizontal="center" vertical="center"/>
      <protection locked="0"/>
    </xf>
    <xf numFmtId="44" fontId="35" fillId="64" borderId="343" xfId="28" applyNumberFormat="1" applyFont="1" applyFill="1" applyBorder="1" applyAlignment="1" applyProtection="1">
      <alignment horizontal="center" vertical="center"/>
      <protection locked="0"/>
    </xf>
    <xf numFmtId="7" fontId="116" fillId="40" borderId="201" xfId="0" applyNumberFormat="1" applyFont="1" applyFill="1" applyBorder="1" applyAlignment="1">
      <alignment horizontal="right"/>
    </xf>
    <xf numFmtId="0" fontId="170" fillId="48" borderId="40" xfId="0" applyFont="1" applyFill="1" applyBorder="1" applyAlignment="1" applyProtection="1">
      <alignment vertical="center"/>
      <protection hidden="1"/>
    </xf>
    <xf numFmtId="0" fontId="23" fillId="0" borderId="0" xfId="0" applyFont="1" applyAlignment="1">
      <alignment horizontal="left" vertical="top"/>
    </xf>
    <xf numFmtId="0" fontId="0" fillId="0" borderId="0" xfId="0" applyAlignment="1">
      <alignment horizontal="center" vertical="top"/>
    </xf>
    <xf numFmtId="16" fontId="25" fillId="0" borderId="472" xfId="0" applyNumberFormat="1" applyFont="1" applyBorder="1" applyAlignment="1">
      <alignment horizontal="center" vertical="top"/>
    </xf>
    <xf numFmtId="0" fontId="23" fillId="5" borderId="466" xfId="0" applyFont="1" applyFill="1" applyBorder="1" applyAlignment="1">
      <alignment horizontal="center" vertical="top"/>
    </xf>
    <xf numFmtId="0" fontId="25" fillId="6" borderId="192" xfId="0" applyFont="1" applyFill="1" applyBorder="1" applyAlignment="1">
      <alignment horizontal="center" vertical="top" wrapText="1"/>
    </xf>
    <xf numFmtId="0" fontId="26" fillId="0" borderId="0" xfId="0" applyFont="1" applyAlignment="1">
      <alignment horizontal="center" vertical="top" wrapText="1"/>
    </xf>
    <xf numFmtId="0" fontId="25" fillId="0" borderId="18" xfId="0" applyFont="1" applyBorder="1" applyAlignment="1">
      <alignment horizontal="center" vertical="top"/>
    </xf>
    <xf numFmtId="0" fontId="25" fillId="0" borderId="469" xfId="0" applyFont="1" applyBorder="1" applyAlignment="1">
      <alignment horizontal="center" vertical="top"/>
    </xf>
    <xf numFmtId="0" fontId="25" fillId="0" borderId="469" xfId="0" applyFont="1" applyBorder="1" applyAlignment="1">
      <alignment horizontal="center" vertical="top" wrapText="1"/>
    </xf>
    <xf numFmtId="0" fontId="25" fillId="0" borderId="338" xfId="0" applyFont="1" applyBorder="1" applyAlignment="1">
      <alignment horizontal="center" vertical="top"/>
    </xf>
    <xf numFmtId="0" fontId="25" fillId="0" borderId="194" xfId="0" applyFont="1" applyBorder="1" applyAlignment="1">
      <alignment horizontal="center" vertical="top"/>
    </xf>
    <xf numFmtId="0" fontId="0" fillId="0" borderId="0" xfId="0" applyAlignment="1">
      <alignment horizontal="center" vertical="top" wrapText="1"/>
    </xf>
    <xf numFmtId="166" fontId="25" fillId="4" borderId="195" xfId="0" applyNumberFormat="1" applyFont="1" applyFill="1" applyBorder="1" applyAlignment="1">
      <alignment horizontal="right"/>
    </xf>
    <xf numFmtId="44" fontId="25" fillId="4" borderId="195" xfId="0" applyNumberFormat="1" applyFont="1" applyFill="1" applyBorder="1" applyAlignment="1">
      <alignment horizontal="right"/>
    </xf>
    <xf numFmtId="0" fontId="171" fillId="39" borderId="0" xfId="0" applyFont="1" applyFill="1" applyAlignment="1" applyProtection="1">
      <alignment vertical="center"/>
      <protection hidden="1"/>
    </xf>
    <xf numFmtId="0" fontId="171" fillId="39" borderId="0" xfId="0" applyFont="1" applyFill="1" applyAlignment="1" applyProtection="1">
      <alignment horizontal="left" vertical="center" indent="2"/>
      <protection hidden="1"/>
    </xf>
    <xf numFmtId="0" fontId="170" fillId="0" borderId="0" xfId="0" applyFont="1"/>
    <xf numFmtId="0" fontId="170" fillId="0" borderId="0" xfId="0" applyFont="1" applyAlignment="1" applyProtection="1">
      <alignment horizontal="center" vertical="center"/>
      <protection hidden="1"/>
    </xf>
    <xf numFmtId="0" fontId="170" fillId="48" borderId="421" xfId="0" applyFont="1" applyFill="1" applyBorder="1" applyAlignment="1" applyProtection="1">
      <alignment vertical="center"/>
      <protection hidden="1"/>
    </xf>
    <xf numFmtId="44" fontId="170" fillId="48" borderId="419" xfId="0" applyNumberFormat="1" applyFont="1" applyFill="1" applyBorder="1" applyAlignment="1" applyProtection="1">
      <alignment horizontal="center" vertical="center"/>
      <protection hidden="1"/>
    </xf>
    <xf numFmtId="0" fontId="172" fillId="43" borderId="0" xfId="0" applyFont="1" applyFill="1" applyAlignment="1" applyProtection="1">
      <alignment horizontal="center"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0" fillId="0" borderId="485" xfId="0" applyBorder="1"/>
    <xf numFmtId="0" fontId="170" fillId="38" borderId="0" xfId="0" applyFont="1" applyFill="1" applyAlignment="1" applyProtection="1">
      <alignment horizontal="center" vertical="center"/>
      <protection hidden="1"/>
    </xf>
    <xf numFmtId="0" fontId="170" fillId="46" borderId="0" xfId="0" applyFont="1" applyFill="1" applyAlignment="1" applyProtection="1">
      <alignment horizontal="center" vertical="center"/>
      <protection hidden="1"/>
    </xf>
    <xf numFmtId="0" fontId="170" fillId="45" borderId="0" xfId="0" applyFont="1" applyFill="1" applyAlignment="1" applyProtection="1">
      <alignment horizontal="center" vertical="center"/>
      <protection hidden="1"/>
    </xf>
    <xf numFmtId="0" fontId="170" fillId="13" borderId="0" xfId="0" applyFont="1" applyFill="1" applyAlignment="1" applyProtection="1">
      <alignment horizontal="center" vertical="center"/>
      <protection hidden="1"/>
    </xf>
    <xf numFmtId="0" fontId="23" fillId="0" borderId="80" xfId="0" applyFont="1" applyBorder="1" applyAlignment="1">
      <alignment horizontal="center" vertical="top"/>
    </xf>
    <xf numFmtId="0" fontId="23" fillId="0" borderId="36" xfId="0" applyFont="1" applyBorder="1" applyAlignment="1">
      <alignment horizontal="center" vertical="top"/>
    </xf>
    <xf numFmtId="0" fontId="119" fillId="40" borderId="0" xfId="0" applyFont="1" applyFill="1" applyAlignment="1" applyProtection="1">
      <alignment horizontal="center" vertical="center"/>
      <protection hidden="1"/>
    </xf>
    <xf numFmtId="0" fontId="170" fillId="49" borderId="343" xfId="0" applyFont="1" applyFill="1" applyBorder="1" applyAlignment="1" applyProtection="1">
      <alignment horizontal="right" vertical="center" indent="1"/>
      <protection hidden="1"/>
    </xf>
    <xf numFmtId="0" fontId="170" fillId="48" borderId="418" xfId="0" applyFont="1" applyFill="1" applyBorder="1" applyAlignment="1" applyProtection="1">
      <alignment vertical="center"/>
      <protection hidden="1"/>
    </xf>
    <xf numFmtId="0" fontId="171" fillId="47" borderId="0" xfId="0" applyFont="1" applyFill="1" applyAlignment="1" applyProtection="1">
      <alignment horizontal="right" vertical="center"/>
      <protection hidden="1"/>
    </xf>
    <xf numFmtId="0" fontId="121" fillId="47" borderId="0" xfId="0" applyFont="1" applyFill="1" applyAlignment="1" applyProtection="1">
      <alignment horizontal="center" vertical="center"/>
      <protection hidden="1"/>
    </xf>
    <xf numFmtId="0" fontId="171" fillId="47" borderId="0" xfId="0" applyFont="1" applyFill="1" applyAlignment="1" applyProtection="1">
      <alignment horizontal="center" vertical="center"/>
      <protection hidden="1"/>
    </xf>
    <xf numFmtId="44" fontId="171" fillId="47" borderId="0" xfId="0" applyNumberFormat="1" applyFont="1" applyFill="1" applyAlignment="1" applyProtection="1">
      <alignment horizontal="center" vertical="center"/>
      <protection hidden="1"/>
    </xf>
    <xf numFmtId="9" fontId="171" fillId="47" borderId="0" xfId="0" applyNumberFormat="1" applyFont="1" applyFill="1" applyAlignment="1" applyProtection="1">
      <alignment horizontal="center" vertical="center"/>
      <protection hidden="1"/>
    </xf>
    <xf numFmtId="37" fontId="171" fillId="47" borderId="0" xfId="0" applyNumberFormat="1" applyFont="1" applyFill="1" applyAlignment="1" applyProtection="1">
      <alignment horizontal="center" vertical="center"/>
      <protection hidden="1"/>
    </xf>
    <xf numFmtId="39" fontId="165" fillId="40" borderId="343" xfId="0" applyNumberFormat="1" applyFont="1" applyFill="1" applyBorder="1" applyAlignment="1" applyProtection="1">
      <alignment horizontal="center" vertical="center"/>
      <protection locked="0"/>
    </xf>
    <xf numFmtId="0" fontId="164" fillId="40" borderId="421" xfId="0" applyFont="1" applyFill="1" applyBorder="1" applyAlignment="1" applyProtection="1">
      <alignment horizontal="left" vertical="center" indent="1"/>
      <protection locked="0"/>
    </xf>
    <xf numFmtId="169" fontId="0" fillId="0" borderId="420" xfId="0" applyNumberFormat="1" applyBorder="1" applyAlignment="1">
      <alignment horizontal="right" vertical="top"/>
    </xf>
    <xf numFmtId="0" fontId="0" fillId="0" borderId="457" xfId="0" applyBorder="1" applyAlignment="1">
      <alignment horizontal="left" vertical="top" indent="2"/>
    </xf>
    <xf numFmtId="169" fontId="0" fillId="0" borderId="196" xfId="0" applyNumberFormat="1" applyBorder="1" applyAlignment="1">
      <alignment horizontal="right" vertical="top"/>
    </xf>
    <xf numFmtId="0" fontId="164" fillId="40" borderId="418" xfId="0" applyFont="1" applyFill="1" applyBorder="1" applyAlignment="1" applyProtection="1">
      <alignment horizontal="left" vertical="center" indent="1"/>
      <protection locked="0"/>
    </xf>
    <xf numFmtId="0" fontId="0" fillId="0" borderId="75" xfId="0" applyBorder="1" applyAlignment="1">
      <alignment horizontal="left" vertical="top" indent="2"/>
    </xf>
    <xf numFmtId="169" fontId="0" fillId="0" borderId="0" xfId="0" applyNumberFormat="1" applyAlignment="1">
      <alignment horizontal="right" vertical="top"/>
    </xf>
    <xf numFmtId="44" fontId="170" fillId="0" borderId="420" xfId="0" applyNumberFormat="1" applyFont="1" applyBorder="1" applyAlignment="1" applyProtection="1">
      <alignment horizontal="center" vertical="center"/>
      <protection hidden="1"/>
    </xf>
    <xf numFmtId="0" fontId="0" fillId="40" borderId="421" xfId="0" applyFill="1" applyBorder="1" applyAlignment="1">
      <alignment horizontal="left" vertical="top" indent="2"/>
    </xf>
    <xf numFmtId="169" fontId="0" fillId="0" borderId="427" xfId="0" applyNumberFormat="1" applyBorder="1" applyAlignment="1">
      <alignment horizontal="right" vertical="top"/>
    </xf>
    <xf numFmtId="0" fontId="26" fillId="51" borderId="457" xfId="0" applyFont="1" applyFill="1" applyBorder="1"/>
    <xf numFmtId="169" fontId="0" fillId="51" borderId="420" xfId="0" applyNumberFormat="1" applyFill="1" applyBorder="1" applyAlignment="1">
      <alignment horizontal="right" vertical="top"/>
    </xf>
    <xf numFmtId="0" fontId="26" fillId="0" borderId="457" xfId="0" applyFont="1" applyBorder="1"/>
    <xf numFmtId="0" fontId="26" fillId="50" borderId="457" xfId="0" applyFont="1" applyFill="1" applyBorder="1"/>
    <xf numFmtId="169" fontId="0" fillId="50" borderId="420" xfId="0" applyNumberFormat="1" applyFill="1" applyBorder="1" applyAlignment="1">
      <alignment horizontal="right" vertical="top"/>
    </xf>
    <xf numFmtId="0" fontId="171" fillId="39" borderId="0" xfId="0" applyFont="1" applyFill="1" applyAlignment="1" applyProtection="1">
      <alignment horizontal="center" vertical="top"/>
      <protection hidden="1"/>
    </xf>
    <xf numFmtId="44" fontId="170" fillId="48" borderId="457" xfId="0" applyNumberFormat="1" applyFont="1" applyFill="1" applyBorder="1" applyAlignment="1" applyProtection="1">
      <alignment horizontal="center" vertical="top"/>
      <protection hidden="1"/>
    </xf>
    <xf numFmtId="0" fontId="0" fillId="0" borderId="75" xfId="0" applyBorder="1" applyAlignment="1">
      <alignment horizontal="center" vertical="top"/>
    </xf>
    <xf numFmtId="44" fontId="170" fillId="48" borderId="421" xfId="0" applyNumberFormat="1" applyFont="1" applyFill="1" applyBorder="1" applyAlignment="1" applyProtection="1">
      <alignment horizontal="center" vertical="top"/>
      <protection hidden="1"/>
    </xf>
    <xf numFmtId="169" fontId="57" fillId="40" borderId="26" xfId="0" applyNumberFormat="1" applyFont="1" applyFill="1" applyBorder="1" applyAlignment="1">
      <alignment horizontal="center" vertical="top"/>
    </xf>
    <xf numFmtId="169" fontId="57" fillId="40" borderId="421" xfId="0" applyNumberFormat="1" applyFont="1" applyFill="1" applyBorder="1" applyAlignment="1">
      <alignment horizontal="center" vertical="top"/>
    </xf>
    <xf numFmtId="169" fontId="0" fillId="40" borderId="26" xfId="0" applyNumberFormat="1" applyFill="1" applyBorder="1" applyAlignment="1">
      <alignment horizontal="center" vertical="top"/>
    </xf>
    <xf numFmtId="169" fontId="0" fillId="0" borderId="457" xfId="0" applyNumberFormat="1" applyBorder="1" applyAlignment="1">
      <alignment horizontal="center" vertical="top"/>
    </xf>
    <xf numFmtId="44" fontId="164" fillId="40" borderId="421" xfId="0" applyNumberFormat="1" applyFont="1" applyFill="1" applyBorder="1" applyAlignment="1" applyProtection="1">
      <alignment horizontal="center" vertical="top"/>
      <protection locked="0"/>
    </xf>
    <xf numFmtId="169" fontId="0" fillId="40" borderId="421" xfId="0" applyNumberFormat="1" applyFill="1" applyBorder="1" applyAlignment="1">
      <alignment horizontal="center" vertical="top"/>
    </xf>
    <xf numFmtId="169" fontId="0" fillId="40" borderId="423" xfId="0" applyNumberFormat="1" applyFill="1" applyBorder="1" applyAlignment="1">
      <alignment horizontal="center" vertical="top"/>
    </xf>
    <xf numFmtId="169" fontId="0" fillId="0" borderId="75" xfId="0" applyNumberFormat="1" applyBorder="1" applyAlignment="1">
      <alignment horizontal="center" vertical="top"/>
    </xf>
    <xf numFmtId="10" fontId="170" fillId="13" borderId="421" xfId="0" applyNumberFormat="1" applyFont="1" applyFill="1" applyBorder="1" applyAlignment="1" applyProtection="1">
      <alignment horizontal="center" vertical="top"/>
      <protection hidden="1"/>
    </xf>
    <xf numFmtId="169" fontId="164" fillId="40" borderId="26" xfId="0" applyNumberFormat="1" applyFont="1" applyFill="1" applyBorder="1" applyAlignment="1">
      <alignment horizontal="center" vertical="top"/>
    </xf>
    <xf numFmtId="169" fontId="164" fillId="40" borderId="80" xfId="0" applyNumberFormat="1" applyFont="1" applyFill="1" applyBorder="1" applyAlignment="1">
      <alignment horizontal="center" vertical="top"/>
    </xf>
    <xf numFmtId="169" fontId="0" fillId="51" borderId="421" xfId="0" applyNumberFormat="1" applyFill="1" applyBorder="1" applyAlignment="1">
      <alignment horizontal="center" vertical="top"/>
    </xf>
    <xf numFmtId="169" fontId="164" fillId="40" borderId="201" xfId="0" applyNumberFormat="1" applyFont="1" applyFill="1" applyBorder="1" applyAlignment="1">
      <alignment horizontal="center" vertical="top"/>
    </xf>
    <xf numFmtId="0" fontId="0" fillId="44" borderId="0" xfId="0" applyFont="1" applyFill="1" applyAlignment="1" applyProtection="1">
      <alignment horizontal="center" vertical="center"/>
      <protection hidden="1"/>
    </xf>
    <xf numFmtId="0" fontId="119" fillId="64" borderId="0" xfId="0" applyFont="1" applyFill="1" applyAlignment="1" applyProtection="1">
      <alignment horizontal="center" vertical="center"/>
      <protection hidden="1"/>
    </xf>
    <xf numFmtId="44" fontId="166" fillId="63" borderId="0" xfId="0" applyNumberFormat="1" applyFont="1" applyFill="1" applyAlignment="1" applyProtection="1">
      <alignment horizontal="center" vertical="center"/>
      <protection hidden="1"/>
    </xf>
    <xf numFmtId="2" fontId="120" fillId="40" borderId="303" xfId="8202" applyNumberFormat="1" applyFont="1" applyFill="1" applyBorder="1" applyAlignment="1" applyProtection="1">
      <alignment horizontal="center" vertical="center"/>
      <protection locked="0"/>
    </xf>
    <xf numFmtId="169" fontId="0" fillId="0" borderId="201" xfId="0" applyNumberFormat="1" applyBorder="1" applyAlignment="1">
      <alignment horizontal="right" vertical="top"/>
    </xf>
    <xf numFmtId="169" fontId="0" fillId="0" borderId="487" xfId="0" applyNumberFormat="1" applyBorder="1" applyAlignment="1">
      <alignment horizontal="right" vertical="top"/>
    </xf>
    <xf numFmtId="169" fontId="0" fillId="0" borderId="419" xfId="0" applyNumberFormat="1" applyBorder="1" applyAlignment="1">
      <alignment horizontal="right" vertical="top"/>
    </xf>
    <xf numFmtId="0" fontId="24" fillId="0" borderId="0" xfId="0" applyFont="1" applyAlignment="1">
      <alignment horizontal="left"/>
    </xf>
    <xf numFmtId="0" fontId="170" fillId="0" borderId="0" xfId="0" applyFont="1" applyAlignment="1">
      <alignment horizontal="left"/>
    </xf>
    <xf numFmtId="0" fontId="172" fillId="43" borderId="0" xfId="0" applyFont="1" applyFill="1" applyAlignment="1" applyProtection="1">
      <alignment horizontal="left" vertical="center"/>
      <protection hidden="1"/>
    </xf>
    <xf numFmtId="0" fontId="170" fillId="38" borderId="0" xfId="0" applyFont="1" applyFill="1" applyAlignment="1" applyProtection="1">
      <alignment horizontal="left" vertical="center"/>
      <protection hidden="1"/>
    </xf>
    <xf numFmtId="0" fontId="119" fillId="40" borderId="0" xfId="0" applyFont="1" applyFill="1" applyAlignment="1" applyProtection="1">
      <alignment horizontal="left" vertical="center"/>
      <protection hidden="1"/>
    </xf>
    <xf numFmtId="0" fontId="171" fillId="47" borderId="0" xfId="0" applyFont="1" applyFill="1" applyAlignment="1" applyProtection="1">
      <alignment horizontal="left" vertical="center"/>
      <protection hidden="1"/>
    </xf>
    <xf numFmtId="0" fontId="164" fillId="40" borderId="343" xfId="0" applyFont="1" applyFill="1" applyBorder="1" applyAlignment="1" applyProtection="1">
      <alignment horizontal="left" vertical="center"/>
      <protection locked="0"/>
    </xf>
    <xf numFmtId="0" fontId="0" fillId="0" borderId="0" xfId="2" applyFont="1" applyBorder="1" applyAlignment="1">
      <alignment horizontal="center" wrapText="1"/>
    </xf>
    <xf numFmtId="0" fontId="166" fillId="63" borderId="0" xfId="0" applyFont="1" applyFill="1" applyAlignment="1" applyProtection="1">
      <alignment horizontal="center" vertical="center"/>
      <protection hidden="1"/>
    </xf>
    <xf numFmtId="4" fontId="116" fillId="40" borderId="421" xfId="8201" applyNumberFormat="1" applyFont="1" applyFill="1" applyBorder="1" applyAlignment="1" applyProtection="1">
      <alignment horizontal="left" vertical="center" indent="1"/>
      <protection locked="0"/>
    </xf>
    <xf numFmtId="0" fontId="173" fillId="40" borderId="421" xfId="8201" applyFont="1" applyFill="1" applyBorder="1" applyAlignment="1" applyProtection="1">
      <alignment horizontal="left" vertical="center" indent="2"/>
      <protection locked="0"/>
    </xf>
    <xf numFmtId="0" fontId="0" fillId="0" borderId="0" xfId="0" applyFont="1" applyAlignment="1">
      <alignment horizontal="center" wrapText="1"/>
    </xf>
    <xf numFmtId="0" fontId="22" fillId="0" borderId="486" xfId="9" applyFill="1" applyBorder="1" applyAlignment="1" applyProtection="1">
      <alignment horizontal="center" wrapText="1"/>
    </xf>
    <xf numFmtId="0" fontId="157" fillId="0" borderId="0" xfId="0" applyFont="1" applyFill="1" applyAlignment="1">
      <alignment horizontal="center"/>
    </xf>
    <xf numFmtId="0" fontId="152" fillId="0" borderId="0" xfId="0" applyFont="1" applyFill="1"/>
    <xf numFmtId="0" fontId="58" fillId="0" borderId="0" xfId="0" applyFont="1" applyFill="1" applyAlignment="1">
      <alignment horizontal="center"/>
    </xf>
    <xf numFmtId="165" fontId="174" fillId="0" borderId="0" xfId="1" applyNumberFormat="1" applyFont="1"/>
    <xf numFmtId="0" fontId="6" fillId="0" borderId="0" xfId="23" applyNumberFormat="1" applyFont="1" applyAlignment="1" applyProtection="1">
      <alignment horizontal="center" wrapText="1"/>
      <protection locked="0"/>
    </xf>
    <xf numFmtId="0" fontId="15" fillId="0" borderId="0" xfId="3"/>
    <xf numFmtId="0" fontId="0" fillId="0" borderId="0" xfId="0" applyFont="1" applyAlignment="1">
      <alignment horizontal="center" wrapText="1"/>
    </xf>
    <xf numFmtId="0" fontId="15" fillId="0" borderId="0" xfId="3"/>
    <xf numFmtId="0" fontId="0" fillId="0" borderId="0" xfId="0" applyFont="1" applyAlignment="1">
      <alignment horizontal="center" wrapText="1"/>
    </xf>
    <xf numFmtId="0" fontId="39" fillId="0" borderId="0" xfId="12"/>
    <xf numFmtId="0" fontId="15" fillId="0" borderId="0" xfId="3" applyFont="1" applyBorder="1"/>
    <xf numFmtId="0" fontId="15" fillId="0" borderId="28" xfId="3" applyFont="1" applyBorder="1"/>
    <xf numFmtId="165" fontId="15" fillId="0" borderId="0" xfId="3" applyNumberFormat="1" applyFont="1" applyFill="1" applyBorder="1"/>
    <xf numFmtId="0" fontId="15" fillId="0" borderId="0" xfId="3" applyFont="1" applyFill="1" applyBorder="1"/>
    <xf numFmtId="6" fontId="15" fillId="0" borderId="0" xfId="3" applyNumberFormat="1" applyFont="1" applyFill="1" applyBorder="1"/>
    <xf numFmtId="42" fontId="15" fillId="0" borderId="0" xfId="3" applyNumberFormat="1" applyFont="1" applyBorder="1"/>
    <xf numFmtId="165" fontId="41" fillId="0" borderId="0" xfId="3" applyNumberFormat="1" applyFont="1" applyBorder="1"/>
    <xf numFmtId="165" fontId="0" fillId="0" borderId="0" xfId="0" applyNumberFormat="1" applyFont="1" applyBorder="1"/>
    <xf numFmtId="165" fontId="41" fillId="0" borderId="0" xfId="3" applyNumberFormat="1" applyFont="1" applyFill="1" applyBorder="1"/>
    <xf numFmtId="165" fontId="41" fillId="0" borderId="0" xfId="22" applyNumberFormat="1" applyFont="1" applyBorder="1"/>
    <xf numFmtId="42" fontId="41" fillId="0" borderId="0" xfId="3" applyNumberFormat="1" applyFont="1" applyBorder="1"/>
    <xf numFmtId="165" fontId="41" fillId="0" borderId="28" xfId="22" applyNumberFormat="1" applyFont="1" applyFill="1" applyBorder="1"/>
    <xf numFmtId="180" fontId="15" fillId="0" borderId="0" xfId="0" applyNumberFormat="1" applyFont="1" applyFill="1" applyBorder="1" applyAlignment="1"/>
    <xf numFmtId="42" fontId="15" fillId="0" borderId="28" xfId="0" applyNumberFormat="1" applyFont="1" applyFill="1" applyBorder="1" applyAlignment="1"/>
    <xf numFmtId="165" fontId="41" fillId="0" borderId="28" xfId="22" applyNumberFormat="1" applyFont="1" applyBorder="1"/>
    <xf numFmtId="0" fontId="158" fillId="0" borderId="486" xfId="9" applyFont="1" applyFill="1" applyBorder="1" applyAlignment="1" applyProtection="1">
      <alignment horizontal="center" wrapText="1"/>
    </xf>
    <xf numFmtId="0" fontId="175" fillId="40" borderId="421" xfId="0" applyFont="1" applyFill="1" applyBorder="1" applyAlignment="1" applyProtection="1">
      <alignment horizontal="left" vertical="center" indent="1"/>
      <protection locked="0"/>
    </xf>
    <xf numFmtId="0" fontId="175" fillId="40" borderId="421" xfId="8201" applyFont="1" applyFill="1" applyBorder="1" applyAlignment="1" applyProtection="1">
      <alignment horizontal="left" vertical="center" indent="1"/>
      <protection locked="0"/>
    </xf>
    <xf numFmtId="0" fontId="158" fillId="0" borderId="414" xfId="9" applyFont="1" applyFill="1" applyBorder="1" applyAlignment="1" applyProtection="1">
      <alignment horizontal="center" wrapText="1"/>
    </xf>
    <xf numFmtId="165" fontId="12" fillId="0" borderId="0" xfId="22" applyNumberFormat="1" applyFont="1" applyFill="1"/>
    <xf numFmtId="167" fontId="17" fillId="0" borderId="0" xfId="15" applyNumberFormat="1" applyFont="1" applyFill="1"/>
    <xf numFmtId="0" fontId="156" fillId="0" borderId="0" xfId="0" applyFont="1"/>
    <xf numFmtId="43" fontId="57" fillId="40" borderId="8" xfId="1" applyNumberFormat="1" applyFont="1" applyFill="1" applyBorder="1" applyAlignment="1">
      <alignment horizontal="right"/>
    </xf>
    <xf numFmtId="0" fontId="164" fillId="12" borderId="343" xfId="0" applyNumberFormat="1" applyFont="1" applyFill="1" applyBorder="1" applyAlignment="1" applyProtection="1">
      <alignment horizontal="center" vertical="center"/>
      <protection hidden="1"/>
    </xf>
    <xf numFmtId="37" fontId="164" fillId="40" borderId="343" xfId="0" applyNumberFormat="1" applyFont="1" applyFill="1" applyBorder="1" applyAlignment="1" applyProtection="1">
      <alignment horizontal="center" vertical="center"/>
      <protection hidden="1"/>
    </xf>
    <xf numFmtId="0" fontId="164" fillId="40" borderId="343" xfId="0" applyNumberFormat="1" applyFont="1" applyFill="1" applyBorder="1" applyAlignment="1" applyProtection="1">
      <alignment horizontal="center" vertical="center"/>
      <protection hidden="1"/>
    </xf>
    <xf numFmtId="0" fontId="179" fillId="0" borderId="0" xfId="0" applyFont="1"/>
    <xf numFmtId="44" fontId="170" fillId="48" borderId="421" xfId="0" applyNumberFormat="1" applyFont="1" applyFill="1" applyBorder="1" applyAlignment="1" applyProtection="1">
      <alignment horizontal="center" vertical="center"/>
      <protection hidden="1"/>
    </xf>
    <xf numFmtId="0" fontId="176" fillId="0" borderId="459" xfId="9" applyFont="1" applyFill="1" applyBorder="1" applyAlignment="1" applyProtection="1">
      <alignment horizontal="center" wrapText="1"/>
    </xf>
    <xf numFmtId="169" fontId="166" fillId="63" borderId="0" xfId="0" applyNumberFormat="1" applyFont="1" applyFill="1"/>
    <xf numFmtId="0" fontId="116" fillId="40" borderId="343" xfId="0" applyFont="1" applyFill="1" applyBorder="1" applyAlignment="1" applyProtection="1">
      <alignment horizontal="center" vertical="center"/>
      <protection locked="0"/>
    </xf>
    <xf numFmtId="0" fontId="181" fillId="40" borderId="343" xfId="8203" applyNumberFormat="1" applyFont="1" applyFill="1" applyBorder="1" applyAlignment="1" applyProtection="1">
      <alignment horizontal="center" vertical="center"/>
      <protection locked="0"/>
    </xf>
    <xf numFmtId="0" fontId="182" fillId="40" borderId="343" xfId="8203" applyNumberFormat="1" applyFont="1" applyFill="1" applyBorder="1" applyAlignment="1" applyProtection="1">
      <alignment horizontal="center" vertical="center"/>
      <protection locked="0"/>
    </xf>
    <xf numFmtId="0" fontId="116" fillId="53" borderId="343" xfId="0" applyFont="1" applyFill="1" applyBorder="1" applyAlignment="1" applyProtection="1">
      <alignment horizontal="center" vertical="center"/>
      <protection locked="0"/>
    </xf>
    <xf numFmtId="0" fontId="182" fillId="53" borderId="343" xfId="8203" applyNumberFormat="1" applyFont="1" applyFill="1" applyBorder="1" applyAlignment="1" applyProtection="1">
      <alignment horizontal="center" vertical="center"/>
      <protection locked="0"/>
    </xf>
    <xf numFmtId="0" fontId="167" fillId="40" borderId="343" xfId="0" applyFont="1" applyFill="1" applyBorder="1" applyAlignment="1" applyProtection="1">
      <alignment horizontal="center" vertical="center"/>
      <protection locked="0"/>
    </xf>
    <xf numFmtId="0" fontId="120" fillId="0" borderId="343" xfId="0" applyFont="1" applyFill="1" applyBorder="1" applyAlignment="1" applyProtection="1">
      <alignment horizontal="center" vertical="center"/>
      <protection locked="0"/>
    </xf>
    <xf numFmtId="0" fontId="120" fillId="65" borderId="343" xfId="0" applyFont="1" applyFill="1" applyBorder="1" applyAlignment="1" applyProtection="1">
      <alignment horizontal="center" vertical="center"/>
      <protection locked="0"/>
    </xf>
    <xf numFmtId="0" fontId="136" fillId="40" borderId="343" xfId="0" applyFont="1" applyFill="1" applyBorder="1" applyAlignment="1" applyProtection="1">
      <alignment horizontal="center" vertical="center"/>
      <protection locked="0"/>
    </xf>
    <xf numFmtId="0" fontId="116" fillId="66" borderId="343" xfId="0" applyFont="1" applyFill="1" applyBorder="1" applyAlignment="1" applyProtection="1">
      <alignment horizontal="center" vertical="center"/>
      <protection locked="0"/>
    </xf>
    <xf numFmtId="0" fontId="120" fillId="40" borderId="343" xfId="0" applyFont="1" applyFill="1" applyBorder="1" applyAlignment="1" applyProtection="1">
      <alignment horizontal="center" vertical="center"/>
      <protection locked="0"/>
    </xf>
    <xf numFmtId="0" fontId="183" fillId="40" borderId="343" xfId="0" applyFont="1" applyFill="1" applyBorder="1" applyAlignment="1" applyProtection="1">
      <alignment horizontal="center" vertical="center"/>
      <protection locked="0"/>
    </xf>
    <xf numFmtId="0" fontId="184" fillId="40" borderId="343" xfId="8203" applyNumberFormat="1" applyFont="1" applyFill="1" applyBorder="1" applyAlignment="1" applyProtection="1">
      <alignment horizontal="center" vertical="center"/>
      <protection locked="0"/>
    </xf>
    <xf numFmtId="0" fontId="185" fillId="40" borderId="343" xfId="0" applyFont="1" applyFill="1" applyBorder="1" applyAlignment="1" applyProtection="1">
      <alignment horizontal="center" vertical="center"/>
      <protection locked="0"/>
    </xf>
    <xf numFmtId="0" fontId="178" fillId="64" borderId="343" xfId="0" applyFont="1" applyFill="1" applyBorder="1" applyAlignment="1" applyProtection="1">
      <alignment horizontal="center" vertical="center"/>
      <protection locked="0"/>
    </xf>
    <xf numFmtId="0" fontId="37" fillId="64" borderId="343" xfId="8203" applyNumberFormat="1" applyFont="1" applyFill="1" applyBorder="1" applyAlignment="1" applyProtection="1">
      <alignment horizontal="center" vertical="center"/>
      <protection locked="0"/>
    </xf>
    <xf numFmtId="0" fontId="186" fillId="64" borderId="343" xfId="8203" applyNumberFormat="1" applyFont="1" applyFill="1" applyBorder="1" applyAlignment="1" applyProtection="1">
      <alignment horizontal="center" vertical="center"/>
      <protection locked="0"/>
    </xf>
    <xf numFmtId="0" fontId="187" fillId="40" borderId="343" xfId="0" applyFont="1" applyFill="1" applyBorder="1" applyAlignment="1" applyProtection="1">
      <alignment horizontal="center" vertical="center"/>
      <protection locked="0"/>
    </xf>
    <xf numFmtId="0" fontId="35" fillId="64" borderId="343" xfId="8203" applyNumberFormat="1" applyFont="1" applyFill="1" applyBorder="1" applyAlignment="1" applyProtection="1">
      <alignment horizontal="center" vertical="center"/>
      <protection locked="0"/>
    </xf>
    <xf numFmtId="0" fontId="35" fillId="64" borderId="343" xfId="0" applyFont="1" applyFill="1" applyBorder="1" applyAlignment="1" applyProtection="1">
      <alignment horizontal="center" vertical="center"/>
      <protection locked="0"/>
    </xf>
    <xf numFmtId="44" fontId="97" fillId="12" borderId="343" xfId="8202" applyFont="1" applyFill="1" applyBorder="1" applyAlignment="1" applyProtection="1">
      <alignment horizontal="center" vertical="center"/>
      <protection hidden="1"/>
    </xf>
    <xf numFmtId="44" fontId="35" fillId="40" borderId="343" xfId="8202" applyFont="1" applyFill="1" applyBorder="1" applyAlignment="1" applyProtection="1">
      <alignment horizontal="center" vertical="center"/>
      <protection locked="0"/>
    </xf>
    <xf numFmtId="0" fontId="97" fillId="64" borderId="343" xfId="0" applyFont="1" applyFill="1" applyBorder="1" applyAlignment="1" applyProtection="1">
      <alignment horizontal="center" vertical="center"/>
      <protection locked="0"/>
    </xf>
    <xf numFmtId="189" fontId="35" fillId="64" borderId="343" xfId="8203" applyNumberFormat="1" applyFont="1" applyFill="1" applyBorder="1" applyAlignment="1" applyProtection="1">
      <alignment horizontal="center" vertical="center"/>
      <protection locked="0"/>
    </xf>
    <xf numFmtId="37" fontId="35" fillId="64" borderId="343" xfId="8203" applyNumberFormat="1" applyFont="1" applyFill="1" applyBorder="1" applyAlignment="1" applyProtection="1">
      <alignment horizontal="center" vertical="center"/>
      <protection locked="0"/>
    </xf>
    <xf numFmtId="0" fontId="117" fillId="0" borderId="0" xfId="8220" applyFont="1" applyFill="1" applyAlignment="1" applyProtection="1">
      <alignment horizontal="left" vertical="center" indent="2"/>
      <protection hidden="1"/>
    </xf>
    <xf numFmtId="0" fontId="114" fillId="0" borderId="0" xfId="8220" applyFill="1"/>
    <xf numFmtId="0" fontId="115" fillId="0" borderId="0" xfId="8220" applyFont="1" applyFill="1" applyAlignment="1" applyProtection="1">
      <alignment horizontal="center" vertical="center"/>
      <protection hidden="1"/>
    </xf>
    <xf numFmtId="0" fontId="97" fillId="64" borderId="30" xfId="0" applyFont="1" applyFill="1" applyBorder="1" applyAlignment="1" applyProtection="1">
      <alignment horizontal="left" vertical="center" indent="1"/>
      <protection locked="0"/>
    </xf>
    <xf numFmtId="44" fontId="35" fillId="64" borderId="343" xfId="8202" applyFont="1" applyFill="1" applyBorder="1" applyAlignment="1" applyProtection="1">
      <alignment horizontal="center" vertical="center"/>
      <protection locked="0"/>
    </xf>
    <xf numFmtId="0" fontId="97" fillId="64" borderId="0" xfId="0" applyFont="1" applyFill="1"/>
    <xf numFmtId="0" fontId="97" fillId="64" borderId="343" xfId="54641" applyFont="1" applyFill="1" applyBorder="1" applyAlignment="1" applyProtection="1">
      <alignment horizontal="center" vertical="center"/>
      <protection locked="0"/>
    </xf>
    <xf numFmtId="0" fontId="97" fillId="64" borderId="343" xfId="54641" applyFont="1" applyFill="1" applyBorder="1" applyAlignment="1" applyProtection="1">
      <alignment horizontal="center" vertical="center" wrapText="1"/>
      <protection locked="0"/>
    </xf>
    <xf numFmtId="0" fontId="97" fillId="64" borderId="343" xfId="54643" applyFont="1" applyFill="1" applyBorder="1" applyAlignment="1" applyProtection="1">
      <alignment horizontal="center" vertical="center"/>
      <protection locked="0"/>
    </xf>
    <xf numFmtId="0" fontId="35" fillId="64" borderId="303" xfId="8203" applyNumberFormat="1" applyFont="1" applyFill="1" applyBorder="1" applyAlignment="1" applyProtection="1">
      <alignment horizontal="center" vertical="center"/>
      <protection locked="0"/>
    </xf>
    <xf numFmtId="0" fontId="97" fillId="64" borderId="303" xfId="8220" applyFont="1" applyFill="1" applyBorder="1" applyAlignment="1" applyProtection="1">
      <alignment horizontal="center" vertical="center"/>
      <protection locked="0"/>
    </xf>
    <xf numFmtId="0" fontId="97" fillId="64" borderId="0" xfId="0" applyFont="1" applyFill="1" applyAlignment="1">
      <alignment wrapText="1"/>
    </xf>
    <xf numFmtId="5" fontId="171" fillId="47" borderId="0" xfId="0" applyNumberFormat="1" applyFont="1" applyFill="1" applyAlignment="1" applyProtection="1">
      <alignment horizontal="center" vertical="center"/>
      <protection hidden="1"/>
    </xf>
    <xf numFmtId="3" fontId="35" fillId="64" borderId="343" xfId="8203" applyNumberFormat="1" applyFont="1" applyFill="1" applyBorder="1" applyAlignment="1" applyProtection="1">
      <alignment horizontal="center" vertical="center"/>
      <protection locked="0"/>
    </xf>
    <xf numFmtId="3" fontId="37" fillId="64" borderId="343" xfId="8203" applyNumberFormat="1" applyFont="1" applyFill="1" applyBorder="1" applyAlignment="1" applyProtection="1">
      <alignment horizontal="center" vertical="center"/>
      <protection locked="0"/>
    </xf>
    <xf numFmtId="0" fontId="178" fillId="64" borderId="0" xfId="0" applyFont="1" applyFill="1"/>
    <xf numFmtId="0" fontId="169" fillId="64" borderId="303" xfId="8203" applyNumberFormat="1" applyFont="1" applyFill="1" applyBorder="1" applyAlignment="1" applyProtection="1">
      <alignment horizontal="center" vertical="center"/>
      <protection locked="0"/>
    </xf>
    <xf numFmtId="0" fontId="188" fillId="0" borderId="0" xfId="0" applyFont="1"/>
    <xf numFmtId="0" fontId="120" fillId="40" borderId="303" xfId="8203" applyNumberFormat="1" applyFont="1" applyFill="1" applyBorder="1" applyAlignment="1" applyProtection="1">
      <alignment horizontal="center" vertical="center"/>
      <protection locked="0"/>
    </xf>
    <xf numFmtId="3" fontId="97" fillId="64" borderId="0" xfId="0" applyNumberFormat="1" applyFont="1" applyFill="1"/>
    <xf numFmtId="0" fontId="188" fillId="64" borderId="343" xfId="0" applyFont="1" applyFill="1" applyBorder="1" applyAlignment="1" applyProtection="1">
      <alignment horizontal="center" vertical="center"/>
      <protection locked="0"/>
    </xf>
    <xf numFmtId="0" fontId="165" fillId="64" borderId="343" xfId="0" applyNumberFormat="1" applyFont="1" applyFill="1" applyBorder="1" applyAlignment="1" applyProtection="1">
      <alignment horizontal="center" vertical="center"/>
      <protection locked="0"/>
    </xf>
    <xf numFmtId="44" fontId="37" fillId="64" borderId="343" xfId="8202" applyFont="1" applyFill="1" applyBorder="1" applyAlignment="1" applyProtection="1">
      <alignment horizontal="center" vertical="center"/>
      <protection locked="0"/>
    </xf>
    <xf numFmtId="44" fontId="35" fillId="64" borderId="303" xfId="8202" applyFont="1" applyFill="1" applyBorder="1" applyAlignment="1" applyProtection="1">
      <alignment horizontal="center" vertical="center"/>
      <protection locked="0"/>
    </xf>
    <xf numFmtId="44" fontId="37" fillId="64" borderId="303" xfId="8202" applyFont="1" applyFill="1" applyBorder="1" applyAlignment="1" applyProtection="1">
      <alignment horizontal="center" vertical="center"/>
      <protection locked="0"/>
    </xf>
    <xf numFmtId="3" fontId="97" fillId="0" borderId="0" xfId="0" applyNumberFormat="1" applyFont="1" applyFill="1" applyAlignment="1"/>
    <xf numFmtId="37" fontId="37" fillId="64" borderId="343" xfId="8203" applyNumberFormat="1" applyFont="1" applyFill="1" applyBorder="1" applyAlignment="1" applyProtection="1">
      <alignment horizontal="center" vertical="center"/>
      <protection locked="0"/>
    </xf>
    <xf numFmtId="37" fontId="35" fillId="64" borderId="303" xfId="8203" applyNumberFormat="1" applyFont="1" applyFill="1" applyBorder="1" applyAlignment="1" applyProtection="1">
      <alignment horizontal="center" vertical="center"/>
      <protection locked="0"/>
    </xf>
    <xf numFmtId="37" fontId="37" fillId="64" borderId="303" xfId="8203" applyNumberFormat="1" applyFont="1" applyFill="1" applyBorder="1" applyAlignment="1" applyProtection="1">
      <alignment horizontal="center" vertical="center"/>
      <protection locked="0"/>
    </xf>
    <xf numFmtId="37" fontId="37" fillId="64" borderId="343" xfId="0" applyNumberFormat="1" applyFont="1" applyFill="1" applyBorder="1" applyAlignment="1" applyProtection="1">
      <alignment horizontal="center" vertical="center"/>
      <protection locked="0"/>
    </xf>
    <xf numFmtId="0" fontId="35" fillId="64" borderId="0" xfId="0" applyFont="1" applyFill="1"/>
    <xf numFmtId="37" fontId="37" fillId="40" borderId="343" xfId="0" applyNumberFormat="1" applyFont="1" applyFill="1" applyBorder="1" applyAlignment="1" applyProtection="1">
      <alignment horizontal="center" vertical="center"/>
      <protection locked="0"/>
    </xf>
    <xf numFmtId="0" fontId="35" fillId="0" borderId="0" xfId="0" applyFont="1"/>
    <xf numFmtId="0" fontId="97" fillId="64" borderId="343" xfId="0" applyFont="1" applyFill="1" applyBorder="1" applyAlignment="1" applyProtection="1">
      <alignment horizontal="center" vertical="center" wrapText="1"/>
      <protection locked="0"/>
    </xf>
    <xf numFmtId="166" fontId="116" fillId="40" borderId="303" xfId="8202" applyNumberFormat="1" applyFont="1" applyFill="1" applyBorder="1" applyAlignment="1" applyProtection="1">
      <alignment horizontal="center" vertical="center"/>
      <protection locked="0"/>
    </xf>
    <xf numFmtId="5" fontId="117" fillId="47" borderId="0" xfId="8220" applyNumberFormat="1" applyFont="1" applyFill="1" applyAlignment="1" applyProtection="1">
      <alignment horizontal="center" vertical="center"/>
      <protection hidden="1"/>
    </xf>
    <xf numFmtId="7" fontId="117" fillId="47" borderId="0" xfId="8220" applyNumberFormat="1" applyFont="1" applyFill="1" applyAlignment="1" applyProtection="1">
      <alignment horizontal="center" vertical="center"/>
      <protection hidden="1"/>
    </xf>
    <xf numFmtId="0" fontId="0" fillId="0" borderId="472" xfId="0" applyBorder="1" applyAlignment="1"/>
    <xf numFmtId="0" fontId="0" fillId="0" borderId="478" xfId="0" applyBorder="1" applyAlignment="1"/>
    <xf numFmtId="0" fontId="0" fillId="52" borderId="0" xfId="0" applyFill="1" applyAlignment="1"/>
    <xf numFmtId="0" fontId="0" fillId="0" borderId="36" xfId="0" applyBorder="1" applyAlignment="1">
      <alignment horizontal="center" vertical="center"/>
    </xf>
    <xf numFmtId="0" fontId="0" fillId="0" borderId="11" xfId="0" applyBorder="1" applyAlignment="1">
      <alignment horizontal="left" vertical="center"/>
    </xf>
    <xf numFmtId="3" fontId="0" fillId="0" borderId="11" xfId="0" applyNumberFormat="1" applyBorder="1" applyAlignment="1">
      <alignment horizontal="center" vertical="center"/>
    </xf>
    <xf numFmtId="191" fontId="0" fillId="0" borderId="11" xfId="0" applyNumberFormat="1" applyBorder="1" applyAlignment="1">
      <alignment horizontal="center" vertical="center"/>
    </xf>
    <xf numFmtId="0" fontId="0" fillId="0" borderId="0" xfId="0" applyBorder="1" applyAlignment="1">
      <alignment horizontal="center" vertical="center"/>
    </xf>
    <xf numFmtId="0" fontId="0" fillId="0" borderId="75" xfId="0" applyBorder="1" applyAlignment="1">
      <alignment horizontal="center" vertical="center"/>
    </xf>
    <xf numFmtId="0" fontId="0" fillId="0" borderId="36" xfId="0" applyFont="1" applyBorder="1" applyAlignment="1">
      <alignment horizontal="center" vertical="center"/>
    </xf>
    <xf numFmtId="0" fontId="0" fillId="0" borderId="11" xfId="0" applyFont="1" applyBorder="1" applyAlignment="1">
      <alignment vertical="center" wrapText="1"/>
    </xf>
    <xf numFmtId="3" fontId="0" fillId="0" borderId="11" xfId="0" applyNumberFormat="1" applyFont="1" applyBorder="1" applyAlignment="1">
      <alignment horizontal="center" vertical="center"/>
    </xf>
    <xf numFmtId="191" fontId="0" fillId="0" borderId="11" xfId="0" applyNumberFormat="1" applyFont="1" applyBorder="1" applyAlignment="1">
      <alignment horizontal="center" vertical="center"/>
    </xf>
    <xf numFmtId="0" fontId="0" fillId="0" borderId="0" xfId="0" applyFont="1" applyBorder="1" applyAlignment="1">
      <alignment vertical="center"/>
    </xf>
    <xf numFmtId="0" fontId="0" fillId="0" borderId="28" xfId="0" applyFont="1" applyBorder="1" applyAlignment="1">
      <alignment vertical="center"/>
    </xf>
    <xf numFmtId="0" fontId="0" fillId="0" borderId="0" xfId="0" applyBorder="1" applyAlignment="1">
      <alignment vertical="center"/>
    </xf>
    <xf numFmtId="0" fontId="0" fillId="0" borderId="75" xfId="0" applyFont="1" applyBorder="1" applyAlignment="1">
      <alignment vertical="center"/>
    </xf>
    <xf numFmtId="0" fontId="0" fillId="0" borderId="11" xfId="0" applyFont="1" applyBorder="1" applyAlignment="1">
      <alignment vertical="center"/>
    </xf>
    <xf numFmtId="3" fontId="151" fillId="0" borderId="11" xfId="0" applyNumberFormat="1" applyFont="1" applyBorder="1" applyAlignment="1">
      <alignment horizontal="center" vertical="center"/>
    </xf>
    <xf numFmtId="0" fontId="0" fillId="0" borderId="11" xfId="0" applyBorder="1" applyAlignment="1">
      <alignment vertical="center" wrapText="1"/>
    </xf>
    <xf numFmtId="0" fontId="38" fillId="0" borderId="36" xfId="0" applyFont="1" applyFill="1" applyBorder="1" applyAlignment="1">
      <alignment horizontal="center" vertical="center"/>
    </xf>
    <xf numFmtId="0" fontId="38" fillId="0" borderId="28" xfId="0" applyFont="1" applyFill="1" applyBorder="1" applyAlignment="1">
      <alignment horizontal="center" vertical="center"/>
    </xf>
    <xf numFmtId="0" fontId="38" fillId="0" borderId="0" xfId="0" applyFont="1" applyFill="1" applyBorder="1" applyAlignment="1">
      <alignment vertical="center"/>
    </xf>
    <xf numFmtId="0" fontId="38" fillId="0" borderId="75" xfId="0" applyFont="1" applyFill="1" applyBorder="1" applyAlignment="1">
      <alignment vertical="center"/>
    </xf>
    <xf numFmtId="3" fontId="38" fillId="58" borderId="11" xfId="0" applyNumberFormat="1" applyFont="1" applyFill="1" applyBorder="1" applyAlignment="1">
      <alignment horizontal="center" vertical="center"/>
    </xf>
    <xf numFmtId="191" fontId="38" fillId="58" borderId="11" xfId="0" applyNumberFormat="1" applyFont="1" applyFill="1" applyBorder="1" applyAlignment="1">
      <alignment horizontal="center" vertical="center"/>
    </xf>
    <xf numFmtId="0" fontId="130" fillId="57" borderId="11" xfId="0" applyFont="1" applyFill="1" applyBorder="1" applyAlignment="1">
      <alignment vertical="center"/>
    </xf>
    <xf numFmtId="3" fontId="155" fillId="57" borderId="11" xfId="0" applyNumberFormat="1" applyFont="1" applyFill="1" applyBorder="1" applyAlignment="1">
      <alignment horizontal="center" vertical="center"/>
    </xf>
    <xf numFmtId="191" fontId="155" fillId="57" borderId="11" xfId="0" applyNumberFormat="1" applyFont="1" applyFill="1" applyBorder="1" applyAlignment="1">
      <alignment horizontal="center" vertical="center"/>
    </xf>
    <xf numFmtId="0" fontId="0" fillId="0" borderId="11" xfId="0" applyFont="1" applyFill="1" applyBorder="1" applyAlignment="1">
      <alignment vertical="center"/>
    </xf>
    <xf numFmtId="3" fontId="0" fillId="0" borderId="11" xfId="0" applyNumberFormat="1" applyFont="1" applyFill="1" applyBorder="1" applyAlignment="1">
      <alignment horizontal="center" vertical="center"/>
    </xf>
    <xf numFmtId="191" fontId="0" fillId="0" borderId="11" xfId="0" applyNumberFormat="1" applyFont="1" applyFill="1" applyBorder="1" applyAlignment="1">
      <alignment horizontal="center" vertical="center"/>
    </xf>
    <xf numFmtId="0" fontId="0" fillId="0" borderId="0" xfId="0" applyFont="1" applyFill="1" applyBorder="1" applyAlignment="1">
      <alignment vertical="center"/>
    </xf>
    <xf numFmtId="0" fontId="0" fillId="0" borderId="0"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28" xfId="0" applyFont="1" applyFill="1" applyBorder="1" applyAlignment="1">
      <alignment horizontal="center" vertical="center"/>
    </xf>
    <xf numFmtId="3" fontId="0" fillId="0" borderId="28" xfId="0" applyNumberFormat="1" applyFont="1" applyFill="1" applyBorder="1" applyAlignment="1">
      <alignment horizontal="center" vertical="center"/>
    </xf>
    <xf numFmtId="0" fontId="0" fillId="0" borderId="11" xfId="0" applyFont="1" applyBorder="1" applyAlignment="1">
      <alignment horizontal="left" vertical="center"/>
    </xf>
    <xf numFmtId="0" fontId="38" fillId="58" borderId="11" xfId="0" applyFont="1" applyFill="1" applyBorder="1" applyAlignment="1">
      <alignment vertical="center"/>
    </xf>
    <xf numFmtId="0" fontId="0" fillId="0" borderId="11" xfId="0" applyFont="1" applyFill="1" applyBorder="1" applyAlignment="1">
      <alignment horizontal="center" vertical="center"/>
    </xf>
    <xf numFmtId="0" fontId="0" fillId="0" borderId="75" xfId="0" applyFont="1" applyBorder="1" applyAlignment="1">
      <alignment horizontal="center" vertical="center"/>
    </xf>
    <xf numFmtId="0" fontId="0" fillId="0" borderId="36" xfId="0" applyFont="1" applyBorder="1" applyAlignment="1">
      <alignment vertical="center"/>
    </xf>
    <xf numFmtId="0" fontId="38" fillId="0" borderId="36" xfId="0" applyFont="1" applyFill="1" applyBorder="1" applyAlignment="1">
      <alignment vertical="center"/>
    </xf>
    <xf numFmtId="0" fontId="38" fillId="0" borderId="28" xfId="0" applyFont="1" applyFill="1" applyBorder="1" applyAlignment="1">
      <alignment vertical="center"/>
    </xf>
    <xf numFmtId="0" fontId="189" fillId="0" borderId="0" xfId="0" applyFont="1"/>
    <xf numFmtId="0" fontId="0" fillId="0" borderId="0" xfId="0" quotePrefix="1" applyFont="1" applyBorder="1" applyAlignment="1">
      <alignment vertical="center"/>
    </xf>
    <xf numFmtId="0" fontId="0" fillId="0" borderId="0" xfId="0" quotePrefix="1" applyBorder="1" applyAlignment="1">
      <alignment vertical="center"/>
    </xf>
    <xf numFmtId="0" fontId="0" fillId="0" borderId="0" xfId="0" quotePrefix="1" applyFont="1" applyBorder="1" applyAlignment="1">
      <alignment horizontal="left" vertical="center"/>
    </xf>
    <xf numFmtId="0" fontId="38" fillId="0" borderId="0" xfId="0" quotePrefix="1" applyFont="1" applyFill="1" applyBorder="1" applyAlignment="1">
      <alignment vertical="center"/>
    </xf>
    <xf numFmtId="165" fontId="15" fillId="0" borderId="228" xfId="267" applyNumberFormat="1" applyFill="1" applyBorder="1"/>
    <xf numFmtId="165" fontId="15" fillId="0" borderId="28" xfId="267" applyNumberFormat="1" applyFill="1" applyBorder="1"/>
    <xf numFmtId="165" fontId="15" fillId="0" borderId="201" xfId="267" applyNumberFormat="1" applyFill="1" applyBorder="1"/>
    <xf numFmtId="165" fontId="15" fillId="0" borderId="201" xfId="267" applyNumberFormat="1" applyFont="1" applyFill="1" applyBorder="1"/>
    <xf numFmtId="0" fontId="0" fillId="0" borderId="0" xfId="0" applyFont="1" applyBorder="1" applyAlignment="1">
      <alignment horizontal="left" vertical="center" wrapText="1"/>
    </xf>
    <xf numFmtId="0" fontId="38" fillId="12" borderId="463" xfId="0" applyFont="1" applyFill="1" applyBorder="1" applyAlignment="1">
      <alignment horizontal="center"/>
    </xf>
    <xf numFmtId="0" fontId="0" fillId="0" borderId="0" xfId="0" applyFont="1" applyBorder="1" applyAlignment="1">
      <alignment horizontal="left" vertical="center"/>
    </xf>
    <xf numFmtId="0" fontId="0" fillId="0" borderId="75" xfId="0" applyBorder="1" applyAlignment="1">
      <alignment vertical="center"/>
    </xf>
    <xf numFmtId="3" fontId="0" fillId="0" borderId="28" xfId="0" applyNumberFormat="1" applyBorder="1" applyAlignment="1">
      <alignment horizontal="center" vertical="center"/>
    </xf>
    <xf numFmtId="4" fontId="0" fillId="0" borderId="11" xfId="0" applyNumberFormat="1" applyBorder="1" applyAlignment="1">
      <alignment horizontal="center" vertical="center"/>
    </xf>
    <xf numFmtId="0" fontId="0" fillId="0" borderId="28" xfId="0" applyBorder="1" applyAlignment="1">
      <alignment vertical="center"/>
    </xf>
    <xf numFmtId="0" fontId="38" fillId="0" borderId="28" xfId="0" applyFont="1" applyBorder="1" applyAlignment="1">
      <alignment horizontal="center" vertical="center"/>
    </xf>
    <xf numFmtId="0" fontId="38" fillId="56" borderId="11" xfId="0" applyFont="1" applyFill="1" applyBorder="1" applyAlignment="1">
      <alignment vertical="center"/>
    </xf>
    <xf numFmtId="3" fontId="38" fillId="56" borderId="11" xfId="0" applyNumberFormat="1" applyFont="1" applyFill="1" applyBorder="1" applyAlignment="1">
      <alignment horizontal="center" vertical="center"/>
    </xf>
    <xf numFmtId="191" fontId="38" fillId="56" borderId="11" xfId="0" applyNumberFormat="1" applyFont="1" applyFill="1" applyBorder="1" applyAlignment="1">
      <alignment horizontal="center" vertical="center"/>
    </xf>
    <xf numFmtId="0" fontId="38" fillId="12" borderId="463" xfId="0" applyFont="1" applyFill="1" applyBorder="1" applyAlignment="1">
      <alignment horizontal="center"/>
    </xf>
    <xf numFmtId="0" fontId="0" fillId="0" borderId="11" xfId="0" applyBorder="1" applyAlignment="1">
      <alignment vertical="center"/>
    </xf>
    <xf numFmtId="0" fontId="152" fillId="0" borderId="0" xfId="0" applyFont="1" applyAlignment="1">
      <alignment horizontal="left" indent="1"/>
    </xf>
    <xf numFmtId="0" fontId="152" fillId="0" borderId="0" xfId="0" applyFont="1" applyFill="1" applyAlignment="1">
      <alignment horizontal="left" indent="1"/>
    </xf>
    <xf numFmtId="172" fontId="0" fillId="0" borderId="52" xfId="7" applyNumberFormat="1" applyFont="1" applyFill="1" applyBorder="1" applyProtection="1"/>
    <xf numFmtId="172" fontId="0" fillId="0" borderId="44" xfId="7" applyNumberFormat="1" applyFont="1" applyFill="1" applyBorder="1" applyProtection="1"/>
    <xf numFmtId="172" fontId="141" fillId="0" borderId="44" xfId="7" applyNumberFormat="1" applyFont="1" applyFill="1" applyBorder="1" applyProtection="1"/>
    <xf numFmtId="172" fontId="0" fillId="0" borderId="45" xfId="7" applyNumberFormat="1" applyFont="1" applyFill="1" applyBorder="1" applyProtection="1"/>
    <xf numFmtId="172" fontId="141" fillId="0" borderId="45" xfId="7" applyNumberFormat="1" applyFont="1" applyFill="1" applyBorder="1" applyProtection="1"/>
    <xf numFmtId="172" fontId="5" fillId="0" borderId="9" xfId="7" applyNumberFormat="1" applyFont="1" applyBorder="1" applyProtection="1"/>
    <xf numFmtId="172" fontId="5" fillId="0" borderId="9" xfId="7" applyNumberFormat="1" applyFont="1" applyFill="1" applyBorder="1" applyProtection="1"/>
    <xf numFmtId="172" fontId="1" fillId="0" borderId="61" xfId="7" applyNumberFormat="1" applyFont="1" applyBorder="1" applyProtection="1"/>
    <xf numFmtId="172" fontId="1" fillId="0" borderId="44" xfId="7" applyNumberFormat="1" applyFont="1" applyBorder="1" applyProtection="1"/>
    <xf numFmtId="172" fontId="1" fillId="0" borderId="463" xfId="7" applyNumberFormat="1" applyFont="1" applyBorder="1" applyProtection="1"/>
    <xf numFmtId="172" fontId="1" fillId="0" borderId="64" xfId="7" applyNumberFormat="1" applyFont="1" applyBorder="1" applyProtection="1"/>
    <xf numFmtId="172" fontId="1" fillId="0" borderId="52" xfId="7" applyNumberFormat="1" applyFont="1" applyFill="1" applyBorder="1" applyProtection="1"/>
    <xf numFmtId="172" fontId="1" fillId="0" borderId="44" xfId="7" applyNumberFormat="1" applyFont="1" applyFill="1" applyBorder="1" applyProtection="1"/>
    <xf numFmtId="172" fontId="1" fillId="0" borderId="63" xfId="7" applyNumberFormat="1" applyFont="1" applyFill="1" applyBorder="1" applyProtection="1"/>
    <xf numFmtId="172" fontId="1" fillId="0" borderId="61" xfId="7" applyNumberFormat="1" applyFont="1" applyFill="1" applyBorder="1" applyProtection="1"/>
    <xf numFmtId="172" fontId="1" fillId="0" borderId="49" xfId="7" applyNumberFormat="1" applyFont="1" applyBorder="1" applyProtection="1"/>
    <xf numFmtId="172" fontId="1" fillId="0" borderId="2" xfId="7" applyNumberFormat="1" applyFont="1" applyBorder="1" applyProtection="1"/>
    <xf numFmtId="0" fontId="191" fillId="0" borderId="0" xfId="0" applyFont="1" applyFill="1" applyBorder="1" applyAlignment="1">
      <alignment vertical="center"/>
    </xf>
    <xf numFmtId="0" fontId="194" fillId="0" borderId="11" xfId="0" applyFont="1" applyBorder="1" applyAlignment="1">
      <alignment horizontal="center" vertical="center"/>
    </xf>
    <xf numFmtId="0" fontId="194" fillId="0" borderId="0" xfId="0" applyFont="1" applyBorder="1" applyAlignment="1">
      <alignment horizontal="center" vertical="center"/>
    </xf>
    <xf numFmtId="191" fontId="151" fillId="0" borderId="11" xfId="0" applyNumberFormat="1" applyFont="1" applyBorder="1" applyAlignment="1">
      <alignment horizontal="center" vertical="center"/>
    </xf>
    <xf numFmtId="0" fontId="38" fillId="0" borderId="40" xfId="0" quotePrefix="1" applyFont="1" applyBorder="1" applyAlignment="1">
      <alignment vertical="center"/>
    </xf>
    <xf numFmtId="0" fontId="190" fillId="0" borderId="0" xfId="0" applyFont="1" applyBorder="1"/>
    <xf numFmtId="0" fontId="190" fillId="0" borderId="0" xfId="0" applyFont="1" applyBorder="1" applyAlignment="1">
      <alignment vertical="center"/>
    </xf>
    <xf numFmtId="175" fontId="0" fillId="0" borderId="11" xfId="0" applyNumberFormat="1" applyFont="1" applyBorder="1" applyAlignment="1">
      <alignment horizontal="center" vertical="center"/>
    </xf>
    <xf numFmtId="0" fontId="195" fillId="57" borderId="428" xfId="0" applyFont="1" applyFill="1" applyBorder="1" applyAlignment="1">
      <alignment vertical="center"/>
    </xf>
    <xf numFmtId="0" fontId="195" fillId="57" borderId="487" xfId="0" applyFont="1" applyFill="1" applyBorder="1" applyAlignment="1">
      <alignment vertical="center"/>
    </xf>
    <xf numFmtId="0" fontId="195" fillId="57" borderId="464" xfId="0" applyFont="1" applyFill="1" applyBorder="1" applyAlignment="1">
      <alignment vertical="center"/>
    </xf>
    <xf numFmtId="0" fontId="195" fillId="57" borderId="30" xfId="0" applyFont="1" applyFill="1" applyBorder="1" applyAlignment="1">
      <alignment vertical="center"/>
    </xf>
    <xf numFmtId="0" fontId="195" fillId="57" borderId="463" xfId="0" applyFont="1" applyFill="1" applyBorder="1" applyAlignment="1">
      <alignment vertical="center"/>
    </xf>
    <xf numFmtId="190" fontId="130" fillId="67" borderId="196" xfId="0" applyNumberFormat="1" applyFont="1" applyFill="1" applyBorder="1" applyAlignment="1" applyProtection="1">
      <alignment vertical="center"/>
    </xf>
    <xf numFmtId="186" fontId="130" fillId="67" borderId="463" xfId="0" applyNumberFormat="1" applyFont="1" applyFill="1" applyBorder="1" applyAlignment="1" applyProtection="1">
      <alignment vertical="center"/>
    </xf>
    <xf numFmtId="42" fontId="130" fillId="67" borderId="464" xfId="0" applyNumberFormat="1" applyFont="1" applyFill="1" applyBorder="1" applyAlignment="1" applyProtection="1">
      <alignment vertical="center"/>
    </xf>
    <xf numFmtId="173" fontId="130" fillId="67" borderId="464" xfId="0" applyNumberFormat="1" applyFont="1" applyFill="1" applyBorder="1" applyAlignment="1" applyProtection="1">
      <alignment vertical="center"/>
    </xf>
    <xf numFmtId="42" fontId="130" fillId="67" borderId="487" xfId="0" applyNumberFormat="1" applyFont="1" applyFill="1" applyBorder="1" applyAlignment="1" applyProtection="1">
      <alignment vertical="center"/>
    </xf>
    <xf numFmtId="42" fontId="130" fillId="67" borderId="463" xfId="0" applyNumberFormat="1" applyFont="1" applyFill="1" applyBorder="1" applyAlignment="1" applyProtection="1">
      <alignment vertical="center"/>
    </xf>
    <xf numFmtId="42" fontId="130" fillId="67" borderId="201" xfId="0" applyNumberFormat="1" applyFont="1" applyFill="1" applyBorder="1" applyAlignment="1" applyProtection="1">
      <alignment vertical="center"/>
    </xf>
    <xf numFmtId="42" fontId="130" fillId="57" borderId="464" xfId="0" applyNumberFormat="1" applyFont="1" applyFill="1" applyBorder="1" applyAlignment="1" applyProtection="1">
      <alignment vertical="center"/>
    </xf>
    <xf numFmtId="3" fontId="130" fillId="57" borderId="464" xfId="0" applyNumberFormat="1" applyFont="1" applyFill="1" applyBorder="1" applyAlignment="1" applyProtection="1">
      <alignment vertical="center"/>
    </xf>
    <xf numFmtId="42" fontId="130" fillId="57" borderId="487" xfId="0" applyNumberFormat="1" applyFont="1" applyFill="1" applyBorder="1" applyAlignment="1" applyProtection="1">
      <alignment vertical="center"/>
    </xf>
    <xf numFmtId="186" fontId="130" fillId="57" borderId="463" xfId="0" applyNumberFormat="1" applyFont="1" applyFill="1" applyBorder="1" applyAlignment="1" applyProtection="1">
      <alignment vertical="center"/>
    </xf>
    <xf numFmtId="42" fontId="130" fillId="57" borderId="463" xfId="0" applyNumberFormat="1" applyFont="1" applyFill="1" applyBorder="1" applyAlignment="1" applyProtection="1">
      <alignment vertical="center"/>
    </xf>
    <xf numFmtId="3" fontId="130" fillId="57" borderId="463" xfId="0" applyNumberFormat="1" applyFont="1" applyFill="1" applyBorder="1" applyAlignment="1" applyProtection="1">
      <alignment vertical="center"/>
    </xf>
    <xf numFmtId="42" fontId="130" fillId="57" borderId="201" xfId="0" applyNumberFormat="1" applyFont="1" applyFill="1" applyBorder="1" applyAlignment="1" applyProtection="1">
      <alignment vertical="center"/>
    </xf>
    <xf numFmtId="190" fontId="130" fillId="57" borderId="464" xfId="0" applyNumberFormat="1" applyFont="1" applyFill="1" applyBorder="1"/>
    <xf numFmtId="2" fontId="12" fillId="0" borderId="0" xfId="3" applyNumberFormat="1" applyFont="1" applyFill="1" applyAlignment="1">
      <alignment horizontal="center"/>
    </xf>
    <xf numFmtId="167" fontId="17" fillId="0" borderId="0" xfId="22" applyNumberFormat="1" applyFont="1" applyFill="1" applyAlignment="1">
      <alignment horizontal="center"/>
    </xf>
    <xf numFmtId="167" fontId="17" fillId="0" borderId="0" xfId="15" applyNumberFormat="1" applyFont="1" applyFill="1" applyAlignment="1">
      <alignment horizontal="center"/>
    </xf>
    <xf numFmtId="165" fontId="17" fillId="0" borderId="0" xfId="186" applyNumberFormat="1" applyFont="1" applyFill="1" applyAlignment="1">
      <alignment horizontal="center"/>
    </xf>
    <xf numFmtId="2" fontId="0" fillId="0" borderId="0" xfId="0" applyNumberFormat="1" applyAlignment="1">
      <alignment horizontal="center"/>
    </xf>
    <xf numFmtId="39" fontId="38" fillId="0" borderId="0" xfId="0" applyNumberFormat="1" applyFont="1"/>
    <xf numFmtId="0" fontId="0" fillId="68" borderId="0" xfId="0" applyFill="1"/>
    <xf numFmtId="39" fontId="0" fillId="68" borderId="0" xfId="0" applyNumberFormat="1" applyFill="1"/>
    <xf numFmtId="39" fontId="38" fillId="68" borderId="0" xfId="0" applyNumberFormat="1" applyFont="1" applyFill="1"/>
    <xf numFmtId="2" fontId="0" fillId="68" borderId="0" xfId="0" applyNumberFormat="1" applyFill="1"/>
    <xf numFmtId="0" fontId="0" fillId="69" borderId="0" xfId="0" applyFill="1"/>
    <xf numFmtId="39" fontId="0" fillId="69" borderId="0" xfId="0" applyNumberFormat="1" applyFill="1"/>
    <xf numFmtId="39" fontId="38" fillId="69" borderId="0" xfId="0" applyNumberFormat="1" applyFont="1" applyFill="1"/>
    <xf numFmtId="2" fontId="0" fillId="69" borderId="0" xfId="0" applyNumberFormat="1" applyFill="1"/>
    <xf numFmtId="0" fontId="0" fillId="70" borderId="0" xfId="0" applyFill="1"/>
    <xf numFmtId="39" fontId="0" fillId="70" borderId="0" xfId="0" applyNumberFormat="1" applyFill="1"/>
    <xf numFmtId="39" fontId="38" fillId="70" borderId="0" xfId="0" applyNumberFormat="1" applyFont="1" applyFill="1"/>
    <xf numFmtId="0" fontId="38" fillId="71" borderId="418" xfId="0" applyFont="1" applyFill="1" applyBorder="1"/>
    <xf numFmtId="0" fontId="38" fillId="71" borderId="427" xfId="0" applyFont="1" applyFill="1" applyBorder="1" applyAlignment="1">
      <alignment horizontal="right"/>
    </xf>
    <xf numFmtId="39" fontId="38" fillId="71" borderId="427" xfId="0" applyNumberFormat="1" applyFont="1" applyFill="1" applyBorder="1"/>
    <xf numFmtId="0" fontId="38" fillId="71" borderId="427" xfId="0" applyFont="1" applyFill="1" applyBorder="1"/>
    <xf numFmtId="39" fontId="38" fillId="71" borderId="419" xfId="0" applyNumberFormat="1" applyFont="1" applyFill="1" applyBorder="1"/>
    <xf numFmtId="0" fontId="0" fillId="72" borderId="0" xfId="0" applyFill="1"/>
    <xf numFmtId="175" fontId="0" fillId="0" borderId="0" xfId="0" applyNumberFormat="1"/>
    <xf numFmtId="175" fontId="38" fillId="0" borderId="0" xfId="0" applyNumberFormat="1" applyFont="1"/>
    <xf numFmtId="175" fontId="0" fillId="12" borderId="473" xfId="0" applyNumberFormat="1" applyFill="1" applyBorder="1"/>
    <xf numFmtId="0" fontId="0" fillId="12" borderId="487" xfId="0" applyFill="1" applyBorder="1"/>
    <xf numFmtId="39" fontId="0" fillId="12" borderId="40" xfId="0" applyNumberFormat="1" applyFill="1" applyBorder="1"/>
    <xf numFmtId="0" fontId="0" fillId="12" borderId="28" xfId="0" applyFill="1" applyBorder="1"/>
    <xf numFmtId="175" fontId="0" fillId="12" borderId="30" xfId="0" applyNumberFormat="1" applyFill="1" applyBorder="1"/>
    <xf numFmtId="0" fontId="0" fillId="12" borderId="201" xfId="0" applyFill="1" applyBorder="1"/>
    <xf numFmtId="0" fontId="117" fillId="39" borderId="0" xfId="8220" applyFont="1" applyFill="1" applyAlignment="1" applyProtection="1">
      <alignment horizontal="left" vertical="center" indent="2"/>
      <protection hidden="1"/>
    </xf>
    <xf numFmtId="44" fontId="25" fillId="0" borderId="489" xfId="1" applyFont="1" applyFill="1" applyBorder="1" applyAlignment="1">
      <alignment horizontal="right"/>
    </xf>
    <xf numFmtId="0" fontId="23" fillId="0" borderId="0" xfId="0" applyFont="1" applyBorder="1" applyAlignment="1">
      <alignment horizontal="right"/>
    </xf>
    <xf numFmtId="164" fontId="25" fillId="0" borderId="0" xfId="0" applyNumberFormat="1" applyFont="1" applyBorder="1"/>
    <xf numFmtId="168" fontId="25" fillId="0" borderId="0" xfId="0" applyNumberFormat="1" applyFont="1" applyBorder="1"/>
    <xf numFmtId="166" fontId="25" fillId="0" borderId="0" xfId="8" applyNumberFormat="1" applyFont="1" applyFill="1" applyBorder="1" applyAlignment="1">
      <alignment horizontal="right"/>
    </xf>
    <xf numFmtId="44" fontId="25" fillId="0" borderId="0" xfId="1" applyFont="1" applyFill="1" applyBorder="1" applyAlignment="1">
      <alignment horizontal="right"/>
    </xf>
    <xf numFmtId="0" fontId="23" fillId="0" borderId="0" xfId="0" applyFont="1" applyFill="1" applyBorder="1" applyAlignment="1">
      <alignment horizontal="right"/>
    </xf>
    <xf numFmtId="0" fontId="24" fillId="0" borderId="474" xfId="0" applyFont="1" applyBorder="1"/>
    <xf numFmtId="0" fontId="25" fillId="0" borderId="469" xfId="0" applyFont="1" applyBorder="1" applyAlignment="1">
      <alignment horizontal="center" wrapText="1"/>
    </xf>
    <xf numFmtId="166" fontId="25" fillId="4" borderId="195" xfId="8" applyNumberFormat="1" applyFont="1" applyFill="1" applyBorder="1" applyAlignment="1">
      <alignment horizontal="right"/>
    </xf>
    <xf numFmtId="166" fontId="25" fillId="0" borderId="194" xfId="8" applyNumberFormat="1" applyFont="1" applyFill="1" applyBorder="1" applyAlignment="1">
      <alignment horizontal="right"/>
    </xf>
    <xf numFmtId="44" fontId="25" fillId="0" borderId="194" xfId="1" applyFont="1" applyFill="1" applyBorder="1" applyAlignment="1">
      <alignment horizontal="right"/>
    </xf>
    <xf numFmtId="164" fontId="0" fillId="0" borderId="22" xfId="0" applyNumberFormat="1" applyFill="1" applyBorder="1"/>
    <xf numFmtId="164" fontId="0" fillId="0" borderId="23" xfId="0" applyNumberFormat="1" applyFill="1" applyBorder="1"/>
    <xf numFmtId="164" fontId="25" fillId="0" borderId="428" xfId="0" applyNumberFormat="1" applyFont="1" applyFill="1" applyBorder="1"/>
    <xf numFmtId="168" fontId="25" fillId="0" borderId="485" xfId="0" applyNumberFormat="1" applyFont="1" applyFill="1" applyBorder="1"/>
    <xf numFmtId="164" fontId="38" fillId="15" borderId="492" xfId="0" applyNumberFormat="1" applyFont="1" applyFill="1" applyBorder="1"/>
    <xf numFmtId="164" fontId="38" fillId="15" borderId="471" xfId="0" applyNumberFormat="1" applyFont="1" applyFill="1" applyBorder="1"/>
    <xf numFmtId="164" fontId="38" fillId="15" borderId="493" xfId="0" applyNumberFormat="1" applyFont="1" applyFill="1" applyBorder="1"/>
    <xf numFmtId="164" fontId="25" fillId="15" borderId="477" xfId="0" applyNumberFormat="1" applyFont="1" applyFill="1" applyBorder="1"/>
    <xf numFmtId="168" fontId="25" fillId="15" borderId="478" xfId="0" applyNumberFormat="1" applyFont="1" applyFill="1" applyBorder="1"/>
    <xf numFmtId="44" fontId="25" fillId="0" borderId="3" xfId="1" applyFont="1" applyFill="1" applyBorder="1" applyAlignment="1">
      <alignment horizontal="right"/>
    </xf>
    <xf numFmtId="164" fontId="0" fillId="15" borderId="492" xfId="0" applyNumberFormat="1" applyFill="1" applyBorder="1"/>
    <xf numFmtId="164" fontId="0" fillId="15" borderId="471" xfId="0" applyNumberFormat="1" applyFill="1" applyBorder="1"/>
    <xf numFmtId="164" fontId="0" fillId="15" borderId="493" xfId="0" applyNumberFormat="1" applyFill="1" applyBorder="1"/>
    <xf numFmtId="166" fontId="25" fillId="0" borderId="0" xfId="11" applyNumberFormat="1" applyFont="1" applyFill="1" applyBorder="1" applyAlignment="1">
      <alignment horizontal="right"/>
    </xf>
    <xf numFmtId="166" fontId="25" fillId="0" borderId="194" xfId="11" applyNumberFormat="1" applyFont="1" applyFill="1" applyBorder="1" applyAlignment="1">
      <alignment horizontal="right"/>
    </xf>
    <xf numFmtId="0" fontId="23" fillId="0" borderId="0" xfId="0" applyFont="1" applyBorder="1" applyAlignment="1">
      <alignment horizontal="right" vertical="top"/>
    </xf>
    <xf numFmtId="166" fontId="25" fillId="0" borderId="0" xfId="0" applyNumberFormat="1" applyFont="1" applyBorder="1" applyAlignment="1">
      <alignment horizontal="right"/>
    </xf>
    <xf numFmtId="44" fontId="25" fillId="0" borderId="0" xfId="0" applyNumberFormat="1" applyFont="1" applyBorder="1" applyAlignment="1">
      <alignment horizontal="right"/>
    </xf>
    <xf numFmtId="166" fontId="25" fillId="0" borderId="194" xfId="0" applyNumberFormat="1" applyFont="1" applyBorder="1" applyAlignment="1">
      <alignment horizontal="right"/>
    </xf>
    <xf numFmtId="44" fontId="25" fillId="0" borderId="3" xfId="0" applyNumberFormat="1" applyFont="1" applyBorder="1" applyAlignment="1">
      <alignment horizontal="right"/>
    </xf>
    <xf numFmtId="164" fontId="25" fillId="0" borderId="494" xfId="0" applyNumberFormat="1" applyFont="1" applyFill="1" applyBorder="1"/>
    <xf numFmtId="168" fontId="25" fillId="0" borderId="32" xfId="0" applyNumberFormat="1" applyFont="1" applyFill="1" applyBorder="1"/>
    <xf numFmtId="173" fontId="25" fillId="0" borderId="0" xfId="0" applyNumberFormat="1" applyFont="1" applyBorder="1"/>
    <xf numFmtId="173" fontId="25" fillId="0" borderId="485" xfId="0" applyNumberFormat="1" applyFont="1" applyFill="1" applyBorder="1"/>
    <xf numFmtId="173" fontId="25" fillId="15" borderId="478" xfId="0" applyNumberFormat="1" applyFont="1" applyFill="1" applyBorder="1"/>
    <xf numFmtId="0" fontId="25" fillId="0" borderId="469" xfId="0" applyFont="1" applyFill="1" applyBorder="1" applyAlignment="1">
      <alignment horizontal="center"/>
    </xf>
    <xf numFmtId="0" fontId="25" fillId="0" borderId="469" xfId="0" applyFont="1" applyFill="1" applyBorder="1" applyAlignment="1">
      <alignment horizontal="center" wrapText="1"/>
    </xf>
    <xf numFmtId="0" fontId="25" fillId="0" borderId="338" xfId="0" applyFont="1" applyFill="1" applyBorder="1" applyAlignment="1">
      <alignment horizontal="center"/>
    </xf>
    <xf numFmtId="44" fontId="25" fillId="0" borderId="464" xfId="1" applyFont="1" applyFill="1" applyBorder="1" applyAlignment="1">
      <alignment horizontal="right"/>
    </xf>
    <xf numFmtId="173" fontId="25" fillId="0" borderId="478" xfId="0" applyNumberFormat="1" applyFont="1" applyFill="1" applyBorder="1"/>
    <xf numFmtId="168" fontId="25" fillId="0" borderId="485" xfId="0" applyNumberFormat="1" applyFont="1" applyFill="1" applyBorder="1" applyAlignment="1">
      <alignment horizontal="right"/>
    </xf>
    <xf numFmtId="0" fontId="23" fillId="0" borderId="75" xfId="0" applyFont="1" applyBorder="1" applyAlignment="1">
      <alignment horizontal="right"/>
    </xf>
    <xf numFmtId="173" fontId="25" fillId="0" borderId="485" xfId="0" applyNumberFormat="1" applyFont="1" applyFill="1" applyBorder="1" applyAlignment="1">
      <alignment horizontal="right"/>
    </xf>
    <xf numFmtId="0" fontId="41" fillId="0" borderId="0" xfId="12" applyFont="1" applyFill="1" applyBorder="1" applyAlignment="1">
      <alignment horizontal="right"/>
    </xf>
    <xf numFmtId="165" fontId="41" fillId="0" borderId="0" xfId="15" applyNumberFormat="1" applyFont="1" applyFill="1" applyBorder="1"/>
    <xf numFmtId="168" fontId="41" fillId="0" borderId="0" xfId="15" applyNumberFormat="1" applyFont="1" applyFill="1" applyBorder="1"/>
    <xf numFmtId="0" fontId="3" fillId="3" borderId="480" xfId="12" applyFont="1" applyFill="1" applyBorder="1" applyAlignment="1">
      <alignment horizontal="center" vertical="center" wrapText="1"/>
    </xf>
    <xf numFmtId="0" fontId="3" fillId="3" borderId="482" xfId="12" applyFont="1" applyFill="1" applyBorder="1" applyAlignment="1">
      <alignment horizontal="center" vertical="center" wrapText="1"/>
    </xf>
    <xf numFmtId="6" fontId="15" fillId="0" borderId="426" xfId="222" applyNumberFormat="1" applyFill="1" applyBorder="1"/>
    <xf numFmtId="6" fontId="15" fillId="0" borderId="427" xfId="222" applyNumberFormat="1" applyFill="1" applyBorder="1"/>
    <xf numFmtId="49" fontId="15" fillId="0" borderId="427" xfId="222" applyNumberFormat="1" applyFill="1" applyBorder="1"/>
    <xf numFmtId="6" fontId="15" fillId="0" borderId="463" xfId="222" applyNumberFormat="1" applyFill="1" applyBorder="1"/>
    <xf numFmtId="6" fontId="15" fillId="0" borderId="5" xfId="222" applyNumberFormat="1" applyFill="1" applyBorder="1"/>
    <xf numFmtId="42" fontId="15" fillId="0" borderId="457" xfId="222" applyNumberFormat="1" applyFill="1" applyBorder="1"/>
    <xf numFmtId="42" fontId="39" fillId="15" borderId="495" xfId="12" applyNumberFormat="1" applyFill="1" applyBorder="1"/>
    <xf numFmtId="42" fontId="39" fillId="15" borderId="496" xfId="12" applyNumberFormat="1" applyFill="1" applyBorder="1"/>
    <xf numFmtId="42" fontId="41" fillId="15" borderId="495" xfId="12" applyNumberFormat="1" applyFont="1" applyFill="1" applyBorder="1"/>
    <xf numFmtId="42" fontId="41" fillId="15" borderId="496" xfId="12" applyNumberFormat="1" applyFont="1" applyFill="1" applyBorder="1"/>
    <xf numFmtId="42" fontId="41" fillId="15" borderId="472" xfId="12" applyNumberFormat="1" applyFont="1" applyFill="1" applyBorder="1"/>
    <xf numFmtId="42" fontId="41" fillId="15" borderId="8" xfId="12" applyNumberFormat="1" applyFont="1" applyFill="1" applyBorder="1"/>
    <xf numFmtId="168" fontId="41" fillId="15" borderId="497" xfId="12" applyNumberFormat="1" applyFont="1" applyFill="1" applyBorder="1"/>
    <xf numFmtId="44" fontId="41" fillId="0" borderId="0" xfId="1" applyFont="1" applyFill="1" applyBorder="1"/>
    <xf numFmtId="44" fontId="15" fillId="0" borderId="427" xfId="1" applyFont="1" applyFill="1" applyBorder="1"/>
    <xf numFmtId="44" fontId="41" fillId="15" borderId="496" xfId="1" applyFont="1" applyFill="1" applyBorder="1"/>
    <xf numFmtId="3" fontId="45" fillId="3" borderId="81" xfId="12" applyNumberFormat="1" applyFont="1" applyFill="1" applyBorder="1" applyAlignment="1">
      <alignment horizontal="center" vertical="center" wrapText="1"/>
    </xf>
    <xf numFmtId="165" fontId="15" fillId="0" borderId="464" xfId="206" applyNumberFormat="1" applyFont="1" applyFill="1" applyBorder="1"/>
    <xf numFmtId="165" fontId="15" fillId="0" borderId="464" xfId="222" applyNumberFormat="1" applyFill="1" applyBorder="1"/>
    <xf numFmtId="180" fontId="15" fillId="0" borderId="464" xfId="222" applyNumberFormat="1" applyFill="1" applyBorder="1"/>
    <xf numFmtId="44" fontId="15" fillId="0" borderId="487" xfId="1" applyFont="1" applyFill="1" applyBorder="1"/>
    <xf numFmtId="6" fontId="15" fillId="0" borderId="419" xfId="222" applyNumberFormat="1" applyFill="1" applyBorder="1"/>
    <xf numFmtId="3" fontId="15" fillId="0" borderId="457" xfId="222" applyNumberFormat="1" applyFill="1" applyBorder="1"/>
    <xf numFmtId="42" fontId="39" fillId="15" borderId="493" xfId="12" applyNumberFormat="1" applyFill="1" applyBorder="1"/>
    <xf numFmtId="165" fontId="41" fillId="15" borderId="496" xfId="18" applyNumberFormat="1" applyFont="1" applyFill="1" applyBorder="1"/>
    <xf numFmtId="165" fontId="41" fillId="15" borderId="496" xfId="12" applyNumberFormat="1" applyFont="1" applyFill="1" applyBorder="1"/>
    <xf numFmtId="180" fontId="41" fillId="15" borderId="496" xfId="12" applyNumberFormat="1" applyFont="1" applyFill="1" applyBorder="1"/>
    <xf numFmtId="44" fontId="41" fillId="15" borderId="493" xfId="1" applyFont="1" applyFill="1" applyBorder="1"/>
    <xf numFmtId="42" fontId="41" fillId="15" borderId="493" xfId="12" applyNumberFormat="1" applyFont="1" applyFill="1" applyBorder="1"/>
    <xf numFmtId="3" fontId="41" fillId="15" borderId="497" xfId="12" applyNumberFormat="1" applyFont="1" applyFill="1" applyBorder="1"/>
    <xf numFmtId="42" fontId="15" fillId="0" borderId="426" xfId="222" applyNumberFormat="1" applyFill="1" applyBorder="1"/>
    <xf numFmtId="42" fontId="15" fillId="0" borderId="427" xfId="222" applyNumberFormat="1" applyFill="1" applyBorder="1"/>
    <xf numFmtId="42" fontId="15" fillId="0" borderId="419" xfId="222" applyNumberFormat="1" applyFill="1" applyBorder="1"/>
    <xf numFmtId="0" fontId="23" fillId="0" borderId="0" xfId="28" applyFont="1" applyBorder="1" applyAlignment="1">
      <alignment horizontal="right"/>
    </xf>
    <xf numFmtId="165" fontId="41" fillId="0" borderId="0" xfId="20" applyNumberFormat="1" applyFont="1" applyFill="1" applyBorder="1"/>
    <xf numFmtId="3" fontId="41" fillId="0" borderId="0" xfId="20" applyNumberFormat="1" applyFont="1" applyFill="1" applyBorder="1"/>
    <xf numFmtId="0" fontId="3" fillId="3" borderId="480" xfId="3" applyFont="1" applyFill="1" applyBorder="1" applyAlignment="1">
      <alignment horizontal="center" vertical="center" wrapText="1"/>
    </xf>
    <xf numFmtId="0" fontId="3" fillId="3" borderId="482" xfId="3" applyFont="1" applyFill="1" applyBorder="1" applyAlignment="1">
      <alignment horizontal="center" vertical="center" wrapText="1"/>
    </xf>
    <xf numFmtId="3" fontId="3" fillId="3" borderId="81" xfId="3" applyNumberFormat="1" applyFont="1" applyFill="1" applyBorder="1" applyAlignment="1">
      <alignment horizontal="center" vertical="center" wrapText="1"/>
    </xf>
    <xf numFmtId="42" fontId="15" fillId="15" borderId="426" xfId="3" applyNumberFormat="1" applyFill="1" applyBorder="1"/>
    <xf numFmtId="42" fontId="15" fillId="15" borderId="427" xfId="3" applyNumberFormat="1" applyFill="1" applyBorder="1"/>
    <xf numFmtId="165" fontId="15" fillId="15" borderId="464" xfId="3" applyNumberFormat="1" applyFill="1" applyBorder="1"/>
    <xf numFmtId="3" fontId="15" fillId="15" borderId="457" xfId="3" applyNumberFormat="1" applyFill="1" applyBorder="1"/>
    <xf numFmtId="42" fontId="15" fillId="0" borderId="495" xfId="3" applyNumberFormat="1" applyBorder="1"/>
    <xf numFmtId="42" fontId="15" fillId="0" borderId="496" xfId="3" applyNumberFormat="1" applyBorder="1"/>
    <xf numFmtId="165" fontId="15" fillId="0" borderId="496" xfId="3" applyNumberFormat="1" applyBorder="1"/>
    <xf numFmtId="180" fontId="15" fillId="0" borderId="496" xfId="3" applyNumberFormat="1" applyBorder="1"/>
    <xf numFmtId="3" fontId="15" fillId="0" borderId="497" xfId="3" applyNumberFormat="1" applyBorder="1"/>
    <xf numFmtId="42" fontId="15" fillId="0" borderId="426" xfId="3" applyNumberFormat="1" applyFill="1" applyBorder="1"/>
    <xf numFmtId="42" fontId="15" fillId="0" borderId="427" xfId="3" applyNumberFormat="1" applyFill="1" applyBorder="1"/>
    <xf numFmtId="165" fontId="15" fillId="0" borderId="464" xfId="3" applyNumberFormat="1" applyFill="1" applyBorder="1"/>
    <xf numFmtId="180" fontId="15" fillId="0" borderId="464" xfId="3" applyNumberFormat="1" applyFill="1" applyBorder="1"/>
    <xf numFmtId="42" fontId="15" fillId="0" borderId="419" xfId="3" applyNumberFormat="1" applyFill="1" applyBorder="1"/>
    <xf numFmtId="3" fontId="15" fillId="0" borderId="457" xfId="3" applyNumberFormat="1" applyFill="1" applyBorder="1"/>
    <xf numFmtId="42" fontId="41" fillId="15" borderId="495" xfId="3" applyNumberFormat="1" applyFont="1" applyFill="1" applyBorder="1"/>
    <xf numFmtId="42" fontId="41" fillId="15" borderId="496" xfId="3" applyNumberFormat="1" applyFont="1" applyFill="1" applyBorder="1"/>
    <xf numFmtId="165" fontId="41" fillId="15" borderId="496" xfId="3" applyNumberFormat="1" applyFont="1" applyFill="1" applyBorder="1"/>
    <xf numFmtId="180" fontId="41" fillId="15" borderId="496" xfId="3" applyNumberFormat="1" applyFont="1" applyFill="1" applyBorder="1"/>
    <xf numFmtId="42" fontId="41" fillId="15" borderId="493" xfId="3" applyNumberFormat="1" applyFont="1" applyFill="1" applyBorder="1"/>
    <xf numFmtId="3" fontId="41" fillId="15" borderId="497" xfId="3" applyNumberFormat="1" applyFont="1" applyFill="1" applyBorder="1"/>
    <xf numFmtId="0" fontId="3" fillId="3" borderId="81" xfId="3" applyFont="1" applyFill="1" applyBorder="1" applyAlignment="1">
      <alignment horizontal="center" vertical="center" wrapText="1"/>
    </xf>
    <xf numFmtId="165" fontId="15" fillId="0" borderId="464" xfId="4" applyNumberFormat="1" applyFont="1" applyFill="1" applyBorder="1"/>
    <xf numFmtId="165" fontId="41" fillId="15" borderId="496" xfId="4" applyNumberFormat="1" applyFont="1" applyFill="1" applyBorder="1"/>
    <xf numFmtId="44" fontId="196" fillId="0" borderId="3" xfId="1" applyFont="1" applyFill="1" applyBorder="1" applyAlignment="1">
      <alignment horizontal="right"/>
    </xf>
    <xf numFmtId="164" fontId="25" fillId="0" borderId="0" xfId="0" applyNumberFormat="1" applyFont="1" applyBorder="1" applyAlignment="1">
      <alignment horizontal="center"/>
    </xf>
    <xf numFmtId="0" fontId="25" fillId="0" borderId="18" xfId="0" applyFont="1" applyFill="1" applyBorder="1" applyAlignment="1">
      <alignment horizontal="left" vertical="top"/>
    </xf>
    <xf numFmtId="0" fontId="25" fillId="0" borderId="469" xfId="0" applyFont="1" applyFill="1" applyBorder="1" applyAlignment="1">
      <alignment horizontal="center" vertical="top"/>
    </xf>
    <xf numFmtId="0" fontId="25" fillId="0" borderId="469" xfId="0" applyFont="1" applyFill="1" applyBorder="1" applyAlignment="1">
      <alignment horizontal="center" vertical="top" wrapText="1"/>
    </xf>
    <xf numFmtId="0" fontId="25" fillId="0" borderId="338" xfId="0" applyFont="1" applyFill="1" applyBorder="1" applyAlignment="1">
      <alignment horizontal="center" vertical="top"/>
    </xf>
    <xf numFmtId="0" fontId="25" fillId="0" borderId="18" xfId="0" applyFont="1" applyFill="1" applyBorder="1" applyAlignment="1">
      <alignment horizontal="center" vertical="top"/>
    </xf>
    <xf numFmtId="0" fontId="25" fillId="0" borderId="194" xfId="0" applyFont="1" applyFill="1" applyBorder="1" applyAlignment="1">
      <alignment horizontal="center" vertical="top"/>
    </xf>
    <xf numFmtId="164" fontId="0" fillId="0" borderId="22" xfId="0" applyNumberFormat="1" applyFill="1" applyBorder="1" applyAlignment="1">
      <alignment horizontal="center"/>
    </xf>
    <xf numFmtId="166" fontId="25" fillId="0" borderId="195" xfId="0" applyNumberFormat="1" applyFont="1" applyFill="1" applyBorder="1" applyAlignment="1">
      <alignment horizontal="right"/>
    </xf>
    <xf numFmtId="166" fontId="25" fillId="0" borderId="194" xfId="0" applyNumberFormat="1" applyFont="1" applyFill="1" applyBorder="1" applyAlignment="1">
      <alignment horizontal="right"/>
    </xf>
    <xf numFmtId="164" fontId="38" fillId="15" borderId="492" xfId="0" applyNumberFormat="1" applyFont="1" applyFill="1" applyBorder="1" applyAlignment="1">
      <alignment horizontal="center"/>
    </xf>
    <xf numFmtId="42" fontId="15" fillId="0" borderId="343" xfId="3" applyNumberFormat="1" applyFill="1" applyBorder="1"/>
    <xf numFmtId="42" fontId="41" fillId="15" borderId="471" xfId="3" applyNumberFormat="1" applyFont="1" applyFill="1" applyBorder="1"/>
    <xf numFmtId="3" fontId="111" fillId="0" borderId="457" xfId="3" applyNumberFormat="1" applyFont="1" applyFill="1" applyBorder="1"/>
    <xf numFmtId="0" fontId="25" fillId="0" borderId="0" xfId="28" applyFont="1" applyBorder="1" applyAlignment="1">
      <alignment horizontal="right"/>
    </xf>
    <xf numFmtId="0" fontId="25" fillId="0" borderId="194" xfId="0" applyFont="1" applyFill="1" applyBorder="1" applyAlignment="1">
      <alignment horizontal="center" wrapText="1"/>
    </xf>
    <xf numFmtId="164" fontId="0" fillId="0" borderId="195" xfId="0" applyNumberFormat="1" applyFill="1" applyBorder="1"/>
    <xf numFmtId="164" fontId="0" fillId="15" borderId="498" xfId="0" applyNumberFormat="1" applyFill="1" applyBorder="1"/>
    <xf numFmtId="0" fontId="3" fillId="3" borderId="474" xfId="3" applyFont="1" applyFill="1" applyBorder="1" applyAlignment="1">
      <alignment horizontal="center" vertical="center" wrapText="1"/>
    </xf>
    <xf numFmtId="0" fontId="3" fillId="3" borderId="37" xfId="3" applyFont="1" applyFill="1" applyBorder="1" applyAlignment="1">
      <alignment horizontal="center" vertical="center" wrapText="1"/>
    </xf>
    <xf numFmtId="0" fontId="3" fillId="3" borderId="32" xfId="3" applyFont="1" applyFill="1" applyBorder="1" applyAlignment="1">
      <alignment horizontal="center" vertical="center" wrapText="1"/>
    </xf>
    <xf numFmtId="42" fontId="15" fillId="0" borderId="457" xfId="3" applyNumberFormat="1" applyFill="1" applyBorder="1"/>
    <xf numFmtId="42" fontId="41" fillId="15" borderId="497" xfId="3" applyNumberFormat="1" applyFont="1" applyFill="1" applyBorder="1"/>
    <xf numFmtId="168" fontId="25" fillId="15" borderId="498" xfId="0" applyNumberFormat="1" applyFont="1" applyFill="1" applyBorder="1"/>
    <xf numFmtId="0" fontId="12" fillId="0" borderId="0" xfId="0" applyFont="1" applyBorder="1" applyAlignment="1">
      <alignment horizontal="right"/>
    </xf>
    <xf numFmtId="0" fontId="25" fillId="0" borderId="18" xfId="0" applyFont="1" applyFill="1" applyBorder="1" applyAlignment="1">
      <alignment horizontal="center" wrapText="1"/>
    </xf>
    <xf numFmtId="168" fontId="25" fillId="0" borderId="423" xfId="0" applyNumberFormat="1" applyFont="1" applyFill="1" applyBorder="1"/>
    <xf numFmtId="168" fontId="25" fillId="15" borderId="490" xfId="0" applyNumberFormat="1" applyFont="1" applyFill="1" applyBorder="1"/>
    <xf numFmtId="0" fontId="42" fillId="0" borderId="0" xfId="12" applyFont="1" applyBorder="1" applyAlignment="1">
      <alignment horizontal="right"/>
    </xf>
    <xf numFmtId="165" fontId="12" fillId="5" borderId="36" xfId="2" applyNumberFormat="1" applyFill="1" applyBorder="1"/>
    <xf numFmtId="165" fontId="12" fillId="5" borderId="0" xfId="2" applyNumberFormat="1" applyFill="1" applyBorder="1"/>
    <xf numFmtId="42" fontId="12" fillId="5" borderId="419" xfId="2" applyNumberFormat="1" applyFill="1" applyBorder="1"/>
    <xf numFmtId="168" fontId="39" fillId="0" borderId="0" xfId="15" applyNumberFormat="1" applyFont="1" applyFill="1" applyBorder="1"/>
    <xf numFmtId="0" fontId="39" fillId="15" borderId="496" xfId="18" applyNumberFormat="1" applyFont="1" applyFill="1" applyBorder="1"/>
    <xf numFmtId="0" fontId="39" fillId="15" borderId="496" xfId="12" applyFill="1" applyBorder="1"/>
    <xf numFmtId="180" fontId="39" fillId="15" borderId="493" xfId="12" applyNumberFormat="1" applyFill="1" applyBorder="1"/>
    <xf numFmtId="173" fontId="25" fillId="15" borderId="490" xfId="0" applyNumberFormat="1" applyFont="1" applyFill="1" applyBorder="1"/>
    <xf numFmtId="173" fontId="25" fillId="0" borderId="423" xfId="0" applyNumberFormat="1" applyFont="1" applyFill="1" applyBorder="1"/>
    <xf numFmtId="164" fontId="0" fillId="0" borderId="420" xfId="0" applyNumberFormat="1" applyFill="1" applyBorder="1"/>
    <xf numFmtId="164" fontId="0" fillId="0" borderId="343" xfId="0" applyNumberFormat="1" applyFill="1" applyBorder="1"/>
    <xf numFmtId="164" fontId="0" fillId="0" borderId="421" xfId="0" applyNumberFormat="1" applyFill="1" applyBorder="1"/>
    <xf numFmtId="164" fontId="38" fillId="15" borderId="498" xfId="0" applyNumberFormat="1" applyFont="1" applyFill="1" applyBorder="1"/>
    <xf numFmtId="0" fontId="25" fillId="0" borderId="494" xfId="0" applyFont="1" applyFill="1" applyBorder="1" applyAlignment="1">
      <alignment horizontal="center"/>
    </xf>
    <xf numFmtId="164" fontId="25" fillId="0" borderId="18" xfId="0" applyNumberFormat="1" applyFont="1" applyFill="1" applyBorder="1" applyAlignment="1">
      <alignment horizontal="center"/>
    </xf>
    <xf numFmtId="164" fontId="25" fillId="0" borderId="469" xfId="0" applyNumberFormat="1" applyFont="1" applyFill="1" applyBorder="1" applyAlignment="1">
      <alignment horizontal="center"/>
    </xf>
    <xf numFmtId="164" fontId="25" fillId="0" borderId="469" xfId="0" applyNumberFormat="1" applyFont="1" applyFill="1" applyBorder="1" applyAlignment="1">
      <alignment horizontal="center" wrapText="1"/>
    </xf>
    <xf numFmtId="164" fontId="25" fillId="0" borderId="194" xfId="0" applyNumberFormat="1" applyFont="1" applyFill="1" applyBorder="1" applyAlignment="1">
      <alignment horizontal="center" wrapText="1"/>
    </xf>
    <xf numFmtId="44" fontId="197" fillId="48" borderId="419" xfId="8202" applyFont="1" applyFill="1" applyBorder="1" applyAlignment="1" applyProtection="1">
      <alignment horizontal="center" vertical="center"/>
      <protection hidden="1"/>
    </xf>
    <xf numFmtId="0" fontId="198" fillId="0" borderId="0" xfId="0" applyFont="1"/>
    <xf numFmtId="0" fontId="199" fillId="0" borderId="53" xfId="0" applyFont="1" applyBorder="1" applyAlignment="1">
      <alignment horizontal="center"/>
    </xf>
    <xf numFmtId="43" fontId="200" fillId="40" borderId="419" xfId="7" applyFont="1" applyFill="1" applyBorder="1"/>
    <xf numFmtId="169" fontId="198" fillId="0" borderId="426" xfId="0" applyNumberFormat="1" applyFont="1" applyBorder="1" applyAlignment="1">
      <alignment horizontal="right"/>
    </xf>
    <xf numFmtId="44" fontId="197" fillId="48" borderId="420" xfId="8202" applyFont="1" applyFill="1" applyBorder="1" applyAlignment="1" applyProtection="1">
      <alignment horizontal="center" vertical="center"/>
      <protection hidden="1"/>
    </xf>
    <xf numFmtId="169" fontId="200" fillId="40" borderId="201" xfId="28" applyNumberFormat="1" applyFont="1" applyFill="1" applyBorder="1" applyAlignment="1">
      <alignment horizontal="right"/>
    </xf>
    <xf numFmtId="169" fontId="198" fillId="40" borderId="419" xfId="0" applyNumberFormat="1" applyFont="1" applyFill="1" applyBorder="1" applyAlignment="1">
      <alignment horizontal="right"/>
    </xf>
    <xf numFmtId="169" fontId="198" fillId="40" borderId="422" xfId="0" applyNumberFormat="1" applyFont="1" applyFill="1" applyBorder="1" applyAlignment="1">
      <alignment horizontal="right"/>
    </xf>
    <xf numFmtId="169" fontId="198" fillId="40" borderId="420" xfId="0" applyNumberFormat="1" applyFont="1" applyFill="1" applyBorder="1" applyAlignment="1">
      <alignment horizontal="right"/>
    </xf>
    <xf numFmtId="169" fontId="198" fillId="0" borderId="0" xfId="0" applyNumberFormat="1" applyFont="1" applyBorder="1" applyAlignment="1">
      <alignment horizontal="right"/>
    </xf>
    <xf numFmtId="10" fontId="197" fillId="13" borderId="420" xfId="8204" applyNumberFormat="1" applyFont="1" applyFill="1" applyBorder="1" applyAlignment="1" applyProtection="1">
      <alignment horizontal="center" vertical="center"/>
      <protection hidden="1"/>
    </xf>
    <xf numFmtId="169" fontId="201" fillId="40" borderId="201" xfId="0" applyNumberFormat="1" applyFont="1" applyFill="1" applyBorder="1" applyAlignment="1">
      <alignment horizontal="right"/>
    </xf>
    <xf numFmtId="169" fontId="198" fillId="0" borderId="427" xfId="0" applyNumberFormat="1" applyFont="1" applyBorder="1" applyAlignment="1">
      <alignment horizontal="right"/>
    </xf>
    <xf numFmtId="169" fontId="197" fillId="48" borderId="420" xfId="8202" applyNumberFormat="1" applyFont="1" applyFill="1" applyBorder="1" applyAlignment="1" applyProtection="1">
      <alignment horizontal="center" vertical="center"/>
      <protection hidden="1"/>
    </xf>
    <xf numFmtId="169" fontId="198" fillId="51" borderId="419" xfId="0" applyNumberFormat="1" applyFont="1" applyFill="1" applyBorder="1" applyAlignment="1">
      <alignment horizontal="right"/>
    </xf>
    <xf numFmtId="169" fontId="198" fillId="0" borderId="426" xfId="0" applyNumberFormat="1" applyFont="1" applyFill="1" applyBorder="1" applyAlignment="1">
      <alignment horizontal="right"/>
    </xf>
    <xf numFmtId="43" fontId="198" fillId="40" borderId="419" xfId="7" applyFont="1" applyFill="1" applyBorder="1"/>
    <xf numFmtId="169" fontId="200" fillId="40" borderId="419" xfId="28" applyNumberFormat="1" applyFont="1" applyFill="1" applyBorder="1" applyAlignment="1">
      <alignment horizontal="right"/>
    </xf>
    <xf numFmtId="169" fontId="201" fillId="40" borderId="419" xfId="0" applyNumberFormat="1" applyFont="1" applyFill="1" applyBorder="1" applyAlignment="1">
      <alignment horizontal="right"/>
    </xf>
    <xf numFmtId="169" fontId="198" fillId="40" borderId="201" xfId="0" applyNumberFormat="1" applyFont="1" applyFill="1" applyBorder="1" applyAlignment="1">
      <alignment horizontal="right"/>
    </xf>
    <xf numFmtId="169" fontId="197" fillId="48" borderId="420" xfId="8202" applyNumberFormat="1" applyFont="1" applyFill="1" applyBorder="1" applyAlignment="1" applyProtection="1">
      <alignment horizontal="right" vertical="center"/>
      <protection hidden="1"/>
    </xf>
    <xf numFmtId="169" fontId="201" fillId="40" borderId="80" xfId="0" applyNumberFormat="1" applyFont="1" applyFill="1" applyBorder="1" applyAlignment="1">
      <alignment horizontal="right"/>
    </xf>
    <xf numFmtId="169" fontId="201" fillId="40" borderId="26" xfId="0" applyNumberFormat="1" applyFont="1" applyFill="1" applyBorder="1" applyAlignment="1">
      <alignment horizontal="right"/>
    </xf>
    <xf numFmtId="169" fontId="198" fillId="40" borderId="201" xfId="28" applyNumberFormat="1" applyFont="1" applyFill="1" applyBorder="1" applyAlignment="1">
      <alignment horizontal="right"/>
    </xf>
    <xf numFmtId="169" fontId="200" fillId="40" borderId="419" xfId="0" applyNumberFormat="1" applyFont="1" applyFill="1" applyBorder="1" applyAlignment="1">
      <alignment horizontal="right"/>
    </xf>
    <xf numFmtId="169" fontId="200" fillId="40" borderId="422" xfId="0" applyNumberFormat="1" applyFont="1" applyFill="1" applyBorder="1" applyAlignment="1">
      <alignment horizontal="right"/>
    </xf>
    <xf numFmtId="169" fontId="200" fillId="40" borderId="420" xfId="0" applyNumberFormat="1" applyFont="1" applyFill="1" applyBorder="1" applyAlignment="1">
      <alignment horizontal="right"/>
    </xf>
    <xf numFmtId="169" fontId="200" fillId="40" borderId="201" xfId="0" applyNumberFormat="1" applyFont="1" applyFill="1" applyBorder="1" applyAlignment="1">
      <alignment horizontal="right"/>
    </xf>
    <xf numFmtId="43" fontId="198" fillId="40" borderId="8" xfId="1" applyNumberFormat="1" applyFont="1" applyFill="1" applyBorder="1"/>
    <xf numFmtId="44" fontId="202" fillId="64" borderId="343" xfId="28" applyNumberFormat="1" applyFont="1" applyFill="1" applyBorder="1" applyAlignment="1" applyProtection="1">
      <alignment horizontal="center" vertical="center"/>
      <protection locked="0"/>
    </xf>
    <xf numFmtId="7" fontId="201" fillId="40" borderId="201" xfId="0" applyNumberFormat="1" applyFont="1" applyFill="1" applyBorder="1" applyAlignment="1">
      <alignment horizontal="right"/>
    </xf>
    <xf numFmtId="169" fontId="201" fillId="40" borderId="201" xfId="28" applyNumberFormat="1" applyFont="1" applyFill="1" applyBorder="1" applyAlignment="1">
      <alignment horizontal="right"/>
    </xf>
    <xf numFmtId="169" fontId="197" fillId="40" borderId="420" xfId="0" applyNumberFormat="1" applyFont="1" applyFill="1" applyBorder="1" applyAlignment="1">
      <alignment horizontal="right"/>
    </xf>
    <xf numFmtId="169" fontId="198" fillId="0" borderId="236" xfId="0" applyNumberFormat="1" applyFont="1" applyBorder="1" applyAlignment="1">
      <alignment horizontal="right"/>
    </xf>
    <xf numFmtId="44" fontId="197" fillId="48" borderId="241" xfId="8202" applyFont="1" applyFill="1" applyBorder="1" applyAlignment="1" applyProtection="1">
      <alignment horizontal="center" vertical="center"/>
      <protection hidden="1"/>
    </xf>
    <xf numFmtId="169" fontId="201" fillId="40" borderId="463" xfId="0" applyNumberFormat="1" applyFont="1" applyFill="1" applyBorder="1" applyAlignment="1">
      <alignment horizontal="right"/>
    </xf>
    <xf numFmtId="1" fontId="203" fillId="0" borderId="41" xfId="18" applyNumberFormat="1" applyFont="1" applyFill="1" applyBorder="1" applyAlignment="1">
      <alignment horizontal="center"/>
    </xf>
    <xf numFmtId="0" fontId="204" fillId="0" borderId="0" xfId="12" applyFont="1"/>
    <xf numFmtId="42" fontId="205" fillId="0" borderId="40" xfId="18" applyNumberFormat="1" applyFont="1" applyFill="1" applyBorder="1"/>
    <xf numFmtId="9" fontId="202" fillId="0" borderId="40" xfId="18" applyFont="1" applyFill="1" applyBorder="1"/>
    <xf numFmtId="165" fontId="206" fillId="0" borderId="40" xfId="15" applyNumberFormat="1" applyFont="1" applyFill="1" applyBorder="1"/>
    <xf numFmtId="165" fontId="198" fillId="0" borderId="40" xfId="15" applyNumberFormat="1" applyFont="1" applyBorder="1"/>
    <xf numFmtId="165" fontId="198" fillId="0" borderId="40" xfId="186" applyNumberFormat="1" applyFont="1" applyBorder="1"/>
    <xf numFmtId="165" fontId="206" fillId="0" borderId="40" xfId="186" applyNumberFormat="1" applyFont="1" applyBorder="1"/>
    <xf numFmtId="165" fontId="206" fillId="0" borderId="40" xfId="15" applyNumberFormat="1" applyFont="1" applyBorder="1"/>
    <xf numFmtId="175" fontId="206" fillId="0" borderId="40" xfId="12" applyNumberFormat="1" applyFont="1" applyFill="1" applyBorder="1" applyAlignment="1">
      <alignment horizontal="center"/>
    </xf>
    <xf numFmtId="165" fontId="204" fillId="0" borderId="40" xfId="15" applyNumberFormat="1" applyFont="1" applyFill="1" applyBorder="1"/>
    <xf numFmtId="42" fontId="204" fillId="0" borderId="40" xfId="12" applyNumberFormat="1" applyFont="1" applyBorder="1"/>
    <xf numFmtId="165" fontId="207" fillId="0" borderId="40" xfId="15" applyNumberFormat="1" applyFont="1" applyFill="1" applyBorder="1"/>
    <xf numFmtId="165" fontId="204" fillId="0" borderId="40" xfId="15" applyNumberFormat="1" applyFont="1" applyBorder="1"/>
    <xf numFmtId="165" fontId="207" fillId="0" borderId="40" xfId="15" applyNumberFormat="1" applyFont="1" applyBorder="1"/>
    <xf numFmtId="42" fontId="207" fillId="0" borderId="40" xfId="12" applyNumberFormat="1" applyFont="1" applyBorder="1"/>
    <xf numFmtId="165" fontId="207" fillId="0" borderId="40" xfId="186" applyNumberFormat="1" applyFont="1" applyBorder="1"/>
    <xf numFmtId="165" fontId="207" fillId="2" borderId="14" xfId="15" applyNumberFormat="1" applyFont="1" applyFill="1" applyBorder="1"/>
    <xf numFmtId="165" fontId="204" fillId="0" borderId="37" xfId="15" applyNumberFormat="1" applyFont="1" applyFill="1" applyBorder="1"/>
    <xf numFmtId="1" fontId="203" fillId="0" borderId="0" xfId="18" applyNumberFormat="1" applyFont="1" applyFill="1" applyBorder="1" applyAlignment="1">
      <alignment horizontal="center"/>
    </xf>
    <xf numFmtId="3" fontId="204" fillId="0" borderId="0" xfId="15" applyNumberFormat="1" applyFont="1" applyFill="1" applyBorder="1"/>
    <xf numFmtId="3" fontId="204" fillId="0" borderId="0" xfId="12" applyNumberFormat="1" applyFont="1" applyBorder="1"/>
    <xf numFmtId="3" fontId="207" fillId="0" borderId="0" xfId="15" applyNumberFormat="1" applyFont="1" applyFill="1" applyBorder="1"/>
    <xf numFmtId="44" fontId="202" fillId="64" borderId="343" xfId="0" applyNumberFormat="1" applyFont="1" applyFill="1" applyBorder="1" applyAlignment="1" applyProtection="1">
      <alignment horizontal="center" vertical="center"/>
      <protection locked="0"/>
    </xf>
    <xf numFmtId="1" fontId="203" fillId="0" borderId="41" xfId="4" applyNumberFormat="1" applyFont="1" applyFill="1" applyBorder="1" applyAlignment="1">
      <alignment horizontal="center"/>
    </xf>
    <xf numFmtId="42" fontId="205" fillId="0" borderId="40" xfId="4" applyNumberFormat="1" applyFont="1" applyFill="1" applyBorder="1"/>
    <xf numFmtId="9" fontId="202" fillId="0" borderId="40" xfId="4" applyFont="1" applyFill="1" applyBorder="1"/>
    <xf numFmtId="165" fontId="206" fillId="0" borderId="40" xfId="22" applyNumberFormat="1" applyFont="1" applyFill="1" applyBorder="1"/>
    <xf numFmtId="165" fontId="198" fillId="0" borderId="40" xfId="22" applyNumberFormat="1" applyFont="1" applyBorder="1"/>
    <xf numFmtId="175" fontId="206" fillId="0" borderId="40" xfId="3" applyNumberFormat="1" applyFont="1" applyFill="1" applyBorder="1" applyAlignment="1">
      <alignment horizontal="center"/>
    </xf>
    <xf numFmtId="165" fontId="204" fillId="0" borderId="40" xfId="22" applyNumberFormat="1" applyFont="1" applyFill="1" applyBorder="1"/>
    <xf numFmtId="165" fontId="208" fillId="0" borderId="40" xfId="22" applyNumberFormat="1" applyFont="1" applyFill="1" applyBorder="1"/>
    <xf numFmtId="165" fontId="207" fillId="0" borderId="40" xfId="22" applyNumberFormat="1" applyFont="1" applyFill="1" applyBorder="1"/>
    <xf numFmtId="165" fontId="204" fillId="0" borderId="40" xfId="22" applyNumberFormat="1" applyFont="1" applyBorder="1"/>
    <xf numFmtId="165" fontId="208" fillId="0" borderId="40" xfId="22" applyNumberFormat="1" applyFont="1" applyBorder="1"/>
    <xf numFmtId="165" fontId="207" fillId="0" borderId="40" xfId="22" applyNumberFormat="1" applyFont="1" applyBorder="1"/>
    <xf numFmtId="165" fontId="207" fillId="2" borderId="14" xfId="22" applyNumberFormat="1" applyFont="1" applyFill="1" applyBorder="1"/>
    <xf numFmtId="165" fontId="204" fillId="0" borderId="0" xfId="22" applyNumberFormat="1" applyFont="1" applyFill="1" applyBorder="1"/>
    <xf numFmtId="0" fontId="209" fillId="0" borderId="0" xfId="3" applyFont="1" applyAlignment="1">
      <alignment horizontal="center"/>
    </xf>
    <xf numFmtId="3" fontId="207" fillId="0" borderId="7" xfId="22" applyNumberFormat="1" applyFont="1" applyFill="1" applyBorder="1"/>
    <xf numFmtId="1" fontId="203" fillId="0" borderId="40" xfId="4" applyNumberFormat="1" applyFont="1" applyFill="1" applyBorder="1" applyAlignment="1">
      <alignment horizontal="center"/>
    </xf>
    <xf numFmtId="180" fontId="204" fillId="0" borderId="40" xfId="3" applyNumberFormat="1" applyFont="1" applyBorder="1"/>
    <xf numFmtId="165" fontId="208" fillId="0" borderId="40" xfId="1" applyNumberFormat="1" applyFont="1" applyFill="1" applyBorder="1"/>
    <xf numFmtId="165" fontId="207" fillId="0" borderId="40" xfId="1" applyNumberFormat="1" applyFont="1" applyBorder="1"/>
    <xf numFmtId="165" fontId="198" fillId="0" borderId="40" xfId="179" applyNumberFormat="1" applyFont="1" applyBorder="1"/>
    <xf numFmtId="175" fontId="198" fillId="0" borderId="40" xfId="3" applyNumberFormat="1" applyFont="1" applyFill="1" applyBorder="1" applyAlignment="1">
      <alignment horizontal="center"/>
    </xf>
    <xf numFmtId="165" fontId="198" fillId="0" borderId="40" xfId="22" applyNumberFormat="1" applyFont="1" applyFill="1" applyBorder="1"/>
    <xf numFmtId="42" fontId="204" fillId="0" borderId="40" xfId="3" applyNumberFormat="1" applyFont="1" applyBorder="1"/>
    <xf numFmtId="165" fontId="207" fillId="0" borderId="40" xfId="179" applyNumberFormat="1" applyFont="1" applyBorder="1"/>
    <xf numFmtId="3" fontId="204" fillId="0" borderId="0" xfId="22" applyNumberFormat="1" applyFont="1" applyFill="1" applyBorder="1"/>
    <xf numFmtId="3" fontId="206" fillId="0" borderId="0" xfId="0" applyNumberFormat="1" applyFont="1"/>
    <xf numFmtId="165" fontId="204" fillId="0" borderId="0" xfId="20" applyNumberFormat="1" applyFont="1" applyFill="1" applyBorder="1"/>
    <xf numFmtId="9" fontId="206" fillId="0" borderId="0" xfId="4" applyFont="1" applyFill="1" applyBorder="1"/>
    <xf numFmtId="165" fontId="206" fillId="0" borderId="0" xfId="20" applyNumberFormat="1" applyFont="1" applyFill="1" applyBorder="1"/>
    <xf numFmtId="167" fontId="206" fillId="0" borderId="0" xfId="22" applyNumberFormat="1" applyFont="1" applyFill="1" applyAlignment="1">
      <alignment horizontal="center"/>
    </xf>
    <xf numFmtId="2" fontId="198" fillId="0" borderId="0" xfId="3" applyNumberFormat="1" applyFont="1" applyFill="1" applyAlignment="1">
      <alignment horizontal="center"/>
    </xf>
    <xf numFmtId="0" fontId="198" fillId="0" borderId="0" xfId="0" applyFont="1" applyAlignment="1">
      <alignment horizontal="center"/>
    </xf>
    <xf numFmtId="175" fontId="206" fillId="0" borderId="0" xfId="3" applyNumberFormat="1" applyFont="1" applyFill="1" applyAlignment="1">
      <alignment horizontal="center"/>
    </xf>
    <xf numFmtId="165" fontId="206" fillId="0" borderId="0" xfId="22" applyNumberFormat="1" applyFont="1" applyFill="1"/>
    <xf numFmtId="165" fontId="204" fillId="0" borderId="0" xfId="22" applyNumberFormat="1" applyFont="1" applyFill="1"/>
    <xf numFmtId="0" fontId="204" fillId="0" borderId="0" xfId="3" applyFont="1"/>
    <xf numFmtId="165" fontId="204" fillId="0" borderId="0" xfId="22" applyNumberFormat="1" applyFont="1"/>
    <xf numFmtId="166" fontId="198" fillId="0" borderId="40" xfId="8" applyNumberFormat="1" applyFont="1" applyBorder="1" applyAlignment="1">
      <alignment horizontal="left" indent="2"/>
    </xf>
    <xf numFmtId="0" fontId="204" fillId="0" borderId="0" xfId="183" applyFont="1"/>
    <xf numFmtId="165" fontId="207" fillId="0" borderId="0" xfId="22" applyNumberFormat="1" applyFont="1" applyFill="1" applyBorder="1"/>
    <xf numFmtId="165" fontId="206" fillId="0" borderId="0" xfId="22" applyNumberFormat="1" applyFont="1" applyFill="1" applyBorder="1"/>
    <xf numFmtId="0" fontId="204" fillId="0" borderId="40" xfId="3" applyFont="1" applyBorder="1"/>
    <xf numFmtId="165" fontId="204" fillId="0" borderId="40" xfId="4" applyNumberFormat="1" applyFont="1" applyFill="1" applyBorder="1"/>
    <xf numFmtId="165" fontId="208" fillId="0" borderId="40" xfId="4" applyNumberFormat="1" applyFont="1" applyFill="1" applyBorder="1"/>
    <xf numFmtId="165" fontId="204" fillId="0" borderId="30" xfId="22" applyNumberFormat="1" applyFont="1" applyFill="1" applyBorder="1"/>
    <xf numFmtId="165" fontId="207" fillId="2" borderId="33" xfId="22" applyNumberFormat="1" applyFont="1" applyFill="1" applyBorder="1"/>
    <xf numFmtId="167" fontId="210" fillId="0" borderId="2" xfId="22" applyNumberFormat="1" applyFont="1" applyFill="1" applyBorder="1" applyAlignment="1">
      <alignment horizontal="center"/>
    </xf>
    <xf numFmtId="3" fontId="204" fillId="0" borderId="40" xfId="22" applyNumberFormat="1" applyFont="1" applyFill="1" applyBorder="1"/>
    <xf numFmtId="3" fontId="208" fillId="0" borderId="40" xfId="22" applyNumberFormat="1" applyFont="1" applyFill="1" applyBorder="1"/>
    <xf numFmtId="3" fontId="207" fillId="0" borderId="30" xfId="22" applyNumberFormat="1" applyFont="1" applyFill="1" applyBorder="1"/>
    <xf numFmtId="165" fontId="207" fillId="0" borderId="40" xfId="1" applyNumberFormat="1" applyFont="1" applyFill="1" applyBorder="1"/>
    <xf numFmtId="165" fontId="207" fillId="2" borderId="466" xfId="22" applyNumberFormat="1" applyFont="1" applyFill="1" applyBorder="1"/>
    <xf numFmtId="165" fontId="208" fillId="0" borderId="0" xfId="22" applyNumberFormat="1" applyFont="1" applyFill="1" applyBorder="1"/>
    <xf numFmtId="44" fontId="211" fillId="48" borderId="419" xfId="0" applyNumberFormat="1" applyFont="1" applyFill="1" applyBorder="1" applyAlignment="1" applyProtection="1">
      <alignment horizontal="center" vertical="center"/>
      <protection hidden="1"/>
    </xf>
    <xf numFmtId="0" fontId="199" fillId="0" borderId="53" xfId="0" applyFont="1" applyBorder="1" applyAlignment="1">
      <alignment horizontal="center" vertical="top"/>
    </xf>
    <xf numFmtId="44" fontId="211" fillId="48" borderId="420" xfId="0" applyNumberFormat="1" applyFont="1" applyFill="1" applyBorder="1" applyAlignment="1" applyProtection="1">
      <alignment horizontal="center" vertical="center"/>
      <protection hidden="1"/>
    </xf>
    <xf numFmtId="169" fontId="198" fillId="40" borderId="201" xfId="0" applyNumberFormat="1" applyFont="1" applyFill="1" applyBorder="1" applyAlignment="1">
      <alignment horizontal="right" vertical="top"/>
    </xf>
    <xf numFmtId="169" fontId="198" fillId="0" borderId="426" xfId="0" applyNumberFormat="1" applyFont="1" applyBorder="1" applyAlignment="1">
      <alignment horizontal="right" vertical="top"/>
    </xf>
    <xf numFmtId="169" fontId="198" fillId="40" borderId="419" xfId="0" applyNumberFormat="1" applyFont="1" applyFill="1" applyBorder="1" applyAlignment="1">
      <alignment horizontal="right" vertical="top"/>
    </xf>
    <xf numFmtId="169" fontId="198" fillId="40" borderId="487" xfId="0" applyNumberFormat="1" applyFont="1" applyFill="1" applyBorder="1" applyAlignment="1">
      <alignment horizontal="right" vertical="top"/>
    </xf>
    <xf numFmtId="169" fontId="198" fillId="40" borderId="420" xfId="0" applyNumberFormat="1" applyFont="1" applyFill="1" applyBorder="1" applyAlignment="1">
      <alignment horizontal="right" vertical="top"/>
    </xf>
    <xf numFmtId="169" fontId="198" fillId="0" borderId="0" xfId="0" applyNumberFormat="1" applyFont="1" applyAlignment="1">
      <alignment horizontal="right" vertical="top"/>
    </xf>
    <xf numFmtId="10" fontId="211" fillId="13" borderId="420" xfId="0" applyNumberFormat="1" applyFont="1" applyFill="1" applyBorder="1" applyAlignment="1" applyProtection="1">
      <alignment horizontal="center" vertical="center"/>
      <protection hidden="1"/>
    </xf>
    <xf numFmtId="169" fontId="212" fillId="40" borderId="201" xfId="0" applyNumberFormat="1" applyFont="1" applyFill="1" applyBorder="1" applyAlignment="1">
      <alignment horizontal="right" vertical="top"/>
    </xf>
    <xf numFmtId="169" fontId="212" fillId="40" borderId="419" xfId="0" applyNumberFormat="1" applyFont="1" applyFill="1" applyBorder="1" applyAlignment="1">
      <alignment horizontal="right" vertical="top"/>
    </xf>
    <xf numFmtId="169" fontId="198" fillId="0" borderId="427" xfId="0" applyNumberFormat="1" applyFont="1" applyBorder="1" applyAlignment="1">
      <alignment horizontal="right" vertical="top"/>
    </xf>
    <xf numFmtId="169" fontId="198" fillId="51" borderId="419" xfId="0" applyNumberFormat="1" applyFont="1" applyFill="1" applyBorder="1" applyAlignment="1">
      <alignment horizontal="right" vertical="top"/>
    </xf>
    <xf numFmtId="165" fontId="206" fillId="0" borderId="40" xfId="20" applyNumberFormat="1" applyFont="1" applyFill="1" applyBorder="1"/>
    <xf numFmtId="165" fontId="198" fillId="0" borderId="40" xfId="20" applyNumberFormat="1" applyFont="1" applyBorder="1"/>
    <xf numFmtId="165" fontId="204" fillId="0" borderId="40" xfId="20" applyNumberFormat="1" applyFont="1" applyFill="1" applyBorder="1"/>
    <xf numFmtId="165" fontId="208" fillId="0" borderId="40" xfId="20" applyNumberFormat="1" applyFont="1" applyFill="1" applyBorder="1" applyAlignment="1">
      <alignment horizontal="center"/>
    </xf>
    <xf numFmtId="165" fontId="207" fillId="0" borderId="40" xfId="20" applyNumberFormat="1" applyFont="1" applyFill="1" applyBorder="1"/>
    <xf numFmtId="165" fontId="204" fillId="0" borderId="40" xfId="20" applyNumberFormat="1" applyFont="1" applyBorder="1"/>
    <xf numFmtId="165" fontId="208" fillId="0" borderId="40" xfId="20" applyNumberFormat="1" applyFont="1" applyBorder="1"/>
    <xf numFmtId="165" fontId="207" fillId="0" borderId="40" xfId="20" applyNumberFormat="1" applyFont="1" applyBorder="1"/>
    <xf numFmtId="165" fontId="207" fillId="2" borderId="14" xfId="20" applyNumberFormat="1" applyFont="1" applyFill="1" applyBorder="1"/>
    <xf numFmtId="3" fontId="207" fillId="0" borderId="7" xfId="20" applyNumberFormat="1" applyFont="1" applyFill="1" applyBorder="1"/>
    <xf numFmtId="42" fontId="202" fillId="0" borderId="40" xfId="4" applyNumberFormat="1" applyFont="1" applyFill="1" applyBorder="1"/>
    <xf numFmtId="42" fontId="213" fillId="0" borderId="40" xfId="4" applyNumberFormat="1" applyFont="1" applyFill="1" applyBorder="1"/>
    <xf numFmtId="3" fontId="207" fillId="0" borderId="74" xfId="22" applyNumberFormat="1" applyFont="1" applyFill="1" applyBorder="1"/>
    <xf numFmtId="3" fontId="207" fillId="0" borderId="0" xfId="22" applyNumberFormat="1" applyFont="1" applyFill="1" applyBorder="1"/>
    <xf numFmtId="0" fontId="204" fillId="0" borderId="0" xfId="3" applyFont="1" applyAlignment="1">
      <alignment vertical="top"/>
    </xf>
    <xf numFmtId="165" fontId="202" fillId="0" borderId="40" xfId="1" applyNumberFormat="1" applyFont="1" applyFill="1" applyBorder="1"/>
    <xf numFmtId="165" fontId="213" fillId="0" borderId="40" xfId="1" applyNumberFormat="1" applyFont="1" applyFill="1" applyBorder="1"/>
    <xf numFmtId="180" fontId="207" fillId="0" borderId="40" xfId="3" applyNumberFormat="1" applyFont="1" applyBorder="1"/>
    <xf numFmtId="165" fontId="204" fillId="0" borderId="40" xfId="3" applyNumberFormat="1" applyFont="1" applyBorder="1"/>
    <xf numFmtId="165" fontId="213" fillId="0" borderId="40" xfId="22" applyNumberFormat="1" applyFont="1" applyFill="1" applyBorder="1"/>
    <xf numFmtId="165" fontId="213" fillId="0" borderId="40" xfId="22" applyNumberFormat="1" applyFont="1" applyBorder="1"/>
    <xf numFmtId="3" fontId="204" fillId="0" borderId="465" xfId="22" applyNumberFormat="1" applyFont="1" applyFill="1" applyBorder="1"/>
    <xf numFmtId="3" fontId="204" fillId="0" borderId="30" xfId="22" applyNumberFormat="1" applyFont="1" applyFill="1" applyBorder="1"/>
    <xf numFmtId="3" fontId="206" fillId="0" borderId="418" xfId="0" applyNumberFormat="1" applyFont="1" applyBorder="1"/>
    <xf numFmtId="180" fontId="204" fillId="0" borderId="40" xfId="0" applyNumberFormat="1" applyFont="1" applyFill="1" applyBorder="1" applyAlignment="1"/>
    <xf numFmtId="165" fontId="204" fillId="0" borderId="0" xfId="15" applyNumberFormat="1" applyFont="1" applyFill="1" applyBorder="1"/>
    <xf numFmtId="1" fontId="203" fillId="0" borderId="0" xfId="4" applyNumberFormat="1" applyFont="1" applyFill="1" applyBorder="1" applyAlignment="1">
      <alignment horizontal="center"/>
    </xf>
    <xf numFmtId="3" fontId="204" fillId="0" borderId="465" xfId="194" applyNumberFormat="1" applyFont="1" applyFill="1" applyBorder="1"/>
    <xf numFmtId="3" fontId="204" fillId="0" borderId="40" xfId="194" applyNumberFormat="1" applyFont="1" applyFill="1" applyBorder="1"/>
    <xf numFmtId="3" fontId="214" fillId="0" borderId="40" xfId="194" applyNumberFormat="1" applyFont="1" applyFill="1" applyBorder="1"/>
    <xf numFmtId="3" fontId="207" fillId="0" borderId="30" xfId="183" applyNumberFormat="1" applyFont="1" applyBorder="1"/>
    <xf numFmtId="3" fontId="204" fillId="0" borderId="0" xfId="194" applyNumberFormat="1" applyFont="1" applyFill="1" applyBorder="1"/>
    <xf numFmtId="0" fontId="204" fillId="0" borderId="0" xfId="12" applyFont="1" applyBorder="1"/>
    <xf numFmtId="165" fontId="204" fillId="0" borderId="40" xfId="179" applyNumberFormat="1" applyFont="1" applyBorder="1"/>
    <xf numFmtId="165" fontId="206" fillId="0" borderId="0" xfId="0" applyNumberFormat="1" applyFont="1"/>
    <xf numFmtId="165" fontId="204" fillId="0" borderId="37" xfId="22" applyNumberFormat="1" applyFont="1" applyFill="1" applyBorder="1"/>
    <xf numFmtId="3" fontId="198" fillId="0" borderId="40" xfId="179" applyNumberFormat="1" applyFont="1" applyFill="1" applyBorder="1"/>
    <xf numFmtId="0" fontId="198" fillId="0" borderId="40" xfId="0" applyFont="1" applyBorder="1"/>
    <xf numFmtId="165" fontId="204" fillId="0" borderId="40" xfId="194" applyNumberFormat="1" applyFont="1" applyBorder="1"/>
    <xf numFmtId="3" fontId="204" fillId="0" borderId="40" xfId="179" applyNumberFormat="1" applyFont="1" applyFill="1" applyBorder="1"/>
    <xf numFmtId="3" fontId="204" fillId="0" borderId="30" xfId="0" applyNumberFormat="1" applyFont="1" applyBorder="1"/>
    <xf numFmtId="9" fontId="206" fillId="0" borderId="0" xfId="4" applyNumberFormat="1" applyFont="1" applyFill="1" applyBorder="1"/>
    <xf numFmtId="44" fontId="197" fillId="48" borderId="421" xfId="8202" applyFont="1" applyFill="1" applyBorder="1" applyAlignment="1" applyProtection="1">
      <alignment horizontal="center" vertical="center"/>
      <protection hidden="1"/>
    </xf>
    <xf numFmtId="166" fontId="198" fillId="51" borderId="419" xfId="8" applyNumberFormat="1" applyFont="1" applyFill="1" applyBorder="1" applyAlignment="1">
      <alignment horizontal="right"/>
    </xf>
    <xf numFmtId="169" fontId="197" fillId="48" borderId="419" xfId="8202" applyNumberFormat="1" applyFont="1" applyFill="1" applyBorder="1" applyAlignment="1" applyProtection="1">
      <alignment horizontal="center" vertical="center"/>
      <protection hidden="1"/>
    </xf>
    <xf numFmtId="44" fontId="202" fillId="64" borderId="343" xfId="8202" applyFont="1" applyFill="1" applyBorder="1" applyAlignment="1" applyProtection="1">
      <alignment horizontal="center" vertical="center"/>
      <protection locked="0"/>
    </xf>
    <xf numFmtId="44" fontId="212" fillId="40" borderId="426" xfId="28" applyNumberFormat="1" applyFont="1" applyFill="1" applyBorder="1" applyAlignment="1" applyProtection="1">
      <alignment horizontal="center" vertical="center"/>
      <protection locked="0"/>
    </xf>
    <xf numFmtId="44" fontId="212" fillId="40" borderId="426" xfId="0" applyNumberFormat="1" applyFont="1" applyFill="1" applyBorder="1" applyAlignment="1" applyProtection="1">
      <alignment horizontal="center" vertical="center"/>
      <protection locked="0"/>
    </xf>
    <xf numFmtId="169" fontId="198" fillId="40" borderId="228" xfId="0" applyNumberFormat="1" applyFont="1" applyFill="1" applyBorder="1" applyAlignment="1">
      <alignment horizontal="right" vertical="top"/>
    </xf>
    <xf numFmtId="44" fontId="201" fillId="40" borderId="426" xfId="8202" applyFont="1" applyFill="1" applyBorder="1" applyAlignment="1" applyProtection="1">
      <alignment horizontal="center" vertical="center"/>
      <protection locked="0"/>
    </xf>
    <xf numFmtId="0" fontId="215" fillId="0" borderId="0" xfId="0" applyFont="1"/>
    <xf numFmtId="0" fontId="216" fillId="0" borderId="0" xfId="0" applyFont="1" applyAlignment="1">
      <alignment horizontal="right"/>
    </xf>
    <xf numFmtId="164" fontId="215" fillId="0" borderId="25" xfId="0" applyNumberFormat="1" applyFont="1" applyBorder="1"/>
    <xf numFmtId="164" fontId="215" fillId="0" borderId="12" xfId="0" applyNumberFormat="1" applyFont="1" applyBorder="1"/>
    <xf numFmtId="164" fontId="218" fillId="0" borderId="343" xfId="0" applyNumberFormat="1" applyFont="1" applyBorder="1"/>
    <xf numFmtId="168" fontId="218" fillId="0" borderId="421" xfId="0" applyNumberFormat="1" applyFont="1" applyBorder="1"/>
    <xf numFmtId="166" fontId="218" fillId="0" borderId="195" xfId="8" applyNumberFormat="1" applyFont="1" applyFill="1" applyBorder="1" applyAlignment="1">
      <alignment horizontal="right"/>
    </xf>
    <xf numFmtId="44" fontId="218" fillId="0" borderId="195" xfId="1" applyFont="1" applyFill="1" applyBorder="1" applyAlignment="1">
      <alignment horizontal="right"/>
    </xf>
    <xf numFmtId="44" fontId="218" fillId="0" borderId="24" xfId="1" applyFont="1" applyFill="1" applyBorder="1" applyAlignment="1">
      <alignment horizontal="right"/>
    </xf>
    <xf numFmtId="166" fontId="218" fillId="0" borderId="195" xfId="11" applyNumberFormat="1" applyFont="1" applyFill="1" applyBorder="1" applyAlignment="1">
      <alignment horizontal="right"/>
    </xf>
    <xf numFmtId="166" fontId="218" fillId="0" borderId="195" xfId="0" applyNumberFormat="1" applyFont="1" applyBorder="1" applyAlignment="1">
      <alignment horizontal="right"/>
    </xf>
    <xf numFmtId="44" fontId="218" fillId="0" borderId="195" xfId="0" applyNumberFormat="1" applyFont="1" applyBorder="1" applyAlignment="1">
      <alignment horizontal="right"/>
    </xf>
    <xf numFmtId="44" fontId="218" fillId="0" borderId="107" xfId="1" applyFont="1" applyFill="1" applyBorder="1" applyAlignment="1">
      <alignment horizontal="right"/>
    </xf>
    <xf numFmtId="173" fontId="218" fillId="0" borderId="421" xfId="0" applyNumberFormat="1" applyFont="1" applyBorder="1"/>
    <xf numFmtId="164" fontId="215" fillId="0" borderId="25" xfId="0" applyNumberFormat="1" applyFont="1" applyFill="1" applyBorder="1"/>
    <xf numFmtId="164" fontId="215" fillId="0" borderId="12" xfId="0" applyNumberFormat="1" applyFont="1" applyFill="1" applyBorder="1"/>
    <xf numFmtId="164" fontId="218" fillId="0" borderId="343" xfId="0" applyNumberFormat="1" applyFont="1" applyFill="1" applyBorder="1"/>
    <xf numFmtId="168" fontId="218" fillId="0" borderId="421" xfId="0" applyNumberFormat="1" applyFont="1" applyFill="1" applyBorder="1"/>
    <xf numFmtId="173" fontId="218" fillId="0" borderId="421" xfId="0" applyNumberFormat="1" applyFont="1" applyFill="1" applyBorder="1"/>
    <xf numFmtId="42" fontId="219" fillId="0" borderId="426" xfId="12" applyNumberFormat="1" applyFont="1" applyBorder="1"/>
    <xf numFmtId="42" fontId="219" fillId="0" borderId="427" xfId="12" applyNumberFormat="1" applyFont="1" applyBorder="1"/>
    <xf numFmtId="42" fontId="219" fillId="0" borderId="5" xfId="12" applyNumberFormat="1" applyFont="1" applyBorder="1"/>
    <xf numFmtId="168" fontId="219" fillId="0" borderId="457" xfId="12" applyNumberFormat="1" applyFont="1" applyBorder="1"/>
    <xf numFmtId="44" fontId="219" fillId="0" borderId="427" xfId="1" applyFont="1" applyBorder="1"/>
    <xf numFmtId="44" fontId="219" fillId="0" borderId="419" xfId="1" applyFont="1" applyBorder="1"/>
    <xf numFmtId="42" fontId="219" fillId="0" borderId="419" xfId="12" applyNumberFormat="1" applyFont="1" applyBorder="1"/>
    <xf numFmtId="3" fontId="219" fillId="0" borderId="457" xfId="12" applyNumberFormat="1" applyFont="1" applyBorder="1"/>
    <xf numFmtId="42" fontId="219" fillId="0" borderId="426" xfId="3" applyNumberFormat="1" applyFont="1" applyBorder="1"/>
    <xf numFmtId="42" fontId="219" fillId="0" borderId="427" xfId="3" applyNumberFormat="1" applyFont="1" applyBorder="1"/>
    <xf numFmtId="42" fontId="219" fillId="0" borderId="419" xfId="3" applyNumberFormat="1" applyFont="1" applyBorder="1"/>
    <xf numFmtId="3" fontId="219" fillId="0" borderId="457" xfId="3" applyNumberFormat="1" applyFont="1" applyBorder="1"/>
    <xf numFmtId="164" fontId="215" fillId="0" borderId="25" xfId="0" applyNumberFormat="1" applyFont="1" applyFill="1" applyBorder="1" applyAlignment="1">
      <alignment horizontal="center"/>
    </xf>
    <xf numFmtId="166" fontId="218" fillId="0" borderId="195" xfId="0" applyNumberFormat="1" applyFont="1" applyFill="1" applyBorder="1" applyAlignment="1">
      <alignment horizontal="right"/>
    </xf>
    <xf numFmtId="42" fontId="219" fillId="0" borderId="343" xfId="3" applyNumberFormat="1" applyFont="1" applyBorder="1"/>
    <xf numFmtId="164" fontId="215" fillId="0" borderId="26" xfId="0" applyNumberFormat="1" applyFont="1" applyFill="1" applyBorder="1"/>
    <xf numFmtId="42" fontId="219" fillId="0" borderId="457" xfId="3" applyNumberFormat="1" applyFont="1" applyBorder="1"/>
    <xf numFmtId="168" fontId="12" fillId="5" borderId="484" xfId="2" applyNumberFormat="1" applyFill="1" applyBorder="1"/>
    <xf numFmtId="168" fontId="39" fillId="15" borderId="497" xfId="12" applyNumberFormat="1" applyFill="1" applyBorder="1"/>
    <xf numFmtId="37" fontId="220" fillId="47" borderId="0" xfId="8220" applyNumberFormat="1" applyFont="1" applyFill="1" applyAlignment="1" applyProtection="1">
      <alignment horizontal="center" vertical="center"/>
      <protection hidden="1"/>
    </xf>
    <xf numFmtId="37" fontId="221" fillId="52" borderId="343" xfId="8203" applyNumberFormat="1" applyFont="1" applyFill="1" applyBorder="1" applyAlignment="1" applyProtection="1">
      <alignment horizontal="center" vertical="center"/>
      <protection hidden="1"/>
    </xf>
    <xf numFmtId="37" fontId="221" fillId="12" borderId="343" xfId="8203" applyNumberFormat="1" applyFont="1" applyFill="1" applyBorder="1" applyAlignment="1" applyProtection="1">
      <alignment horizontal="center" vertical="center"/>
      <protection hidden="1"/>
    </xf>
    <xf numFmtId="37" fontId="221" fillId="12" borderId="343" xfId="0" applyNumberFormat="1" applyFont="1" applyFill="1" applyBorder="1" applyAlignment="1" applyProtection="1">
      <alignment horizontal="center" vertical="center"/>
      <protection hidden="1"/>
    </xf>
    <xf numFmtId="44" fontId="220" fillId="47" borderId="0" xfId="8220" applyNumberFormat="1" applyFont="1" applyFill="1" applyAlignment="1" applyProtection="1">
      <alignment horizontal="center" vertical="center"/>
      <protection hidden="1"/>
    </xf>
    <xf numFmtId="44" fontId="221" fillId="52" borderId="343" xfId="8202" applyFont="1" applyFill="1" applyBorder="1" applyAlignment="1" applyProtection="1">
      <alignment horizontal="center" vertical="center"/>
      <protection hidden="1"/>
    </xf>
    <xf numFmtId="44" fontId="221" fillId="12" borderId="343" xfId="8202" applyFont="1" applyFill="1" applyBorder="1" applyAlignment="1" applyProtection="1">
      <alignment horizontal="center" vertical="center"/>
      <protection hidden="1"/>
    </xf>
    <xf numFmtId="44" fontId="221" fillId="12" borderId="343" xfId="0" applyNumberFormat="1" applyFont="1" applyFill="1" applyBorder="1" applyAlignment="1" applyProtection="1">
      <alignment horizontal="center" vertical="center"/>
      <protection hidden="1"/>
    </xf>
    <xf numFmtId="37" fontId="221" fillId="12" borderId="303" xfId="8203" applyNumberFormat="1" applyFont="1" applyFill="1" applyBorder="1" applyAlignment="1" applyProtection="1">
      <alignment horizontal="center" vertical="center"/>
      <protection hidden="1"/>
    </xf>
    <xf numFmtId="44" fontId="220" fillId="47" borderId="0" xfId="1" applyNumberFormat="1" applyFont="1" applyFill="1" applyAlignment="1" applyProtection="1">
      <alignment horizontal="center" vertical="center"/>
      <protection hidden="1"/>
    </xf>
    <xf numFmtId="44" fontId="221" fillId="12" borderId="303" xfId="8202" applyFont="1" applyFill="1" applyBorder="1" applyAlignment="1" applyProtection="1">
      <alignment horizontal="center" vertical="center"/>
      <protection hidden="1"/>
    </xf>
    <xf numFmtId="37" fontId="220" fillId="47" borderId="0" xfId="8220" applyNumberFormat="1" applyFont="1" applyFill="1" applyBorder="1" applyAlignment="1" applyProtection="1">
      <alignment horizontal="center" vertical="center"/>
      <protection hidden="1"/>
    </xf>
    <xf numFmtId="44" fontId="220" fillId="47" borderId="0" xfId="8220" applyNumberFormat="1" applyFont="1" applyFill="1" applyBorder="1" applyAlignment="1" applyProtection="1">
      <alignment horizontal="center" vertical="center"/>
      <protection hidden="1"/>
    </xf>
    <xf numFmtId="37" fontId="222" fillId="47" borderId="0" xfId="0" applyNumberFormat="1" applyFont="1" applyFill="1" applyAlignment="1" applyProtection="1">
      <alignment horizontal="center" vertical="center"/>
      <protection hidden="1"/>
    </xf>
    <xf numFmtId="37" fontId="223" fillId="12" borderId="343" xfId="0" applyNumberFormat="1" applyFont="1" applyFill="1" applyBorder="1" applyAlignment="1" applyProtection="1">
      <alignment horizontal="center" vertical="center"/>
      <protection hidden="1"/>
    </xf>
    <xf numFmtId="5" fontId="222" fillId="47" borderId="0" xfId="0" applyNumberFormat="1" applyFont="1" applyFill="1" applyAlignment="1" applyProtection="1">
      <alignment horizontal="center" vertical="center"/>
      <protection hidden="1"/>
    </xf>
    <xf numFmtId="44" fontId="223" fillId="12" borderId="343" xfId="0" applyNumberFormat="1" applyFont="1" applyFill="1" applyBorder="1" applyAlignment="1" applyProtection="1">
      <alignment horizontal="center" vertical="center"/>
      <protection hidden="1"/>
    </xf>
    <xf numFmtId="5" fontId="220" fillId="47" borderId="0" xfId="8220" applyNumberFormat="1" applyFont="1" applyFill="1" applyAlignment="1" applyProtection="1">
      <alignment horizontal="center" vertical="center"/>
      <protection hidden="1"/>
    </xf>
    <xf numFmtId="44" fontId="222" fillId="47" borderId="0" xfId="0" applyNumberFormat="1" applyFont="1" applyFill="1" applyAlignment="1" applyProtection="1">
      <alignment horizontal="center" vertical="center"/>
      <protection hidden="1"/>
    </xf>
    <xf numFmtId="7" fontId="220" fillId="47" borderId="0" xfId="8220" applyNumberFormat="1" applyFont="1" applyFill="1" applyAlignment="1" applyProtection="1">
      <alignment horizontal="center" vertical="center"/>
      <protection hidden="1"/>
    </xf>
    <xf numFmtId="0" fontId="224" fillId="0" borderId="0" xfId="0" applyFont="1"/>
    <xf numFmtId="0" fontId="156" fillId="0" borderId="418" xfId="0" applyFont="1" applyBorder="1" applyAlignment="1">
      <alignment horizontal="right"/>
    </xf>
    <xf numFmtId="165" fontId="156" fillId="0" borderId="427" xfId="1" applyNumberFormat="1" applyFont="1" applyBorder="1"/>
    <xf numFmtId="172" fontId="156" fillId="0" borderId="419" xfId="7" applyNumberFormat="1" applyFont="1" applyBorder="1"/>
    <xf numFmtId="0" fontId="64" fillId="0" borderId="486" xfId="9" applyFont="1" applyFill="1" applyBorder="1" applyAlignment="1" applyProtection="1">
      <alignment horizontal="center" wrapText="1"/>
    </xf>
    <xf numFmtId="0" fontId="156" fillId="0" borderId="0" xfId="0" applyFont="1" applyAlignment="1">
      <alignment horizontal="center"/>
    </xf>
    <xf numFmtId="169" fontId="201" fillId="40" borderId="487" xfId="0" applyNumberFormat="1" applyFont="1" applyFill="1" applyBorder="1" applyAlignment="1">
      <alignment horizontal="right"/>
    </xf>
    <xf numFmtId="169" fontId="116" fillId="40" borderId="484" xfId="0" applyNumberFormat="1" applyFont="1" applyFill="1" applyBorder="1" applyAlignment="1">
      <alignment horizontal="right"/>
    </xf>
    <xf numFmtId="169" fontId="0" fillId="0" borderId="28" xfId="0" applyNumberFormat="1" applyBorder="1" applyAlignment="1">
      <alignment horizontal="right"/>
    </xf>
    <xf numFmtId="169" fontId="170" fillId="48" borderId="421" xfId="0" applyNumberFormat="1" applyFont="1" applyFill="1" applyBorder="1" applyAlignment="1" applyProtection="1">
      <alignment horizontal="center" vertical="top"/>
      <protection hidden="1"/>
    </xf>
    <xf numFmtId="9" fontId="0" fillId="0" borderId="0" xfId="8" applyFont="1" applyBorder="1" applyAlignment="1">
      <alignment horizontal="left" indent="2"/>
    </xf>
    <xf numFmtId="0" fontId="41" fillId="0" borderId="0" xfId="177" applyFont="1" applyFill="1" applyBorder="1" applyAlignment="1">
      <alignment horizontal="left"/>
    </xf>
    <xf numFmtId="166" fontId="0" fillId="0" borderId="0" xfId="8" applyNumberFormat="1" applyFont="1" applyBorder="1" applyAlignment="1">
      <alignment horizontal="left" indent="2"/>
    </xf>
    <xf numFmtId="0" fontId="15" fillId="0" borderId="0" xfId="177" applyFont="1" applyFill="1" applyBorder="1"/>
    <xf numFmtId="165" fontId="15" fillId="0" borderId="0" xfId="179" applyNumberFormat="1" applyFont="1" applyBorder="1"/>
    <xf numFmtId="165" fontId="15" fillId="0" borderId="28" xfId="179" applyNumberFormat="1" applyFont="1" applyBorder="1"/>
    <xf numFmtId="166" fontId="6" fillId="0" borderId="40" xfId="8" applyNumberFormat="1" applyFont="1" applyBorder="1" applyAlignment="1">
      <alignment horizontal="left" indent="2"/>
    </xf>
    <xf numFmtId="165" fontId="15" fillId="0" borderId="0" xfId="186" applyNumberFormat="1" applyFont="1"/>
    <xf numFmtId="0" fontId="15" fillId="0" borderId="0" xfId="184" applyFont="1"/>
    <xf numFmtId="0" fontId="41" fillId="0" borderId="0" xfId="3" applyFont="1" applyBorder="1"/>
    <xf numFmtId="166" fontId="38" fillId="0" borderId="0" xfId="8" applyNumberFormat="1" applyFont="1" applyBorder="1" applyAlignment="1">
      <alignment horizontal="left" indent="2"/>
    </xf>
    <xf numFmtId="1" fontId="38" fillId="0" borderId="0" xfId="0" applyNumberFormat="1" applyFont="1" applyAlignment="1">
      <alignment horizontal="left"/>
    </xf>
    <xf numFmtId="165" fontId="15" fillId="0" borderId="0" xfId="20" applyNumberFormat="1" applyFont="1" applyBorder="1"/>
    <xf numFmtId="166" fontId="0" fillId="0" borderId="0" xfId="8" applyNumberFormat="1" applyFont="1" applyAlignment="1">
      <alignment horizontal="center"/>
    </xf>
    <xf numFmtId="0" fontId="15" fillId="0" borderId="0" xfId="3"/>
    <xf numFmtId="0" fontId="39" fillId="0" borderId="0" xfId="12"/>
    <xf numFmtId="0" fontId="0" fillId="0" borderId="201" xfId="171" applyFont="1" applyFill="1" applyBorder="1" applyAlignment="1">
      <alignment vertical="center" wrapText="1"/>
    </xf>
    <xf numFmtId="0" fontId="3" fillId="43" borderId="463" xfId="171" applyFont="1" applyFill="1" applyBorder="1" applyAlignment="1">
      <alignment horizontal="center" vertical="center" wrapText="1"/>
    </xf>
    <xf numFmtId="165" fontId="134" fillId="0" borderId="28" xfId="3" applyNumberFormat="1" applyFont="1" applyBorder="1"/>
    <xf numFmtId="0" fontId="15" fillId="0" borderId="0" xfId="177" applyFont="1" applyFill="1" applyBorder="1" applyAlignment="1">
      <alignment horizontal="left"/>
    </xf>
    <xf numFmtId="165" fontId="208" fillId="0" borderId="40" xfId="194" applyNumberFormat="1" applyFont="1" applyBorder="1"/>
    <xf numFmtId="165" fontId="124" fillId="0" borderId="0" xfId="179" applyNumberFormat="1" applyFont="1" applyBorder="1"/>
    <xf numFmtId="0" fontId="198" fillId="0" borderId="0" xfId="12" applyFont="1"/>
    <xf numFmtId="0" fontId="12" fillId="0" borderId="0" xfId="12" applyFont="1"/>
    <xf numFmtId="0" fontId="206" fillId="0" borderId="40" xfId="3" applyFont="1" applyBorder="1"/>
    <xf numFmtId="0" fontId="17" fillId="0" borderId="0" xfId="3" applyFont="1" applyBorder="1"/>
    <xf numFmtId="165" fontId="17" fillId="0" borderId="28" xfId="3" applyNumberFormat="1" applyFont="1" applyBorder="1"/>
    <xf numFmtId="165" fontId="198" fillId="53" borderId="40" xfId="4" applyNumberFormat="1" applyFont="1" applyFill="1" applyBorder="1"/>
    <xf numFmtId="165" fontId="6" fillId="53" borderId="0" xfId="183" applyNumberFormat="1" applyFont="1" applyFill="1" applyBorder="1"/>
    <xf numFmtId="165" fontId="12" fillId="0" borderId="28" xfId="3" applyNumberFormat="1" applyFont="1" applyBorder="1"/>
    <xf numFmtId="165" fontId="225" fillId="53" borderId="40" xfId="183" applyNumberFormat="1" applyFont="1" applyFill="1" applyBorder="1"/>
    <xf numFmtId="165" fontId="20" fillId="53" borderId="0" xfId="183" applyNumberFormat="1" applyFont="1" applyFill="1" applyBorder="1"/>
    <xf numFmtId="165" fontId="20" fillId="0" borderId="28" xfId="3" applyNumberFormat="1" applyFont="1" applyBorder="1"/>
    <xf numFmtId="165" fontId="206" fillId="0" borderId="40" xfId="4" applyNumberFormat="1" applyFont="1" applyFill="1" applyBorder="1"/>
    <xf numFmtId="165" fontId="17" fillId="0" borderId="0" xfId="4" applyNumberFormat="1" applyFont="1" applyFill="1" applyBorder="1"/>
    <xf numFmtId="0" fontId="12" fillId="0" borderId="0" xfId="3" applyFont="1" applyBorder="1"/>
    <xf numFmtId="0" fontId="12" fillId="0" borderId="28" xfId="3" applyFont="1" applyBorder="1"/>
    <xf numFmtId="165" fontId="198" fillId="53" borderId="40" xfId="194" applyNumberFormat="1" applyFont="1" applyFill="1" applyBorder="1"/>
    <xf numFmtId="165" fontId="198" fillId="0" borderId="40" xfId="194" applyNumberFormat="1" applyFont="1" applyFill="1" applyBorder="1"/>
    <xf numFmtId="165" fontId="12" fillId="0" borderId="0" xfId="194" applyNumberFormat="1" applyFont="1" applyFill="1" applyBorder="1"/>
    <xf numFmtId="165" fontId="12" fillId="0" borderId="28" xfId="177" applyNumberFormat="1" applyFont="1" applyBorder="1"/>
    <xf numFmtId="165" fontId="17" fillId="0" borderId="0" xfId="3" applyNumberFormat="1" applyFont="1" applyBorder="1"/>
    <xf numFmtId="165" fontId="6" fillId="0" borderId="0" xfId="0" applyNumberFormat="1" applyFont="1" applyBorder="1"/>
    <xf numFmtId="0" fontId="6" fillId="0" borderId="28" xfId="0" applyFont="1" applyBorder="1"/>
    <xf numFmtId="165" fontId="12" fillId="0" borderId="0" xfId="3" applyNumberFormat="1" applyFont="1" applyBorder="1"/>
    <xf numFmtId="42" fontId="198" fillId="0" borderId="40" xfId="3" applyNumberFormat="1" applyFont="1" applyBorder="1"/>
    <xf numFmtId="165" fontId="225" fillId="0" borderId="40" xfId="22" applyNumberFormat="1" applyFont="1" applyFill="1" applyBorder="1"/>
    <xf numFmtId="165" fontId="20" fillId="0" borderId="0" xfId="3" applyNumberFormat="1" applyFont="1" applyBorder="1"/>
    <xf numFmtId="165" fontId="225" fillId="0" borderId="40" xfId="22" applyNumberFormat="1" applyFont="1" applyBorder="1"/>
    <xf numFmtId="165" fontId="206" fillId="0" borderId="40" xfId="22" applyNumberFormat="1" applyFont="1" applyBorder="1"/>
    <xf numFmtId="42" fontId="206" fillId="0" borderId="40" xfId="0" applyNumberFormat="1" applyFont="1" applyBorder="1"/>
    <xf numFmtId="42" fontId="17" fillId="0" borderId="0" xfId="0" applyNumberFormat="1" applyFont="1" applyBorder="1"/>
    <xf numFmtId="165" fontId="12" fillId="0" borderId="0" xfId="179" applyNumberFormat="1" applyFont="1" applyBorder="1"/>
    <xf numFmtId="165" fontId="198" fillId="0" borderId="40" xfId="194" applyNumberFormat="1" applyFont="1" applyBorder="1"/>
    <xf numFmtId="165" fontId="12" fillId="0" borderId="0" xfId="194" applyNumberFormat="1" applyFont="1" applyBorder="1"/>
    <xf numFmtId="165" fontId="225" fillId="0" borderId="40" xfId="194" applyNumberFormat="1" applyFont="1" applyBorder="1"/>
    <xf numFmtId="165" fontId="20" fillId="0" borderId="0" xfId="179" applyNumberFormat="1" applyFont="1" applyBorder="1"/>
    <xf numFmtId="165" fontId="20" fillId="0" borderId="28" xfId="177" applyNumberFormat="1" applyFont="1" applyBorder="1"/>
    <xf numFmtId="165" fontId="206" fillId="0" borderId="40" xfId="179" applyNumberFormat="1" applyFont="1" applyBorder="1"/>
    <xf numFmtId="165" fontId="17" fillId="0" borderId="0" xfId="179" applyNumberFormat="1" applyFont="1" applyBorder="1"/>
    <xf numFmtId="165" fontId="17" fillId="0" borderId="28" xfId="177" applyNumberFormat="1" applyFont="1" applyBorder="1"/>
    <xf numFmtId="165" fontId="206" fillId="2" borderId="14" xfId="22" applyNumberFormat="1" applyFont="1" applyFill="1" applyBorder="1"/>
    <xf numFmtId="165" fontId="17" fillId="2" borderId="313" xfId="22" applyNumberFormat="1" applyFont="1" applyFill="1" applyBorder="1"/>
    <xf numFmtId="165" fontId="17" fillId="2" borderId="29" xfId="22" applyNumberFormat="1" applyFont="1" applyFill="1" applyBorder="1"/>
    <xf numFmtId="0" fontId="226" fillId="0" borderId="0" xfId="9" applyFont="1" applyFill="1" applyAlignment="1" applyProtection="1">
      <alignment horizontal="center"/>
    </xf>
    <xf numFmtId="0" fontId="12" fillId="0" borderId="0" xfId="177" applyFont="1" applyFill="1" applyBorder="1" applyAlignment="1">
      <alignment horizontal="left" indent="2"/>
    </xf>
    <xf numFmtId="0" fontId="12" fillId="0" borderId="0" xfId="177" applyFont="1" applyFill="1" applyBorder="1" applyAlignment="1">
      <alignment horizontal="left"/>
    </xf>
    <xf numFmtId="0" fontId="12" fillId="0" borderId="0" xfId="3" applyFont="1" applyBorder="1" applyAlignment="1">
      <alignment horizontal="left" indent="1"/>
    </xf>
    <xf numFmtId="0" fontId="12" fillId="0" borderId="0" xfId="3" applyFont="1" applyFill="1" applyBorder="1" applyAlignment="1">
      <alignment horizontal="left" indent="1"/>
    </xf>
    <xf numFmtId="0" fontId="12" fillId="0" borderId="0" xfId="3" applyFont="1" applyAlignment="1">
      <alignment horizontal="left" indent="2"/>
    </xf>
    <xf numFmtId="0" fontId="12" fillId="0" borderId="0" xfId="3" applyFont="1" applyAlignment="1">
      <alignment horizontal="right"/>
    </xf>
    <xf numFmtId="167" fontId="206" fillId="0" borderId="0" xfId="22" applyNumberFormat="1" applyFont="1" applyFill="1"/>
    <xf numFmtId="2" fontId="198" fillId="0" borderId="0" xfId="3" applyNumberFormat="1" applyFont="1" applyFill="1" applyAlignment="1">
      <alignment horizontal="right"/>
    </xf>
    <xf numFmtId="1" fontId="198" fillId="0" borderId="0" xfId="15" applyNumberFormat="1" applyFont="1" applyBorder="1" applyAlignment="1">
      <alignment horizontal="left"/>
    </xf>
    <xf numFmtId="49" fontId="6" fillId="0" borderId="0" xfId="22" applyNumberFormat="1" applyFont="1" applyAlignment="1">
      <alignment horizontal="center"/>
    </xf>
    <xf numFmtId="165" fontId="92" fillId="0" borderId="0" xfId="186" applyNumberFormat="1" applyFont="1" applyBorder="1" applyAlignment="1">
      <alignment horizontal="right"/>
    </xf>
    <xf numFmtId="165" fontId="0" fillId="53" borderId="0" xfId="183" applyNumberFormat="1" applyFont="1" applyFill="1" applyBorder="1"/>
    <xf numFmtId="165" fontId="17" fillId="0" borderId="0" xfId="184" applyNumberFormat="1" applyFont="1" applyBorder="1"/>
    <xf numFmtId="165" fontId="12" fillId="0" borderId="0" xfId="177" applyNumberFormat="1" applyFont="1" applyBorder="1"/>
    <xf numFmtId="0" fontId="17" fillId="0" borderId="0" xfId="177" applyFont="1" applyFill="1" applyBorder="1" applyAlignment="1">
      <alignment horizontal="left"/>
    </xf>
    <xf numFmtId="165" fontId="15" fillId="0" borderId="427" xfId="1" applyNumberFormat="1" applyFont="1" applyFill="1" applyBorder="1"/>
    <xf numFmtId="180" fontId="198" fillId="0" borderId="40" xfId="12" applyNumberFormat="1" applyFont="1" applyBorder="1"/>
    <xf numFmtId="180" fontId="225" fillId="0" borderId="40" xfId="12" applyNumberFormat="1" applyFont="1" applyBorder="1"/>
    <xf numFmtId="0" fontId="228" fillId="0" borderId="0" xfId="9" applyFont="1" applyFill="1" applyAlignment="1" applyProtection="1">
      <alignment horizontal="center"/>
    </xf>
    <xf numFmtId="180" fontId="206" fillId="0" borderId="40" xfId="12" applyNumberFormat="1" applyFont="1" applyBorder="1"/>
    <xf numFmtId="180" fontId="17" fillId="0" borderId="0" xfId="12" applyNumberFormat="1" applyFont="1" applyBorder="1"/>
    <xf numFmtId="42" fontId="17" fillId="0" borderId="28" xfId="12" applyNumberFormat="1" applyFont="1" applyBorder="1"/>
    <xf numFmtId="0" fontId="12" fillId="0" borderId="0" xfId="12" applyFont="1" applyBorder="1"/>
    <xf numFmtId="0" fontId="12" fillId="0" borderId="28" xfId="12" applyFont="1" applyBorder="1"/>
    <xf numFmtId="165" fontId="17" fillId="0" borderId="0" xfId="12" applyNumberFormat="1" applyFont="1" applyBorder="1"/>
    <xf numFmtId="165" fontId="17" fillId="0" borderId="28" xfId="12" applyNumberFormat="1" applyFont="1" applyBorder="1"/>
    <xf numFmtId="165" fontId="12" fillId="0" borderId="0" xfId="12" applyNumberFormat="1" applyFont="1" applyBorder="1"/>
    <xf numFmtId="165" fontId="12" fillId="0" borderId="28" xfId="12" applyNumberFormat="1" applyFont="1" applyBorder="1"/>
    <xf numFmtId="165" fontId="17" fillId="0" borderId="0" xfId="1" applyNumberFormat="1" applyFont="1" applyBorder="1"/>
    <xf numFmtId="165" fontId="198" fillId="0" borderId="40" xfId="15" applyNumberFormat="1" applyFont="1" applyFill="1" applyBorder="1"/>
    <xf numFmtId="42" fontId="198" fillId="0" borderId="40" xfId="12" applyNumberFormat="1" applyFont="1" applyBorder="1"/>
    <xf numFmtId="165" fontId="225" fillId="0" borderId="40" xfId="15" applyNumberFormat="1" applyFont="1" applyFill="1" applyBorder="1"/>
    <xf numFmtId="165" fontId="20" fillId="0" borderId="0" xfId="12" applyNumberFormat="1" applyFont="1" applyBorder="1"/>
    <xf numFmtId="165" fontId="20" fillId="0" borderId="28" xfId="12" applyNumberFormat="1" applyFont="1" applyBorder="1"/>
    <xf numFmtId="165" fontId="12" fillId="0" borderId="0" xfId="1" applyNumberFormat="1" applyFont="1" applyBorder="1"/>
    <xf numFmtId="165" fontId="225" fillId="0" borderId="40" xfId="15" applyNumberFormat="1" applyFont="1" applyBorder="1"/>
    <xf numFmtId="165" fontId="17" fillId="0" borderId="0" xfId="15" applyNumberFormat="1" applyFont="1" applyBorder="1"/>
    <xf numFmtId="42" fontId="17" fillId="0" borderId="0" xfId="12" applyNumberFormat="1" applyFont="1" applyBorder="1"/>
    <xf numFmtId="165" fontId="12" fillId="0" borderId="0" xfId="15" applyNumberFormat="1" applyFont="1" applyBorder="1"/>
    <xf numFmtId="165" fontId="12" fillId="0" borderId="28" xfId="15" applyNumberFormat="1" applyFont="1" applyBorder="1"/>
    <xf numFmtId="165" fontId="17" fillId="0" borderId="28" xfId="15" applyNumberFormat="1" applyFont="1" applyBorder="1"/>
    <xf numFmtId="165" fontId="12" fillId="0" borderId="28" xfId="15" applyNumberFormat="1" applyFont="1" applyFill="1" applyBorder="1"/>
    <xf numFmtId="165" fontId="20" fillId="0" borderId="0" xfId="15" applyNumberFormat="1" applyFont="1" applyFill="1" applyBorder="1"/>
    <xf numFmtId="165" fontId="20" fillId="0" borderId="28" xfId="15" applyNumberFormat="1" applyFont="1" applyFill="1" applyBorder="1"/>
    <xf numFmtId="0" fontId="1" fillId="0" borderId="0" xfId="12" applyFont="1" applyFill="1" applyBorder="1" applyAlignment="1">
      <alignment horizontal="left"/>
    </xf>
    <xf numFmtId="165" fontId="17" fillId="0" borderId="28" xfId="15" applyNumberFormat="1" applyFont="1" applyFill="1" applyBorder="1"/>
    <xf numFmtId="0" fontId="1" fillId="0" borderId="0" xfId="12" applyNumberFormat="1" applyFont="1" applyBorder="1"/>
    <xf numFmtId="165" fontId="206" fillId="2" borderId="429" xfId="15" applyNumberFormat="1" applyFont="1" applyFill="1" applyBorder="1"/>
    <xf numFmtId="165" fontId="17" fillId="2" borderId="467" xfId="15" applyNumberFormat="1" applyFont="1" applyFill="1" applyBorder="1"/>
    <xf numFmtId="165" fontId="17" fillId="2" borderId="468" xfId="15" applyNumberFormat="1" applyFont="1" applyFill="1" applyBorder="1"/>
    <xf numFmtId="165" fontId="20" fillId="0" borderId="0" xfId="1" applyNumberFormat="1" applyFont="1" applyFill="1" applyBorder="1"/>
    <xf numFmtId="180" fontId="20" fillId="0" borderId="28" xfId="18" applyNumberFormat="1" applyFont="1" applyFill="1" applyBorder="1"/>
    <xf numFmtId="165" fontId="206" fillId="0" borderId="40" xfId="1" applyNumberFormat="1" applyFont="1" applyBorder="1"/>
    <xf numFmtId="165" fontId="17" fillId="0" borderId="0" xfId="1" applyNumberFormat="1" applyFont="1"/>
    <xf numFmtId="0" fontId="17" fillId="0" borderId="0" xfId="12" applyFont="1" applyAlignment="1">
      <alignment horizontal="center"/>
    </xf>
    <xf numFmtId="0" fontId="17" fillId="0" borderId="0" xfId="12" applyFont="1" applyFill="1" applyBorder="1" applyAlignment="1">
      <alignment horizontal="center"/>
    </xf>
    <xf numFmtId="0" fontId="17" fillId="0" borderId="0" xfId="177" applyFont="1" applyFill="1" applyBorder="1" applyAlignment="1">
      <alignment horizontal="center"/>
    </xf>
    <xf numFmtId="0" fontId="5" fillId="0" borderId="0" xfId="12" applyFont="1" applyFill="1" applyBorder="1" applyAlignment="1">
      <alignment horizontal="center"/>
    </xf>
    <xf numFmtId="0" fontId="17" fillId="0" borderId="0" xfId="3" applyFont="1" applyAlignment="1">
      <alignment horizontal="center"/>
    </xf>
    <xf numFmtId="0" fontId="17" fillId="0" borderId="28" xfId="3" applyFont="1" applyFill="1" applyBorder="1" applyAlignment="1">
      <alignment horizontal="center"/>
    </xf>
    <xf numFmtId="165" fontId="225" fillId="0" borderId="40" xfId="194" applyNumberFormat="1" applyFont="1" applyFill="1" applyBorder="1"/>
    <xf numFmtId="165" fontId="20" fillId="0" borderId="0" xfId="194" applyNumberFormat="1" applyFont="1" applyFill="1" applyBorder="1"/>
    <xf numFmtId="0" fontId="17" fillId="0" borderId="0" xfId="177" applyFont="1" applyAlignment="1">
      <alignment horizontal="center"/>
    </xf>
    <xf numFmtId="165" fontId="38" fillId="0" borderId="0" xfId="0" applyNumberFormat="1" applyFont="1" applyBorder="1"/>
    <xf numFmtId="165" fontId="206" fillId="0" borderId="40" xfId="194" applyNumberFormat="1" applyFont="1" applyFill="1" applyBorder="1"/>
    <xf numFmtId="165" fontId="17" fillId="0" borderId="0" xfId="194" applyNumberFormat="1" applyFont="1" applyFill="1" applyBorder="1"/>
    <xf numFmtId="165" fontId="20" fillId="0" borderId="0" xfId="183" applyNumberFormat="1" applyFont="1" applyFill="1" applyBorder="1"/>
    <xf numFmtId="0" fontId="42" fillId="0" borderId="0" xfId="3" applyFont="1" applyFill="1" applyBorder="1" applyAlignment="1">
      <alignment horizontal="center"/>
    </xf>
    <xf numFmtId="0" fontId="41" fillId="0" borderId="0" xfId="3" applyFont="1" applyAlignment="1">
      <alignment horizontal="center"/>
    </xf>
    <xf numFmtId="165" fontId="208" fillId="0" borderId="40" xfId="3" applyNumberFormat="1" applyFont="1" applyBorder="1"/>
    <xf numFmtId="165" fontId="207" fillId="0" borderId="40" xfId="3" applyNumberFormat="1" applyFont="1" applyBorder="1"/>
    <xf numFmtId="0" fontId="41" fillId="0" borderId="0" xfId="177" applyFont="1" applyFill="1" applyBorder="1" applyAlignment="1">
      <alignment horizontal="center"/>
    </xf>
    <xf numFmtId="165" fontId="225" fillId="0" borderId="40" xfId="1" applyNumberFormat="1" applyFont="1" applyFill="1" applyBorder="1"/>
    <xf numFmtId="165" fontId="20" fillId="0" borderId="28" xfId="1" applyNumberFormat="1" applyFont="1" applyFill="1" applyBorder="1"/>
    <xf numFmtId="0" fontId="12" fillId="0" borderId="0" xfId="177" applyFont="1" applyBorder="1" applyAlignment="1">
      <alignment horizontal="left" indent="2"/>
    </xf>
    <xf numFmtId="0" fontId="17" fillId="0" borderId="0" xfId="177" applyFont="1" applyBorder="1" applyAlignment="1">
      <alignment horizontal="center"/>
    </xf>
    <xf numFmtId="44" fontId="198" fillId="0" borderId="40" xfId="1" applyNumberFormat="1" applyFont="1" applyBorder="1"/>
    <xf numFmtId="165" fontId="225" fillId="0" borderId="0" xfId="1" applyNumberFormat="1" applyFont="1"/>
    <xf numFmtId="165" fontId="151" fillId="0" borderId="0" xfId="1" applyNumberFormat="1" applyFont="1"/>
    <xf numFmtId="165" fontId="151" fillId="0" borderId="28" xfId="1" applyNumberFormat="1" applyFont="1" applyBorder="1"/>
    <xf numFmtId="0" fontId="41" fillId="0" borderId="0" xfId="3" applyFont="1" applyBorder="1" applyAlignment="1">
      <alignment horizontal="center"/>
    </xf>
    <xf numFmtId="165" fontId="124" fillId="0" borderId="0" xfId="22" applyNumberFormat="1" applyFont="1" applyBorder="1"/>
    <xf numFmtId="165" fontId="124" fillId="0" borderId="28" xfId="22" applyNumberFormat="1" applyFont="1" applyBorder="1"/>
    <xf numFmtId="44" fontId="204" fillId="0" borderId="40" xfId="179" applyNumberFormat="1" applyFont="1" applyBorder="1"/>
    <xf numFmtId="165" fontId="38" fillId="0" borderId="28" xfId="1" applyNumberFormat="1" applyFont="1" applyBorder="1"/>
    <xf numFmtId="165" fontId="17" fillId="0" borderId="28" xfId="22" applyNumberFormat="1" applyFont="1" applyBorder="1"/>
    <xf numFmtId="165" fontId="214" fillId="0" borderId="40" xfId="22" applyNumberFormat="1" applyFont="1" applyFill="1" applyBorder="1"/>
    <xf numFmtId="165" fontId="134" fillId="0" borderId="0" xfId="22" applyNumberFormat="1" applyFont="1" applyBorder="1"/>
    <xf numFmtId="165" fontId="134" fillId="0" borderId="28" xfId="22" applyNumberFormat="1" applyFont="1" applyFill="1" applyBorder="1"/>
    <xf numFmtId="42" fontId="198" fillId="0" borderId="40" xfId="4" applyNumberFormat="1" applyFont="1" applyFill="1" applyBorder="1"/>
    <xf numFmtId="42" fontId="12" fillId="0" borderId="0" xfId="4" applyNumberFormat="1" applyFont="1" applyFill="1" applyBorder="1"/>
    <xf numFmtId="42" fontId="12" fillId="0" borderId="28" xfId="4" applyNumberFormat="1" applyFont="1" applyFill="1" applyBorder="1"/>
    <xf numFmtId="42" fontId="225" fillId="0" borderId="40" xfId="4" applyNumberFormat="1" applyFont="1" applyFill="1" applyBorder="1"/>
    <xf numFmtId="42" fontId="20" fillId="0" borderId="0" xfId="4" applyNumberFormat="1" applyFont="1" applyFill="1" applyBorder="1"/>
    <xf numFmtId="42" fontId="20" fillId="0" borderId="28" xfId="4" applyNumberFormat="1" applyFont="1" applyFill="1" applyBorder="1"/>
    <xf numFmtId="42" fontId="206" fillId="0" borderId="40" xfId="4" applyNumberFormat="1" applyFont="1" applyFill="1" applyBorder="1"/>
    <xf numFmtId="42" fontId="17" fillId="0" borderId="0" xfId="4" applyNumberFormat="1" applyFont="1" applyFill="1" applyBorder="1"/>
    <xf numFmtId="42" fontId="17" fillId="0" borderId="28" xfId="4" applyNumberFormat="1" applyFont="1" applyFill="1" applyBorder="1"/>
    <xf numFmtId="9" fontId="198" fillId="0" borderId="40" xfId="4" applyFont="1" applyFill="1" applyBorder="1"/>
    <xf numFmtId="9" fontId="12" fillId="0" borderId="0" xfId="4" applyFont="1" applyFill="1" applyBorder="1"/>
    <xf numFmtId="9" fontId="12" fillId="0" borderId="28" xfId="4" applyFont="1" applyFill="1" applyBorder="1"/>
    <xf numFmtId="165" fontId="6" fillId="0" borderId="0" xfId="1" applyNumberFormat="1" applyFont="1"/>
    <xf numFmtId="165" fontId="6" fillId="0" borderId="28" xfId="1" applyNumberFormat="1" applyFont="1" applyBorder="1"/>
    <xf numFmtId="165" fontId="20" fillId="0" borderId="0" xfId="22" applyNumberFormat="1" applyFont="1" applyFill="1" applyBorder="1"/>
    <xf numFmtId="165" fontId="20" fillId="0" borderId="28" xfId="22" applyNumberFormat="1" applyFont="1" applyFill="1" applyBorder="1"/>
    <xf numFmtId="165" fontId="41" fillId="2" borderId="467" xfId="22" applyNumberFormat="1" applyFont="1" applyFill="1" applyBorder="1"/>
    <xf numFmtId="165" fontId="41" fillId="2" borderId="468" xfId="22" applyNumberFormat="1" applyFont="1" applyFill="1" applyBorder="1"/>
    <xf numFmtId="165" fontId="214" fillId="0" borderId="40" xfId="20" applyNumberFormat="1" applyFont="1" applyBorder="1"/>
    <xf numFmtId="165" fontId="134" fillId="0" borderId="0" xfId="3" applyNumberFormat="1" applyFont="1" applyBorder="1"/>
    <xf numFmtId="165" fontId="208" fillId="0" borderId="40" xfId="20" applyNumberFormat="1" applyFont="1" applyFill="1" applyBorder="1"/>
    <xf numFmtId="165" fontId="124" fillId="0" borderId="0" xfId="20" applyNumberFormat="1" applyFont="1" applyFill="1" applyBorder="1"/>
    <xf numFmtId="165" fontId="124" fillId="0" borderId="28" xfId="20" applyNumberFormat="1" applyFont="1" applyFill="1" applyBorder="1"/>
    <xf numFmtId="0" fontId="115" fillId="39" borderId="0" xfId="8220" applyFont="1" applyFill="1" applyAlignment="1" applyProtection="1">
      <alignment horizontal="center" vertical="center"/>
      <protection hidden="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0" fillId="0" borderId="0" xfId="0" applyFont="1" applyAlignment="1">
      <alignment horizontal="center" wrapText="1"/>
    </xf>
    <xf numFmtId="0" fontId="0" fillId="0" borderId="0" xfId="0" applyAlignment="1">
      <alignment horizontal="center" vertical="center" wrapText="1"/>
    </xf>
    <xf numFmtId="10" fontId="229" fillId="0" borderId="40" xfId="0" applyNumberFormat="1" applyFont="1" applyBorder="1" applyAlignment="1">
      <alignment horizontal="left" indent="2"/>
    </xf>
    <xf numFmtId="1" fontId="230" fillId="0" borderId="0" xfId="15" applyNumberFormat="1" applyFont="1" applyBorder="1" applyAlignment="1">
      <alignment horizontal="center"/>
    </xf>
    <xf numFmtId="10" fontId="0" fillId="0" borderId="40" xfId="0" applyNumberFormat="1" applyFont="1" applyBorder="1" applyAlignment="1">
      <alignment horizontal="left" indent="2"/>
    </xf>
    <xf numFmtId="1" fontId="1" fillId="0" borderId="0" xfId="12" applyNumberFormat="1" applyFont="1" applyFill="1" applyBorder="1" applyAlignment="1">
      <alignment horizontal="center" vertical="center"/>
    </xf>
    <xf numFmtId="0" fontId="26" fillId="0" borderId="0" xfId="0" applyFont="1" applyFill="1" applyBorder="1"/>
    <xf numFmtId="169" fontId="201" fillId="0" borderId="0" xfId="0" applyNumberFormat="1" applyFont="1" applyFill="1" applyBorder="1" applyAlignment="1">
      <alignment horizontal="right"/>
    </xf>
    <xf numFmtId="169" fontId="116" fillId="0" borderId="0" xfId="0" applyNumberFormat="1" applyFont="1" applyFill="1" applyBorder="1" applyAlignment="1">
      <alignment horizontal="right"/>
    </xf>
    <xf numFmtId="169" fontId="0" fillId="0" borderId="0" xfId="0" applyNumberFormat="1" applyFont="1" applyFill="1" applyBorder="1" applyAlignment="1">
      <alignment horizontal="right"/>
    </xf>
    <xf numFmtId="0" fontId="231" fillId="0" borderId="0" xfId="0" applyFont="1" applyAlignment="1">
      <alignment horizontal="right"/>
    </xf>
    <xf numFmtId="0" fontId="232" fillId="0" borderId="0" xfId="0" applyFont="1" applyAlignment="1">
      <alignment horizontal="right"/>
    </xf>
    <xf numFmtId="0" fontId="177" fillId="0" borderId="0" xfId="0" applyFont="1" applyAlignment="1">
      <alignment horizontal="left" indent="1"/>
    </xf>
    <xf numFmtId="0" fontId="177" fillId="0" borderId="0" xfId="0" applyFont="1" applyFill="1" applyAlignment="1">
      <alignment horizontal="left" indent="1"/>
    </xf>
    <xf numFmtId="0" fontId="149" fillId="0" borderId="0" xfId="0" applyFont="1"/>
    <xf numFmtId="0" fontId="149" fillId="0" borderId="0" xfId="0" applyFont="1" applyFill="1"/>
    <xf numFmtId="0" fontId="177" fillId="0" borderId="0" xfId="0" applyFont="1"/>
    <xf numFmtId="0" fontId="0" fillId="0" borderId="0" xfId="0" applyFont="1" applyAlignment="1">
      <alignment horizontal="center" wrapText="1"/>
    </xf>
    <xf numFmtId="0" fontId="0" fillId="0" borderId="52" xfId="0" applyBorder="1"/>
    <xf numFmtId="42" fontId="0" fillId="73" borderId="52" xfId="0" applyNumberFormat="1" applyFont="1" applyFill="1" applyBorder="1" applyProtection="1"/>
    <xf numFmtId="42" fontId="0" fillId="73" borderId="44" xfId="0" applyNumberFormat="1" applyFont="1" applyFill="1" applyBorder="1" applyProtection="1"/>
    <xf numFmtId="0" fontId="117" fillId="39" borderId="0" xfId="8220" applyFont="1" applyFill="1" applyAlignment="1" applyProtection="1">
      <alignment horizontal="left" vertical="center" indent="2"/>
      <protection hidden="1"/>
    </xf>
    <xf numFmtId="0" fontId="172" fillId="43" borderId="0" xfId="0" applyFont="1" applyFill="1" applyAlignment="1" applyProtection="1">
      <alignment horizontal="left"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0" fillId="0" borderId="0" xfId="0" applyAlignment="1">
      <alignment horizontal="center" vertical="center" wrapText="1"/>
    </xf>
    <xf numFmtId="0" fontId="39" fillId="0" borderId="0" xfId="12"/>
    <xf numFmtId="0" fontId="197" fillId="46" borderId="0" xfId="8220" applyFont="1" applyFill="1" applyAlignment="1" applyProtection="1">
      <alignment horizontal="center" vertical="center"/>
      <protection hidden="1"/>
    </xf>
    <xf numFmtId="0" fontId="233" fillId="40" borderId="0" xfId="8220" applyFont="1" applyFill="1" applyAlignment="1" applyProtection="1">
      <alignment horizontal="center" vertical="center"/>
      <protection hidden="1"/>
    </xf>
    <xf numFmtId="0" fontId="197" fillId="47" borderId="0" xfId="8220" applyFont="1" applyFill="1" applyAlignment="1" applyProtection="1">
      <alignment horizontal="center" vertical="center"/>
      <protection hidden="1"/>
    </xf>
    <xf numFmtId="0" fontId="201" fillId="52" borderId="343" xfId="54583" applyFont="1" applyFill="1" applyBorder="1" applyAlignment="1" applyProtection="1">
      <alignment horizontal="center" vertical="center"/>
      <protection hidden="1"/>
    </xf>
    <xf numFmtId="37" fontId="212" fillId="40" borderId="343" xfId="0" applyNumberFormat="1" applyFont="1" applyFill="1" applyBorder="1" applyAlignment="1" applyProtection="1">
      <alignment horizontal="center" vertical="center"/>
      <protection hidden="1"/>
    </xf>
    <xf numFmtId="0" fontId="212" fillId="40" borderId="343" xfId="0" applyNumberFormat="1" applyFont="1" applyFill="1" applyBorder="1" applyAlignment="1" applyProtection="1">
      <alignment horizontal="center" vertical="center"/>
      <protection hidden="1"/>
    </xf>
    <xf numFmtId="0" fontId="201" fillId="52" borderId="343" xfId="54755" applyFont="1" applyFill="1" applyBorder="1" applyAlignment="1" applyProtection="1">
      <alignment horizontal="center" vertical="center"/>
      <protection hidden="1"/>
    </xf>
    <xf numFmtId="189" fontId="202" fillId="64" borderId="343" xfId="8203" applyNumberFormat="1" applyFont="1" applyFill="1" applyBorder="1" applyAlignment="1" applyProtection="1">
      <alignment horizontal="center" vertical="center"/>
      <protection locked="0"/>
    </xf>
    <xf numFmtId="37" fontId="202" fillId="64" borderId="343" xfId="8203" applyNumberFormat="1" applyFont="1" applyFill="1" applyBorder="1" applyAlignment="1" applyProtection="1">
      <alignment horizontal="center" vertical="center"/>
      <protection locked="0"/>
    </xf>
    <xf numFmtId="169" fontId="211" fillId="48" borderId="420" xfId="8202" applyNumberFormat="1" applyFont="1" applyFill="1" applyBorder="1" applyAlignment="1" applyProtection="1">
      <alignment horizontal="center" vertical="center"/>
      <protection hidden="1"/>
    </xf>
    <xf numFmtId="37" fontId="201" fillId="40" borderId="303" xfId="8203" applyNumberFormat="1" applyFont="1" applyFill="1" applyBorder="1" applyAlignment="1" applyProtection="1">
      <alignment horizontal="center" vertical="center"/>
      <protection locked="0"/>
    </xf>
    <xf numFmtId="0" fontId="220" fillId="45" borderId="0" xfId="8220" applyFont="1" applyFill="1" applyAlignment="1" applyProtection="1">
      <alignment horizontal="center" vertical="center"/>
      <protection hidden="1"/>
    </xf>
    <xf numFmtId="0" fontId="220" fillId="13" borderId="0" xfId="8220" applyFont="1" applyFill="1" applyAlignment="1" applyProtection="1">
      <alignment horizontal="center" vertical="center"/>
      <protection hidden="1"/>
    </xf>
    <xf numFmtId="0" fontId="233" fillId="40" borderId="0" xfId="8220" applyFont="1" applyFill="1" applyBorder="1" applyAlignment="1" applyProtection="1">
      <alignment horizontal="center" vertical="center"/>
      <protection hidden="1"/>
    </xf>
    <xf numFmtId="0" fontId="197" fillId="47" borderId="0" xfId="8220" applyFont="1" applyFill="1" applyBorder="1" applyAlignment="1" applyProtection="1">
      <alignment horizontal="center" vertical="center"/>
      <protection hidden="1"/>
    </xf>
    <xf numFmtId="0" fontId="120" fillId="40" borderId="343" xfId="8220" applyFont="1" applyFill="1" applyBorder="1" applyAlignment="1" applyProtection="1">
      <alignment horizontal="center" vertical="center"/>
      <protection locked="0"/>
    </xf>
    <xf numFmtId="0" fontId="211" fillId="46" borderId="0" xfId="0" applyFont="1" applyFill="1" applyAlignment="1" applyProtection="1">
      <alignment horizontal="center" vertical="center"/>
      <protection hidden="1"/>
    </xf>
    <xf numFmtId="0" fontId="233" fillId="40" borderId="0" xfId="0" applyFont="1" applyFill="1" applyAlignment="1" applyProtection="1">
      <alignment horizontal="center" vertical="center"/>
      <protection hidden="1"/>
    </xf>
    <xf numFmtId="0" fontId="211" fillId="47" borderId="0" xfId="0" applyFont="1" applyFill="1" applyAlignment="1" applyProtection="1">
      <alignment horizontal="center" vertical="center"/>
      <protection hidden="1"/>
    </xf>
    <xf numFmtId="37" fontId="212" fillId="40" borderId="343" xfId="0" applyNumberFormat="1" applyFont="1" applyFill="1" applyBorder="1" applyAlignment="1" applyProtection="1">
      <alignment horizontal="center" vertical="center"/>
      <protection locked="0"/>
    </xf>
    <xf numFmtId="0" fontId="222" fillId="45" borderId="0" xfId="0" applyFont="1" applyFill="1" applyAlignment="1" applyProtection="1">
      <alignment horizontal="center" vertical="center"/>
      <protection hidden="1"/>
    </xf>
    <xf numFmtId="0" fontId="222" fillId="13" borderId="0" xfId="0" applyFont="1" applyFill="1" applyAlignment="1" applyProtection="1">
      <alignment horizontal="center" vertical="center"/>
      <protection hidden="1"/>
    </xf>
    <xf numFmtId="0" fontId="201" fillId="40" borderId="303" xfId="8220" applyFont="1" applyFill="1" applyBorder="1" applyAlignment="1" applyProtection="1">
      <alignment horizontal="center" vertical="center"/>
      <protection locked="0"/>
    </xf>
    <xf numFmtId="3" fontId="202" fillId="0" borderId="0" xfId="0" applyNumberFormat="1" applyFont="1" applyFill="1" applyAlignment="1"/>
    <xf numFmtId="37" fontId="205" fillId="64" borderId="343" xfId="8203" applyNumberFormat="1" applyFont="1" applyFill="1" applyBorder="1" applyAlignment="1" applyProtection="1">
      <alignment horizontal="center" vertical="center"/>
      <protection locked="0"/>
    </xf>
    <xf numFmtId="37" fontId="202" fillId="64" borderId="303" xfId="8203" applyNumberFormat="1" applyFont="1" applyFill="1" applyBorder="1" applyAlignment="1" applyProtection="1">
      <alignment horizontal="center" vertical="center"/>
      <protection locked="0"/>
    </xf>
    <xf numFmtId="37" fontId="205" fillId="64" borderId="303" xfId="8203" applyNumberFormat="1" applyFont="1" applyFill="1" applyBorder="1" applyAlignment="1" applyProtection="1">
      <alignment horizontal="center" vertical="center"/>
      <protection locked="0"/>
    </xf>
    <xf numFmtId="37" fontId="205" fillId="64" borderId="343" xfId="0" applyNumberFormat="1" applyFont="1" applyFill="1" applyBorder="1" applyAlignment="1" applyProtection="1">
      <alignment horizontal="center" vertical="center"/>
      <protection locked="0"/>
    </xf>
    <xf numFmtId="0" fontId="202" fillId="64" borderId="0" xfId="0" applyFont="1" applyFill="1"/>
    <xf numFmtId="37" fontId="201" fillId="40" borderId="343" xfId="8203" applyNumberFormat="1" applyFont="1" applyFill="1" applyBorder="1" applyAlignment="1" applyProtection="1">
      <alignment horizontal="center" vertical="center"/>
      <protection locked="0"/>
    </xf>
    <xf numFmtId="0" fontId="164" fillId="40" borderId="0" xfId="0" applyFont="1" applyFill="1" applyBorder="1" applyAlignment="1" applyProtection="1">
      <alignment horizontal="center" vertical="center"/>
      <protection locked="0"/>
    </xf>
    <xf numFmtId="37" fontId="165" fillId="40" borderId="0" xfId="0" applyNumberFormat="1" applyFont="1" applyFill="1" applyBorder="1" applyAlignment="1" applyProtection="1">
      <alignment horizontal="center" vertical="center"/>
      <protection locked="0"/>
    </xf>
    <xf numFmtId="0" fontId="164" fillId="12" borderId="0" xfId="0" applyFont="1" applyFill="1" applyBorder="1" applyAlignment="1" applyProtection="1">
      <alignment horizontal="center" vertical="center"/>
      <protection hidden="1"/>
    </xf>
    <xf numFmtId="44" fontId="165" fillId="40" borderId="0" xfId="0" applyNumberFormat="1" applyFont="1" applyFill="1" applyBorder="1" applyAlignment="1" applyProtection="1">
      <alignment horizontal="center" vertical="center"/>
      <protection locked="0"/>
    </xf>
    <xf numFmtId="9" fontId="164" fillId="40" borderId="0" xfId="0" applyNumberFormat="1" applyFont="1" applyFill="1" applyBorder="1" applyAlignment="1" applyProtection="1">
      <alignment horizontal="center" vertical="center"/>
      <protection locked="0"/>
    </xf>
    <xf numFmtId="0" fontId="165" fillId="40" borderId="0" xfId="0" applyFont="1" applyFill="1" applyBorder="1" applyAlignment="1" applyProtection="1">
      <alignment horizontal="center" vertical="center"/>
      <protection locked="0"/>
    </xf>
    <xf numFmtId="37" fontId="164" fillId="12" borderId="0" xfId="0" applyNumberFormat="1" applyFont="1" applyFill="1" applyBorder="1" applyAlignment="1" applyProtection="1">
      <alignment horizontal="center" vertical="center"/>
      <protection hidden="1"/>
    </xf>
    <xf numFmtId="44" fontId="164" fillId="12" borderId="0" xfId="0" applyNumberFormat="1" applyFont="1" applyFill="1" applyBorder="1" applyAlignment="1" applyProtection="1">
      <alignment horizontal="center" vertical="center"/>
      <protection hidden="1"/>
    </xf>
    <xf numFmtId="37" fontId="223" fillId="12" borderId="0" xfId="0" applyNumberFormat="1" applyFont="1" applyFill="1" applyBorder="1" applyAlignment="1" applyProtection="1">
      <alignment horizontal="center" vertical="center"/>
      <protection hidden="1"/>
    </xf>
    <xf numFmtId="44" fontId="223" fillId="12" borderId="0" xfId="0" applyNumberFormat="1" applyFont="1" applyFill="1" applyBorder="1" applyAlignment="1" applyProtection="1">
      <alignment horizontal="center" vertical="center"/>
      <protection hidden="1"/>
    </xf>
    <xf numFmtId="0" fontId="234" fillId="46" borderId="0" xfId="8220" applyFont="1" applyFill="1" applyAlignment="1" applyProtection="1">
      <alignment horizontal="center" vertical="center"/>
      <protection hidden="1"/>
    </xf>
    <xf numFmtId="0" fontId="235" fillId="40" borderId="0" xfId="8220" applyFont="1" applyFill="1" applyAlignment="1" applyProtection="1">
      <alignment horizontal="center" vertical="center"/>
      <protection hidden="1"/>
    </xf>
    <xf numFmtId="0" fontId="234" fillId="47" borderId="0" xfId="8220" applyFont="1" applyFill="1" applyAlignment="1" applyProtection="1">
      <alignment horizontal="center" vertical="center"/>
      <protection hidden="1"/>
    </xf>
    <xf numFmtId="37" fontId="236" fillId="40" borderId="303" xfId="8203" applyNumberFormat="1" applyFont="1" applyFill="1" applyBorder="1" applyAlignment="1" applyProtection="1">
      <alignment horizontal="center" vertical="center"/>
      <protection locked="0"/>
    </xf>
    <xf numFmtId="37" fontId="236" fillId="40" borderId="343" xfId="8203" applyNumberFormat="1" applyFont="1" applyFill="1" applyBorder="1" applyAlignment="1" applyProtection="1">
      <alignment horizontal="center" vertical="center"/>
      <protection locked="0"/>
    </xf>
    <xf numFmtId="169" fontId="237" fillId="40" borderId="201" xfId="0" applyNumberFormat="1" applyFont="1" applyFill="1" applyBorder="1" applyAlignment="1">
      <alignment horizontal="right"/>
    </xf>
    <xf numFmtId="169" fontId="88" fillId="40" borderId="26" xfId="0" applyNumberFormat="1" applyFont="1" applyFill="1" applyBorder="1" applyAlignment="1">
      <alignment horizontal="right"/>
    </xf>
    <xf numFmtId="165" fontId="152" fillId="0" borderId="0" xfId="1" applyNumberFormat="1" applyFont="1" applyFill="1"/>
    <xf numFmtId="9" fontId="35" fillId="0" borderId="0" xfId="4" quotePrefix="1" applyFont="1" applyFill="1" applyBorder="1"/>
    <xf numFmtId="0" fontId="12" fillId="0" borderId="0" xfId="3" applyFont="1" applyBorder="1" applyAlignment="1">
      <alignment horizontal="left" indent="2"/>
    </xf>
    <xf numFmtId="165" fontId="15" fillId="0" borderId="0" xfId="22" applyNumberFormat="1" applyFont="1" applyFill="1"/>
    <xf numFmtId="165" fontId="15" fillId="0" borderId="0" xfId="1" applyNumberFormat="1" applyFont="1" applyBorder="1"/>
    <xf numFmtId="165" fontId="239" fillId="0" borderId="0" xfId="22" applyNumberFormat="1" applyFont="1"/>
    <xf numFmtId="165" fontId="239" fillId="0" borderId="0" xfId="22" applyNumberFormat="1" applyFont="1" applyFill="1" applyBorder="1"/>
    <xf numFmtId="44" fontId="117" fillId="39" borderId="0" xfId="1" applyFont="1" applyFill="1" applyAlignment="1" applyProtection="1">
      <alignment horizontal="left" vertical="center" indent="2"/>
      <protection hidden="1"/>
    </xf>
    <xf numFmtId="44" fontId="0" fillId="0" borderId="0" xfId="1" applyNumberFormat="1" applyFont="1"/>
    <xf numFmtId="44" fontId="117" fillId="39" borderId="0" xfId="1" applyNumberFormat="1" applyFont="1" applyFill="1" applyAlignment="1" applyProtection="1">
      <alignment horizontal="left" vertical="center" indent="2"/>
      <protection hidden="1"/>
    </xf>
    <xf numFmtId="44" fontId="114" fillId="0" borderId="0" xfId="1" applyNumberFormat="1" applyFont="1"/>
    <xf numFmtId="44" fontId="119" fillId="40" borderId="0" xfId="1" applyNumberFormat="1" applyFont="1" applyFill="1" applyAlignment="1" applyProtection="1">
      <alignment horizontal="center" vertical="center"/>
      <protection hidden="1"/>
    </xf>
    <xf numFmtId="44" fontId="117" fillId="39" borderId="0" xfId="1" applyFont="1" applyFill="1" applyAlignment="1" applyProtection="1">
      <alignment vertical="center"/>
      <protection hidden="1"/>
    </xf>
    <xf numFmtId="44" fontId="114" fillId="44" borderId="0" xfId="1" applyFont="1" applyFill="1" applyAlignment="1" applyProtection="1">
      <alignment horizontal="center" vertical="center"/>
      <protection hidden="1"/>
    </xf>
    <xf numFmtId="44" fontId="120" fillId="0" borderId="0" xfId="1" applyFont="1" applyFill="1" applyBorder="1" applyAlignment="1" applyProtection="1">
      <alignment horizontal="center" vertical="center"/>
      <protection locked="0"/>
    </xf>
    <xf numFmtId="165" fontId="0" fillId="0" borderId="0" xfId="1" applyNumberFormat="1" applyFont="1" applyFill="1" applyBorder="1" applyProtection="1"/>
    <xf numFmtId="172" fontId="0" fillId="0" borderId="0" xfId="7" applyNumberFormat="1" applyFont="1" applyFill="1" applyBorder="1" applyProtection="1"/>
    <xf numFmtId="42" fontId="0" fillId="0" borderId="40" xfId="0" applyNumberFormat="1" applyFont="1" applyFill="1" applyBorder="1" applyProtection="1"/>
    <xf numFmtId="172" fontId="0" fillId="0" borderId="40" xfId="7" applyNumberFormat="1" applyFont="1" applyFill="1" applyBorder="1" applyProtection="1"/>
    <xf numFmtId="3" fontId="0" fillId="0" borderId="40" xfId="0" applyNumberFormat="1" applyFont="1" applyFill="1" applyBorder="1" applyProtection="1"/>
    <xf numFmtId="165" fontId="0" fillId="0" borderId="40" xfId="1" applyNumberFormat="1" applyFont="1" applyFill="1" applyBorder="1" applyProtection="1"/>
    <xf numFmtId="0" fontId="0" fillId="0" borderId="0" xfId="0" applyFont="1" applyFill="1" applyBorder="1" applyAlignment="1">
      <alignment horizontal="center"/>
    </xf>
    <xf numFmtId="166" fontId="0" fillId="0" borderId="0" xfId="8" applyNumberFormat="1" applyFont="1" applyFill="1" applyBorder="1" applyAlignment="1" applyProtection="1">
      <alignment horizontal="center"/>
    </xf>
    <xf numFmtId="0" fontId="63" fillId="0" borderId="0" xfId="0" applyFont="1" applyFill="1" applyBorder="1" applyAlignment="1">
      <alignment horizontal="center"/>
    </xf>
    <xf numFmtId="49" fontId="0" fillId="0" borderId="0" xfId="0" applyNumberFormat="1" applyFont="1" applyFill="1" applyBorder="1"/>
    <xf numFmtId="3" fontId="65" fillId="0" borderId="0" xfId="0" applyNumberFormat="1" applyFont="1" applyFill="1" applyBorder="1" applyAlignment="1">
      <alignment horizontal="center"/>
    </xf>
    <xf numFmtId="0" fontId="0" fillId="0" borderId="0" xfId="0" applyFont="1" applyFill="1" applyBorder="1" applyAlignment="1">
      <alignment horizontal="left"/>
    </xf>
    <xf numFmtId="0" fontId="61" fillId="0" borderId="0" xfId="0" applyFont="1" applyFill="1" applyBorder="1"/>
    <xf numFmtId="0" fontId="65" fillId="0" borderId="0" xfId="0" applyFont="1" applyFill="1" applyBorder="1"/>
    <xf numFmtId="3" fontId="65" fillId="0" borderId="0" xfId="0" applyNumberFormat="1" applyFont="1" applyFill="1" applyBorder="1" applyProtection="1"/>
    <xf numFmtId="0" fontId="156" fillId="0" borderId="0" xfId="0" applyFont="1" applyFill="1" applyBorder="1"/>
    <xf numFmtId="0" fontId="63" fillId="0" borderId="0" xfId="0" applyFont="1" applyFill="1" applyBorder="1"/>
    <xf numFmtId="10" fontId="0" fillId="0" borderId="0" xfId="8" applyNumberFormat="1" applyFont="1" applyFill="1" applyBorder="1"/>
    <xf numFmtId="49" fontId="0" fillId="0" borderId="36" xfId="0" applyNumberFormat="1" applyFont="1" applyFill="1" applyBorder="1" applyAlignment="1">
      <alignment horizontal="center"/>
    </xf>
    <xf numFmtId="3" fontId="65" fillId="0" borderId="36" xfId="0" applyNumberFormat="1" applyFont="1" applyFill="1" applyBorder="1" applyAlignment="1">
      <alignment horizontal="center"/>
    </xf>
    <xf numFmtId="0" fontId="0" fillId="0" borderId="36" xfId="0" applyFont="1" applyFill="1" applyBorder="1" applyAlignment="1">
      <alignment horizontal="center"/>
    </xf>
    <xf numFmtId="3" fontId="65" fillId="0" borderId="40" xfId="0" applyNumberFormat="1" applyFont="1" applyFill="1" applyBorder="1" applyProtection="1"/>
    <xf numFmtId="3" fontId="0" fillId="0" borderId="0" xfId="0" applyNumberFormat="1" applyFont="1" applyFill="1" applyBorder="1"/>
    <xf numFmtId="42" fontId="0" fillId="0" borderId="0" xfId="0" applyNumberFormat="1" applyFont="1" applyFill="1" applyBorder="1"/>
    <xf numFmtId="0" fontId="0" fillId="0" borderId="0" xfId="0" applyFont="1" applyFill="1" applyBorder="1" applyAlignment="1">
      <alignment horizontal="right"/>
    </xf>
    <xf numFmtId="184" fontId="0" fillId="0" borderId="0" xfId="0" applyNumberFormat="1" applyFont="1" applyFill="1" applyBorder="1" applyAlignment="1">
      <alignment horizontal="left"/>
    </xf>
    <xf numFmtId="3" fontId="38" fillId="0" borderId="0" xfId="0" applyNumberFormat="1" applyFont="1" applyFill="1" applyBorder="1"/>
    <xf numFmtId="0" fontId="65" fillId="0" borderId="36" xfId="0" applyFont="1" applyFill="1" applyBorder="1" applyAlignment="1">
      <alignment horizontal="center" vertical="center" wrapText="1"/>
    </xf>
    <xf numFmtId="0" fontId="63" fillId="0" borderId="0" xfId="0" applyFont="1" applyFill="1" applyBorder="1" applyAlignment="1">
      <alignment vertical="center"/>
    </xf>
    <xf numFmtId="0" fontId="65" fillId="0" borderId="0" xfId="0" applyFont="1" applyFill="1" applyBorder="1" applyAlignment="1">
      <alignment vertical="center" wrapText="1"/>
    </xf>
    <xf numFmtId="0" fontId="176" fillId="0" borderId="40" xfId="9" applyFont="1" applyFill="1" applyBorder="1" applyAlignment="1" applyProtection="1">
      <alignment horizontal="center" vertical="center" wrapText="1"/>
    </xf>
    <xf numFmtId="0" fontId="176" fillId="0" borderId="0" xfId="9" applyFont="1" applyFill="1" applyBorder="1" applyAlignment="1" applyProtection="1">
      <alignment horizontal="center" vertical="center" wrapText="1"/>
    </xf>
    <xf numFmtId="0" fontId="65" fillId="0" borderId="40" xfId="0" applyFont="1" applyFill="1" applyBorder="1" applyAlignment="1">
      <alignment horizontal="center" vertical="center" wrapText="1"/>
    </xf>
    <xf numFmtId="42" fontId="65" fillId="0" borderId="40" xfId="0" applyNumberFormat="1" applyFont="1" applyFill="1" applyBorder="1" applyProtection="1"/>
    <xf numFmtId="42" fontId="65" fillId="0" borderId="0" xfId="0" applyNumberFormat="1" applyFont="1" applyFill="1" applyBorder="1" applyProtection="1"/>
    <xf numFmtId="0" fontId="154" fillId="0" borderId="0" xfId="0" applyFont="1" applyFill="1" applyBorder="1" applyAlignment="1">
      <alignment horizontal="center"/>
    </xf>
    <xf numFmtId="0" fontId="96" fillId="0" borderId="36" xfId="0" applyFont="1" applyFill="1" applyBorder="1" applyAlignment="1">
      <alignment horizontal="center"/>
    </xf>
    <xf numFmtId="0" fontId="96" fillId="0" borderId="0" xfId="0" applyFont="1" applyFill="1" applyBorder="1"/>
    <xf numFmtId="172" fontId="96" fillId="0" borderId="40" xfId="7" applyNumberFormat="1" applyFont="1" applyFill="1" applyBorder="1" applyProtection="1"/>
    <xf numFmtId="172" fontId="96" fillId="0" borderId="0" xfId="7" applyNumberFormat="1" applyFont="1" applyFill="1" applyBorder="1" applyProtection="1"/>
    <xf numFmtId="42" fontId="96" fillId="0" borderId="40" xfId="0" applyNumberFormat="1" applyFont="1" applyFill="1" applyBorder="1" applyProtection="1"/>
    <xf numFmtId="42" fontId="96" fillId="0" borderId="0" xfId="0" applyNumberFormat="1" applyFont="1" applyFill="1" applyBorder="1" applyProtection="1"/>
    <xf numFmtId="165" fontId="96" fillId="0" borderId="40" xfId="1" applyNumberFormat="1" applyFont="1" applyFill="1" applyBorder="1" applyProtection="1"/>
    <xf numFmtId="0" fontId="65" fillId="0" borderId="40" xfId="0" applyFont="1" applyFill="1" applyBorder="1" applyAlignment="1">
      <alignment horizontal="center" wrapText="1"/>
    </xf>
    <xf numFmtId="172" fontId="38" fillId="0" borderId="40" xfId="7" applyNumberFormat="1" applyFont="1" applyFill="1" applyBorder="1" applyProtection="1"/>
    <xf numFmtId="172" fontId="38" fillId="0" borderId="0" xfId="7" applyNumberFormat="1" applyFont="1" applyFill="1" applyBorder="1" applyProtection="1"/>
    <xf numFmtId="42" fontId="38" fillId="0" borderId="40" xfId="0" applyNumberFormat="1" applyFont="1" applyFill="1" applyBorder="1" applyProtection="1"/>
    <xf numFmtId="42" fontId="38" fillId="0" borderId="0" xfId="0" applyNumberFormat="1" applyFont="1" applyFill="1" applyBorder="1" applyProtection="1"/>
    <xf numFmtId="165" fontId="38" fillId="0" borderId="40" xfId="1" applyNumberFormat="1" applyFont="1" applyFill="1" applyBorder="1" applyProtection="1"/>
    <xf numFmtId="0" fontId="0" fillId="0" borderId="491" xfId="0" applyFont="1" applyFill="1" applyBorder="1" applyAlignment="1">
      <alignment horizontal="center"/>
    </xf>
    <xf numFmtId="0" fontId="96" fillId="0" borderId="464" xfId="0" applyFont="1" applyFill="1" applyBorder="1"/>
    <xf numFmtId="0" fontId="0" fillId="0" borderId="464" xfId="0" applyFont="1" applyFill="1" applyBorder="1"/>
    <xf numFmtId="186" fontId="38" fillId="0" borderId="473" xfId="1" applyNumberFormat="1" applyFont="1" applyFill="1" applyBorder="1" applyProtection="1"/>
    <xf numFmtId="186" fontId="38" fillId="0" borderId="464" xfId="1" applyNumberFormat="1" applyFont="1" applyFill="1" applyBorder="1" applyProtection="1"/>
    <xf numFmtId="42" fontId="96" fillId="0" borderId="473" xfId="0" applyNumberFormat="1" applyFont="1" applyFill="1" applyBorder="1" applyProtection="1"/>
    <xf numFmtId="42" fontId="96" fillId="0" borderId="464" xfId="0" applyNumberFormat="1" applyFont="1" applyFill="1" applyBorder="1" applyProtection="1"/>
    <xf numFmtId="3" fontId="96" fillId="0" borderId="473" xfId="0" applyNumberFormat="1" applyFont="1" applyFill="1" applyBorder="1" applyProtection="1"/>
    <xf numFmtId="3" fontId="96" fillId="0" borderId="464" xfId="0" applyNumberFormat="1" applyFont="1" applyFill="1" applyBorder="1" applyProtection="1"/>
    <xf numFmtId="42" fontId="0" fillId="0" borderId="473" xfId="0" applyNumberFormat="1" applyFont="1" applyFill="1" applyBorder="1" applyProtection="1"/>
    <xf numFmtId="0" fontId="241" fillId="0" borderId="0" xfId="0" applyFont="1" applyFill="1" applyBorder="1" applyAlignment="1">
      <alignment horizontal="center"/>
    </xf>
    <xf numFmtId="0" fontId="65" fillId="0" borderId="36" xfId="0" applyFont="1" applyFill="1" applyBorder="1" applyAlignment="1">
      <alignment horizontal="center"/>
    </xf>
    <xf numFmtId="42" fontId="151" fillId="0" borderId="40" xfId="0" applyNumberFormat="1" applyFont="1" applyFill="1" applyBorder="1" applyProtection="1"/>
    <xf numFmtId="42" fontId="151" fillId="0" borderId="0" xfId="0" applyNumberFormat="1" applyFont="1" applyFill="1" applyBorder="1" applyProtection="1"/>
    <xf numFmtId="42" fontId="0" fillId="0" borderId="464" xfId="0" applyNumberFormat="1" applyFont="1" applyFill="1" applyBorder="1" applyProtection="1"/>
    <xf numFmtId="3" fontId="0" fillId="0" borderId="473" xfId="0" applyNumberFormat="1" applyFont="1" applyFill="1" applyBorder="1" applyProtection="1"/>
    <xf numFmtId="3" fontId="0" fillId="0" borderId="464" xfId="0" applyNumberFormat="1" applyFont="1" applyFill="1" applyBorder="1" applyProtection="1"/>
    <xf numFmtId="3" fontId="241" fillId="0" borderId="0" xfId="0" applyNumberFormat="1" applyFont="1" applyFill="1" applyBorder="1" applyAlignment="1">
      <alignment horizontal="center"/>
    </xf>
    <xf numFmtId="0" fontId="156" fillId="0" borderId="36" xfId="0" applyFont="1" applyFill="1" applyBorder="1" applyAlignment="1">
      <alignment horizontal="center"/>
    </xf>
    <xf numFmtId="37" fontId="156" fillId="0" borderId="40" xfId="0" applyNumberFormat="1" applyFont="1" applyFill="1" applyBorder="1" applyProtection="1"/>
    <xf numFmtId="37" fontId="156" fillId="0" borderId="0" xfId="0" applyNumberFormat="1" applyFont="1" applyFill="1" applyBorder="1" applyProtection="1"/>
    <xf numFmtId="42" fontId="156" fillId="0" borderId="40" xfId="0" applyNumberFormat="1" applyFont="1" applyFill="1" applyBorder="1" applyProtection="1"/>
    <xf numFmtId="42" fontId="156" fillId="0" borderId="0" xfId="0" applyNumberFormat="1" applyFont="1" applyFill="1" applyBorder="1" applyProtection="1"/>
    <xf numFmtId="3" fontId="156" fillId="0" borderId="40" xfId="0" applyNumberFormat="1" applyFont="1" applyFill="1" applyBorder="1" applyProtection="1"/>
    <xf numFmtId="3" fontId="156" fillId="0" borderId="0" xfId="0" applyNumberFormat="1" applyFont="1" applyFill="1" applyBorder="1" applyProtection="1"/>
    <xf numFmtId="37" fontId="38" fillId="0" borderId="40" xfId="0" applyNumberFormat="1" applyFont="1" applyFill="1" applyBorder="1" applyProtection="1"/>
    <xf numFmtId="37" fontId="38" fillId="0" borderId="0" xfId="0" applyNumberFormat="1" applyFont="1" applyFill="1" applyBorder="1" applyProtection="1"/>
    <xf numFmtId="3" fontId="38" fillId="0" borderId="40" xfId="0" applyNumberFormat="1" applyFont="1" applyFill="1" applyBorder="1" applyProtection="1"/>
    <xf numFmtId="3" fontId="38" fillId="0" borderId="0" xfId="0" applyNumberFormat="1" applyFont="1" applyFill="1" applyBorder="1" applyProtection="1"/>
    <xf numFmtId="3" fontId="151" fillId="0" borderId="40" xfId="0" applyNumberFormat="1" applyFont="1" applyFill="1" applyBorder="1" applyProtection="1"/>
    <xf numFmtId="3" fontId="151" fillId="0" borderId="0" xfId="0" applyNumberFormat="1" applyFont="1" applyFill="1" applyBorder="1" applyProtection="1"/>
    <xf numFmtId="186" fontId="38" fillId="0" borderId="473" xfId="0" applyNumberFormat="1" applyFont="1" applyFill="1" applyBorder="1" applyProtection="1"/>
    <xf numFmtId="186" fontId="38" fillId="0" borderId="464" xfId="0" applyNumberFormat="1" applyFont="1" applyFill="1" applyBorder="1" applyProtection="1"/>
    <xf numFmtId="0" fontId="180" fillId="0" borderId="0" xfId="0" applyFont="1" applyFill="1" applyBorder="1" applyAlignment="1">
      <alignment vertical="center"/>
    </xf>
    <xf numFmtId="42" fontId="38" fillId="0" borderId="0" xfId="0" applyNumberFormat="1" applyFont="1" applyFill="1" applyBorder="1" applyAlignment="1" applyProtection="1">
      <alignment vertical="center"/>
    </xf>
    <xf numFmtId="3" fontId="38" fillId="0" borderId="0" xfId="0" applyNumberFormat="1" applyFont="1" applyFill="1" applyBorder="1" applyAlignment="1" applyProtection="1">
      <alignment vertical="center"/>
    </xf>
    <xf numFmtId="186" fontId="38" fillId="0" borderId="0" xfId="0" applyNumberFormat="1" applyFont="1" applyFill="1" applyBorder="1" applyAlignment="1" applyProtection="1">
      <alignment vertical="center"/>
    </xf>
    <xf numFmtId="185" fontId="38" fillId="0" borderId="0" xfId="0" applyNumberFormat="1" applyFont="1" applyFill="1" applyBorder="1" applyAlignment="1" applyProtection="1">
      <alignment vertical="center"/>
    </xf>
    <xf numFmtId="190" fontId="38" fillId="0" borderId="0" xfId="0" applyNumberFormat="1" applyFont="1" applyFill="1" applyBorder="1" applyAlignment="1" applyProtection="1">
      <alignment vertical="center"/>
    </xf>
    <xf numFmtId="173" fontId="38" fillId="0" borderId="0" xfId="0" applyNumberFormat="1" applyFont="1" applyFill="1" applyBorder="1" applyAlignment="1" applyProtection="1">
      <alignment vertical="center"/>
    </xf>
    <xf numFmtId="186" fontId="0" fillId="0" borderId="0" xfId="0" applyNumberFormat="1" applyFont="1" applyFill="1" applyBorder="1" applyAlignment="1" applyProtection="1">
      <alignment vertical="center"/>
    </xf>
    <xf numFmtId="0" fontId="0" fillId="0" borderId="0" xfId="0" applyFont="1" applyFill="1" applyBorder="1" applyProtection="1"/>
    <xf numFmtId="42" fontId="0" fillId="0" borderId="0" xfId="0" applyNumberFormat="1" applyFont="1" applyFill="1" applyBorder="1" applyAlignment="1" applyProtection="1">
      <alignment horizontal="center"/>
    </xf>
    <xf numFmtId="0" fontId="0" fillId="12" borderId="491" xfId="0" applyFont="1" applyFill="1" applyBorder="1" applyAlignment="1">
      <alignment horizontal="center"/>
    </xf>
    <xf numFmtId="0" fontId="0" fillId="12" borderId="464" xfId="0" applyFont="1" applyFill="1" applyBorder="1"/>
    <xf numFmtId="3" fontId="0" fillId="12" borderId="473" xfId="0" applyNumberFormat="1" applyFont="1" applyFill="1" applyBorder="1" applyProtection="1"/>
    <xf numFmtId="3" fontId="0" fillId="12" borderId="464" xfId="0" applyNumberFormat="1" applyFont="1" applyFill="1" applyBorder="1" applyProtection="1"/>
    <xf numFmtId="42" fontId="0" fillId="12" borderId="473" xfId="0" applyNumberFormat="1" applyFont="1" applyFill="1" applyBorder="1" applyProtection="1"/>
    <xf numFmtId="42" fontId="0" fillId="12" borderId="464" xfId="0" applyNumberFormat="1" applyFont="1" applyFill="1" applyBorder="1" applyProtection="1"/>
    <xf numFmtId="0" fontId="180" fillId="12" borderId="36" xfId="0" applyFont="1" applyFill="1" applyBorder="1" applyAlignment="1">
      <alignment horizontal="left"/>
    </xf>
    <xf numFmtId="0" fontId="180" fillId="12" borderId="0" xfId="0" applyFont="1" applyFill="1" applyBorder="1" applyAlignment="1">
      <alignment horizontal="left"/>
    </xf>
    <xf numFmtId="0" fontId="180" fillId="12" borderId="0" xfId="0" applyFont="1" applyFill="1" applyBorder="1" applyAlignment="1">
      <alignment horizontal="right"/>
    </xf>
    <xf numFmtId="3" fontId="38" fillId="12" borderId="40" xfId="0" applyNumberFormat="1" applyFont="1" applyFill="1" applyBorder="1" applyProtection="1"/>
    <xf numFmtId="3" fontId="38" fillId="12" borderId="0" xfId="0" applyNumberFormat="1" applyFont="1" applyFill="1" applyBorder="1" applyProtection="1"/>
    <xf numFmtId="42" fontId="38" fillId="12" borderId="40" xfId="0" applyNumberFormat="1" applyFont="1" applyFill="1" applyBorder="1" applyProtection="1"/>
    <xf numFmtId="42" fontId="38" fillId="12" borderId="0" xfId="0" applyNumberFormat="1" applyFont="1" applyFill="1" applyBorder="1" applyProtection="1"/>
    <xf numFmtId="0" fontId="38" fillId="12" borderId="464" xfId="0" applyFont="1" applyFill="1" applyBorder="1"/>
    <xf numFmtId="3" fontId="38" fillId="12" borderId="473" xfId="0" applyNumberFormat="1" applyFont="1" applyFill="1" applyBorder="1" applyProtection="1"/>
    <xf numFmtId="3" fontId="38" fillId="12" borderId="464" xfId="0" applyNumberFormat="1" applyFont="1" applyFill="1" applyBorder="1" applyProtection="1"/>
    <xf numFmtId="42" fontId="38" fillId="12" borderId="473" xfId="0" applyNumberFormat="1" applyFont="1" applyFill="1" applyBorder="1" applyProtection="1"/>
    <xf numFmtId="42" fontId="38" fillId="12" borderId="464" xfId="0" applyNumberFormat="1" applyFont="1" applyFill="1" applyBorder="1" applyProtection="1"/>
    <xf numFmtId="165" fontId="38" fillId="12" borderId="473" xfId="1" applyNumberFormat="1" applyFont="1" applyFill="1" applyBorder="1" applyProtection="1"/>
    <xf numFmtId="0" fontId="0" fillId="12" borderId="36" xfId="0" applyFont="1" applyFill="1" applyBorder="1" applyAlignment="1">
      <alignment horizontal="center"/>
    </xf>
    <xf numFmtId="0" fontId="0" fillId="12" borderId="0" xfId="0" applyFont="1" applyFill="1" applyBorder="1"/>
    <xf numFmtId="186" fontId="38" fillId="12" borderId="40" xfId="0" applyNumberFormat="1" applyFont="1" applyFill="1" applyBorder="1" applyProtection="1"/>
    <xf numFmtId="186" fontId="38" fillId="12" borderId="0" xfId="0" applyNumberFormat="1" applyFont="1" applyFill="1" applyBorder="1" applyProtection="1"/>
    <xf numFmtId="42" fontId="0" fillId="12" borderId="40" xfId="0" applyNumberFormat="1" applyFont="1" applyFill="1" applyBorder="1" applyProtection="1"/>
    <xf numFmtId="42" fontId="0" fillId="12" borderId="0" xfId="0" applyNumberFormat="1" applyFont="1" applyFill="1" applyBorder="1" applyProtection="1"/>
    <xf numFmtId="3" fontId="0" fillId="12" borderId="40" xfId="0" applyNumberFormat="1" applyFont="1" applyFill="1" applyBorder="1" applyProtection="1"/>
    <xf numFmtId="3" fontId="0" fillId="12" borderId="0" xfId="0" applyNumberFormat="1" applyFont="1" applyFill="1" applyBorder="1" applyProtection="1"/>
    <xf numFmtId="0" fontId="0" fillId="12" borderId="36" xfId="0" applyFont="1" applyFill="1" applyBorder="1" applyAlignment="1">
      <alignment horizontal="center" vertical="center"/>
    </xf>
    <xf numFmtId="0" fontId="180" fillId="12" borderId="0" xfId="0" applyFont="1" applyFill="1" applyBorder="1" applyAlignment="1">
      <alignment vertical="center"/>
    </xf>
    <xf numFmtId="190" fontId="38" fillId="12" borderId="40" xfId="0" applyNumberFormat="1" applyFont="1" applyFill="1" applyBorder="1"/>
    <xf numFmtId="190" fontId="38" fillId="12" borderId="0" xfId="0" applyNumberFormat="1" applyFont="1" applyFill="1" applyBorder="1"/>
    <xf numFmtId="42" fontId="38" fillId="12" borderId="40" xfId="0" applyNumberFormat="1" applyFont="1" applyFill="1" applyBorder="1" applyAlignment="1" applyProtection="1">
      <alignment vertical="center"/>
    </xf>
    <xf numFmtId="42" fontId="38" fillId="12" borderId="0" xfId="0" applyNumberFormat="1" applyFont="1" applyFill="1" applyBorder="1" applyAlignment="1" applyProtection="1">
      <alignment vertical="center"/>
    </xf>
    <xf numFmtId="3" fontId="38" fillId="12" borderId="40" xfId="0" applyNumberFormat="1" applyFont="1" applyFill="1" applyBorder="1" applyAlignment="1" applyProtection="1">
      <alignment vertical="center"/>
    </xf>
    <xf numFmtId="3" fontId="38" fillId="12" borderId="0" xfId="0" applyNumberFormat="1" applyFont="1" applyFill="1" applyBorder="1" applyAlignment="1" applyProtection="1">
      <alignment vertical="center"/>
    </xf>
    <xf numFmtId="0" fontId="0" fillId="12" borderId="475" xfId="0" applyFont="1" applyFill="1" applyBorder="1" applyAlignment="1">
      <alignment horizontal="center" vertical="center"/>
    </xf>
    <xf numFmtId="186" fontId="38" fillId="12" borderId="488" xfId="0" applyNumberFormat="1" applyFont="1" applyFill="1" applyBorder="1" applyAlignment="1" applyProtection="1">
      <alignment vertical="center"/>
    </xf>
    <xf numFmtId="42" fontId="38" fillId="12" borderId="488" xfId="0" applyNumberFormat="1" applyFont="1" applyFill="1" applyBorder="1" applyAlignment="1" applyProtection="1">
      <alignment vertical="center"/>
    </xf>
    <xf numFmtId="3" fontId="38" fillId="12" borderId="488" xfId="0" applyNumberFormat="1" applyFont="1" applyFill="1" applyBorder="1" applyAlignment="1" applyProtection="1">
      <alignment vertical="center"/>
    </xf>
    <xf numFmtId="165" fontId="0" fillId="0" borderId="0" xfId="1" applyNumberFormat="1" applyFont="1" applyFill="1" applyBorder="1"/>
    <xf numFmtId="165" fontId="96" fillId="0" borderId="0" xfId="1" applyNumberFormat="1" applyFont="1" applyFill="1" applyBorder="1"/>
    <xf numFmtId="165" fontId="0" fillId="0" borderId="464" xfId="1" applyNumberFormat="1" applyFont="1" applyFill="1" applyBorder="1"/>
    <xf numFmtId="165" fontId="156" fillId="0" borderId="0" xfId="1" applyNumberFormat="1" applyFont="1" applyFill="1" applyBorder="1"/>
    <xf numFmtId="165" fontId="65" fillId="0" borderId="40" xfId="1" applyNumberFormat="1" applyFont="1" applyFill="1" applyBorder="1" applyProtection="1"/>
    <xf numFmtId="165" fontId="65" fillId="0" borderId="0" xfId="1" applyNumberFormat="1" applyFont="1" applyFill="1" applyBorder="1" applyProtection="1"/>
    <xf numFmtId="165" fontId="96" fillId="0" borderId="0" xfId="1" applyNumberFormat="1" applyFont="1" applyFill="1" applyBorder="1" applyProtection="1"/>
    <xf numFmtId="165" fontId="38" fillId="0" borderId="0" xfId="1" applyNumberFormat="1" applyFont="1" applyFill="1" applyBorder="1" applyProtection="1"/>
    <xf numFmtId="0" fontId="65" fillId="0" borderId="480" xfId="0" applyFont="1" applyFill="1" applyBorder="1" applyAlignment="1">
      <alignment horizontal="center" vertical="center" wrapText="1"/>
    </xf>
    <xf numFmtId="0" fontId="65" fillId="0" borderId="482" xfId="0" applyFont="1" applyFill="1" applyBorder="1" applyAlignment="1"/>
    <xf numFmtId="0" fontId="65" fillId="0" borderId="482" xfId="0" applyFont="1" applyFill="1" applyBorder="1" applyAlignment="1">
      <alignment vertical="center" wrapText="1"/>
    </xf>
    <xf numFmtId="0" fontId="0" fillId="0" borderId="481" xfId="0" applyFont="1" applyBorder="1"/>
    <xf numFmtId="0" fontId="65" fillId="0" borderId="482" xfId="0" applyFont="1" applyFill="1" applyBorder="1" applyAlignment="1">
      <alignment horizontal="center" wrapText="1"/>
    </xf>
    <xf numFmtId="0" fontId="65" fillId="0" borderId="481" xfId="0" applyFont="1" applyFill="1" applyBorder="1" applyAlignment="1">
      <alignment horizontal="center" wrapText="1"/>
    </xf>
    <xf numFmtId="165" fontId="65" fillId="0" borderId="482" xfId="1" applyNumberFormat="1" applyFont="1" applyFill="1" applyBorder="1" applyAlignment="1">
      <alignment horizontal="center" wrapText="1"/>
    </xf>
    <xf numFmtId="0" fontId="116" fillId="40" borderId="421" xfId="8201" applyFont="1" applyFill="1" applyBorder="1" applyAlignment="1" applyProtection="1">
      <alignment horizontal="left" vertical="center" indent="2"/>
      <protection locked="0"/>
    </xf>
    <xf numFmtId="186" fontId="38" fillId="12" borderId="472" xfId="0" applyNumberFormat="1" applyFont="1" applyFill="1" applyBorder="1" applyAlignment="1" applyProtection="1">
      <alignment vertical="center"/>
    </xf>
    <xf numFmtId="42" fontId="38" fillId="12" borderId="472" xfId="0" applyNumberFormat="1" applyFont="1" applyFill="1" applyBorder="1" applyAlignment="1" applyProtection="1">
      <alignment vertical="center"/>
    </xf>
    <xf numFmtId="3" fontId="38" fillId="12" borderId="472" xfId="0" applyNumberFormat="1" applyFont="1" applyFill="1" applyBorder="1" applyAlignment="1" applyProtection="1">
      <alignment vertical="center"/>
    </xf>
    <xf numFmtId="0" fontId="180" fillId="12" borderId="472" xfId="0" applyFont="1" applyFill="1" applyBorder="1" applyAlignment="1">
      <alignment vertical="center"/>
    </xf>
    <xf numFmtId="165" fontId="38" fillId="12" borderId="464" xfId="1" applyNumberFormat="1" applyFont="1" applyFill="1" applyBorder="1"/>
    <xf numFmtId="165" fontId="38" fillId="12" borderId="0" xfId="1" applyNumberFormat="1" applyFont="1" applyFill="1" applyBorder="1"/>
    <xf numFmtId="165" fontId="38" fillId="12" borderId="472" xfId="1" applyNumberFormat="1" applyFont="1" applyFill="1" applyBorder="1"/>
    <xf numFmtId="0" fontId="65" fillId="73" borderId="482" xfId="0" applyFont="1" applyFill="1" applyBorder="1" applyAlignment="1">
      <alignment horizontal="center" wrapText="1"/>
    </xf>
    <xf numFmtId="0" fontId="176" fillId="73" borderId="0" xfId="9" applyFont="1" applyFill="1" applyBorder="1" applyAlignment="1" applyProtection="1">
      <alignment horizontal="center" vertical="center" wrapText="1"/>
    </xf>
    <xf numFmtId="3" fontId="65" fillId="73" borderId="0" xfId="0" applyNumberFormat="1" applyFont="1" applyFill="1" applyBorder="1" applyProtection="1"/>
    <xf numFmtId="172" fontId="0" fillId="73" borderId="0" xfId="7" applyNumberFormat="1" applyFont="1" applyFill="1" applyBorder="1" applyProtection="1"/>
    <xf numFmtId="186" fontId="38" fillId="73" borderId="464" xfId="1" applyNumberFormat="1" applyFont="1" applyFill="1" applyBorder="1" applyProtection="1"/>
    <xf numFmtId="3" fontId="0" fillId="73" borderId="0" xfId="0" applyNumberFormat="1" applyFont="1" applyFill="1" applyBorder="1" applyProtection="1"/>
    <xf numFmtId="37" fontId="156" fillId="73" borderId="0" xfId="0" applyNumberFormat="1" applyFont="1" applyFill="1" applyBorder="1" applyProtection="1"/>
    <xf numFmtId="37" fontId="38" fillId="73" borderId="0" xfId="0" applyNumberFormat="1" applyFont="1" applyFill="1" applyBorder="1" applyProtection="1"/>
    <xf numFmtId="3" fontId="0" fillId="73" borderId="464" xfId="0" applyNumberFormat="1" applyFont="1" applyFill="1" applyBorder="1" applyProtection="1"/>
    <xf numFmtId="3" fontId="151" fillId="73" borderId="0" xfId="0" applyNumberFormat="1" applyFont="1" applyFill="1" applyBorder="1" applyProtection="1"/>
    <xf numFmtId="3" fontId="38" fillId="73" borderId="0" xfId="0" applyNumberFormat="1" applyFont="1" applyFill="1" applyBorder="1" applyProtection="1"/>
    <xf numFmtId="186" fontId="38" fillId="73" borderId="464" xfId="0" applyNumberFormat="1" applyFont="1" applyFill="1" applyBorder="1" applyProtection="1"/>
    <xf numFmtId="3" fontId="38" fillId="73" borderId="464" xfId="0" applyNumberFormat="1" applyFont="1" applyFill="1" applyBorder="1" applyProtection="1"/>
    <xf numFmtId="186" fontId="38" fillId="73" borderId="0" xfId="0" applyNumberFormat="1" applyFont="1" applyFill="1" applyBorder="1" applyProtection="1"/>
    <xf numFmtId="190" fontId="38" fillId="73" borderId="0" xfId="0" applyNumberFormat="1" applyFont="1" applyFill="1" applyBorder="1"/>
    <xf numFmtId="186" fontId="38" fillId="73" borderId="472" xfId="0" applyNumberFormat="1" applyFont="1" applyFill="1" applyBorder="1" applyAlignment="1" applyProtection="1">
      <alignment vertical="center"/>
    </xf>
    <xf numFmtId="42" fontId="65" fillId="73" borderId="0" xfId="0" applyNumberFormat="1" applyFont="1" applyFill="1" applyBorder="1" applyProtection="1"/>
    <xf numFmtId="42" fontId="0" fillId="73" borderId="0" xfId="0" applyNumberFormat="1" applyFont="1" applyFill="1" applyBorder="1" applyProtection="1"/>
    <xf numFmtId="42" fontId="96" fillId="73" borderId="464" xfId="0" applyNumberFormat="1" applyFont="1" applyFill="1" applyBorder="1" applyProtection="1"/>
    <xf numFmtId="165" fontId="0" fillId="73" borderId="0" xfId="1" applyNumberFormat="1" applyFont="1" applyFill="1" applyBorder="1" applyProtection="1"/>
    <xf numFmtId="42" fontId="0" fillId="73" borderId="464" xfId="0" applyNumberFormat="1" applyFont="1" applyFill="1" applyBorder="1" applyProtection="1"/>
    <xf numFmtId="42" fontId="38" fillId="73" borderId="0" xfId="0" applyNumberFormat="1" applyFont="1" applyFill="1" applyBorder="1" applyProtection="1"/>
    <xf numFmtId="42" fontId="38" fillId="73" borderId="464" xfId="0" applyNumberFormat="1" applyFont="1" applyFill="1" applyBorder="1" applyProtection="1"/>
    <xf numFmtId="42" fontId="38" fillId="73" borderId="0" xfId="0" applyNumberFormat="1" applyFont="1" applyFill="1" applyBorder="1" applyAlignment="1" applyProtection="1">
      <alignment vertical="center"/>
    </xf>
    <xf numFmtId="42" fontId="38" fillId="73" borderId="472" xfId="0" applyNumberFormat="1" applyFont="1" applyFill="1" applyBorder="1" applyAlignment="1" applyProtection="1">
      <alignment vertical="center"/>
    </xf>
    <xf numFmtId="3" fontId="96" fillId="73" borderId="464" xfId="0" applyNumberFormat="1" applyFont="1" applyFill="1" applyBorder="1" applyProtection="1"/>
    <xf numFmtId="3" fontId="156" fillId="73" borderId="0" xfId="0" applyNumberFormat="1" applyFont="1" applyFill="1" applyBorder="1" applyProtection="1"/>
    <xf numFmtId="3" fontId="38" fillId="73" borderId="0" xfId="0" applyNumberFormat="1" applyFont="1" applyFill="1" applyBorder="1" applyAlignment="1" applyProtection="1">
      <alignment vertical="center"/>
    </xf>
    <xf numFmtId="3" fontId="38" fillId="73" borderId="472" xfId="0" applyNumberFormat="1" applyFont="1" applyFill="1" applyBorder="1" applyAlignment="1" applyProtection="1">
      <alignment vertical="center"/>
    </xf>
    <xf numFmtId="165" fontId="65" fillId="73" borderId="0" xfId="1" applyNumberFormat="1" applyFont="1" applyFill="1" applyBorder="1" applyProtection="1"/>
    <xf numFmtId="0" fontId="0" fillId="73" borderId="0" xfId="0" applyFont="1" applyFill="1" applyBorder="1"/>
    <xf numFmtId="165" fontId="0" fillId="73" borderId="0" xfId="0" applyNumberFormat="1" applyFont="1" applyFill="1" applyBorder="1"/>
    <xf numFmtId="165" fontId="0" fillId="73" borderId="464" xfId="0" applyNumberFormat="1" applyFont="1" applyFill="1" applyBorder="1"/>
    <xf numFmtId="165" fontId="38" fillId="73" borderId="464" xfId="0" applyNumberFormat="1" applyFont="1" applyFill="1" applyBorder="1"/>
    <xf numFmtId="165" fontId="38" fillId="73" borderId="0" xfId="0" applyNumberFormat="1" applyFont="1" applyFill="1" applyBorder="1"/>
    <xf numFmtId="0" fontId="38" fillId="73" borderId="472" xfId="0" applyFont="1" applyFill="1" applyBorder="1"/>
    <xf numFmtId="0" fontId="65" fillId="74" borderId="482" xfId="0" applyFont="1" applyFill="1" applyBorder="1" applyAlignment="1">
      <alignment horizontal="center" wrapText="1"/>
    </xf>
    <xf numFmtId="0" fontId="176" fillId="74" borderId="0" xfId="9" applyFont="1" applyFill="1" applyBorder="1" applyAlignment="1" applyProtection="1">
      <alignment horizontal="center" vertical="center" wrapText="1"/>
    </xf>
    <xf numFmtId="3" fontId="65" fillId="74" borderId="0" xfId="0" applyNumberFormat="1" applyFont="1" applyFill="1" applyBorder="1" applyProtection="1"/>
    <xf numFmtId="166" fontId="0" fillId="74" borderId="0" xfId="8" applyNumberFormat="1" applyFont="1" applyFill="1" applyBorder="1" applyProtection="1"/>
    <xf numFmtId="186" fontId="38" fillId="74" borderId="464" xfId="1" applyNumberFormat="1" applyFont="1" applyFill="1" applyBorder="1" applyProtection="1"/>
    <xf numFmtId="172" fontId="0" fillId="74" borderId="0" xfId="7" applyNumberFormat="1" applyFont="1" applyFill="1" applyBorder="1" applyProtection="1"/>
    <xf numFmtId="3" fontId="0" fillId="74" borderId="0" xfId="0" applyNumberFormat="1" applyFont="1" applyFill="1" applyBorder="1" applyProtection="1"/>
    <xf numFmtId="37" fontId="156" fillId="74" borderId="0" xfId="0" applyNumberFormat="1" applyFont="1" applyFill="1" applyBorder="1" applyProtection="1"/>
    <xf numFmtId="37" fontId="38" fillId="74" borderId="0" xfId="0" applyNumberFormat="1" applyFont="1" applyFill="1" applyBorder="1" applyProtection="1"/>
    <xf numFmtId="3" fontId="0" fillId="74" borderId="464" xfId="0" applyNumberFormat="1" applyFont="1" applyFill="1" applyBorder="1" applyProtection="1"/>
    <xf numFmtId="3" fontId="151" fillId="74" borderId="0" xfId="0" applyNumberFormat="1" applyFont="1" applyFill="1" applyBorder="1" applyProtection="1"/>
    <xf numFmtId="166" fontId="38" fillId="74" borderId="0" xfId="8" applyNumberFormat="1" applyFont="1" applyFill="1" applyBorder="1" applyProtection="1"/>
    <xf numFmtId="186" fontId="38" fillId="74" borderId="464" xfId="0" applyNumberFormat="1" applyFont="1" applyFill="1" applyBorder="1" applyProtection="1"/>
    <xf numFmtId="3" fontId="38" fillId="74" borderId="0" xfId="0" applyNumberFormat="1" applyFont="1" applyFill="1" applyBorder="1" applyProtection="1"/>
    <xf numFmtId="3" fontId="38" fillId="74" borderId="464" xfId="0" applyNumberFormat="1" applyFont="1" applyFill="1" applyBorder="1" applyProtection="1"/>
    <xf numFmtId="186" fontId="38" fillId="74" borderId="0" xfId="0" applyNumberFormat="1" applyFont="1" applyFill="1" applyBorder="1" applyProtection="1"/>
    <xf numFmtId="186" fontId="38" fillId="74" borderId="472" xfId="0" applyNumberFormat="1" applyFont="1" applyFill="1" applyBorder="1" applyAlignment="1" applyProtection="1">
      <alignment vertical="center"/>
    </xf>
    <xf numFmtId="42" fontId="65" fillId="74" borderId="0" xfId="0" applyNumberFormat="1" applyFont="1" applyFill="1" applyBorder="1" applyProtection="1"/>
    <xf numFmtId="42" fontId="96" fillId="74" borderId="464" xfId="0" applyNumberFormat="1" applyFont="1" applyFill="1" applyBorder="1" applyProtection="1"/>
    <xf numFmtId="165" fontId="0" fillId="74" borderId="0" xfId="1" applyNumberFormat="1" applyFont="1" applyFill="1" applyBorder="1" applyProtection="1"/>
    <xf numFmtId="42" fontId="0" fillId="74" borderId="464" xfId="0" applyNumberFormat="1" applyFont="1" applyFill="1" applyBorder="1" applyProtection="1"/>
    <xf numFmtId="42" fontId="0" fillId="74" borderId="0" xfId="0" applyNumberFormat="1" applyFont="1" applyFill="1" applyBorder="1" applyProtection="1"/>
    <xf numFmtId="42" fontId="38" fillId="74" borderId="464" xfId="0" applyNumberFormat="1" applyFont="1" applyFill="1" applyBorder="1" applyProtection="1"/>
    <xf numFmtId="42" fontId="38" fillId="74" borderId="472" xfId="0" applyNumberFormat="1" applyFont="1" applyFill="1" applyBorder="1" applyAlignment="1" applyProtection="1">
      <alignment vertical="center"/>
    </xf>
    <xf numFmtId="3" fontId="96" fillId="74" borderId="464" xfId="0" applyNumberFormat="1" applyFont="1" applyFill="1" applyBorder="1" applyProtection="1"/>
    <xf numFmtId="3" fontId="156" fillId="74" borderId="0" xfId="0" applyNumberFormat="1" applyFont="1" applyFill="1" applyBorder="1" applyProtection="1"/>
    <xf numFmtId="3" fontId="38" fillId="74" borderId="472" xfId="0" applyNumberFormat="1" applyFont="1" applyFill="1" applyBorder="1" applyAlignment="1" applyProtection="1">
      <alignment vertical="center"/>
    </xf>
    <xf numFmtId="165" fontId="65" fillId="74" borderId="0" xfId="1" applyNumberFormat="1" applyFont="1" applyFill="1" applyBorder="1" applyProtection="1"/>
    <xf numFmtId="166" fontId="0" fillId="74" borderId="487" xfId="8" applyNumberFormat="1" applyFont="1" applyFill="1" applyBorder="1" applyProtection="1"/>
    <xf numFmtId="42" fontId="38" fillId="74" borderId="0" xfId="0" applyNumberFormat="1" applyFont="1" applyFill="1" applyBorder="1" applyProtection="1"/>
    <xf numFmtId="0" fontId="65" fillId="74" borderId="81" xfId="0" applyFont="1" applyFill="1" applyBorder="1" applyAlignment="1">
      <alignment horizontal="center" wrapText="1"/>
    </xf>
    <xf numFmtId="0" fontId="0" fillId="74" borderId="75" xfId="0" applyFont="1" applyFill="1" applyBorder="1"/>
    <xf numFmtId="166" fontId="0" fillId="74" borderId="75" xfId="8" applyNumberFormat="1" applyFont="1" applyFill="1" applyBorder="1" applyProtection="1"/>
    <xf numFmtId="166" fontId="0" fillId="74" borderId="80" xfId="8" applyNumberFormat="1" applyFont="1" applyFill="1" applyBorder="1" applyProtection="1"/>
    <xf numFmtId="166" fontId="38" fillId="74" borderId="75" xfId="8" applyNumberFormat="1" applyFont="1" applyFill="1" applyBorder="1" applyProtection="1"/>
    <xf numFmtId="166" fontId="38" fillId="74" borderId="80" xfId="8" applyNumberFormat="1" applyFont="1" applyFill="1" applyBorder="1" applyProtection="1"/>
    <xf numFmtId="0" fontId="38" fillId="74" borderId="75" xfId="0" applyFont="1" applyFill="1" applyBorder="1"/>
    <xf numFmtId="0" fontId="38" fillId="74" borderId="478" xfId="0" applyFont="1" applyFill="1" applyBorder="1"/>
    <xf numFmtId="37" fontId="201" fillId="40" borderId="343" xfId="54574" applyNumberFormat="1" applyFont="1" applyFill="1" applyBorder="1" applyAlignment="1" applyProtection="1">
      <alignment horizontal="center" vertical="center"/>
      <protection locked="0"/>
    </xf>
    <xf numFmtId="0" fontId="0" fillId="0" borderId="0" xfId="0" applyAlignment="1">
      <alignment horizontal="center" vertical="center" wrapText="1"/>
    </xf>
    <xf numFmtId="0" fontId="38" fillId="0" borderId="36" xfId="0" applyFont="1" applyFill="1" applyBorder="1" applyAlignment="1">
      <alignment horizontal="center"/>
    </xf>
    <xf numFmtId="172" fontId="38" fillId="73" borderId="0" xfId="7" applyNumberFormat="1" applyFont="1" applyFill="1" applyBorder="1" applyProtection="1"/>
    <xf numFmtId="165" fontId="38" fillId="73" borderId="0" xfId="1" applyNumberFormat="1" applyFont="1" applyFill="1" applyBorder="1" applyProtection="1"/>
    <xf numFmtId="165" fontId="38" fillId="0" borderId="0" xfId="1" applyNumberFormat="1" applyFont="1" applyFill="1" applyBorder="1"/>
    <xf numFmtId="0" fontId="115" fillId="0" borderId="0" xfId="8220" applyFont="1" applyFill="1" applyBorder="1" applyAlignment="1" applyProtection="1">
      <alignment horizontal="center" vertical="center"/>
      <protection hidden="1"/>
    </xf>
    <xf numFmtId="44" fontId="35" fillId="64" borderId="428" xfId="0" applyNumberFormat="1" applyFont="1" applyFill="1" applyBorder="1" applyAlignment="1" applyProtection="1">
      <alignment horizontal="center" vertical="center"/>
      <protection locked="0"/>
    </xf>
    <xf numFmtId="0" fontId="115" fillId="0" borderId="0" xfId="8220" applyFont="1" applyFill="1" applyBorder="1" applyAlignment="1" applyProtection="1">
      <alignment vertical="center"/>
      <protection hidden="1"/>
    </xf>
    <xf numFmtId="0" fontId="118" fillId="0" borderId="0" xfId="8220" applyFont="1" applyFill="1" applyBorder="1" applyAlignment="1" applyProtection="1">
      <alignment vertical="center"/>
      <protection hidden="1"/>
    </xf>
    <xf numFmtId="0" fontId="26" fillId="0" borderId="0" xfId="0" applyFont="1" applyAlignment="1">
      <alignment horizontal="center" vertical="center"/>
    </xf>
    <xf numFmtId="0" fontId="117" fillId="0" borderId="0" xfId="8220" applyFont="1" applyFill="1" applyBorder="1" applyAlignment="1" applyProtection="1">
      <alignment horizontal="left" vertical="center"/>
      <protection hidden="1"/>
    </xf>
    <xf numFmtId="0" fontId="114" fillId="0" borderId="0" xfId="8220" applyFill="1" applyBorder="1" applyAlignment="1"/>
    <xf numFmtId="0" fontId="39" fillId="0" borderId="0" xfId="12" applyFill="1" applyBorder="1" applyAlignment="1"/>
    <xf numFmtId="166" fontId="0" fillId="14" borderId="196" xfId="8" applyNumberFormat="1" applyFont="1" applyFill="1" applyBorder="1" applyAlignment="1" applyProtection="1">
      <alignment horizontal="center" vertical="center"/>
    </xf>
    <xf numFmtId="3" fontId="0" fillId="0" borderId="196" xfId="0" applyNumberFormat="1" applyBorder="1" applyAlignment="1" applyProtection="1">
      <alignment vertical="center"/>
    </xf>
    <xf numFmtId="166" fontId="0" fillId="14" borderId="487" xfId="8" applyNumberFormat="1" applyFont="1" applyFill="1" applyBorder="1" applyAlignment="1" applyProtection="1">
      <alignment horizontal="center" vertical="center"/>
    </xf>
    <xf numFmtId="0" fontId="0" fillId="14" borderId="30" xfId="0" applyFill="1" applyBorder="1" applyAlignment="1">
      <alignment horizontal="left"/>
    </xf>
    <xf numFmtId="0" fontId="0" fillId="14" borderId="463" xfId="0" applyFill="1" applyBorder="1" applyAlignment="1">
      <alignment horizontal="center"/>
    </xf>
    <xf numFmtId="165" fontId="0" fillId="14" borderId="463" xfId="1" applyNumberFormat="1" applyFont="1" applyFill="1" applyBorder="1" applyAlignment="1" applyProtection="1">
      <alignment horizontal="center"/>
    </xf>
    <xf numFmtId="3" fontId="0" fillId="0" borderId="463" xfId="0" applyNumberFormat="1" applyBorder="1" applyProtection="1"/>
    <xf numFmtId="165" fontId="0" fillId="14" borderId="201" xfId="1" applyNumberFormat="1" applyFont="1" applyFill="1" applyBorder="1" applyAlignment="1" applyProtection="1">
      <alignment horizontal="center"/>
    </xf>
    <xf numFmtId="0" fontId="38" fillId="0" borderId="0"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28" xfId="0" applyFont="1" applyBorder="1" applyAlignment="1">
      <alignment horizontal="left" vertical="center" wrapText="1"/>
    </xf>
    <xf numFmtId="0" fontId="150" fillId="10" borderId="474" xfId="0" applyFont="1" applyFill="1" applyBorder="1" applyAlignment="1">
      <alignment horizontal="center"/>
    </xf>
    <xf numFmtId="0" fontId="150" fillId="10" borderId="53" xfId="0" applyFont="1" applyFill="1" applyBorder="1" applyAlignment="1">
      <alignment horizontal="center"/>
    </xf>
    <xf numFmtId="0" fontId="150" fillId="10" borderId="37" xfId="0" applyFont="1" applyFill="1" applyBorder="1" applyAlignment="1">
      <alignment horizontal="center" vertical="center"/>
    </xf>
    <xf numFmtId="0" fontId="150" fillId="10" borderId="37" xfId="0" applyFont="1" applyFill="1" applyBorder="1" applyAlignment="1">
      <alignment vertical="center"/>
    </xf>
    <xf numFmtId="0" fontId="150" fillId="10" borderId="463" xfId="0" applyFont="1" applyFill="1" applyBorder="1" applyAlignment="1">
      <alignment vertical="center"/>
    </xf>
    <xf numFmtId="0" fontId="150" fillId="10" borderId="32" xfId="0" applyFont="1" applyFill="1" applyBorder="1" applyAlignment="1">
      <alignment horizontal="center"/>
    </xf>
    <xf numFmtId="0" fontId="150" fillId="10" borderId="80" xfId="0" applyFont="1" applyFill="1" applyBorder="1" applyAlignment="1">
      <alignment horizontal="center"/>
    </xf>
    <xf numFmtId="0" fontId="38" fillId="12" borderId="30" xfId="0" applyFont="1" applyFill="1" applyBorder="1" applyAlignment="1">
      <alignment horizontal="center"/>
    </xf>
    <xf numFmtId="0" fontId="38" fillId="12" borderId="463" xfId="0" applyFont="1" applyFill="1" applyBorder="1" applyAlignment="1">
      <alignment horizontal="center"/>
    </xf>
    <xf numFmtId="0" fontId="38" fillId="12" borderId="201" xfId="0" applyFont="1" applyFill="1" applyBorder="1" applyAlignment="1">
      <alignment horizontal="center"/>
    </xf>
    <xf numFmtId="0" fontId="0" fillId="0" borderId="40" xfId="0" quotePrefix="1" applyFont="1" applyBorder="1" applyAlignment="1">
      <alignment horizontal="left" vertical="center" wrapText="1"/>
    </xf>
    <xf numFmtId="0" fontId="0" fillId="0" borderId="75" xfId="0" quotePrefix="1" applyFont="1" applyBorder="1" applyAlignment="1">
      <alignment horizontal="left" vertical="center" wrapText="1"/>
    </xf>
    <xf numFmtId="0" fontId="63" fillId="0" borderId="40" xfId="0" applyFont="1" applyBorder="1" applyAlignment="1">
      <alignment horizontal="left" wrapText="1"/>
    </xf>
    <xf numFmtId="0" fontId="63" fillId="0" borderId="0" xfId="0" applyFont="1" applyBorder="1" applyAlignment="1">
      <alignment horizontal="left" wrapText="1"/>
    </xf>
    <xf numFmtId="0" fontId="63" fillId="0" borderId="28" xfId="0" applyFont="1" applyBorder="1" applyAlignment="1">
      <alignment horizontal="left" wrapText="1"/>
    </xf>
    <xf numFmtId="0" fontId="0" fillId="0" borderId="40" xfId="0" applyFont="1" applyBorder="1" applyAlignment="1">
      <alignment horizontal="left" vertical="center" wrapText="1"/>
    </xf>
    <xf numFmtId="0" fontId="130" fillId="67" borderId="473" xfId="0" applyFont="1" applyFill="1" applyBorder="1" applyAlignment="1">
      <alignment horizontal="left" vertical="center" wrapText="1"/>
    </xf>
    <xf numFmtId="0" fontId="130" fillId="67" borderId="464" xfId="0" applyFont="1" applyFill="1" applyBorder="1" applyAlignment="1">
      <alignment horizontal="left" vertical="center" wrapText="1"/>
    </xf>
    <xf numFmtId="0" fontId="130" fillId="67" borderId="30" xfId="0" applyFont="1" applyFill="1" applyBorder="1" applyAlignment="1">
      <alignment horizontal="left" vertical="center" wrapText="1"/>
    </xf>
    <xf numFmtId="0" fontId="130" fillId="67" borderId="463" xfId="0" applyFont="1" applyFill="1" applyBorder="1" applyAlignment="1">
      <alignment horizontal="left" vertical="center" wrapText="1"/>
    </xf>
    <xf numFmtId="0" fontId="0" fillId="14" borderId="473" xfId="0" applyFill="1" applyBorder="1" applyAlignment="1">
      <alignment horizontal="left" vertical="top" wrapText="1"/>
    </xf>
    <xf numFmtId="0" fontId="0" fillId="14" borderId="196" xfId="0" applyFill="1" applyBorder="1" applyAlignment="1">
      <alignment horizontal="left" vertical="top" wrapText="1"/>
    </xf>
    <xf numFmtId="0" fontId="0" fillId="0" borderId="0" xfId="0" applyFill="1" applyBorder="1" applyAlignment="1">
      <alignment horizontal="left" wrapText="1"/>
    </xf>
    <xf numFmtId="0" fontId="0" fillId="0" borderId="0" xfId="0" applyAlignment="1">
      <alignment horizontal="left" wrapText="1"/>
    </xf>
    <xf numFmtId="0" fontId="117" fillId="39" borderId="0" xfId="8220" applyFont="1" applyFill="1" applyAlignment="1" applyProtection="1">
      <alignment horizontal="left" vertical="center" indent="2"/>
      <protection hidden="1"/>
    </xf>
    <xf numFmtId="0" fontId="115" fillId="43" borderId="0" xfId="8220" applyFont="1" applyFill="1" applyAlignment="1" applyProtection="1">
      <alignment horizontal="center" vertical="center"/>
      <protection hidden="1"/>
    </xf>
    <xf numFmtId="0" fontId="115" fillId="42" borderId="0" xfId="8220" applyFont="1" applyFill="1" applyAlignment="1" applyProtection="1">
      <alignment horizontal="center" vertical="center"/>
      <protection hidden="1"/>
    </xf>
    <xf numFmtId="0" fontId="115" fillId="41" borderId="0" xfId="8220" applyFont="1" applyFill="1" applyAlignment="1" applyProtection="1">
      <alignment horizontal="center" vertical="center"/>
      <protection hidden="1"/>
    </xf>
    <xf numFmtId="0" fontId="115" fillId="55" borderId="0" xfId="54575" applyFont="1" applyFill="1" applyAlignment="1" applyProtection="1">
      <alignment horizontal="center" vertical="center"/>
      <protection hidden="1"/>
    </xf>
    <xf numFmtId="0" fontId="114" fillId="44" borderId="0" xfId="8220" applyFont="1" applyFill="1" applyAlignment="1" applyProtection="1">
      <alignment horizontal="center" vertical="center" wrapText="1"/>
      <protection hidden="1"/>
    </xf>
    <xf numFmtId="0" fontId="25" fillId="6" borderId="192" xfId="0" applyFont="1" applyFill="1" applyBorder="1" applyAlignment="1">
      <alignment horizontal="center" wrapText="1"/>
    </xf>
    <xf numFmtId="0" fontId="25" fillId="6" borderId="21" xfId="0" applyFont="1" applyFill="1" applyBorder="1" applyAlignment="1">
      <alignment horizontal="center" wrapText="1"/>
    </xf>
    <xf numFmtId="16" fontId="25" fillId="0" borderId="467" xfId="0" applyNumberFormat="1" applyFont="1" applyBorder="1" applyAlignment="1">
      <alignment horizontal="center"/>
    </xf>
    <xf numFmtId="0" fontId="23" fillId="5" borderId="466" xfId="0" applyFont="1" applyFill="1" applyBorder="1" applyAlignment="1">
      <alignment horizontal="center"/>
    </xf>
    <xf numFmtId="0" fontId="23" fillId="5" borderId="467" xfId="0" applyFont="1" applyFill="1" applyBorder="1" applyAlignment="1">
      <alignment horizontal="center"/>
    </xf>
    <xf numFmtId="0" fontId="23" fillId="5" borderId="338" xfId="0" applyFont="1" applyFill="1" applyBorder="1" applyAlignment="1">
      <alignment horizontal="center"/>
    </xf>
    <xf numFmtId="0" fontId="115" fillId="39" borderId="0" xfId="8220" applyFont="1" applyFill="1" applyAlignment="1" applyProtection="1">
      <alignment horizontal="center" vertical="center"/>
      <protection hidden="1"/>
    </xf>
    <xf numFmtId="16" fontId="25" fillId="0" borderId="13" xfId="0" applyNumberFormat="1" applyFont="1" applyBorder="1" applyAlignment="1">
      <alignment horizontal="center"/>
    </xf>
    <xf numFmtId="0" fontId="23" fillId="5" borderId="14" xfId="0" applyFont="1" applyFill="1" applyBorder="1" applyAlignment="1">
      <alignment horizontal="center"/>
    </xf>
    <xf numFmtId="0" fontId="23" fillId="5" borderId="15" xfId="0" applyFont="1" applyFill="1" applyBorder="1" applyAlignment="1">
      <alignment horizontal="center"/>
    </xf>
    <xf numFmtId="0" fontId="23" fillId="5" borderId="16" xfId="0" applyFont="1" applyFill="1" applyBorder="1" applyAlignment="1">
      <alignment horizontal="center"/>
    </xf>
    <xf numFmtId="0" fontId="25" fillId="6" borderId="17" xfId="0" applyFont="1" applyFill="1" applyBorder="1" applyAlignment="1">
      <alignment horizontal="center" wrapText="1"/>
    </xf>
    <xf numFmtId="44" fontId="114" fillId="44" borderId="0" xfId="1" applyNumberFormat="1" applyFont="1" applyFill="1" applyAlignment="1" applyProtection="1">
      <alignment horizontal="center" vertical="center" wrapText="1"/>
      <protection hidden="1"/>
    </xf>
    <xf numFmtId="44" fontId="114" fillId="44" borderId="0" xfId="1" applyFont="1" applyFill="1" applyAlignment="1" applyProtection="1">
      <alignment horizontal="center" vertical="center" wrapText="1"/>
      <protection hidden="1"/>
    </xf>
    <xf numFmtId="16" fontId="25" fillId="0" borderId="101" xfId="0" applyNumberFormat="1" applyFont="1" applyBorder="1" applyAlignment="1">
      <alignment horizontal="center"/>
    </xf>
    <xf numFmtId="0" fontId="23" fillId="5" borderId="102" xfId="0" applyFont="1" applyFill="1" applyBorder="1" applyAlignment="1">
      <alignment horizontal="center"/>
    </xf>
    <xf numFmtId="0" fontId="23" fillId="5" borderId="103" xfId="0" applyFont="1" applyFill="1" applyBorder="1" applyAlignment="1">
      <alignment horizontal="center"/>
    </xf>
    <xf numFmtId="0" fontId="25" fillId="6" borderId="104" xfId="0" applyFont="1" applyFill="1" applyBorder="1" applyAlignment="1">
      <alignment horizontal="center" wrapText="1"/>
    </xf>
    <xf numFmtId="0" fontId="25" fillId="6" borderId="106" xfId="0" applyFont="1" applyFill="1" applyBorder="1" applyAlignment="1">
      <alignment horizontal="center" wrapText="1"/>
    </xf>
    <xf numFmtId="0" fontId="115" fillId="55" borderId="0" xfId="54772" applyFont="1" applyFill="1" applyAlignment="1" applyProtection="1">
      <alignment horizontal="center" vertical="center"/>
      <protection hidden="1"/>
    </xf>
    <xf numFmtId="0" fontId="23" fillId="5" borderId="189" xfId="0" applyFont="1" applyFill="1" applyBorder="1" applyAlignment="1">
      <alignment horizontal="center"/>
    </xf>
    <xf numFmtId="0" fontId="23" fillId="5" borderId="190" xfId="0" applyFont="1" applyFill="1" applyBorder="1" applyAlignment="1">
      <alignment horizontal="center"/>
    </xf>
    <xf numFmtId="0" fontId="23" fillId="5" borderId="191" xfId="0" applyFont="1" applyFill="1" applyBorder="1" applyAlignment="1">
      <alignment horizontal="center"/>
    </xf>
    <xf numFmtId="0" fontId="52" fillId="0" borderId="0" xfId="177" applyFont="1" applyBorder="1" applyAlignment="1">
      <alignment horizontal="center" wrapText="1"/>
    </xf>
    <xf numFmtId="9" fontId="227" fillId="0" borderId="40" xfId="4" applyFont="1" applyFill="1" applyBorder="1" applyAlignment="1">
      <alignment horizontal="center"/>
    </xf>
    <xf numFmtId="9" fontId="227" fillId="0" borderId="0" xfId="4" applyFont="1" applyFill="1" applyBorder="1" applyAlignment="1">
      <alignment horizontal="center"/>
    </xf>
    <xf numFmtId="0" fontId="6" fillId="0" borderId="0" xfId="23" applyNumberFormat="1" applyFont="1" applyAlignment="1" applyProtection="1">
      <alignment horizontal="center" wrapText="1"/>
      <protection locked="0"/>
    </xf>
    <xf numFmtId="0" fontId="171" fillId="39" borderId="0" xfId="0" applyFont="1" applyFill="1" applyAlignment="1" applyProtection="1">
      <alignment horizontal="center" vertical="center"/>
      <protection hidden="1"/>
    </xf>
    <xf numFmtId="0" fontId="172" fillId="43" borderId="0" xfId="0" applyFont="1" applyFill="1" applyAlignment="1" applyProtection="1">
      <alignment horizontal="left" vertical="center"/>
      <protection hidden="1"/>
    </xf>
    <xf numFmtId="0" fontId="172" fillId="41" borderId="0" xfId="0" applyFont="1" applyFill="1" applyAlignment="1" applyProtection="1">
      <alignment horizontal="center" vertical="center"/>
      <protection hidden="1"/>
    </xf>
    <xf numFmtId="0" fontId="172" fillId="39" borderId="0" xfId="0" applyFont="1" applyFill="1" applyAlignment="1" applyProtection="1">
      <alignment horizontal="center" vertical="center"/>
      <protection hidden="1"/>
    </xf>
    <xf numFmtId="0" fontId="172" fillId="42" borderId="0" xfId="0" applyFont="1" applyFill="1" applyAlignment="1" applyProtection="1">
      <alignment horizontal="center" vertical="center"/>
      <protection hidden="1"/>
    </xf>
    <xf numFmtId="0" fontId="15" fillId="0" borderId="0" xfId="3"/>
    <xf numFmtId="177" fontId="17" fillId="0" borderId="0" xfId="3" applyNumberFormat="1" applyFont="1" applyFill="1" applyBorder="1" applyAlignment="1">
      <alignment horizontal="right" vertical="center"/>
    </xf>
    <xf numFmtId="0" fontId="15" fillId="0" borderId="0" xfId="3" applyFill="1" applyBorder="1" applyAlignment="1">
      <alignment vertical="center"/>
    </xf>
    <xf numFmtId="0" fontId="115" fillId="0" borderId="0" xfId="8220" applyFont="1" applyFill="1" applyBorder="1" applyAlignment="1" applyProtection="1">
      <alignment horizontal="center" vertical="center"/>
      <protection hidden="1"/>
    </xf>
    <xf numFmtId="0" fontId="118" fillId="0" borderId="0" xfId="8220" applyFont="1" applyFill="1" applyBorder="1" applyAlignment="1" applyProtection="1">
      <alignment horizontal="center" vertical="center"/>
      <protection hidden="1"/>
    </xf>
    <xf numFmtId="0" fontId="18" fillId="4" borderId="7" xfId="0" applyFont="1" applyFill="1" applyBorder="1" applyAlignment="1">
      <alignment horizontal="center"/>
    </xf>
    <xf numFmtId="0" fontId="18" fillId="4" borderId="4" xfId="0" applyFont="1" applyFill="1" applyBorder="1" applyAlignment="1">
      <alignment horizontal="center"/>
    </xf>
    <xf numFmtId="0" fontId="0" fillId="0" borderId="0" xfId="0" applyFont="1" applyAlignment="1">
      <alignment horizontal="center" wrapText="1"/>
    </xf>
    <xf numFmtId="0" fontId="39" fillId="0" borderId="0" xfId="12"/>
    <xf numFmtId="0" fontId="23" fillId="0" borderId="0" xfId="28" applyFont="1" applyFill="1" applyBorder="1" applyAlignment="1">
      <alignment horizontal="center"/>
    </xf>
    <xf numFmtId="0" fontId="29" fillId="0" borderId="0" xfId="28" applyFont="1" applyFill="1" applyBorder="1" applyAlignment="1">
      <alignment horizontal="center"/>
    </xf>
    <xf numFmtId="0" fontId="24" fillId="0" borderId="0" xfId="28" applyFont="1" applyFill="1" applyBorder="1" applyAlignment="1">
      <alignment horizontal="center"/>
    </xf>
    <xf numFmtId="0" fontId="49" fillId="0" borderId="40" xfId="0" applyFont="1" applyFill="1" applyBorder="1" applyAlignment="1">
      <alignment horizontal="center"/>
    </xf>
    <xf numFmtId="0" fontId="49" fillId="0" borderId="0" xfId="0" applyFont="1" applyFill="1" applyBorder="1" applyAlignment="1">
      <alignment horizontal="center"/>
    </xf>
    <xf numFmtId="0" fontId="0" fillId="0" borderId="40" xfId="0" applyBorder="1" applyAlignment="1">
      <alignment horizontal="left"/>
    </xf>
    <xf numFmtId="0" fontId="0" fillId="0" borderId="0" xfId="0" applyAlignment="1">
      <alignment horizontal="left"/>
    </xf>
    <xf numFmtId="0" fontId="116" fillId="40" borderId="423" xfId="8201" applyFont="1" applyFill="1" applyBorder="1" applyAlignment="1" applyProtection="1">
      <alignment horizontal="center" vertical="center" wrapText="1"/>
      <protection locked="0"/>
    </xf>
    <xf numFmtId="0" fontId="116" fillId="40" borderId="484" xfId="8201" applyFont="1" applyFill="1" applyBorder="1" applyAlignment="1" applyProtection="1">
      <alignment horizontal="center" vertical="center" wrapText="1"/>
      <protection locked="0"/>
    </xf>
    <xf numFmtId="0" fontId="116" fillId="40" borderId="26" xfId="8201" applyFont="1" applyFill="1" applyBorder="1" applyAlignment="1" applyProtection="1">
      <alignment horizontal="center" vertical="center" wrapText="1"/>
      <protection locked="0"/>
    </xf>
    <xf numFmtId="0" fontId="0" fillId="0" borderId="0" xfId="0" applyAlignment="1">
      <alignment horizontal="center" vertical="center" wrapText="1"/>
    </xf>
  </cellXfs>
  <cellStyles count="54773">
    <cellStyle name="20% - Accent1 2" xfId="81"/>
    <cellStyle name="20% - Accent1 3" xfId="80"/>
    <cellStyle name="20% - Accent2 2" xfId="83"/>
    <cellStyle name="20% - Accent2 3" xfId="82"/>
    <cellStyle name="20% - Accent3 2" xfId="85"/>
    <cellStyle name="20% - Accent3 3" xfId="84"/>
    <cellStyle name="20% - Accent4 2" xfId="87"/>
    <cellStyle name="20% - Accent4 3" xfId="86"/>
    <cellStyle name="20% - Accent5 2" xfId="89"/>
    <cellStyle name="20% - Accent5 3" xfId="88"/>
    <cellStyle name="20% - Accent6 2" xfId="91"/>
    <cellStyle name="20% - Accent6 3" xfId="90"/>
    <cellStyle name="40% - Accent1 2" xfId="93"/>
    <cellStyle name="40% - Accent1 3" xfId="92"/>
    <cellStyle name="40% - Accent2 2" xfId="95"/>
    <cellStyle name="40% - Accent2 3" xfId="94"/>
    <cellStyle name="40% - Accent3 2" xfId="97"/>
    <cellStyle name="40% - Accent3 3" xfId="96"/>
    <cellStyle name="40% - Accent4 2" xfId="99"/>
    <cellStyle name="40% - Accent4 3" xfId="98"/>
    <cellStyle name="40% - Accent5 2" xfId="101"/>
    <cellStyle name="40% - Accent5 3" xfId="100"/>
    <cellStyle name="40% - Accent6 2" xfId="103"/>
    <cellStyle name="40% - Accent6 3" xfId="102"/>
    <cellStyle name="60% - Accent1 2" xfId="105"/>
    <cellStyle name="60% - Accent1 3" xfId="104"/>
    <cellStyle name="60% - Accent2 2" xfId="107"/>
    <cellStyle name="60% - Accent2 3" xfId="106"/>
    <cellStyle name="60% - Accent3 2" xfId="109"/>
    <cellStyle name="60% - Accent3 3" xfId="108"/>
    <cellStyle name="60% - Accent4 2" xfId="111"/>
    <cellStyle name="60% - Accent4 3" xfId="110"/>
    <cellStyle name="60% - Accent5 2" xfId="113"/>
    <cellStyle name="60% - Accent5 3" xfId="112"/>
    <cellStyle name="60% - Accent6 2" xfId="115"/>
    <cellStyle name="60% - Accent6 3" xfId="114"/>
    <cellStyle name="Accent1 2" xfId="117"/>
    <cellStyle name="Accent1 3" xfId="116"/>
    <cellStyle name="Accent2 2" xfId="119"/>
    <cellStyle name="Accent2 3" xfId="118"/>
    <cellStyle name="Accent3 2" xfId="121"/>
    <cellStyle name="Accent3 3" xfId="120"/>
    <cellStyle name="Accent4 2" xfId="123"/>
    <cellStyle name="Accent4 3" xfId="122"/>
    <cellStyle name="Accent5 2" xfId="125"/>
    <cellStyle name="Accent5 3" xfId="124"/>
    <cellStyle name="Accent6 2" xfId="127"/>
    <cellStyle name="Accent6 3" xfId="126"/>
    <cellStyle name="Bad 2" xfId="129"/>
    <cellStyle name="Bad 3" xfId="128"/>
    <cellStyle name="Calculation 2" xfId="131"/>
    <cellStyle name="Calculation 2 10" xfId="1650"/>
    <cellStyle name="Calculation 2 10 2" xfId="9473"/>
    <cellStyle name="Calculation 2 10 3" xfId="16901"/>
    <cellStyle name="Calculation 2 10 4" xfId="25698"/>
    <cellStyle name="Calculation 2 10 5" xfId="34237"/>
    <cellStyle name="Calculation 2 10 6" xfId="40815"/>
    <cellStyle name="Calculation 2 10 7" xfId="52306"/>
    <cellStyle name="Calculation 2 11" xfId="1796"/>
    <cellStyle name="Calculation 2 11 2" xfId="9619"/>
    <cellStyle name="Calculation 2 11 3" xfId="17047"/>
    <cellStyle name="Calculation 2 11 4" xfId="25328"/>
    <cellStyle name="Calculation 2 11 5" xfId="33758"/>
    <cellStyle name="Calculation 2 11 6" xfId="41327"/>
    <cellStyle name="Calculation 2 11 7" xfId="51492"/>
    <cellStyle name="Calculation 2 12" xfId="1540"/>
    <cellStyle name="Calculation 2 12 2" xfId="9363"/>
    <cellStyle name="Calculation 2 12 3" xfId="16791"/>
    <cellStyle name="Calculation 2 12 4" xfId="25435"/>
    <cellStyle name="Calculation 2 12 5" xfId="33895"/>
    <cellStyle name="Calculation 2 12 6" xfId="37310"/>
    <cellStyle name="Calculation 2 12 7" xfId="51719"/>
    <cellStyle name="Calculation 2 13" xfId="957"/>
    <cellStyle name="Calculation 2 13 2" xfId="8781"/>
    <cellStyle name="Calculation 2 13 3" xfId="16209"/>
    <cellStyle name="Calculation 2 13 4" xfId="25488"/>
    <cellStyle name="Calculation 2 13 5" xfId="33962"/>
    <cellStyle name="Calculation 2 13 6" xfId="36374"/>
    <cellStyle name="Calculation 2 13 7" xfId="51846"/>
    <cellStyle name="Calculation 2 14" xfId="3510"/>
    <cellStyle name="Calculation 2 14 2" xfId="11301"/>
    <cellStyle name="Calculation 2 14 3" xfId="18599"/>
    <cellStyle name="Calculation 2 14 4" xfId="26408"/>
    <cellStyle name="Calculation 2 14 5" xfId="35164"/>
    <cellStyle name="Calculation 2 14 6" xfId="42163"/>
    <cellStyle name="Calculation 2 14 7" xfId="53867"/>
    <cellStyle name="Calculation 2 15" xfId="3503"/>
    <cellStyle name="Calculation 2 15 2" xfId="11294"/>
    <cellStyle name="Calculation 2 15 3" xfId="20487"/>
    <cellStyle name="Calculation 2 15 4" xfId="26704"/>
    <cellStyle name="Calculation 2 15 5" xfId="35557"/>
    <cellStyle name="Calculation 2 15 6" xfId="36282"/>
    <cellStyle name="Calculation 2 15 7" xfId="54503"/>
    <cellStyle name="Calculation 2 16" xfId="4014"/>
    <cellStyle name="Calculation 2 16 2" xfId="20724"/>
    <cellStyle name="Calculation 2 16 3" xfId="28911"/>
    <cellStyle name="Calculation 2 16 4" xfId="38294"/>
    <cellStyle name="Calculation 2 16 5" xfId="42576"/>
    <cellStyle name="Calculation 2 16 6" xfId="52845"/>
    <cellStyle name="Calculation 2 17" xfId="4184"/>
    <cellStyle name="Calculation 2 17 2" xfId="11943"/>
    <cellStyle name="Calculation 2 17 3" xfId="20894"/>
    <cellStyle name="Calculation 2 17 4" xfId="29081"/>
    <cellStyle name="Calculation 2 17 5" xfId="38457"/>
    <cellStyle name="Calculation 2 17 6" xfId="42746"/>
    <cellStyle name="Calculation 2 17 7" xfId="53374"/>
    <cellStyle name="Calculation 2 18" xfId="4029"/>
    <cellStyle name="Calculation 2 18 2" xfId="11801"/>
    <cellStyle name="Calculation 2 18 3" xfId="20739"/>
    <cellStyle name="Calculation 2 18 4" xfId="28926"/>
    <cellStyle name="Calculation 2 18 5" xfId="38306"/>
    <cellStyle name="Calculation 2 18 6" xfId="42591"/>
    <cellStyle name="Calculation 2 18 7" xfId="54375"/>
    <cellStyle name="Calculation 2 19" xfId="4271"/>
    <cellStyle name="Calculation 2 19 2" xfId="11988"/>
    <cellStyle name="Calculation 2 19 3" xfId="20981"/>
    <cellStyle name="Calculation 2 19 4" xfId="29168"/>
    <cellStyle name="Calculation 2 19 5" xfId="38541"/>
    <cellStyle name="Calculation 2 19 6" xfId="42833"/>
    <cellStyle name="Calculation 2 19 7" xfId="52112"/>
    <cellStyle name="Calculation 2 2" xfId="256"/>
    <cellStyle name="Calculation 2 2 10" xfId="1124"/>
    <cellStyle name="Calculation 2 2 10 2" xfId="8947"/>
    <cellStyle name="Calculation 2 2 10 3" xfId="16375"/>
    <cellStyle name="Calculation 2 2 10 4" xfId="25415"/>
    <cellStyle name="Calculation 2 2 10 5" xfId="33871"/>
    <cellStyle name="Calculation 2 2 10 6" xfId="37040"/>
    <cellStyle name="Calculation 2 2 10 7" xfId="51681"/>
    <cellStyle name="Calculation 2 2 11" xfId="1189"/>
    <cellStyle name="Calculation 2 2 11 2" xfId="9012"/>
    <cellStyle name="Calculation 2 2 11 3" xfId="16440"/>
    <cellStyle name="Calculation 2 2 11 4" xfId="26023"/>
    <cellStyle name="Calculation 2 2 11 5" xfId="34652"/>
    <cellStyle name="Calculation 2 2 11 6" xfId="36738"/>
    <cellStyle name="Calculation 2 2 11 7" xfId="53040"/>
    <cellStyle name="Calculation 2 2 12" xfId="1022"/>
    <cellStyle name="Calculation 2 2 12 2" xfId="8846"/>
    <cellStyle name="Calculation 2 2 12 3" xfId="16274"/>
    <cellStyle name="Calculation 2 2 12 4" xfId="25678"/>
    <cellStyle name="Calculation 2 2 12 5" xfId="34210"/>
    <cellStyle name="Calculation 2 2 12 6" xfId="37673"/>
    <cellStyle name="Calculation 2 2 12 7" xfId="52260"/>
    <cellStyle name="Calculation 2 2 13" xfId="1207"/>
    <cellStyle name="Calculation 2 2 13 2" xfId="9030"/>
    <cellStyle name="Calculation 2 2 13 3" xfId="16458"/>
    <cellStyle name="Calculation 2 2 13 4" xfId="25095"/>
    <cellStyle name="Calculation 2 2 13 5" xfId="33457"/>
    <cellStyle name="Calculation 2 2 13 6" xfId="40696"/>
    <cellStyle name="Calculation 2 2 13 7" xfId="50994"/>
    <cellStyle name="Calculation 2 2 14" xfId="1109"/>
    <cellStyle name="Calculation 2 2 14 2" xfId="8933"/>
    <cellStyle name="Calculation 2 2 14 3" xfId="16361"/>
    <cellStyle name="Calculation 2 2 14 4" xfId="26550"/>
    <cellStyle name="Calculation 2 2 14 5" xfId="35358"/>
    <cellStyle name="Calculation 2 2 14 6" xfId="36568"/>
    <cellStyle name="Calculation 2 2 14 7" xfId="54175"/>
    <cellStyle name="Calculation 2 2 15" xfId="991"/>
    <cellStyle name="Calculation 2 2 15 2" xfId="8815"/>
    <cellStyle name="Calculation 2 2 15 3" xfId="16243"/>
    <cellStyle name="Calculation 2 2 15 4" xfId="25398"/>
    <cellStyle name="Calculation 2 2 15 5" xfId="33849"/>
    <cellStyle name="Calculation 2 2 15 6" xfId="36498"/>
    <cellStyle name="Calculation 2 2 15 7" xfId="51637"/>
    <cellStyle name="Calculation 2 2 16" xfId="1093"/>
    <cellStyle name="Calculation 2 2 16 2" xfId="8917"/>
    <cellStyle name="Calculation 2 2 16 3" xfId="16345"/>
    <cellStyle name="Calculation 2 2 16 4" xfId="25153"/>
    <cellStyle name="Calculation 2 2 16 5" xfId="33530"/>
    <cellStyle name="Calculation 2 2 16 6" xfId="37449"/>
    <cellStyle name="Calculation 2 2 16 7" xfId="51118"/>
    <cellStyle name="Calculation 2 2 17" xfId="1190"/>
    <cellStyle name="Calculation 2 2 17 2" xfId="9013"/>
    <cellStyle name="Calculation 2 2 17 3" xfId="16441"/>
    <cellStyle name="Calculation 2 2 17 4" xfId="25995"/>
    <cellStyle name="Calculation 2 2 17 5" xfId="34617"/>
    <cellStyle name="Calculation 2 2 17 6" xfId="42289"/>
    <cellStyle name="Calculation 2 2 17 7" xfId="52983"/>
    <cellStyle name="Calculation 2 2 18" xfId="1051"/>
    <cellStyle name="Calculation 2 2 18 2" xfId="8875"/>
    <cellStyle name="Calculation 2 2 18 3" xfId="16303"/>
    <cellStyle name="Calculation 2 2 18 4" xfId="25932"/>
    <cellStyle name="Calculation 2 2 18 5" xfId="34537"/>
    <cellStyle name="Calculation 2 2 18 6" xfId="37883"/>
    <cellStyle name="Calculation 2 2 18 7" xfId="52856"/>
    <cellStyle name="Calculation 2 2 19" xfId="1037"/>
    <cellStyle name="Calculation 2 2 19 2" xfId="8861"/>
    <cellStyle name="Calculation 2 2 19 3" xfId="16289"/>
    <cellStyle name="Calculation 2 2 19 4" xfId="26468"/>
    <cellStyle name="Calculation 2 2 19 5" xfId="35247"/>
    <cellStyle name="Calculation 2 2 19 6" xfId="37666"/>
    <cellStyle name="Calculation 2 2 19 7" xfId="54002"/>
    <cellStyle name="Calculation 2 2 2" xfId="530"/>
    <cellStyle name="Calculation 2 2 2 10" xfId="1977"/>
    <cellStyle name="Calculation 2 2 2 10 2" xfId="9800"/>
    <cellStyle name="Calculation 2 2 2 10 3" xfId="17228"/>
    <cellStyle name="Calculation 2 2 2 10 4" xfId="19416"/>
    <cellStyle name="Calculation 2 2 2 10 5" xfId="28293"/>
    <cellStyle name="Calculation 2 2 2 10 6" xfId="37916"/>
    <cellStyle name="Calculation 2 2 2 10 7" xfId="48851"/>
    <cellStyle name="Calculation 2 2 2 11" xfId="2095"/>
    <cellStyle name="Calculation 2 2 2 11 2" xfId="9918"/>
    <cellStyle name="Calculation 2 2 2 11 3" xfId="17346"/>
    <cellStyle name="Calculation 2 2 2 11 4" xfId="24804"/>
    <cellStyle name="Calculation 2 2 2 11 5" xfId="28489"/>
    <cellStyle name="Calculation 2 2 2 11 6" xfId="40712"/>
    <cellStyle name="Calculation 2 2 2 11 7" xfId="47976"/>
    <cellStyle name="Calculation 2 2 2 12" xfId="2208"/>
    <cellStyle name="Calculation 2 2 2 12 2" xfId="10031"/>
    <cellStyle name="Calculation 2 2 2 12 3" xfId="17459"/>
    <cellStyle name="Calculation 2 2 2 12 4" xfId="25677"/>
    <cellStyle name="Calculation 2 2 2 12 5" xfId="34209"/>
    <cellStyle name="Calculation 2 2 2 12 6" xfId="37145"/>
    <cellStyle name="Calculation 2 2 2 12 7" xfId="52259"/>
    <cellStyle name="Calculation 2 2 2 13" xfId="2317"/>
    <cellStyle name="Calculation 2 2 2 13 2" xfId="10140"/>
    <cellStyle name="Calculation 2 2 2 13 3" xfId="17568"/>
    <cellStyle name="Calculation 2 2 2 13 4" xfId="25423"/>
    <cellStyle name="Calculation 2 2 2 13 5" xfId="33879"/>
    <cellStyle name="Calculation 2 2 2 13 6" xfId="41958"/>
    <cellStyle name="Calculation 2 2 2 13 7" xfId="51694"/>
    <cellStyle name="Calculation 2 2 2 14" xfId="2409"/>
    <cellStyle name="Calculation 2 2 2 14 2" xfId="10232"/>
    <cellStyle name="Calculation 2 2 2 14 3" xfId="17660"/>
    <cellStyle name="Calculation 2 2 2 14 4" xfId="26078"/>
    <cellStyle name="Calculation 2 2 2 14 5" xfId="34724"/>
    <cellStyle name="Calculation 2 2 2 14 6" xfId="38706"/>
    <cellStyle name="Calculation 2 2 2 14 7" xfId="53164"/>
    <cellStyle name="Calculation 2 2 2 15" xfId="2506"/>
    <cellStyle name="Calculation 2 2 2 15 2" xfId="10329"/>
    <cellStyle name="Calculation 2 2 2 15 3" xfId="17757"/>
    <cellStyle name="Calculation 2 2 2 15 4" xfId="19501"/>
    <cellStyle name="Calculation 2 2 2 15 5" xfId="28027"/>
    <cellStyle name="Calculation 2 2 2 15 6" xfId="39605"/>
    <cellStyle name="Calculation 2 2 2 15 7" xfId="50269"/>
    <cellStyle name="Calculation 2 2 2 16" xfId="2619"/>
    <cellStyle name="Calculation 2 2 2 16 2" xfId="10442"/>
    <cellStyle name="Calculation 2 2 2 16 3" xfId="17870"/>
    <cellStyle name="Calculation 2 2 2 16 4" xfId="20508"/>
    <cellStyle name="Calculation 2 2 2 16 5" xfId="27391"/>
    <cellStyle name="Calculation 2 2 2 16 6" xfId="40723"/>
    <cellStyle name="Calculation 2 2 2 16 7" xfId="48207"/>
    <cellStyle name="Calculation 2 2 2 17" xfId="2717"/>
    <cellStyle name="Calculation 2 2 2 17 2" xfId="10540"/>
    <cellStyle name="Calculation 2 2 2 17 3" xfId="17968"/>
    <cellStyle name="Calculation 2 2 2 17 4" xfId="25137"/>
    <cellStyle name="Calculation 2 2 2 17 5" xfId="33510"/>
    <cellStyle name="Calculation 2 2 2 17 6" xfId="38078"/>
    <cellStyle name="Calculation 2 2 2 17 7" xfId="51084"/>
    <cellStyle name="Calculation 2 2 2 18" xfId="2750"/>
    <cellStyle name="Calculation 2 2 2 18 2" xfId="10573"/>
    <cellStyle name="Calculation 2 2 2 18 3" xfId="18001"/>
    <cellStyle name="Calculation 2 2 2 18 4" xfId="19586"/>
    <cellStyle name="Calculation 2 2 2 18 5" xfId="28204"/>
    <cellStyle name="Calculation 2 2 2 18 6" xfId="42144"/>
    <cellStyle name="Calculation 2 2 2 18 7" xfId="49621"/>
    <cellStyle name="Calculation 2 2 2 19" xfId="2812"/>
    <cellStyle name="Calculation 2 2 2 19 2" xfId="10635"/>
    <cellStyle name="Calculation 2 2 2 19 3" xfId="18063"/>
    <cellStyle name="Calculation 2 2 2 19 4" xfId="20167"/>
    <cellStyle name="Calculation 2 2 2 19 5" xfId="27873"/>
    <cellStyle name="Calculation 2 2 2 19 6" xfId="37575"/>
    <cellStyle name="Calculation 2 2 2 19 7" xfId="50143"/>
    <cellStyle name="Calculation 2 2 2 2" xfId="680"/>
    <cellStyle name="Calculation 2 2 2 2 2" xfId="8504"/>
    <cellStyle name="Calculation 2 2 2 2 3" xfId="8256"/>
    <cellStyle name="Calculation 2 2 2 2 4" xfId="19938"/>
    <cellStyle name="Calculation 2 2 2 2 5" xfId="27361"/>
    <cellStyle name="Calculation 2 2 2 2 6" xfId="36604"/>
    <cellStyle name="Calculation 2 2 2 2 7" xfId="47817"/>
    <cellStyle name="Calculation 2 2 2 20" xfId="2919"/>
    <cellStyle name="Calculation 2 2 2 20 2" xfId="10742"/>
    <cellStyle name="Calculation 2 2 2 20 3" xfId="18170"/>
    <cellStyle name="Calculation 2 2 2 20 4" xfId="19695"/>
    <cellStyle name="Calculation 2 2 2 20 5" xfId="28081"/>
    <cellStyle name="Calculation 2 2 2 20 6" xfId="36666"/>
    <cellStyle name="Calculation 2 2 2 20 7" xfId="48197"/>
    <cellStyle name="Calculation 2 2 2 21" xfId="3295"/>
    <cellStyle name="Calculation 2 2 2 21 2" xfId="11088"/>
    <cellStyle name="Calculation 2 2 2 21 3" xfId="18417"/>
    <cellStyle name="Calculation 2 2 2 21 4" xfId="25380"/>
    <cellStyle name="Calculation 2 2 2 21 5" xfId="33828"/>
    <cellStyle name="Calculation 2 2 2 21 6" xfId="40310"/>
    <cellStyle name="Calculation 2 2 2 21 7" xfId="51606"/>
    <cellStyle name="Calculation 2 2 2 22" xfId="3415"/>
    <cellStyle name="Calculation 2 2 2 22 2" xfId="11206"/>
    <cellStyle name="Calculation 2 2 2 22 3" xfId="18528"/>
    <cellStyle name="Calculation 2 2 2 22 4" xfId="19477"/>
    <cellStyle name="Calculation 2 2 2 22 5" xfId="27735"/>
    <cellStyle name="Calculation 2 2 2 22 6" xfId="36648"/>
    <cellStyle name="Calculation 2 2 2 22 7" xfId="48606"/>
    <cellStyle name="Calculation 2 2 2 23" xfId="3002"/>
    <cellStyle name="Calculation 2 2 2 23 2" xfId="10821"/>
    <cellStyle name="Calculation 2 2 2 23 3" xfId="18244"/>
    <cellStyle name="Calculation 2 2 2 23 4" xfId="26004"/>
    <cellStyle name="Calculation 2 2 2 23 5" xfId="34628"/>
    <cellStyle name="Calculation 2 2 2 23 6" xfId="40481"/>
    <cellStyle name="Calculation 2 2 2 23 7" xfId="53006"/>
    <cellStyle name="Calculation 2 2 2 24" xfId="3686"/>
    <cellStyle name="Calculation 2 2 2 24 2" xfId="11471"/>
    <cellStyle name="Calculation 2 2 2 24 3" xfId="18744"/>
    <cellStyle name="Calculation 2 2 2 24 4" xfId="19753"/>
    <cellStyle name="Calculation 2 2 2 24 5" xfId="27815"/>
    <cellStyle name="Calculation 2 2 2 24 6" xfId="37863"/>
    <cellStyle name="Calculation 2 2 2 24 7" xfId="47520"/>
    <cellStyle name="Calculation 2 2 2 25" xfId="3816"/>
    <cellStyle name="Calculation 2 2 2 25 2" xfId="11598"/>
    <cellStyle name="Calculation 2 2 2 25 3" xfId="18855"/>
    <cellStyle name="Calculation 2 2 2 25 4" xfId="25449"/>
    <cellStyle name="Calculation 2 2 2 25 5" xfId="33909"/>
    <cellStyle name="Calculation 2 2 2 25 6" xfId="40519"/>
    <cellStyle name="Calculation 2 2 2 25 7" xfId="51746"/>
    <cellStyle name="Calculation 2 2 2 26" xfId="3934"/>
    <cellStyle name="Calculation 2 2 2 26 2" xfId="11714"/>
    <cellStyle name="Calculation 2 2 2 26 3" xfId="18964"/>
    <cellStyle name="Calculation 2 2 2 26 4" xfId="25445"/>
    <cellStyle name="Calculation 2 2 2 26 5" xfId="33905"/>
    <cellStyle name="Calculation 2 2 2 26 6" xfId="38501"/>
    <cellStyle name="Calculation 2 2 2 26 7" xfId="51739"/>
    <cellStyle name="Calculation 2 2 2 27" xfId="4024"/>
    <cellStyle name="Calculation 2 2 2 27 2" xfId="11798"/>
    <cellStyle name="Calculation 2 2 2 27 3" xfId="20734"/>
    <cellStyle name="Calculation 2 2 2 27 4" xfId="28921"/>
    <cellStyle name="Calculation 2 2 2 27 5" xfId="38303"/>
    <cellStyle name="Calculation 2 2 2 27 6" xfId="42586"/>
    <cellStyle name="Calculation 2 2 2 27 7" xfId="48585"/>
    <cellStyle name="Calculation 2 2 2 28" xfId="4131"/>
    <cellStyle name="Calculation 2 2 2 28 2" xfId="11890"/>
    <cellStyle name="Calculation 2 2 2 28 3" xfId="20841"/>
    <cellStyle name="Calculation 2 2 2 28 4" xfId="29028"/>
    <cellStyle name="Calculation 2 2 2 28 5" xfId="38405"/>
    <cellStyle name="Calculation 2 2 2 28 6" xfId="42693"/>
    <cellStyle name="Calculation 2 2 2 28 7" xfId="51263"/>
    <cellStyle name="Calculation 2 2 2 29" xfId="3137"/>
    <cellStyle name="Calculation 2 2 2 29 2" xfId="20275"/>
    <cellStyle name="Calculation 2 2 2 29 3" xfId="28370"/>
    <cellStyle name="Calculation 2 2 2 29 4" xfId="37754"/>
    <cellStyle name="Calculation 2 2 2 29 5" xfId="42406"/>
    <cellStyle name="Calculation 2 2 2 29 6" xfId="49134"/>
    <cellStyle name="Calculation 2 2 2 3" xfId="788"/>
    <cellStyle name="Calculation 2 2 2 3 2" xfId="8612"/>
    <cellStyle name="Calculation 2 2 2 3 3" xfId="16040"/>
    <cellStyle name="Calculation 2 2 2 3 4" xfId="24999"/>
    <cellStyle name="Calculation 2 2 2 3 5" xfId="33349"/>
    <cellStyle name="Calculation 2 2 2 3 6" xfId="36878"/>
    <cellStyle name="Calculation 2 2 2 3 7" xfId="50789"/>
    <cellStyle name="Calculation 2 2 2 30" xfId="4328"/>
    <cellStyle name="Calculation 2 2 2 30 2" xfId="12045"/>
    <cellStyle name="Calculation 2 2 2 30 3" xfId="21038"/>
    <cellStyle name="Calculation 2 2 2 30 4" xfId="29225"/>
    <cellStyle name="Calculation 2 2 2 30 5" xfId="38596"/>
    <cellStyle name="Calculation 2 2 2 30 6" xfId="42890"/>
    <cellStyle name="Calculation 2 2 2 30 7" xfId="49833"/>
    <cellStyle name="Calculation 2 2 2 31" xfId="4451"/>
    <cellStyle name="Calculation 2 2 2 31 2" xfId="12168"/>
    <cellStyle name="Calculation 2 2 2 31 3" xfId="21161"/>
    <cellStyle name="Calculation 2 2 2 31 4" xfId="29348"/>
    <cellStyle name="Calculation 2 2 2 31 5" xfId="38714"/>
    <cellStyle name="Calculation 2 2 2 31 6" xfId="43013"/>
    <cellStyle name="Calculation 2 2 2 31 7" xfId="50193"/>
    <cellStyle name="Calculation 2 2 2 32" xfId="4565"/>
    <cellStyle name="Calculation 2 2 2 32 2" xfId="12282"/>
    <cellStyle name="Calculation 2 2 2 32 3" xfId="21275"/>
    <cellStyle name="Calculation 2 2 2 32 4" xfId="29462"/>
    <cellStyle name="Calculation 2 2 2 32 5" xfId="38823"/>
    <cellStyle name="Calculation 2 2 2 32 6" xfId="43127"/>
    <cellStyle name="Calculation 2 2 2 32 7" xfId="53211"/>
    <cellStyle name="Calculation 2 2 2 33" xfId="4678"/>
    <cellStyle name="Calculation 2 2 2 33 2" xfId="12395"/>
    <cellStyle name="Calculation 2 2 2 33 3" xfId="21388"/>
    <cellStyle name="Calculation 2 2 2 33 4" xfId="29575"/>
    <cellStyle name="Calculation 2 2 2 33 5" xfId="38932"/>
    <cellStyle name="Calculation 2 2 2 33 6" xfId="43240"/>
    <cellStyle name="Calculation 2 2 2 33 7" xfId="49210"/>
    <cellStyle name="Calculation 2 2 2 34" xfId="4789"/>
    <cellStyle name="Calculation 2 2 2 34 2" xfId="12506"/>
    <cellStyle name="Calculation 2 2 2 34 3" xfId="21499"/>
    <cellStyle name="Calculation 2 2 2 34 4" xfId="29686"/>
    <cellStyle name="Calculation 2 2 2 34 5" xfId="39040"/>
    <cellStyle name="Calculation 2 2 2 34 6" xfId="43351"/>
    <cellStyle name="Calculation 2 2 2 34 7" xfId="52921"/>
    <cellStyle name="Calculation 2 2 2 35" xfId="4898"/>
    <cellStyle name="Calculation 2 2 2 35 2" xfId="12615"/>
    <cellStyle name="Calculation 2 2 2 35 3" xfId="21608"/>
    <cellStyle name="Calculation 2 2 2 35 4" xfId="29795"/>
    <cellStyle name="Calculation 2 2 2 35 5" xfId="39144"/>
    <cellStyle name="Calculation 2 2 2 35 6" xfId="43460"/>
    <cellStyle name="Calculation 2 2 2 35 7" xfId="49145"/>
    <cellStyle name="Calculation 2 2 2 36" xfId="5009"/>
    <cellStyle name="Calculation 2 2 2 36 2" xfId="12726"/>
    <cellStyle name="Calculation 2 2 2 36 3" xfId="21719"/>
    <cellStyle name="Calculation 2 2 2 36 4" xfId="29906"/>
    <cellStyle name="Calculation 2 2 2 36 5" xfId="39252"/>
    <cellStyle name="Calculation 2 2 2 36 6" xfId="43571"/>
    <cellStyle name="Calculation 2 2 2 36 7" xfId="53098"/>
    <cellStyle name="Calculation 2 2 2 37" xfId="5388"/>
    <cellStyle name="Calculation 2 2 2 37 2" xfId="13105"/>
    <cellStyle name="Calculation 2 2 2 37 3" xfId="22098"/>
    <cellStyle name="Calculation 2 2 2 37 4" xfId="30285"/>
    <cellStyle name="Calculation 2 2 2 37 5" xfId="39616"/>
    <cellStyle name="Calculation 2 2 2 37 6" xfId="43950"/>
    <cellStyle name="Calculation 2 2 2 37 7" xfId="52656"/>
    <cellStyle name="Calculation 2 2 2 38" xfId="5508"/>
    <cellStyle name="Calculation 2 2 2 38 2" xfId="13225"/>
    <cellStyle name="Calculation 2 2 2 38 3" xfId="22218"/>
    <cellStyle name="Calculation 2 2 2 38 4" xfId="30405"/>
    <cellStyle name="Calculation 2 2 2 38 5" xfId="39730"/>
    <cellStyle name="Calculation 2 2 2 38 6" xfId="44070"/>
    <cellStyle name="Calculation 2 2 2 38 7" xfId="47849"/>
    <cellStyle name="Calculation 2 2 2 39" xfId="5632"/>
    <cellStyle name="Calculation 2 2 2 39 2" xfId="13349"/>
    <cellStyle name="Calculation 2 2 2 39 3" xfId="22342"/>
    <cellStyle name="Calculation 2 2 2 39 4" xfId="30529"/>
    <cellStyle name="Calculation 2 2 2 39 5" xfId="39850"/>
    <cellStyle name="Calculation 2 2 2 39 6" xfId="44194"/>
    <cellStyle name="Calculation 2 2 2 39 7" xfId="46836"/>
    <cellStyle name="Calculation 2 2 2 4" xfId="899"/>
    <cellStyle name="Calculation 2 2 2 4 2" xfId="8723"/>
    <cellStyle name="Calculation 2 2 2 4 3" xfId="16151"/>
    <cellStyle name="Calculation 2 2 2 4 4" xfId="26583"/>
    <cellStyle name="Calculation 2 2 2 4 5" xfId="35403"/>
    <cellStyle name="Calculation 2 2 2 4 6" xfId="36613"/>
    <cellStyle name="Calculation 2 2 2 4 7" xfId="54242"/>
    <cellStyle name="Calculation 2 2 2 40" xfId="5748"/>
    <cellStyle name="Calculation 2 2 2 40 2" xfId="13465"/>
    <cellStyle name="Calculation 2 2 2 40 3" xfId="22458"/>
    <cellStyle name="Calculation 2 2 2 40 4" xfId="30645"/>
    <cellStyle name="Calculation 2 2 2 40 5" xfId="39962"/>
    <cellStyle name="Calculation 2 2 2 40 6" xfId="44310"/>
    <cellStyle name="Calculation 2 2 2 40 7" xfId="51749"/>
    <cellStyle name="Calculation 2 2 2 41" xfId="5864"/>
    <cellStyle name="Calculation 2 2 2 41 2" xfId="13581"/>
    <cellStyle name="Calculation 2 2 2 41 3" xfId="22574"/>
    <cellStyle name="Calculation 2 2 2 41 4" xfId="30761"/>
    <cellStyle name="Calculation 2 2 2 41 5" xfId="40075"/>
    <cellStyle name="Calculation 2 2 2 41 6" xfId="44426"/>
    <cellStyle name="Calculation 2 2 2 41 7" xfId="53117"/>
    <cellStyle name="Calculation 2 2 2 42" xfId="5993"/>
    <cellStyle name="Calculation 2 2 2 42 2" xfId="13710"/>
    <cellStyle name="Calculation 2 2 2 42 3" xfId="22703"/>
    <cellStyle name="Calculation 2 2 2 42 4" xfId="30890"/>
    <cellStyle name="Calculation 2 2 2 42 5" xfId="40199"/>
    <cellStyle name="Calculation 2 2 2 42 6" xfId="44555"/>
    <cellStyle name="Calculation 2 2 2 42 7" xfId="51583"/>
    <cellStyle name="Calculation 2 2 2 43" xfId="5093"/>
    <cellStyle name="Calculation 2 2 2 43 2" xfId="12810"/>
    <cellStyle name="Calculation 2 2 2 43 3" xfId="21803"/>
    <cellStyle name="Calculation 2 2 2 43 4" xfId="29990"/>
    <cellStyle name="Calculation 2 2 2 43 5" xfId="39332"/>
    <cellStyle name="Calculation 2 2 2 43 6" xfId="43655"/>
    <cellStyle name="Calculation 2 2 2 43 7" xfId="51614"/>
    <cellStyle name="Calculation 2 2 2 44" xfId="6249"/>
    <cellStyle name="Calculation 2 2 2 44 2" xfId="13966"/>
    <cellStyle name="Calculation 2 2 2 44 3" xfId="22959"/>
    <cellStyle name="Calculation 2 2 2 44 4" xfId="31146"/>
    <cellStyle name="Calculation 2 2 2 44 5" xfId="40447"/>
    <cellStyle name="Calculation 2 2 2 44 6" xfId="44811"/>
    <cellStyle name="Calculation 2 2 2 44 7" xfId="50388"/>
    <cellStyle name="Calculation 2 2 2 45" xfId="6365"/>
    <cellStyle name="Calculation 2 2 2 45 2" xfId="14082"/>
    <cellStyle name="Calculation 2 2 2 45 3" xfId="23075"/>
    <cellStyle name="Calculation 2 2 2 45 4" xfId="31262"/>
    <cellStyle name="Calculation 2 2 2 45 5" xfId="40560"/>
    <cellStyle name="Calculation 2 2 2 45 6" xfId="44927"/>
    <cellStyle name="Calculation 2 2 2 45 7" xfId="53487"/>
    <cellStyle name="Calculation 2 2 2 46" xfId="6476"/>
    <cellStyle name="Calculation 2 2 2 46 2" xfId="14193"/>
    <cellStyle name="Calculation 2 2 2 46 3" xfId="23186"/>
    <cellStyle name="Calculation 2 2 2 46 4" xfId="31373"/>
    <cellStyle name="Calculation 2 2 2 46 5" xfId="40667"/>
    <cellStyle name="Calculation 2 2 2 46 6" xfId="45038"/>
    <cellStyle name="Calculation 2 2 2 46 7" xfId="53661"/>
    <cellStyle name="Calculation 2 2 2 47" xfId="6559"/>
    <cellStyle name="Calculation 2 2 2 47 2" xfId="14276"/>
    <cellStyle name="Calculation 2 2 2 47 3" xfId="23269"/>
    <cellStyle name="Calculation 2 2 2 47 4" xfId="31456"/>
    <cellStyle name="Calculation 2 2 2 47 5" xfId="40745"/>
    <cellStyle name="Calculation 2 2 2 47 6" xfId="45121"/>
    <cellStyle name="Calculation 2 2 2 47 7" xfId="51812"/>
    <cellStyle name="Calculation 2 2 2 48" xfId="6622"/>
    <cellStyle name="Calculation 2 2 2 48 2" xfId="14339"/>
    <cellStyle name="Calculation 2 2 2 48 3" xfId="23332"/>
    <cellStyle name="Calculation 2 2 2 48 4" xfId="31519"/>
    <cellStyle name="Calculation 2 2 2 48 5" xfId="40806"/>
    <cellStyle name="Calculation 2 2 2 48 6" xfId="45184"/>
    <cellStyle name="Calculation 2 2 2 48 7" xfId="48659"/>
    <cellStyle name="Calculation 2 2 2 49" xfId="6734"/>
    <cellStyle name="Calculation 2 2 2 49 2" xfId="14451"/>
    <cellStyle name="Calculation 2 2 2 49 3" xfId="23444"/>
    <cellStyle name="Calculation 2 2 2 49 4" xfId="31631"/>
    <cellStyle name="Calculation 2 2 2 49 5" xfId="40912"/>
    <cellStyle name="Calculation 2 2 2 49 6" xfId="45296"/>
    <cellStyle name="Calculation 2 2 2 49 7" xfId="51494"/>
    <cellStyle name="Calculation 2 2 2 5" xfId="1365"/>
    <cellStyle name="Calculation 2 2 2 5 2" xfId="9188"/>
    <cellStyle name="Calculation 2 2 2 5 3" xfId="16616"/>
    <cellStyle name="Calculation 2 2 2 5 4" xfId="26260"/>
    <cellStyle name="Calculation 2 2 2 5 5" xfId="34958"/>
    <cellStyle name="Calculation 2 2 2 5 6" xfId="40272"/>
    <cellStyle name="Calculation 2 2 2 5 7" xfId="53559"/>
    <cellStyle name="Calculation 2 2 2 50" xfId="6849"/>
    <cellStyle name="Calculation 2 2 2 50 2" xfId="14566"/>
    <cellStyle name="Calculation 2 2 2 50 3" xfId="23559"/>
    <cellStyle name="Calculation 2 2 2 50 4" xfId="31746"/>
    <cellStyle name="Calculation 2 2 2 50 5" xfId="41020"/>
    <cellStyle name="Calculation 2 2 2 50 6" xfId="45411"/>
    <cellStyle name="Calculation 2 2 2 50 7" xfId="50074"/>
    <cellStyle name="Calculation 2 2 2 51" xfId="6962"/>
    <cellStyle name="Calculation 2 2 2 51 2" xfId="14679"/>
    <cellStyle name="Calculation 2 2 2 51 3" xfId="23672"/>
    <cellStyle name="Calculation 2 2 2 51 4" xfId="31859"/>
    <cellStyle name="Calculation 2 2 2 51 5" xfId="41128"/>
    <cellStyle name="Calculation 2 2 2 51 6" xfId="45524"/>
    <cellStyle name="Calculation 2 2 2 51 7" xfId="46788"/>
    <cellStyle name="Calculation 2 2 2 52" xfId="7073"/>
    <cellStyle name="Calculation 2 2 2 52 2" xfId="14790"/>
    <cellStyle name="Calculation 2 2 2 52 3" xfId="23783"/>
    <cellStyle name="Calculation 2 2 2 52 4" xfId="31970"/>
    <cellStyle name="Calculation 2 2 2 52 5" xfId="41233"/>
    <cellStyle name="Calculation 2 2 2 52 6" xfId="45635"/>
    <cellStyle name="Calculation 2 2 2 52 7" xfId="52111"/>
    <cellStyle name="Calculation 2 2 2 53" xfId="7345"/>
    <cellStyle name="Calculation 2 2 2 53 2" xfId="15062"/>
    <cellStyle name="Calculation 2 2 2 53 3" xfId="24055"/>
    <cellStyle name="Calculation 2 2 2 53 4" xfId="32242"/>
    <cellStyle name="Calculation 2 2 2 53 5" xfId="41498"/>
    <cellStyle name="Calculation 2 2 2 53 6" xfId="45907"/>
    <cellStyle name="Calculation 2 2 2 53 7" xfId="52034"/>
    <cellStyle name="Calculation 2 2 2 54" xfId="7223"/>
    <cellStyle name="Calculation 2 2 2 54 2" xfId="14940"/>
    <cellStyle name="Calculation 2 2 2 54 3" xfId="23933"/>
    <cellStyle name="Calculation 2 2 2 54 4" xfId="32120"/>
    <cellStyle name="Calculation 2 2 2 54 5" xfId="41378"/>
    <cellStyle name="Calculation 2 2 2 54 6" xfId="45785"/>
    <cellStyle name="Calculation 2 2 2 54 7" xfId="48810"/>
    <cellStyle name="Calculation 2 2 2 55" xfId="7470"/>
    <cellStyle name="Calculation 2 2 2 55 2" xfId="15187"/>
    <cellStyle name="Calculation 2 2 2 55 3" xfId="24180"/>
    <cellStyle name="Calculation 2 2 2 55 4" xfId="32367"/>
    <cellStyle name="Calculation 2 2 2 55 5" xfId="41616"/>
    <cellStyle name="Calculation 2 2 2 55 6" xfId="46032"/>
    <cellStyle name="Calculation 2 2 2 55 7" xfId="53377"/>
    <cellStyle name="Calculation 2 2 2 56" xfId="7591"/>
    <cellStyle name="Calculation 2 2 2 56 2" xfId="15308"/>
    <cellStyle name="Calculation 2 2 2 56 3" xfId="24301"/>
    <cellStyle name="Calculation 2 2 2 56 4" xfId="32488"/>
    <cellStyle name="Calculation 2 2 2 56 5" xfId="41731"/>
    <cellStyle name="Calculation 2 2 2 56 6" xfId="46153"/>
    <cellStyle name="Calculation 2 2 2 56 7" xfId="48329"/>
    <cellStyle name="Calculation 2 2 2 57" xfId="7867"/>
    <cellStyle name="Calculation 2 2 2 57 2" xfId="15584"/>
    <cellStyle name="Calculation 2 2 2 57 3" xfId="24571"/>
    <cellStyle name="Calculation 2 2 2 57 4" xfId="32764"/>
    <cellStyle name="Calculation 2 2 2 57 5" xfId="41996"/>
    <cellStyle name="Calculation 2 2 2 57 6" xfId="46429"/>
    <cellStyle name="Calculation 2 2 2 57 7" xfId="49189"/>
    <cellStyle name="Calculation 2 2 2 58" xfId="7999"/>
    <cellStyle name="Calculation 2 2 2 58 2" xfId="15716"/>
    <cellStyle name="Calculation 2 2 2 58 3" xfId="24701"/>
    <cellStyle name="Calculation 2 2 2 58 4" xfId="32896"/>
    <cellStyle name="Calculation 2 2 2 58 5" xfId="42122"/>
    <cellStyle name="Calculation 2 2 2 58 6" xfId="46561"/>
    <cellStyle name="Calculation 2 2 2 58 7" xfId="50003"/>
    <cellStyle name="Calculation 2 2 2 59" xfId="8079"/>
    <cellStyle name="Calculation 2 2 2 59 2" xfId="15796"/>
    <cellStyle name="Calculation 2 2 2 59 3" xfId="24780"/>
    <cellStyle name="Calculation 2 2 2 59 4" xfId="32976"/>
    <cellStyle name="Calculation 2 2 2 59 5" xfId="42198"/>
    <cellStyle name="Calculation 2 2 2 59 6" xfId="46641"/>
    <cellStyle name="Calculation 2 2 2 59 7" xfId="48479"/>
    <cellStyle name="Calculation 2 2 2 6" xfId="1488"/>
    <cellStyle name="Calculation 2 2 2 6 2" xfId="9311"/>
    <cellStyle name="Calculation 2 2 2 6 3" xfId="16739"/>
    <cellStyle name="Calculation 2 2 2 6 4" xfId="26268"/>
    <cellStyle name="Calculation 2 2 2 6 5" xfId="34966"/>
    <cellStyle name="Calculation 2 2 2 6 6" xfId="36972"/>
    <cellStyle name="Calculation 2 2 2 6 7" xfId="53575"/>
    <cellStyle name="Calculation 2 2 2 60" xfId="8143"/>
    <cellStyle name="Calculation 2 2 2 60 2" xfId="15860"/>
    <cellStyle name="Calculation 2 2 2 60 3" xfId="33040"/>
    <cellStyle name="Calculation 2 2 2 60 4" xfId="42260"/>
    <cellStyle name="Calculation 2 2 2 60 5" xfId="46705"/>
    <cellStyle name="Calculation 2 2 2 60 6" xfId="49431"/>
    <cellStyle name="Calculation 2 2 2 61" xfId="20170"/>
    <cellStyle name="Calculation 2 2 2 62" xfId="27057"/>
    <cellStyle name="Calculation 2 2 2 63" xfId="36630"/>
    <cellStyle name="Calculation 2 2 2 64" xfId="48307"/>
    <cellStyle name="Calculation 2 2 2 7" xfId="1619"/>
    <cellStyle name="Calculation 2 2 2 7 2" xfId="9442"/>
    <cellStyle name="Calculation 2 2 2 7 3" xfId="16870"/>
    <cellStyle name="Calculation 2 2 2 7 4" xfId="25403"/>
    <cellStyle name="Calculation 2 2 2 7 5" xfId="33858"/>
    <cellStyle name="Calculation 2 2 2 7 6" xfId="37202"/>
    <cellStyle name="Calculation 2 2 2 7 7" xfId="51652"/>
    <cellStyle name="Calculation 2 2 2 8" xfId="1725"/>
    <cellStyle name="Calculation 2 2 2 8 2" xfId="9548"/>
    <cellStyle name="Calculation 2 2 2 8 3" xfId="16976"/>
    <cellStyle name="Calculation 2 2 2 8 4" xfId="25510"/>
    <cellStyle name="Calculation 2 2 2 8 5" xfId="33988"/>
    <cellStyle name="Calculation 2 2 2 8 6" xfId="41876"/>
    <cellStyle name="Calculation 2 2 2 8 7" xfId="51894"/>
    <cellStyle name="Calculation 2 2 2 9" xfId="1859"/>
    <cellStyle name="Calculation 2 2 2 9 2" xfId="9682"/>
    <cellStyle name="Calculation 2 2 2 9 3" xfId="17110"/>
    <cellStyle name="Calculation 2 2 2 9 4" xfId="25756"/>
    <cellStyle name="Calculation 2 2 2 9 5" xfId="34309"/>
    <cellStyle name="Calculation 2 2 2 9 6" xfId="41398"/>
    <cellStyle name="Calculation 2 2 2 9 7" xfId="52443"/>
    <cellStyle name="Calculation 2 2 20" xfId="2157"/>
    <cellStyle name="Calculation 2 2 20 2" xfId="9980"/>
    <cellStyle name="Calculation 2 2 20 3" xfId="17408"/>
    <cellStyle name="Calculation 2 2 20 4" xfId="19052"/>
    <cellStyle name="Calculation 2 2 20 5" xfId="26928"/>
    <cellStyle name="Calculation 2 2 20 6" xfId="41711"/>
    <cellStyle name="Calculation 2 2 20 7" xfId="49127"/>
    <cellStyle name="Calculation 2 2 21" xfId="1807"/>
    <cellStyle name="Calculation 2 2 21 2" xfId="9630"/>
    <cellStyle name="Calculation 2 2 21 3" xfId="17058"/>
    <cellStyle name="Calculation 2 2 21 4" xfId="19057"/>
    <cellStyle name="Calculation 2 2 21 5" xfId="33169"/>
    <cellStyle name="Calculation 2 2 21 6" xfId="40354"/>
    <cellStyle name="Calculation 2 2 21 7" xfId="50474"/>
    <cellStyle name="Calculation 2 2 22" xfId="2402"/>
    <cellStyle name="Calculation 2 2 22 2" xfId="10225"/>
    <cellStyle name="Calculation 2 2 22 3" xfId="17653"/>
    <cellStyle name="Calculation 2 2 22 4" xfId="26399"/>
    <cellStyle name="Calculation 2 2 22 5" xfId="35151"/>
    <cellStyle name="Calculation 2 2 22 6" xfId="39722"/>
    <cellStyle name="Calculation 2 2 22 7" xfId="53848"/>
    <cellStyle name="Calculation 2 2 23" xfId="2439"/>
    <cellStyle name="Calculation 2 2 23 2" xfId="10262"/>
    <cellStyle name="Calculation 2 2 23 3" xfId="17690"/>
    <cellStyle name="Calculation 2 2 23 4" xfId="19107"/>
    <cellStyle name="Calculation 2 2 23 5" xfId="27350"/>
    <cellStyle name="Calculation 2 2 23 6" xfId="41486"/>
    <cellStyle name="Calculation 2 2 23 7" xfId="49922"/>
    <cellStyle name="Calculation 2 2 24" xfId="2359"/>
    <cellStyle name="Calculation 2 2 24 2" xfId="10182"/>
    <cellStyle name="Calculation 2 2 24 3" xfId="17610"/>
    <cellStyle name="Calculation 2 2 24 4" xfId="25011"/>
    <cellStyle name="Calculation 2 2 24 5" xfId="33363"/>
    <cellStyle name="Calculation 2 2 24 6" xfId="37581"/>
    <cellStyle name="Calculation 2 2 24 7" xfId="50819"/>
    <cellStyle name="Calculation 2 2 25" xfId="2376"/>
    <cellStyle name="Calculation 2 2 25 2" xfId="10199"/>
    <cellStyle name="Calculation 2 2 25 3" xfId="17627"/>
    <cellStyle name="Calculation 2 2 25 4" xfId="19851"/>
    <cellStyle name="Calculation 2 2 25 5" xfId="26948"/>
    <cellStyle name="Calculation 2 2 25 6" xfId="41881"/>
    <cellStyle name="Calculation 2 2 25 7" xfId="49084"/>
    <cellStyle name="Calculation 2 2 26" xfId="3106"/>
    <cellStyle name="Calculation 2 2 26 2" xfId="10911"/>
    <cellStyle name="Calculation 2 2 26 3" xfId="18292"/>
    <cellStyle name="Calculation 2 2 26 4" xfId="20662"/>
    <cellStyle name="Calculation 2 2 26 5" xfId="27723"/>
    <cellStyle name="Calculation 2 2 26 6" xfId="41943"/>
    <cellStyle name="Calculation 2 2 26 7" xfId="50019"/>
    <cellStyle name="Calculation 2 2 27" xfId="3100"/>
    <cellStyle name="Calculation 2 2 27 2" xfId="10905"/>
    <cellStyle name="Calculation 2 2 27 3" xfId="18287"/>
    <cellStyle name="Calculation 2 2 27 4" xfId="24906"/>
    <cellStyle name="Calculation 2 2 27 5" xfId="33228"/>
    <cellStyle name="Calculation 2 2 27 6" xfId="37304"/>
    <cellStyle name="Calculation 2 2 27 7" xfId="50577"/>
    <cellStyle name="Calculation 2 2 28" xfId="3358"/>
    <cellStyle name="Calculation 2 2 28 2" xfId="11151"/>
    <cellStyle name="Calculation 2 2 28 3" xfId="18477"/>
    <cellStyle name="Calculation 2 2 28 4" xfId="26603"/>
    <cellStyle name="Calculation 2 2 28 5" xfId="35430"/>
    <cellStyle name="Calculation 2 2 28 6" xfId="41155"/>
    <cellStyle name="Calculation 2 2 28 7" xfId="54292"/>
    <cellStyle name="Calculation 2 2 29" xfId="3198"/>
    <cellStyle name="Calculation 2 2 29 2" xfId="10998"/>
    <cellStyle name="Calculation 2 2 29 3" xfId="18347"/>
    <cellStyle name="Calculation 2 2 29 4" xfId="19994"/>
    <cellStyle name="Calculation 2 2 29 5" xfId="27523"/>
    <cellStyle name="Calculation 2 2 29 6" xfId="37007"/>
    <cellStyle name="Calculation 2 2 29 7" xfId="49447"/>
    <cellStyle name="Calculation 2 2 3" xfId="482"/>
    <cellStyle name="Calculation 2 2 3 10" xfId="1929"/>
    <cellStyle name="Calculation 2 2 3 10 2" xfId="9752"/>
    <cellStyle name="Calculation 2 2 3 10 3" xfId="17180"/>
    <cellStyle name="Calculation 2 2 3 10 4" xfId="26438"/>
    <cellStyle name="Calculation 2 2 3 10 5" xfId="35207"/>
    <cellStyle name="Calculation 2 2 3 10 6" xfId="37010"/>
    <cellStyle name="Calculation 2 2 3 10 7" xfId="53931"/>
    <cellStyle name="Calculation 2 2 3 11" xfId="2047"/>
    <cellStyle name="Calculation 2 2 3 11 2" xfId="9870"/>
    <cellStyle name="Calculation 2 2 3 11 3" xfId="17298"/>
    <cellStyle name="Calculation 2 2 3 11 4" xfId="26634"/>
    <cellStyle name="Calculation 2 2 3 11 5" xfId="35469"/>
    <cellStyle name="Calculation 2 2 3 11 6" xfId="38130"/>
    <cellStyle name="Calculation 2 2 3 11 7" xfId="54353"/>
    <cellStyle name="Calculation 2 2 3 12" xfId="2160"/>
    <cellStyle name="Calculation 2 2 3 12 2" xfId="9983"/>
    <cellStyle name="Calculation 2 2 3 12 3" xfId="17411"/>
    <cellStyle name="Calculation 2 2 3 12 4" xfId="19504"/>
    <cellStyle name="Calculation 2 2 3 12 5" xfId="27659"/>
    <cellStyle name="Calculation 2 2 3 12 6" xfId="41461"/>
    <cellStyle name="Calculation 2 2 3 12 7" xfId="48842"/>
    <cellStyle name="Calculation 2 2 3 13" xfId="1806"/>
    <cellStyle name="Calculation 2 2 3 13 2" xfId="9629"/>
    <cellStyle name="Calculation 2 2 3 13 3" xfId="17057"/>
    <cellStyle name="Calculation 2 2 3 13 4" xfId="24897"/>
    <cellStyle name="Calculation 2 2 3 13 5" xfId="33213"/>
    <cellStyle name="Calculation 2 2 3 13 6" xfId="40482"/>
    <cellStyle name="Calculation 2 2 3 13 7" xfId="50555"/>
    <cellStyle name="Calculation 2 2 3 14" xfId="978"/>
    <cellStyle name="Calculation 2 2 3 14 2" xfId="8802"/>
    <cellStyle name="Calculation 2 2 3 14 3" xfId="16230"/>
    <cellStyle name="Calculation 2 2 3 14 4" xfId="26049"/>
    <cellStyle name="Calculation 2 2 3 14 5" xfId="34689"/>
    <cellStyle name="Calculation 2 2 3 14 6" xfId="37414"/>
    <cellStyle name="Calculation 2 2 3 14 7" xfId="53103"/>
    <cellStyle name="Calculation 2 2 3 15" xfId="2458"/>
    <cellStyle name="Calculation 2 2 3 15 2" xfId="10281"/>
    <cellStyle name="Calculation 2 2 3 15 3" xfId="17709"/>
    <cellStyle name="Calculation 2 2 3 15 4" xfId="19239"/>
    <cellStyle name="Calculation 2 2 3 15 5" xfId="27191"/>
    <cellStyle name="Calculation 2 2 3 15 6" xfId="40802"/>
    <cellStyle name="Calculation 2 2 3 15 7" xfId="47889"/>
    <cellStyle name="Calculation 2 2 3 16" xfId="2571"/>
    <cellStyle name="Calculation 2 2 3 16 2" xfId="10394"/>
    <cellStyle name="Calculation 2 2 3 16 3" xfId="17822"/>
    <cellStyle name="Calculation 2 2 3 16 4" xfId="25864"/>
    <cellStyle name="Calculation 2 2 3 16 5" xfId="34452"/>
    <cellStyle name="Calculation 2 2 3 16 6" xfId="38121"/>
    <cellStyle name="Calculation 2 2 3 16 7" xfId="52700"/>
    <cellStyle name="Calculation 2 2 3 17" xfId="1136"/>
    <cellStyle name="Calculation 2 2 3 17 2" xfId="8959"/>
    <cellStyle name="Calculation 2 2 3 17 3" xfId="16387"/>
    <cellStyle name="Calculation 2 2 3 17 4" xfId="25125"/>
    <cellStyle name="Calculation 2 2 3 17 5" xfId="33498"/>
    <cellStyle name="Calculation 2 2 3 17 6" xfId="41343"/>
    <cellStyle name="Calculation 2 2 3 17 7" xfId="51066"/>
    <cellStyle name="Calculation 2 2 3 18" xfId="1610"/>
    <cellStyle name="Calculation 2 2 3 18 2" xfId="9433"/>
    <cellStyle name="Calculation 2 2 3 18 3" xfId="16861"/>
    <cellStyle name="Calculation 2 2 3 18 4" xfId="19256"/>
    <cellStyle name="Calculation 2 2 3 18 5" xfId="28858"/>
    <cellStyle name="Calculation 2 2 3 18 6" xfId="37589"/>
    <cellStyle name="Calculation 2 2 3 18 7" xfId="48275"/>
    <cellStyle name="Calculation 2 2 3 19" xfId="2765"/>
    <cellStyle name="Calculation 2 2 3 19 2" xfId="10588"/>
    <cellStyle name="Calculation 2 2 3 19 3" xfId="18016"/>
    <cellStyle name="Calculation 2 2 3 19 4" xfId="26299"/>
    <cellStyle name="Calculation 2 2 3 19 5" xfId="35015"/>
    <cellStyle name="Calculation 2 2 3 19 6" xfId="40692"/>
    <cellStyle name="Calculation 2 2 3 19 7" xfId="53641"/>
    <cellStyle name="Calculation 2 2 3 2" xfId="633"/>
    <cellStyle name="Calculation 2 2 3 2 2" xfId="8457"/>
    <cellStyle name="Calculation 2 2 3 2 3" xfId="8301"/>
    <cellStyle name="Calculation 2 2 3 2 4" xfId="26673"/>
    <cellStyle name="Calculation 2 2 3 2 5" xfId="35520"/>
    <cellStyle name="Calculation 2 2 3 2 6" xfId="37051"/>
    <cellStyle name="Calculation 2 2 3 2 7" xfId="54441"/>
    <cellStyle name="Calculation 2 2 3 20" xfId="2872"/>
    <cellStyle name="Calculation 2 2 3 20 2" xfId="10695"/>
    <cellStyle name="Calculation 2 2 3 20 3" xfId="18123"/>
    <cellStyle name="Calculation 2 2 3 20 4" xfId="25275"/>
    <cellStyle name="Calculation 2 2 3 20 5" xfId="33687"/>
    <cellStyle name="Calculation 2 2 3 20 6" xfId="37342"/>
    <cellStyle name="Calculation 2 2 3 20 7" xfId="51382"/>
    <cellStyle name="Calculation 2 2 3 21" xfId="3248"/>
    <cellStyle name="Calculation 2 2 3 21 2" xfId="11041"/>
    <cellStyle name="Calculation 2 2 3 21 3" xfId="18370"/>
    <cellStyle name="Calculation 2 2 3 21 4" xfId="24998"/>
    <cellStyle name="Calculation 2 2 3 21 5" xfId="33348"/>
    <cellStyle name="Calculation 2 2 3 21 6" xfId="37584"/>
    <cellStyle name="Calculation 2 2 3 21 7" xfId="50788"/>
    <cellStyle name="Calculation 2 2 3 22" xfId="3368"/>
    <cellStyle name="Calculation 2 2 3 22 2" xfId="11159"/>
    <cellStyle name="Calculation 2 2 3 22 3" xfId="18481"/>
    <cellStyle name="Calculation 2 2 3 22 4" xfId="26149"/>
    <cellStyle name="Calculation 2 2 3 22 5" xfId="34816"/>
    <cellStyle name="Calculation 2 2 3 22 6" xfId="40314"/>
    <cellStyle name="Calculation 2 2 3 22 7" xfId="53316"/>
    <cellStyle name="Calculation 2 2 3 23" xfId="3519"/>
    <cellStyle name="Calculation 2 2 3 23 2" xfId="11310"/>
    <cellStyle name="Calculation 2 2 3 23 3" xfId="18607"/>
    <cellStyle name="Calculation 2 2 3 23 4" xfId="25525"/>
    <cellStyle name="Calculation 2 2 3 23 5" xfId="34007"/>
    <cellStyle name="Calculation 2 2 3 23 6" xfId="41172"/>
    <cellStyle name="Calculation 2 2 3 23 7" xfId="51928"/>
    <cellStyle name="Calculation 2 2 3 24" xfId="3638"/>
    <cellStyle name="Calculation 2 2 3 24 2" xfId="11423"/>
    <cellStyle name="Calculation 2 2 3 24 3" xfId="18696"/>
    <cellStyle name="Calculation 2 2 3 24 4" xfId="19444"/>
    <cellStyle name="Calculation 2 2 3 24 5" xfId="26829"/>
    <cellStyle name="Calculation 2 2 3 24 6" xfId="36953"/>
    <cellStyle name="Calculation 2 2 3 24 7" xfId="49762"/>
    <cellStyle name="Calculation 2 2 3 25" xfId="3769"/>
    <cellStyle name="Calculation 2 2 3 25 2" xfId="11551"/>
    <cellStyle name="Calculation 2 2 3 25 3" xfId="18808"/>
    <cellStyle name="Calculation 2 2 3 25 4" xfId="25171"/>
    <cellStyle name="Calculation 2 2 3 25 5" xfId="33552"/>
    <cellStyle name="Calculation 2 2 3 25 6" xfId="37994"/>
    <cellStyle name="Calculation 2 2 3 25 7" xfId="51159"/>
    <cellStyle name="Calculation 2 2 3 26" xfId="3886"/>
    <cellStyle name="Calculation 2 2 3 26 2" xfId="11666"/>
    <cellStyle name="Calculation 2 2 3 26 3" xfId="18917"/>
    <cellStyle name="Calculation 2 2 3 26 4" xfId="25952"/>
    <cellStyle name="Calculation 2 2 3 26 5" xfId="34557"/>
    <cellStyle name="Calculation 2 2 3 26 6" xfId="36752"/>
    <cellStyle name="Calculation 2 2 3 26 7" xfId="52889"/>
    <cellStyle name="Calculation 2 2 3 27" xfId="3055"/>
    <cellStyle name="Calculation 2 2 3 27 2" xfId="10866"/>
    <cellStyle name="Calculation 2 2 3 27 3" xfId="20221"/>
    <cellStyle name="Calculation 2 2 3 27 4" xfId="28313"/>
    <cellStyle name="Calculation 2 2 3 27 5" xfId="37693"/>
    <cellStyle name="Calculation 2 2 3 27 6" xfId="42378"/>
    <cellStyle name="Calculation 2 2 3 27 7" xfId="48989"/>
    <cellStyle name="Calculation 2 2 3 28" xfId="4083"/>
    <cellStyle name="Calculation 2 2 3 28 2" xfId="11843"/>
    <cellStyle name="Calculation 2 2 3 28 3" xfId="20793"/>
    <cellStyle name="Calculation 2 2 3 28 4" xfId="28980"/>
    <cellStyle name="Calculation 2 2 3 28 5" xfId="38359"/>
    <cellStyle name="Calculation 2 2 3 28 6" xfId="42645"/>
    <cellStyle name="Calculation 2 2 3 28 7" xfId="48914"/>
    <cellStyle name="Calculation 2 2 3 29" xfId="3014"/>
    <cellStyle name="Calculation 2 2 3 29 2" xfId="20188"/>
    <cellStyle name="Calculation 2 2 3 29 3" xfId="28278"/>
    <cellStyle name="Calculation 2 2 3 29 4" xfId="37659"/>
    <cellStyle name="Calculation 2 2 3 29 5" xfId="42353"/>
    <cellStyle name="Calculation 2 2 3 29 6" xfId="47595"/>
    <cellStyle name="Calculation 2 2 3 3" xfId="740"/>
    <cellStyle name="Calculation 2 2 3 3 2" xfId="8564"/>
    <cellStyle name="Calculation 2 2 3 3 3" xfId="15992"/>
    <cellStyle name="Calculation 2 2 3 3 4" xfId="20431"/>
    <cellStyle name="Calculation 2 2 3 3 5" xfId="26991"/>
    <cellStyle name="Calculation 2 2 3 3 6" xfId="37043"/>
    <cellStyle name="Calculation 2 2 3 3 7" xfId="48921"/>
    <cellStyle name="Calculation 2 2 3 30" xfId="4280"/>
    <cellStyle name="Calculation 2 2 3 30 2" xfId="11997"/>
    <cellStyle name="Calculation 2 2 3 30 3" xfId="20990"/>
    <cellStyle name="Calculation 2 2 3 30 4" xfId="29177"/>
    <cellStyle name="Calculation 2 2 3 30 5" xfId="38550"/>
    <cellStyle name="Calculation 2 2 3 30 6" xfId="42842"/>
    <cellStyle name="Calculation 2 2 3 30 7" xfId="51000"/>
    <cellStyle name="Calculation 2 2 3 31" xfId="4403"/>
    <cellStyle name="Calculation 2 2 3 31 2" xfId="12120"/>
    <cellStyle name="Calculation 2 2 3 31 3" xfId="21113"/>
    <cellStyle name="Calculation 2 2 3 31 4" xfId="29300"/>
    <cellStyle name="Calculation 2 2 3 31 5" xfId="38670"/>
    <cellStyle name="Calculation 2 2 3 31 6" xfId="42965"/>
    <cellStyle name="Calculation 2 2 3 31 7" xfId="48654"/>
    <cellStyle name="Calculation 2 2 3 32" xfId="4517"/>
    <cellStyle name="Calculation 2 2 3 32 2" xfId="12234"/>
    <cellStyle name="Calculation 2 2 3 32 3" xfId="21227"/>
    <cellStyle name="Calculation 2 2 3 32 4" xfId="29414"/>
    <cellStyle name="Calculation 2 2 3 32 5" xfId="38778"/>
    <cellStyle name="Calculation 2 2 3 32 6" xfId="43079"/>
    <cellStyle name="Calculation 2 2 3 32 7" xfId="49880"/>
    <cellStyle name="Calculation 2 2 3 33" xfId="4630"/>
    <cellStyle name="Calculation 2 2 3 33 2" xfId="12347"/>
    <cellStyle name="Calculation 2 2 3 33 3" xfId="21340"/>
    <cellStyle name="Calculation 2 2 3 33 4" xfId="29527"/>
    <cellStyle name="Calculation 2 2 3 33 5" xfId="38886"/>
    <cellStyle name="Calculation 2 2 3 33 6" xfId="43192"/>
    <cellStyle name="Calculation 2 2 3 33 7" xfId="48140"/>
    <cellStyle name="Calculation 2 2 3 34" xfId="4742"/>
    <cellStyle name="Calculation 2 2 3 34 2" xfId="12459"/>
    <cellStyle name="Calculation 2 2 3 34 3" xfId="21452"/>
    <cellStyle name="Calculation 2 2 3 34 4" xfId="29639"/>
    <cellStyle name="Calculation 2 2 3 34 5" xfId="38994"/>
    <cellStyle name="Calculation 2 2 3 34 6" xfId="43304"/>
    <cellStyle name="Calculation 2 2 3 34 7" xfId="50181"/>
    <cellStyle name="Calculation 2 2 3 35" xfId="4850"/>
    <cellStyle name="Calculation 2 2 3 35 2" xfId="12567"/>
    <cellStyle name="Calculation 2 2 3 35 3" xfId="21560"/>
    <cellStyle name="Calculation 2 2 3 35 4" xfId="29747"/>
    <cellStyle name="Calculation 2 2 3 35 5" xfId="39098"/>
    <cellStyle name="Calculation 2 2 3 35 6" xfId="43412"/>
    <cellStyle name="Calculation 2 2 3 35 7" xfId="54204"/>
    <cellStyle name="Calculation 2 2 3 36" xfId="4962"/>
    <cellStyle name="Calculation 2 2 3 36 2" xfId="12679"/>
    <cellStyle name="Calculation 2 2 3 36 3" xfId="21672"/>
    <cellStyle name="Calculation 2 2 3 36 4" xfId="29859"/>
    <cellStyle name="Calculation 2 2 3 36 5" xfId="39206"/>
    <cellStyle name="Calculation 2 2 3 36 6" xfId="43524"/>
    <cellStyle name="Calculation 2 2 3 36 7" xfId="51559"/>
    <cellStyle name="Calculation 2 2 3 37" xfId="5151"/>
    <cellStyle name="Calculation 2 2 3 37 2" xfId="12868"/>
    <cellStyle name="Calculation 2 2 3 37 3" xfId="21861"/>
    <cellStyle name="Calculation 2 2 3 37 4" xfId="30048"/>
    <cellStyle name="Calculation 2 2 3 37 5" xfId="39387"/>
    <cellStyle name="Calculation 2 2 3 37 6" xfId="43713"/>
    <cellStyle name="Calculation 2 2 3 37 7" xfId="54036"/>
    <cellStyle name="Calculation 2 2 3 38" xfId="5460"/>
    <cellStyle name="Calculation 2 2 3 38 2" xfId="13177"/>
    <cellStyle name="Calculation 2 2 3 38 3" xfId="22170"/>
    <cellStyle name="Calculation 2 2 3 38 4" xfId="30357"/>
    <cellStyle name="Calculation 2 2 3 38 5" xfId="39685"/>
    <cellStyle name="Calculation 2 2 3 38 6" xfId="44022"/>
    <cellStyle name="Calculation 2 2 3 38 7" xfId="52798"/>
    <cellStyle name="Calculation 2 2 3 39" xfId="5585"/>
    <cellStyle name="Calculation 2 2 3 39 2" xfId="13302"/>
    <cellStyle name="Calculation 2 2 3 39 3" xfId="22295"/>
    <cellStyle name="Calculation 2 2 3 39 4" xfId="30482"/>
    <cellStyle name="Calculation 2 2 3 39 5" xfId="39804"/>
    <cellStyle name="Calculation 2 2 3 39 6" xfId="44147"/>
    <cellStyle name="Calculation 2 2 3 39 7" xfId="47147"/>
    <cellStyle name="Calculation 2 2 3 4" xfId="852"/>
    <cellStyle name="Calculation 2 2 3 4 2" xfId="8676"/>
    <cellStyle name="Calculation 2 2 3 4 3" xfId="16104"/>
    <cellStyle name="Calculation 2 2 3 4 4" xfId="24949"/>
    <cellStyle name="Calculation 2 2 3 4 5" xfId="33285"/>
    <cellStyle name="Calculation 2 2 3 4 6" xfId="37026"/>
    <cellStyle name="Calculation 2 2 3 4 7" xfId="50671"/>
    <cellStyle name="Calculation 2 2 3 40" xfId="5700"/>
    <cellStyle name="Calculation 2 2 3 40 2" xfId="13417"/>
    <cellStyle name="Calculation 2 2 3 40 3" xfId="22410"/>
    <cellStyle name="Calculation 2 2 3 40 4" xfId="30597"/>
    <cellStyle name="Calculation 2 2 3 40 5" xfId="39915"/>
    <cellStyle name="Calculation 2 2 3 40 6" xfId="44262"/>
    <cellStyle name="Calculation 2 2 3 40 7" xfId="47080"/>
    <cellStyle name="Calculation 2 2 3 41" xfId="5817"/>
    <cellStyle name="Calculation 2 2 3 41 2" xfId="13534"/>
    <cellStyle name="Calculation 2 2 3 41 3" xfId="22527"/>
    <cellStyle name="Calculation 2 2 3 41 4" xfId="30714"/>
    <cellStyle name="Calculation 2 2 3 41 5" xfId="40029"/>
    <cellStyle name="Calculation 2 2 3 41 6" xfId="44379"/>
    <cellStyle name="Calculation 2 2 3 41 7" xfId="51449"/>
    <cellStyle name="Calculation 2 2 3 42" xfId="5945"/>
    <cellStyle name="Calculation 2 2 3 42 2" xfId="13662"/>
    <cellStyle name="Calculation 2 2 3 42 3" xfId="22655"/>
    <cellStyle name="Calculation 2 2 3 42 4" xfId="30842"/>
    <cellStyle name="Calculation 2 2 3 42 5" xfId="40153"/>
    <cellStyle name="Calculation 2 2 3 42 6" xfId="44507"/>
    <cellStyle name="Calculation 2 2 3 42 7" xfId="51784"/>
    <cellStyle name="Calculation 2 2 3 43" xfId="6116"/>
    <cellStyle name="Calculation 2 2 3 43 2" xfId="13833"/>
    <cellStyle name="Calculation 2 2 3 43 3" xfId="22826"/>
    <cellStyle name="Calculation 2 2 3 43 4" xfId="31013"/>
    <cellStyle name="Calculation 2 2 3 43 5" xfId="40315"/>
    <cellStyle name="Calculation 2 2 3 43 6" xfId="44678"/>
    <cellStyle name="Calculation 2 2 3 43 7" xfId="49443"/>
    <cellStyle name="Calculation 2 2 3 44" xfId="6201"/>
    <cellStyle name="Calculation 2 2 3 44 2" xfId="13918"/>
    <cellStyle name="Calculation 2 2 3 44 3" xfId="22911"/>
    <cellStyle name="Calculation 2 2 3 44 4" xfId="31098"/>
    <cellStyle name="Calculation 2 2 3 44 5" xfId="40399"/>
    <cellStyle name="Calculation 2 2 3 44 6" xfId="44763"/>
    <cellStyle name="Calculation 2 2 3 44 7" xfId="48985"/>
    <cellStyle name="Calculation 2 2 3 45" xfId="6318"/>
    <cellStyle name="Calculation 2 2 3 45 2" xfId="14035"/>
    <cellStyle name="Calculation 2 2 3 45 3" xfId="23028"/>
    <cellStyle name="Calculation 2 2 3 45 4" xfId="31215"/>
    <cellStyle name="Calculation 2 2 3 45 5" xfId="40515"/>
    <cellStyle name="Calculation 2 2 3 45 6" xfId="44880"/>
    <cellStyle name="Calculation 2 2 3 45 7" xfId="52256"/>
    <cellStyle name="Calculation 2 2 3 46" xfId="6428"/>
    <cellStyle name="Calculation 2 2 3 46 2" xfId="14145"/>
    <cellStyle name="Calculation 2 2 3 46 3" xfId="23138"/>
    <cellStyle name="Calculation 2 2 3 46 4" xfId="31325"/>
    <cellStyle name="Calculation 2 2 3 46 5" xfId="40620"/>
    <cellStyle name="Calculation 2 2 3 46 6" xfId="44990"/>
    <cellStyle name="Calculation 2 2 3 46 7" xfId="53329"/>
    <cellStyle name="Calculation 2 2 3 47" xfId="5259"/>
    <cellStyle name="Calculation 2 2 3 47 2" xfId="12976"/>
    <cellStyle name="Calculation 2 2 3 47 3" xfId="21969"/>
    <cellStyle name="Calculation 2 2 3 47 4" xfId="30156"/>
    <cellStyle name="Calculation 2 2 3 47 5" xfId="39491"/>
    <cellStyle name="Calculation 2 2 3 47 6" xfId="43821"/>
    <cellStyle name="Calculation 2 2 3 47 7" xfId="49702"/>
    <cellStyle name="Calculation 2 2 3 48" xfId="6575"/>
    <cellStyle name="Calculation 2 2 3 48 2" xfId="14292"/>
    <cellStyle name="Calculation 2 2 3 48 3" xfId="23285"/>
    <cellStyle name="Calculation 2 2 3 48 4" xfId="31472"/>
    <cellStyle name="Calculation 2 2 3 48 5" xfId="40760"/>
    <cellStyle name="Calculation 2 2 3 48 6" xfId="45137"/>
    <cellStyle name="Calculation 2 2 3 48 7" xfId="53558"/>
    <cellStyle name="Calculation 2 2 3 49" xfId="6686"/>
    <cellStyle name="Calculation 2 2 3 49 2" xfId="14403"/>
    <cellStyle name="Calculation 2 2 3 49 3" xfId="23396"/>
    <cellStyle name="Calculation 2 2 3 49 4" xfId="31583"/>
    <cellStyle name="Calculation 2 2 3 49 5" xfId="40867"/>
    <cellStyle name="Calculation 2 2 3 49 6" xfId="45248"/>
    <cellStyle name="Calculation 2 2 3 49 7" xfId="49294"/>
    <cellStyle name="Calculation 2 2 3 5" xfId="1317"/>
    <cellStyle name="Calculation 2 2 3 5 2" xfId="9140"/>
    <cellStyle name="Calculation 2 2 3 5 3" xfId="16568"/>
    <cellStyle name="Calculation 2 2 3 5 4" xfId="25775"/>
    <cellStyle name="Calculation 2 2 3 5 5" xfId="34334"/>
    <cellStyle name="Calculation 2 2 3 5 6" xfId="37092"/>
    <cellStyle name="Calculation 2 2 3 5 7" xfId="52493"/>
    <cellStyle name="Calculation 2 2 3 50" xfId="6801"/>
    <cellStyle name="Calculation 2 2 3 50 2" xfId="14518"/>
    <cellStyle name="Calculation 2 2 3 50 3" xfId="23511"/>
    <cellStyle name="Calculation 2 2 3 50 4" xfId="31698"/>
    <cellStyle name="Calculation 2 2 3 50 5" xfId="40976"/>
    <cellStyle name="Calculation 2 2 3 50 6" xfId="45363"/>
    <cellStyle name="Calculation 2 2 3 50 7" xfId="52100"/>
    <cellStyle name="Calculation 2 2 3 51" xfId="6914"/>
    <cellStyle name="Calculation 2 2 3 51 2" xfId="14631"/>
    <cellStyle name="Calculation 2 2 3 51 3" xfId="23624"/>
    <cellStyle name="Calculation 2 2 3 51 4" xfId="31811"/>
    <cellStyle name="Calculation 2 2 3 51 5" xfId="41083"/>
    <cellStyle name="Calculation 2 2 3 51 6" xfId="45476"/>
    <cellStyle name="Calculation 2 2 3 51 7" xfId="47050"/>
    <cellStyle name="Calculation 2 2 3 52" xfId="7026"/>
    <cellStyle name="Calculation 2 2 3 52 2" xfId="14743"/>
    <cellStyle name="Calculation 2 2 3 52 3" xfId="23736"/>
    <cellStyle name="Calculation 2 2 3 52 4" xfId="31923"/>
    <cellStyle name="Calculation 2 2 3 52 5" xfId="41190"/>
    <cellStyle name="Calculation 2 2 3 52 6" xfId="45588"/>
    <cellStyle name="Calculation 2 2 3 52 7" xfId="47214"/>
    <cellStyle name="Calculation 2 2 3 53" xfId="7319"/>
    <cellStyle name="Calculation 2 2 3 53 2" xfId="15036"/>
    <cellStyle name="Calculation 2 2 3 53 3" xfId="24029"/>
    <cellStyle name="Calculation 2 2 3 53 4" xfId="32216"/>
    <cellStyle name="Calculation 2 2 3 53 5" xfId="41472"/>
    <cellStyle name="Calculation 2 2 3 53 6" xfId="45881"/>
    <cellStyle name="Calculation 2 2 3 53 7" xfId="47992"/>
    <cellStyle name="Calculation 2 2 3 54" xfId="7339"/>
    <cellStyle name="Calculation 2 2 3 54 2" xfId="15056"/>
    <cellStyle name="Calculation 2 2 3 54 3" xfId="24049"/>
    <cellStyle name="Calculation 2 2 3 54 4" xfId="32236"/>
    <cellStyle name="Calculation 2 2 3 54 5" xfId="41492"/>
    <cellStyle name="Calculation 2 2 3 54 6" xfId="45901"/>
    <cellStyle name="Calculation 2 2 3 54 7" xfId="52612"/>
    <cellStyle name="Calculation 2 2 3 55" xfId="7423"/>
    <cellStyle name="Calculation 2 2 3 55 2" xfId="15140"/>
    <cellStyle name="Calculation 2 2 3 55 3" xfId="24133"/>
    <cellStyle name="Calculation 2 2 3 55 4" xfId="32320"/>
    <cellStyle name="Calculation 2 2 3 55 5" xfId="41572"/>
    <cellStyle name="Calculation 2 2 3 55 6" xfId="45985"/>
    <cellStyle name="Calculation 2 2 3 55 7" xfId="50881"/>
    <cellStyle name="Calculation 2 2 3 56" xfId="7544"/>
    <cellStyle name="Calculation 2 2 3 56 2" xfId="15261"/>
    <cellStyle name="Calculation 2 2 3 56 3" xfId="24254"/>
    <cellStyle name="Calculation 2 2 3 56 4" xfId="32441"/>
    <cellStyle name="Calculation 2 2 3 56 5" xfId="41687"/>
    <cellStyle name="Calculation 2 2 3 56 6" xfId="46106"/>
    <cellStyle name="Calculation 2 2 3 56 7" xfId="53031"/>
    <cellStyle name="Calculation 2 2 3 57" xfId="7820"/>
    <cellStyle name="Calculation 2 2 3 57 2" xfId="15537"/>
    <cellStyle name="Calculation 2 2 3 57 3" xfId="24524"/>
    <cellStyle name="Calculation 2 2 3 57 4" xfId="32717"/>
    <cellStyle name="Calculation 2 2 3 57 5" xfId="41952"/>
    <cellStyle name="Calculation 2 2 3 57 6" xfId="46382"/>
    <cellStyle name="Calculation 2 2 3 57 7" xfId="54367"/>
    <cellStyle name="Calculation 2 2 3 58" xfId="7984"/>
    <cellStyle name="Calculation 2 2 3 58 2" xfId="15701"/>
    <cellStyle name="Calculation 2 2 3 58 3" xfId="24686"/>
    <cellStyle name="Calculation 2 2 3 58 4" xfId="32881"/>
    <cellStyle name="Calculation 2 2 3 58 5" xfId="42107"/>
    <cellStyle name="Calculation 2 2 3 58 6" xfId="46546"/>
    <cellStyle name="Calculation 2 2 3 58 7" xfId="51510"/>
    <cellStyle name="Calculation 2 2 3 59" xfId="7930"/>
    <cellStyle name="Calculation 2 2 3 59 2" xfId="15647"/>
    <cellStyle name="Calculation 2 2 3 59 3" xfId="24634"/>
    <cellStyle name="Calculation 2 2 3 59 4" xfId="32827"/>
    <cellStyle name="Calculation 2 2 3 59 5" xfId="42058"/>
    <cellStyle name="Calculation 2 2 3 59 6" xfId="46492"/>
    <cellStyle name="Calculation 2 2 3 59 7" xfId="49916"/>
    <cellStyle name="Calculation 2 2 3 6" xfId="1440"/>
    <cellStyle name="Calculation 2 2 3 6 2" xfId="9263"/>
    <cellStyle name="Calculation 2 2 3 6 3" xfId="16691"/>
    <cellStyle name="Calculation 2 2 3 6 4" xfId="19461"/>
    <cellStyle name="Calculation 2 2 3 6 5" xfId="27590"/>
    <cellStyle name="Calculation 2 2 3 6 6" xfId="40047"/>
    <cellStyle name="Calculation 2 2 3 6 7" xfId="47655"/>
    <cellStyle name="Calculation 2 2 3 60" xfId="8096"/>
    <cellStyle name="Calculation 2 2 3 60 2" xfId="15813"/>
    <cellStyle name="Calculation 2 2 3 60 3" xfId="32993"/>
    <cellStyle name="Calculation 2 2 3 60 4" xfId="42215"/>
    <cellStyle name="Calculation 2 2 3 60 5" xfId="46658"/>
    <cellStyle name="Calculation 2 2 3 60 6" xfId="48301"/>
    <cellStyle name="Calculation 2 2 3 61" xfId="26552"/>
    <cellStyle name="Calculation 2 2 3 62" xfId="35360"/>
    <cellStyle name="Calculation 2 2 3 63" xfId="37203"/>
    <cellStyle name="Calculation 2 2 3 64" xfId="54178"/>
    <cellStyle name="Calculation 2 2 3 7" xfId="1039"/>
    <cellStyle name="Calculation 2 2 3 7 2" xfId="8863"/>
    <cellStyle name="Calculation 2 2 3 7 3" xfId="16291"/>
    <cellStyle name="Calculation 2 2 3 7 4" xfId="26545"/>
    <cellStyle name="Calculation 2 2 3 7 5" xfId="35349"/>
    <cellStyle name="Calculation 2 2 3 7 6" xfId="37046"/>
    <cellStyle name="Calculation 2 2 3 7 7" xfId="54164"/>
    <cellStyle name="Calculation 2 2 3 8" xfId="1677"/>
    <cellStyle name="Calculation 2 2 3 8 2" xfId="9500"/>
    <cellStyle name="Calculation 2 2 3 8 3" xfId="16928"/>
    <cellStyle name="Calculation 2 2 3 8 4" xfId="20108"/>
    <cellStyle name="Calculation 2 2 3 8 5" xfId="28505"/>
    <cellStyle name="Calculation 2 2 3 8 6" xfId="38185"/>
    <cellStyle name="Calculation 2 2 3 8 7" xfId="49307"/>
    <cellStyle name="Calculation 2 2 3 9" xfId="1811"/>
    <cellStyle name="Calculation 2 2 3 9 2" xfId="9634"/>
    <cellStyle name="Calculation 2 2 3 9 3" xfId="17062"/>
    <cellStyle name="Calculation 2 2 3 9 4" xfId="19727"/>
    <cellStyle name="Calculation 2 2 3 9 5" xfId="27872"/>
    <cellStyle name="Calculation 2 2 3 9 6" xfId="39997"/>
    <cellStyle name="Calculation 2 2 3 9 7" xfId="49985"/>
    <cellStyle name="Calculation 2 2 30" xfId="3069"/>
    <cellStyle name="Calculation 2 2 30 2" xfId="10877"/>
    <cellStyle name="Calculation 2 2 30 3" xfId="18272"/>
    <cellStyle name="Calculation 2 2 30 4" xfId="26289"/>
    <cellStyle name="Calculation 2 2 30 5" xfId="34998"/>
    <cellStyle name="Calculation 2 2 30 6" xfId="40059"/>
    <cellStyle name="Calculation 2 2 30 7" xfId="53619"/>
    <cellStyle name="Calculation 2 2 31" xfId="3477"/>
    <cellStyle name="Calculation 2 2 31 2" xfId="11268"/>
    <cellStyle name="Calculation 2 2 31 3" xfId="18587"/>
    <cellStyle name="Calculation 2 2 31 4" xfId="20395"/>
    <cellStyle name="Calculation 2 2 31 5" xfId="28064"/>
    <cellStyle name="Calculation 2 2 31 6" xfId="37158"/>
    <cellStyle name="Calculation 2 2 31 7" xfId="49574"/>
    <cellStyle name="Calculation 2 2 32" xfId="3165"/>
    <cellStyle name="Calculation 2 2 32 2" xfId="10967"/>
    <cellStyle name="Calculation 2 2 32 3" xfId="20299"/>
    <cellStyle name="Calculation 2 2 32 4" xfId="28389"/>
    <cellStyle name="Calculation 2 2 32 5" xfId="37777"/>
    <cellStyle name="Calculation 2 2 32 6" xfId="42418"/>
    <cellStyle name="Calculation 2 2 32 7" xfId="52632"/>
    <cellStyle name="Calculation 2 2 33" xfId="4004"/>
    <cellStyle name="Calculation 2 2 33 2" xfId="11783"/>
    <cellStyle name="Calculation 2 2 33 3" xfId="20714"/>
    <cellStyle name="Calculation 2 2 33 4" xfId="28901"/>
    <cellStyle name="Calculation 2 2 33 5" xfId="38284"/>
    <cellStyle name="Calculation 2 2 33 6" xfId="42566"/>
    <cellStyle name="Calculation 2 2 33 7" xfId="47906"/>
    <cellStyle name="Calculation 2 2 34" xfId="4228"/>
    <cellStyle name="Calculation 2 2 34 2" xfId="20938"/>
    <cellStyle name="Calculation 2 2 34 3" xfId="29125"/>
    <cellStyle name="Calculation 2 2 34 4" xfId="38500"/>
    <cellStyle name="Calculation 2 2 34 5" xfId="42790"/>
    <cellStyle name="Calculation 2 2 34 6" xfId="47729"/>
    <cellStyle name="Calculation 2 2 35" xfId="4156"/>
    <cellStyle name="Calculation 2 2 35 2" xfId="11915"/>
    <cellStyle name="Calculation 2 2 35 3" xfId="20866"/>
    <cellStyle name="Calculation 2 2 35 4" xfId="29053"/>
    <cellStyle name="Calculation 2 2 35 5" xfId="38429"/>
    <cellStyle name="Calculation 2 2 35 6" xfId="42718"/>
    <cellStyle name="Calculation 2 2 35 7" xfId="48813"/>
    <cellStyle name="Calculation 2 2 36" xfId="4383"/>
    <cellStyle name="Calculation 2 2 36 2" xfId="12100"/>
    <cellStyle name="Calculation 2 2 36 3" xfId="21093"/>
    <cellStyle name="Calculation 2 2 36 4" xfId="29280"/>
    <cellStyle name="Calculation 2 2 36 5" xfId="38650"/>
    <cellStyle name="Calculation 2 2 36 6" xfId="42945"/>
    <cellStyle name="Calculation 2 2 36 7" xfId="50698"/>
    <cellStyle name="Calculation 2 2 37" xfId="3544"/>
    <cellStyle name="Calculation 2 2 37 2" xfId="11333"/>
    <cellStyle name="Calculation 2 2 37 3" xfId="20509"/>
    <cellStyle name="Calculation 2 2 37 4" xfId="28637"/>
    <cellStyle name="Calculation 2 2 37 5" xfId="38013"/>
    <cellStyle name="Calculation 2 2 37 6" xfId="42504"/>
    <cellStyle name="Calculation 2 2 37 7" xfId="50434"/>
    <cellStyle name="Calculation 2 2 38" xfId="4200"/>
    <cellStyle name="Calculation 2 2 38 2" xfId="11955"/>
    <cellStyle name="Calculation 2 2 38 3" xfId="20910"/>
    <cellStyle name="Calculation 2 2 38 4" xfId="29097"/>
    <cellStyle name="Calculation 2 2 38 5" xfId="38473"/>
    <cellStyle name="Calculation 2 2 38 6" xfId="42762"/>
    <cellStyle name="Calculation 2 2 38 7" xfId="52007"/>
    <cellStyle name="Calculation 2 2 39" xfId="4057"/>
    <cellStyle name="Calculation 2 2 39 2" xfId="11823"/>
    <cellStyle name="Calculation 2 2 39 3" xfId="20767"/>
    <cellStyle name="Calculation 2 2 39 4" xfId="28954"/>
    <cellStyle name="Calculation 2 2 39 5" xfId="38333"/>
    <cellStyle name="Calculation 2 2 39 6" xfId="42619"/>
    <cellStyle name="Calculation 2 2 39 7" xfId="51465"/>
    <cellStyle name="Calculation 2 2 4" xfId="524"/>
    <cellStyle name="Calculation 2 2 4 10" xfId="1971"/>
    <cellStyle name="Calculation 2 2 4 10 2" xfId="9794"/>
    <cellStyle name="Calculation 2 2 4 10 3" xfId="17222"/>
    <cellStyle name="Calculation 2 2 4 10 4" xfId="19100"/>
    <cellStyle name="Calculation 2 2 4 10 5" xfId="28450"/>
    <cellStyle name="Calculation 2 2 4 10 6" xfId="37804"/>
    <cellStyle name="Calculation 2 2 4 10 7" xfId="49373"/>
    <cellStyle name="Calculation 2 2 4 11" xfId="2089"/>
    <cellStyle name="Calculation 2 2 4 11 2" xfId="9912"/>
    <cellStyle name="Calculation 2 2 4 11 3" xfId="17340"/>
    <cellStyle name="Calculation 2 2 4 11 4" xfId="19606"/>
    <cellStyle name="Calculation 2 2 4 11 5" xfId="27763"/>
    <cellStyle name="Calculation 2 2 4 11 6" xfId="41174"/>
    <cellStyle name="Calculation 2 2 4 11 7" xfId="47446"/>
    <cellStyle name="Calculation 2 2 4 12" xfId="2202"/>
    <cellStyle name="Calculation 2 2 4 12 2" xfId="10025"/>
    <cellStyle name="Calculation 2 2 4 12 3" xfId="17453"/>
    <cellStyle name="Calculation 2 2 4 12 4" xfId="25976"/>
    <cellStyle name="Calculation 2 2 4 12 5" xfId="34593"/>
    <cellStyle name="Calculation 2 2 4 12 6" xfId="37311"/>
    <cellStyle name="Calculation 2 2 4 12 7" xfId="52945"/>
    <cellStyle name="Calculation 2 2 4 13" xfId="2035"/>
    <cellStyle name="Calculation 2 2 4 13 2" xfId="9858"/>
    <cellStyle name="Calculation 2 2 4 13 3" xfId="17286"/>
    <cellStyle name="Calculation 2 2 4 13 4" xfId="19356"/>
    <cellStyle name="Calculation 2 2 4 13 5" xfId="27859"/>
    <cellStyle name="Calculation 2 2 4 13 6" xfId="39186"/>
    <cellStyle name="Calculation 2 2 4 13 7" xfId="48972"/>
    <cellStyle name="Calculation 2 2 4 14" xfId="1069"/>
    <cellStyle name="Calculation 2 2 4 14 2" xfId="8893"/>
    <cellStyle name="Calculation 2 2 4 14 3" xfId="16321"/>
    <cellStyle name="Calculation 2 2 4 14 4" xfId="19288"/>
    <cellStyle name="Calculation 2 2 4 14 5" xfId="28733"/>
    <cellStyle name="Calculation 2 2 4 14 6" xfId="37302"/>
    <cellStyle name="Calculation 2 2 4 14 7" xfId="47479"/>
    <cellStyle name="Calculation 2 2 4 15" xfId="2500"/>
    <cellStyle name="Calculation 2 2 4 15 2" xfId="10323"/>
    <cellStyle name="Calculation 2 2 4 15 3" xfId="17751"/>
    <cellStyle name="Calculation 2 2 4 15 4" xfId="24805"/>
    <cellStyle name="Calculation 2 2 4 15 5" xfId="27000"/>
    <cellStyle name="Calculation 2 2 4 15 6" xfId="37217"/>
    <cellStyle name="Calculation 2 2 4 15 7" xfId="47523"/>
    <cellStyle name="Calculation 2 2 4 16" xfId="2613"/>
    <cellStyle name="Calculation 2 2 4 16 2" xfId="10436"/>
    <cellStyle name="Calculation 2 2 4 16 3" xfId="17864"/>
    <cellStyle name="Calculation 2 2 4 16 4" xfId="19885"/>
    <cellStyle name="Calculation 2 2 4 16 5" xfId="28089"/>
    <cellStyle name="Calculation 2 2 4 16 6" xfId="41184"/>
    <cellStyle name="Calculation 2 2 4 16 7" xfId="48434"/>
    <cellStyle name="Calculation 2 2 4 17" xfId="2385"/>
    <cellStyle name="Calculation 2 2 4 17 2" xfId="10208"/>
    <cellStyle name="Calculation 2 2 4 17 3" xfId="17636"/>
    <cellStyle name="Calculation 2 2 4 17 4" xfId="25112"/>
    <cellStyle name="Calculation 2 2 4 17 5" xfId="33482"/>
    <cellStyle name="Calculation 2 2 4 17 6" xfId="41226"/>
    <cellStyle name="Calculation 2 2 4 17 7" xfId="51039"/>
    <cellStyle name="Calculation 2 2 4 18" xfId="1559"/>
    <cellStyle name="Calculation 2 2 4 18 2" xfId="9382"/>
    <cellStyle name="Calculation 2 2 4 18 3" xfId="16810"/>
    <cellStyle name="Calculation 2 2 4 18 4" xfId="26677"/>
    <cellStyle name="Calculation 2 2 4 18 5" xfId="35524"/>
    <cellStyle name="Calculation 2 2 4 18 6" xfId="37635"/>
    <cellStyle name="Calculation 2 2 4 18 7" xfId="54446"/>
    <cellStyle name="Calculation 2 2 4 19" xfId="2806"/>
    <cellStyle name="Calculation 2 2 4 19 2" xfId="10629"/>
    <cellStyle name="Calculation 2 2 4 19 3" xfId="18057"/>
    <cellStyle name="Calculation 2 2 4 19 4" xfId="19424"/>
    <cellStyle name="Calculation 2 2 4 19 5" xfId="28564"/>
    <cellStyle name="Calculation 2 2 4 19 6" xfId="37111"/>
    <cellStyle name="Calculation 2 2 4 19 7" xfId="47481"/>
    <cellStyle name="Calculation 2 2 4 2" xfId="674"/>
    <cellStyle name="Calculation 2 2 4 2 2" xfId="8498"/>
    <cellStyle name="Calculation 2 2 4 2 3" xfId="8262"/>
    <cellStyle name="Calculation 2 2 4 2 4" xfId="19147"/>
    <cellStyle name="Calculation 2 2 4 2 5" xfId="26738"/>
    <cellStyle name="Calculation 2 2 4 2 6" xfId="37538"/>
    <cellStyle name="Calculation 2 2 4 2 7" xfId="49785"/>
    <cellStyle name="Calculation 2 2 4 20" xfId="2913"/>
    <cellStyle name="Calculation 2 2 4 20 2" xfId="10736"/>
    <cellStyle name="Calculation 2 2 4 20 3" xfId="18164"/>
    <cellStyle name="Calculation 2 2 4 20 4" xfId="20376"/>
    <cellStyle name="Calculation 2 2 4 20 5" xfId="28748"/>
    <cellStyle name="Calculation 2 2 4 20 6" xfId="36259"/>
    <cellStyle name="Calculation 2 2 4 20 7" xfId="48424"/>
    <cellStyle name="Calculation 2 2 4 21" xfId="3289"/>
    <cellStyle name="Calculation 2 2 4 21 2" xfId="11082"/>
    <cellStyle name="Calculation 2 2 4 21 3" xfId="18411"/>
    <cellStyle name="Calculation 2 2 4 21 4" xfId="26010"/>
    <cellStyle name="Calculation 2 2 4 21 5" xfId="34636"/>
    <cellStyle name="Calculation 2 2 4 21 6" xfId="36786"/>
    <cellStyle name="Calculation 2 2 4 21 7" xfId="53016"/>
    <cellStyle name="Calculation 2 2 4 22" xfId="3409"/>
    <cellStyle name="Calculation 2 2 4 22 2" xfId="11200"/>
    <cellStyle name="Calculation 2 2 4 22 3" xfId="18522"/>
    <cellStyle name="Calculation 2 2 4 22 4" xfId="24847"/>
    <cellStyle name="Calculation 2 2 4 22 5" xfId="26813"/>
    <cellStyle name="Calculation 2 2 4 22 6" xfId="37771"/>
    <cellStyle name="Calculation 2 2 4 22 7" xfId="49214"/>
    <cellStyle name="Calculation 2 2 4 23" xfId="3026"/>
    <cellStyle name="Calculation 2 2 4 23 2" xfId="10841"/>
    <cellStyle name="Calculation 2 2 4 23 3" xfId="18254"/>
    <cellStyle name="Calculation 2 2 4 23 4" xfId="24938"/>
    <cellStyle name="Calculation 2 2 4 23 5" xfId="33273"/>
    <cellStyle name="Calculation 2 2 4 23 6" xfId="38066"/>
    <cellStyle name="Calculation 2 2 4 23 7" xfId="50655"/>
    <cellStyle name="Calculation 2 2 4 24" xfId="3680"/>
    <cellStyle name="Calculation 2 2 4 24 2" xfId="11465"/>
    <cellStyle name="Calculation 2 2 4 24 3" xfId="18738"/>
    <cellStyle name="Calculation 2 2 4 24 4" xfId="25244"/>
    <cellStyle name="Calculation 2 2 4 24 5" xfId="33648"/>
    <cellStyle name="Calculation 2 2 4 24 6" xfId="38237"/>
    <cellStyle name="Calculation 2 2 4 24 7" xfId="51310"/>
    <cellStyle name="Calculation 2 2 4 25" xfId="3810"/>
    <cellStyle name="Calculation 2 2 4 25 2" xfId="11592"/>
    <cellStyle name="Calculation 2 2 4 25 3" xfId="18849"/>
    <cellStyle name="Calculation 2 2 4 25 4" xfId="26211"/>
    <cellStyle name="Calculation 2 2 4 25 5" xfId="34893"/>
    <cellStyle name="Calculation 2 2 4 25 6" xfId="40980"/>
    <cellStyle name="Calculation 2 2 4 25 7" xfId="53444"/>
    <cellStyle name="Calculation 2 2 4 26" xfId="3928"/>
    <cellStyle name="Calculation 2 2 4 26 2" xfId="11708"/>
    <cellStyle name="Calculation 2 2 4 26 3" xfId="18958"/>
    <cellStyle name="Calculation 2 2 4 26 4" xfId="19294"/>
    <cellStyle name="Calculation 2 2 4 26 5" xfId="27242"/>
    <cellStyle name="Calculation 2 2 4 26 6" xfId="37135"/>
    <cellStyle name="Calculation 2 2 4 26 7" xfId="47268"/>
    <cellStyle name="Calculation 2 2 4 27" xfId="3042"/>
    <cellStyle name="Calculation 2 2 4 27 2" xfId="10855"/>
    <cellStyle name="Calculation 2 2 4 27 3" xfId="20208"/>
    <cellStyle name="Calculation 2 2 4 27 4" xfId="28300"/>
    <cellStyle name="Calculation 2 2 4 27 5" xfId="37680"/>
    <cellStyle name="Calculation 2 2 4 27 6" xfId="42366"/>
    <cellStyle name="Calculation 2 2 4 27 7" xfId="49008"/>
    <cellStyle name="Calculation 2 2 4 28" xfId="4125"/>
    <cellStyle name="Calculation 2 2 4 28 2" xfId="11884"/>
    <cellStyle name="Calculation 2 2 4 28 3" xfId="20835"/>
    <cellStyle name="Calculation 2 2 4 28 4" xfId="29022"/>
    <cellStyle name="Calculation 2 2 4 28 5" xfId="38399"/>
    <cellStyle name="Calculation 2 2 4 28 6" xfId="42687"/>
    <cellStyle name="Calculation 2 2 4 28 7" xfId="52055"/>
    <cellStyle name="Calculation 2 2 4 29" xfId="4052"/>
    <cellStyle name="Calculation 2 2 4 29 2" xfId="20762"/>
    <cellStyle name="Calculation 2 2 4 29 3" xfId="28949"/>
    <cellStyle name="Calculation 2 2 4 29 4" xfId="38328"/>
    <cellStyle name="Calculation 2 2 4 29 5" xfId="42614"/>
    <cellStyle name="Calculation 2 2 4 29 6" xfId="52155"/>
    <cellStyle name="Calculation 2 2 4 3" xfId="782"/>
    <cellStyle name="Calculation 2 2 4 3 2" xfId="8606"/>
    <cellStyle name="Calculation 2 2 4 3 3" xfId="16034"/>
    <cellStyle name="Calculation 2 2 4 3 4" xfId="25258"/>
    <cellStyle name="Calculation 2 2 4 3 5" xfId="33664"/>
    <cellStyle name="Calculation 2 2 4 3 6" xfId="36408"/>
    <cellStyle name="Calculation 2 2 4 3 7" xfId="51338"/>
    <cellStyle name="Calculation 2 2 4 30" xfId="4322"/>
    <cellStyle name="Calculation 2 2 4 30 2" xfId="12039"/>
    <cellStyle name="Calculation 2 2 4 30 3" xfId="21032"/>
    <cellStyle name="Calculation 2 2 4 30 4" xfId="29219"/>
    <cellStyle name="Calculation 2 2 4 30 5" xfId="38590"/>
    <cellStyle name="Calculation 2 2 4 30 6" xfId="42884"/>
    <cellStyle name="Calculation 2 2 4 30 7" xfId="48963"/>
    <cellStyle name="Calculation 2 2 4 31" xfId="4445"/>
    <cellStyle name="Calculation 2 2 4 31 2" xfId="12162"/>
    <cellStyle name="Calculation 2 2 4 31 3" xfId="21155"/>
    <cellStyle name="Calculation 2 2 4 31 4" xfId="29342"/>
    <cellStyle name="Calculation 2 2 4 31 5" xfId="38708"/>
    <cellStyle name="Calculation 2 2 4 31 6" xfId="43007"/>
    <cellStyle name="Calculation 2 2 4 31 7" xfId="47552"/>
    <cellStyle name="Calculation 2 2 4 32" xfId="4559"/>
    <cellStyle name="Calculation 2 2 4 32 2" xfId="12276"/>
    <cellStyle name="Calculation 2 2 4 32 3" xfId="21269"/>
    <cellStyle name="Calculation 2 2 4 32 4" xfId="29456"/>
    <cellStyle name="Calculation 2 2 4 32 5" xfId="38817"/>
    <cellStyle name="Calculation 2 2 4 32 6" xfId="43121"/>
    <cellStyle name="Calculation 2 2 4 32 7" xfId="53904"/>
    <cellStyle name="Calculation 2 2 4 33" xfId="4672"/>
    <cellStyle name="Calculation 2 2 4 33 2" xfId="12389"/>
    <cellStyle name="Calculation 2 2 4 33 3" xfId="21382"/>
    <cellStyle name="Calculation 2 2 4 33 4" xfId="29569"/>
    <cellStyle name="Calculation 2 2 4 33 5" xfId="38926"/>
    <cellStyle name="Calculation 2 2 4 33 6" xfId="43234"/>
    <cellStyle name="Calculation 2 2 4 33 7" xfId="49860"/>
    <cellStyle name="Calculation 2 2 4 34" xfId="4783"/>
    <cellStyle name="Calculation 2 2 4 34 2" xfId="12500"/>
    <cellStyle name="Calculation 2 2 4 34 3" xfId="21493"/>
    <cellStyle name="Calculation 2 2 4 34 4" xfId="29680"/>
    <cellStyle name="Calculation 2 2 4 34 5" xfId="39034"/>
    <cellStyle name="Calculation 2 2 4 34 6" xfId="43345"/>
    <cellStyle name="Calculation 2 2 4 34 7" xfId="53376"/>
    <cellStyle name="Calculation 2 2 4 35" xfId="4892"/>
    <cellStyle name="Calculation 2 2 4 35 2" xfId="12609"/>
    <cellStyle name="Calculation 2 2 4 35 3" xfId="21602"/>
    <cellStyle name="Calculation 2 2 4 35 4" xfId="29789"/>
    <cellStyle name="Calculation 2 2 4 35 5" xfId="39138"/>
    <cellStyle name="Calculation 2 2 4 35 6" xfId="43454"/>
    <cellStyle name="Calculation 2 2 4 35 7" xfId="49536"/>
    <cellStyle name="Calculation 2 2 4 36" xfId="5003"/>
    <cellStyle name="Calculation 2 2 4 36 2" xfId="12720"/>
    <cellStyle name="Calculation 2 2 4 36 3" xfId="21713"/>
    <cellStyle name="Calculation 2 2 4 36 4" xfId="29900"/>
    <cellStyle name="Calculation 2 2 4 36 5" xfId="39246"/>
    <cellStyle name="Calculation 2 2 4 36 6" xfId="43565"/>
    <cellStyle name="Calculation 2 2 4 36 7" xfId="53784"/>
    <cellStyle name="Calculation 2 2 4 37" xfId="5382"/>
    <cellStyle name="Calculation 2 2 4 37 2" xfId="13099"/>
    <cellStyle name="Calculation 2 2 4 37 3" xfId="22092"/>
    <cellStyle name="Calculation 2 2 4 37 4" xfId="30279"/>
    <cellStyle name="Calculation 2 2 4 37 5" xfId="39610"/>
    <cellStyle name="Calculation 2 2 4 37 6" xfId="43944"/>
    <cellStyle name="Calculation 2 2 4 37 7" xfId="53112"/>
    <cellStyle name="Calculation 2 2 4 38" xfId="5502"/>
    <cellStyle name="Calculation 2 2 4 38 2" xfId="13219"/>
    <cellStyle name="Calculation 2 2 4 38 3" xfId="22212"/>
    <cellStyle name="Calculation 2 2 4 38 4" xfId="30399"/>
    <cellStyle name="Calculation 2 2 4 38 5" xfId="39724"/>
    <cellStyle name="Calculation 2 2 4 38 6" xfId="44064"/>
    <cellStyle name="Calculation 2 2 4 38 7" xfId="47794"/>
    <cellStyle name="Calculation 2 2 4 39" xfId="5626"/>
    <cellStyle name="Calculation 2 2 4 39 2" xfId="13343"/>
    <cellStyle name="Calculation 2 2 4 39 3" xfId="22336"/>
    <cellStyle name="Calculation 2 2 4 39 4" xfId="30523"/>
    <cellStyle name="Calculation 2 2 4 39 5" xfId="39844"/>
    <cellStyle name="Calculation 2 2 4 39 6" xfId="44188"/>
    <cellStyle name="Calculation 2 2 4 39 7" xfId="47122"/>
    <cellStyle name="Calculation 2 2 4 4" xfId="893"/>
    <cellStyle name="Calculation 2 2 4 4 2" xfId="8717"/>
    <cellStyle name="Calculation 2 2 4 4 3" xfId="16145"/>
    <cellStyle name="Calculation 2 2 4 4 4" xfId="19576"/>
    <cellStyle name="Calculation 2 2 4 4 5" xfId="27176"/>
    <cellStyle name="Calculation 2 2 4 4 6" xfId="37557"/>
    <cellStyle name="Calculation 2 2 4 4 7" xfId="48446"/>
    <cellStyle name="Calculation 2 2 4 40" xfId="5742"/>
    <cellStyle name="Calculation 2 2 4 40 2" xfId="13459"/>
    <cellStyle name="Calculation 2 2 4 40 3" xfId="22452"/>
    <cellStyle name="Calculation 2 2 4 40 4" xfId="30639"/>
    <cellStyle name="Calculation 2 2 4 40 5" xfId="39956"/>
    <cellStyle name="Calculation 2 2 4 40 6" xfId="44304"/>
    <cellStyle name="Calculation 2 2 4 40 7" xfId="53134"/>
    <cellStyle name="Calculation 2 2 4 41" xfId="5858"/>
    <cellStyle name="Calculation 2 2 4 41 2" xfId="13575"/>
    <cellStyle name="Calculation 2 2 4 41 3" xfId="22568"/>
    <cellStyle name="Calculation 2 2 4 41 4" xfId="30755"/>
    <cellStyle name="Calculation 2 2 4 41 5" xfId="40069"/>
    <cellStyle name="Calculation 2 2 4 41 6" xfId="44420"/>
    <cellStyle name="Calculation 2 2 4 41 7" xfId="53709"/>
    <cellStyle name="Calculation 2 2 4 42" xfId="5987"/>
    <cellStyle name="Calculation 2 2 4 42 2" xfId="13704"/>
    <cellStyle name="Calculation 2 2 4 42 3" xfId="22697"/>
    <cellStyle name="Calculation 2 2 4 42 4" xfId="30884"/>
    <cellStyle name="Calculation 2 2 4 42 5" xfId="40193"/>
    <cellStyle name="Calculation 2 2 4 42 6" xfId="44549"/>
    <cellStyle name="Calculation 2 2 4 42 7" xfId="53518"/>
    <cellStyle name="Calculation 2 2 4 43" xfId="5221"/>
    <cellStyle name="Calculation 2 2 4 43 2" xfId="12938"/>
    <cellStyle name="Calculation 2 2 4 43 3" xfId="21931"/>
    <cellStyle name="Calculation 2 2 4 43 4" xfId="30118"/>
    <cellStyle name="Calculation 2 2 4 43 5" xfId="39453"/>
    <cellStyle name="Calculation 2 2 4 43 6" xfId="43783"/>
    <cellStyle name="Calculation 2 2 4 43 7" xfId="48362"/>
    <cellStyle name="Calculation 2 2 4 44" xfId="6243"/>
    <cellStyle name="Calculation 2 2 4 44 2" xfId="13960"/>
    <cellStyle name="Calculation 2 2 4 44 3" xfId="22953"/>
    <cellStyle name="Calculation 2 2 4 44 4" xfId="31140"/>
    <cellStyle name="Calculation 2 2 4 44 5" xfId="40441"/>
    <cellStyle name="Calculation 2 2 4 44 6" xfId="44805"/>
    <cellStyle name="Calculation 2 2 4 44 7" xfId="50871"/>
    <cellStyle name="Calculation 2 2 4 45" xfId="6359"/>
    <cellStyle name="Calculation 2 2 4 45 2" xfId="14076"/>
    <cellStyle name="Calculation 2 2 4 45 3" xfId="23069"/>
    <cellStyle name="Calculation 2 2 4 45 4" xfId="31256"/>
    <cellStyle name="Calculation 2 2 4 45 5" xfId="40554"/>
    <cellStyle name="Calculation 2 2 4 45 6" xfId="44921"/>
    <cellStyle name="Calculation 2 2 4 45 7" xfId="54357"/>
    <cellStyle name="Calculation 2 2 4 46" xfId="6470"/>
    <cellStyle name="Calculation 2 2 4 46 2" xfId="14187"/>
    <cellStyle name="Calculation 2 2 4 46 3" xfId="23180"/>
    <cellStyle name="Calculation 2 2 4 46 4" xfId="31367"/>
    <cellStyle name="Calculation 2 2 4 46 5" xfId="40661"/>
    <cellStyle name="Calculation 2 2 4 46 6" xfId="45032"/>
    <cellStyle name="Calculation 2 2 4 46 7" xfId="47988"/>
    <cellStyle name="Calculation 2 2 4 47" xfId="6305"/>
    <cellStyle name="Calculation 2 2 4 47 2" xfId="14022"/>
    <cellStyle name="Calculation 2 2 4 47 3" xfId="23015"/>
    <cellStyle name="Calculation 2 2 4 47 4" xfId="31202"/>
    <cellStyle name="Calculation 2 2 4 47 5" xfId="40502"/>
    <cellStyle name="Calculation 2 2 4 47 6" xfId="44867"/>
    <cellStyle name="Calculation 2 2 4 47 7" xfId="53499"/>
    <cellStyle name="Calculation 2 2 4 48" xfId="6616"/>
    <cellStyle name="Calculation 2 2 4 48 2" xfId="14333"/>
    <cellStyle name="Calculation 2 2 4 48 3" xfId="23326"/>
    <cellStyle name="Calculation 2 2 4 48 4" xfId="31513"/>
    <cellStyle name="Calculation 2 2 4 48 5" xfId="40800"/>
    <cellStyle name="Calculation 2 2 4 48 6" xfId="45178"/>
    <cellStyle name="Calculation 2 2 4 48 7" xfId="49266"/>
    <cellStyle name="Calculation 2 2 4 49" xfId="6728"/>
    <cellStyle name="Calculation 2 2 4 49 2" xfId="14445"/>
    <cellStyle name="Calculation 2 2 4 49 3" xfId="23438"/>
    <cellStyle name="Calculation 2 2 4 49 4" xfId="31625"/>
    <cellStyle name="Calculation 2 2 4 49 5" xfId="40906"/>
    <cellStyle name="Calculation 2 2 4 49 6" xfId="45290"/>
    <cellStyle name="Calculation 2 2 4 49 7" xfId="52295"/>
    <cellStyle name="Calculation 2 2 4 5" xfId="1359"/>
    <cellStyle name="Calculation 2 2 4 5 2" xfId="9182"/>
    <cellStyle name="Calculation 2 2 4 5 3" xfId="16610"/>
    <cellStyle name="Calculation 2 2 4 5 4" xfId="26624"/>
    <cellStyle name="Calculation 2 2 4 5 5" xfId="35456"/>
    <cellStyle name="Calculation 2 2 4 5 6" xfId="36754"/>
    <cellStyle name="Calculation 2 2 4 5 7" xfId="54333"/>
    <cellStyle name="Calculation 2 2 4 50" xfId="6843"/>
    <cellStyle name="Calculation 2 2 4 50 2" xfId="14560"/>
    <cellStyle name="Calculation 2 2 4 50 3" xfId="23553"/>
    <cellStyle name="Calculation 2 2 4 50 4" xfId="31740"/>
    <cellStyle name="Calculation 2 2 4 50 5" xfId="41014"/>
    <cellStyle name="Calculation 2 2 4 50 6" xfId="45405"/>
    <cellStyle name="Calculation 2 2 4 50 7" xfId="47839"/>
    <cellStyle name="Calculation 2 2 4 51" xfId="6956"/>
    <cellStyle name="Calculation 2 2 4 51 2" xfId="14673"/>
    <cellStyle name="Calculation 2 2 4 51 3" xfId="23666"/>
    <cellStyle name="Calculation 2 2 4 51 4" xfId="31853"/>
    <cellStyle name="Calculation 2 2 4 51 5" xfId="41122"/>
    <cellStyle name="Calculation 2 2 4 51 6" xfId="45518"/>
    <cellStyle name="Calculation 2 2 4 51 7" xfId="47034"/>
    <cellStyle name="Calculation 2 2 4 52" xfId="7067"/>
    <cellStyle name="Calculation 2 2 4 52 2" xfId="14784"/>
    <cellStyle name="Calculation 2 2 4 52 3" xfId="23777"/>
    <cellStyle name="Calculation 2 2 4 52 4" xfId="31964"/>
    <cellStyle name="Calculation 2 2 4 52 5" xfId="41227"/>
    <cellStyle name="Calculation 2 2 4 52 6" xfId="45629"/>
    <cellStyle name="Calculation 2 2 4 52 7" xfId="52694"/>
    <cellStyle name="Calculation 2 2 4 53" xfId="7201"/>
    <cellStyle name="Calculation 2 2 4 53 2" xfId="14918"/>
    <cellStyle name="Calculation 2 2 4 53 3" xfId="23911"/>
    <cellStyle name="Calculation 2 2 4 53 4" xfId="32098"/>
    <cellStyle name="Calculation 2 2 4 53 5" xfId="41358"/>
    <cellStyle name="Calculation 2 2 4 53 6" xfId="45763"/>
    <cellStyle name="Calculation 2 2 4 53 7" xfId="51170"/>
    <cellStyle name="Calculation 2 2 4 54" xfId="7402"/>
    <cellStyle name="Calculation 2 2 4 54 2" xfId="15119"/>
    <cellStyle name="Calculation 2 2 4 54 3" xfId="24112"/>
    <cellStyle name="Calculation 2 2 4 54 4" xfId="32299"/>
    <cellStyle name="Calculation 2 2 4 54 5" xfId="41551"/>
    <cellStyle name="Calculation 2 2 4 54 6" xfId="45964"/>
    <cellStyle name="Calculation 2 2 4 54 7" xfId="48071"/>
    <cellStyle name="Calculation 2 2 4 55" xfId="7464"/>
    <cellStyle name="Calculation 2 2 4 55 2" xfId="15181"/>
    <cellStyle name="Calculation 2 2 4 55 3" xfId="24174"/>
    <cellStyle name="Calculation 2 2 4 55 4" xfId="32361"/>
    <cellStyle name="Calculation 2 2 4 55 5" xfId="41610"/>
    <cellStyle name="Calculation 2 2 4 55 6" xfId="46026"/>
    <cellStyle name="Calculation 2 2 4 55 7" xfId="54229"/>
    <cellStyle name="Calculation 2 2 4 56" xfId="7585"/>
    <cellStyle name="Calculation 2 2 4 56 2" xfId="15302"/>
    <cellStyle name="Calculation 2 2 4 56 3" xfId="24295"/>
    <cellStyle name="Calculation 2 2 4 56 4" xfId="32482"/>
    <cellStyle name="Calculation 2 2 4 56 5" xfId="41725"/>
    <cellStyle name="Calculation 2 2 4 56 6" xfId="46147"/>
    <cellStyle name="Calculation 2 2 4 56 7" xfId="48638"/>
    <cellStyle name="Calculation 2 2 4 57" xfId="7861"/>
    <cellStyle name="Calculation 2 2 4 57 2" xfId="15578"/>
    <cellStyle name="Calculation 2 2 4 57 3" xfId="24565"/>
    <cellStyle name="Calculation 2 2 4 57 4" xfId="32758"/>
    <cellStyle name="Calculation 2 2 4 57 5" xfId="41990"/>
    <cellStyle name="Calculation 2 2 4 57 6" xfId="46423"/>
    <cellStyle name="Calculation 2 2 4 57 7" xfId="49578"/>
    <cellStyle name="Calculation 2 2 4 58" xfId="7964"/>
    <cellStyle name="Calculation 2 2 4 58 2" xfId="15681"/>
    <cellStyle name="Calculation 2 2 4 58 3" xfId="24667"/>
    <cellStyle name="Calculation 2 2 4 58 4" xfId="32861"/>
    <cellStyle name="Calculation 2 2 4 58 5" xfId="42089"/>
    <cellStyle name="Calculation 2 2 4 58 6" xfId="46526"/>
    <cellStyle name="Calculation 2 2 4 58 7" xfId="53757"/>
    <cellStyle name="Calculation 2 2 4 59" xfId="8087"/>
    <cellStyle name="Calculation 2 2 4 59 2" xfId="15804"/>
    <cellStyle name="Calculation 2 2 4 59 3" xfId="24788"/>
    <cellStyle name="Calculation 2 2 4 59 4" xfId="32984"/>
    <cellStyle name="Calculation 2 2 4 59 5" xfId="42206"/>
    <cellStyle name="Calculation 2 2 4 59 6" xfId="46649"/>
    <cellStyle name="Calculation 2 2 4 59 7" xfId="49716"/>
    <cellStyle name="Calculation 2 2 4 6" xfId="1482"/>
    <cellStyle name="Calculation 2 2 4 6 2" xfId="9305"/>
    <cellStyle name="Calculation 2 2 4 6 3" xfId="16733"/>
    <cellStyle name="Calculation 2 2 4 6 4" xfId="26467"/>
    <cellStyle name="Calculation 2 2 4 6 5" xfId="35246"/>
    <cellStyle name="Calculation 2 2 4 6 6" xfId="39640"/>
    <cellStyle name="Calculation 2 2 4 6 7" xfId="54000"/>
    <cellStyle name="Calculation 2 2 4 60" xfId="8137"/>
    <cellStyle name="Calculation 2 2 4 60 2" xfId="15854"/>
    <cellStyle name="Calculation 2 2 4 60 3" xfId="33034"/>
    <cellStyle name="Calculation 2 2 4 60 4" xfId="42254"/>
    <cellStyle name="Calculation 2 2 4 60 5" xfId="46699"/>
    <cellStyle name="Calculation 2 2 4 60 6" xfId="50263"/>
    <cellStyle name="Calculation 2 2 4 61" xfId="20701"/>
    <cellStyle name="Calculation 2 2 4 62" xfId="27664"/>
    <cellStyle name="Calculation 2 2 4 63" xfId="36927"/>
    <cellStyle name="Calculation 2 2 4 64" xfId="49408"/>
    <cellStyle name="Calculation 2 2 4 7" xfId="1272"/>
    <cellStyle name="Calculation 2 2 4 7 2" xfId="9095"/>
    <cellStyle name="Calculation 2 2 4 7 3" xfId="16523"/>
    <cellStyle name="Calculation 2 2 4 7 4" xfId="19278"/>
    <cellStyle name="Calculation 2 2 4 7 5" xfId="28522"/>
    <cellStyle name="Calculation 2 2 4 7 6" xfId="40903"/>
    <cellStyle name="Calculation 2 2 4 7 7" xfId="46793"/>
    <cellStyle name="Calculation 2 2 4 8" xfId="1719"/>
    <cellStyle name="Calculation 2 2 4 8 2" xfId="9542"/>
    <cellStyle name="Calculation 2 2 4 8 3" xfId="16970"/>
    <cellStyle name="Calculation 2 2 4 8 4" xfId="25764"/>
    <cellStyle name="Calculation 2 2 4 8 5" xfId="34319"/>
    <cellStyle name="Calculation 2 2 4 8 6" xfId="36383"/>
    <cellStyle name="Calculation 2 2 4 8 7" xfId="52462"/>
    <cellStyle name="Calculation 2 2 4 9" xfId="1853"/>
    <cellStyle name="Calculation 2 2 4 9 2" xfId="9676"/>
    <cellStyle name="Calculation 2 2 4 9 3" xfId="17104"/>
    <cellStyle name="Calculation 2 2 4 9 4" xfId="26020"/>
    <cellStyle name="Calculation 2 2 4 9 5" xfId="34649"/>
    <cellStyle name="Calculation 2 2 4 9 6" xfId="41836"/>
    <cellStyle name="Calculation 2 2 4 9 7" xfId="53037"/>
    <cellStyle name="Calculation 2 2 40" xfId="4266"/>
    <cellStyle name="Calculation 2 2 40 2" xfId="11985"/>
    <cellStyle name="Calculation 2 2 40 3" xfId="20976"/>
    <cellStyle name="Calculation 2 2 40 4" xfId="29163"/>
    <cellStyle name="Calculation 2 2 40 5" xfId="38536"/>
    <cellStyle name="Calculation 2 2 40 6" xfId="42828"/>
    <cellStyle name="Calculation 2 2 40 7" xfId="51710"/>
    <cellStyle name="Calculation 2 2 41" xfId="4081"/>
    <cellStyle name="Calculation 2 2 41 2" xfId="11841"/>
    <cellStyle name="Calculation 2 2 41 3" xfId="20791"/>
    <cellStyle name="Calculation 2 2 41 4" xfId="28978"/>
    <cellStyle name="Calculation 2 2 41 5" xfId="38357"/>
    <cellStyle name="Calculation 2 2 41 6" xfId="42643"/>
    <cellStyle name="Calculation 2 2 41 7" xfId="47964"/>
    <cellStyle name="Calculation 2 2 42" xfId="5096"/>
    <cellStyle name="Calculation 2 2 42 2" xfId="12813"/>
    <cellStyle name="Calculation 2 2 42 3" xfId="21806"/>
    <cellStyle name="Calculation 2 2 42 4" xfId="29993"/>
    <cellStyle name="Calculation 2 2 42 5" xfId="39335"/>
    <cellStyle name="Calculation 2 2 42 6" xfId="43658"/>
    <cellStyle name="Calculation 2 2 42 7" xfId="51298"/>
    <cellStyle name="Calculation 2 2 43" xfId="5233"/>
    <cellStyle name="Calculation 2 2 43 2" xfId="12950"/>
    <cellStyle name="Calculation 2 2 43 3" xfId="21943"/>
    <cellStyle name="Calculation 2 2 43 4" xfId="30130"/>
    <cellStyle name="Calculation 2 2 43 5" xfId="39465"/>
    <cellStyle name="Calculation 2 2 43 6" xfId="43795"/>
    <cellStyle name="Calculation 2 2 43 7" xfId="53411"/>
    <cellStyle name="Calculation 2 2 44" xfId="5254"/>
    <cellStyle name="Calculation 2 2 44 2" xfId="12971"/>
    <cellStyle name="Calculation 2 2 44 3" xfId="21964"/>
    <cellStyle name="Calculation 2 2 44 4" xfId="30151"/>
    <cellStyle name="Calculation 2 2 44 5" xfId="39486"/>
    <cellStyle name="Calculation 2 2 44 6" xfId="43816"/>
    <cellStyle name="Calculation 2 2 44 7" xfId="51265"/>
    <cellStyle name="Calculation 2 2 45" xfId="5326"/>
    <cellStyle name="Calculation 2 2 45 2" xfId="13043"/>
    <cellStyle name="Calculation 2 2 45 3" xfId="22036"/>
    <cellStyle name="Calculation 2 2 45 4" xfId="30223"/>
    <cellStyle name="Calculation 2 2 45 5" xfId="39557"/>
    <cellStyle name="Calculation 2 2 45 6" xfId="43888"/>
    <cellStyle name="Calculation 2 2 45 7" xfId="51372"/>
    <cellStyle name="Calculation 2 2 46" xfId="5287"/>
    <cellStyle name="Calculation 2 2 46 2" xfId="13004"/>
    <cellStyle name="Calculation 2 2 46 3" xfId="21997"/>
    <cellStyle name="Calculation 2 2 46 4" xfId="30184"/>
    <cellStyle name="Calculation 2 2 46 5" xfId="39518"/>
    <cellStyle name="Calculation 2 2 46 6" xfId="43849"/>
    <cellStyle name="Calculation 2 2 46 7" xfId="51663"/>
    <cellStyle name="Calculation 2 2 47" xfId="5363"/>
    <cellStyle name="Calculation 2 2 47 2" xfId="13080"/>
    <cellStyle name="Calculation 2 2 47 3" xfId="22073"/>
    <cellStyle name="Calculation 2 2 47 4" xfId="30260"/>
    <cellStyle name="Calculation 2 2 47 5" xfId="39592"/>
    <cellStyle name="Calculation 2 2 47 6" xfId="43925"/>
    <cellStyle name="Calculation 2 2 47 7" xfId="49728"/>
    <cellStyle name="Calculation 2 2 48" xfId="5367"/>
    <cellStyle name="Calculation 2 2 48 2" xfId="13084"/>
    <cellStyle name="Calculation 2 2 48 3" xfId="22077"/>
    <cellStyle name="Calculation 2 2 48 4" xfId="30264"/>
    <cellStyle name="Calculation 2 2 48 5" xfId="39596"/>
    <cellStyle name="Calculation 2 2 48 6" xfId="43929"/>
    <cellStyle name="Calculation 2 2 48 7" xfId="48378"/>
    <cellStyle name="Calculation 2 2 49" xfId="5941"/>
    <cellStyle name="Calculation 2 2 49 2" xfId="13658"/>
    <cellStyle name="Calculation 2 2 49 3" xfId="22651"/>
    <cellStyle name="Calculation 2 2 49 4" xfId="30838"/>
    <cellStyle name="Calculation 2 2 49 5" xfId="40149"/>
    <cellStyle name="Calculation 2 2 49 6" xfId="44503"/>
    <cellStyle name="Calculation 2 2 49 7" xfId="53288"/>
    <cellStyle name="Calculation 2 2 5" xfId="551"/>
    <cellStyle name="Calculation 2 2 5 10" xfId="1998"/>
    <cellStyle name="Calculation 2 2 5 10 2" xfId="9821"/>
    <cellStyle name="Calculation 2 2 5 10 3" xfId="17249"/>
    <cellStyle name="Calculation 2 2 5 10 4" xfId="26027"/>
    <cellStyle name="Calculation 2 2 5 10 5" xfId="34657"/>
    <cellStyle name="Calculation 2 2 5 10 6" xfId="39583"/>
    <cellStyle name="Calculation 2 2 5 10 7" xfId="53050"/>
    <cellStyle name="Calculation 2 2 5 11" xfId="2116"/>
    <cellStyle name="Calculation 2 2 5 11 2" xfId="9939"/>
    <cellStyle name="Calculation 2 2 5 11 3" xfId="17367"/>
    <cellStyle name="Calculation 2 2 5 11 4" xfId="26206"/>
    <cellStyle name="Calculation 2 2 5 11 5" xfId="34888"/>
    <cellStyle name="Calculation 2 2 5 11 6" xfId="38452"/>
    <cellStyle name="Calculation 2 2 5 11 7" xfId="53438"/>
    <cellStyle name="Calculation 2 2 5 12" xfId="2229"/>
    <cellStyle name="Calculation 2 2 5 12 2" xfId="10052"/>
    <cellStyle name="Calculation 2 2 5 12 3" xfId="17480"/>
    <cellStyle name="Calculation 2 2 5 12 4" xfId="19205"/>
    <cellStyle name="Calculation 2 2 5 12 5" xfId="27510"/>
    <cellStyle name="Calculation 2 2 5 12 6" xfId="41999"/>
    <cellStyle name="Calculation 2 2 5 12 7" xfId="49949"/>
    <cellStyle name="Calculation 2 2 5 13" xfId="1970"/>
    <cellStyle name="Calculation 2 2 5 13 2" xfId="9793"/>
    <cellStyle name="Calculation 2 2 5 13 3" xfId="17221"/>
    <cellStyle name="Calculation 2 2 5 13 4" xfId="19259"/>
    <cellStyle name="Calculation 2 2 5 13 5" xfId="28054"/>
    <cellStyle name="Calculation 2 2 5 13 6" xfId="38374"/>
    <cellStyle name="Calculation 2 2 5 13 7" xfId="49426"/>
    <cellStyle name="Calculation 2 2 5 14" xfId="1290"/>
    <cellStyle name="Calculation 2 2 5 14 2" xfId="9113"/>
    <cellStyle name="Calculation 2 2 5 14 3" xfId="16541"/>
    <cellStyle name="Calculation 2 2 5 14 4" xfId="19539"/>
    <cellStyle name="Calculation 2 2 5 14 5" xfId="27577"/>
    <cellStyle name="Calculation 2 2 5 14 6" xfId="39032"/>
    <cellStyle name="Calculation 2 2 5 14 7" xfId="46783"/>
    <cellStyle name="Calculation 2 2 5 15" xfId="2527"/>
    <cellStyle name="Calculation 2 2 5 15 2" xfId="10350"/>
    <cellStyle name="Calculation 2 2 5 15 3" xfId="17778"/>
    <cellStyle name="Calculation 2 2 5 15 4" xfId="19086"/>
    <cellStyle name="Calculation 2 2 5 15 5" xfId="28678"/>
    <cellStyle name="Calculation 2 2 5 15 6" xfId="36979"/>
    <cellStyle name="Calculation 2 2 5 15 7" xfId="48110"/>
    <cellStyle name="Calculation 2 2 5 16" xfId="2640"/>
    <cellStyle name="Calculation 2 2 5 16 2" xfId="10463"/>
    <cellStyle name="Calculation 2 2 5 16 3" xfId="17891"/>
    <cellStyle name="Calculation 2 2 5 16 4" xfId="25619"/>
    <cellStyle name="Calculation 2 2 5 16 5" xfId="34133"/>
    <cellStyle name="Calculation 2 2 5 16 6" xfId="38462"/>
    <cellStyle name="Calculation 2 2 5 16 7" xfId="52129"/>
    <cellStyle name="Calculation 2 2 5 17" xfId="1194"/>
    <cellStyle name="Calculation 2 2 5 17 2" xfId="9017"/>
    <cellStyle name="Calculation 2 2 5 17 3" xfId="16445"/>
    <cellStyle name="Calculation 2 2 5 17 4" xfId="25440"/>
    <cellStyle name="Calculation 2 2 5 17 5" xfId="33900"/>
    <cellStyle name="Calculation 2 2 5 17 6" xfId="36854"/>
    <cellStyle name="Calculation 2 2 5 17 7" xfId="51727"/>
    <cellStyle name="Calculation 2 2 5 18" xfId="2732"/>
    <cellStyle name="Calculation 2 2 5 18 2" xfId="10555"/>
    <cellStyle name="Calculation 2 2 5 18 3" xfId="17983"/>
    <cellStyle name="Calculation 2 2 5 18 4" xfId="19435"/>
    <cellStyle name="Calculation 2 2 5 18 5" xfId="28469"/>
    <cellStyle name="Calculation 2 2 5 18 6" xfId="37131"/>
    <cellStyle name="Calculation 2 2 5 18 7" xfId="47406"/>
    <cellStyle name="Calculation 2 2 5 19" xfId="2833"/>
    <cellStyle name="Calculation 2 2 5 19 2" xfId="10656"/>
    <cellStyle name="Calculation 2 2 5 19 3" xfId="18084"/>
    <cellStyle name="Calculation 2 2 5 19 4" xfId="25481"/>
    <cellStyle name="Calculation 2 2 5 19 5" xfId="33955"/>
    <cellStyle name="Calculation 2 2 5 19 6" xfId="41033"/>
    <cellStyle name="Calculation 2 2 5 19 7" xfId="51835"/>
    <cellStyle name="Calculation 2 2 5 2" xfId="701"/>
    <cellStyle name="Calculation 2 2 5 2 2" xfId="8525"/>
    <cellStyle name="Calculation 2 2 5 2 3" xfId="15953"/>
    <cellStyle name="Calculation 2 2 5 2 4" xfId="26281"/>
    <cellStyle name="Calculation 2 2 5 2 5" xfId="34985"/>
    <cellStyle name="Calculation 2 2 5 2 6" xfId="37596"/>
    <cellStyle name="Calculation 2 2 5 2 7" xfId="53599"/>
    <cellStyle name="Calculation 2 2 5 20" xfId="2940"/>
    <cellStyle name="Calculation 2 2 5 20 2" xfId="10763"/>
    <cellStyle name="Calculation 2 2 5 20 3" xfId="18191"/>
    <cellStyle name="Calculation 2 2 5 20 4" xfId="25614"/>
    <cellStyle name="Calculation 2 2 5 20 5" xfId="34126"/>
    <cellStyle name="Calculation 2 2 5 20 6" xfId="39577"/>
    <cellStyle name="Calculation 2 2 5 20 7" xfId="52120"/>
    <cellStyle name="Calculation 2 2 5 21" xfId="3316"/>
    <cellStyle name="Calculation 2 2 5 21 2" xfId="11109"/>
    <cellStyle name="Calculation 2 2 5 21 3" xfId="18438"/>
    <cellStyle name="Calculation 2 2 5 21 4" xfId="19276"/>
    <cellStyle name="Calculation 2 2 5 21 5" xfId="26776"/>
    <cellStyle name="Calculation 2 2 5 21 6" xfId="38114"/>
    <cellStyle name="Calculation 2 2 5 21 7" xfId="50370"/>
    <cellStyle name="Calculation 2 2 5 22" xfId="3436"/>
    <cellStyle name="Calculation 2 2 5 22 2" xfId="11227"/>
    <cellStyle name="Calculation 2 2 5 22 3" xfId="18549"/>
    <cellStyle name="Calculation 2 2 5 22 4" xfId="26459"/>
    <cellStyle name="Calculation 2 2 5 22 5" xfId="35236"/>
    <cellStyle name="Calculation 2 2 5 22 6" xfId="39344"/>
    <cellStyle name="Calculation 2 2 5 22 7" xfId="53978"/>
    <cellStyle name="Calculation 2 2 5 23" xfId="3595"/>
    <cellStyle name="Calculation 2 2 5 23 2" xfId="11381"/>
    <cellStyle name="Calculation 2 2 5 23 3" xfId="18656"/>
    <cellStyle name="Calculation 2 2 5 23 4" xfId="25844"/>
    <cellStyle name="Calculation 2 2 5 23 5" xfId="34430"/>
    <cellStyle name="Calculation 2 2 5 23 6" xfId="39922"/>
    <cellStyle name="Calculation 2 2 5 23 7" xfId="52660"/>
    <cellStyle name="Calculation 2 2 5 24" xfId="3707"/>
    <cellStyle name="Calculation 2 2 5 24 2" xfId="11492"/>
    <cellStyle name="Calculation 2 2 5 24 3" xfId="18765"/>
    <cellStyle name="Calculation 2 2 5 24 4" xfId="19723"/>
    <cellStyle name="Calculation 2 2 5 24 5" xfId="27404"/>
    <cellStyle name="Calculation 2 2 5 24 6" xfId="38211"/>
    <cellStyle name="Calculation 2 2 5 24 7" xfId="48642"/>
    <cellStyle name="Calculation 2 2 5 25" xfId="3837"/>
    <cellStyle name="Calculation 2 2 5 25 2" xfId="11619"/>
    <cellStyle name="Calculation 2 2 5 25 3" xfId="18876"/>
    <cellStyle name="Calculation 2 2 5 25 4" xfId="19660"/>
    <cellStyle name="Calculation 2 2 5 25 5" xfId="28533"/>
    <cellStyle name="Calculation 2 2 5 25 6" xfId="38260"/>
    <cellStyle name="Calculation 2 2 5 25 7" xfId="47509"/>
    <cellStyle name="Calculation 2 2 5 26" xfId="3955"/>
    <cellStyle name="Calculation 2 2 5 26 2" xfId="11735"/>
    <cellStyle name="Calculation 2 2 5 26 3" xfId="18985"/>
    <cellStyle name="Calculation 2 2 5 26 4" xfId="26502"/>
    <cellStyle name="Calculation 2 2 5 26 5" xfId="35296"/>
    <cellStyle name="Calculation 2 2 5 26 6" xfId="41103"/>
    <cellStyle name="Calculation 2 2 5 26 7" xfId="54080"/>
    <cellStyle name="Calculation 2 2 5 27" xfId="3173"/>
    <cellStyle name="Calculation 2 2 5 27 2" xfId="10974"/>
    <cellStyle name="Calculation 2 2 5 27 3" xfId="20306"/>
    <cellStyle name="Calculation 2 2 5 27 4" xfId="28396"/>
    <cellStyle name="Calculation 2 2 5 27 5" xfId="37784"/>
    <cellStyle name="Calculation 2 2 5 27 6" xfId="42423"/>
    <cellStyle name="Calculation 2 2 5 27 7" xfId="52223"/>
    <cellStyle name="Calculation 2 2 5 28" xfId="4152"/>
    <cellStyle name="Calculation 2 2 5 28 2" xfId="11911"/>
    <cellStyle name="Calculation 2 2 5 28 3" xfId="20862"/>
    <cellStyle name="Calculation 2 2 5 28 4" xfId="29049"/>
    <cellStyle name="Calculation 2 2 5 28 5" xfId="38425"/>
    <cellStyle name="Calculation 2 2 5 28 6" xfId="42714"/>
    <cellStyle name="Calculation 2 2 5 28 7" xfId="49203"/>
    <cellStyle name="Calculation 2 2 5 29" xfId="4209"/>
    <cellStyle name="Calculation 2 2 5 29 2" xfId="20919"/>
    <cellStyle name="Calculation 2 2 5 29 3" xfId="29106"/>
    <cellStyle name="Calculation 2 2 5 29 4" xfId="38482"/>
    <cellStyle name="Calculation 2 2 5 29 5" xfId="42771"/>
    <cellStyle name="Calculation 2 2 5 29 6" xfId="50796"/>
    <cellStyle name="Calculation 2 2 5 3" xfId="809"/>
    <cellStyle name="Calculation 2 2 5 3 2" xfId="8633"/>
    <cellStyle name="Calculation 2 2 5 3 3" xfId="16061"/>
    <cellStyle name="Calculation 2 2 5 3 4" xfId="19094"/>
    <cellStyle name="Calculation 2 2 5 3 5" xfId="26967"/>
    <cellStyle name="Calculation 2 2 5 3 6" xfId="36534"/>
    <cellStyle name="Calculation 2 2 5 3 7" xfId="47305"/>
    <cellStyle name="Calculation 2 2 5 30" xfId="4349"/>
    <cellStyle name="Calculation 2 2 5 30 2" xfId="12066"/>
    <cellStyle name="Calculation 2 2 5 30 3" xfId="21059"/>
    <cellStyle name="Calculation 2 2 5 30 4" xfId="29246"/>
    <cellStyle name="Calculation 2 2 5 30 5" xfId="38616"/>
    <cellStyle name="Calculation 2 2 5 30 6" xfId="42911"/>
    <cellStyle name="Calculation 2 2 5 30 7" xfId="48190"/>
    <cellStyle name="Calculation 2 2 5 31" xfId="4472"/>
    <cellStyle name="Calculation 2 2 5 31 2" xfId="12189"/>
    <cellStyle name="Calculation 2 2 5 31 3" xfId="21182"/>
    <cellStyle name="Calculation 2 2 5 31 4" xfId="29369"/>
    <cellStyle name="Calculation 2 2 5 31 5" xfId="38734"/>
    <cellStyle name="Calculation 2 2 5 31 6" xfId="43034"/>
    <cellStyle name="Calculation 2 2 5 31 7" xfId="54390"/>
    <cellStyle name="Calculation 2 2 5 32" xfId="4586"/>
    <cellStyle name="Calculation 2 2 5 32 2" xfId="12303"/>
    <cellStyle name="Calculation 2 2 5 32 3" xfId="21296"/>
    <cellStyle name="Calculation 2 2 5 32 4" xfId="29483"/>
    <cellStyle name="Calculation 2 2 5 32 5" xfId="38843"/>
    <cellStyle name="Calculation 2 2 5 32 6" xfId="43148"/>
    <cellStyle name="Calculation 2 2 5 32 7" xfId="51059"/>
    <cellStyle name="Calculation 2 2 5 33" xfId="4699"/>
    <cellStyle name="Calculation 2 2 5 33 2" xfId="12416"/>
    <cellStyle name="Calculation 2 2 5 33 3" xfId="21409"/>
    <cellStyle name="Calculation 2 2 5 33 4" xfId="29596"/>
    <cellStyle name="Calculation 2 2 5 33 5" xfId="38952"/>
    <cellStyle name="Calculation 2 2 5 33 6" xfId="43261"/>
    <cellStyle name="Calculation 2 2 5 33 7" xfId="54481"/>
    <cellStyle name="Calculation 2 2 5 34" xfId="4810"/>
    <cellStyle name="Calculation 2 2 5 34 2" xfId="12527"/>
    <cellStyle name="Calculation 2 2 5 34 3" xfId="21520"/>
    <cellStyle name="Calculation 2 2 5 34 4" xfId="29707"/>
    <cellStyle name="Calculation 2 2 5 34 5" xfId="39060"/>
    <cellStyle name="Calculation 2 2 5 34 6" xfId="43372"/>
    <cellStyle name="Calculation 2 2 5 34 7" xfId="50711"/>
    <cellStyle name="Calculation 2 2 5 35" xfId="4919"/>
    <cellStyle name="Calculation 2 2 5 35 2" xfId="12636"/>
    <cellStyle name="Calculation 2 2 5 35 3" xfId="21629"/>
    <cellStyle name="Calculation 2 2 5 35 4" xfId="29816"/>
    <cellStyle name="Calculation 2 2 5 35 5" xfId="39164"/>
    <cellStyle name="Calculation 2 2 5 35 6" xfId="43481"/>
    <cellStyle name="Calculation 2 2 5 35 7" xfId="51595"/>
    <cellStyle name="Calculation 2 2 5 36" xfId="5030"/>
    <cellStyle name="Calculation 2 2 5 36 2" xfId="12747"/>
    <cellStyle name="Calculation 2 2 5 36 3" xfId="21740"/>
    <cellStyle name="Calculation 2 2 5 36 4" xfId="29927"/>
    <cellStyle name="Calculation 2 2 5 36 5" xfId="39272"/>
    <cellStyle name="Calculation 2 2 5 36 6" xfId="43592"/>
    <cellStyle name="Calculation 2 2 5 36 7" xfId="50946"/>
    <cellStyle name="Calculation 2 2 5 37" xfId="5409"/>
    <cellStyle name="Calculation 2 2 5 37 2" xfId="13126"/>
    <cellStyle name="Calculation 2 2 5 37 3" xfId="22119"/>
    <cellStyle name="Calculation 2 2 5 37 4" xfId="30306"/>
    <cellStyle name="Calculation 2 2 5 37 5" xfId="39636"/>
    <cellStyle name="Calculation 2 2 5 37 6" xfId="43971"/>
    <cellStyle name="Calculation 2 2 5 37 7" xfId="50473"/>
    <cellStyle name="Calculation 2 2 5 38" xfId="5529"/>
    <cellStyle name="Calculation 2 2 5 38 2" xfId="13246"/>
    <cellStyle name="Calculation 2 2 5 38 3" xfId="22239"/>
    <cellStyle name="Calculation 2 2 5 38 4" xfId="30426"/>
    <cellStyle name="Calculation 2 2 5 38 5" xfId="39750"/>
    <cellStyle name="Calculation 2 2 5 38 6" xfId="44091"/>
    <cellStyle name="Calculation 2 2 5 38 7" xfId="47973"/>
    <cellStyle name="Calculation 2 2 5 39" xfId="5653"/>
    <cellStyle name="Calculation 2 2 5 39 2" xfId="13370"/>
    <cellStyle name="Calculation 2 2 5 39 3" xfId="22363"/>
    <cellStyle name="Calculation 2 2 5 39 4" xfId="30550"/>
    <cellStyle name="Calculation 2 2 5 39 5" xfId="39870"/>
    <cellStyle name="Calculation 2 2 5 39 6" xfId="44215"/>
    <cellStyle name="Calculation 2 2 5 39 7" xfId="47113"/>
    <cellStyle name="Calculation 2 2 5 4" xfId="920"/>
    <cellStyle name="Calculation 2 2 5 4 2" xfId="8744"/>
    <cellStyle name="Calculation 2 2 5 4 3" xfId="16172"/>
    <cellStyle name="Calculation 2 2 5 4 4" xfId="25572"/>
    <cellStyle name="Calculation 2 2 5 4 5" xfId="34072"/>
    <cellStyle name="Calculation 2 2 5 4 6" xfId="37264"/>
    <cellStyle name="Calculation 2 2 5 4 7" xfId="52023"/>
    <cellStyle name="Calculation 2 2 5 40" xfId="5769"/>
    <cellStyle name="Calculation 2 2 5 40 2" xfId="13486"/>
    <cellStyle name="Calculation 2 2 5 40 3" xfId="22479"/>
    <cellStyle name="Calculation 2 2 5 40 4" xfId="30666"/>
    <cellStyle name="Calculation 2 2 5 40 5" xfId="39982"/>
    <cellStyle name="Calculation 2 2 5 40 6" xfId="44331"/>
    <cellStyle name="Calculation 2 2 5 40 7" xfId="50260"/>
    <cellStyle name="Calculation 2 2 5 41" xfId="5885"/>
    <cellStyle name="Calculation 2 2 5 41 2" xfId="13602"/>
    <cellStyle name="Calculation 2 2 5 41 3" xfId="22595"/>
    <cellStyle name="Calculation 2 2 5 41 4" xfId="30782"/>
    <cellStyle name="Calculation 2 2 5 41 5" xfId="40095"/>
    <cellStyle name="Calculation 2 2 5 41 6" xfId="44447"/>
    <cellStyle name="Calculation 2 2 5 41 7" xfId="47496"/>
    <cellStyle name="Calculation 2 2 5 42" xfId="6014"/>
    <cellStyle name="Calculation 2 2 5 42 2" xfId="13731"/>
    <cellStyle name="Calculation 2 2 5 42 3" xfId="22724"/>
    <cellStyle name="Calculation 2 2 5 42 4" xfId="30911"/>
    <cellStyle name="Calculation 2 2 5 42 5" xfId="40219"/>
    <cellStyle name="Calculation 2 2 5 42 6" xfId="44576"/>
    <cellStyle name="Calculation 2 2 5 42 7" xfId="53084"/>
    <cellStyle name="Calculation 2 2 5 43" xfId="6141"/>
    <cellStyle name="Calculation 2 2 5 43 2" xfId="13858"/>
    <cellStyle name="Calculation 2 2 5 43 3" xfId="22851"/>
    <cellStyle name="Calculation 2 2 5 43 4" xfId="31038"/>
    <cellStyle name="Calculation 2 2 5 43 5" xfId="40339"/>
    <cellStyle name="Calculation 2 2 5 43 6" xfId="44703"/>
    <cellStyle name="Calculation 2 2 5 43 7" xfId="48130"/>
    <cellStyle name="Calculation 2 2 5 44" xfId="6270"/>
    <cellStyle name="Calculation 2 2 5 44 2" xfId="13987"/>
    <cellStyle name="Calculation 2 2 5 44 3" xfId="22980"/>
    <cellStyle name="Calculation 2 2 5 44 4" xfId="31167"/>
    <cellStyle name="Calculation 2 2 5 44 5" xfId="40467"/>
    <cellStyle name="Calculation 2 2 5 44 6" xfId="44832"/>
    <cellStyle name="Calculation 2 2 5 44 7" xfId="48473"/>
    <cellStyle name="Calculation 2 2 5 45" xfId="6386"/>
    <cellStyle name="Calculation 2 2 5 45 2" xfId="14103"/>
    <cellStyle name="Calculation 2 2 5 45 3" xfId="23096"/>
    <cellStyle name="Calculation 2 2 5 45 4" xfId="31283"/>
    <cellStyle name="Calculation 2 2 5 45 5" xfId="40580"/>
    <cellStyle name="Calculation 2 2 5 45 6" xfId="44948"/>
    <cellStyle name="Calculation 2 2 5 45 7" xfId="51238"/>
    <cellStyle name="Calculation 2 2 5 46" xfId="6497"/>
    <cellStyle name="Calculation 2 2 5 46 2" xfId="14214"/>
    <cellStyle name="Calculation 2 2 5 46 3" xfId="23207"/>
    <cellStyle name="Calculation 2 2 5 46 4" xfId="31394"/>
    <cellStyle name="Calculation 2 2 5 46 5" xfId="40687"/>
    <cellStyle name="Calculation 2 2 5 46 6" xfId="45059"/>
    <cellStyle name="Calculation 2 2 5 46 7" xfId="54413"/>
    <cellStyle name="Calculation 2 2 5 47" xfId="6300"/>
    <cellStyle name="Calculation 2 2 5 47 2" xfId="14017"/>
    <cellStyle name="Calculation 2 2 5 47 3" xfId="23010"/>
    <cellStyle name="Calculation 2 2 5 47 4" xfId="31197"/>
    <cellStyle name="Calculation 2 2 5 47 5" xfId="40497"/>
    <cellStyle name="Calculation 2 2 5 47 6" xfId="44862"/>
    <cellStyle name="Calculation 2 2 5 47 7" xfId="54250"/>
    <cellStyle name="Calculation 2 2 5 48" xfId="6643"/>
    <cellStyle name="Calculation 2 2 5 48 2" xfId="14360"/>
    <cellStyle name="Calculation 2 2 5 48 3" xfId="23353"/>
    <cellStyle name="Calculation 2 2 5 48 4" xfId="31540"/>
    <cellStyle name="Calculation 2 2 5 48 5" xfId="40826"/>
    <cellStyle name="Calculation 2 2 5 48 6" xfId="45205"/>
    <cellStyle name="Calculation 2 2 5 48 7" xfId="53869"/>
    <cellStyle name="Calculation 2 2 5 49" xfId="6755"/>
    <cellStyle name="Calculation 2 2 5 49 2" xfId="14472"/>
    <cellStyle name="Calculation 2 2 5 49 3" xfId="23465"/>
    <cellStyle name="Calculation 2 2 5 49 4" xfId="31652"/>
    <cellStyle name="Calculation 2 2 5 49 5" xfId="40932"/>
    <cellStyle name="Calculation 2 2 5 49 6" xfId="45317"/>
    <cellStyle name="Calculation 2 2 5 49 7" xfId="49095"/>
    <cellStyle name="Calculation 2 2 5 5" xfId="1386"/>
    <cellStyle name="Calculation 2 2 5 5 2" xfId="9209"/>
    <cellStyle name="Calculation 2 2 5 5 3" xfId="16637"/>
    <cellStyle name="Calculation 2 2 5 5 4" xfId="25250"/>
    <cellStyle name="Calculation 2 2 5 5 5" xfId="33655"/>
    <cellStyle name="Calculation 2 2 5 5 6" xfId="38084"/>
    <cellStyle name="Calculation 2 2 5 5 7" xfId="51324"/>
    <cellStyle name="Calculation 2 2 5 50" xfId="6870"/>
    <cellStyle name="Calculation 2 2 5 50 2" xfId="14587"/>
    <cellStyle name="Calculation 2 2 5 50 3" xfId="23580"/>
    <cellStyle name="Calculation 2 2 5 50 4" xfId="31767"/>
    <cellStyle name="Calculation 2 2 5 50 5" xfId="41040"/>
    <cellStyle name="Calculation 2 2 5 50 6" xfId="45432"/>
    <cellStyle name="Calculation 2 2 5 50 7" xfId="46896"/>
    <cellStyle name="Calculation 2 2 5 51" xfId="6983"/>
    <cellStyle name="Calculation 2 2 5 51 2" xfId="14700"/>
    <cellStyle name="Calculation 2 2 5 51 3" xfId="23693"/>
    <cellStyle name="Calculation 2 2 5 51 4" xfId="31880"/>
    <cellStyle name="Calculation 2 2 5 51 5" xfId="41148"/>
    <cellStyle name="Calculation 2 2 5 51 6" xfId="45545"/>
    <cellStyle name="Calculation 2 2 5 51 7" xfId="46782"/>
    <cellStyle name="Calculation 2 2 5 52" xfId="7094"/>
    <cellStyle name="Calculation 2 2 5 52 2" xfId="14811"/>
    <cellStyle name="Calculation 2 2 5 52 3" xfId="23804"/>
    <cellStyle name="Calculation 2 2 5 52 4" xfId="31991"/>
    <cellStyle name="Calculation 2 2 5 52 5" xfId="41253"/>
    <cellStyle name="Calculation 2 2 5 52 6" xfId="45656"/>
    <cellStyle name="Calculation 2 2 5 52 7" xfId="47427"/>
    <cellStyle name="Calculation 2 2 5 53" xfId="7183"/>
    <cellStyle name="Calculation 2 2 5 53 2" xfId="14900"/>
    <cellStyle name="Calculation 2 2 5 53 3" xfId="23893"/>
    <cellStyle name="Calculation 2 2 5 53 4" xfId="32080"/>
    <cellStyle name="Calculation 2 2 5 53 5" xfId="41341"/>
    <cellStyle name="Calculation 2 2 5 53 6" xfId="45745"/>
    <cellStyle name="Calculation 2 2 5 53 7" xfId="48030"/>
    <cellStyle name="Calculation 2 2 5 54" xfId="7288"/>
    <cellStyle name="Calculation 2 2 5 54 2" xfId="15005"/>
    <cellStyle name="Calculation 2 2 5 54 3" xfId="23998"/>
    <cellStyle name="Calculation 2 2 5 54 4" xfId="32185"/>
    <cellStyle name="Calculation 2 2 5 54 5" xfId="41441"/>
    <cellStyle name="Calculation 2 2 5 54 6" xfId="45850"/>
    <cellStyle name="Calculation 2 2 5 54 7" xfId="50558"/>
    <cellStyle name="Calculation 2 2 5 55" xfId="7491"/>
    <cellStyle name="Calculation 2 2 5 55 2" xfId="15208"/>
    <cellStyle name="Calculation 2 2 5 55 3" xfId="24201"/>
    <cellStyle name="Calculation 2 2 5 55 4" xfId="32388"/>
    <cellStyle name="Calculation 2 2 5 55 5" xfId="41636"/>
    <cellStyle name="Calculation 2 2 5 55 6" xfId="46053"/>
    <cellStyle name="Calculation 2 2 5 55 7" xfId="51122"/>
    <cellStyle name="Calculation 2 2 5 56" xfId="7612"/>
    <cellStyle name="Calculation 2 2 5 56 2" xfId="15329"/>
    <cellStyle name="Calculation 2 2 5 56 3" xfId="24322"/>
    <cellStyle name="Calculation 2 2 5 56 4" xfId="32509"/>
    <cellStyle name="Calculation 2 2 5 56 5" xfId="41751"/>
    <cellStyle name="Calculation 2 2 5 56 6" xfId="46174"/>
    <cellStyle name="Calculation 2 2 5 56 7" xfId="46993"/>
    <cellStyle name="Calculation 2 2 5 57" xfId="7888"/>
    <cellStyle name="Calculation 2 2 5 57 2" xfId="15605"/>
    <cellStyle name="Calculation 2 2 5 57 3" xfId="24592"/>
    <cellStyle name="Calculation 2 2 5 57 4" xfId="32785"/>
    <cellStyle name="Calculation 2 2 5 57 5" xfId="42016"/>
    <cellStyle name="Calculation 2 2 5 57 6" xfId="46450"/>
    <cellStyle name="Calculation 2 2 5 57 7" xfId="48196"/>
    <cellStyle name="Calculation 2 2 5 58" xfId="8016"/>
    <cellStyle name="Calculation 2 2 5 58 2" xfId="15733"/>
    <cellStyle name="Calculation 2 2 5 58 3" xfId="24718"/>
    <cellStyle name="Calculation 2 2 5 58 4" xfId="32913"/>
    <cellStyle name="Calculation 2 2 5 58 5" xfId="42139"/>
    <cellStyle name="Calculation 2 2 5 58 6" xfId="46578"/>
    <cellStyle name="Calculation 2 2 5 58 7" xfId="50130"/>
    <cellStyle name="Calculation 2 2 5 59" xfId="7785"/>
    <cellStyle name="Calculation 2 2 5 59 2" xfId="15502"/>
    <cellStyle name="Calculation 2 2 5 59 3" xfId="24491"/>
    <cellStyle name="Calculation 2 2 5 59 4" xfId="32682"/>
    <cellStyle name="Calculation 2 2 5 59 5" xfId="41917"/>
    <cellStyle name="Calculation 2 2 5 59 6" xfId="46347"/>
    <cellStyle name="Calculation 2 2 5 59 7" xfId="47883"/>
    <cellStyle name="Calculation 2 2 5 6" xfId="1509"/>
    <cellStyle name="Calculation 2 2 5 6 2" xfId="9332"/>
    <cellStyle name="Calculation 2 2 5 6 3" xfId="16760"/>
    <cellStyle name="Calculation 2 2 5 6 4" xfId="25234"/>
    <cellStyle name="Calculation 2 2 5 6 5" xfId="33638"/>
    <cellStyle name="Calculation 2 2 5 6 6" xfId="40468"/>
    <cellStyle name="Calculation 2 2 5 6 7" xfId="51292"/>
    <cellStyle name="Calculation 2 2 5 60" xfId="8164"/>
    <cellStyle name="Calculation 2 2 5 60 2" xfId="15881"/>
    <cellStyle name="Calculation 2 2 5 60 3" xfId="33061"/>
    <cellStyle name="Calculation 2 2 5 60 4" xfId="42280"/>
    <cellStyle name="Calculation 2 2 5 60 5" xfId="46726"/>
    <cellStyle name="Calculation 2 2 5 60 6" xfId="47003"/>
    <cellStyle name="Calculation 2 2 5 61" xfId="26600"/>
    <cellStyle name="Calculation 2 2 5 62" xfId="35426"/>
    <cellStyle name="Calculation 2 2 5 63" xfId="36274"/>
    <cellStyle name="Calculation 2 2 5 64" xfId="54281"/>
    <cellStyle name="Calculation 2 2 5 7" xfId="1099"/>
    <cellStyle name="Calculation 2 2 5 7 2" xfId="8923"/>
    <cellStyle name="Calculation 2 2 5 7 3" xfId="16351"/>
    <cellStyle name="Calculation 2 2 5 7 4" xfId="19756"/>
    <cellStyle name="Calculation 2 2 5 7 5" xfId="26800"/>
    <cellStyle name="Calculation 2 2 5 7 6" xfId="37098"/>
    <cellStyle name="Calculation 2 2 5 7 7" xfId="50329"/>
    <cellStyle name="Calculation 2 2 5 8" xfId="1746"/>
    <cellStyle name="Calculation 2 2 5 8 2" xfId="9569"/>
    <cellStyle name="Calculation 2 2 5 8 3" xfId="16997"/>
    <cellStyle name="Calculation 2 2 5 8 4" xfId="19318"/>
    <cellStyle name="Calculation 2 2 5 8 5" xfId="27913"/>
    <cellStyle name="Calculation 2 2 5 8 6" xfId="40214"/>
    <cellStyle name="Calculation 2 2 5 8 7" xfId="47979"/>
    <cellStyle name="Calculation 2 2 5 9" xfId="1880"/>
    <cellStyle name="Calculation 2 2 5 9 2" xfId="9703"/>
    <cellStyle name="Calculation 2 2 5 9 3" xfId="17131"/>
    <cellStyle name="Calculation 2 2 5 9 4" xfId="20428"/>
    <cellStyle name="Calculation 2 2 5 9 5" xfId="28084"/>
    <cellStyle name="Calculation 2 2 5 9 6" xfId="39126"/>
    <cellStyle name="Calculation 2 2 5 9 7" xfId="49598"/>
    <cellStyle name="Calculation 2 2 50" xfId="5235"/>
    <cellStyle name="Calculation 2 2 50 2" xfId="12952"/>
    <cellStyle name="Calculation 2 2 50 3" xfId="21945"/>
    <cellStyle name="Calculation 2 2 50 4" xfId="30132"/>
    <cellStyle name="Calculation 2 2 50 5" xfId="39467"/>
    <cellStyle name="Calculation 2 2 50 6" xfId="43797"/>
    <cellStyle name="Calculation 2 2 50 7" xfId="53203"/>
    <cellStyle name="Calculation 2 2 51" xfId="6199"/>
    <cellStyle name="Calculation 2 2 51 2" xfId="13916"/>
    <cellStyle name="Calculation 2 2 51 3" xfId="22909"/>
    <cellStyle name="Calculation 2 2 51 4" xfId="31096"/>
    <cellStyle name="Calculation 2 2 51 5" xfId="40397"/>
    <cellStyle name="Calculation 2 2 51 6" xfId="44761"/>
    <cellStyle name="Calculation 2 2 51 7" xfId="49764"/>
    <cellStyle name="Calculation 2 2 52" xfId="5344"/>
    <cellStyle name="Calculation 2 2 52 2" xfId="13061"/>
    <cellStyle name="Calculation 2 2 52 3" xfId="22054"/>
    <cellStyle name="Calculation 2 2 52 4" xfId="30241"/>
    <cellStyle name="Calculation 2 2 52 5" xfId="39573"/>
    <cellStyle name="Calculation 2 2 52 6" xfId="43906"/>
    <cellStyle name="Calculation 2 2 52 7" xfId="47378"/>
    <cellStyle name="Calculation 2 2 53" xfId="5940"/>
    <cellStyle name="Calculation 2 2 53 2" xfId="13657"/>
    <cellStyle name="Calculation 2 2 53 3" xfId="22650"/>
    <cellStyle name="Calculation 2 2 53 4" xfId="30837"/>
    <cellStyle name="Calculation 2 2 53 5" xfId="40148"/>
    <cellStyle name="Calculation 2 2 53 6" xfId="44502"/>
    <cellStyle name="Calculation 2 2 53 7" xfId="53393"/>
    <cellStyle name="Calculation 2 2 54" xfId="6119"/>
    <cellStyle name="Calculation 2 2 54 2" xfId="13836"/>
    <cellStyle name="Calculation 2 2 54 3" xfId="22829"/>
    <cellStyle name="Calculation 2 2 54 4" xfId="31016"/>
    <cellStyle name="Calculation 2 2 54 5" xfId="40318"/>
    <cellStyle name="Calculation 2 2 54 6" xfId="44681"/>
    <cellStyle name="Calculation 2 2 54 7" xfId="49258"/>
    <cellStyle name="Calculation 2 2 55" xfId="5077"/>
    <cellStyle name="Calculation 2 2 55 2" xfId="12794"/>
    <cellStyle name="Calculation 2 2 55 3" xfId="21787"/>
    <cellStyle name="Calculation 2 2 55 4" xfId="29974"/>
    <cellStyle name="Calculation 2 2 55 5" xfId="39317"/>
    <cellStyle name="Calculation 2 2 55 6" xfId="43639"/>
    <cellStyle name="Calculation 2 2 55 7" xfId="53233"/>
    <cellStyle name="Calculation 2 2 56" xfId="5923"/>
    <cellStyle name="Calculation 2 2 56 2" xfId="13640"/>
    <cellStyle name="Calculation 2 2 56 3" xfId="22633"/>
    <cellStyle name="Calculation 2 2 56 4" xfId="30820"/>
    <cellStyle name="Calculation 2 2 56 5" xfId="40132"/>
    <cellStyle name="Calculation 2 2 56 6" xfId="44485"/>
    <cellStyle name="Calculation 2 2 56 7" xfId="54324"/>
    <cellStyle name="Calculation 2 2 57" xfId="6131"/>
    <cellStyle name="Calculation 2 2 57 2" xfId="13848"/>
    <cellStyle name="Calculation 2 2 57 3" xfId="22841"/>
    <cellStyle name="Calculation 2 2 57 4" xfId="31028"/>
    <cellStyle name="Calculation 2 2 57 5" xfId="40329"/>
    <cellStyle name="Calculation 2 2 57 6" xfId="44693"/>
    <cellStyle name="Calculation 2 2 57 7" xfId="50147"/>
    <cellStyle name="Calculation 2 2 58" xfId="7148"/>
    <cellStyle name="Calculation 2 2 58 2" xfId="14865"/>
    <cellStyle name="Calculation 2 2 58 3" xfId="23858"/>
    <cellStyle name="Calculation 2 2 58 4" xfId="32045"/>
    <cellStyle name="Calculation 2 2 58 5" xfId="41307"/>
    <cellStyle name="Calculation 2 2 58 6" xfId="45710"/>
    <cellStyle name="Calculation 2 2 58 7" xfId="50427"/>
    <cellStyle name="Calculation 2 2 59" xfId="7133"/>
    <cellStyle name="Calculation 2 2 59 2" xfId="14850"/>
    <cellStyle name="Calculation 2 2 59 3" xfId="23843"/>
    <cellStyle name="Calculation 2 2 59 4" xfId="32030"/>
    <cellStyle name="Calculation 2 2 59 5" xfId="41292"/>
    <cellStyle name="Calculation 2 2 59 6" xfId="45695"/>
    <cellStyle name="Calculation 2 2 59 7" xfId="52138"/>
    <cellStyle name="Calculation 2 2 6" xfId="581"/>
    <cellStyle name="Calculation 2 2 6 10" xfId="2028"/>
    <cellStyle name="Calculation 2 2 6 10 2" xfId="9851"/>
    <cellStyle name="Calculation 2 2 6 10 3" xfId="17279"/>
    <cellStyle name="Calculation 2 2 6 10 4" xfId="19309"/>
    <cellStyle name="Calculation 2 2 6 10 5" xfId="27952"/>
    <cellStyle name="Calculation 2 2 6 10 6" xfId="40120"/>
    <cellStyle name="Calculation 2 2 6 10 7" xfId="49550"/>
    <cellStyle name="Calculation 2 2 6 11" xfId="2144"/>
    <cellStyle name="Calculation 2 2 6 11 2" xfId="9967"/>
    <cellStyle name="Calculation 2 2 6 11 3" xfId="17395"/>
    <cellStyle name="Calculation 2 2 6 11 4" xfId="24901"/>
    <cellStyle name="Calculation 2 2 6 11 5" xfId="33217"/>
    <cellStyle name="Calculation 2 2 6 11 6" xfId="38195"/>
    <cellStyle name="Calculation 2 2 6 11 7" xfId="50562"/>
    <cellStyle name="Calculation 2 2 6 12" xfId="2258"/>
    <cellStyle name="Calculation 2 2 6 12 2" xfId="10081"/>
    <cellStyle name="Calculation 2 2 6 12 3" xfId="17509"/>
    <cellStyle name="Calculation 2 2 6 12 4" xfId="26531"/>
    <cellStyle name="Calculation 2 2 6 12 5" xfId="35331"/>
    <cellStyle name="Calculation 2 2 6 12 6" xfId="38717"/>
    <cellStyle name="Calculation 2 2 6 12 7" xfId="54138"/>
    <cellStyle name="Calculation 2 2 6 13" xfId="1589"/>
    <cellStyle name="Calculation 2 2 6 13 2" xfId="9412"/>
    <cellStyle name="Calculation 2 2 6 13 3" xfId="16840"/>
    <cellStyle name="Calculation 2 2 6 13 4" xfId="25186"/>
    <cellStyle name="Calculation 2 2 6 13 5" xfId="33569"/>
    <cellStyle name="Calculation 2 2 6 13 6" xfId="36517"/>
    <cellStyle name="Calculation 2 2 6 13 7" xfId="51187"/>
    <cellStyle name="Calculation 2 2 6 14" xfId="1030"/>
    <cellStyle name="Calculation 2 2 6 14 2" xfId="8854"/>
    <cellStyle name="Calculation 2 2 6 14 3" xfId="16282"/>
    <cellStyle name="Calculation 2 2 6 14 4" xfId="25268"/>
    <cellStyle name="Calculation 2 2 6 14 5" xfId="33676"/>
    <cellStyle name="Calculation 2 2 6 14 6" xfId="37351"/>
    <cellStyle name="Calculation 2 2 6 14 7" xfId="51363"/>
    <cellStyle name="Calculation 2 2 6 15" xfId="2556"/>
    <cellStyle name="Calculation 2 2 6 15 2" xfId="10379"/>
    <cellStyle name="Calculation 2 2 6 15 3" xfId="17807"/>
    <cellStyle name="Calculation 2 2 6 15 4" xfId="19264"/>
    <cellStyle name="Calculation 2 2 6 15 5" xfId="28188"/>
    <cellStyle name="Calculation 2 2 6 15 6" xfId="39759"/>
    <cellStyle name="Calculation 2 2 6 15 7" xfId="48194"/>
    <cellStyle name="Calculation 2 2 6 16" xfId="2670"/>
    <cellStyle name="Calculation 2 2 6 16 2" xfId="10493"/>
    <cellStyle name="Calculation 2 2 6 16 3" xfId="17921"/>
    <cellStyle name="Calculation 2 2 6 16 4" xfId="19543"/>
    <cellStyle name="Calculation 2 2 6 16 5" xfId="28232"/>
    <cellStyle name="Calculation 2 2 6 16 6" xfId="39088"/>
    <cellStyle name="Calculation 2 2 6 16 7" xfId="48703"/>
    <cellStyle name="Calculation 2 2 6 17" xfId="2340"/>
    <cellStyle name="Calculation 2 2 6 17 2" xfId="10163"/>
    <cellStyle name="Calculation 2 2 6 17 3" xfId="17591"/>
    <cellStyle name="Calculation 2 2 6 17 4" xfId="25988"/>
    <cellStyle name="Calculation 2 2 6 17 5" xfId="34610"/>
    <cellStyle name="Calculation 2 2 6 17 6" xfId="39381"/>
    <cellStyle name="Calculation 2 2 6 17 7" xfId="52972"/>
    <cellStyle name="Calculation 2 2 6 18" xfId="2430"/>
    <cellStyle name="Calculation 2 2 6 18 2" xfId="10253"/>
    <cellStyle name="Calculation 2 2 6 18 3" xfId="17681"/>
    <cellStyle name="Calculation 2 2 6 18 4" xfId="19834"/>
    <cellStyle name="Calculation 2 2 6 18 5" xfId="28258"/>
    <cellStyle name="Calculation 2 2 6 18 6" xfId="36602"/>
    <cellStyle name="Calculation 2 2 6 18 7" xfId="47544"/>
    <cellStyle name="Calculation 2 2 6 19" xfId="2860"/>
    <cellStyle name="Calculation 2 2 6 19 2" xfId="10683"/>
    <cellStyle name="Calculation 2 2 6 19 3" xfId="18111"/>
    <cellStyle name="Calculation 2 2 6 19 4" xfId="25888"/>
    <cellStyle name="Calculation 2 2 6 19 5" xfId="34483"/>
    <cellStyle name="Calculation 2 2 6 19 6" xfId="37758"/>
    <cellStyle name="Calculation 2 2 6 19 7" xfId="52762"/>
    <cellStyle name="Calculation 2 2 6 2" xfId="728"/>
    <cellStyle name="Calculation 2 2 6 2 2" xfId="8552"/>
    <cellStyle name="Calculation 2 2 6 2 3" xfId="15980"/>
    <cellStyle name="Calculation 2 2 6 2 4" xfId="20110"/>
    <cellStyle name="Calculation 2 2 6 2 5" xfId="26750"/>
    <cellStyle name="Calculation 2 2 6 2 6" xfId="36415"/>
    <cellStyle name="Calculation 2 2 6 2 7" xfId="49751"/>
    <cellStyle name="Calculation 2 2 6 20" xfId="2967"/>
    <cellStyle name="Calculation 2 2 6 20 2" xfId="10790"/>
    <cellStyle name="Calculation 2 2 6 20 3" xfId="18218"/>
    <cellStyle name="Calculation 2 2 6 20 4" xfId="19151"/>
    <cellStyle name="Calculation 2 2 6 20 5" xfId="27789"/>
    <cellStyle name="Calculation 2 2 6 20 6" xfId="37610"/>
    <cellStyle name="Calculation 2 2 6 20 7" xfId="49268"/>
    <cellStyle name="Calculation 2 2 6 21" xfId="3345"/>
    <cellStyle name="Calculation 2 2 6 21 2" xfId="11138"/>
    <cellStyle name="Calculation 2 2 6 21 3" xfId="18465"/>
    <cellStyle name="Calculation 2 2 6 21 4" xfId="26652"/>
    <cellStyle name="Calculation 2 2 6 21 5" xfId="35496"/>
    <cellStyle name="Calculation 2 2 6 21 6" xfId="36978"/>
    <cellStyle name="Calculation 2 2 6 21 7" xfId="54395"/>
    <cellStyle name="Calculation 2 2 6 22" xfId="3464"/>
    <cellStyle name="Calculation 2 2 6 22 2" xfId="11255"/>
    <cellStyle name="Calculation 2 2 6 22 3" xfId="18576"/>
    <cellStyle name="Calculation 2 2 6 22 4" xfId="25110"/>
    <cellStyle name="Calculation 2 2 6 22 5" xfId="33477"/>
    <cellStyle name="Calculation 2 2 6 22 6" xfId="38016"/>
    <cellStyle name="Calculation 2 2 6 22 7" xfId="51029"/>
    <cellStyle name="Calculation 2 2 6 23" xfId="3623"/>
    <cellStyle name="Calculation 2 2 6 23 2" xfId="11409"/>
    <cellStyle name="Calculation 2 2 6 23 3" xfId="18683"/>
    <cellStyle name="Calculation 2 2 6 23 4" xfId="19847"/>
    <cellStyle name="Calculation 2 2 6 23 5" xfId="28707"/>
    <cellStyle name="Calculation 2 2 6 23 6" xfId="37422"/>
    <cellStyle name="Calculation 2 2 6 23 7" xfId="49511"/>
    <cellStyle name="Calculation 2 2 6 24" xfId="3737"/>
    <cellStyle name="Calculation 2 2 6 24 2" xfId="11522"/>
    <cellStyle name="Calculation 2 2 6 24 3" xfId="18793"/>
    <cellStyle name="Calculation 2 2 6 24 4" xfId="26662"/>
    <cellStyle name="Calculation 2 2 6 24 5" xfId="35508"/>
    <cellStyle name="Calculation 2 2 6 24 6" xfId="40989"/>
    <cellStyle name="Calculation 2 2 6 24 7" xfId="54419"/>
    <cellStyle name="Calculation 2 2 6 25" xfId="3866"/>
    <cellStyle name="Calculation 2 2 6 25 2" xfId="11648"/>
    <cellStyle name="Calculation 2 2 6 25 3" xfId="18903"/>
    <cellStyle name="Calculation 2 2 6 25 4" xfId="24828"/>
    <cellStyle name="Calculation 2 2 6 25 5" xfId="27834"/>
    <cellStyle name="Calculation 2 2 6 25 6" xfId="37896"/>
    <cellStyle name="Calculation 2 2 6 25 7" xfId="48524"/>
    <cellStyle name="Calculation 2 2 6 26" xfId="3984"/>
    <cellStyle name="Calculation 2 2 6 26 2" xfId="11763"/>
    <cellStyle name="Calculation 2 2 6 26 3" xfId="19012"/>
    <cellStyle name="Calculation 2 2 6 26 4" xfId="25307"/>
    <cellStyle name="Calculation 2 2 6 26 5" xfId="33723"/>
    <cellStyle name="Calculation 2 2 6 26 6" xfId="38228"/>
    <cellStyle name="Calculation 2 2 6 26 7" xfId="51441"/>
    <cellStyle name="Calculation 2 2 6 27" xfId="3757"/>
    <cellStyle name="Calculation 2 2 6 27 2" xfId="11542"/>
    <cellStyle name="Calculation 2 2 6 27 3" xfId="20607"/>
    <cellStyle name="Calculation 2 2 6 27 4" xfId="28757"/>
    <cellStyle name="Calculation 2 2 6 27 5" xfId="38145"/>
    <cellStyle name="Calculation 2 2 6 27 6" xfId="42533"/>
    <cellStyle name="Calculation 2 2 6 27 7" xfId="52516"/>
    <cellStyle name="Calculation 2 2 6 28" xfId="4180"/>
    <cellStyle name="Calculation 2 2 6 28 2" xfId="11939"/>
    <cellStyle name="Calculation 2 2 6 28 3" xfId="20890"/>
    <cellStyle name="Calculation 2 2 6 28 4" xfId="29077"/>
    <cellStyle name="Calculation 2 2 6 28 5" xfId="38453"/>
    <cellStyle name="Calculation 2 2 6 28 6" xfId="42742"/>
    <cellStyle name="Calculation 2 2 6 28 7" xfId="53847"/>
    <cellStyle name="Calculation 2 2 6 29" xfId="4217"/>
    <cellStyle name="Calculation 2 2 6 29 2" xfId="20927"/>
    <cellStyle name="Calculation 2 2 6 29 3" xfId="29114"/>
    <cellStyle name="Calculation 2 2 6 29 4" xfId="38490"/>
    <cellStyle name="Calculation 2 2 6 29 5" xfId="42779"/>
    <cellStyle name="Calculation 2 2 6 29 6" xfId="50148"/>
    <cellStyle name="Calculation 2 2 6 3" xfId="837"/>
    <cellStyle name="Calculation 2 2 6 3 2" xfId="8661"/>
    <cellStyle name="Calculation 2 2 6 3 3" xfId="16089"/>
    <cellStyle name="Calculation 2 2 6 3 4" xfId="25697"/>
    <cellStyle name="Calculation 2 2 6 3 5" xfId="34236"/>
    <cellStyle name="Calculation 2 2 6 3 6" xfId="36615"/>
    <cellStyle name="Calculation 2 2 6 3 7" xfId="52305"/>
    <cellStyle name="Calculation 2 2 6 30" xfId="4379"/>
    <cellStyle name="Calculation 2 2 6 30 2" xfId="12096"/>
    <cellStyle name="Calculation 2 2 6 30 3" xfId="21089"/>
    <cellStyle name="Calculation 2 2 6 30 4" xfId="29276"/>
    <cellStyle name="Calculation 2 2 6 30 5" xfId="38646"/>
    <cellStyle name="Calculation 2 2 6 30 6" xfId="42941"/>
    <cellStyle name="Calculation 2 2 6 30 7" xfId="51001"/>
    <cellStyle name="Calculation 2 2 6 31" xfId="4500"/>
    <cellStyle name="Calculation 2 2 6 31 2" xfId="12217"/>
    <cellStyle name="Calculation 2 2 6 31 3" xfId="21210"/>
    <cellStyle name="Calculation 2 2 6 31 4" xfId="29397"/>
    <cellStyle name="Calculation 2 2 6 31 5" xfId="38761"/>
    <cellStyle name="Calculation 2 2 6 31 6" xfId="43062"/>
    <cellStyle name="Calculation 2 2 6 31 7" xfId="51500"/>
    <cellStyle name="Calculation 2 2 6 32" xfId="4614"/>
    <cellStyle name="Calculation 2 2 6 32 2" xfId="12331"/>
    <cellStyle name="Calculation 2 2 6 32 3" xfId="21324"/>
    <cellStyle name="Calculation 2 2 6 32 4" xfId="29511"/>
    <cellStyle name="Calculation 2 2 6 32 5" xfId="38870"/>
    <cellStyle name="Calculation 2 2 6 32 6" xfId="43176"/>
    <cellStyle name="Calculation 2 2 6 32 7" xfId="53091"/>
    <cellStyle name="Calculation 2 2 6 33" xfId="4727"/>
    <cellStyle name="Calculation 2 2 6 33 2" xfId="12444"/>
    <cellStyle name="Calculation 2 2 6 33 3" xfId="21437"/>
    <cellStyle name="Calculation 2 2 6 33 4" xfId="29624"/>
    <cellStyle name="Calculation 2 2 6 33 5" xfId="38979"/>
    <cellStyle name="Calculation 2 2 6 33 6" xfId="43289"/>
    <cellStyle name="Calculation 2 2 6 33 7" xfId="51893"/>
    <cellStyle name="Calculation 2 2 6 34" xfId="4837"/>
    <cellStyle name="Calculation 2 2 6 34 2" xfId="12554"/>
    <cellStyle name="Calculation 2 2 6 34 3" xfId="21547"/>
    <cellStyle name="Calculation 2 2 6 34 4" xfId="29734"/>
    <cellStyle name="Calculation 2 2 6 34 5" xfId="39085"/>
    <cellStyle name="Calculation 2 2 6 34 6" xfId="43399"/>
    <cellStyle name="Calculation 2 2 6 34 7" xfId="49061"/>
    <cellStyle name="Calculation 2 2 6 35" xfId="4947"/>
    <cellStyle name="Calculation 2 2 6 35 2" xfId="12664"/>
    <cellStyle name="Calculation 2 2 6 35 3" xfId="21657"/>
    <cellStyle name="Calculation 2 2 6 35 4" xfId="29844"/>
    <cellStyle name="Calculation 2 2 6 35 5" xfId="39191"/>
    <cellStyle name="Calculation 2 2 6 35 6" xfId="43509"/>
    <cellStyle name="Calculation 2 2 6 35 7" xfId="53077"/>
    <cellStyle name="Calculation 2 2 6 36" xfId="5057"/>
    <cellStyle name="Calculation 2 2 6 36 2" xfId="12774"/>
    <cellStyle name="Calculation 2 2 6 36 3" xfId="21767"/>
    <cellStyle name="Calculation 2 2 6 36 4" xfId="29954"/>
    <cellStyle name="Calculation 2 2 6 36 5" xfId="39297"/>
    <cellStyle name="Calculation 2 2 6 36 6" xfId="43619"/>
    <cellStyle name="Calculation 2 2 6 36 7" xfId="54330"/>
    <cellStyle name="Calculation 2 2 6 37" xfId="5437"/>
    <cellStyle name="Calculation 2 2 6 37 2" xfId="13154"/>
    <cellStyle name="Calculation 2 2 6 37 3" xfId="22147"/>
    <cellStyle name="Calculation 2 2 6 37 4" xfId="30334"/>
    <cellStyle name="Calculation 2 2 6 37 5" xfId="39663"/>
    <cellStyle name="Calculation 2 2 6 37 6" xfId="43999"/>
    <cellStyle name="Calculation 2 2 6 37 7" xfId="48009"/>
    <cellStyle name="Calculation 2 2 6 38" xfId="5557"/>
    <cellStyle name="Calculation 2 2 6 38 2" xfId="13274"/>
    <cellStyle name="Calculation 2 2 6 38 3" xfId="22267"/>
    <cellStyle name="Calculation 2 2 6 38 4" xfId="30454"/>
    <cellStyle name="Calculation 2 2 6 38 5" xfId="39777"/>
    <cellStyle name="Calculation 2 2 6 38 6" xfId="44119"/>
    <cellStyle name="Calculation 2 2 6 38 7" xfId="47172"/>
    <cellStyle name="Calculation 2 2 6 39" xfId="5682"/>
    <cellStyle name="Calculation 2 2 6 39 2" xfId="13399"/>
    <cellStyle name="Calculation 2 2 6 39 3" xfId="22392"/>
    <cellStyle name="Calculation 2 2 6 39 4" xfId="30579"/>
    <cellStyle name="Calculation 2 2 6 39 5" xfId="39897"/>
    <cellStyle name="Calculation 2 2 6 39 6" xfId="44244"/>
    <cellStyle name="Calculation 2 2 6 39 7" xfId="47094"/>
    <cellStyle name="Calculation 2 2 6 4" xfId="947"/>
    <cellStyle name="Calculation 2 2 6 4 2" xfId="8771"/>
    <cellStyle name="Calculation 2 2 6 4 3" xfId="16199"/>
    <cellStyle name="Calculation 2 2 6 4 4" xfId="19542"/>
    <cellStyle name="Calculation 2 2 6 4 5" xfId="28201"/>
    <cellStyle name="Calculation 2 2 6 4 6" xfId="37486"/>
    <cellStyle name="Calculation 2 2 6 4 7" xfId="47951"/>
    <cellStyle name="Calculation 2 2 6 40" xfId="5797"/>
    <cellStyle name="Calculation 2 2 6 40 2" xfId="13514"/>
    <cellStyle name="Calculation 2 2 6 40 3" xfId="22507"/>
    <cellStyle name="Calculation 2 2 6 40 4" xfId="30694"/>
    <cellStyle name="Calculation 2 2 6 40 5" xfId="40009"/>
    <cellStyle name="Calculation 2 2 6 40 6" xfId="44359"/>
    <cellStyle name="Calculation 2 2 6 40 7" xfId="53538"/>
    <cellStyle name="Calculation 2 2 6 41" xfId="5915"/>
    <cellStyle name="Calculation 2 2 6 41 2" xfId="13632"/>
    <cellStyle name="Calculation 2 2 6 41 3" xfId="22625"/>
    <cellStyle name="Calculation 2 2 6 41 4" xfId="30812"/>
    <cellStyle name="Calculation 2 2 6 41 5" xfId="40124"/>
    <cellStyle name="Calculation 2 2 6 41 6" xfId="44477"/>
    <cellStyle name="Calculation 2 2 6 41 7" xfId="51762"/>
    <cellStyle name="Calculation 2 2 6 42" xfId="6042"/>
    <cellStyle name="Calculation 2 2 6 42 2" xfId="13759"/>
    <cellStyle name="Calculation 2 2 6 42 3" xfId="22752"/>
    <cellStyle name="Calculation 2 2 6 42 4" xfId="30939"/>
    <cellStyle name="Calculation 2 2 6 42 5" xfId="40246"/>
    <cellStyle name="Calculation 2 2 6 42 6" xfId="44604"/>
    <cellStyle name="Calculation 2 2 6 42 7" xfId="50061"/>
    <cellStyle name="Calculation 2 2 6 43" xfId="6170"/>
    <cellStyle name="Calculation 2 2 6 43 2" xfId="13887"/>
    <cellStyle name="Calculation 2 2 6 43 3" xfId="22880"/>
    <cellStyle name="Calculation 2 2 6 43 4" xfId="31067"/>
    <cellStyle name="Calculation 2 2 6 43 5" xfId="40368"/>
    <cellStyle name="Calculation 2 2 6 43 6" xfId="44732"/>
    <cellStyle name="Calculation 2 2 6 43 7" xfId="51154"/>
    <cellStyle name="Calculation 2 2 6 44" xfId="6298"/>
    <cellStyle name="Calculation 2 2 6 44 2" xfId="14015"/>
    <cellStyle name="Calculation 2 2 6 44 3" xfId="23008"/>
    <cellStyle name="Calculation 2 2 6 44 4" xfId="31195"/>
    <cellStyle name="Calculation 2 2 6 44 5" xfId="40495"/>
    <cellStyle name="Calculation 2 2 6 44 6" xfId="44860"/>
    <cellStyle name="Calculation 2 2 6 44 7" xfId="54115"/>
    <cellStyle name="Calculation 2 2 6 45" xfId="6413"/>
    <cellStyle name="Calculation 2 2 6 45 2" xfId="14130"/>
    <cellStyle name="Calculation 2 2 6 45 3" xfId="23123"/>
    <cellStyle name="Calculation 2 2 6 45 4" xfId="31310"/>
    <cellStyle name="Calculation 2 2 6 45 5" xfId="40605"/>
    <cellStyle name="Calculation 2 2 6 45 6" xfId="44975"/>
    <cellStyle name="Calculation 2 2 6 45 7" xfId="54063"/>
    <cellStyle name="Calculation 2 2 6 46" xfId="6525"/>
    <cellStyle name="Calculation 2 2 6 46 2" xfId="14242"/>
    <cellStyle name="Calculation 2 2 6 46 3" xfId="23235"/>
    <cellStyle name="Calculation 2 2 6 46 4" xfId="31422"/>
    <cellStyle name="Calculation 2 2 6 46 5" xfId="40713"/>
    <cellStyle name="Calculation 2 2 6 46 6" xfId="45087"/>
    <cellStyle name="Calculation 2 2 6 46 7" xfId="49695"/>
    <cellStyle name="Calculation 2 2 6 47" xfId="6274"/>
    <cellStyle name="Calculation 2 2 6 47 2" xfId="13991"/>
    <cellStyle name="Calculation 2 2 6 47 3" xfId="22984"/>
    <cellStyle name="Calculation 2 2 6 47 4" xfId="31171"/>
    <cellStyle name="Calculation 2 2 6 47 5" xfId="40471"/>
    <cellStyle name="Calculation 2 2 6 47 6" xfId="44836"/>
    <cellStyle name="Calculation 2 2 6 47 7" xfId="47793"/>
    <cellStyle name="Calculation 2 2 6 48" xfId="6672"/>
    <cellStyle name="Calculation 2 2 6 48 2" xfId="14389"/>
    <cellStyle name="Calculation 2 2 6 48 3" xfId="23382"/>
    <cellStyle name="Calculation 2 2 6 48 4" xfId="31569"/>
    <cellStyle name="Calculation 2 2 6 48 5" xfId="40853"/>
    <cellStyle name="Calculation 2 2 6 48 6" xfId="45234"/>
    <cellStyle name="Calculation 2 2 6 48 7" xfId="50757"/>
    <cellStyle name="Calculation 2 2 6 49" xfId="6783"/>
    <cellStyle name="Calculation 2 2 6 49 2" xfId="14500"/>
    <cellStyle name="Calculation 2 2 6 49 3" xfId="23493"/>
    <cellStyle name="Calculation 2 2 6 49 4" xfId="31680"/>
    <cellStyle name="Calculation 2 2 6 49 5" xfId="40959"/>
    <cellStyle name="Calculation 2 2 6 49 6" xfId="45345"/>
    <cellStyle name="Calculation 2 2 6 49 7" xfId="53824"/>
    <cellStyle name="Calculation 2 2 6 5" xfId="1415"/>
    <cellStyle name="Calculation 2 2 6 5 2" xfId="9238"/>
    <cellStyle name="Calculation 2 2 6 5 3" xfId="16666"/>
    <cellStyle name="Calculation 2 2 6 5 4" xfId="19227"/>
    <cellStyle name="Calculation 2 2 6 5 5" xfId="27521"/>
    <cellStyle name="Calculation 2 2 6 5 6" xfId="36941"/>
    <cellStyle name="Calculation 2 2 6 5 7" xfId="48437"/>
    <cellStyle name="Calculation 2 2 6 50" xfId="6898"/>
    <cellStyle name="Calculation 2 2 6 50 2" xfId="14615"/>
    <cellStyle name="Calculation 2 2 6 50 3" xfId="23608"/>
    <cellStyle name="Calculation 2 2 6 50 4" xfId="31795"/>
    <cellStyle name="Calculation 2 2 6 50 5" xfId="41067"/>
    <cellStyle name="Calculation 2 2 6 50 6" xfId="45460"/>
    <cellStyle name="Calculation 2 2 6 50 7" xfId="47055"/>
    <cellStyle name="Calculation 2 2 6 51" xfId="7011"/>
    <cellStyle name="Calculation 2 2 6 51 2" xfId="14728"/>
    <cellStyle name="Calculation 2 2 6 51 3" xfId="23721"/>
    <cellStyle name="Calculation 2 2 6 51 4" xfId="31908"/>
    <cellStyle name="Calculation 2 2 6 51 5" xfId="41175"/>
    <cellStyle name="Calculation 2 2 6 51 6" xfId="45573"/>
    <cellStyle name="Calculation 2 2 6 51 7" xfId="46938"/>
    <cellStyle name="Calculation 2 2 6 52" xfId="7121"/>
    <cellStyle name="Calculation 2 2 6 52 2" xfId="14838"/>
    <cellStyle name="Calculation 2 2 6 52 3" xfId="23831"/>
    <cellStyle name="Calculation 2 2 6 52 4" xfId="32018"/>
    <cellStyle name="Calculation 2 2 6 52 5" xfId="41280"/>
    <cellStyle name="Calculation 2 2 6 52 6" xfId="45683"/>
    <cellStyle name="Calculation 2 2 6 52 7" xfId="48101"/>
    <cellStyle name="Calculation 2 2 6 53" xfId="7155"/>
    <cellStyle name="Calculation 2 2 6 53 2" xfId="14872"/>
    <cellStyle name="Calculation 2 2 6 53 3" xfId="23865"/>
    <cellStyle name="Calculation 2 2 6 53 4" xfId="32052"/>
    <cellStyle name="Calculation 2 2 6 53 5" xfId="41314"/>
    <cellStyle name="Calculation 2 2 6 53 6" xfId="45717"/>
    <cellStyle name="Calculation 2 2 6 53 7" xfId="49470"/>
    <cellStyle name="Calculation 2 2 6 54" xfId="7209"/>
    <cellStyle name="Calculation 2 2 6 54 2" xfId="14926"/>
    <cellStyle name="Calculation 2 2 6 54 3" xfId="23919"/>
    <cellStyle name="Calculation 2 2 6 54 4" xfId="32106"/>
    <cellStyle name="Calculation 2 2 6 54 5" xfId="41366"/>
    <cellStyle name="Calculation 2 2 6 54 6" xfId="45771"/>
    <cellStyle name="Calculation 2 2 6 54 7" xfId="50468"/>
    <cellStyle name="Calculation 2 2 6 55" xfId="7518"/>
    <cellStyle name="Calculation 2 2 6 55 2" xfId="15235"/>
    <cellStyle name="Calculation 2 2 6 55 3" xfId="24228"/>
    <cellStyle name="Calculation 2 2 6 55 4" xfId="32415"/>
    <cellStyle name="Calculation 2 2 6 55 5" xfId="41661"/>
    <cellStyle name="Calculation 2 2 6 55 6" xfId="46080"/>
    <cellStyle name="Calculation 2 2 6 55 7" xfId="49587"/>
    <cellStyle name="Calculation 2 2 6 56" xfId="7639"/>
    <cellStyle name="Calculation 2 2 6 56 2" xfId="15356"/>
    <cellStyle name="Calculation 2 2 6 56 3" xfId="24349"/>
    <cellStyle name="Calculation 2 2 6 56 4" xfId="32536"/>
    <cellStyle name="Calculation 2 2 6 56 5" xfId="41778"/>
    <cellStyle name="Calculation 2 2 6 56 6" xfId="46201"/>
    <cellStyle name="Calculation 2 2 6 56 7" xfId="47620"/>
    <cellStyle name="Calculation 2 2 6 57" xfId="7916"/>
    <cellStyle name="Calculation 2 2 6 57 2" xfId="15633"/>
    <cellStyle name="Calculation 2 2 6 57 3" xfId="24620"/>
    <cellStyle name="Calculation 2 2 6 57 4" xfId="32813"/>
    <cellStyle name="Calculation 2 2 6 57 5" xfId="42044"/>
    <cellStyle name="Calculation 2 2 6 57 6" xfId="46478"/>
    <cellStyle name="Calculation 2 2 6 57 7" xfId="51328"/>
    <cellStyle name="Calculation 2 2 6 58" xfId="8044"/>
    <cellStyle name="Calculation 2 2 6 58 2" xfId="15761"/>
    <cellStyle name="Calculation 2 2 6 58 3" xfId="24746"/>
    <cellStyle name="Calculation 2 2 6 58 4" xfId="32941"/>
    <cellStyle name="Calculation 2 2 6 58 5" xfId="42166"/>
    <cellStyle name="Calculation 2 2 6 58 6" xfId="46606"/>
    <cellStyle name="Calculation 2 2 6 58 7" xfId="52746"/>
    <cellStyle name="Calculation 2 2 6 59" xfId="7656"/>
    <cellStyle name="Calculation 2 2 6 59 2" xfId="15373"/>
    <cellStyle name="Calculation 2 2 6 59 3" xfId="24365"/>
    <cellStyle name="Calculation 2 2 6 59 4" xfId="32553"/>
    <cellStyle name="Calculation 2 2 6 59 5" xfId="41795"/>
    <cellStyle name="Calculation 2 2 6 59 6" xfId="46218"/>
    <cellStyle name="Calculation 2 2 6 59 7" xfId="50261"/>
    <cellStyle name="Calculation 2 2 6 6" xfId="1538"/>
    <cellStyle name="Calculation 2 2 6 6 2" xfId="9361"/>
    <cellStyle name="Calculation 2 2 6 6 3" xfId="16789"/>
    <cellStyle name="Calculation 2 2 6 6 4" xfId="26031"/>
    <cellStyle name="Calculation 2 2 6 6 5" xfId="34662"/>
    <cellStyle name="Calculation 2 2 6 6 6" xfId="36432"/>
    <cellStyle name="Calculation 2 2 6 6 7" xfId="53057"/>
    <cellStyle name="Calculation 2 2 6 60" xfId="8191"/>
    <cellStyle name="Calculation 2 2 6 60 2" xfId="15908"/>
    <cellStyle name="Calculation 2 2 6 60 3" xfId="33088"/>
    <cellStyle name="Calculation 2 2 6 60 4" xfId="42307"/>
    <cellStyle name="Calculation 2 2 6 60 5" xfId="46753"/>
    <cellStyle name="Calculation 2 2 6 60 6" xfId="46865"/>
    <cellStyle name="Calculation 2 2 6 61" xfId="25038"/>
    <cellStyle name="Calculation 2 2 6 62" xfId="33396"/>
    <cellStyle name="Calculation 2 2 6 63" xfId="37065"/>
    <cellStyle name="Calculation 2 2 6 64" xfId="50877"/>
    <cellStyle name="Calculation 2 2 6 7" xfId="1295"/>
    <cellStyle name="Calculation 2 2 6 7 2" xfId="9118"/>
    <cellStyle name="Calculation 2 2 6 7 3" xfId="16546"/>
    <cellStyle name="Calculation 2 2 6 7 4" xfId="19788"/>
    <cellStyle name="Calculation 2 2 6 7 5" xfId="27805"/>
    <cellStyle name="Calculation 2 2 6 7 6" xfId="38355"/>
    <cellStyle name="Calculation 2 2 6 7 7" xfId="48462"/>
    <cellStyle name="Calculation 2 2 6 8" xfId="1776"/>
    <cellStyle name="Calculation 2 2 6 8 2" xfId="9599"/>
    <cellStyle name="Calculation 2 2 6 8 3" xfId="17027"/>
    <cellStyle name="Calculation 2 2 6 8 4" xfId="26349"/>
    <cellStyle name="Calculation 2 2 6 8 5" xfId="35075"/>
    <cellStyle name="Calculation 2 2 6 8 6" xfId="37455"/>
    <cellStyle name="Calculation 2 2 6 8 7" xfId="53731"/>
    <cellStyle name="Calculation 2 2 6 9" xfId="1909"/>
    <cellStyle name="Calculation 2 2 6 9 2" xfId="9732"/>
    <cellStyle name="Calculation 2 2 6 9 3" xfId="17160"/>
    <cellStyle name="Calculation 2 2 6 9 4" xfId="24816"/>
    <cellStyle name="Calculation 2 2 6 9 5" xfId="26798"/>
    <cellStyle name="Calculation 2 2 6 9 6" xfId="36326"/>
    <cellStyle name="Calculation 2 2 6 9 7" xfId="50332"/>
    <cellStyle name="Calculation 2 2 60" xfId="7142"/>
    <cellStyle name="Calculation 2 2 60 2" xfId="14859"/>
    <cellStyle name="Calculation 2 2 60 3" xfId="23852"/>
    <cellStyle name="Calculation 2 2 60 4" xfId="32039"/>
    <cellStyle name="Calculation 2 2 60 5" xfId="41301"/>
    <cellStyle name="Calculation 2 2 60 6" xfId="45704"/>
    <cellStyle name="Calculation 2 2 60 7" xfId="50911"/>
    <cellStyle name="Calculation 2 2 61" xfId="7529"/>
    <cellStyle name="Calculation 2 2 61 2" xfId="15246"/>
    <cellStyle name="Calculation 2 2 61 3" xfId="24239"/>
    <cellStyle name="Calculation 2 2 61 4" xfId="32426"/>
    <cellStyle name="Calculation 2 2 61 5" xfId="41672"/>
    <cellStyle name="Calculation 2 2 61 6" xfId="46091"/>
    <cellStyle name="Calculation 2 2 61 7" xfId="48336"/>
    <cellStyle name="Calculation 2 2 62" xfId="7730"/>
    <cellStyle name="Calculation 2 2 62 2" xfId="15447"/>
    <cellStyle name="Calculation 2 2 62 3" xfId="24438"/>
    <cellStyle name="Calculation 2 2 62 4" xfId="32627"/>
    <cellStyle name="Calculation 2 2 62 5" xfId="41864"/>
    <cellStyle name="Calculation 2 2 62 6" xfId="46292"/>
    <cellStyle name="Calculation 2 2 62 7" xfId="48789"/>
    <cellStyle name="Calculation 2 2 63" xfId="8004"/>
    <cellStyle name="Calculation 2 2 63 2" xfId="15721"/>
    <cellStyle name="Calculation 2 2 63 3" xfId="24706"/>
    <cellStyle name="Calculation 2 2 63 4" xfId="32901"/>
    <cellStyle name="Calculation 2 2 63 5" xfId="42127"/>
    <cellStyle name="Calculation 2 2 63 6" xfId="46566"/>
    <cellStyle name="Calculation 2 2 63 7" xfId="48243"/>
    <cellStyle name="Calculation 2 2 64" xfId="7792"/>
    <cellStyle name="Calculation 2 2 64 2" xfId="15509"/>
    <cellStyle name="Calculation 2 2 64 3" xfId="24497"/>
    <cellStyle name="Calculation 2 2 64 4" xfId="32689"/>
    <cellStyle name="Calculation 2 2 64 5" xfId="41924"/>
    <cellStyle name="Calculation 2 2 64 6" xfId="46354"/>
    <cellStyle name="Calculation 2 2 64 7" xfId="48720"/>
    <cellStyle name="Calculation 2 2 65" xfId="7760"/>
    <cellStyle name="Calculation 2 2 65 2" xfId="15477"/>
    <cellStyle name="Calculation 2 2 65 3" xfId="32657"/>
    <cellStyle name="Calculation 2 2 65 4" xfId="41893"/>
    <cellStyle name="Calculation 2 2 65 5" xfId="46322"/>
    <cellStyle name="Calculation 2 2 65 6" xfId="52178"/>
    <cellStyle name="Calculation 2 2 66" xfId="24813"/>
    <cellStyle name="Calculation 2 2 67" xfId="27764"/>
    <cellStyle name="Calculation 2 2 68" xfId="36612"/>
    <cellStyle name="Calculation 2 2 69" xfId="47469"/>
    <cellStyle name="Calculation 2 2 7" xfId="597"/>
    <cellStyle name="Calculation 2 2 7 2" xfId="8421"/>
    <cellStyle name="Calculation 2 2 7 3" xfId="11986"/>
    <cellStyle name="Calculation 2 2 7 4" xfId="19157"/>
    <cellStyle name="Calculation 2 2 7 5" xfId="28811"/>
    <cellStyle name="Calculation 2 2 7 6" xfId="37319"/>
    <cellStyle name="Calculation 2 2 7 7" xfId="49253"/>
    <cellStyle name="Calculation 2 2 8" xfId="230"/>
    <cellStyle name="Calculation 2 2 8 2" xfId="8334"/>
    <cellStyle name="Calculation 2 2 8 3" xfId="8370"/>
    <cellStyle name="Calculation 2 2 8 4" xfId="19101"/>
    <cellStyle name="Calculation 2 2 8 5" xfId="27129"/>
    <cellStyle name="Calculation 2 2 8 6" xfId="36536"/>
    <cellStyle name="Calculation 2 2 8 7" xfId="49614"/>
    <cellStyle name="Calculation 2 2 9" xfId="221"/>
    <cellStyle name="Calculation 2 2 9 2" xfId="8326"/>
    <cellStyle name="Calculation 2 2 9 3" xfId="8246"/>
    <cellStyle name="Calculation 2 2 9 4" xfId="25084"/>
    <cellStyle name="Calculation 2 2 9 5" xfId="33445"/>
    <cellStyle name="Calculation 2 2 9 6" xfId="37313"/>
    <cellStyle name="Calculation 2 2 9 7" xfId="50973"/>
    <cellStyle name="Calculation 2 20" xfId="4053"/>
    <cellStyle name="Calculation 2 20 2" xfId="11821"/>
    <cellStyle name="Calculation 2 20 3" xfId="20763"/>
    <cellStyle name="Calculation 2 20 4" xfId="28950"/>
    <cellStyle name="Calculation 2 20 5" xfId="38329"/>
    <cellStyle name="Calculation 2 20 6" xfId="42615"/>
    <cellStyle name="Calculation 2 20 7" xfId="47674"/>
    <cellStyle name="Calculation 2 21" xfId="3500"/>
    <cellStyle name="Calculation 2 21 2" xfId="11291"/>
    <cellStyle name="Calculation 2 21 3" xfId="20484"/>
    <cellStyle name="Calculation 2 21 4" xfId="28606"/>
    <cellStyle name="Calculation 2 21 5" xfId="37980"/>
    <cellStyle name="Calculation 2 21 6" xfId="42490"/>
    <cellStyle name="Calculation 2 21 7" xfId="48575"/>
    <cellStyle name="Calculation 2 22" xfId="5280"/>
    <cellStyle name="Calculation 2 22 2" xfId="12997"/>
    <cellStyle name="Calculation 2 22 3" xfId="21990"/>
    <cellStyle name="Calculation 2 22 4" xfId="30177"/>
    <cellStyle name="Calculation 2 22 5" xfId="39511"/>
    <cellStyle name="Calculation 2 22 6" xfId="43842"/>
    <cellStyle name="Calculation 2 22 7" xfId="48708"/>
    <cellStyle name="Calculation 2 23" xfId="5218"/>
    <cellStyle name="Calculation 2 23 2" xfId="12935"/>
    <cellStyle name="Calculation 2 23 3" xfId="21928"/>
    <cellStyle name="Calculation 2 23 4" xfId="30115"/>
    <cellStyle name="Calculation 2 23 5" xfId="39450"/>
    <cellStyle name="Calculation 2 23 6" xfId="43780"/>
    <cellStyle name="Calculation 2 23 7" xfId="51802"/>
    <cellStyle name="Calculation 2 24" xfId="5309"/>
    <cellStyle name="Calculation 2 24 2" xfId="13026"/>
    <cellStyle name="Calculation 2 24 3" xfId="22019"/>
    <cellStyle name="Calculation 2 24 4" xfId="30206"/>
    <cellStyle name="Calculation 2 24 5" xfId="39540"/>
    <cellStyle name="Calculation 2 24 6" xfId="43871"/>
    <cellStyle name="Calculation 2 24 7" xfId="53099"/>
    <cellStyle name="Calculation 2 25" xfId="5697"/>
    <cellStyle name="Calculation 2 25 2" xfId="13414"/>
    <cellStyle name="Calculation 2 25 3" xfId="22407"/>
    <cellStyle name="Calculation 2 25 4" xfId="30594"/>
    <cellStyle name="Calculation 2 25 5" xfId="39912"/>
    <cellStyle name="Calculation 2 25 6" xfId="44259"/>
    <cellStyle name="Calculation 2 25 7" xfId="47082"/>
    <cellStyle name="Calculation 2 26" xfId="6061"/>
    <cellStyle name="Calculation 2 26 2" xfId="13778"/>
    <cellStyle name="Calculation 2 26 3" xfId="22771"/>
    <cellStyle name="Calculation 2 26 4" xfId="30958"/>
    <cellStyle name="Calculation 2 26 5" xfId="40265"/>
    <cellStyle name="Calculation 2 26 6" xfId="44623"/>
    <cellStyle name="Calculation 2 26 7" xfId="51682"/>
    <cellStyle name="Calculation 2 27" xfId="6648"/>
    <cellStyle name="Calculation 2 27 2" xfId="14365"/>
    <cellStyle name="Calculation 2 27 3" xfId="23358"/>
    <cellStyle name="Calculation 2 27 4" xfId="31545"/>
    <cellStyle name="Calculation 2 27 5" xfId="40831"/>
    <cellStyle name="Calculation 2 27 6" xfId="45210"/>
    <cellStyle name="Calculation 2 27 7" xfId="53291"/>
    <cellStyle name="Calculation 2 28" xfId="7214"/>
    <cellStyle name="Calculation 2 28 2" xfId="14931"/>
    <cellStyle name="Calculation 2 28 3" xfId="23924"/>
    <cellStyle name="Calculation 2 28 4" xfId="32111"/>
    <cellStyle name="Calculation 2 28 5" xfId="41371"/>
    <cellStyle name="Calculation 2 28 6" xfId="45776"/>
    <cellStyle name="Calculation 2 28 7" xfId="49866"/>
    <cellStyle name="Calculation 2 29" xfId="7297"/>
    <cellStyle name="Calculation 2 29 2" xfId="15014"/>
    <cellStyle name="Calculation 2 29 3" xfId="24007"/>
    <cellStyle name="Calculation 2 29 4" xfId="32194"/>
    <cellStyle name="Calculation 2 29 5" xfId="41450"/>
    <cellStyle name="Calculation 2 29 6" xfId="45859"/>
    <cellStyle name="Calculation 2 29 7" xfId="47775"/>
    <cellStyle name="Calculation 2 3" xfId="500"/>
    <cellStyle name="Calculation 2 3 10" xfId="1947"/>
    <cellStyle name="Calculation 2 3 10 2" xfId="9770"/>
    <cellStyle name="Calculation 2 3 10 3" xfId="17198"/>
    <cellStyle name="Calculation 2 3 10 4" xfId="20075"/>
    <cellStyle name="Calculation 2 3 10 5" xfId="28178"/>
    <cellStyle name="Calculation 2 3 10 6" xfId="36755"/>
    <cellStyle name="Calculation 2 3 10 7" xfId="47617"/>
    <cellStyle name="Calculation 2 3 11" xfId="2065"/>
    <cellStyle name="Calculation 2 3 11 2" xfId="9888"/>
    <cellStyle name="Calculation 2 3 11 3" xfId="17316"/>
    <cellStyle name="Calculation 2 3 11 4" xfId="25717"/>
    <cellStyle name="Calculation 2 3 11 5" xfId="34259"/>
    <cellStyle name="Calculation 2 3 11 6" xfId="39345"/>
    <cellStyle name="Calculation 2 3 11 7" xfId="52350"/>
    <cellStyle name="Calculation 2 3 12" xfId="2178"/>
    <cellStyle name="Calculation 2 3 12 2" xfId="10001"/>
    <cellStyle name="Calculation 2 3 12 3" xfId="17429"/>
    <cellStyle name="Calculation 2 3 12 4" xfId="26506"/>
    <cellStyle name="Calculation 2 3 12 5" xfId="35300"/>
    <cellStyle name="Calculation 2 3 12 6" xfId="39709"/>
    <cellStyle name="Calculation 2 3 12 7" xfId="54084"/>
    <cellStyle name="Calculation 2 3 13" xfId="1220"/>
    <cellStyle name="Calculation 2 3 13 2" xfId="9043"/>
    <cellStyle name="Calculation 2 3 13 3" xfId="16471"/>
    <cellStyle name="Calculation 2 3 13 4" xfId="20272"/>
    <cellStyle name="Calculation 2 3 13 5" xfId="27052"/>
    <cellStyle name="Calculation 2 3 13 6" xfId="39174"/>
    <cellStyle name="Calculation 2 3 13 7" xfId="47422"/>
    <cellStyle name="Calculation 2 3 14" xfId="1780"/>
    <cellStyle name="Calculation 2 3 14 2" xfId="9603"/>
    <cellStyle name="Calculation 2 3 14 3" xfId="17031"/>
    <cellStyle name="Calculation 2 3 14 4" xfId="26104"/>
    <cellStyle name="Calculation 2 3 14 5" xfId="34759"/>
    <cellStyle name="Calculation 2 3 14 6" xfId="37226"/>
    <cellStyle name="Calculation 2 3 14 7" xfId="53219"/>
    <cellStyle name="Calculation 2 3 15" xfId="2476"/>
    <cellStyle name="Calculation 2 3 15 2" xfId="10299"/>
    <cellStyle name="Calculation 2 3 15 3" xfId="17727"/>
    <cellStyle name="Calculation 2 3 15 4" xfId="26167"/>
    <cellStyle name="Calculation 2 3 15 5" xfId="34838"/>
    <cellStyle name="Calculation 2 3 15 6" xfId="38928"/>
    <cellStyle name="Calculation 2 3 15 7" xfId="53354"/>
    <cellStyle name="Calculation 2 3 16" xfId="2589"/>
    <cellStyle name="Calculation 2 3 16 2" xfId="10412"/>
    <cellStyle name="Calculation 2 3 16 3" xfId="17840"/>
    <cellStyle name="Calculation 2 3 16 4" xfId="20101"/>
    <cellStyle name="Calculation 2 3 16 5" xfId="27541"/>
    <cellStyle name="Calculation 2 3 16 6" xfId="40616"/>
    <cellStyle name="Calculation 2 3 16 7" xfId="47536"/>
    <cellStyle name="Calculation 2 3 17" xfId="2378"/>
    <cellStyle name="Calculation 2 3 17 2" xfId="10201"/>
    <cellStyle name="Calculation 2 3 17 3" xfId="17629"/>
    <cellStyle name="Calculation 2 3 17 4" xfId="19326"/>
    <cellStyle name="Calculation 2 3 17 5" xfId="27447"/>
    <cellStyle name="Calculation 2 3 17 6" xfId="41905"/>
    <cellStyle name="Calculation 2 3 17 7" xfId="47684"/>
    <cellStyle name="Calculation 2 3 18" xfId="1178"/>
    <cellStyle name="Calculation 2 3 18 2" xfId="9001"/>
    <cellStyle name="Calculation 2 3 18 3" xfId="16429"/>
    <cellStyle name="Calculation 2 3 18 4" xfId="26610"/>
    <cellStyle name="Calculation 2 3 18 5" xfId="35437"/>
    <cellStyle name="Calculation 2 3 18 6" xfId="36956"/>
    <cellStyle name="Calculation 2 3 18 7" xfId="54302"/>
    <cellStyle name="Calculation 2 3 19" xfId="2783"/>
    <cellStyle name="Calculation 2 3 19 2" xfId="10606"/>
    <cellStyle name="Calculation 2 3 19 3" xfId="18034"/>
    <cellStyle name="Calculation 2 3 19 4" xfId="26000"/>
    <cellStyle name="Calculation 2 3 19 5" xfId="34624"/>
    <cellStyle name="Calculation 2 3 19 6" xfId="38622"/>
    <cellStyle name="Calculation 2 3 19 7" xfId="52998"/>
    <cellStyle name="Calculation 2 3 2" xfId="651"/>
    <cellStyle name="Calculation 2 3 2 2" xfId="8475"/>
    <cellStyle name="Calculation 2 3 2 3" xfId="8283"/>
    <cellStyle name="Calculation 2 3 2 4" xfId="25845"/>
    <cellStyle name="Calculation 2 3 2 5" xfId="34432"/>
    <cellStyle name="Calculation 2 3 2 6" xfId="37470"/>
    <cellStyle name="Calculation 2 3 2 7" xfId="52663"/>
    <cellStyle name="Calculation 2 3 20" xfId="2890"/>
    <cellStyle name="Calculation 2 3 20 2" xfId="10713"/>
    <cellStyle name="Calculation 2 3 20 3" xfId="18141"/>
    <cellStyle name="Calculation 2 3 20 4" xfId="19473"/>
    <cellStyle name="Calculation 2 3 20 5" xfId="28076"/>
    <cellStyle name="Calculation 2 3 20 6" xfId="36661"/>
    <cellStyle name="Calculation 2 3 20 7" xfId="47388"/>
    <cellStyle name="Calculation 2 3 21" xfId="3266"/>
    <cellStyle name="Calculation 2 3 21 2" xfId="11059"/>
    <cellStyle name="Calculation 2 3 21 3" xfId="18388"/>
    <cellStyle name="Calculation 2 3 21 4" xfId="19591"/>
    <cellStyle name="Calculation 2 3 21 5" xfId="27971"/>
    <cellStyle name="Calculation 2 3 21 6" xfId="39503"/>
    <cellStyle name="Calculation 2 3 21 7" xfId="48970"/>
    <cellStyle name="Calculation 2 3 22" xfId="3386"/>
    <cellStyle name="Calculation 2 3 22 2" xfId="11177"/>
    <cellStyle name="Calculation 2 3 22 3" xfId="18499"/>
    <cellStyle name="Calculation 2 3 22 4" xfId="25325"/>
    <cellStyle name="Calculation 2 3 22 5" xfId="33754"/>
    <cellStyle name="Calculation 2 3 22 6" xfId="37780"/>
    <cellStyle name="Calculation 2 3 22 7" xfId="51484"/>
    <cellStyle name="Calculation 2 3 23" xfId="3135"/>
    <cellStyle name="Calculation 2 3 23 2" xfId="10940"/>
    <cellStyle name="Calculation 2 3 23 3" xfId="18318"/>
    <cellStyle name="Calculation 2 3 23 4" xfId="19742"/>
    <cellStyle name="Calculation 2 3 23 5" xfId="27286"/>
    <cellStyle name="Calculation 2 3 23 6" xfId="41584"/>
    <cellStyle name="Calculation 2 3 23 7" xfId="49640"/>
    <cellStyle name="Calculation 2 3 24" xfId="3656"/>
    <cellStyle name="Calculation 2 3 24 2" xfId="11441"/>
    <cellStyle name="Calculation 2 3 24 3" xfId="18714"/>
    <cellStyle name="Calculation 2 3 24 4" xfId="26388"/>
    <cellStyle name="Calculation 2 3 24 5" xfId="35135"/>
    <cellStyle name="Calculation 2 3 24 6" xfId="39481"/>
    <cellStyle name="Calculation 2 3 24 7" xfId="53825"/>
    <cellStyle name="Calculation 2 3 25" xfId="3787"/>
    <cellStyle name="Calculation 2 3 25 2" xfId="11569"/>
    <cellStyle name="Calculation 2 3 25 3" xfId="18826"/>
    <cellStyle name="Calculation 2 3 25 4" xfId="19595"/>
    <cellStyle name="Calculation 2 3 25 5" xfId="28462"/>
    <cellStyle name="Calculation 2 3 25 6" xfId="40905"/>
    <cellStyle name="Calculation 2 3 25 7" xfId="47950"/>
    <cellStyle name="Calculation 2 3 26" xfId="3904"/>
    <cellStyle name="Calculation 2 3 26 2" xfId="11684"/>
    <cellStyle name="Calculation 2 3 26 3" xfId="18935"/>
    <cellStyle name="Calculation 2 3 26 4" xfId="25034"/>
    <cellStyle name="Calculation 2 3 26 5" xfId="33390"/>
    <cellStyle name="Calculation 2 3 26 6" xfId="38787"/>
    <cellStyle name="Calculation 2 3 26 7" xfId="50866"/>
    <cellStyle name="Calculation 2 3 27" xfId="3023"/>
    <cellStyle name="Calculation 2 3 27 2" xfId="10839"/>
    <cellStyle name="Calculation 2 3 27 3" xfId="20195"/>
    <cellStyle name="Calculation 2 3 27 4" xfId="28286"/>
    <cellStyle name="Calculation 2 3 27 5" xfId="37667"/>
    <cellStyle name="Calculation 2 3 27 6" xfId="42360"/>
    <cellStyle name="Calculation 2 3 27 7" xfId="50843"/>
    <cellStyle name="Calculation 2 3 28" xfId="4101"/>
    <cellStyle name="Calculation 2 3 28 2" xfId="11861"/>
    <cellStyle name="Calculation 2 3 28 3" xfId="20811"/>
    <cellStyle name="Calculation 2 3 28 4" xfId="28998"/>
    <cellStyle name="Calculation 2 3 28 5" xfId="38376"/>
    <cellStyle name="Calculation 2 3 28 6" xfId="42663"/>
    <cellStyle name="Calculation 2 3 28 7" xfId="54154"/>
    <cellStyle name="Calculation 2 3 29" xfId="3184"/>
    <cellStyle name="Calculation 2 3 29 2" xfId="20312"/>
    <cellStyle name="Calculation 2 3 29 3" xfId="28404"/>
    <cellStyle name="Calculation 2 3 29 4" xfId="37791"/>
    <cellStyle name="Calculation 2 3 29 5" xfId="42427"/>
    <cellStyle name="Calculation 2 3 29 6" xfId="50886"/>
    <cellStyle name="Calculation 2 3 3" xfId="758"/>
    <cellStyle name="Calculation 2 3 3 2" xfId="8582"/>
    <cellStyle name="Calculation 2 3 3 3" xfId="16010"/>
    <cellStyle name="Calculation 2 3 3 4" xfId="26453"/>
    <cellStyle name="Calculation 2 3 3 5" xfId="35229"/>
    <cellStyle name="Calculation 2 3 3 6" xfId="37461"/>
    <cellStyle name="Calculation 2 3 3 7" xfId="53967"/>
    <cellStyle name="Calculation 2 3 30" xfId="4298"/>
    <cellStyle name="Calculation 2 3 30 2" xfId="12015"/>
    <cellStyle name="Calculation 2 3 30 3" xfId="21008"/>
    <cellStyle name="Calculation 2 3 30 4" xfId="29195"/>
    <cellStyle name="Calculation 2 3 30 5" xfId="38567"/>
    <cellStyle name="Calculation 2 3 30 6" xfId="42860"/>
    <cellStyle name="Calculation 2 3 30 7" xfId="49260"/>
    <cellStyle name="Calculation 2 3 31" xfId="4421"/>
    <cellStyle name="Calculation 2 3 31 2" xfId="12138"/>
    <cellStyle name="Calculation 2 3 31 3" xfId="21131"/>
    <cellStyle name="Calculation 2 3 31 4" xfId="29318"/>
    <cellStyle name="Calculation 2 3 31 5" xfId="38685"/>
    <cellStyle name="Calculation 2 3 31 6" xfId="42983"/>
    <cellStyle name="Calculation 2 3 31 7" xfId="53172"/>
    <cellStyle name="Calculation 2 3 32" xfId="4535"/>
    <cellStyle name="Calculation 2 3 32 2" xfId="12252"/>
    <cellStyle name="Calculation 2 3 32 3" xfId="21245"/>
    <cellStyle name="Calculation 2 3 32 4" xfId="29432"/>
    <cellStyle name="Calculation 2 3 32 5" xfId="38794"/>
    <cellStyle name="Calculation 2 3 32 6" xfId="43097"/>
    <cellStyle name="Calculation 2 3 32 7" xfId="53629"/>
    <cellStyle name="Calculation 2 3 33" xfId="4648"/>
    <cellStyle name="Calculation 2 3 33 2" xfId="12365"/>
    <cellStyle name="Calculation 2 3 33 3" xfId="21358"/>
    <cellStyle name="Calculation 2 3 33 4" xfId="29545"/>
    <cellStyle name="Calculation 2 3 33 5" xfId="38902"/>
    <cellStyle name="Calculation 2 3 33 6" xfId="43210"/>
    <cellStyle name="Calculation 2 3 33 7" xfId="52402"/>
    <cellStyle name="Calculation 2 3 34" xfId="4760"/>
    <cellStyle name="Calculation 2 3 34 2" xfId="12477"/>
    <cellStyle name="Calculation 2 3 34 3" xfId="21470"/>
    <cellStyle name="Calculation 2 3 34 4" xfId="29657"/>
    <cellStyle name="Calculation 2 3 34 5" xfId="39011"/>
    <cellStyle name="Calculation 2 3 34 6" xfId="43322"/>
    <cellStyle name="Calculation 2 3 34 7" xfId="50452"/>
    <cellStyle name="Calculation 2 3 35" xfId="4868"/>
    <cellStyle name="Calculation 2 3 35 2" xfId="12585"/>
    <cellStyle name="Calculation 2 3 35 3" xfId="21578"/>
    <cellStyle name="Calculation 2 3 35 4" xfId="29765"/>
    <cellStyle name="Calculation 2 3 35 5" xfId="39114"/>
    <cellStyle name="Calculation 2 3 35 6" xfId="43430"/>
    <cellStyle name="Calculation 2 3 35 7" xfId="52320"/>
    <cellStyle name="Calculation 2 3 36" xfId="4980"/>
    <cellStyle name="Calculation 2 3 36 2" xfId="12697"/>
    <cellStyle name="Calculation 2 3 36 3" xfId="21690"/>
    <cellStyle name="Calculation 2 3 36 4" xfId="29877"/>
    <cellStyle name="Calculation 2 3 36 5" xfId="39223"/>
    <cellStyle name="Calculation 2 3 36 6" xfId="43542"/>
    <cellStyle name="Calculation 2 3 36 7" xfId="49575"/>
    <cellStyle name="Calculation 2 3 37" xfId="5133"/>
    <cellStyle name="Calculation 2 3 37 2" xfId="12850"/>
    <cellStyle name="Calculation 2 3 37 3" xfId="21843"/>
    <cellStyle name="Calculation 2 3 37 4" xfId="30030"/>
    <cellStyle name="Calculation 2 3 37 5" xfId="39371"/>
    <cellStyle name="Calculation 2 3 37 6" xfId="43695"/>
    <cellStyle name="Calculation 2 3 37 7" xfId="50058"/>
    <cellStyle name="Calculation 2 3 38" xfId="5478"/>
    <cellStyle name="Calculation 2 3 38 2" xfId="13195"/>
    <cellStyle name="Calculation 2 3 38 3" xfId="22188"/>
    <cellStyle name="Calculation 2 3 38 4" xfId="30375"/>
    <cellStyle name="Calculation 2 3 38 5" xfId="39701"/>
    <cellStyle name="Calculation 2 3 38 6" xfId="44040"/>
    <cellStyle name="Calculation 2 3 38 7" xfId="50582"/>
    <cellStyle name="Calculation 2 3 39" xfId="5603"/>
    <cellStyle name="Calculation 2 3 39 2" xfId="13320"/>
    <cellStyle name="Calculation 2 3 39 3" xfId="22313"/>
    <cellStyle name="Calculation 2 3 39 4" xfId="30500"/>
    <cellStyle name="Calculation 2 3 39 5" xfId="39821"/>
    <cellStyle name="Calculation 2 3 39 6" xfId="44165"/>
    <cellStyle name="Calculation 2 3 39 7" xfId="47138"/>
    <cellStyle name="Calculation 2 3 4" xfId="870"/>
    <cellStyle name="Calculation 2 3 4 2" xfId="8694"/>
    <cellStyle name="Calculation 2 3 4 3" xfId="16122"/>
    <cellStyle name="Calculation 2 3 4 4" xfId="19279"/>
    <cellStyle name="Calculation 2 3 4 5" xfId="27842"/>
    <cellStyle name="Calculation 2 3 4 6" xfId="37444"/>
    <cellStyle name="Calculation 2 3 4 7" xfId="48738"/>
    <cellStyle name="Calculation 2 3 40" xfId="5718"/>
    <cellStyle name="Calculation 2 3 40 2" xfId="13435"/>
    <cellStyle name="Calculation 2 3 40 3" xfId="22428"/>
    <cellStyle name="Calculation 2 3 40 4" xfId="30615"/>
    <cellStyle name="Calculation 2 3 40 5" xfId="39932"/>
    <cellStyle name="Calculation 2 3 40 6" xfId="44280"/>
    <cellStyle name="Calculation 2 3 40 7" xfId="46902"/>
    <cellStyle name="Calculation 2 3 41" xfId="5835"/>
    <cellStyle name="Calculation 2 3 41 2" xfId="13552"/>
    <cellStyle name="Calculation 2 3 41 3" xfId="22545"/>
    <cellStyle name="Calculation 2 3 41 4" xfId="30732"/>
    <cellStyle name="Calculation 2 3 41 5" xfId="40046"/>
    <cellStyle name="Calculation 2 3 41 6" xfId="44397"/>
    <cellStyle name="Calculation 2 3 41 7" xfId="49468"/>
    <cellStyle name="Calculation 2 3 42" xfId="5963"/>
    <cellStyle name="Calculation 2 3 42 2" xfId="13680"/>
    <cellStyle name="Calculation 2 3 42 3" xfId="22673"/>
    <cellStyle name="Calculation 2 3 42 4" xfId="30860"/>
    <cellStyle name="Calculation 2 3 42 5" xfId="40170"/>
    <cellStyle name="Calculation 2 3 42 6" xfId="44525"/>
    <cellStyle name="Calculation 2 3 42 7" xfId="50917"/>
    <cellStyle name="Calculation 2 3 43" xfId="5289"/>
    <cellStyle name="Calculation 2 3 43 2" xfId="13006"/>
    <cellStyle name="Calculation 2 3 43 3" xfId="21999"/>
    <cellStyle name="Calculation 2 3 43 4" xfId="30186"/>
    <cellStyle name="Calculation 2 3 43 5" xfId="39520"/>
    <cellStyle name="Calculation 2 3 43 6" xfId="43851"/>
    <cellStyle name="Calculation 2 3 43 7" xfId="51610"/>
    <cellStyle name="Calculation 2 3 44" xfId="6219"/>
    <cellStyle name="Calculation 2 3 44 2" xfId="13936"/>
    <cellStyle name="Calculation 2 3 44 3" xfId="22929"/>
    <cellStyle name="Calculation 2 3 44 4" xfId="31116"/>
    <cellStyle name="Calculation 2 3 44 5" xfId="40417"/>
    <cellStyle name="Calculation 2 3 44 6" xfId="44781"/>
    <cellStyle name="Calculation 2 3 44 7" xfId="53452"/>
    <cellStyle name="Calculation 2 3 45" xfId="6336"/>
    <cellStyle name="Calculation 2 3 45 2" xfId="14053"/>
    <cellStyle name="Calculation 2 3 45 3" xfId="23046"/>
    <cellStyle name="Calculation 2 3 45 4" xfId="31233"/>
    <cellStyle name="Calculation 2 3 45 5" xfId="40531"/>
    <cellStyle name="Calculation 2 3 45 6" xfId="44898"/>
    <cellStyle name="Calculation 2 3 45 7" xfId="50315"/>
    <cellStyle name="Calculation 2 3 46" xfId="6446"/>
    <cellStyle name="Calculation 2 3 46 2" xfId="14163"/>
    <cellStyle name="Calculation 2 3 46 3" xfId="23156"/>
    <cellStyle name="Calculation 2 3 46 4" xfId="31343"/>
    <cellStyle name="Calculation 2 3 46 5" xfId="40637"/>
    <cellStyle name="Calculation 2 3 46 6" xfId="45008"/>
    <cellStyle name="Calculation 2 3 46 7" xfId="51391"/>
    <cellStyle name="Calculation 2 3 47" xfId="5815"/>
    <cellStyle name="Calculation 2 3 47 2" xfId="13532"/>
    <cellStyle name="Calculation 2 3 47 3" xfId="22525"/>
    <cellStyle name="Calculation 2 3 47 4" xfId="30712"/>
    <cellStyle name="Calculation 2 3 47 5" xfId="40027"/>
    <cellStyle name="Calculation 2 3 47 6" xfId="44377"/>
    <cellStyle name="Calculation 2 3 47 7" xfId="51908"/>
    <cellStyle name="Calculation 2 3 48" xfId="6593"/>
    <cellStyle name="Calculation 2 3 48 2" xfId="14310"/>
    <cellStyle name="Calculation 2 3 48 3" xfId="23303"/>
    <cellStyle name="Calculation 2 3 48 4" xfId="31490"/>
    <cellStyle name="Calculation 2 3 48 5" xfId="40777"/>
    <cellStyle name="Calculation 2 3 48 6" xfId="45155"/>
    <cellStyle name="Calculation 2 3 48 7" xfId="51890"/>
    <cellStyle name="Calculation 2 3 49" xfId="6704"/>
    <cellStyle name="Calculation 2 3 49 2" xfId="14421"/>
    <cellStyle name="Calculation 2 3 49 3" xfId="23414"/>
    <cellStyle name="Calculation 2 3 49 4" xfId="31601"/>
    <cellStyle name="Calculation 2 3 49 5" xfId="40883"/>
    <cellStyle name="Calculation 2 3 49 6" xfId="45266"/>
    <cellStyle name="Calculation 2 3 49 7" xfId="48506"/>
    <cellStyle name="Calculation 2 3 5" xfId="1335"/>
    <cellStyle name="Calculation 2 3 5 2" xfId="9158"/>
    <cellStyle name="Calculation 2 3 5 3" xfId="16586"/>
    <cellStyle name="Calculation 2 3 5 4" xfId="24898"/>
    <cellStyle name="Calculation 2 3 5 5" xfId="33214"/>
    <cellStyle name="Calculation 2 3 5 6" xfId="41843"/>
    <cellStyle name="Calculation 2 3 5 7" xfId="50557"/>
    <cellStyle name="Calculation 2 3 50" xfId="6819"/>
    <cellStyle name="Calculation 2 3 50 2" xfId="14536"/>
    <cellStyle name="Calculation 2 3 50 3" xfId="23529"/>
    <cellStyle name="Calculation 2 3 50 4" xfId="31716"/>
    <cellStyle name="Calculation 2 3 50 5" xfId="40991"/>
    <cellStyle name="Calculation 2 3 50 6" xfId="45381"/>
    <cellStyle name="Calculation 2 3 50 7" xfId="50011"/>
    <cellStyle name="Calculation 2 3 51" xfId="6932"/>
    <cellStyle name="Calculation 2 3 51 2" xfId="14649"/>
    <cellStyle name="Calculation 2 3 51 3" xfId="23642"/>
    <cellStyle name="Calculation 2 3 51 4" xfId="31829"/>
    <cellStyle name="Calculation 2 3 51 5" xfId="41099"/>
    <cellStyle name="Calculation 2 3 51 6" xfId="45494"/>
    <cellStyle name="Calculation 2 3 51 7" xfId="47043"/>
    <cellStyle name="Calculation 2 3 52" xfId="7044"/>
    <cellStyle name="Calculation 2 3 52 2" xfId="14761"/>
    <cellStyle name="Calculation 2 3 52 3" xfId="23754"/>
    <cellStyle name="Calculation 2 3 52 4" xfId="31941"/>
    <cellStyle name="Calculation 2 3 52 5" xfId="41205"/>
    <cellStyle name="Calculation 2 3 52 6" xfId="45606"/>
    <cellStyle name="Calculation 2 3 52 7" xfId="46980"/>
    <cellStyle name="Calculation 2 3 53" xfId="7235"/>
    <cellStyle name="Calculation 2 3 53 2" xfId="14952"/>
    <cellStyle name="Calculation 2 3 53 3" xfId="23945"/>
    <cellStyle name="Calculation 2 3 53 4" xfId="32132"/>
    <cellStyle name="Calculation 2 3 53 5" xfId="41390"/>
    <cellStyle name="Calculation 2 3 53 6" xfId="45797"/>
    <cellStyle name="Calculation 2 3 53 7" xfId="51773"/>
    <cellStyle name="Calculation 2 3 54" xfId="7417"/>
    <cellStyle name="Calculation 2 3 54 2" xfId="15134"/>
    <cellStyle name="Calculation 2 3 54 3" xfId="24127"/>
    <cellStyle name="Calculation 2 3 54 4" xfId="32314"/>
    <cellStyle name="Calculation 2 3 54 5" xfId="41566"/>
    <cellStyle name="Calculation 2 3 54 6" xfId="45979"/>
    <cellStyle name="Calculation 2 3 54 7" xfId="51527"/>
    <cellStyle name="Calculation 2 3 55" xfId="7441"/>
    <cellStyle name="Calculation 2 3 55 2" xfId="15158"/>
    <cellStyle name="Calculation 2 3 55 3" xfId="24151"/>
    <cellStyle name="Calculation 2 3 55 4" xfId="32338"/>
    <cellStyle name="Calculation 2 3 55 5" xfId="41588"/>
    <cellStyle name="Calculation 2 3 55 6" xfId="46003"/>
    <cellStyle name="Calculation 2 3 55 7" xfId="49014"/>
    <cellStyle name="Calculation 2 3 56" xfId="7562"/>
    <cellStyle name="Calculation 2 3 56 2" xfId="15279"/>
    <cellStyle name="Calculation 2 3 56 3" xfId="24272"/>
    <cellStyle name="Calculation 2 3 56 4" xfId="32459"/>
    <cellStyle name="Calculation 2 3 56 5" xfId="41703"/>
    <cellStyle name="Calculation 2 3 56 6" xfId="46124"/>
    <cellStyle name="Calculation 2 3 56 7" xfId="50985"/>
    <cellStyle name="Calculation 2 3 57" xfId="7838"/>
    <cellStyle name="Calculation 2 3 57 2" xfId="15555"/>
    <cellStyle name="Calculation 2 3 57 3" xfId="24542"/>
    <cellStyle name="Calculation 2 3 57 4" xfId="32735"/>
    <cellStyle name="Calculation 2 3 57 5" xfId="41968"/>
    <cellStyle name="Calculation 2 3 57 6" xfId="46400"/>
    <cellStyle name="Calculation 2 3 57 7" xfId="52365"/>
    <cellStyle name="Calculation 2 3 58" xfId="7953"/>
    <cellStyle name="Calculation 2 3 58 2" xfId="15670"/>
    <cellStyle name="Calculation 2 3 58 3" xfId="24656"/>
    <cellStyle name="Calculation 2 3 58 4" xfId="32850"/>
    <cellStyle name="Calculation 2 3 58 5" xfId="42078"/>
    <cellStyle name="Calculation 2 3 58 6" xfId="46515"/>
    <cellStyle name="Calculation 2 3 58 7" xfId="50812"/>
    <cellStyle name="Calculation 2 3 59" xfId="8068"/>
    <cellStyle name="Calculation 2 3 59 2" xfId="15785"/>
    <cellStyle name="Calculation 2 3 59 3" xfId="24770"/>
    <cellStyle name="Calculation 2 3 59 4" xfId="32965"/>
    <cellStyle name="Calculation 2 3 59 5" xfId="42189"/>
    <cellStyle name="Calculation 2 3 59 6" xfId="46630"/>
    <cellStyle name="Calculation 2 3 59 7" xfId="50108"/>
    <cellStyle name="Calculation 2 3 6" xfId="1458"/>
    <cellStyle name="Calculation 2 3 6 2" xfId="9281"/>
    <cellStyle name="Calculation 2 3 6 3" xfId="16709"/>
    <cellStyle name="Calculation 2 3 6 4" xfId="19478"/>
    <cellStyle name="Calculation 2 3 6 5" xfId="27107"/>
    <cellStyle name="Calculation 2 3 6 6" xfId="38164"/>
    <cellStyle name="Calculation 2 3 6 7" xfId="50192"/>
    <cellStyle name="Calculation 2 3 60" xfId="8114"/>
    <cellStyle name="Calculation 2 3 60 2" xfId="15831"/>
    <cellStyle name="Calculation 2 3 60 3" xfId="33011"/>
    <cellStyle name="Calculation 2 3 60 4" xfId="42232"/>
    <cellStyle name="Calculation 2 3 60 5" xfId="46676"/>
    <cellStyle name="Calculation 2 3 60 6" xfId="52789"/>
    <cellStyle name="Calculation 2 3 61" xfId="25640"/>
    <cellStyle name="Calculation 2 3 62" xfId="34159"/>
    <cellStyle name="Calculation 2 3 63" xfId="36777"/>
    <cellStyle name="Calculation 2 3 64" xfId="52184"/>
    <cellStyle name="Calculation 2 3 7" xfId="1225"/>
    <cellStyle name="Calculation 2 3 7 2" xfId="9048"/>
    <cellStyle name="Calculation 2 3 7 3" xfId="16476"/>
    <cellStyle name="Calculation 2 3 7 4" xfId="19188"/>
    <cellStyle name="Calculation 2 3 7 5" xfId="33099"/>
    <cellStyle name="Calculation 2 3 7 6" xfId="38627"/>
    <cellStyle name="Calculation 2 3 7 7" xfId="49149"/>
    <cellStyle name="Calculation 2 3 8" xfId="1695"/>
    <cellStyle name="Calculation 2 3 8 2" xfId="9518"/>
    <cellStyle name="Calculation 2 3 8 3" xfId="16946"/>
    <cellStyle name="Calculation 2 3 8 4" xfId="24978"/>
    <cellStyle name="Calculation 2 3 8 5" xfId="33321"/>
    <cellStyle name="Calculation 2 3 8 6" xfId="36342"/>
    <cellStyle name="Calculation 2 3 8 7" xfId="50742"/>
    <cellStyle name="Calculation 2 3 9" xfId="1829"/>
    <cellStyle name="Calculation 2 3 9 2" xfId="9652"/>
    <cellStyle name="Calculation 2 3 9 3" xfId="17080"/>
    <cellStyle name="Calculation 2 3 9 4" xfId="19936"/>
    <cellStyle name="Calculation 2 3 9 5" xfId="26753"/>
    <cellStyle name="Calculation 2 3 9 6" xfId="38126"/>
    <cellStyle name="Calculation 2 3 9 7" xfId="49721"/>
    <cellStyle name="Calculation 2 30" xfId="7393"/>
    <cellStyle name="Calculation 2 30 2" xfId="15110"/>
    <cellStyle name="Calculation 2 30 3" xfId="24103"/>
    <cellStyle name="Calculation 2 30 4" xfId="32290"/>
    <cellStyle name="Calculation 2 30 5" xfId="41544"/>
    <cellStyle name="Calculation 2 30 6" xfId="45955"/>
    <cellStyle name="Calculation 2 30 7" xfId="54290"/>
    <cellStyle name="Calculation 2 31" xfId="7668"/>
    <cellStyle name="Calculation 2 31 2" xfId="15385"/>
    <cellStyle name="Calculation 2 31 3" xfId="24377"/>
    <cellStyle name="Calculation 2 31 4" xfId="32565"/>
    <cellStyle name="Calculation 2 31 5" xfId="41805"/>
    <cellStyle name="Calculation 2 31 6" xfId="46230"/>
    <cellStyle name="Calculation 2 31 7" xfId="48997"/>
    <cellStyle name="Calculation 2 32" xfId="19237"/>
    <cellStyle name="Calculation 2 33" xfId="28209"/>
    <cellStyle name="Calculation 2 34" xfId="37419"/>
    <cellStyle name="Calculation 2 35" xfId="48137"/>
    <cellStyle name="Calculation 2 4" xfId="570"/>
    <cellStyle name="Calculation 2 4 10" xfId="2017"/>
    <cellStyle name="Calculation 2 4 10 2" xfId="9840"/>
    <cellStyle name="Calculation 2 4 10 3" xfId="17268"/>
    <cellStyle name="Calculation 2 4 10 4" xfId="25042"/>
    <cellStyle name="Calculation 2 4 10 5" xfId="33401"/>
    <cellStyle name="Calculation 2 4 10 6" xfId="41062"/>
    <cellStyle name="Calculation 2 4 10 7" xfId="50888"/>
    <cellStyle name="Calculation 2 4 11" xfId="2134"/>
    <cellStyle name="Calculation 2 4 11 2" xfId="9957"/>
    <cellStyle name="Calculation 2 4 11 3" xfId="17385"/>
    <cellStyle name="Calculation 2 4 11 4" xfId="25334"/>
    <cellStyle name="Calculation 2 4 11 5" xfId="33765"/>
    <cellStyle name="Calculation 2 4 11 6" xfId="37247"/>
    <cellStyle name="Calculation 2 4 11 7" xfId="51502"/>
    <cellStyle name="Calculation 2 4 12" xfId="2248"/>
    <cellStyle name="Calculation 2 4 12 2" xfId="10071"/>
    <cellStyle name="Calculation 2 4 12 3" xfId="17499"/>
    <cellStyle name="Calculation 2 4 12 4" xfId="25476"/>
    <cellStyle name="Calculation 2 4 12 5" xfId="33948"/>
    <cellStyle name="Calculation 2 4 12 6" xfId="39965"/>
    <cellStyle name="Calculation 2 4 12 7" xfId="51822"/>
    <cellStyle name="Calculation 2 4 13" xfId="1542"/>
    <cellStyle name="Calculation 2 4 13 2" xfId="9365"/>
    <cellStyle name="Calculation 2 4 13 3" xfId="16793"/>
    <cellStyle name="Calculation 2 4 13 4" xfId="25373"/>
    <cellStyle name="Calculation 2 4 13 5" xfId="33820"/>
    <cellStyle name="Calculation 2 4 13 6" xfId="37459"/>
    <cellStyle name="Calculation 2 4 13 7" xfId="51594"/>
    <cellStyle name="Calculation 2 4 14" xfId="2296"/>
    <cellStyle name="Calculation 2 4 14 2" xfId="10119"/>
    <cellStyle name="Calculation 2 4 14 3" xfId="17547"/>
    <cellStyle name="Calculation 2 4 14 4" xfId="19769"/>
    <cellStyle name="Calculation 2 4 14 5" xfId="28053"/>
    <cellStyle name="Calculation 2 4 14 6" xfId="39475"/>
    <cellStyle name="Calculation 2 4 14 7" xfId="50305"/>
    <cellStyle name="Calculation 2 4 15" xfId="2545"/>
    <cellStyle name="Calculation 2 4 15 2" xfId="10368"/>
    <cellStyle name="Calculation 2 4 15 3" xfId="17796"/>
    <cellStyle name="Calculation 2 4 15 4" xfId="19989"/>
    <cellStyle name="Calculation 2 4 15 5" xfId="27700"/>
    <cellStyle name="Calculation 2 4 15 6" xfId="39595"/>
    <cellStyle name="Calculation 2 4 15 7" xfId="47938"/>
    <cellStyle name="Calculation 2 4 16" xfId="2659"/>
    <cellStyle name="Calculation 2 4 16 2" xfId="10482"/>
    <cellStyle name="Calculation 2 4 16 3" xfId="17910"/>
    <cellStyle name="Calculation 2 4 16 4" xfId="19760"/>
    <cellStyle name="Calculation 2 4 16 5" xfId="27460"/>
    <cellStyle name="Calculation 2 4 16 6" xfId="37189"/>
    <cellStyle name="Calculation 2 4 16 7" xfId="50152"/>
    <cellStyle name="Calculation 2 4 17" xfId="2423"/>
    <cellStyle name="Calculation 2 4 17 2" xfId="10246"/>
    <cellStyle name="Calculation 2 4 17 3" xfId="17674"/>
    <cellStyle name="Calculation 2 4 17 4" xfId="25354"/>
    <cellStyle name="Calculation 2 4 17 5" xfId="33789"/>
    <cellStyle name="Calculation 2 4 17 6" xfId="36418"/>
    <cellStyle name="Calculation 2 4 17 7" xfId="51542"/>
    <cellStyle name="Calculation 2 4 18" xfId="984"/>
    <cellStyle name="Calculation 2 4 18 2" xfId="8808"/>
    <cellStyle name="Calculation 2 4 18 3" xfId="16236"/>
    <cellStyle name="Calculation 2 4 18 4" xfId="25438"/>
    <cellStyle name="Calculation 2 4 18 5" xfId="33898"/>
    <cellStyle name="Calculation 2 4 18 6" xfId="36369"/>
    <cellStyle name="Calculation 2 4 18 7" xfId="51722"/>
    <cellStyle name="Calculation 2 4 19" xfId="2850"/>
    <cellStyle name="Calculation 2 4 19 2" xfId="10673"/>
    <cellStyle name="Calculation 2 4 19 3" xfId="18101"/>
    <cellStyle name="Calculation 2 4 19 4" xfId="26276"/>
    <cellStyle name="Calculation 2 4 19 5" xfId="34978"/>
    <cellStyle name="Calculation 2 4 19 6" xfId="39265"/>
    <cellStyle name="Calculation 2 4 19 7" xfId="53592"/>
    <cellStyle name="Calculation 2 4 2" xfId="718"/>
    <cellStyle name="Calculation 2 4 2 2" xfId="8542"/>
    <cellStyle name="Calculation 2 4 2 3" xfId="15970"/>
    <cellStyle name="Calculation 2 4 2 4" xfId="25529"/>
    <cellStyle name="Calculation 2 4 2 5" xfId="34013"/>
    <cellStyle name="Calculation 2 4 2 6" xfId="36766"/>
    <cellStyle name="Calculation 2 4 2 7" xfId="51939"/>
    <cellStyle name="Calculation 2 4 20" xfId="2957"/>
    <cellStyle name="Calculation 2 4 20 2" xfId="10780"/>
    <cellStyle name="Calculation 2 4 20 3" xfId="18208"/>
    <cellStyle name="Calculation 2 4 20 4" xfId="19345"/>
    <cellStyle name="Calculation 2 4 20 5" xfId="27640"/>
    <cellStyle name="Calculation 2 4 20 6" xfId="36481"/>
    <cellStyle name="Calculation 2 4 20 7" xfId="50285"/>
    <cellStyle name="Calculation 2 4 21" xfId="3334"/>
    <cellStyle name="Calculation 2 4 21 2" xfId="11127"/>
    <cellStyle name="Calculation 2 4 21 3" xfId="18455"/>
    <cellStyle name="Calculation 2 4 21 4" xfId="19709"/>
    <cellStyle name="Calculation 2 4 21 5" xfId="28171"/>
    <cellStyle name="Calculation 2 4 21 6" xfId="38878"/>
    <cellStyle name="Calculation 2 4 21 7" xfId="47254"/>
    <cellStyle name="Calculation 2 4 22" xfId="3453"/>
    <cellStyle name="Calculation 2 4 22 2" xfId="11244"/>
    <cellStyle name="Calculation 2 4 22 3" xfId="18566"/>
    <cellStyle name="Calculation 2 4 22 4" xfId="25721"/>
    <cellStyle name="Calculation 2 4 22 5" xfId="34265"/>
    <cellStyle name="Calculation 2 4 22 6" xfId="38827"/>
    <cellStyle name="Calculation 2 4 22 7" xfId="52361"/>
    <cellStyle name="Calculation 2 4 23" xfId="3613"/>
    <cellStyle name="Calculation 2 4 23 2" xfId="11399"/>
    <cellStyle name="Calculation 2 4 23 3" xfId="18673"/>
    <cellStyle name="Calculation 2 4 23 4" xfId="19619"/>
    <cellStyle name="Calculation 2 4 23 5" xfId="27024"/>
    <cellStyle name="Calculation 2 4 23 6" xfId="38081"/>
    <cellStyle name="Calculation 2 4 23 7" xfId="47495"/>
    <cellStyle name="Calculation 2 4 24" xfId="3726"/>
    <cellStyle name="Calculation 2 4 24 2" xfId="11511"/>
    <cellStyle name="Calculation 2 4 24 3" xfId="18783"/>
    <cellStyle name="Calculation 2 4 24 4" xfId="24975"/>
    <cellStyle name="Calculation 2 4 24 5" xfId="33317"/>
    <cellStyle name="Calculation 2 4 24 6" xfId="41829"/>
    <cellStyle name="Calculation 2 4 24 7" xfId="50732"/>
    <cellStyle name="Calculation 2 4 25" xfId="3855"/>
    <cellStyle name="Calculation 2 4 25 2" xfId="11637"/>
    <cellStyle name="Calculation 2 4 25 3" xfId="18893"/>
    <cellStyle name="Calculation 2 4 25 4" xfId="19728"/>
    <cellStyle name="Calculation 2 4 25 5" xfId="27386"/>
    <cellStyle name="Calculation 2 4 25 6" xfId="37132"/>
    <cellStyle name="Calculation 2 4 25 7" xfId="47733"/>
    <cellStyle name="Calculation 2 4 26" xfId="3974"/>
    <cellStyle name="Calculation 2 4 26 2" xfId="11753"/>
    <cellStyle name="Calculation 2 4 26 3" xfId="19002"/>
    <cellStyle name="Calculation 2 4 26 4" xfId="25810"/>
    <cellStyle name="Calculation 2 4 26 5" xfId="34389"/>
    <cellStyle name="Calculation 2 4 26 6" xfId="39118"/>
    <cellStyle name="Calculation 2 4 26 7" xfId="52588"/>
    <cellStyle name="Calculation 2 4 27" xfId="3761"/>
    <cellStyle name="Calculation 2 4 27 2" xfId="11545"/>
    <cellStyle name="Calculation 2 4 27 3" xfId="20611"/>
    <cellStyle name="Calculation 2 4 27 4" xfId="28761"/>
    <cellStyle name="Calculation 2 4 27 5" xfId="38149"/>
    <cellStyle name="Calculation 2 4 27 6" xfId="42537"/>
    <cellStyle name="Calculation 2 4 27 7" xfId="52167"/>
    <cellStyle name="Calculation 2 4 28" xfId="4170"/>
    <cellStyle name="Calculation 2 4 28 2" xfId="11929"/>
    <cellStyle name="Calculation 2 4 28 3" xfId="20880"/>
    <cellStyle name="Calculation 2 4 28 4" xfId="29067"/>
    <cellStyle name="Calculation 2 4 28 5" xfId="38443"/>
    <cellStyle name="Calculation 2 4 28 6" xfId="42732"/>
    <cellStyle name="Calculation 2 4 28 7" xfId="48554"/>
    <cellStyle name="Calculation 2 4 29" xfId="4249"/>
    <cellStyle name="Calculation 2 4 29 2" xfId="20959"/>
    <cellStyle name="Calculation 2 4 29 3" xfId="29146"/>
    <cellStyle name="Calculation 2 4 29 4" xfId="38519"/>
    <cellStyle name="Calculation 2 4 29 5" xfId="42811"/>
    <cellStyle name="Calculation 2 4 29 6" xfId="54110"/>
    <cellStyle name="Calculation 2 4 3" xfId="827"/>
    <cellStyle name="Calculation 2 4 3 2" xfId="8651"/>
    <cellStyle name="Calculation 2 4 3 3" xfId="16079"/>
    <cellStyle name="Calculation 2 4 3 4" xfId="26112"/>
    <cellStyle name="Calculation 2 4 3 5" xfId="34768"/>
    <cellStyle name="Calculation 2 4 3 6" xfId="37159"/>
    <cellStyle name="Calculation 2 4 3 7" xfId="53231"/>
    <cellStyle name="Calculation 2 4 30" xfId="4368"/>
    <cellStyle name="Calculation 2 4 30 2" xfId="12085"/>
    <cellStyle name="Calculation 2 4 30 3" xfId="21078"/>
    <cellStyle name="Calculation 2 4 30 4" xfId="29265"/>
    <cellStyle name="Calculation 2 4 30 5" xfId="38635"/>
    <cellStyle name="Calculation 2 4 30 6" xfId="42930"/>
    <cellStyle name="Calculation 2 4 30 7" xfId="52331"/>
    <cellStyle name="Calculation 2 4 31" xfId="4490"/>
    <cellStyle name="Calculation 2 4 31 2" xfId="12207"/>
    <cellStyle name="Calculation 2 4 31 3" xfId="21200"/>
    <cellStyle name="Calculation 2 4 31 4" xfId="29387"/>
    <cellStyle name="Calculation 2 4 31 5" xfId="38751"/>
    <cellStyle name="Calculation 2 4 31 6" xfId="43052"/>
    <cellStyle name="Calculation 2 4 31 7" xfId="52665"/>
    <cellStyle name="Calculation 2 4 32" xfId="4604"/>
    <cellStyle name="Calculation 2 4 32 2" xfId="12321"/>
    <cellStyle name="Calculation 2 4 32 3" xfId="21314"/>
    <cellStyle name="Calculation 2 4 32 4" xfId="29501"/>
    <cellStyle name="Calculation 2 4 32 5" xfId="38860"/>
    <cellStyle name="Calculation 2 4 32 6" xfId="43166"/>
    <cellStyle name="Calculation 2 4 32 7" xfId="48578"/>
    <cellStyle name="Calculation 2 4 33" xfId="4717"/>
    <cellStyle name="Calculation 2 4 33 2" xfId="12434"/>
    <cellStyle name="Calculation 2 4 33 3" xfId="21427"/>
    <cellStyle name="Calculation 2 4 33 4" xfId="29614"/>
    <cellStyle name="Calculation 2 4 33 5" xfId="38969"/>
    <cellStyle name="Calculation 2 4 33 6" xfId="43279"/>
    <cellStyle name="Calculation 2 4 33 7" xfId="52812"/>
    <cellStyle name="Calculation 2 4 34" xfId="4827"/>
    <cellStyle name="Calculation 2 4 34 2" xfId="12544"/>
    <cellStyle name="Calculation 2 4 34 3" xfId="21537"/>
    <cellStyle name="Calculation 2 4 34 4" xfId="29724"/>
    <cellStyle name="Calculation 2 4 34 5" xfId="39076"/>
    <cellStyle name="Calculation 2 4 34 6" xfId="43389"/>
    <cellStyle name="Calculation 2 4 34 7" xfId="48200"/>
    <cellStyle name="Calculation 2 4 35" xfId="4937"/>
    <cellStyle name="Calculation 2 4 35 2" xfId="12654"/>
    <cellStyle name="Calculation 2 4 35 3" xfId="21647"/>
    <cellStyle name="Calculation 2 4 35 4" xfId="29834"/>
    <cellStyle name="Calculation 2 4 35 5" xfId="39181"/>
    <cellStyle name="Calculation 2 4 35 6" xfId="43499"/>
    <cellStyle name="Calculation 2 4 35 7" xfId="48220"/>
    <cellStyle name="Calculation 2 4 36" xfId="5047"/>
    <cellStyle name="Calculation 2 4 36 2" xfId="12764"/>
    <cellStyle name="Calculation 2 4 36 3" xfId="21757"/>
    <cellStyle name="Calculation 2 4 36 4" xfId="29944"/>
    <cellStyle name="Calculation 2 4 36 5" xfId="39288"/>
    <cellStyle name="Calculation 2 4 36 6" xfId="43609"/>
    <cellStyle name="Calculation 2 4 36 7" xfId="48987"/>
    <cellStyle name="Calculation 2 4 37" xfId="5427"/>
    <cellStyle name="Calculation 2 4 37 2" xfId="13144"/>
    <cellStyle name="Calculation 2 4 37 3" xfId="22137"/>
    <cellStyle name="Calculation 2 4 37 4" xfId="30324"/>
    <cellStyle name="Calculation 2 4 37 5" xfId="39653"/>
    <cellStyle name="Calculation 2 4 37 6" xfId="43989"/>
    <cellStyle name="Calculation 2 4 37 7" xfId="48613"/>
    <cellStyle name="Calculation 2 4 38" xfId="5547"/>
    <cellStyle name="Calculation 2 4 38 2" xfId="13264"/>
    <cellStyle name="Calculation 2 4 38 3" xfId="22257"/>
    <cellStyle name="Calculation 2 4 38 4" xfId="30444"/>
    <cellStyle name="Calculation 2 4 38 5" xfId="39767"/>
    <cellStyle name="Calculation 2 4 38 6" xfId="44109"/>
    <cellStyle name="Calculation 2 4 38 7" xfId="47179"/>
    <cellStyle name="Calculation 2 4 39" xfId="5671"/>
    <cellStyle name="Calculation 2 4 39 2" xfId="13388"/>
    <cellStyle name="Calculation 2 4 39 3" xfId="22381"/>
    <cellStyle name="Calculation 2 4 39 4" xfId="30568"/>
    <cellStyle name="Calculation 2 4 39 5" xfId="39888"/>
    <cellStyle name="Calculation 2 4 39 6" xfId="44233"/>
    <cellStyle name="Calculation 2 4 39 7" xfId="46830"/>
    <cellStyle name="Calculation 2 4 4" xfId="937"/>
    <cellStyle name="Calculation 2 4 4 2" xfId="8761"/>
    <cellStyle name="Calculation 2 4 4 3" xfId="16189"/>
    <cellStyle name="Calculation 2 4 4 4" xfId="20600"/>
    <cellStyle name="Calculation 2 4 4 5" xfId="28352"/>
    <cellStyle name="Calculation 2 4 4 6" xfId="38234"/>
    <cellStyle name="Calculation 2 4 4 7" xfId="50051"/>
    <cellStyle name="Calculation 2 4 40" xfId="5787"/>
    <cellStyle name="Calculation 2 4 40 2" xfId="13504"/>
    <cellStyle name="Calculation 2 4 40 3" xfId="22497"/>
    <cellStyle name="Calculation 2 4 40 4" xfId="30684"/>
    <cellStyle name="Calculation 2 4 40 5" xfId="40000"/>
    <cellStyle name="Calculation 2 4 40 6" xfId="44349"/>
    <cellStyle name="Calculation 2 4 40 7" xfId="48441"/>
    <cellStyle name="Calculation 2 4 41" xfId="5904"/>
    <cellStyle name="Calculation 2 4 41 2" xfId="13621"/>
    <cellStyle name="Calculation 2 4 41 3" xfId="22614"/>
    <cellStyle name="Calculation 2 4 41 4" xfId="30801"/>
    <cellStyle name="Calculation 2 4 41 5" xfId="40114"/>
    <cellStyle name="Calculation 2 4 41 6" xfId="44466"/>
    <cellStyle name="Calculation 2 4 41 7" xfId="48836"/>
    <cellStyle name="Calculation 2 4 42" xfId="6032"/>
    <cellStyle name="Calculation 2 4 42 2" xfId="13749"/>
    <cellStyle name="Calculation 2 4 42 3" xfId="22742"/>
    <cellStyle name="Calculation 2 4 42 4" xfId="30929"/>
    <cellStyle name="Calculation 2 4 42 5" xfId="40237"/>
    <cellStyle name="Calculation 2 4 42 6" xfId="44594"/>
    <cellStyle name="Calculation 2 4 42 7" xfId="51036"/>
    <cellStyle name="Calculation 2 4 43" xfId="6159"/>
    <cellStyle name="Calculation 2 4 43 2" xfId="13876"/>
    <cellStyle name="Calculation 2 4 43 3" xfId="22869"/>
    <cellStyle name="Calculation 2 4 43 4" xfId="31056"/>
    <cellStyle name="Calculation 2 4 43 5" xfId="40357"/>
    <cellStyle name="Calculation 2 4 43 6" xfId="44721"/>
    <cellStyle name="Calculation 2 4 43 7" xfId="52543"/>
    <cellStyle name="Calculation 2 4 44" xfId="6288"/>
    <cellStyle name="Calculation 2 4 44 2" xfId="14005"/>
    <cellStyle name="Calculation 2 4 44 3" xfId="22998"/>
    <cellStyle name="Calculation 2 4 44 4" xfId="31185"/>
    <cellStyle name="Calculation 2 4 44 5" xfId="40485"/>
    <cellStyle name="Calculation 2 4 44 6" xfId="44850"/>
    <cellStyle name="Calculation 2 4 44 7" xfId="46898"/>
    <cellStyle name="Calculation 2 4 45" xfId="6403"/>
    <cellStyle name="Calculation 2 4 45 2" xfId="14120"/>
    <cellStyle name="Calculation 2 4 45 3" xfId="23113"/>
    <cellStyle name="Calculation 2 4 45 4" xfId="31300"/>
    <cellStyle name="Calculation 2 4 45 5" xfId="40596"/>
    <cellStyle name="Calculation 2 4 45 6" xfId="44965"/>
    <cellStyle name="Calculation 2 4 45 7" xfId="48936"/>
    <cellStyle name="Calculation 2 4 46" xfId="6515"/>
    <cellStyle name="Calculation 2 4 46 2" xfId="14232"/>
    <cellStyle name="Calculation 2 4 46 3" xfId="23225"/>
    <cellStyle name="Calculation 2 4 46 4" xfId="31412"/>
    <cellStyle name="Calculation 2 4 46 5" xfId="40704"/>
    <cellStyle name="Calculation 2 4 46 6" xfId="45077"/>
    <cellStyle name="Calculation 2 4 46 7" xfId="52628"/>
    <cellStyle name="Calculation 2 4 47" xfId="5253"/>
    <cellStyle name="Calculation 2 4 47 2" xfId="12970"/>
    <cellStyle name="Calculation 2 4 47 3" xfId="21963"/>
    <cellStyle name="Calculation 2 4 47 4" xfId="30150"/>
    <cellStyle name="Calculation 2 4 47 5" xfId="39485"/>
    <cellStyle name="Calculation 2 4 47 6" xfId="43815"/>
    <cellStyle name="Calculation 2 4 47 7" xfId="51368"/>
    <cellStyle name="Calculation 2 4 48" xfId="6662"/>
    <cellStyle name="Calculation 2 4 48 2" xfId="14379"/>
    <cellStyle name="Calculation 2 4 48 3" xfId="23372"/>
    <cellStyle name="Calculation 2 4 48 4" xfId="31559"/>
    <cellStyle name="Calculation 2 4 48 5" xfId="40843"/>
    <cellStyle name="Calculation 2 4 48 6" xfId="45224"/>
    <cellStyle name="Calculation 2 4 48 7" xfId="52029"/>
    <cellStyle name="Calculation 2 4 49" xfId="6773"/>
    <cellStyle name="Calculation 2 4 49 2" xfId="14490"/>
    <cellStyle name="Calculation 2 4 49 3" xfId="23483"/>
    <cellStyle name="Calculation 2 4 49 4" xfId="31670"/>
    <cellStyle name="Calculation 2 4 49 5" xfId="40949"/>
    <cellStyle name="Calculation 2 4 49 6" xfId="45335"/>
    <cellStyle name="Calculation 2 4 49 7" xfId="49074"/>
    <cellStyle name="Calculation 2 4 5" xfId="1405"/>
    <cellStyle name="Calculation 2 4 5 2" xfId="9228"/>
    <cellStyle name="Calculation 2 4 5 3" xfId="16656"/>
    <cellStyle name="Calculation 2 4 5 4" xfId="19549"/>
    <cellStyle name="Calculation 2 4 5 5" xfId="27867"/>
    <cellStyle name="Calculation 2 4 5 6" xfId="41044"/>
    <cellStyle name="Calculation 2 4 5 7" xfId="49029"/>
    <cellStyle name="Calculation 2 4 50" xfId="6888"/>
    <cellStyle name="Calculation 2 4 50 2" xfId="14605"/>
    <cellStyle name="Calculation 2 4 50 3" xfId="23598"/>
    <cellStyle name="Calculation 2 4 50 4" xfId="31785"/>
    <cellStyle name="Calculation 2 4 50 5" xfId="41057"/>
    <cellStyle name="Calculation 2 4 50 6" xfId="45450"/>
    <cellStyle name="Calculation 2 4 50 7" xfId="46884"/>
    <cellStyle name="Calculation 2 4 51" xfId="7001"/>
    <cellStyle name="Calculation 2 4 51 2" xfId="14718"/>
    <cellStyle name="Calculation 2 4 51 3" xfId="23711"/>
    <cellStyle name="Calculation 2 4 51 4" xfId="31898"/>
    <cellStyle name="Calculation 2 4 51 5" xfId="41165"/>
    <cellStyle name="Calculation 2 4 51 6" xfId="45563"/>
    <cellStyle name="Calculation 2 4 51 7" xfId="46959"/>
    <cellStyle name="Calculation 2 4 52" xfId="7111"/>
    <cellStyle name="Calculation 2 4 52 2" xfId="14828"/>
    <cellStyle name="Calculation 2 4 52 3" xfId="23821"/>
    <cellStyle name="Calculation 2 4 52 4" xfId="32008"/>
    <cellStyle name="Calculation 2 4 52 5" xfId="41270"/>
    <cellStyle name="Calculation 2 4 52 6" xfId="45673"/>
    <cellStyle name="Calculation 2 4 52 7" xfId="54026"/>
    <cellStyle name="Calculation 2 4 53" xfId="7167"/>
    <cellStyle name="Calculation 2 4 53 2" xfId="14884"/>
    <cellStyle name="Calculation 2 4 53 3" xfId="23877"/>
    <cellStyle name="Calculation 2 4 53 4" xfId="32064"/>
    <cellStyle name="Calculation 2 4 53 5" xfId="41326"/>
    <cellStyle name="Calculation 2 4 53 6" xfId="45729"/>
    <cellStyle name="Calculation 2 4 53 7" xfId="53626"/>
    <cellStyle name="Calculation 2 4 54" xfId="7258"/>
    <cellStyle name="Calculation 2 4 54 2" xfId="14975"/>
    <cellStyle name="Calculation 2 4 54 3" xfId="23968"/>
    <cellStyle name="Calculation 2 4 54 4" xfId="32155"/>
    <cellStyle name="Calculation 2 4 54 5" xfId="41411"/>
    <cellStyle name="Calculation 2 4 54 6" xfId="45820"/>
    <cellStyle name="Calculation 2 4 54 7" xfId="53737"/>
    <cellStyle name="Calculation 2 4 55" xfId="7508"/>
    <cellStyle name="Calculation 2 4 55 2" xfId="15225"/>
    <cellStyle name="Calculation 2 4 55 3" xfId="24218"/>
    <cellStyle name="Calculation 2 4 55 4" xfId="32405"/>
    <cellStyle name="Calculation 2 4 55 5" xfId="41652"/>
    <cellStyle name="Calculation 2 4 55 6" xfId="46070"/>
    <cellStyle name="Calculation 2 4 55 7" xfId="49081"/>
    <cellStyle name="Calculation 2 4 56" xfId="7629"/>
    <cellStyle name="Calculation 2 4 56 2" xfId="15346"/>
    <cellStyle name="Calculation 2 4 56 3" xfId="24339"/>
    <cellStyle name="Calculation 2 4 56 4" xfId="32526"/>
    <cellStyle name="Calculation 2 4 56 5" xfId="41768"/>
    <cellStyle name="Calculation 2 4 56 6" xfId="46191"/>
    <cellStyle name="Calculation 2 4 56 7" xfId="53135"/>
    <cellStyle name="Calculation 2 4 57" xfId="7906"/>
    <cellStyle name="Calculation 2 4 57 2" xfId="15623"/>
    <cellStyle name="Calculation 2 4 57 3" xfId="24610"/>
    <cellStyle name="Calculation 2 4 57 4" xfId="32803"/>
    <cellStyle name="Calculation 2 4 57 5" xfId="42034"/>
    <cellStyle name="Calculation 2 4 57 6" xfId="46468"/>
    <cellStyle name="Calculation 2 4 57 7" xfId="52579"/>
    <cellStyle name="Calculation 2 4 58" xfId="8034"/>
    <cellStyle name="Calculation 2 4 58 2" xfId="15751"/>
    <cellStyle name="Calculation 2 4 58 3" xfId="24736"/>
    <cellStyle name="Calculation 2 4 58 4" xfId="32931"/>
    <cellStyle name="Calculation 2 4 58 5" xfId="42156"/>
    <cellStyle name="Calculation 2 4 58 6" xfId="46596"/>
    <cellStyle name="Calculation 2 4 58 7" xfId="53697"/>
    <cellStyle name="Calculation 2 4 59" xfId="7683"/>
    <cellStyle name="Calculation 2 4 59 2" xfId="15400"/>
    <cellStyle name="Calculation 2 4 59 3" xfId="24391"/>
    <cellStyle name="Calculation 2 4 59 4" xfId="32580"/>
    <cellStyle name="Calculation 2 4 59 5" xfId="41818"/>
    <cellStyle name="Calculation 2 4 59 6" xfId="46245"/>
    <cellStyle name="Calculation 2 4 59 7" xfId="53625"/>
    <cellStyle name="Calculation 2 4 6" xfId="1528"/>
    <cellStyle name="Calculation 2 4 6 2" xfId="9351"/>
    <cellStyle name="Calculation 2 4 6 3" xfId="16779"/>
    <cellStyle name="Calculation 2 4 6 4" xfId="19569"/>
    <cellStyle name="Calculation 2 4 6 5" xfId="28676"/>
    <cellStyle name="Calculation 2 4 6 6" xfId="38426"/>
    <cellStyle name="Calculation 2 4 6 7" xfId="47870"/>
    <cellStyle name="Calculation 2 4 60" xfId="8181"/>
    <cellStyle name="Calculation 2 4 60 2" xfId="15898"/>
    <cellStyle name="Calculation 2 4 60 3" xfId="33078"/>
    <cellStyle name="Calculation 2 4 60 4" xfId="42297"/>
    <cellStyle name="Calculation 2 4 60 5" xfId="46743"/>
    <cellStyle name="Calculation 2 4 60 6" xfId="46875"/>
    <cellStyle name="Calculation 2 4 61" xfId="25659"/>
    <cellStyle name="Calculation 2 4 62" xfId="34181"/>
    <cellStyle name="Calculation 2 4 63" xfId="36253"/>
    <cellStyle name="Calculation 2 4 64" xfId="52214"/>
    <cellStyle name="Calculation 2 4 7" xfId="1308"/>
    <cellStyle name="Calculation 2 4 7 2" xfId="9131"/>
    <cellStyle name="Calculation 2 4 7 3" xfId="16559"/>
    <cellStyle name="Calculation 2 4 7 4" xfId="26141"/>
    <cellStyle name="Calculation 2 4 7 5" xfId="34806"/>
    <cellStyle name="Calculation 2 4 7 6" xfId="37543"/>
    <cellStyle name="Calculation 2 4 7 7" xfId="53298"/>
    <cellStyle name="Calculation 2 4 8" xfId="1765"/>
    <cellStyle name="Calculation 2 4 8 2" xfId="9588"/>
    <cellStyle name="Calculation 2 4 8 3" xfId="17016"/>
    <cellStyle name="Calculation 2 4 8 4" xfId="19491"/>
    <cellStyle name="Calculation 2 4 8 5" xfId="26862"/>
    <cellStyle name="Calculation 2 4 8 6" xfId="38188"/>
    <cellStyle name="Calculation 2 4 8 7" xfId="50320"/>
    <cellStyle name="Calculation 2 4 9" xfId="1898"/>
    <cellStyle name="Calculation 2 4 9 2" xfId="9721"/>
    <cellStyle name="Calculation 2 4 9 3" xfId="17149"/>
    <cellStyle name="Calculation 2 4 9 4" xfId="19484"/>
    <cellStyle name="Calculation 2 4 9 5" xfId="27594"/>
    <cellStyle name="Calculation 2 4 9 6" xfId="36410"/>
    <cellStyle name="Calculation 2 4 9 7" xfId="47885"/>
    <cellStyle name="Calculation 2 5" xfId="528"/>
    <cellStyle name="Calculation 2 5 10" xfId="1975"/>
    <cellStyle name="Calculation 2 5 10 2" xfId="9798"/>
    <cellStyle name="Calculation 2 5 10 3" xfId="17226"/>
    <cellStyle name="Calculation 2 5 10 4" xfId="20237"/>
    <cellStyle name="Calculation 2 5 10 5" xfId="26767"/>
    <cellStyle name="Calculation 2 5 10 6" xfId="38012"/>
    <cellStyle name="Calculation 2 5 10 7" xfId="49051"/>
    <cellStyle name="Calculation 2 5 11" xfId="2093"/>
    <cellStyle name="Calculation 2 5 11 2" xfId="9916"/>
    <cellStyle name="Calculation 2 5 11 3" xfId="17344"/>
    <cellStyle name="Calculation 2 5 11 4" xfId="19090"/>
    <cellStyle name="Calculation 2 5 11 5" xfId="28706"/>
    <cellStyle name="Calculation 2 5 11 6" xfId="36799"/>
    <cellStyle name="Calculation 2 5 11 7" xfId="49279"/>
    <cellStyle name="Calculation 2 5 12" xfId="2206"/>
    <cellStyle name="Calculation 2 5 12 2" xfId="10029"/>
    <cellStyle name="Calculation 2 5 12 3" xfId="17457"/>
    <cellStyle name="Calculation 2 5 12 4" xfId="25774"/>
    <cellStyle name="Calculation 2 5 12 5" xfId="34333"/>
    <cellStyle name="Calculation 2 5 12 6" xfId="36632"/>
    <cellStyle name="Calculation 2 5 12 7" xfId="52490"/>
    <cellStyle name="Calculation 2 5 13" xfId="2354"/>
    <cellStyle name="Calculation 2 5 13 2" xfId="10177"/>
    <cellStyle name="Calculation 2 5 13 3" xfId="17605"/>
    <cellStyle name="Calculation 2 5 13 4" xfId="25064"/>
    <cellStyle name="Calculation 2 5 13 5" xfId="33425"/>
    <cellStyle name="Calculation 2 5 13 6" xfId="38080"/>
    <cellStyle name="Calculation 2 5 13 7" xfId="50937"/>
    <cellStyle name="Calculation 2 5 14" xfId="2440"/>
    <cellStyle name="Calculation 2 5 14 2" xfId="10263"/>
    <cellStyle name="Calculation 2 5 14 3" xfId="17691"/>
    <cellStyle name="Calculation 2 5 14 4" xfId="19903"/>
    <cellStyle name="Calculation 2 5 14 5" xfId="27608"/>
    <cellStyle name="Calculation 2 5 14 6" xfId="39798"/>
    <cellStyle name="Calculation 2 5 14 7" xfId="49558"/>
    <cellStyle name="Calculation 2 5 15" xfId="2504"/>
    <cellStyle name="Calculation 2 5 15 2" xfId="10327"/>
    <cellStyle name="Calculation 2 5 15 3" xfId="17755"/>
    <cellStyle name="Calculation 2 5 15 4" xfId="24873"/>
    <cellStyle name="Calculation 2 5 15 5" xfId="33187"/>
    <cellStyle name="Calculation 2 5 15 6" xfId="40269"/>
    <cellStyle name="Calculation 2 5 15 7" xfId="50505"/>
    <cellStyle name="Calculation 2 5 16" xfId="2617"/>
    <cellStyle name="Calculation 2 5 16 2" xfId="10440"/>
    <cellStyle name="Calculation 2 5 16 3" xfId="17868"/>
    <cellStyle name="Calculation 2 5 16 4" xfId="26632"/>
    <cellStyle name="Calculation 2 5 16 5" xfId="35467"/>
    <cellStyle name="Calculation 2 5 16 6" xfId="36805"/>
    <cellStyle name="Calculation 2 5 16 7" xfId="54351"/>
    <cellStyle name="Calculation 2 5 17" xfId="2737"/>
    <cellStyle name="Calculation 2 5 17 2" xfId="10560"/>
    <cellStyle name="Calculation 2 5 17 3" xfId="17988"/>
    <cellStyle name="Calculation 2 5 17 4" xfId="19194"/>
    <cellStyle name="Calculation 2 5 17 5" xfId="26924"/>
    <cellStyle name="Calculation 2 5 17 6" xfId="37825"/>
    <cellStyle name="Calculation 2 5 17 7" xfId="49132"/>
    <cellStyle name="Calculation 2 5 18" xfId="2761"/>
    <cellStyle name="Calculation 2 5 18 2" xfId="10584"/>
    <cellStyle name="Calculation 2 5 18 3" xfId="18012"/>
    <cellStyle name="Calculation 2 5 18 4" xfId="26501"/>
    <cellStyle name="Calculation 2 5 18 5" xfId="35295"/>
    <cellStyle name="Calculation 2 5 18 6" xfId="40937"/>
    <cellStyle name="Calculation 2 5 18 7" xfId="54079"/>
    <cellStyle name="Calculation 2 5 19" xfId="2810"/>
    <cellStyle name="Calculation 2 5 19 2" xfId="10633"/>
    <cellStyle name="Calculation 2 5 19 3" xfId="18061"/>
    <cellStyle name="Calculation 2 5 19 4" xfId="19225"/>
    <cellStyle name="Calculation 2 5 19 5" xfId="26785"/>
    <cellStyle name="Calculation 2 5 19 6" xfId="37895"/>
    <cellStyle name="Calculation 2 5 19 7" xfId="50352"/>
    <cellStyle name="Calculation 2 5 2" xfId="678"/>
    <cellStyle name="Calculation 2 5 2 2" xfId="8502"/>
    <cellStyle name="Calculation 2 5 2 3" xfId="8258"/>
    <cellStyle name="Calculation 2 5 2 4" xfId="20457"/>
    <cellStyle name="Calculation 2 5 2 5" xfId="27240"/>
    <cellStyle name="Calculation 2 5 2 6" xfId="37374"/>
    <cellStyle name="Calculation 2 5 2 7" xfId="47397"/>
    <cellStyle name="Calculation 2 5 20" xfId="2917"/>
    <cellStyle name="Calculation 2 5 20 2" xfId="10740"/>
    <cellStyle name="Calculation 2 5 20 3" xfId="18168"/>
    <cellStyle name="Calculation 2 5 20 4" xfId="26628"/>
    <cellStyle name="Calculation 2 5 20 5" xfId="35461"/>
    <cellStyle name="Calculation 2 5 20 6" xfId="37036"/>
    <cellStyle name="Calculation 2 5 20 7" xfId="54342"/>
    <cellStyle name="Calculation 2 5 21" xfId="3293"/>
    <cellStyle name="Calculation 2 5 21 2" xfId="11086"/>
    <cellStyle name="Calculation 2 5 21 3" xfId="18415"/>
    <cellStyle name="Calculation 2 5 21 4" xfId="25895"/>
    <cellStyle name="Calculation 2 5 21 5" xfId="34490"/>
    <cellStyle name="Calculation 2 5 21 6" xfId="40469"/>
    <cellStyle name="Calculation 2 5 21 7" xfId="52773"/>
    <cellStyle name="Calculation 2 5 22" xfId="3413"/>
    <cellStyle name="Calculation 2 5 22 2" xfId="11204"/>
    <cellStyle name="Calculation 2 5 22 3" xfId="18526"/>
    <cellStyle name="Calculation 2 5 22 4" xfId="20269"/>
    <cellStyle name="Calculation 2 5 22 5" xfId="28695"/>
    <cellStyle name="Calculation 2 5 22 6" xfId="37317"/>
    <cellStyle name="Calculation 2 5 22 7" xfId="48824"/>
    <cellStyle name="Calculation 2 5 23" xfId="3025"/>
    <cellStyle name="Calculation 2 5 23 2" xfId="10840"/>
    <cellStyle name="Calculation 2 5 23 3" xfId="18253"/>
    <cellStyle name="Calculation 2 5 23 4" xfId="19798"/>
    <cellStyle name="Calculation 2 5 23 5" xfId="27999"/>
    <cellStyle name="Calculation 2 5 23 6" xfId="38125"/>
    <cellStyle name="Calculation 2 5 23 7" xfId="47489"/>
    <cellStyle name="Calculation 2 5 24" xfId="3684"/>
    <cellStyle name="Calculation 2 5 24 2" xfId="11469"/>
    <cellStyle name="Calculation 2 5 24 3" xfId="18742"/>
    <cellStyle name="Calculation 2 5 24 4" xfId="25035"/>
    <cellStyle name="Calculation 2 5 24 5" xfId="33393"/>
    <cellStyle name="Calculation 2 5 24 6" xfId="38006"/>
    <cellStyle name="Calculation 2 5 24 7" xfId="50873"/>
    <cellStyle name="Calculation 2 5 25" xfId="3814"/>
    <cellStyle name="Calculation 2 5 25 2" xfId="11596"/>
    <cellStyle name="Calculation 2 5 25 3" xfId="18853"/>
    <cellStyle name="Calculation 2 5 25 4" xfId="26017"/>
    <cellStyle name="Calculation 2 5 25 5" xfId="34644"/>
    <cellStyle name="Calculation 2 5 25 6" xfId="40660"/>
    <cellStyle name="Calculation 2 5 25 7" xfId="53025"/>
    <cellStyle name="Calculation 2 5 26" xfId="3932"/>
    <cellStyle name="Calculation 2 5 26 2" xfId="11712"/>
    <cellStyle name="Calculation 2 5 26 3" xfId="18962"/>
    <cellStyle name="Calculation 2 5 26 4" xfId="25487"/>
    <cellStyle name="Calculation 2 5 26 5" xfId="33961"/>
    <cellStyle name="Calculation 2 5 26 6" xfId="38707"/>
    <cellStyle name="Calculation 2 5 26 7" xfId="51844"/>
    <cellStyle name="Calculation 2 5 27" xfId="4047"/>
    <cellStyle name="Calculation 2 5 27 2" xfId="11816"/>
    <cellStyle name="Calculation 2 5 27 3" xfId="20757"/>
    <cellStyle name="Calculation 2 5 27 4" xfId="28944"/>
    <cellStyle name="Calculation 2 5 27 5" xfId="38323"/>
    <cellStyle name="Calculation 2 5 27 6" xfId="42609"/>
    <cellStyle name="Calculation 2 5 27 7" xfId="52613"/>
    <cellStyle name="Calculation 2 5 28" xfId="4129"/>
    <cellStyle name="Calculation 2 5 28 2" xfId="11888"/>
    <cellStyle name="Calculation 2 5 28 3" xfId="20839"/>
    <cellStyle name="Calculation 2 5 28 4" xfId="29026"/>
    <cellStyle name="Calculation 2 5 28 5" xfId="38403"/>
    <cellStyle name="Calculation 2 5 28 6" xfId="42691"/>
    <cellStyle name="Calculation 2 5 28 7" xfId="51472"/>
    <cellStyle name="Calculation 2 5 29" xfId="3051"/>
    <cellStyle name="Calculation 2 5 29 2" xfId="20217"/>
    <cellStyle name="Calculation 2 5 29 3" xfId="28309"/>
    <cellStyle name="Calculation 2 5 29 4" xfId="37689"/>
    <cellStyle name="Calculation 2 5 29 5" xfId="42374"/>
    <cellStyle name="Calculation 2 5 29 6" xfId="49726"/>
    <cellStyle name="Calculation 2 5 3" xfId="786"/>
    <cellStyle name="Calculation 2 5 3 2" xfId="8610"/>
    <cellStyle name="Calculation 2 5 3 3" xfId="16038"/>
    <cellStyle name="Calculation 2 5 3 4" xfId="25051"/>
    <cellStyle name="Calculation 2 5 3 5" xfId="33411"/>
    <cellStyle name="Calculation 2 5 3 6" xfId="37432"/>
    <cellStyle name="Calculation 2 5 3 7" xfId="50903"/>
    <cellStyle name="Calculation 2 5 30" xfId="4326"/>
    <cellStyle name="Calculation 2 5 30 2" xfId="12043"/>
    <cellStyle name="Calculation 2 5 30 3" xfId="21036"/>
    <cellStyle name="Calculation 2 5 30 4" xfId="29223"/>
    <cellStyle name="Calculation 2 5 30 5" xfId="38594"/>
    <cellStyle name="Calculation 2 5 30 6" xfId="42888"/>
    <cellStyle name="Calculation 2 5 30 7" xfId="48115"/>
    <cellStyle name="Calculation 2 5 31" xfId="4449"/>
    <cellStyle name="Calculation 2 5 31 2" xfId="12166"/>
    <cellStyle name="Calculation 2 5 31 3" xfId="21159"/>
    <cellStyle name="Calculation 2 5 31 4" xfId="29346"/>
    <cellStyle name="Calculation 2 5 31 5" xfId="38712"/>
    <cellStyle name="Calculation 2 5 31 6" xfId="43011"/>
    <cellStyle name="Calculation 2 5 31 7" xfId="50422"/>
    <cellStyle name="Calculation 2 5 32" xfId="4563"/>
    <cellStyle name="Calculation 2 5 32 2" xfId="12280"/>
    <cellStyle name="Calculation 2 5 32 3" xfId="21273"/>
    <cellStyle name="Calculation 2 5 32 4" xfId="29460"/>
    <cellStyle name="Calculation 2 5 32 5" xfId="38821"/>
    <cellStyle name="Calculation 2 5 32 6" xfId="43125"/>
    <cellStyle name="Calculation 2 5 32 7" xfId="53419"/>
    <cellStyle name="Calculation 2 5 33" xfId="4676"/>
    <cellStyle name="Calculation 2 5 33 2" xfId="12393"/>
    <cellStyle name="Calculation 2 5 33 3" xfId="21386"/>
    <cellStyle name="Calculation 2 5 33 4" xfId="29573"/>
    <cellStyle name="Calculation 2 5 33 5" xfId="38930"/>
    <cellStyle name="Calculation 2 5 33 6" xfId="43238"/>
    <cellStyle name="Calculation 2 5 33 7" xfId="49070"/>
    <cellStyle name="Calculation 2 5 34" xfId="4787"/>
    <cellStyle name="Calculation 2 5 34 2" xfId="12504"/>
    <cellStyle name="Calculation 2 5 34 3" xfId="21497"/>
    <cellStyle name="Calculation 2 5 34 4" xfId="29684"/>
    <cellStyle name="Calculation 2 5 34 5" xfId="39038"/>
    <cellStyle name="Calculation 2 5 34 6" xfId="43349"/>
    <cellStyle name="Calculation 2 5 34 7" xfId="48089"/>
    <cellStyle name="Calculation 2 5 35" xfId="4896"/>
    <cellStyle name="Calculation 2 5 35 2" xfId="12613"/>
    <cellStyle name="Calculation 2 5 35 3" xfId="21606"/>
    <cellStyle name="Calculation 2 5 35 4" xfId="29793"/>
    <cellStyle name="Calculation 2 5 35 5" xfId="39142"/>
    <cellStyle name="Calculation 2 5 35 6" xfId="43458"/>
    <cellStyle name="Calculation 2 5 35 7" xfId="48355"/>
    <cellStyle name="Calculation 2 5 36" xfId="5007"/>
    <cellStyle name="Calculation 2 5 36 2" xfId="12724"/>
    <cellStyle name="Calculation 2 5 36 3" xfId="21717"/>
    <cellStyle name="Calculation 2 5 36 4" xfId="29904"/>
    <cellStyle name="Calculation 2 5 36 5" xfId="39250"/>
    <cellStyle name="Calculation 2 5 36 6" xfId="43569"/>
    <cellStyle name="Calculation 2 5 36 7" xfId="53309"/>
    <cellStyle name="Calculation 2 5 37" xfId="5386"/>
    <cellStyle name="Calculation 2 5 37 2" xfId="13103"/>
    <cellStyle name="Calculation 2 5 37 3" xfId="22096"/>
    <cellStyle name="Calculation 2 5 37 4" xfId="30283"/>
    <cellStyle name="Calculation 2 5 37 5" xfId="39614"/>
    <cellStyle name="Calculation 2 5 37 6" xfId="43948"/>
    <cellStyle name="Calculation 2 5 37 7" xfId="52868"/>
    <cellStyle name="Calculation 2 5 38" xfId="5506"/>
    <cellStyle name="Calculation 2 5 38 2" xfId="13223"/>
    <cellStyle name="Calculation 2 5 38 3" xfId="22216"/>
    <cellStyle name="Calculation 2 5 38 4" xfId="30403"/>
    <cellStyle name="Calculation 2 5 38 5" xfId="39728"/>
    <cellStyle name="Calculation 2 5 38 6" xfId="44068"/>
    <cellStyle name="Calculation 2 5 38 7" xfId="47759"/>
    <cellStyle name="Calculation 2 5 39" xfId="5630"/>
    <cellStyle name="Calculation 2 5 39 2" xfId="13347"/>
    <cellStyle name="Calculation 2 5 39 3" xfId="22340"/>
    <cellStyle name="Calculation 2 5 39 4" xfId="30527"/>
    <cellStyle name="Calculation 2 5 39 5" xfId="39848"/>
    <cellStyle name="Calculation 2 5 39 6" xfId="44192"/>
    <cellStyle name="Calculation 2 5 39 7" xfId="46837"/>
    <cellStyle name="Calculation 2 5 4" xfId="897"/>
    <cellStyle name="Calculation 2 5 4 2" xfId="8721"/>
    <cellStyle name="Calculation 2 5 4 3" xfId="16149"/>
    <cellStyle name="Calculation 2 5 4 4" xfId="26532"/>
    <cellStyle name="Calculation 2 5 4 5" xfId="35332"/>
    <cellStyle name="Calculation 2 5 4 6" xfId="37395"/>
    <cellStyle name="Calculation 2 5 4 7" xfId="54139"/>
    <cellStyle name="Calculation 2 5 40" xfId="5746"/>
    <cellStyle name="Calculation 2 5 40 2" xfId="13463"/>
    <cellStyle name="Calculation 2 5 40 3" xfId="22456"/>
    <cellStyle name="Calculation 2 5 40 4" xfId="30643"/>
    <cellStyle name="Calculation 2 5 40 5" xfId="39960"/>
    <cellStyle name="Calculation 2 5 40 6" xfId="44308"/>
    <cellStyle name="Calculation 2 5 40 7" xfId="52786"/>
    <cellStyle name="Calculation 2 5 41" xfId="5862"/>
    <cellStyle name="Calculation 2 5 41 2" xfId="13579"/>
    <cellStyle name="Calculation 2 5 41 3" xfId="22572"/>
    <cellStyle name="Calculation 2 5 41 4" xfId="30759"/>
    <cellStyle name="Calculation 2 5 41 5" xfId="40073"/>
    <cellStyle name="Calculation 2 5 41 6" xfId="44424"/>
    <cellStyle name="Calculation 2 5 41 7" xfId="53223"/>
    <cellStyle name="Calculation 2 5 42" xfId="5991"/>
    <cellStyle name="Calculation 2 5 42 2" xfId="13708"/>
    <cellStyle name="Calculation 2 5 42 3" xfId="22701"/>
    <cellStyle name="Calculation 2 5 42 4" xfId="30888"/>
    <cellStyle name="Calculation 2 5 42 5" xfId="40197"/>
    <cellStyle name="Calculation 2 5 42 6" xfId="44553"/>
    <cellStyle name="Calculation 2 5 42 7" xfId="52963"/>
    <cellStyle name="Calculation 2 5 43" xfId="5327"/>
    <cellStyle name="Calculation 2 5 43 2" xfId="13044"/>
    <cellStyle name="Calculation 2 5 43 3" xfId="22037"/>
    <cellStyle name="Calculation 2 5 43 4" xfId="30224"/>
    <cellStyle name="Calculation 2 5 43 5" xfId="39558"/>
    <cellStyle name="Calculation 2 5 43 6" xfId="43889"/>
    <cellStyle name="Calculation 2 5 43 7" xfId="51269"/>
    <cellStyle name="Calculation 2 5 44" xfId="6247"/>
    <cellStyle name="Calculation 2 5 44 2" xfId="13964"/>
    <cellStyle name="Calculation 2 5 44 3" xfId="22957"/>
    <cellStyle name="Calculation 2 5 44 4" xfId="31144"/>
    <cellStyle name="Calculation 2 5 44 5" xfId="40445"/>
    <cellStyle name="Calculation 2 5 44 6" xfId="44809"/>
    <cellStyle name="Calculation 2 5 44 7" xfId="50591"/>
    <cellStyle name="Calculation 2 5 45" xfId="6363"/>
    <cellStyle name="Calculation 2 5 45 2" xfId="14080"/>
    <cellStyle name="Calculation 2 5 45 3" xfId="23073"/>
    <cellStyle name="Calculation 2 5 45 4" xfId="31260"/>
    <cellStyle name="Calculation 2 5 45 5" xfId="40558"/>
    <cellStyle name="Calculation 2 5 45 6" xfId="44925"/>
    <cellStyle name="Calculation 2 5 45 7" xfId="53628"/>
    <cellStyle name="Calculation 2 5 46" xfId="6474"/>
    <cellStyle name="Calculation 2 5 46 2" xfId="14191"/>
    <cellStyle name="Calculation 2 5 46 3" xfId="23184"/>
    <cellStyle name="Calculation 2 5 46 4" xfId="31371"/>
    <cellStyle name="Calculation 2 5 46 5" xfId="40665"/>
    <cellStyle name="Calculation 2 5 46 6" xfId="45036"/>
    <cellStyle name="Calculation 2 5 46 7" xfId="47252"/>
    <cellStyle name="Calculation 2 5 47" xfId="6573"/>
    <cellStyle name="Calculation 2 5 47 2" xfId="14290"/>
    <cellStyle name="Calculation 2 5 47 3" xfId="23283"/>
    <cellStyle name="Calculation 2 5 47 4" xfId="31470"/>
    <cellStyle name="Calculation 2 5 47 5" xfId="40758"/>
    <cellStyle name="Calculation 2 5 47 6" xfId="45135"/>
    <cellStyle name="Calculation 2 5 47 7" xfId="53842"/>
    <cellStyle name="Calculation 2 5 48" xfId="6620"/>
    <cellStyle name="Calculation 2 5 48 2" xfId="14337"/>
    <cellStyle name="Calculation 2 5 48 3" xfId="23330"/>
    <cellStyle name="Calculation 2 5 48 4" xfId="31517"/>
    <cellStyle name="Calculation 2 5 48 5" xfId="40804"/>
    <cellStyle name="Calculation 2 5 48 6" xfId="45182"/>
    <cellStyle name="Calculation 2 5 48 7" xfId="48876"/>
    <cellStyle name="Calculation 2 5 49" xfId="6732"/>
    <cellStyle name="Calculation 2 5 49 2" xfId="14449"/>
    <cellStyle name="Calculation 2 5 49 3" xfId="23442"/>
    <cellStyle name="Calculation 2 5 49 4" xfId="31629"/>
    <cellStyle name="Calculation 2 5 49 5" xfId="40910"/>
    <cellStyle name="Calculation 2 5 49 6" xfId="45294"/>
    <cellStyle name="Calculation 2 5 49 7" xfId="51959"/>
    <cellStyle name="Calculation 2 5 5" xfId="1363"/>
    <cellStyle name="Calculation 2 5 5 2" xfId="9186"/>
    <cellStyle name="Calculation 2 5 5 3" xfId="16614"/>
    <cellStyle name="Calculation 2 5 5 4" xfId="26394"/>
    <cellStyle name="Calculation 2 5 5 5" xfId="35145"/>
    <cellStyle name="Calculation 2 5 5 6" xfId="40411"/>
    <cellStyle name="Calculation 2 5 5 7" xfId="53839"/>
    <cellStyle name="Calculation 2 5 50" xfId="6847"/>
    <cellStyle name="Calculation 2 5 50 2" xfId="14564"/>
    <cellStyle name="Calculation 2 5 50 3" xfId="23557"/>
    <cellStyle name="Calculation 2 5 50 4" xfId="31744"/>
    <cellStyle name="Calculation 2 5 50 5" xfId="41018"/>
    <cellStyle name="Calculation 2 5 50 6" xfId="45409"/>
    <cellStyle name="Calculation 2 5 50 7" xfId="49683"/>
    <cellStyle name="Calculation 2 5 51" xfId="6960"/>
    <cellStyle name="Calculation 2 5 51 2" xfId="14677"/>
    <cellStyle name="Calculation 2 5 51 3" xfId="23670"/>
    <cellStyle name="Calculation 2 5 51 4" xfId="31857"/>
    <cellStyle name="Calculation 2 5 51 5" xfId="41126"/>
    <cellStyle name="Calculation 2 5 51 6" xfId="45522"/>
    <cellStyle name="Calculation 2 5 51 7" xfId="46810"/>
    <cellStyle name="Calculation 2 5 52" xfId="7071"/>
    <cellStyle name="Calculation 2 5 52 2" xfId="14788"/>
    <cellStyle name="Calculation 2 5 52 3" xfId="23781"/>
    <cellStyle name="Calculation 2 5 52 4" xfId="31968"/>
    <cellStyle name="Calculation 2 5 52 5" xfId="41231"/>
    <cellStyle name="Calculation 2 5 52 6" xfId="45633"/>
    <cellStyle name="Calculation 2 5 52 7" xfId="52220"/>
    <cellStyle name="Calculation 2 5 53" xfId="7370"/>
    <cellStyle name="Calculation 2 5 53 2" xfId="15087"/>
    <cellStyle name="Calculation 2 5 53 3" xfId="24080"/>
    <cellStyle name="Calculation 2 5 53 4" xfId="32267"/>
    <cellStyle name="Calculation 2 5 53 5" xfId="41523"/>
    <cellStyle name="Calculation 2 5 53 6" xfId="45932"/>
    <cellStyle name="Calculation 2 5 53 7" xfId="49196"/>
    <cellStyle name="Calculation 2 5 54" xfId="7138"/>
    <cellStyle name="Calculation 2 5 54 2" xfId="14855"/>
    <cellStyle name="Calculation 2 5 54 3" xfId="23848"/>
    <cellStyle name="Calculation 2 5 54 4" xfId="32035"/>
    <cellStyle name="Calculation 2 5 54 5" xfId="41297"/>
    <cellStyle name="Calculation 2 5 54 6" xfId="45700"/>
    <cellStyle name="Calculation 2 5 54 7" xfId="51346"/>
    <cellStyle name="Calculation 2 5 55" xfId="7468"/>
    <cellStyle name="Calculation 2 5 55 2" xfId="15185"/>
    <cellStyle name="Calculation 2 5 55 3" xfId="24178"/>
    <cellStyle name="Calculation 2 5 55 4" xfId="32365"/>
    <cellStyle name="Calculation 2 5 55 5" xfId="41614"/>
    <cellStyle name="Calculation 2 5 55 6" xfId="46030"/>
    <cellStyle name="Calculation 2 5 55 7" xfId="53549"/>
    <cellStyle name="Calculation 2 5 56" xfId="7589"/>
    <cellStyle name="Calculation 2 5 56 2" xfId="15306"/>
    <cellStyle name="Calculation 2 5 56 3" xfId="24299"/>
    <cellStyle name="Calculation 2 5 56 4" xfId="32486"/>
    <cellStyle name="Calculation 2 5 56 5" xfId="41729"/>
    <cellStyle name="Calculation 2 5 56 6" xfId="46151"/>
    <cellStyle name="Calculation 2 5 56 7" xfId="48312"/>
    <cellStyle name="Calculation 2 5 57" xfId="7865"/>
    <cellStyle name="Calculation 2 5 57 2" xfId="15582"/>
    <cellStyle name="Calculation 2 5 57 3" xfId="24569"/>
    <cellStyle name="Calculation 2 5 57 4" xfId="32762"/>
    <cellStyle name="Calculation 2 5 57 5" xfId="41994"/>
    <cellStyle name="Calculation 2 5 57 6" xfId="46427"/>
    <cellStyle name="Calculation 2 5 57 7" xfId="48983"/>
    <cellStyle name="Calculation 2 5 58" xfId="7969"/>
    <cellStyle name="Calculation 2 5 58 2" xfId="15686"/>
    <cellStyle name="Calculation 2 5 58 3" xfId="24672"/>
    <cellStyle name="Calculation 2 5 58 4" xfId="32866"/>
    <cellStyle name="Calculation 2 5 58 5" xfId="42093"/>
    <cellStyle name="Calculation 2 5 58 6" xfId="46531"/>
    <cellStyle name="Calculation 2 5 58 7" xfId="48054"/>
    <cellStyle name="Calculation 2 5 59" xfId="8082"/>
    <cellStyle name="Calculation 2 5 59 2" xfId="15799"/>
    <cellStyle name="Calculation 2 5 59 3" xfId="24783"/>
    <cellStyle name="Calculation 2 5 59 4" xfId="32979"/>
    <cellStyle name="Calculation 2 5 59 5" xfId="42201"/>
    <cellStyle name="Calculation 2 5 59 6" xfId="46644"/>
    <cellStyle name="Calculation 2 5 59 7" xfId="48594"/>
    <cellStyle name="Calculation 2 5 6" xfId="1486"/>
    <cellStyle name="Calculation 2 5 6 2" xfId="9309"/>
    <cellStyle name="Calculation 2 5 6 3" xfId="16737"/>
    <cellStyle name="Calculation 2 5 6 4" xfId="26379"/>
    <cellStyle name="Calculation 2 5 6 5" xfId="35123"/>
    <cellStyle name="Calculation 2 5 6 6" xfId="38956"/>
    <cellStyle name="Calculation 2 5 6 7" xfId="53808"/>
    <cellStyle name="Calculation 2 5 60" xfId="8141"/>
    <cellStyle name="Calculation 2 5 60 2" xfId="15858"/>
    <cellStyle name="Calculation 2 5 60 3" xfId="33038"/>
    <cellStyle name="Calculation 2 5 60 4" xfId="42258"/>
    <cellStyle name="Calculation 2 5 60 5" xfId="46703"/>
    <cellStyle name="Calculation 2 5 60 6" xfId="49532"/>
    <cellStyle name="Calculation 2 5 61" xfId="19087"/>
    <cellStyle name="Calculation 2 5 62" xfId="33107"/>
    <cellStyle name="Calculation 2 5 63" xfId="36675"/>
    <cellStyle name="Calculation 2 5 64" xfId="49118"/>
    <cellStyle name="Calculation 2 5 7" xfId="1658"/>
    <cellStyle name="Calculation 2 5 7 2" xfId="9481"/>
    <cellStyle name="Calculation 2 5 7 3" xfId="16909"/>
    <cellStyle name="Calculation 2 5 7 4" xfId="25239"/>
    <cellStyle name="Calculation 2 5 7 5" xfId="33643"/>
    <cellStyle name="Calculation 2 5 7 6" xfId="40208"/>
    <cellStyle name="Calculation 2 5 7 7" xfId="51297"/>
    <cellStyle name="Calculation 2 5 8" xfId="1723"/>
    <cellStyle name="Calculation 2 5 8 2" xfId="9546"/>
    <cellStyle name="Calculation 2 5 8 3" xfId="16974"/>
    <cellStyle name="Calculation 2 5 8 4" xfId="25615"/>
    <cellStyle name="Calculation 2 5 8 5" xfId="34128"/>
    <cellStyle name="Calculation 2 5 8 6" xfId="36667"/>
    <cellStyle name="Calculation 2 5 8 7" xfId="52122"/>
    <cellStyle name="Calculation 2 5 9" xfId="1857"/>
    <cellStyle name="Calculation 2 5 9 2" xfId="9680"/>
    <cellStyle name="Calculation 2 5 9 3" xfId="17108"/>
    <cellStyle name="Calculation 2 5 9 4" xfId="25857"/>
    <cellStyle name="Calculation 2 5 9 5" xfId="34445"/>
    <cellStyle name="Calculation 2 5 9 6" xfId="41600"/>
    <cellStyle name="Calculation 2 5 9 7" xfId="52686"/>
    <cellStyle name="Calculation 2 6" xfId="246"/>
    <cellStyle name="Calculation 2 6 2" xfId="8346"/>
    <cellStyle name="Calculation 2 6 3" xfId="8367"/>
    <cellStyle name="Calculation 2 6 4" xfId="26306"/>
    <cellStyle name="Calculation 2 6 5" xfId="35024"/>
    <cellStyle name="Calculation 2 6 6" xfId="37263"/>
    <cellStyle name="Calculation 2 6 7" xfId="53657"/>
    <cellStyle name="Calculation 2 7" xfId="609"/>
    <cellStyle name="Calculation 2 7 2" xfId="8433"/>
    <cellStyle name="Calculation 2 7 3" xfId="11834"/>
    <cellStyle name="Calculation 2 7 4" xfId="19349"/>
    <cellStyle name="Calculation 2 7 5" xfId="28743"/>
    <cellStyle name="Calculation 2 7 6" xfId="36663"/>
    <cellStyle name="Calculation 2 7 7" xfId="47714"/>
    <cellStyle name="Calculation 2 8" xfId="1232"/>
    <cellStyle name="Calculation 2 8 2" xfId="9055"/>
    <cellStyle name="Calculation 2 8 3" xfId="16483"/>
    <cellStyle name="Calculation 2 8 4" xfId="19396"/>
    <cellStyle name="Calculation 2 8 5" xfId="27578"/>
    <cellStyle name="Calculation 2 8 6" xfId="38122"/>
    <cellStyle name="Calculation 2 8 7" xfId="48310"/>
    <cellStyle name="Calculation 2 9" xfId="983"/>
    <cellStyle name="Calculation 2 9 2" xfId="8807"/>
    <cellStyle name="Calculation 2 9 3" xfId="16235"/>
    <cellStyle name="Calculation 2 9 4" xfId="25837"/>
    <cellStyle name="Calculation 2 9 5" xfId="34422"/>
    <cellStyle name="Calculation 2 9 6" xfId="37126"/>
    <cellStyle name="Calculation 2 9 7" xfId="52647"/>
    <cellStyle name="Calculation 3" xfId="130"/>
    <cellStyle name="Calculation 3 10" xfId="1105"/>
    <cellStyle name="Calculation 3 10 2" xfId="8929"/>
    <cellStyle name="Calculation 3 10 3" xfId="16357"/>
    <cellStyle name="Calculation 3 10 4" xfId="26670"/>
    <cellStyle name="Calculation 3 10 5" xfId="35517"/>
    <cellStyle name="Calculation 3 10 6" xfId="36800"/>
    <cellStyle name="Calculation 3 10 7" xfId="54434"/>
    <cellStyle name="Calculation 3 11" xfId="1659"/>
    <cellStyle name="Calculation 3 11 2" xfId="9482"/>
    <cellStyle name="Calculation 3 11 3" xfId="16910"/>
    <cellStyle name="Calculation 3 11 4" xfId="25189"/>
    <cellStyle name="Calculation 3 11 5" xfId="33572"/>
    <cellStyle name="Calculation 3 11 6" xfId="40084"/>
    <cellStyle name="Calculation 3 11 7" xfId="51190"/>
    <cellStyle name="Calculation 3 12" xfId="1152"/>
    <cellStyle name="Calculation 3 12 2" xfId="8975"/>
    <cellStyle name="Calculation 3 12 3" xfId="16403"/>
    <cellStyle name="Calculation 3 12 4" xfId="19282"/>
    <cellStyle name="Calculation 3 12 5" xfId="27513"/>
    <cellStyle name="Calculation 3 12 6" xfId="39868"/>
    <cellStyle name="Calculation 3 12 7" xfId="49040"/>
    <cellStyle name="Calculation 3 13" xfId="2712"/>
    <cellStyle name="Calculation 3 13 2" xfId="10535"/>
    <cellStyle name="Calculation 3 13 3" xfId="17963"/>
    <cellStyle name="Calculation 3 13 4" xfId="25382"/>
    <cellStyle name="Calculation 3 13 5" xfId="33830"/>
    <cellStyle name="Calculation 3 13 6" xfId="36451"/>
    <cellStyle name="Calculation 3 13 7" xfId="51611"/>
    <cellStyle name="Calculation 3 14" xfId="3091"/>
    <cellStyle name="Calculation 3 14 2" xfId="10898"/>
    <cellStyle name="Calculation 3 14 3" xfId="18283"/>
    <cellStyle name="Calculation 3 14 4" xfId="25298"/>
    <cellStyle name="Calculation 3 14 5" xfId="33712"/>
    <cellStyle name="Calculation 3 14 6" xfId="37924"/>
    <cellStyle name="Calculation 3 14 7" xfId="51421"/>
    <cellStyle name="Calculation 3 15" xfId="3497"/>
    <cellStyle name="Calculation 3 15 2" xfId="11288"/>
    <cellStyle name="Calculation 3 15 3" xfId="20481"/>
    <cellStyle name="Calculation 3 15 4" xfId="24986"/>
    <cellStyle name="Calculation 3 15 5" xfId="33330"/>
    <cellStyle name="Calculation 3 15 6" xfId="38517"/>
    <cellStyle name="Calculation 3 15 7" xfId="50761"/>
    <cellStyle name="Calculation 3 16" xfId="4071"/>
    <cellStyle name="Calculation 3 16 2" xfId="20781"/>
    <cellStyle name="Calculation 3 16 3" xfId="28968"/>
    <cellStyle name="Calculation 3 16 4" xfId="38347"/>
    <cellStyle name="Calculation 3 16 5" xfId="42633"/>
    <cellStyle name="Calculation 3 16 6" xfId="50175"/>
    <cellStyle name="Calculation 3 17" xfId="3140"/>
    <cellStyle name="Calculation 3 17 2" xfId="10945"/>
    <cellStyle name="Calculation 3 17 3" xfId="20278"/>
    <cellStyle name="Calculation 3 17 4" xfId="28373"/>
    <cellStyle name="Calculation 3 17 5" xfId="37757"/>
    <cellStyle name="Calculation 3 17 6" xfId="42408"/>
    <cellStyle name="Calculation 3 17 7" xfId="48288"/>
    <cellStyle name="Calculation 3 18" xfId="3191"/>
    <cellStyle name="Calculation 3 18 2" xfId="10992"/>
    <cellStyle name="Calculation 3 18 3" xfId="20319"/>
    <cellStyle name="Calculation 3 18 4" xfId="28411"/>
    <cellStyle name="Calculation 3 18 5" xfId="37798"/>
    <cellStyle name="Calculation 3 18 6" xfId="42433"/>
    <cellStyle name="Calculation 3 18 7" xfId="50279"/>
    <cellStyle name="Calculation 3 19" xfId="3569"/>
    <cellStyle name="Calculation 3 19 2" xfId="11358"/>
    <cellStyle name="Calculation 3 19 3" xfId="20527"/>
    <cellStyle name="Calculation 3 19 4" xfId="28654"/>
    <cellStyle name="Calculation 3 19 5" xfId="38035"/>
    <cellStyle name="Calculation 3 19 6" xfId="42511"/>
    <cellStyle name="Calculation 3 19 7" xfId="50412"/>
    <cellStyle name="Calculation 3 2" xfId="255"/>
    <cellStyle name="Calculation 3 2 10" xfId="1123"/>
    <cellStyle name="Calculation 3 2 10 2" xfId="8946"/>
    <cellStyle name="Calculation 3 2 10 3" xfId="16374"/>
    <cellStyle name="Calculation 3 2 10 4" xfId="25841"/>
    <cellStyle name="Calculation 3 2 10 5" xfId="34427"/>
    <cellStyle name="Calculation 3 2 10 6" xfId="36387"/>
    <cellStyle name="Calculation 3 2 10 7" xfId="52655"/>
    <cellStyle name="Calculation 3 2 11" xfId="1068"/>
    <cellStyle name="Calculation 3 2 11 2" xfId="8892"/>
    <cellStyle name="Calculation 3 2 11 3" xfId="16320"/>
    <cellStyle name="Calculation 3 2 11 4" xfId="25015"/>
    <cellStyle name="Calculation 3 2 11 5" xfId="33369"/>
    <cellStyle name="Calculation 3 2 11 6" xfId="37734"/>
    <cellStyle name="Calculation 3 2 11 7" xfId="50833"/>
    <cellStyle name="Calculation 3 2 12" xfId="1390"/>
    <cellStyle name="Calculation 3 2 12 2" xfId="9213"/>
    <cellStyle name="Calculation 3 2 12 3" xfId="16641"/>
    <cellStyle name="Calculation 3 2 12 4" xfId="25041"/>
    <cellStyle name="Calculation 3 2 12 5" xfId="33400"/>
    <cellStyle name="Calculation 3 2 12 6" xfId="37849"/>
    <cellStyle name="Calculation 3 2 12 7" xfId="50887"/>
    <cellStyle name="Calculation 3 2 13" xfId="1090"/>
    <cellStyle name="Calculation 3 2 13 2" xfId="8914"/>
    <cellStyle name="Calculation 3 2 13 3" xfId="16342"/>
    <cellStyle name="Calculation 3 2 13 4" xfId="20478"/>
    <cellStyle name="Calculation 3 2 13 5" xfId="28008"/>
    <cellStyle name="Calculation 3 2 13 6" xfId="37550"/>
    <cellStyle name="Calculation 3 2 13 7" xfId="48601"/>
    <cellStyle name="Calculation 3 2 14" xfId="1751"/>
    <cellStyle name="Calculation 3 2 14 2" xfId="9574"/>
    <cellStyle name="Calculation 3 2 14 3" xfId="17002"/>
    <cellStyle name="Calculation 3 2 14 4" xfId="20064"/>
    <cellStyle name="Calculation 3 2 14 5" xfId="28409"/>
    <cellStyle name="Calculation 3 2 14 6" xfId="39745"/>
    <cellStyle name="Calculation 3 2 14 7" xfId="47990"/>
    <cellStyle name="Calculation 3 2 15" xfId="1647"/>
    <cellStyle name="Calculation 3 2 15 2" xfId="9470"/>
    <cellStyle name="Calculation 3 2 15 3" xfId="16898"/>
    <cellStyle name="Calculation 3 2 15 4" xfId="25851"/>
    <cellStyle name="Calculation 3 2 15 5" xfId="34438"/>
    <cellStyle name="Calculation 3 2 15 6" xfId="41137"/>
    <cellStyle name="Calculation 3 2 15 7" xfId="52670"/>
    <cellStyle name="Calculation 3 2 16" xfId="1040"/>
    <cellStyle name="Calculation 3 2 16 2" xfId="8864"/>
    <cellStyle name="Calculation 3 2 16 3" xfId="16292"/>
    <cellStyle name="Calculation 3 2 16 4" xfId="26421"/>
    <cellStyle name="Calculation 3 2 16 5" xfId="35185"/>
    <cellStyle name="Calculation 3 2 16 6" xfId="36977"/>
    <cellStyle name="Calculation 3 2 16 7" xfId="53900"/>
    <cellStyle name="Calculation 3 2 17" xfId="1630"/>
    <cellStyle name="Calculation 3 2 17 2" xfId="9453"/>
    <cellStyle name="Calculation 3 2 17 3" xfId="16881"/>
    <cellStyle name="Calculation 3 2 17 4" xfId="19755"/>
    <cellStyle name="Calculation 3 2 17 5" xfId="28459"/>
    <cellStyle name="Calculation 3 2 17 6" xfId="37296"/>
    <cellStyle name="Calculation 3 2 17 7" xfId="48164"/>
    <cellStyle name="Calculation 3 2 18" xfId="1635"/>
    <cellStyle name="Calculation 3 2 18 2" xfId="9458"/>
    <cellStyle name="Calculation 3 2 18 3" xfId="16886"/>
    <cellStyle name="Calculation 3 2 18 4" xfId="26383"/>
    <cellStyle name="Calculation 3 2 18 5" xfId="35128"/>
    <cellStyle name="Calculation 3 2 18 6" xfId="36893"/>
    <cellStyle name="Calculation 3 2 18 7" xfId="53812"/>
    <cellStyle name="Calculation 3 2 19" xfId="1101"/>
    <cellStyle name="Calculation 3 2 19 2" xfId="8925"/>
    <cellStyle name="Calculation 3 2 19 3" xfId="16353"/>
    <cellStyle name="Calculation 3 2 19 4" xfId="20622"/>
    <cellStyle name="Calculation 3 2 19 5" xfId="27175"/>
    <cellStyle name="Calculation 3 2 19 6" xfId="36716"/>
    <cellStyle name="Calculation 3 2 19 7" xfId="50256"/>
    <cellStyle name="Calculation 3 2 2" xfId="529"/>
    <cellStyle name="Calculation 3 2 2 10" xfId="1976"/>
    <cellStyle name="Calculation 3 2 2 10 2" xfId="9799"/>
    <cellStyle name="Calculation 3 2 2 10 3" xfId="17227"/>
    <cellStyle name="Calculation 3 2 2 10 4" xfId="19907"/>
    <cellStyle name="Calculation 3 2 2 10 5" xfId="28620"/>
    <cellStyle name="Calculation 3 2 2 10 6" xfId="37993"/>
    <cellStyle name="Calculation 3 2 2 10 7" xfId="48961"/>
    <cellStyle name="Calculation 3 2 2 11" xfId="2094"/>
    <cellStyle name="Calculation 3 2 2 11 2" xfId="9917"/>
    <cellStyle name="Calculation 3 2 2 11 3" xfId="17345"/>
    <cellStyle name="Calculation 3 2 2 11 4" xfId="19179"/>
    <cellStyle name="Calculation 3 2 2 11 5" xfId="26914"/>
    <cellStyle name="Calculation 3 2 2 11 6" xfId="39676"/>
    <cellStyle name="Calculation 3 2 2 11 7" xfId="49174"/>
    <cellStyle name="Calculation 3 2 2 12" xfId="2207"/>
    <cellStyle name="Calculation 3 2 2 12 2" xfId="10030"/>
    <cellStyle name="Calculation 3 2 2 12 3" xfId="17458"/>
    <cellStyle name="Calculation 3 2 2 12 4" xfId="25724"/>
    <cellStyle name="Calculation 3 2 2 12 5" xfId="34270"/>
    <cellStyle name="Calculation 3 2 2 12 6" xfId="37205"/>
    <cellStyle name="Calculation 3 2 2 12 7" xfId="52371"/>
    <cellStyle name="Calculation 3 2 2 13" xfId="2352"/>
    <cellStyle name="Calculation 3 2 2 13 2" xfId="10175"/>
    <cellStyle name="Calculation 3 2 2 13 3" xfId="17603"/>
    <cellStyle name="Calculation 3 2 2 13 4" xfId="25475"/>
    <cellStyle name="Calculation 3 2 2 13 5" xfId="33946"/>
    <cellStyle name="Calculation 3 2 2 13 6" xfId="38220"/>
    <cellStyle name="Calculation 3 2 2 13 7" xfId="51819"/>
    <cellStyle name="Calculation 3 2 2 14" xfId="2437"/>
    <cellStyle name="Calculation 3 2 2 14 2" xfId="10260"/>
    <cellStyle name="Calculation 3 2 2 14 3" xfId="17688"/>
    <cellStyle name="Calculation 3 2 2 14 4" xfId="19447"/>
    <cellStyle name="Calculation 3 2 2 14 5" xfId="28886"/>
    <cellStyle name="Calculation 3 2 2 14 6" xfId="41859"/>
    <cellStyle name="Calculation 3 2 2 14 7" xfId="50185"/>
    <cellStyle name="Calculation 3 2 2 15" xfId="2505"/>
    <cellStyle name="Calculation 3 2 2 15 2" xfId="10328"/>
    <cellStyle name="Calculation 3 2 2 15 3" xfId="17756"/>
    <cellStyle name="Calculation 3 2 2 15 4" xfId="19706"/>
    <cellStyle name="Calculation 3 2 2 15 5" xfId="33132"/>
    <cellStyle name="Calculation 3 2 2 15 6" xfId="39406"/>
    <cellStyle name="Calculation 3 2 2 15 7" xfId="50393"/>
    <cellStyle name="Calculation 3 2 2 16" xfId="2618"/>
    <cellStyle name="Calculation 3 2 2 16 2" xfId="10441"/>
    <cellStyle name="Calculation 3 2 2 16 3" xfId="17869"/>
    <cellStyle name="Calculation 3 2 2 16 4" xfId="26522"/>
    <cellStyle name="Calculation 3 2 2 16 5" xfId="35321"/>
    <cellStyle name="Calculation 3 2 2 16 6" xfId="40311"/>
    <cellStyle name="Calculation 3 2 2 16 7" xfId="54120"/>
    <cellStyle name="Calculation 3 2 2 17" xfId="2735"/>
    <cellStyle name="Calculation 3 2 2 17 2" xfId="10558"/>
    <cellStyle name="Calculation 3 2 2 17 3" xfId="17986"/>
    <cellStyle name="Calculation 3 2 2 17 4" xfId="20063"/>
    <cellStyle name="Calculation 3 2 2 17 5" xfId="27105"/>
    <cellStyle name="Calculation 3 2 2 17 6" xfId="37975"/>
    <cellStyle name="Calculation 3 2 2 17 7" xfId="49309"/>
    <cellStyle name="Calculation 3 2 2 18" xfId="2760"/>
    <cellStyle name="Calculation 3 2 2 18 2" xfId="10583"/>
    <cellStyle name="Calculation 3 2 2 18 3" xfId="18011"/>
    <cellStyle name="Calculation 3 2 2 18 4" xfId="26487"/>
    <cellStyle name="Calculation 3 2 2 18 5" xfId="35276"/>
    <cellStyle name="Calculation 3 2 2 18 6" xfId="41045"/>
    <cellStyle name="Calculation 3 2 2 18 7" xfId="54050"/>
    <cellStyle name="Calculation 3 2 2 19" xfId="2811"/>
    <cellStyle name="Calculation 3 2 2 19 2" xfId="10634"/>
    <cellStyle name="Calculation 3 2 2 19 3" xfId="18062"/>
    <cellStyle name="Calculation 3 2 2 19 4" xfId="19342"/>
    <cellStyle name="Calculation 3 2 2 19 5" xfId="27419"/>
    <cellStyle name="Calculation 3 2 2 19 6" xfId="37742"/>
    <cellStyle name="Calculation 3 2 2 19 7" xfId="50227"/>
    <cellStyle name="Calculation 3 2 2 2" xfId="679"/>
    <cellStyle name="Calculation 3 2 2 2 2" xfId="8503"/>
    <cellStyle name="Calculation 3 2 2 2 3" xfId="8255"/>
    <cellStyle name="Calculation 3 2 2 2 4" xfId="20407"/>
    <cellStyle name="Calculation 3 2 2 2 5" xfId="27195"/>
    <cellStyle name="Calculation 3 2 2 2 6" xfId="36696"/>
    <cellStyle name="Calculation 3 2 2 2 7" xfId="49413"/>
    <cellStyle name="Calculation 3 2 2 20" xfId="2918"/>
    <cellStyle name="Calculation 3 2 2 20 2" xfId="10741"/>
    <cellStyle name="Calculation 3 2 2 20 3" xfId="18169"/>
    <cellStyle name="Calculation 3 2 2 20 4" xfId="26473"/>
    <cellStyle name="Calculation 3 2 2 20 5" xfId="35252"/>
    <cellStyle name="Calculation 3 2 2 20 6" xfId="36967"/>
    <cellStyle name="Calculation 3 2 2 20 7" xfId="54009"/>
    <cellStyle name="Calculation 3 2 2 21" xfId="3294"/>
    <cellStyle name="Calculation 3 2 2 21 2" xfId="11087"/>
    <cellStyle name="Calculation 3 2 2 21 3" xfId="18416"/>
    <cellStyle name="Calculation 3 2 2 21 4" xfId="25846"/>
    <cellStyle name="Calculation 3 2 2 21 5" xfId="34433"/>
    <cellStyle name="Calculation 3 2 2 21 6" xfId="40341"/>
    <cellStyle name="Calculation 3 2 2 21 7" xfId="52664"/>
    <cellStyle name="Calculation 3 2 2 22" xfId="3414"/>
    <cellStyle name="Calculation 3 2 2 22 2" xfId="11205"/>
    <cellStyle name="Calculation 3 2 2 22 3" xfId="18527"/>
    <cellStyle name="Calculation 3 2 2 22 4" xfId="19587"/>
    <cellStyle name="Calculation 3 2 2 22 5" xfId="27300"/>
    <cellStyle name="Calculation 3 2 2 22 6" xfId="37326"/>
    <cellStyle name="Calculation 3 2 2 22 7" xfId="48717"/>
    <cellStyle name="Calculation 3 2 2 23" xfId="3003"/>
    <cellStyle name="Calculation 3 2 2 23 2" xfId="10822"/>
    <cellStyle name="Calculation 3 2 2 23 3" xfId="18245"/>
    <cellStyle name="Calculation 3 2 2 23 4" xfId="19548"/>
    <cellStyle name="Calculation 3 2 2 23 5" xfId="28861"/>
    <cellStyle name="Calculation 3 2 2 23 6" xfId="40353"/>
    <cellStyle name="Calculation 3 2 2 23 7" xfId="48033"/>
    <cellStyle name="Calculation 3 2 2 24" xfId="3685"/>
    <cellStyle name="Calculation 3 2 2 24 2" xfId="11470"/>
    <cellStyle name="Calculation 3 2 2 24 3" xfId="18743"/>
    <cellStyle name="Calculation 3 2 2 24 4" xfId="24992"/>
    <cellStyle name="Calculation 3 2 2 24 5" xfId="33340"/>
    <cellStyle name="Calculation 3 2 2 24 6" xfId="37929"/>
    <cellStyle name="Calculation 3 2 2 24 7" xfId="50778"/>
    <cellStyle name="Calculation 3 2 2 25" xfId="3815"/>
    <cellStyle name="Calculation 3 2 2 25 2" xfId="11597"/>
    <cellStyle name="Calculation 3 2 2 25 3" xfId="18854"/>
    <cellStyle name="Calculation 3 2 2 25 4" xfId="19833"/>
    <cellStyle name="Calculation 3 2 2 25 5" xfId="27881"/>
    <cellStyle name="Calculation 3 2 2 25 6" xfId="40624"/>
    <cellStyle name="Calculation 3 2 2 25 7" xfId="48052"/>
    <cellStyle name="Calculation 3 2 2 26" xfId="3933"/>
    <cellStyle name="Calculation 3 2 2 26 2" xfId="11713"/>
    <cellStyle name="Calculation 3 2 2 26 3" xfId="18963"/>
    <cellStyle name="Calculation 3 2 2 26 4" xfId="25446"/>
    <cellStyle name="Calculation 3 2 2 26 5" xfId="33906"/>
    <cellStyle name="Calculation 3 2 2 26 6" xfId="38639"/>
    <cellStyle name="Calculation 3 2 2 26 7" xfId="51741"/>
    <cellStyle name="Calculation 3 2 2 27" xfId="4044"/>
    <cellStyle name="Calculation 3 2 2 27 2" xfId="11814"/>
    <cellStyle name="Calculation 3 2 2 27 3" xfId="20754"/>
    <cellStyle name="Calculation 3 2 2 27 4" xfId="28941"/>
    <cellStyle name="Calculation 3 2 2 27 5" xfId="38320"/>
    <cellStyle name="Calculation 3 2 2 27 6" xfId="42606"/>
    <cellStyle name="Calculation 3 2 2 27 7" xfId="52949"/>
    <cellStyle name="Calculation 3 2 2 28" xfId="4130"/>
    <cellStyle name="Calculation 3 2 2 28 2" xfId="11889"/>
    <cellStyle name="Calculation 3 2 2 28 3" xfId="20840"/>
    <cellStyle name="Calculation 3 2 2 28 4" xfId="29027"/>
    <cellStyle name="Calculation 3 2 2 28 5" xfId="38404"/>
    <cellStyle name="Calculation 3 2 2 28 6" xfId="42692"/>
    <cellStyle name="Calculation 3 2 2 28 7" xfId="51366"/>
    <cellStyle name="Calculation 3 2 2 29" xfId="4010"/>
    <cellStyle name="Calculation 3 2 2 29 2" xfId="20720"/>
    <cellStyle name="Calculation 3 2 2 29 3" xfId="28907"/>
    <cellStyle name="Calculation 3 2 2 29 4" xfId="38290"/>
    <cellStyle name="Calculation 3 2 2 29 5" xfId="42572"/>
    <cellStyle name="Calculation 3 2 2 29 6" xfId="48887"/>
    <cellStyle name="Calculation 3 2 2 3" xfId="787"/>
    <cellStyle name="Calculation 3 2 2 3 2" xfId="8611"/>
    <cellStyle name="Calculation 3 2 2 3 3" xfId="16039"/>
    <cellStyle name="Calculation 3 2 2 3 4" xfId="20290"/>
    <cellStyle name="Calculation 3 2 2 3 5" xfId="28169"/>
    <cellStyle name="Calculation 3 2 2 3 6" xfId="37371"/>
    <cellStyle name="Calculation 3 2 2 3 7" xfId="47549"/>
    <cellStyle name="Calculation 3 2 2 30" xfId="4327"/>
    <cellStyle name="Calculation 3 2 2 30 2" xfId="12044"/>
    <cellStyle name="Calculation 3 2 2 30 3" xfId="21037"/>
    <cellStyle name="Calculation 3 2 2 30 4" xfId="29224"/>
    <cellStyle name="Calculation 3 2 2 30 5" xfId="38595"/>
    <cellStyle name="Calculation 3 2 2 30 6" xfId="42889"/>
    <cellStyle name="Calculation 3 2 2 30 7" xfId="46953"/>
    <cellStyle name="Calculation 3 2 2 31" xfId="4450"/>
    <cellStyle name="Calculation 3 2 2 31 2" xfId="12167"/>
    <cellStyle name="Calculation 3 2 2 31 3" xfId="21160"/>
    <cellStyle name="Calculation 3 2 2 31 4" xfId="29347"/>
    <cellStyle name="Calculation 3 2 2 31 5" xfId="38713"/>
    <cellStyle name="Calculation 3 2 2 31 6" xfId="43012"/>
    <cellStyle name="Calculation 3 2 2 31 7" xfId="50299"/>
    <cellStyle name="Calculation 3 2 2 32" xfId="4564"/>
    <cellStyle name="Calculation 3 2 2 32 2" xfId="12281"/>
    <cellStyle name="Calculation 3 2 2 32 3" xfId="21274"/>
    <cellStyle name="Calculation 3 2 2 32 4" xfId="29461"/>
    <cellStyle name="Calculation 3 2 2 32 5" xfId="38822"/>
    <cellStyle name="Calculation 3 2 2 32 6" xfId="43126"/>
    <cellStyle name="Calculation 3 2 2 32 7" xfId="53315"/>
    <cellStyle name="Calculation 3 2 2 33" xfId="4677"/>
    <cellStyle name="Calculation 3 2 2 33 2" xfId="12394"/>
    <cellStyle name="Calculation 3 2 2 33 3" xfId="21387"/>
    <cellStyle name="Calculation 3 2 2 33 4" xfId="29574"/>
    <cellStyle name="Calculation 3 2 2 33 5" xfId="38931"/>
    <cellStyle name="Calculation 3 2 2 33 6" xfId="43239"/>
    <cellStyle name="Calculation 3 2 2 33 7" xfId="48303"/>
    <cellStyle name="Calculation 3 2 2 34" xfId="4788"/>
    <cellStyle name="Calculation 3 2 2 34 2" xfId="12505"/>
    <cellStyle name="Calculation 3 2 2 34 3" xfId="21498"/>
    <cellStyle name="Calculation 3 2 2 34 4" xfId="29685"/>
    <cellStyle name="Calculation 3 2 2 34 5" xfId="39039"/>
    <cellStyle name="Calculation 3 2 2 34 6" xfId="43350"/>
    <cellStyle name="Calculation 3 2 2 34 7" xfId="51854"/>
    <cellStyle name="Calculation 3 2 2 35" xfId="4897"/>
    <cellStyle name="Calculation 3 2 2 35 2" xfId="12614"/>
    <cellStyle name="Calculation 3 2 2 35 3" xfId="21607"/>
    <cellStyle name="Calculation 3 2 2 35 4" xfId="29794"/>
    <cellStyle name="Calculation 3 2 2 35 5" xfId="39143"/>
    <cellStyle name="Calculation 3 2 2 35 6" xfId="43459"/>
    <cellStyle name="Calculation 3 2 2 35 7" xfId="49250"/>
    <cellStyle name="Calculation 3 2 2 36" xfId="5008"/>
    <cellStyle name="Calculation 3 2 2 36 2" xfId="12725"/>
    <cellStyle name="Calculation 3 2 2 36 3" xfId="21718"/>
    <cellStyle name="Calculation 3 2 2 36 4" xfId="29905"/>
    <cellStyle name="Calculation 3 2 2 36 5" xfId="39251"/>
    <cellStyle name="Calculation 3 2 2 36 6" xfId="43570"/>
    <cellStyle name="Calculation 3 2 2 36 7" xfId="53205"/>
    <cellStyle name="Calculation 3 2 2 37" xfId="5387"/>
    <cellStyle name="Calculation 3 2 2 37 2" xfId="13104"/>
    <cellStyle name="Calculation 3 2 2 37 3" xfId="22097"/>
    <cellStyle name="Calculation 3 2 2 37 4" xfId="30284"/>
    <cellStyle name="Calculation 3 2 2 37 5" xfId="39615"/>
    <cellStyle name="Calculation 3 2 2 37 6" xfId="43949"/>
    <cellStyle name="Calculation 3 2 2 37 7" xfId="52765"/>
    <cellStyle name="Calculation 3 2 2 38" xfId="5507"/>
    <cellStyle name="Calculation 3 2 2 38 2" xfId="13224"/>
    <cellStyle name="Calculation 3 2 2 38 3" xfId="22217"/>
    <cellStyle name="Calculation 3 2 2 38 4" xfId="30404"/>
    <cellStyle name="Calculation 3 2 2 38 5" xfId="39729"/>
    <cellStyle name="Calculation 3 2 2 38 6" xfId="44069"/>
    <cellStyle name="Calculation 3 2 2 38 7" xfId="47748"/>
    <cellStyle name="Calculation 3 2 2 39" xfId="5631"/>
    <cellStyle name="Calculation 3 2 2 39 2" xfId="13348"/>
    <cellStyle name="Calculation 3 2 2 39 3" xfId="22341"/>
    <cellStyle name="Calculation 3 2 2 39 4" xfId="30528"/>
    <cellStyle name="Calculation 3 2 2 39 5" xfId="39849"/>
    <cellStyle name="Calculation 3 2 2 39 6" xfId="44193"/>
    <cellStyle name="Calculation 3 2 2 39 7" xfId="47118"/>
    <cellStyle name="Calculation 3 2 2 4" xfId="898"/>
    <cellStyle name="Calculation 3 2 2 4 2" xfId="8722"/>
    <cellStyle name="Calculation 3 2 2 4 3" xfId="16150"/>
    <cellStyle name="Calculation 3 2 2 4 4" xfId="26638"/>
    <cellStyle name="Calculation 3 2 2 4 5" xfId="35474"/>
    <cellStyle name="Calculation 3 2 2 4 6" xfId="37283"/>
    <cellStyle name="Calculation 3 2 2 4 7" xfId="54362"/>
    <cellStyle name="Calculation 3 2 2 40" xfId="5747"/>
    <cellStyle name="Calculation 3 2 2 40 2" xfId="13464"/>
    <cellStyle name="Calculation 3 2 2 40 3" xfId="22457"/>
    <cellStyle name="Calculation 3 2 2 40 4" xfId="30644"/>
    <cellStyle name="Calculation 3 2 2 40 5" xfId="39961"/>
    <cellStyle name="Calculation 3 2 2 40 6" xfId="44309"/>
    <cellStyle name="Calculation 3 2 2 40 7" xfId="52678"/>
    <cellStyle name="Calculation 3 2 2 41" xfId="5863"/>
    <cellStyle name="Calculation 3 2 2 41 2" xfId="13580"/>
    <cellStyle name="Calculation 3 2 2 41 3" xfId="22573"/>
    <cellStyle name="Calculation 3 2 2 41 4" xfId="30760"/>
    <cellStyle name="Calculation 3 2 2 41 5" xfId="40074"/>
    <cellStyle name="Calculation 3 2 2 41 6" xfId="44425"/>
    <cellStyle name="Calculation 3 2 2 41 7" xfId="48040"/>
    <cellStyle name="Calculation 3 2 2 42" xfId="5992"/>
    <cellStyle name="Calculation 3 2 2 42 2" xfId="13709"/>
    <cellStyle name="Calculation 3 2 2 42 3" xfId="22702"/>
    <cellStyle name="Calculation 3 2 2 42 4" xfId="30889"/>
    <cellStyle name="Calculation 3 2 2 42 5" xfId="40198"/>
    <cellStyle name="Calculation 3 2 2 42 6" xfId="44554"/>
    <cellStyle name="Calculation 3 2 2 42 7" xfId="51863"/>
    <cellStyle name="Calculation 3 2 2 43" xfId="5439"/>
    <cellStyle name="Calculation 3 2 2 43 2" xfId="13156"/>
    <cellStyle name="Calculation 3 2 2 43 3" xfId="22149"/>
    <cellStyle name="Calculation 3 2 2 43 4" xfId="30336"/>
    <cellStyle name="Calculation 3 2 2 43 5" xfId="39665"/>
    <cellStyle name="Calculation 3 2 2 43 6" xfId="44001"/>
    <cellStyle name="Calculation 3 2 2 43 7" xfId="48537"/>
    <cellStyle name="Calculation 3 2 2 44" xfId="6248"/>
    <cellStyle name="Calculation 3 2 2 44 2" xfId="13965"/>
    <cellStyle name="Calculation 3 2 2 44 3" xfId="22958"/>
    <cellStyle name="Calculation 3 2 2 44 4" xfId="31145"/>
    <cellStyle name="Calculation 3 2 2 44 5" xfId="40446"/>
    <cellStyle name="Calculation 3 2 2 44 6" xfId="44810"/>
    <cellStyle name="Calculation 3 2 2 44 7" xfId="50500"/>
    <cellStyle name="Calculation 3 2 2 45" xfId="6364"/>
    <cellStyle name="Calculation 3 2 2 45 2" xfId="14081"/>
    <cellStyle name="Calculation 3 2 2 45 3" xfId="23074"/>
    <cellStyle name="Calculation 3 2 2 45 4" xfId="31261"/>
    <cellStyle name="Calculation 3 2 2 45 5" xfId="40559"/>
    <cellStyle name="Calculation 3 2 2 45 6" xfId="44926"/>
    <cellStyle name="Calculation 3 2 2 45 7" xfId="53541"/>
    <cellStyle name="Calculation 3 2 2 46" xfId="6475"/>
    <cellStyle name="Calculation 3 2 2 46 2" xfId="14192"/>
    <cellStyle name="Calculation 3 2 2 46 3" xfId="23185"/>
    <cellStyle name="Calculation 3 2 2 46 4" xfId="31372"/>
    <cellStyle name="Calculation 3 2 2 46 5" xfId="40666"/>
    <cellStyle name="Calculation 3 2 2 46 6" xfId="45037"/>
    <cellStyle name="Calculation 3 2 2 46 7" xfId="53640"/>
    <cellStyle name="Calculation 3 2 2 47" xfId="6571"/>
    <cellStyle name="Calculation 3 2 2 47 2" xfId="14288"/>
    <cellStyle name="Calculation 3 2 2 47 3" xfId="23281"/>
    <cellStyle name="Calculation 3 2 2 47 4" xfId="31468"/>
    <cellStyle name="Calculation 3 2 2 47 5" xfId="40756"/>
    <cellStyle name="Calculation 3 2 2 47 6" xfId="45133"/>
    <cellStyle name="Calculation 3 2 2 47 7" xfId="54220"/>
    <cellStyle name="Calculation 3 2 2 48" xfId="6621"/>
    <cellStyle name="Calculation 3 2 2 48 2" xfId="14338"/>
    <cellStyle name="Calculation 3 2 2 48 3" xfId="23331"/>
    <cellStyle name="Calculation 3 2 2 48 4" xfId="31518"/>
    <cellStyle name="Calculation 3 2 2 48 5" xfId="40805"/>
    <cellStyle name="Calculation 3 2 2 48 6" xfId="45183"/>
    <cellStyle name="Calculation 3 2 2 48 7" xfId="48770"/>
    <cellStyle name="Calculation 3 2 2 49" xfId="6733"/>
    <cellStyle name="Calculation 3 2 2 49 2" xfId="14450"/>
    <cellStyle name="Calculation 3 2 2 49 3" xfId="23443"/>
    <cellStyle name="Calculation 3 2 2 49 4" xfId="31630"/>
    <cellStyle name="Calculation 3 2 2 49 5" xfId="40911"/>
    <cellStyle name="Calculation 3 2 2 49 6" xfId="45295"/>
    <cellStyle name="Calculation 3 2 2 49 7" xfId="51625"/>
    <cellStyle name="Calculation 3 2 2 5" xfId="1364"/>
    <cellStyle name="Calculation 3 2 2 5 2" xfId="9187"/>
    <cellStyle name="Calculation 3 2 2 5 3" xfId="16615"/>
    <cellStyle name="Calculation 3 2 2 5 4" xfId="26327"/>
    <cellStyle name="Calculation 3 2 2 5 5" xfId="35051"/>
    <cellStyle name="Calculation 3 2 2 5 6" xfId="39517"/>
    <cellStyle name="Calculation 3 2 2 5 7" xfId="53693"/>
    <cellStyle name="Calculation 3 2 2 50" xfId="6848"/>
    <cellStyle name="Calculation 3 2 2 50 2" xfId="14565"/>
    <cellStyle name="Calculation 3 2 2 50 3" xfId="23558"/>
    <cellStyle name="Calculation 3 2 2 50 4" xfId="31745"/>
    <cellStyle name="Calculation 3 2 2 50 5" xfId="41019"/>
    <cellStyle name="Calculation 3 2 2 50 6" xfId="45410"/>
    <cellStyle name="Calculation 3 2 2 50 7" xfId="49657"/>
    <cellStyle name="Calculation 3 2 2 51" xfId="6961"/>
    <cellStyle name="Calculation 3 2 2 51 2" xfId="14678"/>
    <cellStyle name="Calculation 3 2 2 51 3" xfId="23671"/>
    <cellStyle name="Calculation 3 2 2 51 4" xfId="31858"/>
    <cellStyle name="Calculation 3 2 2 51 5" xfId="41127"/>
    <cellStyle name="Calculation 3 2 2 51 6" xfId="45523"/>
    <cellStyle name="Calculation 3 2 2 51 7" xfId="46799"/>
    <cellStyle name="Calculation 3 2 2 52" xfId="7072"/>
    <cellStyle name="Calculation 3 2 2 52 2" xfId="14789"/>
    <cellStyle name="Calculation 3 2 2 52 3" xfId="23782"/>
    <cellStyle name="Calculation 3 2 2 52 4" xfId="31969"/>
    <cellStyle name="Calculation 3 2 2 52 5" xfId="41232"/>
    <cellStyle name="Calculation 3 2 2 52 6" xfId="45634"/>
    <cellStyle name="Calculation 3 2 2 52 7" xfId="47635"/>
    <cellStyle name="Calculation 3 2 2 53" xfId="7358"/>
    <cellStyle name="Calculation 3 2 2 53 2" xfId="15075"/>
    <cellStyle name="Calculation 3 2 2 53 3" xfId="24068"/>
    <cellStyle name="Calculation 3 2 2 53 4" xfId="32255"/>
    <cellStyle name="Calculation 3 2 2 53 5" xfId="41511"/>
    <cellStyle name="Calculation 3 2 2 53 6" xfId="45920"/>
    <cellStyle name="Calculation 3 2 2 53 7" xfId="50554"/>
    <cellStyle name="Calculation 3 2 2 54" xfId="7391"/>
    <cellStyle name="Calculation 3 2 2 54 2" xfId="15108"/>
    <cellStyle name="Calculation 3 2 2 54 3" xfId="24101"/>
    <cellStyle name="Calculation 3 2 2 54 4" xfId="32288"/>
    <cellStyle name="Calculation 3 2 2 54 5" xfId="41542"/>
    <cellStyle name="Calculation 3 2 2 54 6" xfId="45953"/>
    <cellStyle name="Calculation 3 2 2 54 7" xfId="48186"/>
    <cellStyle name="Calculation 3 2 2 55" xfId="7469"/>
    <cellStyle name="Calculation 3 2 2 55 2" xfId="15186"/>
    <cellStyle name="Calculation 3 2 2 55 3" xfId="24179"/>
    <cellStyle name="Calculation 3 2 2 55 4" xfId="32366"/>
    <cellStyle name="Calculation 3 2 2 55 5" xfId="41615"/>
    <cellStyle name="Calculation 3 2 2 55 6" xfId="46031"/>
    <cellStyle name="Calculation 3 2 2 55 7" xfId="53479"/>
    <cellStyle name="Calculation 3 2 2 56" xfId="7590"/>
    <cellStyle name="Calculation 3 2 2 56 2" xfId="15307"/>
    <cellStyle name="Calculation 3 2 2 56 3" xfId="24300"/>
    <cellStyle name="Calculation 3 2 2 56 4" xfId="32487"/>
    <cellStyle name="Calculation 3 2 2 56 5" xfId="41730"/>
    <cellStyle name="Calculation 3 2 2 56 6" xfId="46152"/>
    <cellStyle name="Calculation 3 2 2 56 7" xfId="47755"/>
    <cellStyle name="Calculation 3 2 2 57" xfId="7866"/>
    <cellStyle name="Calculation 3 2 2 57 2" xfId="15583"/>
    <cellStyle name="Calculation 3 2 2 57 3" xfId="24570"/>
    <cellStyle name="Calculation 3 2 2 57 4" xfId="32763"/>
    <cellStyle name="Calculation 3 2 2 57 5" xfId="41995"/>
    <cellStyle name="Calculation 3 2 2 57 6" xfId="46428"/>
    <cellStyle name="Calculation 3 2 2 57 7" xfId="49293"/>
    <cellStyle name="Calculation 3 2 2 58" xfId="7996"/>
    <cellStyle name="Calculation 3 2 2 58 2" xfId="15713"/>
    <cellStyle name="Calculation 3 2 2 58 3" xfId="24698"/>
    <cellStyle name="Calculation 3 2 2 58 4" xfId="32893"/>
    <cellStyle name="Calculation 3 2 2 58 5" xfId="42119"/>
    <cellStyle name="Calculation 3 2 2 58 6" xfId="46558"/>
    <cellStyle name="Calculation 3 2 2 58 7" xfId="50381"/>
    <cellStyle name="Calculation 3 2 2 59" xfId="8085"/>
    <cellStyle name="Calculation 3 2 2 59 2" xfId="15802"/>
    <cellStyle name="Calculation 3 2 2 59 3" xfId="24786"/>
    <cellStyle name="Calculation 3 2 2 59 4" xfId="32982"/>
    <cellStyle name="Calculation 3 2 2 59 5" xfId="42204"/>
    <cellStyle name="Calculation 3 2 2 59 6" xfId="46647"/>
    <cellStyle name="Calculation 3 2 2 59 7" xfId="49955"/>
    <cellStyle name="Calculation 3 2 2 6" xfId="1487"/>
    <cellStyle name="Calculation 3 2 2 6 2" xfId="9310"/>
    <cellStyle name="Calculation 3 2 2 6 3" xfId="16738"/>
    <cellStyle name="Calculation 3 2 2 6 4" xfId="26310"/>
    <cellStyle name="Calculation 3 2 2 6 5" xfId="35029"/>
    <cellStyle name="Calculation 3 2 2 6 6" xfId="37041"/>
    <cellStyle name="Calculation 3 2 2 6 7" xfId="53664"/>
    <cellStyle name="Calculation 3 2 2 60" xfId="8142"/>
    <cellStyle name="Calculation 3 2 2 60 2" xfId="15859"/>
    <cellStyle name="Calculation 3 2 2 60 3" xfId="33039"/>
    <cellStyle name="Calculation 3 2 2 60 4" xfId="42259"/>
    <cellStyle name="Calculation 3 2 2 60 5" xfId="46704"/>
    <cellStyle name="Calculation 3 2 2 60 6" xfId="47414"/>
    <cellStyle name="Calculation 3 2 2 61" xfId="20049"/>
    <cellStyle name="Calculation 3 2 2 62" xfId="28705"/>
    <cellStyle name="Calculation 3 2 2 63" xfId="36616"/>
    <cellStyle name="Calculation 3 2 2 64" xfId="48241"/>
    <cellStyle name="Calculation 3 2 2 7" xfId="1655"/>
    <cellStyle name="Calculation 3 2 2 7 2" xfId="9478"/>
    <cellStyle name="Calculation 3 2 2 7 3" xfId="16906"/>
    <cellStyle name="Calculation 3 2 2 7 4" xfId="25384"/>
    <cellStyle name="Calculation 3 2 2 7 5" xfId="33832"/>
    <cellStyle name="Calculation 3 2 2 7 6" xfId="40456"/>
    <cellStyle name="Calculation 3 2 2 7 7" xfId="51613"/>
    <cellStyle name="Calculation 3 2 2 8" xfId="1724"/>
    <cellStyle name="Calculation 3 2 2 8 2" xfId="9547"/>
    <cellStyle name="Calculation 3 2 2 8 3" xfId="16975"/>
    <cellStyle name="Calculation 3 2 2 8 4" xfId="25562"/>
    <cellStyle name="Calculation 3 2 2 8 5" xfId="34059"/>
    <cellStyle name="Calculation 3 2 2 8 6" xfId="42275"/>
    <cellStyle name="Calculation 3 2 2 8 7" xfId="52005"/>
    <cellStyle name="Calculation 3 2 2 9" xfId="1858"/>
    <cellStyle name="Calculation 3 2 2 9 2" xfId="9681"/>
    <cellStyle name="Calculation 3 2 2 9 3" xfId="17109"/>
    <cellStyle name="Calculation 3 2 2 9 4" xfId="25467"/>
    <cellStyle name="Calculation 3 2 2 9 5" xfId="33932"/>
    <cellStyle name="Calculation 3 2 2 9 6" xfId="41497"/>
    <cellStyle name="Calculation 3 2 2 9 7" xfId="51796"/>
    <cellStyle name="Calculation 3 2 20" xfId="1285"/>
    <cellStyle name="Calculation 3 2 20 2" xfId="9108"/>
    <cellStyle name="Calculation 3 2 20 3" xfId="16536"/>
    <cellStyle name="Calculation 3 2 20 4" xfId="26707"/>
    <cellStyle name="Calculation 3 2 20 5" xfId="35563"/>
    <cellStyle name="Calculation 3 2 20 6" xfId="36528"/>
    <cellStyle name="Calculation 3 2 20 7" xfId="54516"/>
    <cellStyle name="Calculation 3 2 21" xfId="2436"/>
    <cellStyle name="Calculation 3 2 21 2" xfId="10259"/>
    <cellStyle name="Calculation 3 2 21 3" xfId="17687"/>
    <cellStyle name="Calculation 3 2 21 4" xfId="20403"/>
    <cellStyle name="Calculation 3 2 21 5" xfId="27422"/>
    <cellStyle name="Calculation 3 2 21 6" xfId="41844"/>
    <cellStyle name="Calculation 3 2 21 7" xfId="50291"/>
    <cellStyle name="Calculation 3 2 22" xfId="2549"/>
    <cellStyle name="Calculation 3 2 22 2" xfId="10372"/>
    <cellStyle name="Calculation 3 2 22 3" xfId="17800"/>
    <cellStyle name="Calculation 3 2 22 4" xfId="19815"/>
    <cellStyle name="Calculation 3 2 22 5" xfId="26838"/>
    <cellStyle name="Calculation 3 2 22 6" xfId="40348"/>
    <cellStyle name="Calculation 3 2 22 7" xfId="48547"/>
    <cellStyle name="Calculation 3 2 23" xfId="2370"/>
    <cellStyle name="Calculation 3 2 23 2" xfId="10193"/>
    <cellStyle name="Calculation 3 2 23 3" xfId="17621"/>
    <cellStyle name="Calculation 3 2 23 4" xfId="19957"/>
    <cellStyle name="Calculation 3 2 23 5" xfId="27115"/>
    <cellStyle name="Calculation 3 2 23 6" xfId="37072"/>
    <cellStyle name="Calculation 3 2 23 7" xfId="48315"/>
    <cellStyle name="Calculation 3 2 24" xfId="2733"/>
    <cellStyle name="Calculation 3 2 24 2" xfId="10556"/>
    <cellStyle name="Calculation 3 2 24 3" xfId="17984"/>
    <cellStyle name="Calculation 3 2 24 4" xfId="19904"/>
    <cellStyle name="Calculation 3 2 24 5" xfId="28166"/>
    <cellStyle name="Calculation 3 2 24 6" xfId="37070"/>
    <cellStyle name="Calculation 3 2 24 7" xfId="49423"/>
    <cellStyle name="Calculation 3 2 25" xfId="2759"/>
    <cellStyle name="Calculation 3 2 25 2" xfId="10582"/>
    <cellStyle name="Calculation 3 2 25 3" xfId="18010"/>
    <cellStyle name="Calculation 3 2 25 4" xfId="26519"/>
    <cellStyle name="Calculation 3 2 25 5" xfId="35316"/>
    <cellStyle name="Calculation 3 2 25 6" xfId="41153"/>
    <cellStyle name="Calculation 3 2 25 7" xfId="54107"/>
    <cellStyle name="Calculation 3 2 26" xfId="3105"/>
    <cellStyle name="Calculation 3 2 26 2" xfId="10910"/>
    <cellStyle name="Calculation 3 2 26 3" xfId="18291"/>
    <cellStyle name="Calculation 3 2 26 4" xfId="20003"/>
    <cellStyle name="Calculation 3 2 26 5" xfId="28499"/>
    <cellStyle name="Calculation 3 2 26 6" xfId="36327"/>
    <cellStyle name="Calculation 3 2 26 7" xfId="50136"/>
    <cellStyle name="Calculation 3 2 27" xfId="3066"/>
    <cellStyle name="Calculation 3 2 27 2" xfId="10875"/>
    <cellStyle name="Calculation 3 2 27 3" xfId="18270"/>
    <cellStyle name="Calculation 3 2 27 4" xfId="26569"/>
    <cellStyle name="Calculation 3 2 27 5" xfId="35382"/>
    <cellStyle name="Calculation 3 2 27 6" xfId="39563"/>
    <cellStyle name="Calculation 3 2 27 7" xfId="54210"/>
    <cellStyle name="Calculation 3 2 28" xfId="2977"/>
    <cellStyle name="Calculation 3 2 28 2" xfId="10800"/>
    <cellStyle name="Calculation 3 2 28 3" xfId="18228"/>
    <cellStyle name="Calculation 3 2 28 4" xfId="25046"/>
    <cellStyle name="Calculation 3 2 28 5" xfId="33405"/>
    <cellStyle name="Calculation 3 2 28 6" xfId="37165"/>
    <cellStyle name="Calculation 3 2 28 7" xfId="50895"/>
    <cellStyle name="Calculation 3 2 29" xfId="3486"/>
    <cellStyle name="Calculation 3 2 29 2" xfId="11277"/>
    <cellStyle name="Calculation 3 2 29 3" xfId="18588"/>
    <cellStyle name="Calculation 3 2 29 4" xfId="19928"/>
    <cellStyle name="Calculation 3 2 29 5" xfId="27457"/>
    <cellStyle name="Calculation 3 2 29 6" xfId="36711"/>
    <cellStyle name="Calculation 3 2 29 7" xfId="48900"/>
    <cellStyle name="Calculation 3 2 3" xfId="560"/>
    <cellStyle name="Calculation 3 2 3 10" xfId="2007"/>
    <cellStyle name="Calculation 3 2 3 10 2" xfId="9830"/>
    <cellStyle name="Calculation 3 2 3 10 3" xfId="17258"/>
    <cellStyle name="Calculation 3 2 3 10 4" xfId="20156"/>
    <cellStyle name="Calculation 3 2 3 10 5" xfId="28496"/>
    <cellStyle name="Calculation 3 2 3 10 6" xfId="42161"/>
    <cellStyle name="Calculation 3 2 3 10 7" xfId="47640"/>
    <cellStyle name="Calculation 3 2 3 11" xfId="2124"/>
    <cellStyle name="Calculation 3 2 3 11 2" xfId="9947"/>
    <cellStyle name="Calculation 3 2 3 11 3" xfId="17375"/>
    <cellStyle name="Calculation 3 2 3 11 4" xfId="25897"/>
    <cellStyle name="Calculation 3 2 3 11 5" xfId="34492"/>
    <cellStyle name="Calculation 3 2 3 11 6" xfId="37894"/>
    <cellStyle name="Calculation 3 2 3 11 7" xfId="52776"/>
    <cellStyle name="Calculation 3 2 3 12" xfId="2238"/>
    <cellStyle name="Calculation 3 2 3 12 2" xfId="10061"/>
    <cellStyle name="Calculation 3 2 3 12 3" xfId="17489"/>
    <cellStyle name="Calculation 3 2 3 12 4" xfId="19841"/>
    <cellStyle name="Calculation 3 2 3 12 5" xfId="27511"/>
    <cellStyle name="Calculation 3 2 3 12 6" xfId="40809"/>
    <cellStyle name="Calculation 3 2 3 12 7" xfId="47942"/>
    <cellStyle name="Calculation 3 2 3 13" xfId="1667"/>
    <cellStyle name="Calculation 3 2 3 13 2" xfId="9490"/>
    <cellStyle name="Calculation 3 2 3 13 3" xfId="16918"/>
    <cellStyle name="Calculation 3 2 3 13 4" xfId="24866"/>
    <cellStyle name="Calculation 3 2 3 13 5" xfId="33179"/>
    <cellStyle name="Calculation 3 2 3 13 6" xfId="39049"/>
    <cellStyle name="Calculation 3 2 3 13 7" xfId="50488"/>
    <cellStyle name="Calculation 3 2 3 14" xfId="1790"/>
    <cellStyle name="Calculation 3 2 3 14 2" xfId="9613"/>
    <cellStyle name="Calculation 3 2 3 14 3" xfId="17041"/>
    <cellStyle name="Calculation 3 2 3 14 4" xfId="25690"/>
    <cellStyle name="Calculation 3 2 3 14 5" xfId="34228"/>
    <cellStyle name="Calculation 3 2 3 14 6" xfId="41918"/>
    <cellStyle name="Calculation 3 2 3 14 7" xfId="52293"/>
    <cellStyle name="Calculation 3 2 3 15" xfId="2535"/>
    <cellStyle name="Calculation 3 2 3 15 2" xfId="10358"/>
    <cellStyle name="Calculation 3 2 3 15 3" xfId="17786"/>
    <cellStyle name="Calculation 3 2 3 15 4" xfId="24913"/>
    <cellStyle name="Calculation 3 2 3 15 5" xfId="33236"/>
    <cellStyle name="Calculation 3 2 3 15 6" xfId="41759"/>
    <cellStyle name="Calculation 3 2 3 15 7" xfId="50594"/>
    <cellStyle name="Calculation 3 2 3 16" xfId="2649"/>
    <cellStyle name="Calculation 3 2 3 16 2" xfId="10472"/>
    <cellStyle name="Calculation 3 2 3 16 3" xfId="17900"/>
    <cellStyle name="Calculation 3 2 3 16 4" xfId="25103"/>
    <cellStyle name="Calculation 3 2 3 16 5" xfId="33468"/>
    <cellStyle name="Calculation 3 2 3 16 6" xfId="37632"/>
    <cellStyle name="Calculation 3 2 3 16 7" xfId="51017"/>
    <cellStyle name="Calculation 3 2 3 17" xfId="2442"/>
    <cellStyle name="Calculation 3 2 3 17 2" xfId="10265"/>
    <cellStyle name="Calculation 3 2 3 17 3" xfId="17693"/>
    <cellStyle name="Calculation 3 2 3 17 4" xfId="19690"/>
    <cellStyle name="Calculation 3 2 3 17 5" xfId="27625"/>
    <cellStyle name="Calculation 3 2 3 17 6" xfId="36958"/>
    <cellStyle name="Calculation 3 2 3 17 7" xfId="49457"/>
    <cellStyle name="Calculation 3 2 3 18" xfId="2722"/>
    <cellStyle name="Calculation 3 2 3 18 2" xfId="10545"/>
    <cellStyle name="Calculation 3 2 3 18 3" xfId="17973"/>
    <cellStyle name="Calculation 3 2 3 18 4" xfId="24951"/>
    <cellStyle name="Calculation 3 2 3 18 5" xfId="33287"/>
    <cellStyle name="Calculation 3 2 3 18 6" xfId="37579"/>
    <cellStyle name="Calculation 3 2 3 18 7" xfId="50674"/>
    <cellStyle name="Calculation 3 2 3 19" xfId="2840"/>
    <cellStyle name="Calculation 3 2 3 19 2" xfId="10663"/>
    <cellStyle name="Calculation 3 2 3 19 3" xfId="18091"/>
    <cellStyle name="Calculation 3 2 3 19 4" xfId="20016"/>
    <cellStyle name="Calculation 3 2 3 19 5" xfId="27086"/>
    <cellStyle name="Calculation 3 2 3 19 6" xfId="40460"/>
    <cellStyle name="Calculation 3 2 3 19 7" xfId="48375"/>
    <cellStyle name="Calculation 3 2 3 2" xfId="708"/>
    <cellStyle name="Calculation 3 2 3 2 2" xfId="8532"/>
    <cellStyle name="Calculation 3 2 3 2 3" xfId="15960"/>
    <cellStyle name="Calculation 3 2 3 2 4" xfId="25977"/>
    <cellStyle name="Calculation 3 2 3 2 5" xfId="34594"/>
    <cellStyle name="Calculation 3 2 3 2 6" xfId="36886"/>
    <cellStyle name="Calculation 3 2 3 2 7" xfId="52946"/>
    <cellStyle name="Calculation 3 2 3 20" xfId="2947"/>
    <cellStyle name="Calculation 3 2 3 20 2" xfId="10770"/>
    <cellStyle name="Calculation 3 2 3 20 3" xfId="18198"/>
    <cellStyle name="Calculation 3 2 3 20 4" xfId="25203"/>
    <cellStyle name="Calculation 3 2 3 20 5" xfId="33592"/>
    <cellStyle name="Calculation 3 2 3 20 6" xfId="39744"/>
    <cellStyle name="Calculation 3 2 3 20 7" xfId="51223"/>
    <cellStyle name="Calculation 3 2 3 21" xfId="3324"/>
    <cellStyle name="Calculation 3 2 3 21 2" xfId="11117"/>
    <cellStyle name="Calculation 3 2 3 21 3" xfId="18445"/>
    <cellStyle name="Calculation 3 2 3 21 4" xfId="20166"/>
    <cellStyle name="Calculation 3 2 3 21 5" xfId="27138"/>
    <cellStyle name="Calculation 3 2 3 21 6" xfId="36646"/>
    <cellStyle name="Calculation 3 2 3 21 7" xfId="49414"/>
    <cellStyle name="Calculation 3 2 3 22" xfId="3443"/>
    <cellStyle name="Calculation 3 2 3 22 2" xfId="11234"/>
    <cellStyle name="Calculation 3 2 3 22 3" xfId="18556"/>
    <cellStyle name="Calculation 3 2 3 22 4" xfId="26087"/>
    <cellStyle name="Calculation 3 2 3 22 5" xfId="34735"/>
    <cellStyle name="Calculation 3 2 3 22 6" xfId="40079"/>
    <cellStyle name="Calculation 3 2 3 22 7" xfId="53180"/>
    <cellStyle name="Calculation 3 2 3 23" xfId="3603"/>
    <cellStyle name="Calculation 3 2 3 23 2" xfId="11389"/>
    <cellStyle name="Calculation 3 2 3 23 3" xfId="18663"/>
    <cellStyle name="Calculation 3 2 3 23 4" xfId="25538"/>
    <cellStyle name="Calculation 3 2 3 23 5" xfId="34028"/>
    <cellStyle name="Calculation 3 2 3 23 6" xfId="38893"/>
    <cellStyle name="Calculation 3 2 3 23 7" xfId="51960"/>
    <cellStyle name="Calculation 3 2 3 24" xfId="3716"/>
    <cellStyle name="Calculation 3 2 3 24 2" xfId="11501"/>
    <cellStyle name="Calculation 3 2 3 24 3" xfId="18773"/>
    <cellStyle name="Calculation 3 2 3 24 4" xfId="19811"/>
    <cellStyle name="Calculation 3 2 3 24 5" xfId="27417"/>
    <cellStyle name="Calculation 3 2 3 24 6" xfId="41930"/>
    <cellStyle name="Calculation 3 2 3 24 7" xfId="47888"/>
    <cellStyle name="Calculation 3 2 3 25" xfId="3845"/>
    <cellStyle name="Calculation 3 2 3 25 2" xfId="11627"/>
    <cellStyle name="Calculation 3 2 3 25 3" xfId="18883"/>
    <cellStyle name="Calculation 3 2 3 25 4" xfId="19953"/>
    <cellStyle name="Calculation 3 2 3 25 5" xfId="28862"/>
    <cellStyle name="Calculation 3 2 3 25 6" xfId="37580"/>
    <cellStyle name="Calculation 3 2 3 25 7" xfId="50002"/>
    <cellStyle name="Calculation 3 2 3 26" xfId="3964"/>
    <cellStyle name="Calculation 3 2 3 26 2" xfId="11743"/>
    <cellStyle name="Calculation 3 2 3 26 3" xfId="18992"/>
    <cellStyle name="Calculation 3 2 3 26 4" xfId="26228"/>
    <cellStyle name="Calculation 3 2 3 26 5" xfId="34915"/>
    <cellStyle name="Calculation 3 2 3 26 6" xfId="39792"/>
    <cellStyle name="Calculation 3 2 3 26 7" xfId="53480"/>
    <cellStyle name="Calculation 3 2 3 27" xfId="3751"/>
    <cellStyle name="Calculation 3 2 3 27 2" xfId="11536"/>
    <cellStyle name="Calculation 3 2 3 27 3" xfId="20602"/>
    <cellStyle name="Calculation 3 2 3 27 4" xfId="28751"/>
    <cellStyle name="Calculation 3 2 3 27 5" xfId="38140"/>
    <cellStyle name="Calculation 3 2 3 27 6" xfId="42529"/>
    <cellStyle name="Calculation 3 2 3 27 7" xfId="52993"/>
    <cellStyle name="Calculation 3 2 3 28" xfId="4160"/>
    <cellStyle name="Calculation 3 2 3 28 2" xfId="11919"/>
    <cellStyle name="Calculation 3 2 3 28 3" xfId="20870"/>
    <cellStyle name="Calculation 3 2 3 28 4" xfId="29057"/>
    <cellStyle name="Calculation 3 2 3 28 5" xfId="38433"/>
    <cellStyle name="Calculation 3 2 3 28 6" xfId="42722"/>
    <cellStyle name="Calculation 3 2 3 28 7" xfId="50081"/>
    <cellStyle name="Calculation 3 2 3 29" xfId="4245"/>
    <cellStyle name="Calculation 3 2 3 29 2" xfId="20955"/>
    <cellStyle name="Calculation 3 2 3 29 3" xfId="29142"/>
    <cellStyle name="Calculation 3 2 3 29 4" xfId="38516"/>
    <cellStyle name="Calculation 3 2 3 29 5" xfId="42807"/>
    <cellStyle name="Calculation 3 2 3 29 6" xfId="47698"/>
    <cellStyle name="Calculation 3 2 3 3" xfId="817"/>
    <cellStyle name="Calculation 3 2 3 3 2" xfId="8641"/>
    <cellStyle name="Calculation 3 2 3 3 3" xfId="16069"/>
    <cellStyle name="Calculation 3 2 3 3 4" xfId="19249"/>
    <cellStyle name="Calculation 3 2 3 3 5" xfId="28528"/>
    <cellStyle name="Calculation 3 2 3 3 6" xfId="37605"/>
    <cellStyle name="Calculation 3 2 3 3 7" xfId="48163"/>
    <cellStyle name="Calculation 3 2 3 30" xfId="4358"/>
    <cellStyle name="Calculation 3 2 3 30 2" xfId="12075"/>
    <cellStyle name="Calculation 3 2 3 30 3" xfId="21068"/>
    <cellStyle name="Calculation 3 2 3 30 4" xfId="29255"/>
    <cellStyle name="Calculation 3 2 3 30 5" xfId="38625"/>
    <cellStyle name="Calculation 3 2 3 30 6" xfId="42920"/>
    <cellStyle name="Calculation 3 2 3 30 7" xfId="53152"/>
    <cellStyle name="Calculation 3 2 3 31" xfId="4480"/>
    <cellStyle name="Calculation 3 2 3 31 2" xfId="12197"/>
    <cellStyle name="Calculation 3 2 3 31 3" xfId="21190"/>
    <cellStyle name="Calculation 3 2 3 31 4" xfId="29377"/>
    <cellStyle name="Calculation 3 2 3 31 5" xfId="38742"/>
    <cellStyle name="Calculation 3 2 3 31 6" xfId="43042"/>
    <cellStyle name="Calculation 3 2 3 31 7" xfId="53589"/>
    <cellStyle name="Calculation 3 2 3 32" xfId="4594"/>
    <cellStyle name="Calculation 3 2 3 32 2" xfId="12311"/>
    <cellStyle name="Calculation 3 2 3 32 3" xfId="21304"/>
    <cellStyle name="Calculation 3 2 3 32 4" xfId="29491"/>
    <cellStyle name="Calculation 3 2 3 32 5" xfId="38851"/>
    <cellStyle name="Calculation 3 2 3 32 6" xfId="43156"/>
    <cellStyle name="Calculation 3 2 3 32 7" xfId="50354"/>
    <cellStyle name="Calculation 3 2 3 33" xfId="4707"/>
    <cellStyle name="Calculation 3 2 3 33 2" xfId="12424"/>
    <cellStyle name="Calculation 3 2 3 33 3" xfId="21417"/>
    <cellStyle name="Calculation 3 2 3 33 4" xfId="29604"/>
    <cellStyle name="Calculation 3 2 3 33 5" xfId="38960"/>
    <cellStyle name="Calculation 3 2 3 33 6" xfId="43269"/>
    <cellStyle name="Calculation 3 2 3 33 7" xfId="53637"/>
    <cellStyle name="Calculation 3 2 3 34" xfId="4817"/>
    <cellStyle name="Calculation 3 2 3 34 2" xfId="12534"/>
    <cellStyle name="Calculation 3 2 3 34 3" xfId="21527"/>
    <cellStyle name="Calculation 3 2 3 34 4" xfId="29714"/>
    <cellStyle name="Calculation 3 2 3 34 5" xfId="39067"/>
    <cellStyle name="Calculation 3 2 3 34 6" xfId="43379"/>
    <cellStyle name="Calculation 3 2 3 34 7" xfId="50036"/>
    <cellStyle name="Calculation 3 2 3 35" xfId="4927"/>
    <cellStyle name="Calculation 3 2 3 35 2" xfId="12644"/>
    <cellStyle name="Calculation 3 2 3 35 3" xfId="21637"/>
    <cellStyle name="Calculation 3 2 3 35 4" xfId="29824"/>
    <cellStyle name="Calculation 3 2 3 35 5" xfId="39172"/>
    <cellStyle name="Calculation 3 2 3 35 6" xfId="43489"/>
    <cellStyle name="Calculation 3 2 3 35 7" xfId="47918"/>
    <cellStyle name="Calculation 3 2 3 36" xfId="5037"/>
    <cellStyle name="Calculation 3 2 3 36 2" xfId="12754"/>
    <cellStyle name="Calculation 3 2 3 36 3" xfId="21747"/>
    <cellStyle name="Calculation 3 2 3 36 4" xfId="29934"/>
    <cellStyle name="Calculation 3 2 3 36 5" xfId="39279"/>
    <cellStyle name="Calculation 3 2 3 36 6" xfId="43599"/>
    <cellStyle name="Calculation 3 2 3 36 7" xfId="50347"/>
    <cellStyle name="Calculation 3 2 3 37" xfId="5417"/>
    <cellStyle name="Calculation 3 2 3 37 2" xfId="13134"/>
    <cellStyle name="Calculation 3 2 3 37 3" xfId="22127"/>
    <cellStyle name="Calculation 3 2 3 37 4" xfId="30314"/>
    <cellStyle name="Calculation 3 2 3 37 5" xfId="39644"/>
    <cellStyle name="Calculation 3 2 3 37 6" xfId="43979"/>
    <cellStyle name="Calculation 3 2 3 37 7" xfId="47391"/>
    <cellStyle name="Calculation 3 2 3 38" xfId="5537"/>
    <cellStyle name="Calculation 3 2 3 38 2" xfId="13254"/>
    <cellStyle name="Calculation 3 2 3 38 3" xfId="22247"/>
    <cellStyle name="Calculation 3 2 3 38 4" xfId="30434"/>
    <cellStyle name="Calculation 3 2 3 38 5" xfId="39758"/>
    <cellStyle name="Calculation 3 2 3 38 6" xfId="44099"/>
    <cellStyle name="Calculation 3 2 3 38 7" xfId="46919"/>
    <cellStyle name="Calculation 3 2 3 39" xfId="5661"/>
    <cellStyle name="Calculation 3 2 3 39 2" xfId="13378"/>
    <cellStyle name="Calculation 3 2 3 39 3" xfId="22371"/>
    <cellStyle name="Calculation 3 2 3 39 4" xfId="30558"/>
    <cellStyle name="Calculation 3 2 3 39 5" xfId="39878"/>
    <cellStyle name="Calculation 3 2 3 39 6" xfId="44223"/>
    <cellStyle name="Calculation 3 2 3 39 7" xfId="47109"/>
    <cellStyle name="Calculation 3 2 3 4" xfId="927"/>
    <cellStyle name="Calculation 3 2 3 4 2" xfId="8751"/>
    <cellStyle name="Calculation 3 2 3 4 3" xfId="16179"/>
    <cellStyle name="Calculation 3 2 3 4 4" xfId="25109"/>
    <cellStyle name="Calculation 3 2 3 4 5" xfId="33476"/>
    <cellStyle name="Calculation 3 2 3 4 6" xfId="37179"/>
    <cellStyle name="Calculation 3 2 3 4 7" xfId="51028"/>
    <cellStyle name="Calculation 3 2 3 40" xfId="5777"/>
    <cellStyle name="Calculation 3 2 3 40 2" xfId="13494"/>
    <cellStyle name="Calculation 3 2 3 40 3" xfId="22487"/>
    <cellStyle name="Calculation 3 2 3 40 4" xfId="30674"/>
    <cellStyle name="Calculation 3 2 3 40 5" xfId="39990"/>
    <cellStyle name="Calculation 3 2 3 40 6" xfId="44339"/>
    <cellStyle name="Calculation 3 2 3 40 7" xfId="49319"/>
    <cellStyle name="Calculation 3 2 3 41" xfId="5894"/>
    <cellStyle name="Calculation 3 2 3 41 2" xfId="13611"/>
    <cellStyle name="Calculation 3 2 3 41 3" xfId="22604"/>
    <cellStyle name="Calculation 3 2 3 41 4" xfId="30791"/>
    <cellStyle name="Calculation 3 2 3 41 5" xfId="40104"/>
    <cellStyle name="Calculation 3 2 3 41 6" xfId="44456"/>
    <cellStyle name="Calculation 3 2 3 41 7" xfId="49876"/>
    <cellStyle name="Calculation 3 2 3 42" xfId="6022"/>
    <cellStyle name="Calculation 3 2 3 42 2" xfId="13739"/>
    <cellStyle name="Calculation 3 2 3 42 3" xfId="22732"/>
    <cellStyle name="Calculation 3 2 3 42 4" xfId="30919"/>
    <cellStyle name="Calculation 3 2 3 42 5" xfId="40227"/>
    <cellStyle name="Calculation 3 2 3 42 6" xfId="44584"/>
    <cellStyle name="Calculation 3 2 3 42 7" xfId="52258"/>
    <cellStyle name="Calculation 3 2 3 43" xfId="6149"/>
    <cellStyle name="Calculation 3 2 3 43 2" xfId="13866"/>
    <cellStyle name="Calculation 3 2 3 43 3" xfId="22859"/>
    <cellStyle name="Calculation 3 2 3 43 4" xfId="31046"/>
    <cellStyle name="Calculation 3 2 3 43 5" xfId="40347"/>
    <cellStyle name="Calculation 3 2 3 43 6" xfId="44711"/>
    <cellStyle name="Calculation 3 2 3 43 7" xfId="53407"/>
    <cellStyle name="Calculation 3 2 3 44" xfId="6278"/>
    <cellStyle name="Calculation 3 2 3 44 2" xfId="13995"/>
    <cellStyle name="Calculation 3 2 3 44 3" xfId="22988"/>
    <cellStyle name="Calculation 3 2 3 44 4" xfId="31175"/>
    <cellStyle name="Calculation 3 2 3 44 5" xfId="40475"/>
    <cellStyle name="Calculation 3 2 3 44 6" xfId="44840"/>
    <cellStyle name="Calculation 3 2 3 44 7" xfId="50931"/>
    <cellStyle name="Calculation 3 2 3 45" xfId="6393"/>
    <cellStyle name="Calculation 3 2 3 45 2" xfId="14110"/>
    <cellStyle name="Calculation 3 2 3 45 3" xfId="23103"/>
    <cellStyle name="Calculation 3 2 3 45 4" xfId="31290"/>
    <cellStyle name="Calculation 3 2 3 45 5" xfId="40586"/>
    <cellStyle name="Calculation 3 2 3 45 6" xfId="44955"/>
    <cellStyle name="Calculation 3 2 3 45 7" xfId="50090"/>
    <cellStyle name="Calculation 3 2 3 46" xfId="6505"/>
    <cellStyle name="Calculation 3 2 3 46 2" xfId="14222"/>
    <cellStyle name="Calculation 3 2 3 46 3" xfId="23215"/>
    <cellStyle name="Calculation 3 2 3 46 4" xfId="31402"/>
    <cellStyle name="Calculation 3 2 3 46 5" xfId="40694"/>
    <cellStyle name="Calculation 3 2 3 46 6" xfId="45067"/>
    <cellStyle name="Calculation 3 2 3 46 7" xfId="53515"/>
    <cellStyle name="Calculation 3 2 3 47" xfId="5250"/>
    <cellStyle name="Calculation 3 2 3 47 2" xfId="12967"/>
    <cellStyle name="Calculation 3 2 3 47 3" xfId="21960"/>
    <cellStyle name="Calculation 3 2 3 47 4" xfId="30147"/>
    <cellStyle name="Calculation 3 2 3 47 5" xfId="39482"/>
    <cellStyle name="Calculation 3 2 3 47 6" xfId="43812"/>
    <cellStyle name="Calculation 3 2 3 47 7" xfId="51940"/>
    <cellStyle name="Calculation 3 2 3 48" xfId="6652"/>
    <cellStyle name="Calculation 3 2 3 48 2" xfId="14369"/>
    <cellStyle name="Calculation 3 2 3 48 3" xfId="23362"/>
    <cellStyle name="Calculation 3 2 3 48 4" xfId="31549"/>
    <cellStyle name="Calculation 3 2 3 48 5" xfId="40834"/>
    <cellStyle name="Calculation 3 2 3 48 6" xfId="45214"/>
    <cellStyle name="Calculation 3 2 3 48 7" xfId="52520"/>
    <cellStyle name="Calculation 3 2 3 49" xfId="6763"/>
    <cellStyle name="Calculation 3 2 3 49 2" xfId="14480"/>
    <cellStyle name="Calculation 3 2 3 49 3" xfId="23473"/>
    <cellStyle name="Calculation 3 2 3 49 4" xfId="31660"/>
    <cellStyle name="Calculation 3 2 3 49 5" xfId="40939"/>
    <cellStyle name="Calculation 3 2 3 49 6" xfId="45325"/>
    <cellStyle name="Calculation 3 2 3 49 7" xfId="47249"/>
    <cellStyle name="Calculation 3 2 3 5" xfId="1395"/>
    <cellStyle name="Calculation 3 2 3 5 2" xfId="9218"/>
    <cellStyle name="Calculation 3 2 3 5 3" xfId="16646"/>
    <cellStyle name="Calculation 3 2 3 5 4" xfId="24878"/>
    <cellStyle name="Calculation 3 2 3 5 5" xfId="33192"/>
    <cellStyle name="Calculation 3 2 3 5 6" xfId="36641"/>
    <cellStyle name="Calculation 3 2 3 5 7" xfId="50516"/>
    <cellStyle name="Calculation 3 2 3 50" xfId="6878"/>
    <cellStyle name="Calculation 3 2 3 50 2" xfId="14595"/>
    <cellStyle name="Calculation 3 2 3 50 3" xfId="23588"/>
    <cellStyle name="Calculation 3 2 3 50 4" xfId="31775"/>
    <cellStyle name="Calculation 3 2 3 50 5" xfId="41048"/>
    <cellStyle name="Calculation 3 2 3 50 6" xfId="45440"/>
    <cellStyle name="Calculation 3 2 3 50 7" xfId="46889"/>
    <cellStyle name="Calculation 3 2 3 51" xfId="6991"/>
    <cellStyle name="Calculation 3 2 3 51 2" xfId="14708"/>
    <cellStyle name="Calculation 3 2 3 51 3" xfId="23701"/>
    <cellStyle name="Calculation 3 2 3 51 4" xfId="31888"/>
    <cellStyle name="Calculation 3 2 3 51 5" xfId="41156"/>
    <cellStyle name="Calculation 3 2 3 51 6" xfId="45553"/>
    <cellStyle name="Calculation 3 2 3 51 7" xfId="46960"/>
    <cellStyle name="Calculation 3 2 3 52" xfId="7101"/>
    <cellStyle name="Calculation 3 2 3 52 2" xfId="14818"/>
    <cellStyle name="Calculation 3 2 3 52 3" xfId="23811"/>
    <cellStyle name="Calculation 3 2 3 52 4" xfId="31998"/>
    <cellStyle name="Calculation 3 2 3 52 5" xfId="41260"/>
    <cellStyle name="Calculation 3 2 3 52 6" xfId="45663"/>
    <cellStyle name="Calculation 3 2 3 52 7" xfId="47713"/>
    <cellStyle name="Calculation 3 2 3 53" xfId="7177"/>
    <cellStyle name="Calculation 3 2 3 53 2" xfId="14894"/>
    <cellStyle name="Calculation 3 2 3 53 3" xfId="23887"/>
    <cellStyle name="Calculation 3 2 3 53 4" xfId="32074"/>
    <cellStyle name="Calculation 3 2 3 53 5" xfId="41335"/>
    <cellStyle name="Calculation 3 2 3 53 6" xfId="45739"/>
    <cellStyle name="Calculation 3 2 3 53 7" xfId="53793"/>
    <cellStyle name="Calculation 3 2 3 54" xfId="7381"/>
    <cellStyle name="Calculation 3 2 3 54 2" xfId="15098"/>
    <cellStyle name="Calculation 3 2 3 54 3" xfId="24091"/>
    <cellStyle name="Calculation 3 2 3 54 4" xfId="32278"/>
    <cellStyle name="Calculation 3 2 3 54 5" xfId="41534"/>
    <cellStyle name="Calculation 3 2 3 54 6" xfId="45943"/>
    <cellStyle name="Calculation 3 2 3 54 7" xfId="51740"/>
    <cellStyle name="Calculation 3 2 3 55" xfId="7498"/>
    <cellStyle name="Calculation 3 2 3 55 2" xfId="15215"/>
    <cellStyle name="Calculation 3 2 3 55 3" xfId="24208"/>
    <cellStyle name="Calculation 3 2 3 55 4" xfId="32395"/>
    <cellStyle name="Calculation 3 2 3 55 5" xfId="41643"/>
    <cellStyle name="Calculation 3 2 3 55 6" xfId="46060"/>
    <cellStyle name="Calculation 3 2 3 55 7" xfId="50529"/>
    <cellStyle name="Calculation 3 2 3 56" xfId="7619"/>
    <cellStyle name="Calculation 3 2 3 56 2" xfId="15336"/>
    <cellStyle name="Calculation 3 2 3 56 3" xfId="24329"/>
    <cellStyle name="Calculation 3 2 3 56 4" xfId="32516"/>
    <cellStyle name="Calculation 3 2 3 56 5" xfId="41758"/>
    <cellStyle name="Calculation 3 2 3 56 6" xfId="46181"/>
    <cellStyle name="Calculation 3 2 3 56 7" xfId="54298"/>
    <cellStyle name="Calculation 3 2 3 57" xfId="7896"/>
    <cellStyle name="Calculation 3 2 3 57 2" xfId="15613"/>
    <cellStyle name="Calculation 3 2 3 57 3" xfId="24600"/>
    <cellStyle name="Calculation 3 2 3 57 4" xfId="32793"/>
    <cellStyle name="Calculation 3 2 3 57 5" xfId="42024"/>
    <cellStyle name="Calculation 3 2 3 57 6" xfId="46458"/>
    <cellStyle name="Calculation 3 2 3 57 7" xfId="53472"/>
    <cellStyle name="Calculation 3 2 3 58" xfId="8024"/>
    <cellStyle name="Calculation 3 2 3 58 2" xfId="15741"/>
    <cellStyle name="Calculation 3 2 3 58 3" xfId="24726"/>
    <cellStyle name="Calculation 3 2 3 58 4" xfId="32921"/>
    <cellStyle name="Calculation 3 2 3 58 5" xfId="42146"/>
    <cellStyle name="Calculation 3 2 3 58 6" xfId="46586"/>
    <cellStyle name="Calculation 3 2 3 58 7" xfId="48484"/>
    <cellStyle name="Calculation 3 2 3 59" xfId="7987"/>
    <cellStyle name="Calculation 3 2 3 59 2" xfId="15704"/>
    <cellStyle name="Calculation 3 2 3 59 3" xfId="24689"/>
    <cellStyle name="Calculation 3 2 3 59 4" xfId="32884"/>
    <cellStyle name="Calculation 3 2 3 59 5" xfId="42110"/>
    <cellStyle name="Calculation 3 2 3 59 6" xfId="46549"/>
    <cellStyle name="Calculation 3 2 3 59 7" xfId="51195"/>
    <cellStyle name="Calculation 3 2 3 6" xfId="1518"/>
    <cellStyle name="Calculation 3 2 3 6 2" xfId="9341"/>
    <cellStyle name="Calculation 3 2 3 6 3" xfId="16769"/>
    <cellStyle name="Calculation 3 2 3 6 4" xfId="24861"/>
    <cellStyle name="Calculation 3 2 3 6 5" xfId="33174"/>
    <cellStyle name="Calculation 3 2 3 6 6" xfId="39637"/>
    <cellStyle name="Calculation 3 2 3 6 7" xfId="50483"/>
    <cellStyle name="Calculation 3 2 3 60" xfId="8171"/>
    <cellStyle name="Calculation 3 2 3 60 2" xfId="15888"/>
    <cellStyle name="Calculation 3 2 3 60 3" xfId="33068"/>
    <cellStyle name="Calculation 3 2 3 60 4" xfId="42287"/>
    <cellStyle name="Calculation 3 2 3 60 5" xfId="46733"/>
    <cellStyle name="Calculation 3 2 3 60 6" xfId="47677"/>
    <cellStyle name="Calculation 3 2 3 61" xfId="19661"/>
    <cellStyle name="Calculation 3 2 3 62" xfId="27254"/>
    <cellStyle name="Calculation 3 2 3 63" xfId="36249"/>
    <cellStyle name="Calculation 3 2 3 64" xfId="48067"/>
    <cellStyle name="Calculation 3 2 3 7" xfId="1119"/>
    <cellStyle name="Calculation 3 2 3 7 2" xfId="8942"/>
    <cellStyle name="Calculation 3 2 3 7 3" xfId="16370"/>
    <cellStyle name="Calculation 3 2 3 7 4" xfId="26005"/>
    <cellStyle name="Calculation 3 2 3 7 5" xfId="34629"/>
    <cellStyle name="Calculation 3 2 3 7 6" xfId="36261"/>
    <cellStyle name="Calculation 3 2 3 7 7" xfId="53007"/>
    <cellStyle name="Calculation 3 2 3 8" xfId="1755"/>
    <cellStyle name="Calculation 3 2 3 8 2" xfId="9578"/>
    <cellStyle name="Calculation 3 2 3 8 3" xfId="17006"/>
    <cellStyle name="Calculation 3 2 3 8 4" xfId="19511"/>
    <cellStyle name="Calculation 3 2 3 8 5" xfId="26839"/>
    <cellStyle name="Calculation 3 2 3 8 6" xfId="39055"/>
    <cellStyle name="Calculation 3 2 3 8 7" xfId="47296"/>
    <cellStyle name="Calculation 3 2 3 9" xfId="1888"/>
    <cellStyle name="Calculation 3 2 3 9 2" xfId="9711"/>
    <cellStyle name="Calculation 3 2 3 9 3" xfId="17139"/>
    <cellStyle name="Calculation 3 2 3 9 4" xfId="19159"/>
    <cellStyle name="Calculation 3 2 3 9 5" xfId="27159"/>
    <cellStyle name="Calculation 3 2 3 9 6" xfId="38388"/>
    <cellStyle name="Calculation 3 2 3 9 7" xfId="49251"/>
    <cellStyle name="Calculation 3 2 30" xfId="2998"/>
    <cellStyle name="Calculation 3 2 30 2" xfId="10817"/>
    <cellStyle name="Calculation 3 2 30 3" xfId="18241"/>
    <cellStyle name="Calculation 3 2 30 4" xfId="26199"/>
    <cellStyle name="Calculation 3 2 30 5" xfId="34880"/>
    <cellStyle name="Calculation 3 2 30 6" xfId="36794"/>
    <cellStyle name="Calculation 3 2 30 7" xfId="53425"/>
    <cellStyle name="Calculation 3 2 31" xfId="3242"/>
    <cellStyle name="Calculation 3 2 31 2" xfId="11035"/>
    <cellStyle name="Calculation 3 2 31 3" xfId="18365"/>
    <cellStyle name="Calculation 3 2 31 4" xfId="25312"/>
    <cellStyle name="Calculation 3 2 31 5" xfId="33728"/>
    <cellStyle name="Calculation 3 2 31 6" xfId="38161"/>
    <cellStyle name="Calculation 3 2 31 7" xfId="51447"/>
    <cellStyle name="Calculation 3 2 32" xfId="3048"/>
    <cellStyle name="Calculation 3 2 32 2" xfId="10860"/>
    <cellStyle name="Calculation 3 2 32 3" xfId="20214"/>
    <cellStyle name="Calculation 3 2 32 4" xfId="28306"/>
    <cellStyle name="Calculation 3 2 32 5" xfId="37686"/>
    <cellStyle name="Calculation 3 2 32 6" xfId="42371"/>
    <cellStyle name="Calculation 3 2 32 7" xfId="49773"/>
    <cellStyle name="Calculation 3 2 33" xfId="3515"/>
    <cellStyle name="Calculation 3 2 33 2" xfId="11306"/>
    <cellStyle name="Calculation 3 2 33 3" xfId="20491"/>
    <cellStyle name="Calculation 3 2 33 4" xfId="28616"/>
    <cellStyle name="Calculation 3 2 33 5" xfId="37992"/>
    <cellStyle name="Calculation 3 2 33 6" xfId="42494"/>
    <cellStyle name="Calculation 3 2 33 7" xfId="53289"/>
    <cellStyle name="Calculation 3 2 34" xfId="4248"/>
    <cellStyle name="Calculation 3 2 34 2" xfId="20958"/>
    <cellStyle name="Calculation 3 2 34 3" xfId="29145"/>
    <cellStyle name="Calculation 3 2 34 4" xfId="38518"/>
    <cellStyle name="Calculation 3 2 34 5" xfId="42810"/>
    <cellStyle name="Calculation 3 2 34 6" xfId="54313"/>
    <cellStyle name="Calculation 3 2 35" xfId="4226"/>
    <cellStyle name="Calculation 3 2 35 2" xfId="11964"/>
    <cellStyle name="Calculation 3 2 35 3" xfId="20936"/>
    <cellStyle name="Calculation 3 2 35 4" xfId="29123"/>
    <cellStyle name="Calculation 3 2 35 5" xfId="38498"/>
    <cellStyle name="Calculation 3 2 35 6" xfId="42788"/>
    <cellStyle name="Calculation 3 2 35 7" xfId="49167"/>
    <cellStyle name="Calculation 3 2 36" xfId="4389"/>
    <cellStyle name="Calculation 3 2 36 2" xfId="12106"/>
    <cellStyle name="Calculation 3 2 36 3" xfId="21099"/>
    <cellStyle name="Calculation 3 2 36 4" xfId="29286"/>
    <cellStyle name="Calculation 3 2 36 5" xfId="38656"/>
    <cellStyle name="Calculation 3 2 36 6" xfId="42951"/>
    <cellStyle name="Calculation 3 2 36 7" xfId="50138"/>
    <cellStyle name="Calculation 3 2 37" xfId="4216"/>
    <cellStyle name="Calculation 3 2 37 2" xfId="11960"/>
    <cellStyle name="Calculation 3 2 37 3" xfId="20926"/>
    <cellStyle name="Calculation 3 2 37 4" xfId="29113"/>
    <cellStyle name="Calculation 3 2 37 5" xfId="38489"/>
    <cellStyle name="Calculation 3 2 37 6" xfId="42778"/>
    <cellStyle name="Calculation 3 2 37 7" xfId="50184"/>
    <cellStyle name="Calculation 3 2 38" xfId="3206"/>
    <cellStyle name="Calculation 3 2 38 2" xfId="11006"/>
    <cellStyle name="Calculation 3 2 38 3" xfId="20332"/>
    <cellStyle name="Calculation 3 2 38 4" xfId="28423"/>
    <cellStyle name="Calculation 3 2 38 5" xfId="37811"/>
    <cellStyle name="Calculation 3 2 38 6" xfId="42443"/>
    <cellStyle name="Calculation 3 2 38 7" xfId="48766"/>
    <cellStyle name="Calculation 3 2 39" xfId="4080"/>
    <cellStyle name="Calculation 3 2 39 2" xfId="11840"/>
    <cellStyle name="Calculation 3 2 39 3" xfId="20790"/>
    <cellStyle name="Calculation 3 2 39 4" xfId="28977"/>
    <cellStyle name="Calculation 3 2 39 5" xfId="38356"/>
    <cellStyle name="Calculation 3 2 39 6" xfId="42642"/>
    <cellStyle name="Calculation 3 2 39 7" xfId="49197"/>
    <cellStyle name="Calculation 3 2 4" xfId="541"/>
    <cellStyle name="Calculation 3 2 4 10" xfId="1988"/>
    <cellStyle name="Calculation 3 2 4 10 2" xfId="9811"/>
    <cellStyle name="Calculation 3 2 4 10 3" xfId="17239"/>
    <cellStyle name="Calculation 3 2 4 10 4" xfId="26572"/>
    <cellStyle name="Calculation 3 2 4 10 5" xfId="35387"/>
    <cellStyle name="Calculation 3 2 4 10 6" xfId="37199"/>
    <cellStyle name="Calculation 3 2 4 10 7" xfId="54218"/>
    <cellStyle name="Calculation 3 2 4 11" xfId="2106"/>
    <cellStyle name="Calculation 3 2 4 11 2" xfId="9929"/>
    <cellStyle name="Calculation 3 2 4 11 3" xfId="17357"/>
    <cellStyle name="Calculation 3 2 4 11 4" xfId="24836"/>
    <cellStyle name="Calculation 3 2 4 11 5" xfId="27974"/>
    <cellStyle name="Calculation 3 2 4 11 6" xfId="39662"/>
    <cellStyle name="Calculation 3 2 4 11 7" xfId="48252"/>
    <cellStyle name="Calculation 3 2 4 12" xfId="2219"/>
    <cellStyle name="Calculation 3 2 4 12 2" xfId="10042"/>
    <cellStyle name="Calculation 3 2 4 12 3" xfId="17470"/>
    <cellStyle name="Calculation 3 2 4 12 4" xfId="25059"/>
    <cellStyle name="Calculation 3 2 4 12 5" xfId="33419"/>
    <cellStyle name="Calculation 3 2 4 12 6" xfId="36718"/>
    <cellStyle name="Calculation 3 2 4 12 7" xfId="50924"/>
    <cellStyle name="Calculation 3 2 4 13" xfId="2278"/>
    <cellStyle name="Calculation 3 2 4 13 2" xfId="10101"/>
    <cellStyle name="Calculation 3 2 4 13 3" xfId="17529"/>
    <cellStyle name="Calculation 3 2 4 13 4" xfId="25673"/>
    <cellStyle name="Calculation 3 2 4 13 5" xfId="34205"/>
    <cellStyle name="Calculation 3 2 4 13 6" xfId="36611"/>
    <cellStyle name="Calculation 3 2 4 13 7" xfId="52248"/>
    <cellStyle name="Calculation 3 2 4 14" xfId="2371"/>
    <cellStyle name="Calculation 3 2 4 14 2" xfId="10194"/>
    <cellStyle name="Calculation 3 2 4 14 3" xfId="17622"/>
    <cellStyle name="Calculation 3 2 4 14 4" xfId="19381"/>
    <cellStyle name="Calculation 3 2 4 14 5" xfId="27729"/>
    <cellStyle name="Calculation 3 2 4 14 6" xfId="36314"/>
    <cellStyle name="Calculation 3 2 4 14 7" xfId="47368"/>
    <cellStyle name="Calculation 3 2 4 15" xfId="2517"/>
    <cellStyle name="Calculation 3 2 4 15 2" xfId="10340"/>
    <cellStyle name="Calculation 3 2 4 15 3" xfId="17768"/>
    <cellStyle name="Calculation 3 2 4 15 4" xfId="19567"/>
    <cellStyle name="Calculation 3 2 4 15 5" xfId="26978"/>
    <cellStyle name="Calculation 3 2 4 15 6" xfId="41791"/>
    <cellStyle name="Calculation 3 2 4 15 7" xfId="49064"/>
    <cellStyle name="Calculation 3 2 4 16" xfId="2630"/>
    <cellStyle name="Calculation 3 2 4 16 2" xfId="10453"/>
    <cellStyle name="Calculation 3 2 4 16 3" xfId="17881"/>
    <cellStyle name="Calculation 3 2 4 16 4" xfId="19234"/>
    <cellStyle name="Calculation 3 2 4 16 5" xfId="28120"/>
    <cellStyle name="Calculation 3 2 4 16 6" xfId="39673"/>
    <cellStyle name="Calculation 3 2 4 16 7" xfId="48092"/>
    <cellStyle name="Calculation 3 2 4 17" xfId="2692"/>
    <cellStyle name="Calculation 3 2 4 17 2" xfId="10515"/>
    <cellStyle name="Calculation 3 2 4 17 3" xfId="17943"/>
    <cellStyle name="Calculation 3 2 4 17 4" xfId="26324"/>
    <cellStyle name="Calculation 3 2 4 17 5" xfId="35048"/>
    <cellStyle name="Calculation 3 2 4 17 6" xfId="40621"/>
    <cellStyle name="Calculation 3 2 4 17 7" xfId="53689"/>
    <cellStyle name="Calculation 3 2 4 18" xfId="2742"/>
    <cellStyle name="Calculation 3 2 4 18 2" xfId="10565"/>
    <cellStyle name="Calculation 3 2 4 18 3" xfId="17993"/>
    <cellStyle name="Calculation 3 2 4 18 4" xfId="20113"/>
    <cellStyle name="Calculation 3 2 4 18 5" xfId="27275"/>
    <cellStyle name="Calculation 3 2 4 18 6" xfId="38208"/>
    <cellStyle name="Calculation 3 2 4 18 7" xfId="48630"/>
    <cellStyle name="Calculation 3 2 4 19" xfId="2823"/>
    <cellStyle name="Calculation 3 2 4 19 2" xfId="10646"/>
    <cellStyle name="Calculation 3 2 4 19 3" xfId="18074"/>
    <cellStyle name="Calculation 3 2 4 19 4" xfId="19513"/>
    <cellStyle name="Calculation 3 2 4 19 5" xfId="27157"/>
    <cellStyle name="Calculation 3 2 4 19 6" xfId="42109"/>
    <cellStyle name="Calculation 3 2 4 19 7" xfId="48590"/>
    <cellStyle name="Calculation 3 2 4 2" xfId="691"/>
    <cellStyle name="Calculation 3 2 4 2 2" xfId="8515"/>
    <cellStyle name="Calculation 3 2 4 2 3" xfId="15943"/>
    <cellStyle name="Calculation 3 2 4 2 4" xfId="19410"/>
    <cellStyle name="Calculation 3 2 4 2 5" xfId="27712"/>
    <cellStyle name="Calculation 3 2 4 2 6" xfId="36825"/>
    <cellStyle name="Calculation 3 2 4 2 7" xfId="48360"/>
    <cellStyle name="Calculation 3 2 4 20" xfId="2930"/>
    <cellStyle name="Calculation 3 2 4 20 2" xfId="10753"/>
    <cellStyle name="Calculation 3 2 4 20 3" xfId="18181"/>
    <cellStyle name="Calculation 3 2 4 20 4" xfId="20112"/>
    <cellStyle name="Calculation 3 2 4 20 5" xfId="28863"/>
    <cellStyle name="Calculation 3 2 4 20 6" xfId="41247"/>
    <cellStyle name="Calculation 3 2 4 20 7" xfId="48082"/>
    <cellStyle name="Calculation 3 2 4 21" xfId="3306"/>
    <cellStyle name="Calculation 3 2 4 21 2" xfId="11099"/>
    <cellStyle name="Calculation 3 2 4 21 3" xfId="18428"/>
    <cellStyle name="Calculation 3 2 4 21 4" xfId="25233"/>
    <cellStyle name="Calculation 3 2 4 21 5" xfId="33636"/>
    <cellStyle name="Calculation 3 2 4 21 6" xfId="38954"/>
    <cellStyle name="Calculation 3 2 4 21 7" xfId="51290"/>
    <cellStyle name="Calculation 3 2 4 22" xfId="3426"/>
    <cellStyle name="Calculation 3 2 4 22 2" xfId="11217"/>
    <cellStyle name="Calculation 3 2 4 22 3" xfId="18539"/>
    <cellStyle name="Calculation 3 2 4 22 4" xfId="25419"/>
    <cellStyle name="Calculation 3 2 4 22 5" xfId="33875"/>
    <cellStyle name="Calculation 3 2 4 22 6" xfId="41735"/>
    <cellStyle name="Calculation 3 2 4 22 7" xfId="51688"/>
    <cellStyle name="Calculation 3 2 4 23" xfId="3123"/>
    <cellStyle name="Calculation 3 2 4 23 2" xfId="10928"/>
    <cellStyle name="Calculation 3 2 4 23 3" xfId="18306"/>
    <cellStyle name="Calculation 3 2 4 23 4" xfId="19472"/>
    <cellStyle name="Calculation 3 2 4 23 5" xfId="28329"/>
    <cellStyle name="Calculation 3 2 4 23 6" xfId="41561"/>
    <cellStyle name="Calculation 3 2 4 23 7" xfId="48345"/>
    <cellStyle name="Calculation 3 2 4 24" xfId="3697"/>
    <cellStyle name="Calculation 3 2 4 24 2" xfId="11482"/>
    <cellStyle name="Calculation 3 2 4 24 3" xfId="18755"/>
    <cellStyle name="Calculation 3 2 4 24 4" xfId="19368"/>
    <cellStyle name="Calculation 3 2 4 24 5" xfId="27762"/>
    <cellStyle name="Calculation 3 2 4 24 6" xfId="37151"/>
    <cellStyle name="Calculation 3 2 4 24 7" xfId="47417"/>
    <cellStyle name="Calculation 3 2 4 25" xfId="3827"/>
    <cellStyle name="Calculation 3 2 4 25 2" xfId="11609"/>
    <cellStyle name="Calculation 3 2 4 25 3" xfId="18866"/>
    <cellStyle name="Calculation 3 2 4 25 4" xfId="25548"/>
    <cellStyle name="Calculation 3 2 4 25 5" xfId="34040"/>
    <cellStyle name="Calculation 3 2 4 25 6" xfId="39210"/>
    <cellStyle name="Calculation 3 2 4 25 7" xfId="51974"/>
    <cellStyle name="Calculation 3 2 4 26" xfId="3945"/>
    <cellStyle name="Calculation 3 2 4 26 2" xfId="11725"/>
    <cellStyle name="Calculation 3 2 4 26 3" xfId="18975"/>
    <cellStyle name="Calculation 3 2 4 26 4" xfId="26505"/>
    <cellStyle name="Calculation 3 2 4 26 5" xfId="35299"/>
    <cellStyle name="Calculation 3 2 4 26 6" xfId="42063"/>
    <cellStyle name="Calculation 3 2 4 26 7" xfId="54083"/>
    <cellStyle name="Calculation 3 2 4 27" xfId="4003"/>
    <cellStyle name="Calculation 3 2 4 27 2" xfId="11782"/>
    <cellStyle name="Calculation 3 2 4 27 3" xfId="20713"/>
    <cellStyle name="Calculation 3 2 4 27 4" xfId="28900"/>
    <cellStyle name="Calculation 3 2 4 27 5" xfId="38283"/>
    <cellStyle name="Calculation 3 2 4 27 6" xfId="42565"/>
    <cellStyle name="Calculation 3 2 4 27 7" xfId="49460"/>
    <cellStyle name="Calculation 3 2 4 28" xfId="4142"/>
    <cellStyle name="Calculation 3 2 4 28 2" xfId="11901"/>
    <cellStyle name="Calculation 3 2 4 28 3" xfId="20852"/>
    <cellStyle name="Calculation 3 2 4 28 4" xfId="29039"/>
    <cellStyle name="Calculation 3 2 4 28 5" xfId="38415"/>
    <cellStyle name="Calculation 3 2 4 28 6" xfId="42704"/>
    <cellStyle name="Calculation 3 2 4 28 7" xfId="50218"/>
    <cellStyle name="Calculation 3 2 4 29" xfId="3545"/>
    <cellStyle name="Calculation 3 2 4 29 2" xfId="20510"/>
    <cellStyle name="Calculation 3 2 4 29 3" xfId="28638"/>
    <cellStyle name="Calculation 3 2 4 29 4" xfId="38014"/>
    <cellStyle name="Calculation 3 2 4 29 5" xfId="42505"/>
    <cellStyle name="Calculation 3 2 4 29 6" xfId="50311"/>
    <cellStyle name="Calculation 3 2 4 3" xfId="799"/>
    <cellStyle name="Calculation 3 2 4 3 2" xfId="8623"/>
    <cellStyle name="Calculation 3 2 4 3 3" xfId="16051"/>
    <cellStyle name="Calculation 3 2 4 3 4" xfId="19354"/>
    <cellStyle name="Calculation 3 2 4 3 5" xfId="27163"/>
    <cellStyle name="Calculation 3 2 4 3 6" xfId="37323"/>
    <cellStyle name="Calculation 3 2 4 3 7" xfId="49462"/>
    <cellStyle name="Calculation 3 2 4 30" xfId="4339"/>
    <cellStyle name="Calculation 3 2 4 30 2" xfId="12056"/>
    <cellStyle name="Calculation 3 2 4 30 3" xfId="21049"/>
    <cellStyle name="Calculation 3 2 4 30 4" xfId="29236"/>
    <cellStyle name="Calculation 3 2 4 30 5" xfId="38606"/>
    <cellStyle name="Calculation 3 2 4 30 6" xfId="42901"/>
    <cellStyle name="Calculation 3 2 4 30 7" xfId="47787"/>
    <cellStyle name="Calculation 3 2 4 31" xfId="4462"/>
    <cellStyle name="Calculation 3 2 4 31 2" xfId="12179"/>
    <cellStyle name="Calculation 3 2 4 31 3" xfId="21172"/>
    <cellStyle name="Calculation 3 2 4 31 4" xfId="29359"/>
    <cellStyle name="Calculation 3 2 4 31 5" xfId="38724"/>
    <cellStyle name="Calculation 3 2 4 31 6" xfId="43024"/>
    <cellStyle name="Calculation 3 2 4 31 7" xfId="47716"/>
    <cellStyle name="Calculation 3 2 4 32" xfId="4576"/>
    <cellStyle name="Calculation 3 2 4 32 2" xfId="12293"/>
    <cellStyle name="Calculation 3 2 4 32 3" xfId="21286"/>
    <cellStyle name="Calculation 3 2 4 32 4" xfId="29473"/>
    <cellStyle name="Calculation 3 2 4 32 5" xfId="38833"/>
    <cellStyle name="Calculation 3 2 4 32 6" xfId="43138"/>
    <cellStyle name="Calculation 3 2 4 32 7" xfId="52284"/>
    <cellStyle name="Calculation 3 2 4 33" xfId="4689"/>
    <cellStyle name="Calculation 3 2 4 33 2" xfId="12406"/>
    <cellStyle name="Calculation 3 2 4 33 3" xfId="21399"/>
    <cellStyle name="Calculation 3 2 4 33 4" xfId="29586"/>
    <cellStyle name="Calculation 3 2 4 33 5" xfId="38942"/>
    <cellStyle name="Calculation 3 2 4 33 6" xfId="43251"/>
    <cellStyle name="Calculation 3 2 4 33 7" xfId="51665"/>
    <cellStyle name="Calculation 3 2 4 34" xfId="4800"/>
    <cellStyle name="Calculation 3 2 4 34 2" xfId="12517"/>
    <cellStyle name="Calculation 3 2 4 34 3" xfId="21510"/>
    <cellStyle name="Calculation 3 2 4 34 4" xfId="29697"/>
    <cellStyle name="Calculation 3 2 4 34 5" xfId="39050"/>
    <cellStyle name="Calculation 3 2 4 34 6" xfId="43362"/>
    <cellStyle name="Calculation 3 2 4 34 7" xfId="51898"/>
    <cellStyle name="Calculation 3 2 4 35" xfId="4909"/>
    <cellStyle name="Calculation 3 2 4 35 2" xfId="12626"/>
    <cellStyle name="Calculation 3 2 4 35 3" xfId="21619"/>
    <cellStyle name="Calculation 3 2 4 35 4" xfId="29806"/>
    <cellStyle name="Calculation 3 2 4 35 5" xfId="39154"/>
    <cellStyle name="Calculation 3 2 4 35 6" xfId="43471"/>
    <cellStyle name="Calculation 3 2 4 35 7" xfId="47978"/>
    <cellStyle name="Calculation 3 2 4 36" xfId="5020"/>
    <cellStyle name="Calculation 3 2 4 36 2" xfId="12737"/>
    <cellStyle name="Calculation 3 2 4 36 3" xfId="21730"/>
    <cellStyle name="Calculation 3 2 4 36 4" xfId="29917"/>
    <cellStyle name="Calculation 3 2 4 36 5" xfId="39262"/>
    <cellStyle name="Calculation 3 2 4 36 6" xfId="43582"/>
    <cellStyle name="Calculation 3 2 4 36 7" xfId="52168"/>
    <cellStyle name="Calculation 3 2 4 37" xfId="5399"/>
    <cellStyle name="Calculation 3 2 4 37 2" xfId="13116"/>
    <cellStyle name="Calculation 3 2 4 37 3" xfId="22109"/>
    <cellStyle name="Calculation 3 2 4 37 4" xfId="30296"/>
    <cellStyle name="Calculation 3 2 4 37 5" xfId="39626"/>
    <cellStyle name="Calculation 3 2 4 37 6" xfId="43961"/>
    <cellStyle name="Calculation 3 2 4 37 7" xfId="51385"/>
    <cellStyle name="Calculation 3 2 4 38" xfId="5519"/>
    <cellStyle name="Calculation 3 2 4 38 2" xfId="13236"/>
    <cellStyle name="Calculation 3 2 4 38 3" xfId="22229"/>
    <cellStyle name="Calculation 3 2 4 38 4" xfId="30416"/>
    <cellStyle name="Calculation 3 2 4 38 5" xfId="39740"/>
    <cellStyle name="Calculation 3 2 4 38 6" xfId="44081"/>
    <cellStyle name="Calculation 3 2 4 38 7" xfId="48933"/>
    <cellStyle name="Calculation 3 2 4 39" xfId="5643"/>
    <cellStyle name="Calculation 3 2 4 39 2" xfId="13360"/>
    <cellStyle name="Calculation 3 2 4 39 3" xfId="22353"/>
    <cellStyle name="Calculation 3 2 4 39 4" xfId="30540"/>
    <cellStyle name="Calculation 3 2 4 39 5" xfId="39860"/>
    <cellStyle name="Calculation 3 2 4 39 6" xfId="44205"/>
    <cellStyle name="Calculation 3 2 4 39 7" xfId="54528"/>
    <cellStyle name="Calculation 3 2 4 4" xfId="910"/>
    <cellStyle name="Calculation 3 2 4 4 2" xfId="8734"/>
    <cellStyle name="Calculation 3 2 4 4 3" xfId="16162"/>
    <cellStyle name="Calculation 3 2 4 4 4" xfId="25464"/>
    <cellStyle name="Calculation 3 2 4 4 5" xfId="33929"/>
    <cellStyle name="Calculation 3 2 4 4 6" xfId="36495"/>
    <cellStyle name="Calculation 3 2 4 4 7" xfId="51787"/>
    <cellStyle name="Calculation 3 2 4 40" xfId="5759"/>
    <cellStyle name="Calculation 3 2 4 40 2" xfId="13476"/>
    <cellStyle name="Calculation 3 2 4 40 3" xfId="22469"/>
    <cellStyle name="Calculation 3 2 4 40 4" xfId="30656"/>
    <cellStyle name="Calculation 3 2 4 40 5" xfId="39972"/>
    <cellStyle name="Calculation 3 2 4 40 6" xfId="44321"/>
    <cellStyle name="Calculation 3 2 4 40 7" xfId="51198"/>
    <cellStyle name="Calculation 3 2 4 41" xfId="5875"/>
    <cellStyle name="Calculation 3 2 4 41 2" xfId="13592"/>
    <cellStyle name="Calculation 3 2 4 41 3" xfId="22585"/>
    <cellStyle name="Calculation 3 2 4 41 4" xfId="30772"/>
    <cellStyle name="Calculation 3 2 4 41 5" xfId="40085"/>
    <cellStyle name="Calculation 3 2 4 41 6" xfId="44437"/>
    <cellStyle name="Calculation 3 2 4 41 7" xfId="52078"/>
    <cellStyle name="Calculation 3 2 4 42" xfId="6004"/>
    <cellStyle name="Calculation 3 2 4 42 2" xfId="13721"/>
    <cellStyle name="Calculation 3 2 4 42 3" xfId="22714"/>
    <cellStyle name="Calculation 3 2 4 42 4" xfId="30901"/>
    <cellStyle name="Calculation 3 2 4 42 5" xfId="40209"/>
    <cellStyle name="Calculation 3 2 4 42 6" xfId="44566"/>
    <cellStyle name="Calculation 3 2 4 42 7" xfId="54251"/>
    <cellStyle name="Calculation 3 2 4 43" xfId="5089"/>
    <cellStyle name="Calculation 3 2 4 43 2" xfId="12806"/>
    <cellStyle name="Calculation 3 2 4 43 3" xfId="21799"/>
    <cellStyle name="Calculation 3 2 4 43 4" xfId="29986"/>
    <cellStyle name="Calculation 3 2 4 43 5" xfId="39329"/>
    <cellStyle name="Calculation 3 2 4 43 6" xfId="43651"/>
    <cellStyle name="Calculation 3 2 4 43 7" xfId="52197"/>
    <cellStyle name="Calculation 3 2 4 44" xfId="6260"/>
    <cellStyle name="Calculation 3 2 4 44 2" xfId="13977"/>
    <cellStyle name="Calculation 3 2 4 44 3" xfId="22970"/>
    <cellStyle name="Calculation 3 2 4 44 4" xfId="31157"/>
    <cellStyle name="Calculation 3 2 4 44 5" xfId="40457"/>
    <cellStyle name="Calculation 3 2 4 44 6" xfId="44822"/>
    <cellStyle name="Calculation 3 2 4 44 7" xfId="49142"/>
    <cellStyle name="Calculation 3 2 4 45" xfId="6376"/>
    <cellStyle name="Calculation 3 2 4 45 2" xfId="14093"/>
    <cellStyle name="Calculation 3 2 4 45 3" xfId="23086"/>
    <cellStyle name="Calculation 3 2 4 45 4" xfId="31273"/>
    <cellStyle name="Calculation 3 2 4 45 5" xfId="40570"/>
    <cellStyle name="Calculation 3 2 4 45 6" xfId="44938"/>
    <cellStyle name="Calculation 3 2 4 45 7" xfId="52475"/>
    <cellStyle name="Calculation 3 2 4 46" xfId="6487"/>
    <cellStyle name="Calculation 3 2 4 46 2" xfId="14204"/>
    <cellStyle name="Calculation 3 2 4 46 3" xfId="23197"/>
    <cellStyle name="Calculation 3 2 4 46 4" xfId="31384"/>
    <cellStyle name="Calculation 3 2 4 46 5" xfId="40677"/>
    <cellStyle name="Calculation 3 2 4 46 6" xfId="45049"/>
    <cellStyle name="Calculation 3 2 4 46 7" xfId="47338"/>
    <cellStyle name="Calculation 3 2 4 47" xfId="6542"/>
    <cellStyle name="Calculation 3 2 4 47 2" xfId="14259"/>
    <cellStyle name="Calculation 3 2 4 47 3" xfId="23252"/>
    <cellStyle name="Calculation 3 2 4 47 4" xfId="31439"/>
    <cellStyle name="Calculation 3 2 4 47 5" xfId="40729"/>
    <cellStyle name="Calculation 3 2 4 47 6" xfId="45104"/>
    <cellStyle name="Calculation 3 2 4 47 7" xfId="47369"/>
    <cellStyle name="Calculation 3 2 4 48" xfId="6633"/>
    <cellStyle name="Calculation 3 2 4 48 2" xfId="14350"/>
    <cellStyle name="Calculation 3 2 4 48 3" xfId="23343"/>
    <cellStyle name="Calculation 3 2 4 48 4" xfId="31530"/>
    <cellStyle name="Calculation 3 2 4 48 5" xfId="40816"/>
    <cellStyle name="Calculation 3 2 4 48 6" xfId="45195"/>
    <cellStyle name="Calculation 3 2 4 48 7" xfId="50824"/>
    <cellStyle name="Calculation 3 2 4 49" xfId="6745"/>
    <cellStyle name="Calculation 3 2 4 49 2" xfId="14462"/>
    <cellStyle name="Calculation 3 2 4 49 3" xfId="23455"/>
    <cellStyle name="Calculation 3 2 4 49 4" xfId="31642"/>
    <cellStyle name="Calculation 3 2 4 49 5" xfId="40922"/>
    <cellStyle name="Calculation 3 2 4 49 6" xfId="45307"/>
    <cellStyle name="Calculation 3 2 4 49 7" xfId="50476"/>
    <cellStyle name="Calculation 3 2 4 5" xfId="1376"/>
    <cellStyle name="Calculation 3 2 4 5 2" xfId="9199"/>
    <cellStyle name="Calculation 3 2 4 5 3" xfId="16627"/>
    <cellStyle name="Calculation 3 2 4 5 4" xfId="25803"/>
    <cellStyle name="Calculation 3 2 4 5 5" xfId="34380"/>
    <cellStyle name="Calculation 3 2 4 5 6" xfId="38897"/>
    <cellStyle name="Calculation 3 2 4 5 7" xfId="52575"/>
    <cellStyle name="Calculation 3 2 4 50" xfId="6860"/>
    <cellStyle name="Calculation 3 2 4 50 2" xfId="14577"/>
    <cellStyle name="Calculation 3 2 4 50 3" xfId="23570"/>
    <cellStyle name="Calculation 3 2 4 50 4" xfId="31757"/>
    <cellStyle name="Calculation 3 2 4 50 5" xfId="41030"/>
    <cellStyle name="Calculation 3 2 4 50 6" xfId="45422"/>
    <cellStyle name="Calculation 3 2 4 50 7" xfId="54526"/>
    <cellStyle name="Calculation 3 2 4 51" xfId="6973"/>
    <cellStyle name="Calculation 3 2 4 51 2" xfId="14690"/>
    <cellStyle name="Calculation 3 2 4 51 3" xfId="23683"/>
    <cellStyle name="Calculation 3 2 4 51 4" xfId="31870"/>
    <cellStyle name="Calculation 3 2 4 51 5" xfId="41138"/>
    <cellStyle name="Calculation 3 2 4 51 6" xfId="45535"/>
    <cellStyle name="Calculation 3 2 4 51 7" xfId="46789"/>
    <cellStyle name="Calculation 3 2 4 52" xfId="7084"/>
    <cellStyle name="Calculation 3 2 4 52 2" xfId="14801"/>
    <cellStyle name="Calculation 3 2 4 52 3" xfId="23794"/>
    <cellStyle name="Calculation 3 2 4 52 4" xfId="31981"/>
    <cellStyle name="Calculation 3 2 4 52 5" xfId="41243"/>
    <cellStyle name="Calculation 3 2 4 52 6" xfId="45646"/>
    <cellStyle name="Calculation 3 2 4 52 7" xfId="50566"/>
    <cellStyle name="Calculation 3 2 4 53" xfId="7193"/>
    <cellStyle name="Calculation 3 2 4 53 2" xfId="14910"/>
    <cellStyle name="Calculation 3 2 4 53 3" xfId="23903"/>
    <cellStyle name="Calculation 3 2 4 53 4" xfId="32090"/>
    <cellStyle name="Calculation 3 2 4 53 5" xfId="41351"/>
    <cellStyle name="Calculation 3 2 4 53 6" xfId="45755"/>
    <cellStyle name="Calculation 3 2 4 53 7" xfId="52177"/>
    <cellStyle name="Calculation 3 2 4 54" xfId="7238"/>
    <cellStyle name="Calculation 3 2 4 54 2" xfId="14955"/>
    <cellStyle name="Calculation 3 2 4 54 3" xfId="23948"/>
    <cellStyle name="Calculation 3 2 4 54 4" xfId="32135"/>
    <cellStyle name="Calculation 3 2 4 54 5" xfId="41392"/>
    <cellStyle name="Calculation 3 2 4 54 6" xfId="45800"/>
    <cellStyle name="Calculation 3 2 4 54 7" xfId="46964"/>
    <cellStyle name="Calculation 3 2 4 55" xfId="7481"/>
    <cellStyle name="Calculation 3 2 4 55 2" xfId="15198"/>
    <cellStyle name="Calculation 3 2 4 55 3" xfId="24191"/>
    <cellStyle name="Calculation 3 2 4 55 4" xfId="32378"/>
    <cellStyle name="Calculation 3 2 4 55 5" xfId="41626"/>
    <cellStyle name="Calculation 3 2 4 55 6" xfId="46043"/>
    <cellStyle name="Calculation 3 2 4 55 7" xfId="52346"/>
    <cellStyle name="Calculation 3 2 4 56" xfId="7602"/>
    <cellStyle name="Calculation 3 2 4 56 2" xfId="15319"/>
    <cellStyle name="Calculation 3 2 4 56 3" xfId="24312"/>
    <cellStyle name="Calculation 3 2 4 56 4" xfId="32499"/>
    <cellStyle name="Calculation 3 2 4 56 5" xfId="41741"/>
    <cellStyle name="Calculation 3 2 4 56 6" xfId="46164"/>
    <cellStyle name="Calculation 3 2 4 56 7" xfId="50086"/>
    <cellStyle name="Calculation 3 2 4 57" xfId="7878"/>
    <cellStyle name="Calculation 3 2 4 57 2" xfId="15595"/>
    <cellStyle name="Calculation 3 2 4 57 3" xfId="24582"/>
    <cellStyle name="Calculation 3 2 4 57 4" xfId="32775"/>
    <cellStyle name="Calculation 3 2 4 57 5" xfId="42006"/>
    <cellStyle name="Calculation 3 2 4 57 6" xfId="46440"/>
    <cellStyle name="Calculation 3 2 4 57 7" xfId="51581"/>
    <cellStyle name="Calculation 3 2 4 58" xfId="7961"/>
    <cellStyle name="Calculation 3 2 4 58 2" xfId="15678"/>
    <cellStyle name="Calculation 3 2 4 58 3" xfId="24664"/>
    <cellStyle name="Calculation 3 2 4 58 4" xfId="32858"/>
    <cellStyle name="Calculation 3 2 4 58 5" xfId="42086"/>
    <cellStyle name="Calculation 3 2 4 58 6" xfId="46523"/>
    <cellStyle name="Calculation 3 2 4 58 7" xfId="54194"/>
    <cellStyle name="Calculation 3 2 4 59" xfId="8009"/>
    <cellStyle name="Calculation 3 2 4 59 2" xfId="15726"/>
    <cellStyle name="Calculation 3 2 4 59 3" xfId="24711"/>
    <cellStyle name="Calculation 3 2 4 59 4" xfId="32906"/>
    <cellStyle name="Calculation 3 2 4 59 5" xfId="42132"/>
    <cellStyle name="Calculation 3 2 4 59 6" xfId="46571"/>
    <cellStyle name="Calculation 3 2 4 59 7" xfId="48694"/>
    <cellStyle name="Calculation 3 2 4 6" xfId="1499"/>
    <cellStyle name="Calculation 3 2 4 6 2" xfId="9322"/>
    <cellStyle name="Calculation 3 2 4 6 3" xfId="16750"/>
    <cellStyle name="Calculation 3 2 4 6 4" xfId="25631"/>
    <cellStyle name="Calculation 3 2 4 6 5" xfId="34149"/>
    <cellStyle name="Calculation 3 2 4 6 6" xfId="41342"/>
    <cellStyle name="Calculation 3 2 4 6 7" xfId="52159"/>
    <cellStyle name="Calculation 3 2 4 60" xfId="8154"/>
    <cellStyle name="Calculation 3 2 4 60 2" xfId="15871"/>
    <cellStyle name="Calculation 3 2 4 60 3" xfId="33051"/>
    <cellStyle name="Calculation 3 2 4 60 4" xfId="42270"/>
    <cellStyle name="Calculation 3 2 4 60 5" xfId="46716"/>
    <cellStyle name="Calculation 3 2 4 60 6" xfId="47752"/>
    <cellStyle name="Calculation 3 2 4 61" xfId="20586"/>
    <cellStyle name="Calculation 3 2 4 62" xfId="27307"/>
    <cellStyle name="Calculation 3 2 4 63" xfId="36263"/>
    <cellStyle name="Calculation 3 2 4 64" xfId="49022"/>
    <cellStyle name="Calculation 3 2 4 7" xfId="1572"/>
    <cellStyle name="Calculation 3 2 4 7 2" xfId="9395"/>
    <cellStyle name="Calculation 3 2 4 7 3" xfId="16823"/>
    <cellStyle name="Calculation 3 2 4 7 4" xfId="26060"/>
    <cellStyle name="Calculation 3 2 4 7 5" xfId="34704"/>
    <cellStyle name="Calculation 3 2 4 7 6" xfId="41463"/>
    <cellStyle name="Calculation 3 2 4 7 7" xfId="53124"/>
    <cellStyle name="Calculation 3 2 4 8" xfId="1736"/>
    <cellStyle name="Calculation 3 2 4 8 2" xfId="9559"/>
    <cellStyle name="Calculation 3 2 4 8 3" xfId="16987"/>
    <cellStyle name="Calculation 3 2 4 8 4" xfId="20450"/>
    <cellStyle name="Calculation 3 2 4 8 5" xfId="28477"/>
    <cellStyle name="Calculation 3 2 4 8 6" xfId="41035"/>
    <cellStyle name="Calculation 3 2 4 8 7" xfId="49656"/>
    <cellStyle name="Calculation 3 2 4 9" xfId="1870"/>
    <cellStyle name="Calculation 3 2 4 9 2" xfId="9693"/>
    <cellStyle name="Calculation 3 2 4 9 3" xfId="17121"/>
    <cellStyle name="Calculation 3 2 4 9 4" xfId="25143"/>
    <cellStyle name="Calculation 3 2 4 9 5" xfId="33518"/>
    <cellStyle name="Calculation 3 2 4 9 6" xfId="39343"/>
    <cellStyle name="Calculation 3 2 4 9 7" xfId="51098"/>
    <cellStyle name="Calculation 3 2 40" xfId="4261"/>
    <cellStyle name="Calculation 3 2 40 2" xfId="11982"/>
    <cellStyle name="Calculation 3 2 40 3" xfId="20971"/>
    <cellStyle name="Calculation 3 2 40 4" xfId="29158"/>
    <cellStyle name="Calculation 3 2 40 5" xfId="38531"/>
    <cellStyle name="Calculation 3 2 40 6" xfId="42823"/>
    <cellStyle name="Calculation 3 2 40 7" xfId="48074"/>
    <cellStyle name="Calculation 3 2 41" xfId="4240"/>
    <cellStyle name="Calculation 3 2 41 2" xfId="11972"/>
    <cellStyle name="Calculation 3 2 41 3" xfId="20950"/>
    <cellStyle name="Calculation 3 2 41 4" xfId="29137"/>
    <cellStyle name="Calculation 3 2 41 5" xfId="38511"/>
    <cellStyle name="Calculation 3 2 41 6" xfId="42802"/>
    <cellStyle name="Calculation 3 2 41 7" xfId="48471"/>
    <cellStyle name="Calculation 3 2 42" xfId="5097"/>
    <cellStyle name="Calculation 3 2 42 2" xfId="12814"/>
    <cellStyle name="Calculation 3 2 42 3" xfId="21807"/>
    <cellStyle name="Calculation 3 2 42 4" xfId="29994"/>
    <cellStyle name="Calculation 3 2 42 5" xfId="39336"/>
    <cellStyle name="Calculation 3 2 42 6" xfId="43659"/>
    <cellStyle name="Calculation 3 2 42 7" xfId="51191"/>
    <cellStyle name="Calculation 3 2 43" xfId="5160"/>
    <cellStyle name="Calculation 3 2 43 2" xfId="12877"/>
    <cellStyle name="Calculation 3 2 43 3" xfId="21870"/>
    <cellStyle name="Calculation 3 2 43 4" xfId="30057"/>
    <cellStyle name="Calculation 3 2 43 5" xfId="39396"/>
    <cellStyle name="Calculation 3 2 43 6" xfId="43722"/>
    <cellStyle name="Calculation 3 2 43 7" xfId="53421"/>
    <cellStyle name="Calculation 3 2 44" xfId="5071"/>
    <cellStyle name="Calculation 3 2 44 2" xfId="12788"/>
    <cellStyle name="Calculation 3 2 44 3" xfId="21781"/>
    <cellStyle name="Calculation 3 2 44 4" xfId="29968"/>
    <cellStyle name="Calculation 3 2 44 5" xfId="39311"/>
    <cellStyle name="Calculation 3 2 44 6" xfId="43633"/>
    <cellStyle name="Calculation 3 2 44 7" xfId="53927"/>
    <cellStyle name="Calculation 3 2 45" xfId="5246"/>
    <cellStyle name="Calculation 3 2 45 2" xfId="12963"/>
    <cellStyle name="Calculation 3 2 45 3" xfId="21956"/>
    <cellStyle name="Calculation 3 2 45 4" xfId="30143"/>
    <cellStyle name="Calculation 3 2 45 5" xfId="39478"/>
    <cellStyle name="Calculation 3 2 45 6" xfId="43808"/>
    <cellStyle name="Calculation 3 2 45 7" xfId="52276"/>
    <cellStyle name="Calculation 3 2 46" xfId="5288"/>
    <cellStyle name="Calculation 3 2 46 2" xfId="13005"/>
    <cellStyle name="Calculation 3 2 46 3" xfId="21998"/>
    <cellStyle name="Calculation 3 2 46 4" xfId="30185"/>
    <cellStyle name="Calculation 3 2 46 5" xfId="39519"/>
    <cellStyle name="Calculation 3 2 46 6" xfId="43850"/>
    <cellStyle name="Calculation 3 2 46 7" xfId="51864"/>
    <cellStyle name="Calculation 3 2 47" xfId="5889"/>
    <cellStyle name="Calculation 3 2 47 2" xfId="13606"/>
    <cellStyle name="Calculation 3 2 47 3" xfId="22599"/>
    <cellStyle name="Calculation 3 2 47 4" xfId="30786"/>
    <cellStyle name="Calculation 3 2 47 5" xfId="40099"/>
    <cellStyle name="Calculation 3 2 47 6" xfId="44451"/>
    <cellStyle name="Calculation 3 2 47 7" xfId="50478"/>
    <cellStyle name="Calculation 3 2 48" xfId="5331"/>
    <cellStyle name="Calculation 3 2 48 2" xfId="13048"/>
    <cellStyle name="Calculation 3 2 48 3" xfId="22041"/>
    <cellStyle name="Calculation 3 2 48 4" xfId="30228"/>
    <cellStyle name="Calculation 3 2 48 5" xfId="39562"/>
    <cellStyle name="Calculation 3 2 48 6" xfId="43893"/>
    <cellStyle name="Calculation 3 2 48 7" xfId="50832"/>
    <cellStyle name="Calculation 3 2 49" xfId="5932"/>
    <cellStyle name="Calculation 3 2 49 2" xfId="13649"/>
    <cellStyle name="Calculation 3 2 49 3" xfId="22642"/>
    <cellStyle name="Calculation 3 2 49 4" xfId="30829"/>
    <cellStyle name="Calculation 3 2 49 5" xfId="40140"/>
    <cellStyle name="Calculation 3 2 49 6" xfId="44494"/>
    <cellStyle name="Calculation 3 2 49 7" xfId="54133"/>
    <cellStyle name="Calculation 3 2 5" xfId="590"/>
    <cellStyle name="Calculation 3 2 5 10" xfId="2036"/>
    <cellStyle name="Calculation 3 2 5 10 2" xfId="9859"/>
    <cellStyle name="Calculation 3 2 5 10 3" xfId="17287"/>
    <cellStyle name="Calculation 3 2 5 10 4" xfId="20047"/>
    <cellStyle name="Calculation 3 2 5 10 5" xfId="27639"/>
    <cellStyle name="Calculation 3 2 5 10 6" xfId="39081"/>
    <cellStyle name="Calculation 3 2 5 10 7" xfId="47749"/>
    <cellStyle name="Calculation 3 2 5 11" xfId="2151"/>
    <cellStyle name="Calculation 3 2 5 11 2" xfId="9974"/>
    <cellStyle name="Calculation 3 2 5 11 3" xfId="17402"/>
    <cellStyle name="Calculation 3 2 5 11 4" xfId="19457"/>
    <cellStyle name="Calculation 3 2 5 11 5" xfId="28112"/>
    <cellStyle name="Calculation 3 2 5 11 6" xfId="42240"/>
    <cellStyle name="Calculation 3 2 5 11 7" xfId="49518"/>
    <cellStyle name="Calculation 3 2 5 12" xfId="2267"/>
    <cellStyle name="Calculation 3 2 5 12 2" xfId="10090"/>
    <cellStyle name="Calculation 3 2 5 12 3" xfId="17518"/>
    <cellStyle name="Calculation 3 2 5 12 4" xfId="26136"/>
    <cellStyle name="Calculation 3 2 5 12 5" xfId="34799"/>
    <cellStyle name="Calculation 3 2 5 12 6" xfId="37748"/>
    <cellStyle name="Calculation 3 2 5 12 7" xfId="53284"/>
    <cellStyle name="Calculation 3 2 5 13" xfId="2037"/>
    <cellStyle name="Calculation 3 2 5 13 2" xfId="9860"/>
    <cellStyle name="Calculation 3 2 5 13 3" xfId="17288"/>
    <cellStyle name="Calculation 3 2 5 13 4" xfId="19682"/>
    <cellStyle name="Calculation 3 2 5 13 5" xfId="27459"/>
    <cellStyle name="Calculation 3 2 5 13 6" xfId="38974"/>
    <cellStyle name="Calculation 3 2 5 13 7" xfId="48874"/>
    <cellStyle name="Calculation 3 2 5 14" xfId="1595"/>
    <cellStyle name="Calculation 3 2 5 14 2" xfId="9418"/>
    <cellStyle name="Calculation 3 2 5 14 3" xfId="16846"/>
    <cellStyle name="Calculation 3 2 5 14 4" xfId="24947"/>
    <cellStyle name="Calculation 3 2 5 14 5" xfId="33283"/>
    <cellStyle name="Calculation 3 2 5 14 6" xfId="38904"/>
    <cellStyle name="Calculation 3 2 5 14 7" xfId="50669"/>
    <cellStyle name="Calculation 3 2 5 15" xfId="2564"/>
    <cellStyle name="Calculation 3 2 5 15 2" xfId="10387"/>
    <cellStyle name="Calculation 3 2 5 15 3" xfId="17815"/>
    <cellStyle name="Calculation 3 2 5 15 4" xfId="26125"/>
    <cellStyle name="Calculation 3 2 5 15 5" xfId="34786"/>
    <cellStyle name="Calculation 3 2 5 15 6" xfId="38626"/>
    <cellStyle name="Calculation 3 2 5 15 7" xfId="53262"/>
    <cellStyle name="Calculation 3 2 5 16" xfId="2678"/>
    <cellStyle name="Calculation 3 2 5 16 2" xfId="10501"/>
    <cellStyle name="Calculation 3 2 5 16 3" xfId="17929"/>
    <cellStyle name="Calculation 3 2 5 16 4" xfId="26303"/>
    <cellStyle name="Calculation 3 2 5 16 5" xfId="35020"/>
    <cellStyle name="Calculation 3 2 5 16 6" xfId="41831"/>
    <cellStyle name="Calculation 3 2 5 16 7" xfId="53652"/>
    <cellStyle name="Calculation 3 2 5 17" xfId="2453"/>
    <cellStyle name="Calculation 3 2 5 17 2" xfId="10276"/>
    <cellStyle name="Calculation 3 2 5 17 3" xfId="17704"/>
    <cellStyle name="Calculation 3 2 5 17 4" xfId="19631"/>
    <cellStyle name="Calculation 3 2 5 17 5" xfId="27628"/>
    <cellStyle name="Calculation 3 2 5 17 6" xfId="41518"/>
    <cellStyle name="Calculation 3 2 5 17 7" xfId="49675"/>
    <cellStyle name="Calculation 3 2 5 18" xfId="2295"/>
    <cellStyle name="Calculation 3 2 5 18 2" xfId="10118"/>
    <cellStyle name="Calculation 3 2 5 18 3" xfId="17546"/>
    <cellStyle name="Calculation 3 2 5 18 4" xfId="19465"/>
    <cellStyle name="Calculation 3 2 5 18 5" xfId="33150"/>
    <cellStyle name="Calculation 3 2 5 18 6" xfId="40735"/>
    <cellStyle name="Calculation 3 2 5 18 7" xfId="50428"/>
    <cellStyle name="Calculation 3 2 5 19" xfId="2867"/>
    <cellStyle name="Calculation 3 2 5 19 2" xfId="10690"/>
    <cellStyle name="Calculation 3 2 5 19 3" xfId="18118"/>
    <cellStyle name="Calculation 3 2 5 19 4" xfId="25587"/>
    <cellStyle name="Calculation 3 2 5 19 5" xfId="34095"/>
    <cellStyle name="Calculation 3 2 5 19 6" xfId="37873"/>
    <cellStyle name="Calculation 3 2 5 19 7" xfId="52070"/>
    <cellStyle name="Calculation 3 2 5 2" xfId="734"/>
    <cellStyle name="Calculation 3 2 5 2 2" xfId="8558"/>
    <cellStyle name="Calculation 3 2 5 2 3" xfId="15986"/>
    <cellStyle name="Calculation 3 2 5 2 4" xfId="19935"/>
    <cellStyle name="Calculation 3 2 5 2 5" xfId="26996"/>
    <cellStyle name="Calculation 3 2 5 2 6" xfId="37305"/>
    <cellStyle name="Calculation 3 2 5 2 7" xfId="50174"/>
    <cellStyle name="Calculation 3 2 5 20" xfId="2973"/>
    <cellStyle name="Calculation 3 2 5 20 2" xfId="10796"/>
    <cellStyle name="Calculation 3 2 5 20 3" xfId="18224"/>
    <cellStyle name="Calculation 3 2 5 20 4" xfId="20043"/>
    <cellStyle name="Calculation 3 2 5 20 5" xfId="27809"/>
    <cellStyle name="Calculation 3 2 5 20 6" xfId="37392"/>
    <cellStyle name="Calculation 3 2 5 20 7" xfId="48661"/>
    <cellStyle name="Calculation 3 2 5 21" xfId="3353"/>
    <cellStyle name="Calculation 3 2 5 21 2" xfId="11146"/>
    <cellStyle name="Calculation 3 2 5 21 3" xfId="18472"/>
    <cellStyle name="Calculation 3 2 5 21 4" xfId="26314"/>
    <cellStyle name="Calculation 3 2 5 21 5" xfId="35035"/>
    <cellStyle name="Calculation 3 2 5 21 6" xfId="41757"/>
    <cellStyle name="Calculation 3 2 5 21 7" xfId="53674"/>
    <cellStyle name="Calculation 3 2 5 22" xfId="3473"/>
    <cellStyle name="Calculation 3 2 5 22 2" xfId="11264"/>
    <cellStyle name="Calculation 3 2 5 22 3" xfId="18583"/>
    <cellStyle name="Calculation 3 2 5 22 4" xfId="19681"/>
    <cellStyle name="Calculation 3 2 5 22 5" xfId="27742"/>
    <cellStyle name="Calculation 3 2 5 22 6" xfId="37385"/>
    <cellStyle name="Calculation 3 2 5 22 7" xfId="50201"/>
    <cellStyle name="Calculation 3 2 5 23" xfId="3631"/>
    <cellStyle name="Calculation 3 2 5 23 2" xfId="11416"/>
    <cellStyle name="Calculation 3 2 5 23 3" xfId="18689"/>
    <cellStyle name="Calculation 3 2 5 23 4" xfId="19771"/>
    <cellStyle name="Calculation 3 2 5 23 5" xfId="27331"/>
    <cellStyle name="Calculation 3 2 5 23 6" xfId="42101"/>
    <cellStyle name="Calculation 3 2 5 23 7" xfId="47786"/>
    <cellStyle name="Calculation 3 2 5 24" xfId="3745"/>
    <cellStyle name="Calculation 3 2 5 24 2" xfId="11530"/>
    <cellStyle name="Calculation 3 2 5 24 3" xfId="18800"/>
    <cellStyle name="Calculation 3 2 5 24 4" xfId="26295"/>
    <cellStyle name="Calculation 3 2 5 24 5" xfId="35009"/>
    <cellStyle name="Calculation 3 2 5 24 6" xfId="40026"/>
    <cellStyle name="Calculation 3 2 5 24 7" xfId="53632"/>
    <cellStyle name="Calculation 3 2 5 25" xfId="3874"/>
    <cellStyle name="Calculation 3 2 5 25 2" xfId="11655"/>
    <cellStyle name="Calculation 3 2 5 25 3" xfId="18910"/>
    <cellStyle name="Calculation 3 2 5 25 4" xfId="26563"/>
    <cellStyle name="Calculation 3 2 5 25 5" xfId="35372"/>
    <cellStyle name="Calculation 3 2 5 25 6" xfId="41837"/>
    <cellStyle name="Calculation 3 2 5 25 7" xfId="54196"/>
    <cellStyle name="Calculation 3 2 5 26" xfId="3993"/>
    <cellStyle name="Calculation 3 2 5 26 2" xfId="11772"/>
    <cellStyle name="Calculation 3 2 5 26 3" xfId="19018"/>
    <cellStyle name="Calculation 3 2 5 26 4" xfId="19704"/>
    <cellStyle name="Calculation 3 2 5 26 5" xfId="26799"/>
    <cellStyle name="Calculation 3 2 5 26 6" xfId="37533"/>
    <cellStyle name="Calculation 3 2 5 26 7" xfId="50330"/>
    <cellStyle name="Calculation 3 2 5 27" xfId="3760"/>
    <cellStyle name="Calculation 3 2 5 27 2" xfId="11544"/>
    <cellStyle name="Calculation 3 2 5 27 3" xfId="20610"/>
    <cellStyle name="Calculation 3 2 5 27 4" xfId="28760"/>
    <cellStyle name="Calculation 3 2 5 27 5" xfId="38148"/>
    <cellStyle name="Calculation 3 2 5 27 6" xfId="42536"/>
    <cellStyle name="Calculation 3 2 5 27 7" xfId="52277"/>
    <cellStyle name="Calculation 3 2 5 28" xfId="4188"/>
    <cellStyle name="Calculation 3 2 5 28 2" xfId="11947"/>
    <cellStyle name="Calculation 3 2 5 28 3" xfId="20898"/>
    <cellStyle name="Calculation 3 2 5 28 4" xfId="29085"/>
    <cellStyle name="Calculation 3 2 5 28 5" xfId="38461"/>
    <cellStyle name="Calculation 3 2 5 28 6" xfId="42750"/>
    <cellStyle name="Calculation 3 2 5 28 7" xfId="48087"/>
    <cellStyle name="Calculation 3 2 5 29" xfId="4244"/>
    <cellStyle name="Calculation 3 2 5 29 2" xfId="20954"/>
    <cellStyle name="Calculation 3 2 5 29 3" xfId="29141"/>
    <cellStyle name="Calculation 3 2 5 29 4" xfId="38515"/>
    <cellStyle name="Calculation 3 2 5 29 5" xfId="42806"/>
    <cellStyle name="Calculation 3 2 5 29 6" xfId="48416"/>
    <cellStyle name="Calculation 3 2 5 3" xfId="844"/>
    <cellStyle name="Calculation 3 2 5 3 2" xfId="8668"/>
    <cellStyle name="Calculation 3 2 5 3 3" xfId="16096"/>
    <cellStyle name="Calculation 3 2 5 3 4" xfId="25287"/>
    <cellStyle name="Calculation 3 2 5 3 5" xfId="33699"/>
    <cellStyle name="Calculation 3 2 5 3 6" xfId="37262"/>
    <cellStyle name="Calculation 3 2 5 3 7" xfId="51399"/>
    <cellStyle name="Calculation 3 2 5 30" xfId="4388"/>
    <cellStyle name="Calculation 3 2 5 30 2" xfId="12105"/>
    <cellStyle name="Calculation 3 2 5 30 3" xfId="21098"/>
    <cellStyle name="Calculation 3 2 5 30 4" xfId="29285"/>
    <cellStyle name="Calculation 3 2 5 30 5" xfId="38655"/>
    <cellStyle name="Calculation 3 2 5 30 6" xfId="42950"/>
    <cellStyle name="Calculation 3 2 5 30 7" xfId="49831"/>
    <cellStyle name="Calculation 3 2 5 31" xfId="4507"/>
    <cellStyle name="Calculation 3 2 5 31 2" xfId="12224"/>
    <cellStyle name="Calculation 3 2 5 31 3" xfId="21217"/>
    <cellStyle name="Calculation 3 2 5 31 4" xfId="29404"/>
    <cellStyle name="Calculation 3 2 5 31 5" xfId="38768"/>
    <cellStyle name="Calculation 3 2 5 31 6" xfId="43069"/>
    <cellStyle name="Calculation 3 2 5 31 7" xfId="49589"/>
    <cellStyle name="Calculation 3 2 5 32" xfId="4621"/>
    <cellStyle name="Calculation 3 2 5 32 2" xfId="12338"/>
    <cellStyle name="Calculation 3 2 5 32 3" xfId="21331"/>
    <cellStyle name="Calculation 3 2 5 32 4" xfId="29518"/>
    <cellStyle name="Calculation 3 2 5 32 5" xfId="38877"/>
    <cellStyle name="Calculation 3 2 5 32 6" xfId="43183"/>
    <cellStyle name="Calculation 3 2 5 32 7" xfId="51827"/>
    <cellStyle name="Calculation 3 2 5 33" xfId="4734"/>
    <cellStyle name="Calculation 3 2 5 33 2" xfId="12451"/>
    <cellStyle name="Calculation 3 2 5 33 3" xfId="21444"/>
    <cellStyle name="Calculation 3 2 5 33 4" xfId="29631"/>
    <cellStyle name="Calculation 3 2 5 33 5" xfId="38986"/>
    <cellStyle name="Calculation 3 2 5 33 6" xfId="43296"/>
    <cellStyle name="Calculation 3 2 5 33 7" xfId="50893"/>
    <cellStyle name="Calculation 3 2 5 34" xfId="4844"/>
    <cellStyle name="Calculation 3 2 5 34 2" xfId="12561"/>
    <cellStyle name="Calculation 3 2 5 34 3" xfId="21554"/>
    <cellStyle name="Calculation 3 2 5 34 4" xfId="29741"/>
    <cellStyle name="Calculation 3 2 5 34 5" xfId="39092"/>
    <cellStyle name="Calculation 3 2 5 34 6" xfId="43406"/>
    <cellStyle name="Calculation 3 2 5 34 7" xfId="47687"/>
    <cellStyle name="Calculation 3 2 5 35" xfId="4954"/>
    <cellStyle name="Calculation 3 2 5 35 2" xfId="12671"/>
    <cellStyle name="Calculation 3 2 5 35 3" xfId="21664"/>
    <cellStyle name="Calculation 3 2 5 35 4" xfId="29851"/>
    <cellStyle name="Calculation 3 2 5 35 5" xfId="39198"/>
    <cellStyle name="Calculation 3 2 5 35 6" xfId="43516"/>
    <cellStyle name="Calculation 3 2 5 35 7" xfId="52566"/>
    <cellStyle name="Calculation 3 2 5 36" xfId="5063"/>
    <cellStyle name="Calculation 3 2 5 36 2" xfId="12780"/>
    <cellStyle name="Calculation 3 2 5 36 3" xfId="21773"/>
    <cellStyle name="Calculation 3 2 5 36 4" xfId="29960"/>
    <cellStyle name="Calculation 3 2 5 36 5" xfId="39303"/>
    <cellStyle name="Calculation 3 2 5 36 6" xfId="43625"/>
    <cellStyle name="Calculation 3 2 5 36 7" xfId="48392"/>
    <cellStyle name="Calculation 3 2 5 37" xfId="5445"/>
    <cellStyle name="Calculation 3 2 5 37 2" xfId="13162"/>
    <cellStyle name="Calculation 3 2 5 37 3" xfId="22155"/>
    <cellStyle name="Calculation 3 2 5 37 4" xfId="30342"/>
    <cellStyle name="Calculation 3 2 5 37 5" xfId="39671"/>
    <cellStyle name="Calculation 3 2 5 37 6" xfId="44007"/>
    <cellStyle name="Calculation 3 2 5 37 7" xfId="54267"/>
    <cellStyle name="Calculation 3 2 5 38" xfId="5564"/>
    <cellStyle name="Calculation 3 2 5 38 2" xfId="13281"/>
    <cellStyle name="Calculation 3 2 5 38 3" xfId="22274"/>
    <cellStyle name="Calculation 3 2 5 38 4" xfId="30461"/>
    <cellStyle name="Calculation 3 2 5 38 5" xfId="39784"/>
    <cellStyle name="Calculation 3 2 5 38 6" xfId="44126"/>
    <cellStyle name="Calculation 3 2 5 38 7" xfId="47168"/>
    <cellStyle name="Calculation 3 2 5 39" xfId="5690"/>
    <cellStyle name="Calculation 3 2 5 39 2" xfId="13407"/>
    <cellStyle name="Calculation 3 2 5 39 3" xfId="22400"/>
    <cellStyle name="Calculation 3 2 5 39 4" xfId="30587"/>
    <cellStyle name="Calculation 3 2 5 39 5" xfId="39905"/>
    <cellStyle name="Calculation 3 2 5 39 6" xfId="44252"/>
    <cellStyle name="Calculation 3 2 5 39 7" xfId="47014"/>
    <cellStyle name="Calculation 3 2 5 4" xfId="953"/>
    <cellStyle name="Calculation 3 2 5 4 2" xfId="8777"/>
    <cellStyle name="Calculation 3 2 5 4 3" xfId="16205"/>
    <cellStyle name="Calculation 3 2 5 4 4" xfId="26311"/>
    <cellStyle name="Calculation 3 2 5 4 5" xfId="35030"/>
    <cellStyle name="Calculation 3 2 5 4 6" xfId="37148"/>
    <cellStyle name="Calculation 3 2 5 4 7" xfId="53666"/>
    <cellStyle name="Calculation 3 2 5 40" xfId="5805"/>
    <cellStyle name="Calculation 3 2 5 40 2" xfId="13522"/>
    <cellStyle name="Calculation 3 2 5 40 3" xfId="22515"/>
    <cellStyle name="Calculation 3 2 5 40 4" xfId="30702"/>
    <cellStyle name="Calculation 3 2 5 40 5" xfId="40017"/>
    <cellStyle name="Calculation 3 2 5 40 6" xfId="44367"/>
    <cellStyle name="Calculation 3 2 5 40 7" xfId="52931"/>
    <cellStyle name="Calculation 3 2 5 41" xfId="5924"/>
    <cellStyle name="Calculation 3 2 5 41 2" xfId="13641"/>
    <cellStyle name="Calculation 3 2 5 41 3" xfId="22634"/>
    <cellStyle name="Calculation 3 2 5 41 4" xfId="30821"/>
    <cellStyle name="Calculation 3 2 5 41 5" xfId="40133"/>
    <cellStyle name="Calculation 3 2 5 41 6" xfId="44486"/>
    <cellStyle name="Calculation 3 2 5 41 7" xfId="54070"/>
    <cellStyle name="Calculation 3 2 5 42" xfId="6049"/>
    <cellStyle name="Calculation 3 2 5 42 2" xfId="13766"/>
    <cellStyle name="Calculation 3 2 5 42 3" xfId="22759"/>
    <cellStyle name="Calculation 3 2 5 42 4" xfId="30946"/>
    <cellStyle name="Calculation 3 2 5 42 5" xfId="40253"/>
    <cellStyle name="Calculation 3 2 5 42 6" xfId="44611"/>
    <cellStyle name="Calculation 3 2 5 42 7" xfId="49297"/>
    <cellStyle name="Calculation 3 2 5 43" xfId="6177"/>
    <cellStyle name="Calculation 3 2 5 43 2" xfId="13894"/>
    <cellStyle name="Calculation 3 2 5 43 3" xfId="22887"/>
    <cellStyle name="Calculation 3 2 5 43 4" xfId="31074"/>
    <cellStyle name="Calculation 3 2 5 43 5" xfId="40375"/>
    <cellStyle name="Calculation 3 2 5 43 6" xfId="44739"/>
    <cellStyle name="Calculation 3 2 5 43 7" xfId="50450"/>
    <cellStyle name="Calculation 3 2 5 44" xfId="6306"/>
    <cellStyle name="Calculation 3 2 5 44 2" xfId="14023"/>
    <cellStyle name="Calculation 3 2 5 44 3" xfId="23016"/>
    <cellStyle name="Calculation 3 2 5 44 4" xfId="31203"/>
    <cellStyle name="Calculation 3 2 5 44 5" xfId="40503"/>
    <cellStyle name="Calculation 3 2 5 44 6" xfId="44868"/>
    <cellStyle name="Calculation 3 2 5 44 7" xfId="53397"/>
    <cellStyle name="Calculation 3 2 5 45" xfId="6420"/>
    <cellStyle name="Calculation 3 2 5 45 2" xfId="14137"/>
    <cellStyle name="Calculation 3 2 5 45 3" xfId="23130"/>
    <cellStyle name="Calculation 3 2 5 45 4" xfId="31317"/>
    <cellStyle name="Calculation 3 2 5 45 5" xfId="40612"/>
    <cellStyle name="Calculation 3 2 5 45 6" xfId="44982"/>
    <cellStyle name="Calculation 3 2 5 45 7" xfId="54380"/>
    <cellStyle name="Calculation 3 2 5 46" xfId="6533"/>
    <cellStyle name="Calculation 3 2 5 46 2" xfId="14250"/>
    <cellStyle name="Calculation 3 2 5 46 3" xfId="23243"/>
    <cellStyle name="Calculation 3 2 5 46 4" xfId="31430"/>
    <cellStyle name="Calculation 3 2 5 46 5" xfId="40721"/>
    <cellStyle name="Calculation 3 2 5 46 6" xfId="45095"/>
    <cellStyle name="Calculation 3 2 5 46 7" xfId="50632"/>
    <cellStyle name="Calculation 3 2 5 47" xfId="5196"/>
    <cellStyle name="Calculation 3 2 5 47 2" xfId="12913"/>
    <cellStyle name="Calculation 3 2 5 47 3" xfId="21906"/>
    <cellStyle name="Calculation 3 2 5 47 4" xfId="30093"/>
    <cellStyle name="Calculation 3 2 5 47 5" xfId="39430"/>
    <cellStyle name="Calculation 3 2 5 47 6" xfId="43758"/>
    <cellStyle name="Calculation 3 2 5 47 7" xfId="49865"/>
    <cellStyle name="Calculation 3 2 5 48" xfId="6679"/>
    <cellStyle name="Calculation 3 2 5 48 2" xfId="14396"/>
    <cellStyle name="Calculation 3 2 5 48 3" xfId="23389"/>
    <cellStyle name="Calculation 3 2 5 48 4" xfId="31576"/>
    <cellStyle name="Calculation 3 2 5 48 5" xfId="40860"/>
    <cellStyle name="Calculation 3 2 5 48 6" xfId="45241"/>
    <cellStyle name="Calculation 3 2 5 48 7" xfId="50057"/>
    <cellStyle name="Calculation 3 2 5 49" xfId="6791"/>
    <cellStyle name="Calculation 3 2 5 49 2" xfId="14508"/>
    <cellStyle name="Calculation 3 2 5 49 3" xfId="23501"/>
    <cellStyle name="Calculation 3 2 5 49 4" xfId="31688"/>
    <cellStyle name="Calculation 3 2 5 49 5" xfId="40967"/>
    <cellStyle name="Calculation 3 2 5 49 6" xfId="45353"/>
    <cellStyle name="Calculation 3 2 5 49 7" xfId="53034"/>
    <cellStyle name="Calculation 3 2 5 5" xfId="1424"/>
    <cellStyle name="Calculation 3 2 5 5 2" xfId="9247"/>
    <cellStyle name="Calculation 3 2 5 5 3" xfId="16675"/>
    <cellStyle name="Calculation 3 2 5 5 4" xfId="26273"/>
    <cellStyle name="Calculation 3 2 5 5 5" xfId="34973"/>
    <cellStyle name="Calculation 3 2 5 5 6" xfId="41589"/>
    <cellStyle name="Calculation 3 2 5 5 7" xfId="53582"/>
    <cellStyle name="Calculation 3 2 5 50" xfId="6905"/>
    <cellStyle name="Calculation 3 2 5 50 2" xfId="14622"/>
    <cellStyle name="Calculation 3 2 5 50 3" xfId="23615"/>
    <cellStyle name="Calculation 3 2 5 50 4" xfId="31802"/>
    <cellStyle name="Calculation 3 2 5 50 5" xfId="41074"/>
    <cellStyle name="Calculation 3 2 5 50 6" xfId="45467"/>
    <cellStyle name="Calculation 3 2 5 50 7" xfId="47053"/>
    <cellStyle name="Calculation 3 2 5 51" xfId="7018"/>
    <cellStyle name="Calculation 3 2 5 51 2" xfId="14735"/>
    <cellStyle name="Calculation 3 2 5 51 3" xfId="23728"/>
    <cellStyle name="Calculation 3 2 5 51 4" xfId="31915"/>
    <cellStyle name="Calculation 3 2 5 51 5" xfId="41182"/>
    <cellStyle name="Calculation 3 2 5 51 6" xfId="45580"/>
    <cellStyle name="Calculation 3 2 5 51 7" xfId="47216"/>
    <cellStyle name="Calculation 3 2 5 52" xfId="7127"/>
    <cellStyle name="Calculation 3 2 5 52 2" xfId="14844"/>
    <cellStyle name="Calculation 3 2 5 52 3" xfId="23837"/>
    <cellStyle name="Calculation 3 2 5 52 4" xfId="32024"/>
    <cellStyle name="Calculation 3 2 5 52 5" xfId="41286"/>
    <cellStyle name="Calculation 3 2 5 52 6" xfId="45689"/>
    <cellStyle name="Calculation 3 2 5 52 7" xfId="52721"/>
    <cellStyle name="Calculation 3 2 5 53" xfId="7377"/>
    <cellStyle name="Calculation 3 2 5 53 2" xfId="15094"/>
    <cellStyle name="Calculation 3 2 5 53 3" xfId="24087"/>
    <cellStyle name="Calculation 3 2 5 53 4" xfId="32274"/>
    <cellStyle name="Calculation 3 2 5 53 5" xfId="41530"/>
    <cellStyle name="Calculation 3 2 5 53 6" xfId="45939"/>
    <cellStyle name="Calculation 3 2 5 53 7" xfId="52381"/>
    <cellStyle name="Calculation 3 2 5 54" xfId="7291"/>
    <cellStyle name="Calculation 3 2 5 54 2" xfId="15008"/>
    <cellStyle name="Calculation 3 2 5 54 3" xfId="24001"/>
    <cellStyle name="Calculation 3 2 5 54 4" xfId="32188"/>
    <cellStyle name="Calculation 3 2 5 54 5" xfId="41444"/>
    <cellStyle name="Calculation 3 2 5 54 6" xfId="45853"/>
    <cellStyle name="Calculation 3 2 5 54 7" xfId="50214"/>
    <cellStyle name="Calculation 3 2 5 55" xfId="7524"/>
    <cellStyle name="Calculation 3 2 5 55 2" xfId="15241"/>
    <cellStyle name="Calculation 3 2 5 55 3" xfId="24234"/>
    <cellStyle name="Calculation 3 2 5 55 4" xfId="32421"/>
    <cellStyle name="Calculation 3 2 5 55 5" xfId="41667"/>
    <cellStyle name="Calculation 3 2 5 55 6" xfId="46086"/>
    <cellStyle name="Calculation 3 2 5 55 7" xfId="49183"/>
    <cellStyle name="Calculation 3 2 5 56" xfId="7645"/>
    <cellStyle name="Calculation 3 2 5 56 2" xfId="15362"/>
    <cellStyle name="Calculation 3 2 5 56 3" xfId="24355"/>
    <cellStyle name="Calculation 3 2 5 56 4" xfId="32542"/>
    <cellStyle name="Calculation 3 2 5 56 5" xfId="41784"/>
    <cellStyle name="Calculation 3 2 5 56 6" xfId="46207"/>
    <cellStyle name="Calculation 3 2 5 56 7" xfId="51305"/>
    <cellStyle name="Calculation 3 2 5 57" xfId="7923"/>
    <cellStyle name="Calculation 3 2 5 57 2" xfId="15640"/>
    <cellStyle name="Calculation 3 2 5 57 3" xfId="24627"/>
    <cellStyle name="Calculation 3 2 5 57 4" xfId="32820"/>
    <cellStyle name="Calculation 3 2 5 57 5" xfId="42051"/>
    <cellStyle name="Calculation 3 2 5 57 6" xfId="46485"/>
    <cellStyle name="Calculation 3 2 5 57 7" xfId="50704"/>
    <cellStyle name="Calculation 3 2 5 58" xfId="8052"/>
    <cellStyle name="Calculation 3 2 5 58 2" xfId="15769"/>
    <cellStyle name="Calculation 3 2 5 58 3" xfId="24754"/>
    <cellStyle name="Calculation 3 2 5 58 4" xfId="32949"/>
    <cellStyle name="Calculation 3 2 5 58 5" xfId="42174"/>
    <cellStyle name="Calculation 3 2 5 58 6" xfId="46614"/>
    <cellStyle name="Calculation 3 2 5 58 7" xfId="51937"/>
    <cellStyle name="Calculation 3 2 5 59" xfId="7673"/>
    <cellStyle name="Calculation 3 2 5 59 2" xfId="15390"/>
    <cellStyle name="Calculation 3 2 5 59 3" xfId="24382"/>
    <cellStyle name="Calculation 3 2 5 59 4" xfId="32570"/>
    <cellStyle name="Calculation 3 2 5 59 5" xfId="41809"/>
    <cellStyle name="Calculation 3 2 5 59 6" xfId="46235"/>
    <cellStyle name="Calculation 3 2 5 59 7" xfId="48567"/>
    <cellStyle name="Calculation 3 2 5 6" xfId="1546"/>
    <cellStyle name="Calculation 3 2 5 6 2" xfId="9369"/>
    <cellStyle name="Calculation 3 2 5 6 3" xfId="16797"/>
    <cellStyle name="Calculation 3 2 5 6 4" xfId="24924"/>
    <cellStyle name="Calculation 3 2 5 6 5" xfId="33254"/>
    <cellStyle name="Calculation 3 2 5 6 6" xfId="37230"/>
    <cellStyle name="Calculation 3 2 5 6 7" xfId="50623"/>
    <cellStyle name="Calculation 3 2 5 60" xfId="8197"/>
    <cellStyle name="Calculation 3 2 5 60 2" xfId="15914"/>
    <cellStyle name="Calculation 3 2 5 60 3" xfId="33094"/>
    <cellStyle name="Calculation 3 2 5 60 4" xfId="42313"/>
    <cellStyle name="Calculation 3 2 5 60 5" xfId="46759"/>
    <cellStyle name="Calculation 3 2 5 60 6" xfId="46859"/>
    <cellStyle name="Calculation 3 2 5 61" xfId="19545"/>
    <cellStyle name="Calculation 3 2 5 62" xfId="27862"/>
    <cellStyle name="Calculation 3 2 5 63" xfId="38138"/>
    <cellStyle name="Calculation 3 2 5 64" xfId="50016"/>
    <cellStyle name="Calculation 3 2 5 7" xfId="1293"/>
    <cellStyle name="Calculation 3 2 5 7 2" xfId="9116"/>
    <cellStyle name="Calculation 3 2 5 7 3" xfId="16544"/>
    <cellStyle name="Calculation 3 2 5 7 4" xfId="19262"/>
    <cellStyle name="Calculation 3 2 5 7 5" xfId="27096"/>
    <cellStyle name="Calculation 3 2 5 7 6" xfId="38705"/>
    <cellStyle name="Calculation 3 2 5 7 7" xfId="47361"/>
    <cellStyle name="Calculation 3 2 5 8" xfId="1785"/>
    <cellStyle name="Calculation 3 2 5 8 2" xfId="9608"/>
    <cellStyle name="Calculation 3 2 5 8 3" xfId="17036"/>
    <cellStyle name="Calculation 3 2 5 8 4" xfId="25939"/>
    <cellStyle name="Calculation 3 2 5 8 5" xfId="34544"/>
    <cellStyle name="Calculation 3 2 5 8 6" xfId="36984"/>
    <cellStyle name="Calculation 3 2 5 8 7" xfId="52869"/>
    <cellStyle name="Calculation 3 2 5 9" xfId="1917"/>
    <cellStyle name="Calculation 3 2 5 9 2" xfId="9740"/>
    <cellStyle name="Calculation 3 2 5 9 3" xfId="17168"/>
    <cellStyle name="Calculation 3 2 5 9 4" xfId="19588"/>
    <cellStyle name="Calculation 3 2 5 9 5" xfId="28013"/>
    <cellStyle name="Calculation 3 2 5 9 6" xfId="36392"/>
    <cellStyle name="Calculation 3 2 5 9 7" xfId="46909"/>
    <cellStyle name="Calculation 3 2 50" xfId="5361"/>
    <cellStyle name="Calculation 3 2 50 2" xfId="13078"/>
    <cellStyle name="Calculation 3 2 50 3" xfId="22071"/>
    <cellStyle name="Calculation 3 2 50 4" xfId="30258"/>
    <cellStyle name="Calculation 3 2 50 5" xfId="39590"/>
    <cellStyle name="Calculation 3 2 50 6" xfId="43923"/>
    <cellStyle name="Calculation 3 2 50 7" xfId="49814"/>
    <cellStyle name="Calculation 3 2 51" xfId="6190"/>
    <cellStyle name="Calculation 3 2 51 2" xfId="13907"/>
    <cellStyle name="Calculation 3 2 51 3" xfId="22900"/>
    <cellStyle name="Calculation 3 2 51 4" xfId="31087"/>
    <cellStyle name="Calculation 3 2 51 5" xfId="40388"/>
    <cellStyle name="Calculation 3 2 51 6" xfId="44752"/>
    <cellStyle name="Calculation 3 2 51 7" xfId="49096"/>
    <cellStyle name="Calculation 3 2 52" xfId="5214"/>
    <cellStyle name="Calculation 3 2 52 2" xfId="12931"/>
    <cellStyle name="Calculation 3 2 52 3" xfId="21924"/>
    <cellStyle name="Calculation 3 2 52 4" xfId="30111"/>
    <cellStyle name="Calculation 3 2 52 5" xfId="39446"/>
    <cellStyle name="Calculation 3 2 52 6" xfId="43776"/>
    <cellStyle name="Calculation 3 2 52 7" xfId="52525"/>
    <cellStyle name="Calculation 3 2 53" xfId="5083"/>
    <cellStyle name="Calculation 3 2 53 2" xfId="12800"/>
    <cellStyle name="Calculation 3 2 53 3" xfId="21793"/>
    <cellStyle name="Calculation 3 2 53 4" xfId="29980"/>
    <cellStyle name="Calculation 3 2 53 5" xfId="39323"/>
    <cellStyle name="Calculation 3 2 53 6" xfId="43645"/>
    <cellStyle name="Calculation 3 2 53 7" xfId="52780"/>
    <cellStyle name="Calculation 3 2 54" xfId="6568"/>
    <cellStyle name="Calculation 3 2 54 2" xfId="14285"/>
    <cellStyle name="Calculation 3 2 54 3" xfId="23278"/>
    <cellStyle name="Calculation 3 2 54 4" xfId="31465"/>
    <cellStyle name="Calculation 3 2 54 5" xfId="40753"/>
    <cellStyle name="Calculation 3 2 54 6" xfId="45130"/>
    <cellStyle name="Calculation 3 2 54 7" xfId="48195"/>
    <cellStyle name="Calculation 3 2 55" xfId="6551"/>
    <cellStyle name="Calculation 3 2 55 2" xfId="14268"/>
    <cellStyle name="Calculation 3 2 55 3" xfId="23261"/>
    <cellStyle name="Calculation 3 2 55 4" xfId="31448"/>
    <cellStyle name="Calculation 3 2 55 5" xfId="40737"/>
    <cellStyle name="Calculation 3 2 55 6" xfId="45113"/>
    <cellStyle name="Calculation 3 2 55 7" xfId="47823"/>
    <cellStyle name="Calculation 3 2 56" xfId="6098"/>
    <cellStyle name="Calculation 3 2 56 2" xfId="13815"/>
    <cellStyle name="Calculation 3 2 56 3" xfId="22808"/>
    <cellStyle name="Calculation 3 2 56 4" xfId="30995"/>
    <cellStyle name="Calculation 3 2 56 5" xfId="40298"/>
    <cellStyle name="Calculation 3 2 56 6" xfId="44660"/>
    <cellStyle name="Calculation 3 2 56 7" xfId="51423"/>
    <cellStyle name="Calculation 3 2 57" xfId="6054"/>
    <cellStyle name="Calculation 3 2 57 2" xfId="13771"/>
    <cellStyle name="Calculation 3 2 57 3" xfId="22764"/>
    <cellStyle name="Calculation 3 2 57 4" xfId="30951"/>
    <cellStyle name="Calculation 3 2 57 5" xfId="40258"/>
    <cellStyle name="Calculation 3 2 57 6" xfId="44616"/>
    <cellStyle name="Calculation 3 2 57 7" xfId="48801"/>
    <cellStyle name="Calculation 3 2 58" xfId="7278"/>
    <cellStyle name="Calculation 3 2 58 2" xfId="14995"/>
    <cellStyle name="Calculation 3 2 58 3" xfId="23988"/>
    <cellStyle name="Calculation 3 2 58 4" xfId="32175"/>
    <cellStyle name="Calculation 3 2 58 5" xfId="41431"/>
    <cellStyle name="Calculation 3 2 58 6" xfId="45840"/>
    <cellStyle name="Calculation 3 2 58 7" xfId="51467"/>
    <cellStyle name="Calculation 3 2 59" xfId="7416"/>
    <cellStyle name="Calculation 3 2 59 2" xfId="15133"/>
    <cellStyle name="Calculation 3 2 59 3" xfId="24126"/>
    <cellStyle name="Calculation 3 2 59 4" xfId="32313"/>
    <cellStyle name="Calculation 3 2 59 5" xfId="41565"/>
    <cellStyle name="Calculation 3 2 59 6" xfId="45978"/>
    <cellStyle name="Calculation 3 2 59 7" xfId="51881"/>
    <cellStyle name="Calculation 3 2 6" xfId="594"/>
    <cellStyle name="Calculation 3 2 6 10" xfId="2040"/>
    <cellStyle name="Calculation 3 2 6 10 2" xfId="9863"/>
    <cellStyle name="Calculation 3 2 6 10 3" xfId="17291"/>
    <cellStyle name="Calculation 3 2 6 10 4" xfId="19117"/>
    <cellStyle name="Calculation 3 2 6 10 5" xfId="26867"/>
    <cellStyle name="Calculation 3 2 6 10 6" xfId="38641"/>
    <cellStyle name="Calculation 3 2 6 10 7" xfId="47290"/>
    <cellStyle name="Calculation 3 2 6 11" xfId="2154"/>
    <cellStyle name="Calculation 3 2 6 11 2" xfId="9977"/>
    <cellStyle name="Calculation 3 2 6 11 3" xfId="17405"/>
    <cellStyle name="Calculation 3 2 6 11 4" xfId="20079"/>
    <cellStyle name="Calculation 3 2 6 11 5" xfId="28173"/>
    <cellStyle name="Calculation 3 2 6 11 6" xfId="41835"/>
    <cellStyle name="Calculation 3 2 6 11 7" xfId="49362"/>
    <cellStyle name="Calculation 3 2 6 12" xfId="2271"/>
    <cellStyle name="Calculation 3 2 6 12 2" xfId="10094"/>
    <cellStyle name="Calculation 3 2 6 12 3" xfId="17522"/>
    <cellStyle name="Calculation 3 2 6 12 4" xfId="25880"/>
    <cellStyle name="Calculation 3 2 6 12 5" xfId="34470"/>
    <cellStyle name="Calculation 3 2 6 12 6" xfId="37603"/>
    <cellStyle name="Calculation 3 2 6 12 7" xfId="52740"/>
    <cellStyle name="Calculation 3 2 6 13" xfId="1576"/>
    <cellStyle name="Calculation 3 2 6 13 2" xfId="9399"/>
    <cellStyle name="Calculation 3 2 6 13 3" xfId="16827"/>
    <cellStyle name="Calculation 3 2 6 13 4" xfId="25898"/>
    <cellStyle name="Calculation 3 2 6 13 5" xfId="34493"/>
    <cellStyle name="Calculation 3 2 6 13 6" xfId="40885"/>
    <cellStyle name="Calculation 3 2 6 13 7" xfId="52777"/>
    <cellStyle name="Calculation 3 2 6 14" xfId="1166"/>
    <cellStyle name="Calculation 3 2 6 14 2" xfId="8989"/>
    <cellStyle name="Calculation 3 2 6 14 3" xfId="16417"/>
    <cellStyle name="Calculation 3 2 6 14 4" xfId="20363"/>
    <cellStyle name="Calculation 3 2 6 14 5" xfId="27812"/>
    <cellStyle name="Calculation 3 2 6 14 6" xfId="37729"/>
    <cellStyle name="Calculation 3 2 6 14 7" xfId="47960"/>
    <cellStyle name="Calculation 3 2 6 15" xfId="2567"/>
    <cellStyle name="Calculation 3 2 6 15 2" xfId="10390"/>
    <cellStyle name="Calculation 3 2 6 15 3" xfId="17818"/>
    <cellStyle name="Calculation 3 2 6 15 4" xfId="20384"/>
    <cellStyle name="Calculation 3 2 6 15 5" xfId="27429"/>
    <cellStyle name="Calculation 3 2 6 15 6" xfId="38434"/>
    <cellStyle name="Calculation 3 2 6 15 7" xfId="48079"/>
    <cellStyle name="Calculation 3 2 6 16" xfId="2681"/>
    <cellStyle name="Calculation 3 2 6 16 2" xfId="10504"/>
    <cellStyle name="Calculation 3 2 6 16 3" xfId="17932"/>
    <cellStyle name="Calculation 3 2 6 16 4" xfId="20528"/>
    <cellStyle name="Calculation 3 2 6 16 5" xfId="27942"/>
    <cellStyle name="Calculation 3 2 6 16 6" xfId="41688"/>
    <cellStyle name="Calculation 3 2 6 16 7" xfId="48519"/>
    <cellStyle name="Calculation 3 2 6 17" xfId="2450"/>
    <cellStyle name="Calculation 3 2 6 17 2" xfId="10273"/>
    <cellStyle name="Calculation 3 2 6 17 3" xfId="17701"/>
    <cellStyle name="Calculation 3 2 6 17 4" xfId="19241"/>
    <cellStyle name="Calculation 3 2 6 17 5" xfId="27719"/>
    <cellStyle name="Calculation 3 2 6 17 6" xfId="41727"/>
    <cellStyle name="Calculation 3 2 6 17 7" xfId="48777"/>
    <cellStyle name="Calculation 3 2 6 18" xfId="1060"/>
    <cellStyle name="Calculation 3 2 6 18 2" xfId="8884"/>
    <cellStyle name="Calculation 3 2 6 18 3" xfId="16312"/>
    <cellStyle name="Calculation 3 2 6 18 4" xfId="25530"/>
    <cellStyle name="Calculation 3 2 6 18 5" xfId="34016"/>
    <cellStyle name="Calculation 3 2 6 18 6" xfId="36890"/>
    <cellStyle name="Calculation 3 2 6 18 7" xfId="51944"/>
    <cellStyle name="Calculation 3 2 6 19" xfId="2870"/>
    <cellStyle name="Calculation 3 2 6 19 2" xfId="10693"/>
    <cellStyle name="Calculation 3 2 6 19 3" xfId="18121"/>
    <cellStyle name="Calculation 3 2 6 19 4" xfId="25396"/>
    <cellStyle name="Calculation 3 2 6 19 5" xfId="33845"/>
    <cellStyle name="Calculation 3 2 6 19 6" xfId="37553"/>
    <cellStyle name="Calculation 3 2 6 19 7" xfId="51631"/>
    <cellStyle name="Calculation 3 2 6 2" xfId="737"/>
    <cellStyle name="Calculation 3 2 6 2 2" xfId="8561"/>
    <cellStyle name="Calculation 3 2 6 2 3" xfId="15989"/>
    <cellStyle name="Calculation 3 2 6 2 4" xfId="19762"/>
    <cellStyle name="Calculation 3 2 6 2 5" xfId="28571"/>
    <cellStyle name="Calculation 3 2 6 2 6" xfId="37150"/>
    <cellStyle name="Calculation 3 2 6 2 7" xfId="49490"/>
    <cellStyle name="Calculation 3 2 6 20" xfId="2976"/>
    <cellStyle name="Calculation 3 2 6 20 2" xfId="10799"/>
    <cellStyle name="Calculation 3 2 6 20 3" xfId="18227"/>
    <cellStyle name="Calculation 3 2 6 20 4" xfId="25101"/>
    <cellStyle name="Calculation 3 2 6 20 5" xfId="33465"/>
    <cellStyle name="Calculation 3 2 6 20 6" xfId="37225"/>
    <cellStyle name="Calculation 3 2 6 20 7" xfId="51011"/>
    <cellStyle name="Calculation 3 2 6 21" xfId="3357"/>
    <cellStyle name="Calculation 3 2 6 21 2" xfId="11150"/>
    <cellStyle name="Calculation 3 2 6 21 3" xfId="18476"/>
    <cellStyle name="Calculation 3 2 6 21 4" xfId="26667"/>
    <cellStyle name="Calculation 3 2 6 21 5" xfId="35514"/>
    <cellStyle name="Calculation 3 2 6 21 6" xfId="41259"/>
    <cellStyle name="Calculation 3 2 6 21 7" xfId="54428"/>
    <cellStyle name="Calculation 3 2 6 22" xfId="3476"/>
    <cellStyle name="Calculation 3 2 6 22 2" xfId="11267"/>
    <cellStyle name="Calculation 3 2 6 22 3" xfId="18586"/>
    <cellStyle name="Calculation 3 2 6 22 4" xfId="24852"/>
    <cellStyle name="Calculation 3 2 6 22 5" xfId="27353"/>
    <cellStyle name="Calculation 3 2 6 22 6" xfId="37219"/>
    <cellStyle name="Calculation 3 2 6 22 7" xfId="49939"/>
    <cellStyle name="Calculation 3 2 6 23" xfId="3634"/>
    <cellStyle name="Calculation 3 2 6 23 2" xfId="11419"/>
    <cellStyle name="Calculation 3 2 6 23 3" xfId="18692"/>
    <cellStyle name="Calculation 3 2 6 23 4" xfId="19615"/>
    <cellStyle name="Calculation 3 2 6 23 5" xfId="28708"/>
    <cellStyle name="Calculation 3 2 6 23 6" xfId="41558"/>
    <cellStyle name="Calculation 3 2 6 23 7" xfId="48617"/>
    <cellStyle name="Calculation 3 2 6 24" xfId="3749"/>
    <cellStyle name="Calculation 3 2 6 24 2" xfId="11534"/>
    <cellStyle name="Calculation 3 2 6 24 3" xfId="18804"/>
    <cellStyle name="Calculation 3 2 6 24 4" xfId="26097"/>
    <cellStyle name="Calculation 3 2 6 24 5" xfId="34750"/>
    <cellStyle name="Calculation 3 2 6 24 6" xfId="39930"/>
    <cellStyle name="Calculation 3 2 6 24 7" xfId="53204"/>
    <cellStyle name="Calculation 3 2 6 25" xfId="3878"/>
    <cellStyle name="Calculation 3 2 6 25 2" xfId="11659"/>
    <cellStyle name="Calculation 3 2 6 25 3" xfId="18913"/>
    <cellStyle name="Calculation 3 2 6 25 4" xfId="26343"/>
    <cellStyle name="Calculation 3 2 6 25 5" xfId="35069"/>
    <cellStyle name="Calculation 3 2 6 25 6" xfId="41580"/>
    <cellStyle name="Calculation 3 2 6 25 7" xfId="53723"/>
    <cellStyle name="Calculation 3 2 6 26" xfId="3997"/>
    <cellStyle name="Calculation 3 2 6 26 2" xfId="11776"/>
    <cellStyle name="Calculation 3 2 6 26 3" xfId="19021"/>
    <cellStyle name="Calculation 3 2 6 26 4" xfId="19464"/>
    <cellStyle name="Calculation 3 2 6 26 5" xfId="28683"/>
    <cellStyle name="Calculation 3 2 6 26 6" xfId="37370"/>
    <cellStyle name="Calculation 3 2 6 26 7" xfId="50188"/>
    <cellStyle name="Calculation 3 2 6 27" xfId="3762"/>
    <cellStyle name="Calculation 3 2 6 27 2" xfId="11546"/>
    <cellStyle name="Calculation 3 2 6 27 3" xfId="20612"/>
    <cellStyle name="Calculation 3 2 6 27 4" xfId="28762"/>
    <cellStyle name="Calculation 3 2 6 27 5" xfId="38150"/>
    <cellStyle name="Calculation 3 2 6 27 6" xfId="42538"/>
    <cellStyle name="Calculation 3 2 6 27 7" xfId="52058"/>
    <cellStyle name="Calculation 3 2 6 28" xfId="4191"/>
    <cellStyle name="Calculation 3 2 6 28 2" xfId="11950"/>
    <cellStyle name="Calculation 3 2 6 28 3" xfId="20901"/>
    <cellStyle name="Calculation 3 2 6 28 4" xfId="29088"/>
    <cellStyle name="Calculation 3 2 6 28 5" xfId="38464"/>
    <cellStyle name="Calculation 3 2 6 28 6" xfId="42753"/>
    <cellStyle name="Calculation 3 2 6 28 7" xfId="52814"/>
    <cellStyle name="Calculation 3 2 6 29" xfId="4269"/>
    <cellStyle name="Calculation 3 2 6 29 2" xfId="20979"/>
    <cellStyle name="Calculation 3 2 6 29 3" xfId="29166"/>
    <cellStyle name="Calculation 3 2 6 29 4" xfId="38539"/>
    <cellStyle name="Calculation 3 2 6 29 5" xfId="42831"/>
    <cellStyle name="Calculation 3 2 6 29 6" xfId="52330"/>
    <cellStyle name="Calculation 3 2 6 3" xfId="848"/>
    <cellStyle name="Calculation 3 2 6 3 2" xfId="8672"/>
    <cellStyle name="Calculation 3 2 6 3 3" xfId="16100"/>
    <cellStyle name="Calculation 3 2 6 3 4" xfId="25085"/>
    <cellStyle name="Calculation 3 2 6 3 5" xfId="33446"/>
    <cellStyle name="Calculation 3 2 6 3 6" xfId="36260"/>
    <cellStyle name="Calculation 3 2 6 3 7" xfId="50974"/>
    <cellStyle name="Calculation 3 2 6 30" xfId="4392"/>
    <cellStyle name="Calculation 3 2 6 30 2" xfId="12109"/>
    <cellStyle name="Calculation 3 2 6 30 3" xfId="21102"/>
    <cellStyle name="Calculation 3 2 6 30 4" xfId="29289"/>
    <cellStyle name="Calculation 3 2 6 30 5" xfId="38659"/>
    <cellStyle name="Calculation 3 2 6 30 6" xfId="42954"/>
    <cellStyle name="Calculation 3 2 6 30 7" xfId="49547"/>
    <cellStyle name="Calculation 3 2 6 31" xfId="4511"/>
    <cellStyle name="Calculation 3 2 6 31 2" xfId="12228"/>
    <cellStyle name="Calculation 3 2 6 31 3" xfId="21221"/>
    <cellStyle name="Calculation 3 2 6 31 4" xfId="29408"/>
    <cellStyle name="Calculation 3 2 6 31 5" xfId="38772"/>
    <cellStyle name="Calculation 3 2 6 31 6" xfId="43073"/>
    <cellStyle name="Calculation 3 2 6 31 7" xfId="50482"/>
    <cellStyle name="Calculation 3 2 6 32" xfId="4625"/>
    <cellStyle name="Calculation 3 2 6 32 2" xfId="12342"/>
    <cellStyle name="Calculation 3 2 6 32 3" xfId="21335"/>
    <cellStyle name="Calculation 3 2 6 32 4" xfId="29522"/>
    <cellStyle name="Calculation 3 2 6 32 5" xfId="38881"/>
    <cellStyle name="Calculation 3 2 6 32 6" xfId="43187"/>
    <cellStyle name="Calculation 3 2 6 32 7" xfId="47873"/>
    <cellStyle name="Calculation 3 2 6 33" xfId="4738"/>
    <cellStyle name="Calculation 3 2 6 33 2" xfId="12455"/>
    <cellStyle name="Calculation 3 2 6 33 3" xfId="21448"/>
    <cellStyle name="Calculation 3 2 6 33 4" xfId="29635"/>
    <cellStyle name="Calculation 3 2 6 33 5" xfId="38990"/>
    <cellStyle name="Calculation 3 2 6 33 6" xfId="43300"/>
    <cellStyle name="Calculation 3 2 6 33 7" xfId="49709"/>
    <cellStyle name="Calculation 3 2 6 34" xfId="4847"/>
    <cellStyle name="Calculation 3 2 6 34 2" xfId="12564"/>
    <cellStyle name="Calculation 3 2 6 34 3" xfId="21557"/>
    <cellStyle name="Calculation 3 2 6 34 4" xfId="29744"/>
    <cellStyle name="Calculation 3 2 6 34 5" xfId="39095"/>
    <cellStyle name="Calculation 3 2 6 34 6" xfId="43409"/>
    <cellStyle name="Calculation 3 2 6 34 7" xfId="54318"/>
    <cellStyle name="Calculation 3 2 6 35" xfId="4958"/>
    <cellStyle name="Calculation 3 2 6 35 2" xfId="12675"/>
    <cellStyle name="Calculation 3 2 6 35 3" xfId="21668"/>
    <cellStyle name="Calculation 3 2 6 35 4" xfId="29855"/>
    <cellStyle name="Calculation 3 2 6 35 5" xfId="39202"/>
    <cellStyle name="Calculation 3 2 6 35 6" xfId="43520"/>
    <cellStyle name="Calculation 3 2 6 35 7" xfId="52143"/>
    <cellStyle name="Calculation 3 2 6 36" xfId="5066"/>
    <cellStyle name="Calculation 3 2 6 36 2" xfId="12783"/>
    <cellStyle name="Calculation 3 2 6 36 3" xfId="21776"/>
    <cellStyle name="Calculation 3 2 6 36 4" xfId="29963"/>
    <cellStyle name="Calculation 3 2 6 36 5" xfId="39306"/>
    <cellStyle name="Calculation 3 2 6 36 6" xfId="43628"/>
    <cellStyle name="Calculation 3 2 6 36 7" xfId="54055"/>
    <cellStyle name="Calculation 3 2 6 37" xfId="5449"/>
    <cellStyle name="Calculation 3 2 6 37 2" xfId="13166"/>
    <cellStyle name="Calculation 3 2 6 37 3" xfId="22159"/>
    <cellStyle name="Calculation 3 2 6 37 4" xfId="30346"/>
    <cellStyle name="Calculation 3 2 6 37 5" xfId="39675"/>
    <cellStyle name="Calculation 3 2 6 37 6" xfId="44011"/>
    <cellStyle name="Calculation 3 2 6 37 7" xfId="53831"/>
    <cellStyle name="Calculation 3 2 6 38" xfId="5568"/>
    <cellStyle name="Calculation 3 2 6 38 2" xfId="13285"/>
    <cellStyle name="Calculation 3 2 6 38 3" xfId="22278"/>
    <cellStyle name="Calculation 3 2 6 38 4" xfId="30465"/>
    <cellStyle name="Calculation 3 2 6 38 5" xfId="39788"/>
    <cellStyle name="Calculation 3 2 6 38 6" xfId="44130"/>
    <cellStyle name="Calculation 3 2 6 38 7" xfId="47166"/>
    <cellStyle name="Calculation 3 2 6 39" xfId="5694"/>
    <cellStyle name="Calculation 3 2 6 39 2" xfId="13411"/>
    <cellStyle name="Calculation 3 2 6 39 3" xfId="22404"/>
    <cellStyle name="Calculation 3 2 6 39 4" xfId="30591"/>
    <cellStyle name="Calculation 3 2 6 39 5" xfId="39909"/>
    <cellStyle name="Calculation 3 2 6 39 6" xfId="44256"/>
    <cellStyle name="Calculation 3 2 6 39 7" xfId="47085"/>
    <cellStyle name="Calculation 3 2 6 4" xfId="956"/>
    <cellStyle name="Calculation 3 2 6 4 2" xfId="8780"/>
    <cellStyle name="Calculation 3 2 6 4 3" xfId="16208"/>
    <cellStyle name="Calculation 3 2 6 4 4" xfId="26045"/>
    <cellStyle name="Calculation 3 2 6 4 5" xfId="34682"/>
    <cellStyle name="Calculation 3 2 6 4 6" xfId="36501"/>
    <cellStyle name="Calculation 3 2 6 4 7" xfId="53090"/>
    <cellStyle name="Calculation 3 2 6 40" xfId="5808"/>
    <cellStyle name="Calculation 3 2 6 40 2" xfId="13525"/>
    <cellStyle name="Calculation 3 2 6 40 3" xfId="22518"/>
    <cellStyle name="Calculation 3 2 6 40 4" xfId="30705"/>
    <cellStyle name="Calculation 3 2 6 40 5" xfId="40020"/>
    <cellStyle name="Calculation 3 2 6 40 6" xfId="44370"/>
    <cellStyle name="Calculation 3 2 6 40 7" xfId="52596"/>
    <cellStyle name="Calculation 3 2 6 41" xfId="5927"/>
    <cellStyle name="Calculation 3 2 6 41 2" xfId="13644"/>
    <cellStyle name="Calculation 3 2 6 41 3" xfId="22637"/>
    <cellStyle name="Calculation 3 2 6 41 4" xfId="30824"/>
    <cellStyle name="Calculation 3 2 6 41 5" xfId="40136"/>
    <cellStyle name="Calculation 3 2 6 41 6" xfId="44489"/>
    <cellStyle name="Calculation 3 2 6 41 7" xfId="48574"/>
    <cellStyle name="Calculation 3 2 6 42" xfId="6053"/>
    <cellStyle name="Calculation 3 2 6 42 2" xfId="13770"/>
    <cellStyle name="Calculation 3 2 6 42 3" xfId="22763"/>
    <cellStyle name="Calculation 3 2 6 42 4" xfId="30950"/>
    <cellStyle name="Calculation 3 2 6 42 5" xfId="40257"/>
    <cellStyle name="Calculation 3 2 6 42 6" xfId="44615"/>
    <cellStyle name="Calculation 3 2 6 42 7" xfId="48909"/>
    <cellStyle name="Calculation 3 2 6 43" xfId="6180"/>
    <cellStyle name="Calculation 3 2 6 43 2" xfId="13897"/>
    <cellStyle name="Calculation 3 2 6 43 3" xfId="22890"/>
    <cellStyle name="Calculation 3 2 6 43 4" xfId="31077"/>
    <cellStyle name="Calculation 3 2 6 43 5" xfId="40378"/>
    <cellStyle name="Calculation 3 2 6 43 6" xfId="44742"/>
    <cellStyle name="Calculation 3 2 6 43 7" xfId="50216"/>
    <cellStyle name="Calculation 3 2 6 44" xfId="6309"/>
    <cellStyle name="Calculation 3 2 6 44 2" xfId="14026"/>
    <cellStyle name="Calculation 3 2 6 44 3" xfId="23019"/>
    <cellStyle name="Calculation 3 2 6 44 4" xfId="31206"/>
    <cellStyle name="Calculation 3 2 6 44 5" xfId="40506"/>
    <cellStyle name="Calculation 3 2 6 44 6" xfId="44871"/>
    <cellStyle name="Calculation 3 2 6 44 7" xfId="53187"/>
    <cellStyle name="Calculation 3 2 6 45" xfId="6423"/>
    <cellStyle name="Calculation 3 2 6 45 2" xfId="14140"/>
    <cellStyle name="Calculation 3 2 6 45 3" xfId="23133"/>
    <cellStyle name="Calculation 3 2 6 45 4" xfId="31320"/>
    <cellStyle name="Calculation 3 2 6 45 5" xfId="40615"/>
    <cellStyle name="Calculation 3 2 6 45 6" xfId="44985"/>
    <cellStyle name="Calculation 3 2 6 45 7" xfId="53918"/>
    <cellStyle name="Calculation 3 2 6 46" xfId="6537"/>
    <cellStyle name="Calculation 3 2 6 46 2" xfId="14254"/>
    <cellStyle name="Calculation 3 2 6 46 3" xfId="23247"/>
    <cellStyle name="Calculation 3 2 6 46 4" xfId="31434"/>
    <cellStyle name="Calculation 3 2 6 46 5" xfId="40725"/>
    <cellStyle name="Calculation 3 2 6 46 6" xfId="45099"/>
    <cellStyle name="Calculation 3 2 6 46 7" xfId="49786"/>
    <cellStyle name="Calculation 3 2 6 47" xfId="5155"/>
    <cellStyle name="Calculation 3 2 6 47 2" xfId="12872"/>
    <cellStyle name="Calculation 3 2 6 47 3" xfId="21865"/>
    <cellStyle name="Calculation 3 2 6 47 4" xfId="30052"/>
    <cellStyle name="Calculation 3 2 6 47 5" xfId="39391"/>
    <cellStyle name="Calculation 3 2 6 47 6" xfId="43717"/>
    <cellStyle name="Calculation 3 2 6 47 7" xfId="54170"/>
    <cellStyle name="Calculation 3 2 6 48" xfId="6682"/>
    <cellStyle name="Calculation 3 2 6 48 2" xfId="14399"/>
    <cellStyle name="Calculation 3 2 6 48 3" xfId="23392"/>
    <cellStyle name="Calculation 3 2 6 48 4" xfId="31579"/>
    <cellStyle name="Calculation 3 2 6 48 5" xfId="40863"/>
    <cellStyle name="Calculation 3 2 6 48 6" xfId="45244"/>
    <cellStyle name="Calculation 3 2 6 48 7" xfId="47461"/>
    <cellStyle name="Calculation 3 2 6 49" xfId="6795"/>
    <cellStyle name="Calculation 3 2 6 49 2" xfId="14512"/>
    <cellStyle name="Calculation 3 2 6 49 3" xfId="23505"/>
    <cellStyle name="Calculation 3 2 6 49 4" xfId="31692"/>
    <cellStyle name="Calculation 3 2 6 49 5" xfId="40971"/>
    <cellStyle name="Calculation 3 2 6 49 6" xfId="45357"/>
    <cellStyle name="Calculation 3 2 6 49 7" xfId="52683"/>
    <cellStyle name="Calculation 3 2 6 5" xfId="1428"/>
    <cellStyle name="Calculation 3 2 6 5 2" xfId="9251"/>
    <cellStyle name="Calculation 3 2 6 5 3" xfId="16679"/>
    <cellStyle name="Calculation 3 2 6 5 4" xfId="26134"/>
    <cellStyle name="Calculation 3 2 6 5 5" xfId="34796"/>
    <cellStyle name="Calculation 3 2 6 5 6" xfId="41100"/>
    <cellStyle name="Calculation 3 2 6 5 7" xfId="53277"/>
    <cellStyle name="Calculation 3 2 6 50" xfId="6909"/>
    <cellStyle name="Calculation 3 2 6 50 2" xfId="14626"/>
    <cellStyle name="Calculation 3 2 6 50 3" xfId="23619"/>
    <cellStyle name="Calculation 3 2 6 50 4" xfId="31806"/>
    <cellStyle name="Calculation 3 2 6 50 5" xfId="41078"/>
    <cellStyle name="Calculation 3 2 6 50 6" xfId="45471"/>
    <cellStyle name="Calculation 3 2 6 50 7" xfId="46815"/>
    <cellStyle name="Calculation 3 2 6 51" xfId="7022"/>
    <cellStyle name="Calculation 3 2 6 51 2" xfId="14739"/>
    <cellStyle name="Calculation 3 2 6 51 3" xfId="23732"/>
    <cellStyle name="Calculation 3 2 6 51 4" xfId="31919"/>
    <cellStyle name="Calculation 3 2 6 51 5" xfId="41186"/>
    <cellStyle name="Calculation 3 2 6 51 6" xfId="45584"/>
    <cellStyle name="Calculation 3 2 6 51 7" xfId="54548"/>
    <cellStyle name="Calculation 3 2 6 52" xfId="7130"/>
    <cellStyle name="Calculation 3 2 6 52 2" xfId="14847"/>
    <cellStyle name="Calculation 3 2 6 52 3" xfId="23840"/>
    <cellStyle name="Calculation 3 2 6 52 4" xfId="32027"/>
    <cellStyle name="Calculation 3 2 6 52 5" xfId="41289"/>
    <cellStyle name="Calculation 3 2 6 52 6" xfId="45692"/>
    <cellStyle name="Calculation 3 2 6 52 7" xfId="52357"/>
    <cellStyle name="Calculation 3 2 6 53" xfId="7380"/>
    <cellStyle name="Calculation 3 2 6 53 2" xfId="15097"/>
    <cellStyle name="Calculation 3 2 6 53 3" xfId="24090"/>
    <cellStyle name="Calculation 3 2 6 53 4" xfId="32277"/>
    <cellStyle name="Calculation 3 2 6 53 5" xfId="41533"/>
    <cellStyle name="Calculation 3 2 6 53 6" xfId="45942"/>
    <cellStyle name="Calculation 3 2 6 53 7" xfId="51780"/>
    <cellStyle name="Calculation 3 2 6 54" xfId="7143"/>
    <cellStyle name="Calculation 3 2 6 54 2" xfId="14860"/>
    <cellStyle name="Calculation 3 2 6 54 3" xfId="23853"/>
    <cellStyle name="Calculation 3 2 6 54 4" xfId="32040"/>
    <cellStyle name="Calculation 3 2 6 54 5" xfId="41302"/>
    <cellStyle name="Calculation 3 2 6 54 6" xfId="45705"/>
    <cellStyle name="Calculation 3 2 6 54 7" xfId="47557"/>
    <cellStyle name="Calculation 3 2 6 55" xfId="7527"/>
    <cellStyle name="Calculation 3 2 6 55 2" xfId="15244"/>
    <cellStyle name="Calculation 3 2 6 55 3" xfId="24237"/>
    <cellStyle name="Calculation 3 2 6 55 4" xfId="32424"/>
    <cellStyle name="Calculation 3 2 6 55 5" xfId="41670"/>
    <cellStyle name="Calculation 3 2 6 55 6" xfId="46089"/>
    <cellStyle name="Calculation 3 2 6 55 7" xfId="48527"/>
    <cellStyle name="Calculation 3 2 6 56" xfId="7648"/>
    <cellStyle name="Calculation 3 2 6 56 2" xfId="15365"/>
    <cellStyle name="Calculation 3 2 6 56 3" xfId="24358"/>
    <cellStyle name="Calculation 3 2 6 56 4" xfId="32545"/>
    <cellStyle name="Calculation 3 2 6 56 5" xfId="41787"/>
    <cellStyle name="Calculation 3 2 6 56 6" xfId="46210"/>
    <cellStyle name="Calculation 3 2 6 56 7" xfId="50984"/>
    <cellStyle name="Calculation 3 2 6 57" xfId="7927"/>
    <cellStyle name="Calculation 3 2 6 57 2" xfId="15644"/>
    <cellStyle name="Calculation 3 2 6 57 3" xfId="24631"/>
    <cellStyle name="Calculation 3 2 6 57 4" xfId="32824"/>
    <cellStyle name="Calculation 3 2 6 57 5" xfId="42055"/>
    <cellStyle name="Calculation 3 2 6 57 6" xfId="46489"/>
    <cellStyle name="Calculation 3 2 6 57 7" xfId="50284"/>
    <cellStyle name="Calculation 3 2 6 58" xfId="8055"/>
    <cellStyle name="Calculation 3 2 6 58 2" xfId="15772"/>
    <cellStyle name="Calculation 3 2 6 58 3" xfId="24757"/>
    <cellStyle name="Calculation 3 2 6 58 4" xfId="32952"/>
    <cellStyle name="Calculation 3 2 6 58 5" xfId="42177"/>
    <cellStyle name="Calculation 3 2 6 58 6" xfId="46617"/>
    <cellStyle name="Calculation 3 2 6 58 7" xfId="51365"/>
    <cellStyle name="Calculation 3 2 6 59" xfId="8092"/>
    <cellStyle name="Calculation 3 2 6 59 2" xfId="15809"/>
    <cellStyle name="Calculation 3 2 6 59 3" xfId="24793"/>
    <cellStyle name="Calculation 3 2 6 59 4" xfId="32989"/>
    <cellStyle name="Calculation 3 2 6 59 5" xfId="42211"/>
    <cellStyle name="Calculation 3 2 6 59 6" xfId="46654"/>
    <cellStyle name="Calculation 3 2 6 59 7" xfId="48480"/>
    <cellStyle name="Calculation 3 2 6 6" xfId="1550"/>
    <cellStyle name="Calculation 3 2 6 6 2" xfId="9373"/>
    <cellStyle name="Calculation 3 2 6 6 3" xfId="16801"/>
    <cellStyle name="Calculation 3 2 6 6 4" xfId="26608"/>
    <cellStyle name="Calculation 3 2 6 6 5" xfId="35435"/>
    <cellStyle name="Calculation 3 2 6 6 6" xfId="38662"/>
    <cellStyle name="Calculation 3 2 6 6 7" xfId="54300"/>
    <cellStyle name="Calculation 3 2 6 60" xfId="8200"/>
    <cellStyle name="Calculation 3 2 6 60 2" xfId="15917"/>
    <cellStyle name="Calculation 3 2 6 60 3" xfId="33097"/>
    <cellStyle name="Calculation 3 2 6 60 4" xfId="42316"/>
    <cellStyle name="Calculation 3 2 6 60 5" xfId="46762"/>
    <cellStyle name="Calculation 3 2 6 60 6" xfId="46855"/>
    <cellStyle name="Calculation 3 2 6 61" xfId="20236"/>
    <cellStyle name="Calculation 3 2 6 62" xfId="27297"/>
    <cellStyle name="Calculation 3 2 6 63" xfId="37633"/>
    <cellStyle name="Calculation 3 2 6 64" xfId="49438"/>
    <cellStyle name="Calculation 3 2 6 7" xfId="1309"/>
    <cellStyle name="Calculation 3 2 6 7 2" xfId="9132"/>
    <cellStyle name="Calculation 3 2 6 7 3" xfId="16560"/>
    <cellStyle name="Calculation 3 2 6 7 4" xfId="19380"/>
    <cellStyle name="Calculation 3 2 6 7 5" xfId="28009"/>
    <cellStyle name="Calculation 3 2 6 7 6" xfId="37510"/>
    <cellStyle name="Calculation 3 2 6 7 7" xfId="48119"/>
    <cellStyle name="Calculation 3 2 6 8" xfId="1789"/>
    <cellStyle name="Calculation 3 2 6 8 2" xfId="9612"/>
    <cellStyle name="Calculation 3 2 6 8 3" xfId="17040"/>
    <cellStyle name="Calculation 3 2 6 8 4" xfId="25740"/>
    <cellStyle name="Calculation 3 2 6 8 5" xfId="34290"/>
    <cellStyle name="Calculation 3 2 6 8 6" xfId="42153"/>
    <cellStyle name="Calculation 3 2 6 8 7" xfId="52414"/>
    <cellStyle name="Calculation 3 2 6 9" xfId="1921"/>
    <cellStyle name="Calculation 3 2 6 9 2" xfId="9744"/>
    <cellStyle name="Calculation 3 2 6 9 3" xfId="17172"/>
    <cellStyle name="Calculation 3 2 6 9 4" xfId="19519"/>
    <cellStyle name="Calculation 3 2 6 9 5" xfId="27244"/>
    <cellStyle name="Calculation 3 2 6 9 6" xfId="41788"/>
    <cellStyle name="Calculation 3 2 6 9 7" xfId="48523"/>
    <cellStyle name="Calculation 3 2 60" xfId="7150"/>
    <cellStyle name="Calculation 3 2 60 2" xfId="14867"/>
    <cellStyle name="Calculation 3 2 60 3" xfId="23860"/>
    <cellStyle name="Calculation 3 2 60 4" xfId="32047"/>
    <cellStyle name="Calculation 3 2 60 5" xfId="41309"/>
    <cellStyle name="Calculation 3 2 60 6" xfId="45712"/>
    <cellStyle name="Calculation 3 2 60 7" xfId="50198"/>
    <cellStyle name="Calculation 3 2 61" xfId="7528"/>
    <cellStyle name="Calculation 3 2 61 2" xfId="15245"/>
    <cellStyle name="Calculation 3 2 61 3" xfId="24238"/>
    <cellStyle name="Calculation 3 2 61 4" xfId="32425"/>
    <cellStyle name="Calculation 3 2 61 5" xfId="41671"/>
    <cellStyle name="Calculation 3 2 61 6" xfId="46090"/>
    <cellStyle name="Calculation 3 2 61 7" xfId="48401"/>
    <cellStyle name="Calculation 3 2 62" xfId="7729"/>
    <cellStyle name="Calculation 3 2 62 2" xfId="15446"/>
    <cellStyle name="Calculation 3 2 62 3" xfId="24437"/>
    <cellStyle name="Calculation 3 2 62 4" xfId="32626"/>
    <cellStyle name="Calculation 3 2 62 5" xfId="41863"/>
    <cellStyle name="Calculation 3 2 62 6" xfId="46291"/>
    <cellStyle name="Calculation 3 2 62 7" xfId="48896"/>
    <cellStyle name="Calculation 3 2 63" xfId="7941"/>
    <cellStyle name="Calculation 3 2 63 2" xfId="15658"/>
    <cellStyle name="Calculation 3 2 63 3" xfId="24644"/>
    <cellStyle name="Calculation 3 2 63 4" xfId="32838"/>
    <cellStyle name="Calculation 3 2 63 5" xfId="42067"/>
    <cellStyle name="Calculation 3 2 63 6" xfId="46503"/>
    <cellStyle name="Calculation 3 2 63 7" xfId="48771"/>
    <cellStyle name="Calculation 3 2 64" xfId="7714"/>
    <cellStyle name="Calculation 3 2 64 2" xfId="15431"/>
    <cellStyle name="Calculation 3 2 64 3" xfId="24422"/>
    <cellStyle name="Calculation 3 2 64 4" xfId="32611"/>
    <cellStyle name="Calculation 3 2 64 5" xfId="41848"/>
    <cellStyle name="Calculation 3 2 64 6" xfId="46276"/>
    <cellStyle name="Calculation 3 2 64 7" xfId="50539"/>
    <cellStyle name="Calculation 3 2 65" xfId="7812"/>
    <cellStyle name="Calculation 3 2 65 2" xfId="15529"/>
    <cellStyle name="Calculation 3 2 65 3" xfId="32709"/>
    <cellStyle name="Calculation 3 2 65 4" xfId="41944"/>
    <cellStyle name="Calculation 3 2 65 5" xfId="46374"/>
    <cellStyle name="Calculation 3 2 65 6" xfId="53878"/>
    <cellStyle name="Calculation 3 2 66" xfId="20071"/>
    <cellStyle name="Calculation 3 2 67" xfId="33098"/>
    <cellStyle name="Calculation 3 2 68" xfId="36589"/>
    <cellStyle name="Calculation 3 2 69" xfId="49753"/>
    <cellStyle name="Calculation 3 2 7" xfId="596"/>
    <cellStyle name="Calculation 3 2 7 2" xfId="8420"/>
    <cellStyle name="Calculation 3 2 7 3" xfId="8395"/>
    <cellStyle name="Calculation 3 2 7 4" xfId="19463"/>
    <cellStyle name="Calculation 3 2 7 5" xfId="27039"/>
    <cellStyle name="Calculation 3 2 7 6" xfId="37578"/>
    <cellStyle name="Calculation 3 2 7 7" xfId="49320"/>
    <cellStyle name="Calculation 3 2 8" xfId="235"/>
    <cellStyle name="Calculation 3 2 8 2" xfId="8339"/>
    <cellStyle name="Calculation 3 2 8 3" xfId="8251"/>
    <cellStyle name="Calculation 3 2 8 4" xfId="20053"/>
    <cellStyle name="Calculation 3 2 8 5" xfId="28548"/>
    <cellStyle name="Calculation 3 2 8 6" xfId="37749"/>
    <cellStyle name="Calculation 3 2 8 7" xfId="49419"/>
    <cellStyle name="Calculation 3 2 9" xfId="215"/>
    <cellStyle name="Calculation 3 2 9 2" xfId="8320"/>
    <cellStyle name="Calculation 3 2 9 3" xfId="11796"/>
    <cellStyle name="Calculation 3 2 9 4" xfId="25385"/>
    <cellStyle name="Calculation 3 2 9 5" xfId="33833"/>
    <cellStyle name="Calculation 3 2 9 6" xfId="37708"/>
    <cellStyle name="Calculation 3 2 9 7" xfId="51615"/>
    <cellStyle name="Calculation 3 20" xfId="4198"/>
    <cellStyle name="Calculation 3 20 2" xfId="11954"/>
    <cellStyle name="Calculation 3 20 3" xfId="20908"/>
    <cellStyle name="Calculation 3 20 4" xfId="29095"/>
    <cellStyle name="Calculation 3 20 5" xfId="38471"/>
    <cellStyle name="Calculation 3 20 6" xfId="42760"/>
    <cellStyle name="Calculation 3 20 7" xfId="52124"/>
    <cellStyle name="Calculation 3 21" xfId="3490"/>
    <cellStyle name="Calculation 3 21 2" xfId="11281"/>
    <cellStyle name="Calculation 3 21 3" xfId="20476"/>
    <cellStyle name="Calculation 3 21 4" xfId="28598"/>
    <cellStyle name="Calculation 3 21 5" xfId="37974"/>
    <cellStyle name="Calculation 3 21 6" xfId="42485"/>
    <cellStyle name="Calculation 3 21 7" xfId="51608"/>
    <cellStyle name="Calculation 3 22" xfId="5281"/>
    <cellStyle name="Calculation 3 22 2" xfId="12998"/>
    <cellStyle name="Calculation 3 22 3" xfId="21991"/>
    <cellStyle name="Calculation 3 22 4" xfId="30178"/>
    <cellStyle name="Calculation 3 22 5" xfId="39512"/>
    <cellStyle name="Calculation 3 22 6" xfId="43843"/>
    <cellStyle name="Calculation 3 22 7" xfId="48597"/>
    <cellStyle name="Calculation 3 23" xfId="5219"/>
    <cellStyle name="Calculation 3 23 2" xfId="12936"/>
    <cellStyle name="Calculation 3 23 3" xfId="21929"/>
    <cellStyle name="Calculation 3 23 4" xfId="30116"/>
    <cellStyle name="Calculation 3 23 5" xfId="39451"/>
    <cellStyle name="Calculation 3 23 6" xfId="43781"/>
    <cellStyle name="Calculation 3 23 7" xfId="51669"/>
    <cellStyle name="Calculation 3 24" xfId="5580"/>
    <cellStyle name="Calculation 3 24 2" xfId="13297"/>
    <cellStyle name="Calculation 3 24 3" xfId="22290"/>
    <cellStyle name="Calculation 3 24 4" xfId="30477"/>
    <cellStyle name="Calculation 3 24 5" xfId="39799"/>
    <cellStyle name="Calculation 3 24 6" xfId="44142"/>
    <cellStyle name="Calculation 3 24 7" xfId="47157"/>
    <cellStyle name="Calculation 3 25" xfId="5261"/>
    <cellStyle name="Calculation 3 25 2" xfId="12978"/>
    <cellStyle name="Calculation 3 25 3" xfId="21971"/>
    <cellStyle name="Calculation 3 25 4" xfId="30158"/>
    <cellStyle name="Calculation 3 25 5" xfId="39493"/>
    <cellStyle name="Calculation 3 25 6" xfId="43823"/>
    <cellStyle name="Calculation 3 25 7" xfId="50641"/>
    <cellStyle name="Calculation 3 26" xfId="5234"/>
    <cellStyle name="Calculation 3 26 2" xfId="12951"/>
    <cellStyle name="Calculation 3 26 3" xfId="21944"/>
    <cellStyle name="Calculation 3 26 4" xfId="30131"/>
    <cellStyle name="Calculation 3 26 5" xfId="39466"/>
    <cellStyle name="Calculation 3 26 6" xfId="43796"/>
    <cellStyle name="Calculation 3 26 7" xfId="53307"/>
    <cellStyle name="Calculation 3 27" xfId="5313"/>
    <cellStyle name="Calculation 3 27 2" xfId="13030"/>
    <cellStyle name="Calculation 3 27 3" xfId="22023"/>
    <cellStyle name="Calculation 3 27 4" xfId="30210"/>
    <cellStyle name="Calculation 3 27 5" xfId="39544"/>
    <cellStyle name="Calculation 3 27 6" xfId="43875"/>
    <cellStyle name="Calculation 3 27 7" xfId="52855"/>
    <cellStyle name="Calculation 3 28" xfId="7134"/>
    <cellStyle name="Calculation 3 28 2" xfId="14851"/>
    <cellStyle name="Calculation 3 28 3" xfId="23844"/>
    <cellStyle name="Calculation 3 28 4" xfId="32031"/>
    <cellStyle name="Calculation 3 28 5" xfId="41293"/>
    <cellStyle name="Calculation 3 28 6" xfId="45696"/>
    <cellStyle name="Calculation 3 28 7" xfId="52021"/>
    <cellStyle name="Calculation 3 29" xfId="7153"/>
    <cellStyle name="Calculation 3 29 2" xfId="14870"/>
    <cellStyle name="Calculation 3 29 3" xfId="23863"/>
    <cellStyle name="Calculation 3 29 4" xfId="32050"/>
    <cellStyle name="Calculation 3 29 5" xfId="41312"/>
    <cellStyle name="Calculation 3 29 6" xfId="45715"/>
    <cellStyle name="Calculation 3 29 7" xfId="49571"/>
    <cellStyle name="Calculation 3 3" xfId="499"/>
    <cellStyle name="Calculation 3 3 10" xfId="1946"/>
    <cellStyle name="Calculation 3 3 10 2" xfId="9769"/>
    <cellStyle name="Calculation 3 3 10 3" xfId="17197"/>
    <cellStyle name="Calculation 3 3 10 4" xfId="25652"/>
    <cellStyle name="Calculation 3 3 10 5" xfId="34174"/>
    <cellStyle name="Calculation 3 3 10 6" xfId="40775"/>
    <cellStyle name="Calculation 3 3 10 7" xfId="52202"/>
    <cellStyle name="Calculation 3 3 11" xfId="2064"/>
    <cellStyle name="Calculation 3 3 11 2" xfId="9887"/>
    <cellStyle name="Calculation 3 3 11 3" xfId="17315"/>
    <cellStyle name="Calculation 3 3 11 4" xfId="25769"/>
    <cellStyle name="Calculation 3 3 11 5" xfId="34326"/>
    <cellStyle name="Calculation 3 3 11 6" xfId="36364"/>
    <cellStyle name="Calculation 3 3 11 7" xfId="52471"/>
    <cellStyle name="Calculation 3 3 12" xfId="2177"/>
    <cellStyle name="Calculation 3 3 12 2" xfId="10000"/>
    <cellStyle name="Calculation 3 3 12 3" xfId="17428"/>
    <cellStyle name="Calculation 3 3 12 4" xfId="26529"/>
    <cellStyle name="Calculation 3 3 12 5" xfId="35329"/>
    <cellStyle name="Calculation 3 3 12 6" xfId="36521"/>
    <cellStyle name="Calculation 3 3 12 7" xfId="54134"/>
    <cellStyle name="Calculation 3 3 13" xfId="2158"/>
    <cellStyle name="Calculation 3 3 13 2" xfId="9981"/>
    <cellStyle name="Calculation 3 3 13 3" xfId="17409"/>
    <cellStyle name="Calculation 3 3 13 4" xfId="20096"/>
    <cellStyle name="Calculation 3 3 13 5" xfId="27774"/>
    <cellStyle name="Calculation 3 3 13 6" xfId="41596"/>
    <cellStyle name="Calculation 3 3 13 7" xfId="49011"/>
    <cellStyle name="Calculation 3 3 14" xfId="1233"/>
    <cellStyle name="Calculation 3 3 14 2" xfId="9056"/>
    <cellStyle name="Calculation 3 3 14 3" xfId="16484"/>
    <cellStyle name="Calculation 3 3 14 4" xfId="19547"/>
    <cellStyle name="Calculation 3 3 14 5" xfId="27097"/>
    <cellStyle name="Calculation 3 3 14 6" xfId="38063"/>
    <cellStyle name="Calculation 3 3 14 7" xfId="47977"/>
    <cellStyle name="Calculation 3 3 15" xfId="2475"/>
    <cellStyle name="Calculation 3 3 15 2" xfId="10298"/>
    <cellStyle name="Calculation 3 3 15 3" xfId="17726"/>
    <cellStyle name="Calculation 3 3 15 4" xfId="26216"/>
    <cellStyle name="Calculation 3 3 15 5" xfId="34901"/>
    <cellStyle name="Calculation 3 3 15 6" xfId="39036"/>
    <cellStyle name="Calculation 3 3 15 7" xfId="53457"/>
    <cellStyle name="Calculation 3 3 16" xfId="2588"/>
    <cellStyle name="Calculation 3 3 16 2" xfId="10411"/>
    <cellStyle name="Calculation 3 3 16 3" xfId="17839"/>
    <cellStyle name="Calculation 3 3 16 4" xfId="24982"/>
    <cellStyle name="Calculation 3 3 16 5" xfId="33325"/>
    <cellStyle name="Calculation 3 3 16 6" xfId="36356"/>
    <cellStyle name="Calculation 3 3 16 7" xfId="50752"/>
    <cellStyle name="Calculation 3 3 17" xfId="2677"/>
    <cellStyle name="Calculation 3 3 17 2" xfId="10500"/>
    <cellStyle name="Calculation 3 3 17 3" xfId="17928"/>
    <cellStyle name="Calculation 3 3 17 4" xfId="26481"/>
    <cellStyle name="Calculation 3 3 17 5" xfId="35265"/>
    <cellStyle name="Calculation 3 3 17 6" xfId="41790"/>
    <cellStyle name="Calculation 3 3 17 7" xfId="54034"/>
    <cellStyle name="Calculation 3 3 18" xfId="1616"/>
    <cellStyle name="Calculation 3 3 18 2" xfId="9439"/>
    <cellStyle name="Calculation 3 3 18 3" xfId="16867"/>
    <cellStyle name="Calculation 3 3 18 4" xfId="26300"/>
    <cellStyle name="Calculation 3 3 18 5" xfId="35016"/>
    <cellStyle name="Calculation 3 3 18 6" xfId="37369"/>
    <cellStyle name="Calculation 3 3 18 7" xfId="53645"/>
    <cellStyle name="Calculation 3 3 19" xfId="2782"/>
    <cellStyle name="Calculation 3 3 19 2" xfId="10605"/>
    <cellStyle name="Calculation 3 3 19 3" xfId="18033"/>
    <cellStyle name="Calculation 3 3 19 4" xfId="26048"/>
    <cellStyle name="Calculation 3 3 19 5" xfId="34688"/>
    <cellStyle name="Calculation 3 3 19 6" xfId="38739"/>
    <cellStyle name="Calculation 3 3 19 7" xfId="53102"/>
    <cellStyle name="Calculation 3 3 2" xfId="650"/>
    <cellStyle name="Calculation 3 3 2 2" xfId="8474"/>
    <cellStyle name="Calculation 3 3 2 3" xfId="8286"/>
    <cellStyle name="Calculation 3 3 2 4" xfId="25894"/>
    <cellStyle name="Calculation 3 3 2 5" xfId="34489"/>
    <cellStyle name="Calculation 3 3 2 6" xfId="37352"/>
    <cellStyle name="Calculation 3 3 2 7" xfId="52772"/>
    <cellStyle name="Calculation 3 3 20" xfId="2889"/>
    <cellStyle name="Calculation 3 3 20 2" xfId="10712"/>
    <cellStyle name="Calculation 3 3 20 3" xfId="18140"/>
    <cellStyle name="Calculation 3 3 20 4" xfId="20090"/>
    <cellStyle name="Calculation 3 3 20 5" xfId="27323"/>
    <cellStyle name="Calculation 3 3 20 6" xfId="36747"/>
    <cellStyle name="Calculation 3 3 20 7" xfId="49504"/>
    <cellStyle name="Calculation 3 3 21" xfId="3265"/>
    <cellStyle name="Calculation 3 3 21 2" xfId="11058"/>
    <cellStyle name="Calculation 3 3 21 3" xfId="18387"/>
    <cellStyle name="Calculation 3 3 21 4" xfId="19178"/>
    <cellStyle name="Calculation 3 3 21 5" xfId="26911"/>
    <cellStyle name="Calculation 3 3 21 6" xfId="39785"/>
    <cellStyle name="Calculation 3 3 21 7" xfId="49177"/>
    <cellStyle name="Calculation 3 3 22" xfId="3385"/>
    <cellStyle name="Calculation 3 3 22 2" xfId="11176"/>
    <cellStyle name="Calculation 3 3 22 3" xfId="18498"/>
    <cellStyle name="Calculation 3 3 22 4" xfId="25397"/>
    <cellStyle name="Calculation 3 3 22 5" xfId="33847"/>
    <cellStyle name="Calculation 3 3 22 6" xfId="38432"/>
    <cellStyle name="Calculation 3 3 22 7" xfId="51635"/>
    <cellStyle name="Calculation 3 3 23" xfId="3008"/>
    <cellStyle name="Calculation 3 3 23 2" xfId="10827"/>
    <cellStyle name="Calculation 3 3 23 3" xfId="18250"/>
    <cellStyle name="Calculation 3 3 23 4" xfId="25680"/>
    <cellStyle name="Calculation 3 3 23 5" xfId="34213"/>
    <cellStyle name="Calculation 3 3 23 6" xfId="39884"/>
    <cellStyle name="Calculation 3 3 23 7" xfId="52265"/>
    <cellStyle name="Calculation 3 3 24" xfId="3655"/>
    <cellStyle name="Calculation 3 3 24 2" xfId="11440"/>
    <cellStyle name="Calculation 3 3 24 3" xfId="18713"/>
    <cellStyle name="Calculation 3 3 24 4" xfId="26439"/>
    <cellStyle name="Calculation 3 3 24 5" xfId="35211"/>
    <cellStyle name="Calculation 3 3 24 6" xfId="36767"/>
    <cellStyle name="Calculation 3 3 24 7" xfId="53939"/>
    <cellStyle name="Calculation 3 3 25" xfId="3786"/>
    <cellStyle name="Calculation 3 3 25 2" xfId="11568"/>
    <cellStyle name="Calculation 3 3 25 3" xfId="18825"/>
    <cellStyle name="Calculation 3 3 25 4" xfId="19942"/>
    <cellStyle name="Calculation 3 3 25 5" xfId="28026"/>
    <cellStyle name="Calculation 3 3 25 6" xfId="41013"/>
    <cellStyle name="Calculation 3 3 25 7" xfId="49391"/>
    <cellStyle name="Calculation 3 3 26" xfId="3903"/>
    <cellStyle name="Calculation 3 3 26 2" xfId="11683"/>
    <cellStyle name="Calculation 3 3 26 3" xfId="18934"/>
    <cellStyle name="Calculation 3 3 26 4" xfId="25090"/>
    <cellStyle name="Calculation 3 3 26 5" xfId="33452"/>
    <cellStyle name="Calculation 3 3 26 6" xfId="38895"/>
    <cellStyle name="Calculation 3 3 26 7" xfId="50982"/>
    <cellStyle name="Calculation 3 3 27" xfId="3927"/>
    <cellStyle name="Calculation 3 3 27 2" xfId="11707"/>
    <cellStyle name="Calculation 3 3 27 3" xfId="20674"/>
    <cellStyle name="Calculation 3 3 27 4" xfId="28852"/>
    <cellStyle name="Calculation 3 3 27 5" xfId="38240"/>
    <cellStyle name="Calculation 3 3 27 6" xfId="42553"/>
    <cellStyle name="Calculation 3 3 27 7" xfId="48635"/>
    <cellStyle name="Calculation 3 3 28" xfId="4100"/>
    <cellStyle name="Calculation 3 3 28 2" xfId="11860"/>
    <cellStyle name="Calculation 3 3 28 3" xfId="20810"/>
    <cellStyle name="Calculation 3 3 28 4" xfId="28997"/>
    <cellStyle name="Calculation 3 3 28 5" xfId="38375"/>
    <cellStyle name="Calculation 3 3 28 6" xfId="42662"/>
    <cellStyle name="Calculation 3 3 28 7" xfId="54416"/>
    <cellStyle name="Calculation 3 3 29" xfId="4058"/>
    <cellStyle name="Calculation 3 3 29 2" xfId="20768"/>
    <cellStyle name="Calculation 3 3 29 3" xfId="28955"/>
    <cellStyle name="Calculation 3 3 29 4" xfId="38334"/>
    <cellStyle name="Calculation 3 3 29 5" xfId="42620"/>
    <cellStyle name="Calculation 3 3 29 6" xfId="51360"/>
    <cellStyle name="Calculation 3 3 3" xfId="757"/>
    <cellStyle name="Calculation 3 3 3 2" xfId="8581"/>
    <cellStyle name="Calculation 3 3 3 3" xfId="16009"/>
    <cellStyle name="Calculation 3 3 3 4" xfId="26578"/>
    <cellStyle name="Calculation 3 3 3 5" xfId="35397"/>
    <cellStyle name="Calculation 3 3 3 6" xfId="36892"/>
    <cellStyle name="Calculation 3 3 3 7" xfId="54232"/>
    <cellStyle name="Calculation 3 3 30" xfId="4297"/>
    <cellStyle name="Calculation 3 3 30 2" xfId="12014"/>
    <cellStyle name="Calculation 3 3 30 3" xfId="21007"/>
    <cellStyle name="Calculation 3 3 30 4" xfId="29194"/>
    <cellStyle name="Calculation 3 3 30 5" xfId="38566"/>
    <cellStyle name="Calculation 3 3 30 6" xfId="42859"/>
    <cellStyle name="Calculation 3 3 30 7" xfId="49068"/>
    <cellStyle name="Calculation 3 3 31" xfId="4420"/>
    <cellStyle name="Calculation 3 3 31 2" xfId="12137"/>
    <cellStyle name="Calculation 3 3 31 3" xfId="21130"/>
    <cellStyle name="Calculation 3 3 31 4" xfId="29317"/>
    <cellStyle name="Calculation 3 3 31 5" xfId="38684"/>
    <cellStyle name="Calculation 3 3 31 6" xfId="42982"/>
    <cellStyle name="Calculation 3 3 31 7" xfId="53278"/>
    <cellStyle name="Calculation 3 3 32" xfId="4534"/>
    <cellStyle name="Calculation 3 3 32 2" xfId="12251"/>
    <cellStyle name="Calculation 3 3 32 3" xfId="21244"/>
    <cellStyle name="Calculation 3 3 32 4" xfId="29431"/>
    <cellStyle name="Calculation 3 3 32 5" xfId="38793"/>
    <cellStyle name="Calculation 3 3 32 6" xfId="43096"/>
    <cellStyle name="Calculation 3 3 32 7" xfId="53583"/>
    <cellStyle name="Calculation 3 3 33" xfId="4647"/>
    <cellStyle name="Calculation 3 3 33 2" xfId="12364"/>
    <cellStyle name="Calculation 3 3 33 3" xfId="21357"/>
    <cellStyle name="Calculation 3 3 33 4" xfId="29544"/>
    <cellStyle name="Calculation 3 3 33 5" xfId="38901"/>
    <cellStyle name="Calculation 3 3 33 6" xfId="43209"/>
    <cellStyle name="Calculation 3 3 33 7" xfId="52510"/>
    <cellStyle name="Calculation 3 3 34" xfId="4759"/>
    <cellStyle name="Calculation 3 3 34 2" xfId="12476"/>
    <cellStyle name="Calculation 3 3 34 3" xfId="21469"/>
    <cellStyle name="Calculation 3 3 34 4" xfId="29656"/>
    <cellStyle name="Calculation 3 3 34 5" xfId="39010"/>
    <cellStyle name="Calculation 3 3 34 6" xfId="43321"/>
    <cellStyle name="Calculation 3 3 34 7" xfId="51147"/>
    <cellStyle name="Calculation 3 3 35" xfId="4867"/>
    <cellStyle name="Calculation 3 3 35 2" xfId="12584"/>
    <cellStyle name="Calculation 3 3 35 3" xfId="21577"/>
    <cellStyle name="Calculation 3 3 35 4" xfId="29764"/>
    <cellStyle name="Calculation 3 3 35 5" xfId="39113"/>
    <cellStyle name="Calculation 3 3 35 6" xfId="43429"/>
    <cellStyle name="Calculation 3 3 35 7" xfId="52442"/>
    <cellStyle name="Calculation 3 3 36" xfId="4979"/>
    <cellStyle name="Calculation 3 3 36 2" xfId="12696"/>
    <cellStyle name="Calculation 3 3 36 3" xfId="21689"/>
    <cellStyle name="Calculation 3 3 36 4" xfId="29876"/>
    <cellStyle name="Calculation 3 3 36 5" xfId="39222"/>
    <cellStyle name="Calculation 3 3 36 6" xfId="43541"/>
    <cellStyle name="Calculation 3 3 36 7" xfId="49940"/>
    <cellStyle name="Calculation 3 3 37" xfId="5132"/>
    <cellStyle name="Calculation 3 3 37 2" xfId="12849"/>
    <cellStyle name="Calculation 3 3 37 3" xfId="21842"/>
    <cellStyle name="Calculation 3 3 37 4" xfId="30029"/>
    <cellStyle name="Calculation 3 3 37 5" xfId="39370"/>
    <cellStyle name="Calculation 3 3 37 6" xfId="43694"/>
    <cellStyle name="Calculation 3 3 37 7" xfId="50443"/>
    <cellStyle name="Calculation 3 3 38" xfId="5477"/>
    <cellStyle name="Calculation 3 3 38 2" xfId="13194"/>
    <cellStyle name="Calculation 3 3 38 3" xfId="22187"/>
    <cellStyle name="Calculation 3 3 38 4" xfId="30374"/>
    <cellStyle name="Calculation 3 3 38 5" xfId="39700"/>
    <cellStyle name="Calculation 3 3 38 6" xfId="44039"/>
    <cellStyle name="Calculation 3 3 38 7" xfId="50879"/>
    <cellStyle name="Calculation 3 3 39" xfId="5602"/>
    <cellStyle name="Calculation 3 3 39 2" xfId="13319"/>
    <cellStyle name="Calculation 3 3 39 3" xfId="22312"/>
    <cellStyle name="Calculation 3 3 39 4" xfId="30499"/>
    <cellStyle name="Calculation 3 3 39 5" xfId="39820"/>
    <cellStyle name="Calculation 3 3 39 6" xfId="44164"/>
    <cellStyle name="Calculation 3 3 39 7" xfId="47139"/>
    <cellStyle name="Calculation 3 3 4" xfId="869"/>
    <cellStyle name="Calculation 3 3 4 2" xfId="8693"/>
    <cellStyle name="Calculation 3 3 4 3" xfId="16121"/>
    <cellStyle name="Calculation 3 3 4 4" xfId="19521"/>
    <cellStyle name="Calculation 3 3 4 5" xfId="27473"/>
    <cellStyle name="Calculation 3 3 4 6" xfId="37502"/>
    <cellStyle name="Calculation 3 3 4 7" xfId="48844"/>
    <cellStyle name="Calculation 3 3 40" xfId="5717"/>
    <cellStyle name="Calculation 3 3 40 2" xfId="13434"/>
    <cellStyle name="Calculation 3 3 40 3" xfId="22427"/>
    <cellStyle name="Calculation 3 3 40 4" xfId="30614"/>
    <cellStyle name="Calculation 3 3 40 5" xfId="39931"/>
    <cellStyle name="Calculation 3 3 40 6" xfId="44279"/>
    <cellStyle name="Calculation 3 3 40 7" xfId="46775"/>
    <cellStyle name="Calculation 3 3 41" xfId="5834"/>
    <cellStyle name="Calculation 3 3 41 2" xfId="13551"/>
    <cellStyle name="Calculation 3 3 41 3" xfId="22544"/>
    <cellStyle name="Calculation 3 3 41 4" xfId="30731"/>
    <cellStyle name="Calculation 3 3 41 5" xfId="40045"/>
    <cellStyle name="Calculation 3 3 41 6" xfId="44396"/>
    <cellStyle name="Calculation 3 3 41 7" xfId="47451"/>
    <cellStyle name="Calculation 3 3 42" xfId="5962"/>
    <cellStyle name="Calculation 3 3 42 2" xfId="13679"/>
    <cellStyle name="Calculation 3 3 42 3" xfId="22672"/>
    <cellStyle name="Calculation 3 3 42 4" xfId="30859"/>
    <cellStyle name="Calculation 3 3 42 5" xfId="40169"/>
    <cellStyle name="Calculation 3 3 42 6" xfId="44524"/>
    <cellStyle name="Calculation 3 3 42 7" xfId="51031"/>
    <cellStyle name="Calculation 3 3 43" xfId="5282"/>
    <cellStyle name="Calculation 3 3 43 2" xfId="12999"/>
    <cellStyle name="Calculation 3 3 43 3" xfId="21992"/>
    <cellStyle name="Calculation 3 3 43 4" xfId="30179"/>
    <cellStyle name="Calculation 3 3 43 5" xfId="39513"/>
    <cellStyle name="Calculation 3 3 43 6" xfId="43844"/>
    <cellStyle name="Calculation 3 3 43 7" xfId="47230"/>
    <cellStyle name="Calculation 3 3 44" xfId="6218"/>
    <cellStyle name="Calculation 3 3 44 2" xfId="13935"/>
    <cellStyle name="Calculation 3 3 44 3" xfId="22928"/>
    <cellStyle name="Calculation 3 3 44 4" xfId="31115"/>
    <cellStyle name="Calculation 3 3 44 5" xfId="40416"/>
    <cellStyle name="Calculation 3 3 44 6" xfId="44780"/>
    <cellStyle name="Calculation 3 3 44 7" xfId="53687"/>
    <cellStyle name="Calculation 3 3 45" xfId="6335"/>
    <cellStyle name="Calculation 3 3 45 2" xfId="14052"/>
    <cellStyle name="Calculation 3 3 45 3" xfId="23045"/>
    <cellStyle name="Calculation 3 3 45 4" xfId="31232"/>
    <cellStyle name="Calculation 3 3 45 5" xfId="40530"/>
    <cellStyle name="Calculation 3 3 45 6" xfId="44897"/>
    <cellStyle name="Calculation 3 3 45 7" xfId="50437"/>
    <cellStyle name="Calculation 3 3 46" xfId="6445"/>
    <cellStyle name="Calculation 3 3 46 2" xfId="14162"/>
    <cellStyle name="Calculation 3 3 46 3" xfId="23155"/>
    <cellStyle name="Calculation 3 3 46 4" xfId="31342"/>
    <cellStyle name="Calculation 3 3 46 5" xfId="40636"/>
    <cellStyle name="Calculation 3 3 46 6" xfId="45007"/>
    <cellStyle name="Calculation 3 3 46 7" xfId="51497"/>
    <cellStyle name="Calculation 3 3 47" xfId="6425"/>
    <cellStyle name="Calculation 3 3 47 2" xfId="14142"/>
    <cellStyle name="Calculation 3 3 47 3" xfId="23135"/>
    <cellStyle name="Calculation 3 3 47 4" xfId="31322"/>
    <cellStyle name="Calculation 3 3 47 5" xfId="40617"/>
    <cellStyle name="Calculation 3 3 47 6" xfId="44987"/>
    <cellStyle name="Calculation 3 3 47 7" xfId="53762"/>
    <cellStyle name="Calculation 3 3 48" xfId="6592"/>
    <cellStyle name="Calculation 3 3 48 2" xfId="14309"/>
    <cellStyle name="Calculation 3 3 48 3" xfId="23302"/>
    <cellStyle name="Calculation 3 3 48 4" xfId="31489"/>
    <cellStyle name="Calculation 3 3 48 5" xfId="40776"/>
    <cellStyle name="Calculation 3 3 48 6" xfId="45154"/>
    <cellStyle name="Calculation 3 3 48 7" xfId="52001"/>
    <cellStyle name="Calculation 3 3 49" xfId="6703"/>
    <cellStyle name="Calculation 3 3 49 2" xfId="14420"/>
    <cellStyle name="Calculation 3 3 49 3" xfId="23413"/>
    <cellStyle name="Calculation 3 3 49 4" xfId="31600"/>
    <cellStyle name="Calculation 3 3 49 5" xfId="40882"/>
    <cellStyle name="Calculation 3 3 49 6" xfId="45265"/>
    <cellStyle name="Calculation 3 3 49 7" xfId="50083"/>
    <cellStyle name="Calculation 3 3 5" xfId="1334"/>
    <cellStyle name="Calculation 3 3 5 2" xfId="9157"/>
    <cellStyle name="Calculation 3 3 5 3" xfId="16585"/>
    <cellStyle name="Calculation 3 3 5 4" xfId="19451"/>
    <cellStyle name="Calculation 3 3 5 5" xfId="27933"/>
    <cellStyle name="Calculation 3 3 5 6" xfId="41903"/>
    <cellStyle name="Calculation 3 3 5 7" xfId="50306"/>
    <cellStyle name="Calculation 3 3 50" xfId="6818"/>
    <cellStyle name="Calculation 3 3 50 2" xfId="14535"/>
    <cellStyle name="Calculation 3 3 50 3" xfId="23528"/>
    <cellStyle name="Calculation 3 3 50 4" xfId="31715"/>
    <cellStyle name="Calculation 3 3 50 5" xfId="40990"/>
    <cellStyle name="Calculation 3 3 50 6" xfId="45380"/>
    <cellStyle name="Calculation 3 3 50 7" xfId="49611"/>
    <cellStyle name="Calculation 3 3 51" xfId="6931"/>
    <cellStyle name="Calculation 3 3 51 2" xfId="14648"/>
    <cellStyle name="Calculation 3 3 51 3" xfId="23641"/>
    <cellStyle name="Calculation 3 3 51 4" xfId="31828"/>
    <cellStyle name="Calculation 3 3 51 5" xfId="41098"/>
    <cellStyle name="Calculation 3 3 51 6" xfId="45493"/>
    <cellStyle name="Calculation 3 3 51 7" xfId="47044"/>
    <cellStyle name="Calculation 3 3 52" xfId="7043"/>
    <cellStyle name="Calculation 3 3 52 2" xfId="14760"/>
    <cellStyle name="Calculation 3 3 52 3" xfId="23753"/>
    <cellStyle name="Calculation 3 3 52 4" xfId="31940"/>
    <cellStyle name="Calculation 3 3 52 5" xfId="41204"/>
    <cellStyle name="Calculation 3 3 52 6" xfId="45605"/>
    <cellStyle name="Calculation 3 3 52 7" xfId="47788"/>
    <cellStyle name="Calculation 3 3 53" xfId="7320"/>
    <cellStyle name="Calculation 3 3 53 2" xfId="15037"/>
    <cellStyle name="Calculation 3 3 53 3" xfId="24030"/>
    <cellStyle name="Calculation 3 3 53 4" xfId="32217"/>
    <cellStyle name="Calculation 3 3 53 5" xfId="41473"/>
    <cellStyle name="Calculation 3 3 53 6" xfId="45882"/>
    <cellStyle name="Calculation 3 3 53 7" xfId="54509"/>
    <cellStyle name="Calculation 3 3 54" xfId="7267"/>
    <cellStyle name="Calculation 3 3 54 2" xfId="14984"/>
    <cellStyle name="Calculation 3 3 54 3" xfId="23977"/>
    <cellStyle name="Calculation 3 3 54 4" xfId="32164"/>
    <cellStyle name="Calculation 3 3 54 5" xfId="41420"/>
    <cellStyle name="Calculation 3 3 54 6" xfId="45829"/>
    <cellStyle name="Calculation 3 3 54 7" xfId="52844"/>
    <cellStyle name="Calculation 3 3 55" xfId="7440"/>
    <cellStyle name="Calculation 3 3 55 2" xfId="15157"/>
    <cellStyle name="Calculation 3 3 55 3" xfId="24150"/>
    <cellStyle name="Calculation 3 3 55 4" xfId="32337"/>
    <cellStyle name="Calculation 3 3 55 5" xfId="41587"/>
    <cellStyle name="Calculation 3 3 55 6" xfId="46002"/>
    <cellStyle name="Calculation 3 3 55 7" xfId="49152"/>
    <cellStyle name="Calculation 3 3 56" xfId="7561"/>
    <cellStyle name="Calculation 3 3 56 2" xfId="15278"/>
    <cellStyle name="Calculation 3 3 56 3" xfId="24271"/>
    <cellStyle name="Calculation 3 3 56 4" xfId="32458"/>
    <cellStyle name="Calculation 3 3 56 5" xfId="41702"/>
    <cellStyle name="Calculation 3 3 56 6" xfId="46123"/>
    <cellStyle name="Calculation 3 3 56 7" xfId="51092"/>
    <cellStyle name="Calculation 3 3 57" xfId="7837"/>
    <cellStyle name="Calculation 3 3 57 2" xfId="15554"/>
    <cellStyle name="Calculation 3 3 57 3" xfId="24541"/>
    <cellStyle name="Calculation 3 3 57 4" xfId="32734"/>
    <cellStyle name="Calculation 3 3 57 5" xfId="41967"/>
    <cellStyle name="Calculation 3 3 57 6" xfId="46399"/>
    <cellStyle name="Calculation 3 3 57 7" xfId="52485"/>
    <cellStyle name="Calculation 3 3 58" xfId="7944"/>
    <cellStyle name="Calculation 3 3 58 2" xfId="15661"/>
    <cellStyle name="Calculation 3 3 58 3" xfId="24647"/>
    <cellStyle name="Calculation 3 3 58 4" xfId="32841"/>
    <cellStyle name="Calculation 3 3 58 5" xfId="42070"/>
    <cellStyle name="Calculation 3 3 58 6" xfId="46506"/>
    <cellStyle name="Calculation 3 3 58 7" xfId="52390"/>
    <cellStyle name="Calculation 3 3 59" xfId="8057"/>
    <cellStyle name="Calculation 3 3 59 2" xfId="15774"/>
    <cellStyle name="Calculation 3 3 59 3" xfId="24759"/>
    <cellStyle name="Calculation 3 3 59 4" xfId="32954"/>
    <cellStyle name="Calculation 3 3 59 5" xfId="42179"/>
    <cellStyle name="Calculation 3 3 59 6" xfId="46619"/>
    <cellStyle name="Calculation 3 3 59 7" xfId="51155"/>
    <cellStyle name="Calculation 3 3 6" xfId="1457"/>
    <cellStyle name="Calculation 3 3 6 2" xfId="9280"/>
    <cellStyle name="Calculation 3 3 6 3" xfId="16708"/>
    <cellStyle name="Calculation 3 3 6 4" xfId="20011"/>
    <cellStyle name="Calculation 3 3 6 5" xfId="28547"/>
    <cellStyle name="Calculation 3 3 6 6" xfId="38226"/>
    <cellStyle name="Calculation 3 3 6 7" xfId="50298"/>
    <cellStyle name="Calculation 3 3 60" xfId="8113"/>
    <cellStyle name="Calculation 3 3 60 2" xfId="15830"/>
    <cellStyle name="Calculation 3 3 60 3" xfId="33010"/>
    <cellStyle name="Calculation 3 3 60 4" xfId="42231"/>
    <cellStyle name="Calculation 3 3 60 5" xfId="46675"/>
    <cellStyle name="Calculation 3 3 60 6" xfId="52893"/>
    <cellStyle name="Calculation 3 3 61" xfId="25691"/>
    <cellStyle name="Calculation 3 3 62" xfId="34229"/>
    <cellStyle name="Calculation 3 3 63" xfId="36837"/>
    <cellStyle name="Calculation 3 3 64" xfId="52294"/>
    <cellStyle name="Calculation 3 3 7" xfId="1227"/>
    <cellStyle name="Calculation 3 3 7 2" xfId="9050"/>
    <cellStyle name="Calculation 3 3 7 3" xfId="16478"/>
    <cellStyle name="Calculation 3 3 7 4" xfId="19514"/>
    <cellStyle name="Calculation 3 3 7 5" xfId="27602"/>
    <cellStyle name="Calculation 3 3 7 6" xfId="36494"/>
    <cellStyle name="Calculation 3 3 7 7" xfId="48988"/>
    <cellStyle name="Calculation 3 3 8" xfId="1694"/>
    <cellStyle name="Calculation 3 3 8 2" xfId="9517"/>
    <cellStyle name="Calculation 3 3 8 3" xfId="16945"/>
    <cellStyle name="Calculation 3 3 8 4" xfId="19109"/>
    <cellStyle name="Calculation 3 3 8 5" xfId="28249"/>
    <cellStyle name="Calculation 3 3 8 6" xfId="37100"/>
    <cellStyle name="Calculation 3 3 8 7" xfId="49959"/>
    <cellStyle name="Calculation 3 3 9" xfId="1828"/>
    <cellStyle name="Calculation 3 3 9 2" xfId="9651"/>
    <cellStyle name="Calculation 3 3 9 3" xfId="17079"/>
    <cellStyle name="Calculation 3 3 9 4" xfId="19657"/>
    <cellStyle name="Calculation 3 3 9 5" xfId="26880"/>
    <cellStyle name="Calculation 3 3 9 6" xfId="38203"/>
    <cellStyle name="Calculation 3 3 9 7" xfId="49760"/>
    <cellStyle name="Calculation 3 30" xfId="7259"/>
    <cellStyle name="Calculation 3 30 2" xfId="14976"/>
    <cellStyle name="Calculation 3 30 3" xfId="23969"/>
    <cellStyle name="Calculation 3 30 4" xfId="32156"/>
    <cellStyle name="Calculation 3 30 5" xfId="41412"/>
    <cellStyle name="Calculation 3 30 6" xfId="45821"/>
    <cellStyle name="Calculation 3 30 7" xfId="53505"/>
    <cellStyle name="Calculation 3 31" xfId="7989"/>
    <cellStyle name="Calculation 3 31 2" xfId="15706"/>
    <cellStyle name="Calculation 3 31 3" xfId="24691"/>
    <cellStyle name="Calculation 3 31 4" xfId="32886"/>
    <cellStyle name="Calculation 3 31 5" xfId="42112"/>
    <cellStyle name="Calculation 3 31 6" xfId="46551"/>
    <cellStyle name="Calculation 3 31 7" xfId="50980"/>
    <cellStyle name="Calculation 3 32" xfId="26663"/>
    <cellStyle name="Calculation 3 33" xfId="35509"/>
    <cellStyle name="Calculation 3 34" xfId="37462"/>
    <cellStyle name="Calculation 3 35" xfId="54421"/>
    <cellStyle name="Calculation 3 4" xfId="571"/>
    <cellStyle name="Calculation 3 4 10" xfId="2018"/>
    <cellStyle name="Calculation 3 4 10 2" xfId="9841"/>
    <cellStyle name="Calculation 3 4 10 3" xfId="17269"/>
    <cellStyle name="Calculation 3 4 10 4" xfId="19283"/>
    <cellStyle name="Calculation 3 4 10 5" xfId="27601"/>
    <cellStyle name="Calculation 3 4 10 6" xfId="40954"/>
    <cellStyle name="Calculation 3 4 10 7" xfId="47535"/>
    <cellStyle name="Calculation 3 4 11" xfId="2135"/>
    <cellStyle name="Calculation 3 4 11 2" xfId="9958"/>
    <cellStyle name="Calculation 3 4 11 3" xfId="17386"/>
    <cellStyle name="Calculation 3 4 11 4" xfId="25284"/>
    <cellStyle name="Calculation 3 4 11 5" xfId="33696"/>
    <cellStyle name="Calculation 3 4 11 6" xfId="37186"/>
    <cellStyle name="Calculation 3 4 11 7" xfId="51396"/>
    <cellStyle name="Calculation 3 4 12" xfId="2249"/>
    <cellStyle name="Calculation 3 4 12 2" xfId="10072"/>
    <cellStyle name="Calculation 3 4 12 3" xfId="17500"/>
    <cellStyle name="Calculation 3 4 12 4" xfId="25728"/>
    <cellStyle name="Calculation 3 4 12 5" xfId="34275"/>
    <cellStyle name="Calculation 3 4 12 6" xfId="39853"/>
    <cellStyle name="Calculation 3 4 12 7" xfId="52382"/>
    <cellStyle name="Calculation 3 4 13" xfId="1081"/>
    <cellStyle name="Calculation 3 4 13 2" xfId="8905"/>
    <cellStyle name="Calculation 3 4 13 3" xfId="16333"/>
    <cellStyle name="Calculation 3 4 13 4" xfId="19648"/>
    <cellStyle name="Calculation 3 4 13 5" xfId="27804"/>
    <cellStyle name="Calculation 3 4 13 6" xfId="36476"/>
    <cellStyle name="Calculation 3 4 13 7" xfId="49394"/>
    <cellStyle name="Calculation 3 4 14" xfId="1176"/>
    <cellStyle name="Calculation 3 4 14 2" xfId="8999"/>
    <cellStyle name="Calculation 3 4 14 3" xfId="16427"/>
    <cellStyle name="Calculation 3 4 14 4" xfId="19943"/>
    <cellStyle name="Calculation 3 4 14 5" xfId="27215"/>
    <cellStyle name="Calculation 3 4 14 6" xfId="37558"/>
    <cellStyle name="Calculation 3 4 14 7" xfId="48183"/>
    <cellStyle name="Calculation 3 4 15" xfId="2546"/>
    <cellStyle name="Calculation 3 4 15 2" xfId="10369"/>
    <cellStyle name="Calculation 3 4 15 3" xfId="17797"/>
    <cellStyle name="Calculation 3 4 15 4" xfId="19247"/>
    <cellStyle name="Calculation 3 4 15 5" xfId="27458"/>
    <cellStyle name="Calculation 3 4 15 6" xfId="40695"/>
    <cellStyle name="Calculation 3 4 15 7" xfId="47917"/>
    <cellStyle name="Calculation 3 4 16" xfId="2660"/>
    <cellStyle name="Calculation 3 4 16 2" xfId="10483"/>
    <cellStyle name="Calculation 3 4 16 3" xfId="17911"/>
    <cellStyle name="Calculation 3 4 16 4" xfId="19104"/>
    <cellStyle name="Calculation 3 4 16 5" xfId="28117"/>
    <cellStyle name="Calculation 3 4 16 6" xfId="37127"/>
    <cellStyle name="Calculation 3 4 16 7" xfId="50039"/>
    <cellStyle name="Calculation 3 4 17" xfId="2419"/>
    <cellStyle name="Calculation 3 4 17 2" xfId="10242"/>
    <cellStyle name="Calculation 3 4 17 3" xfId="17670"/>
    <cellStyle name="Calculation 3 4 17 4" xfId="19426"/>
    <cellStyle name="Calculation 3 4 17 5" xfId="27373"/>
    <cellStyle name="Calculation 3 4 17 6" xfId="38008"/>
    <cellStyle name="Calculation 3 4 17 7" xfId="47648"/>
    <cellStyle name="Calculation 3 4 18" xfId="1206"/>
    <cellStyle name="Calculation 3 4 18 2" xfId="9029"/>
    <cellStyle name="Calculation 3 4 18 3" xfId="16457"/>
    <cellStyle name="Calculation 3 4 18 4" xfId="25146"/>
    <cellStyle name="Calculation 3 4 18 5" xfId="33521"/>
    <cellStyle name="Calculation 3 4 18 6" xfId="40024"/>
    <cellStyle name="Calculation 3 4 18 7" xfId="51101"/>
    <cellStyle name="Calculation 3 4 19" xfId="2851"/>
    <cellStyle name="Calculation 3 4 19 2" xfId="10674"/>
    <cellStyle name="Calculation 3 4 19 3" xfId="18102"/>
    <cellStyle name="Calculation 3 4 19 4" xfId="26277"/>
    <cellStyle name="Calculation 3 4 19 5" xfId="34980"/>
    <cellStyle name="Calculation 3 4 19 6" xfId="39157"/>
    <cellStyle name="Calculation 3 4 19 7" xfId="53595"/>
    <cellStyle name="Calculation 3 4 2" xfId="719"/>
    <cellStyle name="Calculation 3 4 2 2" xfId="8543"/>
    <cellStyle name="Calculation 3 4 2 3" xfId="15971"/>
    <cellStyle name="Calculation 3 4 2 4" xfId="25401"/>
    <cellStyle name="Calculation 3 4 2 5" xfId="33855"/>
    <cellStyle name="Calculation 3 4 2 6" xfId="36526"/>
    <cellStyle name="Calculation 3 4 2 7" xfId="51647"/>
    <cellStyle name="Calculation 3 4 20" xfId="2958"/>
    <cellStyle name="Calculation 3 4 20 2" xfId="10781"/>
    <cellStyle name="Calculation 3 4 20 3" xfId="18209"/>
    <cellStyle name="Calculation 3 4 20 4" xfId="19673"/>
    <cellStyle name="Calculation 3 4 20 5" xfId="27383"/>
    <cellStyle name="Calculation 3 4 20 6" xfId="38419"/>
    <cellStyle name="Calculation 3 4 20 7" xfId="50180"/>
    <cellStyle name="Calculation 3 4 21" xfId="3335"/>
    <cellStyle name="Calculation 3 4 21 2" xfId="11128"/>
    <cellStyle name="Calculation 3 4 21 3" xfId="18456"/>
    <cellStyle name="Calculation 3 4 21 4" xfId="26469"/>
    <cellStyle name="Calculation 3 4 21 5" xfId="35248"/>
    <cellStyle name="Calculation 3 4 21 6" xfId="38217"/>
    <cellStyle name="Calculation 3 4 21 7" xfId="54003"/>
    <cellStyle name="Calculation 3 4 22" xfId="3454"/>
    <cellStyle name="Calculation 3 4 22 2" xfId="11245"/>
    <cellStyle name="Calculation 3 4 22 3" xfId="18567"/>
    <cellStyle name="Calculation 3 4 22 4" xfId="25675"/>
    <cellStyle name="Calculation 3 4 22 5" xfId="34207"/>
    <cellStyle name="Calculation 3 4 22 6" xfId="38718"/>
    <cellStyle name="Calculation 3 4 22 7" xfId="52250"/>
    <cellStyle name="Calculation 3 4 23" xfId="3614"/>
    <cellStyle name="Calculation 3 4 23 2" xfId="11400"/>
    <cellStyle name="Calculation 3 4 23 3" xfId="18674"/>
    <cellStyle name="Calculation 3 4 23 4" xfId="24942"/>
    <cellStyle name="Calculation 3 4 23 5" xfId="33277"/>
    <cellStyle name="Calculation 3 4 23 6" xfId="37654"/>
    <cellStyle name="Calculation 3 4 23 7" xfId="50661"/>
    <cellStyle name="Calculation 3 4 24" xfId="3727"/>
    <cellStyle name="Calculation 3 4 24 2" xfId="11512"/>
    <cellStyle name="Calculation 3 4 24 3" xfId="18784"/>
    <cellStyle name="Calculation 3 4 24 4" xfId="20649"/>
    <cellStyle name="Calculation 3 4 24 5" xfId="28321"/>
    <cellStyle name="Calculation 3 4 24 6" xfId="41833"/>
    <cellStyle name="Calculation 3 4 24 7" xfId="50050"/>
    <cellStyle name="Calculation 3 4 25" xfId="3856"/>
    <cellStyle name="Calculation 3 4 25 2" xfId="11638"/>
    <cellStyle name="Calculation 3 4 25 3" xfId="18894"/>
    <cellStyle name="Calculation 3 4 25 4" xfId="19486"/>
    <cellStyle name="Calculation 3 4 25 5" xfId="28849"/>
    <cellStyle name="Calculation 3 4 25 6" xfId="37071"/>
    <cellStyle name="Calculation 3 4 25 7" xfId="48848"/>
    <cellStyle name="Calculation 3 4 26" xfId="3975"/>
    <cellStyle name="Calculation 3 4 26 2" xfId="11754"/>
    <cellStyle name="Calculation 3 4 26 3" xfId="19003"/>
    <cellStyle name="Calculation 3 4 26 4" xfId="25797"/>
    <cellStyle name="Calculation 3 4 26 5" xfId="34370"/>
    <cellStyle name="Calculation 3 4 26 6" xfId="39015"/>
    <cellStyle name="Calculation 3 4 26 7" xfId="52558"/>
    <cellStyle name="Calculation 3 4 27" xfId="3711"/>
    <cellStyle name="Calculation 3 4 27 2" xfId="11496"/>
    <cellStyle name="Calculation 3 4 27 3" xfId="20585"/>
    <cellStyle name="Calculation 3 4 27 4" xfId="28734"/>
    <cellStyle name="Calculation 3 4 27 5" xfId="38116"/>
    <cellStyle name="Calculation 3 4 27 6" xfId="42525"/>
    <cellStyle name="Calculation 3 4 27 7" xfId="47850"/>
    <cellStyle name="Calculation 3 4 28" xfId="4171"/>
    <cellStyle name="Calculation 3 4 28 2" xfId="11930"/>
    <cellStyle name="Calculation 3 4 28 3" xfId="20881"/>
    <cellStyle name="Calculation 3 4 28 4" xfId="29068"/>
    <cellStyle name="Calculation 3 4 28 5" xfId="38444"/>
    <cellStyle name="Calculation 3 4 28 6" xfId="42733"/>
    <cellStyle name="Calculation 3 4 28 7" xfId="48429"/>
    <cellStyle name="Calculation 3 4 29" xfId="4251"/>
    <cellStyle name="Calculation 3 4 29 2" xfId="20961"/>
    <cellStyle name="Calculation 3 4 29 3" xfId="29148"/>
    <cellStyle name="Calculation 3 4 29 4" xfId="38521"/>
    <cellStyle name="Calculation 3 4 29 5" xfId="42813"/>
    <cellStyle name="Calculation 3 4 29 6" xfId="54214"/>
    <cellStyle name="Calculation 3 4 3" xfId="828"/>
    <cellStyle name="Calculation 3 4 3 2" xfId="8652"/>
    <cellStyle name="Calculation 3 4 3 3" xfId="16080"/>
    <cellStyle name="Calculation 3 4 3 4" xfId="19979"/>
    <cellStyle name="Calculation 3 4 3 5" xfId="27831"/>
    <cellStyle name="Calculation 3 4 3 6" xfId="37097"/>
    <cellStyle name="Calculation 3 4 3 7" xfId="48048"/>
    <cellStyle name="Calculation 3 4 30" xfId="4369"/>
    <cellStyle name="Calculation 3 4 30 2" xfId="12086"/>
    <cellStyle name="Calculation 3 4 30 3" xfId="21079"/>
    <cellStyle name="Calculation 3 4 30 4" xfId="29266"/>
    <cellStyle name="Calculation 3 4 30 5" xfId="38636"/>
    <cellStyle name="Calculation 3 4 30 6" xfId="42931"/>
    <cellStyle name="Calculation 3 4 30 7" xfId="52222"/>
    <cellStyle name="Calculation 3 4 31" xfId="4491"/>
    <cellStyle name="Calculation 3 4 31 2" xfId="12208"/>
    <cellStyle name="Calculation 3 4 31 3" xfId="21201"/>
    <cellStyle name="Calculation 3 4 31 4" xfId="29388"/>
    <cellStyle name="Calculation 3 4 31 5" xfId="38752"/>
    <cellStyle name="Calculation 3 4 31 6" xfId="43053"/>
    <cellStyle name="Calculation 3 4 31 7" xfId="51821"/>
    <cellStyle name="Calculation 3 4 32" xfId="4605"/>
    <cellStyle name="Calculation 3 4 32 2" xfId="12322"/>
    <cellStyle name="Calculation 3 4 32 3" xfId="21315"/>
    <cellStyle name="Calculation 3 4 32 4" xfId="29502"/>
    <cellStyle name="Calculation 3 4 32 5" xfId="38861"/>
    <cellStyle name="Calculation 3 4 32 6" xfId="43167"/>
    <cellStyle name="Calculation 3 4 32 7" xfId="49213"/>
    <cellStyle name="Calculation 3 4 33" xfId="4718"/>
    <cellStyle name="Calculation 3 4 33 2" xfId="12435"/>
    <cellStyle name="Calculation 3 4 33 3" xfId="21428"/>
    <cellStyle name="Calculation 3 4 33 4" xfId="29615"/>
    <cellStyle name="Calculation 3 4 33 5" xfId="38970"/>
    <cellStyle name="Calculation 3 4 33 6" xfId="43280"/>
    <cellStyle name="Calculation 3 4 33 7" xfId="52704"/>
    <cellStyle name="Calculation 3 4 34" xfId="4828"/>
    <cellStyle name="Calculation 3 4 34 2" xfId="12545"/>
    <cellStyle name="Calculation 3 4 34 3" xfId="21538"/>
    <cellStyle name="Calculation 3 4 34 4" xfId="29725"/>
    <cellStyle name="Calculation 3 4 34 5" xfId="39077"/>
    <cellStyle name="Calculation 3 4 34 6" xfId="43390"/>
    <cellStyle name="Calculation 3 4 34 7" xfId="48885"/>
    <cellStyle name="Calculation 3 4 35" xfId="4938"/>
    <cellStyle name="Calculation 3 4 35 2" xfId="12655"/>
    <cellStyle name="Calculation 3 4 35 3" xfId="21648"/>
    <cellStyle name="Calculation 3 4 35 4" xfId="29835"/>
    <cellStyle name="Calculation 3 4 35 5" xfId="39182"/>
    <cellStyle name="Calculation 3 4 35 6" xfId="43500"/>
    <cellStyle name="Calculation 3 4 35 7" xfId="54244"/>
    <cellStyle name="Calculation 3 4 36" xfId="5048"/>
    <cellStyle name="Calculation 3 4 36 2" xfId="12765"/>
    <cellStyle name="Calculation 3 4 36 3" xfId="21758"/>
    <cellStyle name="Calculation 3 4 36 4" xfId="29945"/>
    <cellStyle name="Calculation 3 4 36 5" xfId="39289"/>
    <cellStyle name="Calculation 3 4 36 6" xfId="43610"/>
    <cellStyle name="Calculation 3 4 36 7" xfId="49207"/>
    <cellStyle name="Calculation 3 4 37" xfId="5428"/>
    <cellStyle name="Calculation 3 4 37 2" xfId="13145"/>
    <cellStyle name="Calculation 3 4 37 3" xfId="22138"/>
    <cellStyle name="Calculation 3 4 37 4" xfId="30325"/>
    <cellStyle name="Calculation 3 4 37 5" xfId="39654"/>
    <cellStyle name="Calculation 3 4 37 6" xfId="43990"/>
    <cellStyle name="Calculation 3 4 37 7" xfId="47246"/>
    <cellStyle name="Calculation 3 4 38" xfId="5548"/>
    <cellStyle name="Calculation 3 4 38 2" xfId="13265"/>
    <cellStyle name="Calculation 3 4 38 3" xfId="22258"/>
    <cellStyle name="Calculation 3 4 38 4" xfId="30445"/>
    <cellStyle name="Calculation 3 4 38 5" xfId="39768"/>
    <cellStyle name="Calculation 3 4 38 6" xfId="44110"/>
    <cellStyle name="Calculation 3 4 38 7" xfId="46847"/>
    <cellStyle name="Calculation 3 4 39" xfId="5672"/>
    <cellStyle name="Calculation 3 4 39 2" xfId="13389"/>
    <cellStyle name="Calculation 3 4 39 3" xfId="22382"/>
    <cellStyle name="Calculation 3 4 39 4" xfId="30569"/>
    <cellStyle name="Calculation 3 4 39 5" xfId="39889"/>
    <cellStyle name="Calculation 3 4 39 6" xfId="44234"/>
    <cellStyle name="Calculation 3 4 39 7" xfId="47101"/>
    <cellStyle name="Calculation 3 4 4" xfId="938"/>
    <cellStyle name="Calculation 3 4 4 2" xfId="8762"/>
    <cellStyle name="Calculation 3 4 4 3" xfId="16190"/>
    <cellStyle name="Calculation 3 4 4 4" xfId="24856"/>
    <cellStyle name="Calculation 3 4 4 5" xfId="27968"/>
    <cellStyle name="Calculation 3 4 4 6" xfId="38171"/>
    <cellStyle name="Calculation 3 4 4 7" xfId="49938"/>
    <cellStyle name="Calculation 3 4 40" xfId="5788"/>
    <cellStyle name="Calculation 3 4 40 2" xfId="13505"/>
    <cellStyle name="Calculation 3 4 40 3" xfId="22498"/>
    <cellStyle name="Calculation 3 4 40 4" xfId="30685"/>
    <cellStyle name="Calculation 3 4 40 5" xfId="40001"/>
    <cellStyle name="Calculation 3 4 40 6" xfId="44350"/>
    <cellStyle name="Calculation 3 4 40 7" xfId="47835"/>
    <cellStyle name="Calculation 3 4 41" xfId="5905"/>
    <cellStyle name="Calculation 3 4 41 2" xfId="13622"/>
    <cellStyle name="Calculation 3 4 41 3" xfId="22615"/>
    <cellStyle name="Calculation 3 4 41 4" xfId="30802"/>
    <cellStyle name="Calculation 3 4 41 5" xfId="40115"/>
    <cellStyle name="Calculation 3 4 41 6" xfId="44467"/>
    <cellStyle name="Calculation 3 4 41 7" xfId="48729"/>
    <cellStyle name="Calculation 3 4 42" xfId="6033"/>
    <cellStyle name="Calculation 3 4 42 2" xfId="13750"/>
    <cellStyle name="Calculation 3 4 42 3" xfId="22743"/>
    <cellStyle name="Calculation 3 4 42 4" xfId="30930"/>
    <cellStyle name="Calculation 3 4 42 5" xfId="40238"/>
    <cellStyle name="Calculation 3 4 42 6" xfId="44595"/>
    <cellStyle name="Calculation 3 4 42 7" xfId="50923"/>
    <cellStyle name="Calculation 3 4 43" xfId="6160"/>
    <cellStyle name="Calculation 3 4 43 2" xfId="13877"/>
    <cellStyle name="Calculation 3 4 43 3" xfId="22870"/>
    <cellStyle name="Calculation 3 4 43 4" xfId="31057"/>
    <cellStyle name="Calculation 3 4 43 5" xfId="40358"/>
    <cellStyle name="Calculation 3 4 43 6" xfId="44722"/>
    <cellStyle name="Calculation 3 4 43 7" xfId="52393"/>
    <cellStyle name="Calculation 3 4 44" xfId="6289"/>
    <cellStyle name="Calculation 3 4 44 2" xfId="14006"/>
    <cellStyle name="Calculation 3 4 44 3" xfId="22999"/>
    <cellStyle name="Calculation 3 4 44 4" xfId="31186"/>
    <cellStyle name="Calculation 3 4 44 5" xfId="40486"/>
    <cellStyle name="Calculation 3 4 44 6" xfId="44851"/>
    <cellStyle name="Calculation 3 4 44 7" xfId="47727"/>
    <cellStyle name="Calculation 3 4 45" xfId="6404"/>
    <cellStyle name="Calculation 3 4 45 2" xfId="14121"/>
    <cellStyle name="Calculation 3 4 45 3" xfId="23114"/>
    <cellStyle name="Calculation 3 4 45 4" xfId="31301"/>
    <cellStyle name="Calculation 3 4 45 5" xfId="40597"/>
    <cellStyle name="Calculation 3 4 45 6" xfId="44966"/>
    <cellStyle name="Calculation 3 4 45 7" xfId="48979"/>
    <cellStyle name="Calculation 3 4 46" xfId="6516"/>
    <cellStyle name="Calculation 3 4 46 2" xfId="14233"/>
    <cellStyle name="Calculation 3 4 46 3" xfId="23226"/>
    <cellStyle name="Calculation 3 4 46 4" xfId="31413"/>
    <cellStyle name="Calculation 3 4 46 5" xfId="40705"/>
    <cellStyle name="Calculation 3 4 46 6" xfId="45078"/>
    <cellStyle name="Calculation 3 4 46 7" xfId="52497"/>
    <cellStyle name="Calculation 3 4 47" xfId="6314"/>
    <cellStyle name="Calculation 3 4 47 2" xfId="14031"/>
    <cellStyle name="Calculation 3 4 47 3" xfId="23024"/>
    <cellStyle name="Calculation 3 4 47 4" xfId="31211"/>
    <cellStyle name="Calculation 3 4 47 5" xfId="40511"/>
    <cellStyle name="Calculation 3 4 47 6" xfId="44876"/>
    <cellStyle name="Calculation 3 4 47 7" xfId="52731"/>
    <cellStyle name="Calculation 3 4 48" xfId="6663"/>
    <cellStyle name="Calculation 3 4 48 2" xfId="14380"/>
    <cellStyle name="Calculation 3 4 48 3" xfId="23373"/>
    <cellStyle name="Calculation 3 4 48 4" xfId="31560"/>
    <cellStyle name="Calculation 3 4 48 5" xfId="40844"/>
    <cellStyle name="Calculation 3 4 48 6" xfId="45225"/>
    <cellStyle name="Calculation 3 4 48 7" xfId="51918"/>
    <cellStyle name="Calculation 3 4 49" xfId="6774"/>
    <cellStyle name="Calculation 3 4 49 2" xfId="14491"/>
    <cellStyle name="Calculation 3 4 49 3" xfId="23484"/>
    <cellStyle name="Calculation 3 4 49 4" xfId="31671"/>
    <cellStyle name="Calculation 3 4 49 5" xfId="40950"/>
    <cellStyle name="Calculation 3 4 49 6" xfId="45336"/>
    <cellStyle name="Calculation 3 4 49 7" xfId="48530"/>
    <cellStyle name="Calculation 3 4 5" xfId="1406"/>
    <cellStyle name="Calculation 3 4 5 2" xfId="9229"/>
    <cellStyle name="Calculation 3 4 5 3" xfId="16657"/>
    <cellStyle name="Calculation 3 4 5 4" xfId="19154"/>
    <cellStyle name="Calculation 3 4 5 5" xfId="28077"/>
    <cellStyle name="Calculation 3 4 5 6" xfId="40936"/>
    <cellStyle name="Calculation 3 4 5 7" xfId="49263"/>
    <cellStyle name="Calculation 3 4 50" xfId="6889"/>
    <cellStyle name="Calculation 3 4 50 2" xfId="14606"/>
    <cellStyle name="Calculation 3 4 50 3" xfId="23599"/>
    <cellStyle name="Calculation 3 4 50 4" xfId="31786"/>
    <cellStyle name="Calculation 3 4 50 5" xfId="41058"/>
    <cellStyle name="Calculation 3 4 50 6" xfId="45451"/>
    <cellStyle name="Calculation 3 4 50 7" xfId="46824"/>
    <cellStyle name="Calculation 3 4 51" xfId="7002"/>
    <cellStyle name="Calculation 3 4 51 2" xfId="14719"/>
    <cellStyle name="Calculation 3 4 51 3" xfId="23712"/>
    <cellStyle name="Calculation 3 4 51 4" xfId="31899"/>
    <cellStyle name="Calculation 3 4 51 5" xfId="41166"/>
    <cellStyle name="Calculation 3 4 51 6" xfId="45564"/>
    <cellStyle name="Calculation 3 4 51 7" xfId="54542"/>
    <cellStyle name="Calculation 3 4 52" xfId="7112"/>
    <cellStyle name="Calculation 3 4 52 2" xfId="14829"/>
    <cellStyle name="Calculation 3 4 52 3" xfId="23822"/>
    <cellStyle name="Calculation 3 4 52 4" xfId="32009"/>
    <cellStyle name="Calculation 3 4 52 5" xfId="41271"/>
    <cellStyle name="Calculation 3 4 52 6" xfId="45674"/>
    <cellStyle name="Calculation 3 4 52 7" xfId="54360"/>
    <cellStyle name="Calculation 3 4 53" xfId="7164"/>
    <cellStyle name="Calculation 3 4 53 2" xfId="14881"/>
    <cellStyle name="Calculation 3 4 53 3" xfId="23874"/>
    <cellStyle name="Calculation 3 4 53 4" xfId="32061"/>
    <cellStyle name="Calculation 3 4 53 5" xfId="41323"/>
    <cellStyle name="Calculation 3 4 53 6" xfId="45726"/>
    <cellStyle name="Calculation 3 4 53 7" xfId="48680"/>
    <cellStyle name="Calculation 3 4 54" xfId="7180"/>
    <cellStyle name="Calculation 3 4 54 2" xfId="14897"/>
    <cellStyle name="Calculation 3 4 54 3" xfId="23890"/>
    <cellStyle name="Calculation 3 4 54 4" xfId="32077"/>
    <cellStyle name="Calculation 3 4 54 5" xfId="41338"/>
    <cellStyle name="Calculation 3 4 54 6" xfId="45742"/>
    <cellStyle name="Calculation 3 4 54 7" xfId="53422"/>
    <cellStyle name="Calculation 3 4 55" xfId="7509"/>
    <cellStyle name="Calculation 3 4 55 2" xfId="15226"/>
    <cellStyle name="Calculation 3 4 55 3" xfId="24219"/>
    <cellStyle name="Calculation 3 4 55 4" xfId="32406"/>
    <cellStyle name="Calculation 3 4 55 5" xfId="41653"/>
    <cellStyle name="Calculation 3 4 55 6" xfId="46071"/>
    <cellStyle name="Calculation 3 4 55 7" xfId="49275"/>
    <cellStyle name="Calculation 3 4 56" xfId="7630"/>
    <cellStyle name="Calculation 3 4 56 2" xfId="15347"/>
    <cellStyle name="Calculation 3 4 56 3" xfId="24340"/>
    <cellStyle name="Calculation 3 4 56 4" xfId="32527"/>
    <cellStyle name="Calculation 3 4 56 5" xfId="41769"/>
    <cellStyle name="Calculation 3 4 56 6" xfId="46192"/>
    <cellStyle name="Calculation 3 4 56 7" xfId="53030"/>
    <cellStyle name="Calculation 3 4 57" xfId="7907"/>
    <cellStyle name="Calculation 3 4 57 2" xfId="15624"/>
    <cellStyle name="Calculation 3 4 57 3" xfId="24611"/>
    <cellStyle name="Calculation 3 4 57 4" xfId="32804"/>
    <cellStyle name="Calculation 3 4 57 5" xfId="42035"/>
    <cellStyle name="Calculation 3 4 57 6" xfId="46469"/>
    <cellStyle name="Calculation 3 4 57 7" xfId="52459"/>
    <cellStyle name="Calculation 3 4 58" xfId="8035"/>
    <cellStyle name="Calculation 3 4 58 2" xfId="15752"/>
    <cellStyle name="Calculation 3 4 58 3" xfId="24737"/>
    <cellStyle name="Calculation 3 4 58 4" xfId="32932"/>
    <cellStyle name="Calculation 3 4 58 5" xfId="42157"/>
    <cellStyle name="Calculation 3 4 58 6" xfId="46597"/>
    <cellStyle name="Calculation 3 4 58 7" xfId="53678"/>
    <cellStyle name="Calculation 3 4 59" xfId="7684"/>
    <cellStyle name="Calculation 3 4 59 2" xfId="15401"/>
    <cellStyle name="Calculation 3 4 59 3" xfId="24392"/>
    <cellStyle name="Calculation 3 4 59 4" xfId="32581"/>
    <cellStyle name="Calculation 3 4 59 5" xfId="41819"/>
    <cellStyle name="Calculation 3 4 59 6" xfId="46246"/>
    <cellStyle name="Calculation 3 4 59 7" xfId="53539"/>
    <cellStyle name="Calculation 3 4 6" xfId="1529"/>
    <cellStyle name="Calculation 3 4 6 2" xfId="9352"/>
    <cellStyle name="Calculation 3 4 6 3" xfId="16780"/>
    <cellStyle name="Calculation 3 4 6 4" xfId="19168"/>
    <cellStyle name="Calculation 3 4 6 5" xfId="28545"/>
    <cellStyle name="Calculation 3 4 6 6" xfId="37683"/>
    <cellStyle name="Calculation 3 4 6 7" xfId="49231"/>
    <cellStyle name="Calculation 3 4 60" xfId="8182"/>
    <cellStyle name="Calculation 3 4 60 2" xfId="15899"/>
    <cellStyle name="Calculation 3 4 60 3" xfId="33079"/>
    <cellStyle name="Calculation 3 4 60 4" xfId="42298"/>
    <cellStyle name="Calculation 3 4 60 5" xfId="46744"/>
    <cellStyle name="Calculation 3 4 60 6" xfId="46872"/>
    <cellStyle name="Calculation 3 4 61" xfId="24823"/>
    <cellStyle name="Calculation 3 4 62" xfId="27613"/>
    <cellStyle name="Calculation 3 4 63" xfId="36251"/>
    <cellStyle name="Calculation 3 4 64" xfId="47629"/>
    <cellStyle name="Calculation 3 4 7" xfId="1265"/>
    <cellStyle name="Calculation 3 4 7 2" xfId="9088"/>
    <cellStyle name="Calculation 3 4 7 3" xfId="16516"/>
    <cellStyle name="Calculation 3 4 7 4" xfId="19310"/>
    <cellStyle name="Calculation 3 4 7 5" xfId="28086"/>
    <cellStyle name="Calculation 3 4 7 6" xfId="41723"/>
    <cellStyle name="Calculation 3 4 7 7" xfId="46931"/>
    <cellStyle name="Calculation 3 4 8" xfId="1766"/>
    <cellStyle name="Calculation 3 4 8 2" xfId="9589"/>
    <cellStyle name="Calculation 3 4 8 3" xfId="17017"/>
    <cellStyle name="Calculation 3 4 8 4" xfId="20416"/>
    <cellStyle name="Calculation 3 4 8 5" xfId="27235"/>
    <cellStyle name="Calculation 3 4 8 6" xfId="38109"/>
    <cellStyle name="Calculation 3 4 8 7" xfId="48505"/>
    <cellStyle name="Calculation 3 4 9" xfId="1899"/>
    <cellStyle name="Calculation 3 4 9 2" xfId="9722"/>
    <cellStyle name="Calculation 3 4 9 3" xfId="17150"/>
    <cellStyle name="Calculation 3 4 9 4" xfId="19620"/>
    <cellStyle name="Calculation 3 4 9 5" xfId="28542"/>
    <cellStyle name="Calculation 3 4 9 6" xfId="37537"/>
    <cellStyle name="Calculation 3 4 9 7" xfId="48347"/>
    <cellStyle name="Calculation 3 5" xfId="543"/>
    <cellStyle name="Calculation 3 5 10" xfId="1990"/>
    <cellStyle name="Calculation 3 5 10 2" xfId="9813"/>
    <cellStyle name="Calculation 3 5 10 3" xfId="17241"/>
    <cellStyle name="Calculation 3 5 10 4" xfId="26395"/>
    <cellStyle name="Calculation 3 5 10 5" xfId="35146"/>
    <cellStyle name="Calculation 3 5 10 6" xfId="37077"/>
    <cellStyle name="Calculation 3 5 10 7" xfId="53840"/>
    <cellStyle name="Calculation 3 5 11" xfId="2108"/>
    <cellStyle name="Calculation 3 5 11 2" xfId="9931"/>
    <cellStyle name="Calculation 3 5 11 3" xfId="17359"/>
    <cellStyle name="Calculation 3 5 11 4" xfId="19897"/>
    <cellStyle name="Calculation 3 5 11 5" xfId="28700"/>
    <cellStyle name="Calculation 3 5 11 6" xfId="39190"/>
    <cellStyle name="Calculation 3 5 11 7" xfId="48161"/>
    <cellStyle name="Calculation 3 5 12" xfId="2221"/>
    <cellStyle name="Calculation 3 5 12 2" xfId="10044"/>
    <cellStyle name="Calculation 3 5 12 3" xfId="17472"/>
    <cellStyle name="Calculation 3 5 12 4" xfId="24997"/>
    <cellStyle name="Calculation 3 5 12 5" xfId="33346"/>
    <cellStyle name="Calculation 3 5 12 6" xfId="37028"/>
    <cellStyle name="Calculation 3 5 12 7" xfId="50785"/>
    <cellStyle name="Calculation 3 5 13" xfId="994"/>
    <cellStyle name="Calculation 3 5 13 2" xfId="8818"/>
    <cellStyle name="Calculation 3 5 13 3" xfId="16246"/>
    <cellStyle name="Calculation 3 5 13 4" xfId="25225"/>
    <cellStyle name="Calculation 3 5 13 5" xfId="33625"/>
    <cellStyle name="Calculation 3 5 13 6" xfId="38127"/>
    <cellStyle name="Calculation 3 5 13 7" xfId="51273"/>
    <cellStyle name="Calculation 3 5 14" xfId="1571"/>
    <cellStyle name="Calculation 3 5 14 2" xfId="9394"/>
    <cellStyle name="Calculation 3 5 14 3" xfId="16822"/>
    <cellStyle name="Calculation 3 5 14 4" xfId="20057"/>
    <cellStyle name="Calculation 3 5 14 5" xfId="27927"/>
    <cellStyle name="Calculation 3 5 14 6" xfId="41305"/>
    <cellStyle name="Calculation 3 5 14 7" xfId="48047"/>
    <cellStyle name="Calculation 3 5 15" xfId="2519"/>
    <cellStyle name="Calculation 3 5 15 2" xfId="10342"/>
    <cellStyle name="Calculation 3 5 15 3" xfId="17770"/>
    <cellStyle name="Calculation 3 5 15 4" xfId="19344"/>
    <cellStyle name="Calculation 3 5 15 5" xfId="27548"/>
    <cellStyle name="Calculation 3 5 15 6" xfId="41899"/>
    <cellStyle name="Calculation 3 5 15 7" xfId="48862"/>
    <cellStyle name="Calculation 3 5 16" xfId="2632"/>
    <cellStyle name="Calculation 3 5 16 2" xfId="10455"/>
    <cellStyle name="Calculation 3 5 16 3" xfId="17883"/>
    <cellStyle name="Calculation 3 5 16 4" xfId="25968"/>
    <cellStyle name="Calculation 3 5 16 5" xfId="34578"/>
    <cellStyle name="Calculation 3 5 16 6" xfId="39200"/>
    <cellStyle name="Calculation 3 5 16 7" xfId="52924"/>
    <cellStyle name="Calculation 3 5 17" xfId="2289"/>
    <cellStyle name="Calculation 3 5 17 2" xfId="10112"/>
    <cellStyle name="Calculation 3 5 17 3" xfId="17540"/>
    <cellStyle name="Calculation 3 5 17 4" xfId="25055"/>
    <cellStyle name="Calculation 3 5 17 5" xfId="33415"/>
    <cellStyle name="Calculation 3 5 17 6" xfId="36989"/>
    <cellStyle name="Calculation 3 5 17 7" xfId="50912"/>
    <cellStyle name="Calculation 3 5 18" xfId="1261"/>
    <cellStyle name="Calculation 3 5 18 2" xfId="9084"/>
    <cellStyle name="Calculation 3 5 18 3" xfId="16512"/>
    <cellStyle name="Calculation 3 5 18 4" xfId="19480"/>
    <cellStyle name="Calculation 3 5 18 5" xfId="27043"/>
    <cellStyle name="Calculation 3 5 18 6" xfId="42108"/>
    <cellStyle name="Calculation 3 5 18 7" xfId="46936"/>
    <cellStyle name="Calculation 3 5 19" xfId="2825"/>
    <cellStyle name="Calculation 3 5 19 2" xfId="10648"/>
    <cellStyle name="Calculation 3 5 19 3" xfId="18076"/>
    <cellStyle name="Calculation 3 5 19 4" xfId="20680"/>
    <cellStyle name="Calculation 3 5 19 5" xfId="27116"/>
    <cellStyle name="Calculation 3 5 19 6" xfId="36839"/>
    <cellStyle name="Calculation 3 5 19 7" xfId="48821"/>
    <cellStyle name="Calculation 3 5 2" xfId="693"/>
    <cellStyle name="Calculation 3 5 2 2" xfId="8517"/>
    <cellStyle name="Calculation 3 5 2 3" xfId="15945"/>
    <cellStyle name="Calculation 3 5 2 4" xfId="26661"/>
    <cellStyle name="Calculation 3 5 2 5" xfId="35507"/>
    <cellStyle name="Calculation 3 5 2 6" xfId="36525"/>
    <cellStyle name="Calculation 3 5 2 7" xfId="54417"/>
    <cellStyle name="Calculation 3 5 20" xfId="2932"/>
    <cellStyle name="Calculation 3 5 20 2" xfId="10755"/>
    <cellStyle name="Calculation 3 5 20 3" xfId="18183"/>
    <cellStyle name="Calculation 3 5 20 4" xfId="25963"/>
    <cellStyle name="Calculation 3 5 20 5" xfId="34572"/>
    <cellStyle name="Calculation 3 5 20 6" xfId="41034"/>
    <cellStyle name="Calculation 3 5 20 7" xfId="52915"/>
    <cellStyle name="Calculation 3 5 21" xfId="3308"/>
    <cellStyle name="Calculation 3 5 21 2" xfId="11101"/>
    <cellStyle name="Calculation 3 5 21 3" xfId="18430"/>
    <cellStyle name="Calculation 3 5 21 4" xfId="25130"/>
    <cellStyle name="Calculation 3 5 21 5" xfId="33503"/>
    <cellStyle name="Calculation 3 5 21 6" xfId="38736"/>
    <cellStyle name="Calculation 3 5 21 7" xfId="51075"/>
    <cellStyle name="Calculation 3 5 22" xfId="3428"/>
    <cellStyle name="Calculation 3 5 22 2" xfId="11219"/>
    <cellStyle name="Calculation 3 5 22 3" xfId="18541"/>
    <cellStyle name="Calculation 3 5 22 4" xfId="19385"/>
    <cellStyle name="Calculation 3 5 22 5" xfId="27113"/>
    <cellStyle name="Calculation 3 5 22 6" xfId="41295"/>
    <cellStyle name="Calculation 3 5 22 7" xfId="48447"/>
    <cellStyle name="Calculation 3 5 23" xfId="3089"/>
    <cellStyle name="Calculation 3 5 23 2" xfId="10896"/>
    <cellStyle name="Calculation 3 5 23 3" xfId="18282"/>
    <cellStyle name="Calculation 3 5 23 4" xfId="25504"/>
    <cellStyle name="Calculation 3 5 23 5" xfId="33982"/>
    <cellStyle name="Calculation 3 5 23 6" xfId="37663"/>
    <cellStyle name="Calculation 3 5 23 7" xfId="51880"/>
    <cellStyle name="Calculation 3 5 24" xfId="3699"/>
    <cellStyle name="Calculation 3 5 24 2" xfId="11484"/>
    <cellStyle name="Calculation 3 5 24 3" xfId="18757"/>
    <cellStyle name="Calculation 3 5 24 4" xfId="19822"/>
    <cellStyle name="Calculation 3 5 24 5" xfId="28387"/>
    <cellStyle name="Calculation 3 5 24 6" xfId="36332"/>
    <cellStyle name="Calculation 3 5 24 7" xfId="48881"/>
    <cellStyle name="Calculation 3 5 25" xfId="3829"/>
    <cellStyle name="Calculation 3 5 25 2" xfId="11611"/>
    <cellStyle name="Calculation 3 5 25 3" xfId="18868"/>
    <cellStyle name="Calculation 3 5 25 4" xfId="25340"/>
    <cellStyle name="Calculation 3 5 25 5" xfId="33772"/>
    <cellStyle name="Calculation 3 5 25 6" xfId="38998"/>
    <cellStyle name="Calculation 3 5 25 7" xfId="51509"/>
    <cellStyle name="Calculation 3 5 26" xfId="3947"/>
    <cellStyle name="Calculation 3 5 26 2" xfId="11727"/>
    <cellStyle name="Calculation 3 5 26 3" xfId="18977"/>
    <cellStyle name="Calculation 3 5 26 4" xfId="26417"/>
    <cellStyle name="Calculation 3 5 26 5" xfId="35177"/>
    <cellStyle name="Calculation 3 5 26 6" xfId="41896"/>
    <cellStyle name="Calculation 3 5 26 7" xfId="53889"/>
    <cellStyle name="Calculation 3 5 27" xfId="3190"/>
    <cellStyle name="Calculation 3 5 27 2" xfId="10991"/>
    <cellStyle name="Calculation 3 5 27 3" xfId="20318"/>
    <cellStyle name="Calculation 3 5 27 4" xfId="28410"/>
    <cellStyle name="Calculation 3 5 27 5" xfId="37797"/>
    <cellStyle name="Calculation 3 5 27 6" xfId="42432"/>
    <cellStyle name="Calculation 3 5 27 7" xfId="50403"/>
    <cellStyle name="Calculation 3 5 28" xfId="4144"/>
    <cellStyle name="Calculation 3 5 28 2" xfId="11903"/>
    <cellStyle name="Calculation 3 5 28 3" xfId="20854"/>
    <cellStyle name="Calculation 3 5 28 4" xfId="29041"/>
    <cellStyle name="Calculation 3 5 28 5" xfId="38417"/>
    <cellStyle name="Calculation 3 5 28 6" xfId="42706"/>
    <cellStyle name="Calculation 3 5 28 7" xfId="50094"/>
    <cellStyle name="Calculation 3 5 29" xfId="4005"/>
    <cellStyle name="Calculation 3 5 29 2" xfId="20715"/>
    <cellStyle name="Calculation 3 5 29 3" xfId="28902"/>
    <cellStyle name="Calculation 3 5 29 4" xfId="38285"/>
    <cellStyle name="Calculation 3 5 29 5" xfId="42567"/>
    <cellStyle name="Calculation 3 5 29 6" xfId="48942"/>
    <cellStyle name="Calculation 3 5 3" xfId="801"/>
    <cellStyle name="Calculation 3 5 3 2" xfId="8625"/>
    <cellStyle name="Calculation 3 5 3 3" xfId="16053"/>
    <cellStyle name="Calculation 3 5 3 4" xfId="19785"/>
    <cellStyle name="Calculation 3 5 3 5" xfId="28655"/>
    <cellStyle name="Calculation 3 5 3 6" xfId="37335"/>
    <cellStyle name="Calculation 3 5 3 7" xfId="48466"/>
    <cellStyle name="Calculation 3 5 30" xfId="4341"/>
    <cellStyle name="Calculation 3 5 30 2" xfId="12058"/>
    <cellStyle name="Calculation 3 5 30 3" xfId="21051"/>
    <cellStyle name="Calculation 3 5 30 4" xfId="29238"/>
    <cellStyle name="Calculation 3 5 30 5" xfId="38608"/>
    <cellStyle name="Calculation 3 5 30 6" xfId="42903"/>
    <cellStyle name="Calculation 3 5 30 7" xfId="47362"/>
    <cellStyle name="Calculation 3 5 31" xfId="4464"/>
    <cellStyle name="Calculation 3 5 31 2" xfId="12181"/>
    <cellStyle name="Calculation 3 5 31 3" xfId="21174"/>
    <cellStyle name="Calculation 3 5 31 4" xfId="29361"/>
    <cellStyle name="Calculation 3 5 31 5" xfId="38726"/>
    <cellStyle name="Calculation 3 5 31 6" xfId="43026"/>
    <cellStyle name="Calculation 3 5 31 7" xfId="48892"/>
    <cellStyle name="Calculation 3 5 32" xfId="4578"/>
    <cellStyle name="Calculation 3 5 32 2" xfId="12295"/>
    <cellStyle name="Calculation 3 5 32 3" xfId="21288"/>
    <cellStyle name="Calculation 3 5 32 4" xfId="29475"/>
    <cellStyle name="Calculation 3 5 32 5" xfId="38835"/>
    <cellStyle name="Calculation 3 5 32 6" xfId="43140"/>
    <cellStyle name="Calculation 3 5 32 7" xfId="52065"/>
    <cellStyle name="Calculation 3 5 33" xfId="4691"/>
    <cellStyle name="Calculation 3 5 33 2" xfId="12408"/>
    <cellStyle name="Calculation 3 5 33 3" xfId="21401"/>
    <cellStyle name="Calculation 3 5 33 4" xfId="29588"/>
    <cellStyle name="Calculation 3 5 33 5" xfId="38944"/>
    <cellStyle name="Calculation 3 5 33 6" xfId="43253"/>
    <cellStyle name="Calculation 3 5 33 7" xfId="51765"/>
    <cellStyle name="Calculation 3 5 34" xfId="4802"/>
    <cellStyle name="Calculation 3 5 34 2" xfId="12519"/>
    <cellStyle name="Calculation 3 5 34 3" xfId="21512"/>
    <cellStyle name="Calculation 3 5 34 4" xfId="29699"/>
    <cellStyle name="Calculation 3 5 34 5" xfId="39052"/>
    <cellStyle name="Calculation 3 5 34 6" xfId="43364"/>
    <cellStyle name="Calculation 3 5 34 7" xfId="51439"/>
    <cellStyle name="Calculation 3 5 35" xfId="4911"/>
    <cellStyle name="Calculation 3 5 35 2" xfId="12628"/>
    <cellStyle name="Calculation 3 5 35 3" xfId="21621"/>
    <cellStyle name="Calculation 3 5 35 4" xfId="29808"/>
    <cellStyle name="Calculation 3 5 35 5" xfId="39156"/>
    <cellStyle name="Calculation 3 5 35 6" xfId="43473"/>
    <cellStyle name="Calculation 3 5 35 7" xfId="47948"/>
    <cellStyle name="Calculation 3 5 36" xfId="5022"/>
    <cellStyle name="Calculation 3 5 36 2" xfId="12739"/>
    <cellStyle name="Calculation 3 5 36 3" xfId="21732"/>
    <cellStyle name="Calculation 3 5 36 4" xfId="29919"/>
    <cellStyle name="Calculation 3 5 36 5" xfId="39264"/>
    <cellStyle name="Calculation 3 5 36 6" xfId="43584"/>
    <cellStyle name="Calculation 3 5 36 7" xfId="47583"/>
    <cellStyle name="Calculation 3 5 37" xfId="5401"/>
    <cellStyle name="Calculation 3 5 37 2" xfId="13118"/>
    <cellStyle name="Calculation 3 5 37 3" xfId="22111"/>
    <cellStyle name="Calculation 3 5 37 4" xfId="30298"/>
    <cellStyle name="Calculation 3 5 37 5" xfId="39628"/>
    <cellStyle name="Calculation 3 5 37 6" xfId="43963"/>
    <cellStyle name="Calculation 3 5 37 7" xfId="51175"/>
    <cellStyle name="Calculation 3 5 38" xfId="5521"/>
    <cellStyle name="Calculation 3 5 38 2" xfId="13238"/>
    <cellStyle name="Calculation 3 5 38 3" xfId="22231"/>
    <cellStyle name="Calculation 3 5 38 4" xfId="30418"/>
    <cellStyle name="Calculation 3 5 38 5" xfId="39742"/>
    <cellStyle name="Calculation 3 5 38 6" xfId="44083"/>
    <cellStyle name="Calculation 3 5 38 7" xfId="48476"/>
    <cellStyle name="Calculation 3 5 39" xfId="5645"/>
    <cellStyle name="Calculation 3 5 39 2" xfId="13362"/>
    <cellStyle name="Calculation 3 5 39 3" xfId="22355"/>
    <cellStyle name="Calculation 3 5 39 4" xfId="30542"/>
    <cellStyle name="Calculation 3 5 39 5" xfId="39862"/>
    <cellStyle name="Calculation 3 5 39 6" xfId="44207"/>
    <cellStyle name="Calculation 3 5 39 7" xfId="47200"/>
    <cellStyle name="Calculation 3 5 4" xfId="912"/>
    <cellStyle name="Calculation 3 5 4 2" xfId="8736"/>
    <cellStyle name="Calculation 3 5 4 3" xfId="16164"/>
    <cellStyle name="Calculation 3 5 4 4" xfId="25923"/>
    <cellStyle name="Calculation 3 5 4 5" xfId="34525"/>
    <cellStyle name="Calculation 3 5 4 6" xfId="38201"/>
    <cellStyle name="Calculation 3 5 4 7" xfId="52830"/>
    <cellStyle name="Calculation 3 5 40" xfId="5761"/>
    <cellStyle name="Calculation 3 5 40 2" xfId="13478"/>
    <cellStyle name="Calculation 3 5 40 3" xfId="22471"/>
    <cellStyle name="Calculation 3 5 40 4" xfId="30658"/>
    <cellStyle name="Calculation 3 5 40 5" xfId="39974"/>
    <cellStyle name="Calculation 3 5 40 6" xfId="44323"/>
    <cellStyle name="Calculation 3 5 40 7" xfId="50983"/>
    <cellStyle name="Calculation 3 5 41" xfId="5877"/>
    <cellStyle name="Calculation 3 5 41 2" xfId="13594"/>
    <cellStyle name="Calculation 3 5 41 3" xfId="22587"/>
    <cellStyle name="Calculation 3 5 41 4" xfId="30774"/>
    <cellStyle name="Calculation 3 5 41 5" xfId="40087"/>
    <cellStyle name="Calculation 3 5 41 6" xfId="44439"/>
    <cellStyle name="Calculation 3 5 41 7" xfId="51623"/>
    <cellStyle name="Calculation 3 5 42" xfId="6006"/>
    <cellStyle name="Calculation 3 5 42 2" xfId="13723"/>
    <cellStyle name="Calculation 3 5 42 3" xfId="22716"/>
    <cellStyle name="Calculation 3 5 42 4" xfId="30903"/>
    <cellStyle name="Calculation 3 5 42 5" xfId="40211"/>
    <cellStyle name="Calculation 3 5 42 6" xfId="44568"/>
    <cellStyle name="Calculation 3 5 42 7" xfId="53871"/>
    <cellStyle name="Calculation 3 5 43" xfId="5292"/>
    <cellStyle name="Calculation 3 5 43 2" xfId="13009"/>
    <cellStyle name="Calculation 3 5 43 3" xfId="22002"/>
    <cellStyle name="Calculation 3 5 43 4" xfId="30189"/>
    <cellStyle name="Calculation 3 5 43 5" xfId="39523"/>
    <cellStyle name="Calculation 3 5 43 6" xfId="43854"/>
    <cellStyle name="Calculation 3 5 43 7" xfId="51194"/>
    <cellStyle name="Calculation 3 5 44" xfId="6262"/>
    <cellStyle name="Calculation 3 5 44 2" xfId="13979"/>
    <cellStyle name="Calculation 3 5 44 3" xfId="22972"/>
    <cellStyle name="Calculation 3 5 44 4" xfId="31159"/>
    <cellStyle name="Calculation 3 5 44 5" xfId="40459"/>
    <cellStyle name="Calculation 3 5 44 6" xfId="44824"/>
    <cellStyle name="Calculation 3 5 44 7" xfId="48975"/>
    <cellStyle name="Calculation 3 5 45" xfId="6378"/>
    <cellStyle name="Calculation 3 5 45 2" xfId="14095"/>
    <cellStyle name="Calculation 3 5 45 3" xfId="23088"/>
    <cellStyle name="Calculation 3 5 45 4" xfId="31275"/>
    <cellStyle name="Calculation 3 5 45 5" xfId="40572"/>
    <cellStyle name="Calculation 3 5 45 6" xfId="44940"/>
    <cellStyle name="Calculation 3 5 45 7" xfId="52244"/>
    <cellStyle name="Calculation 3 5 46" xfId="6489"/>
    <cellStyle name="Calculation 3 5 46 2" xfId="14206"/>
    <cellStyle name="Calculation 3 5 46 3" xfId="23199"/>
    <cellStyle name="Calculation 3 5 46 4" xfId="31386"/>
    <cellStyle name="Calculation 3 5 46 5" xfId="40679"/>
    <cellStyle name="Calculation 3 5 46 6" xfId="45051"/>
    <cellStyle name="Calculation 3 5 46 7" xfId="54102"/>
    <cellStyle name="Calculation 3 5 47" xfId="5256"/>
    <cellStyle name="Calculation 3 5 47 2" xfId="12973"/>
    <cellStyle name="Calculation 3 5 47 3" xfId="21966"/>
    <cellStyle name="Calculation 3 5 47 4" xfId="30153"/>
    <cellStyle name="Calculation 3 5 47 5" xfId="39488"/>
    <cellStyle name="Calculation 3 5 47 6" xfId="43818"/>
    <cellStyle name="Calculation 3 5 47 7" xfId="51051"/>
    <cellStyle name="Calculation 3 5 48" xfId="6635"/>
    <cellStyle name="Calculation 3 5 48 2" xfId="14352"/>
    <cellStyle name="Calculation 3 5 48 3" xfId="23345"/>
    <cellStyle name="Calculation 3 5 48 4" xfId="31532"/>
    <cellStyle name="Calculation 3 5 48 5" xfId="40818"/>
    <cellStyle name="Calculation 3 5 48 6" xfId="45197"/>
    <cellStyle name="Calculation 3 5 48 7" xfId="48452"/>
    <cellStyle name="Calculation 3 5 49" xfId="6747"/>
    <cellStyle name="Calculation 3 5 49 2" xfId="14464"/>
    <cellStyle name="Calculation 3 5 49 3" xfId="23457"/>
    <cellStyle name="Calculation 3 5 49 4" xfId="31644"/>
    <cellStyle name="Calculation 3 5 49 5" xfId="40924"/>
    <cellStyle name="Calculation 3 5 49 6" xfId="45309"/>
    <cellStyle name="Calculation 3 5 49 7" xfId="50240"/>
    <cellStyle name="Calculation 3 5 5" xfId="1378"/>
    <cellStyle name="Calculation 3 5 5 2" xfId="9201"/>
    <cellStyle name="Calculation 3 5 5 3" xfId="16629"/>
    <cellStyle name="Calculation 3 5 5 4" xfId="25708"/>
    <cellStyle name="Calculation 3 5 5 5" xfId="34249"/>
    <cellStyle name="Calculation 3 5 5 6" xfId="38681"/>
    <cellStyle name="Calculation 3 5 5 7" xfId="52333"/>
    <cellStyle name="Calculation 3 5 50" xfId="6862"/>
    <cellStyle name="Calculation 3 5 50 2" xfId="14579"/>
    <cellStyle name="Calculation 3 5 50 3" xfId="23572"/>
    <cellStyle name="Calculation 3 5 50 4" xfId="31759"/>
    <cellStyle name="Calculation 3 5 50 5" xfId="41032"/>
    <cellStyle name="Calculation 3 5 50 6" xfId="45424"/>
    <cellStyle name="Calculation 3 5 50 7" xfId="47072"/>
    <cellStyle name="Calculation 3 5 51" xfId="6975"/>
    <cellStyle name="Calculation 3 5 51 2" xfId="14692"/>
    <cellStyle name="Calculation 3 5 51 3" xfId="23685"/>
    <cellStyle name="Calculation 3 5 51 4" xfId="31872"/>
    <cellStyle name="Calculation 3 5 51 5" xfId="41140"/>
    <cellStyle name="Calculation 3 5 51 6" xfId="45537"/>
    <cellStyle name="Calculation 3 5 51 7" xfId="54525"/>
    <cellStyle name="Calculation 3 5 52" xfId="7086"/>
    <cellStyle name="Calculation 3 5 52 2" xfId="14803"/>
    <cellStyle name="Calculation 3 5 52 3" xfId="23796"/>
    <cellStyle name="Calculation 3 5 52 4" xfId="31983"/>
    <cellStyle name="Calculation 3 5 52 5" xfId="41245"/>
    <cellStyle name="Calculation 3 5 52 6" xfId="45648"/>
    <cellStyle name="Calculation 3 5 52 7" xfId="49795"/>
    <cellStyle name="Calculation 3 5 53" xfId="7191"/>
    <cellStyle name="Calculation 3 5 53 2" xfId="14908"/>
    <cellStyle name="Calculation 3 5 53 3" xfId="23901"/>
    <cellStyle name="Calculation 3 5 53 4" xfId="32088"/>
    <cellStyle name="Calculation 3 5 53 5" xfId="41349"/>
    <cellStyle name="Calculation 3 5 53 6" xfId="45753"/>
    <cellStyle name="Calculation 3 5 53 7" xfId="52408"/>
    <cellStyle name="Calculation 3 5 54" xfId="7415"/>
    <cellStyle name="Calculation 3 5 54 2" xfId="15132"/>
    <cellStyle name="Calculation 3 5 54 3" xfId="24125"/>
    <cellStyle name="Calculation 3 5 54 4" xfId="32312"/>
    <cellStyle name="Calculation 3 5 54 5" xfId="41564"/>
    <cellStyle name="Calculation 3 5 54 6" xfId="45977"/>
    <cellStyle name="Calculation 3 5 54 7" xfId="51992"/>
    <cellStyle name="Calculation 3 5 55" xfId="7483"/>
    <cellStyle name="Calculation 3 5 55 2" xfId="15200"/>
    <cellStyle name="Calculation 3 5 55 3" xfId="24193"/>
    <cellStyle name="Calculation 3 5 55 4" xfId="32380"/>
    <cellStyle name="Calculation 3 5 55 5" xfId="41628"/>
    <cellStyle name="Calculation 3 5 55 6" xfId="46045"/>
    <cellStyle name="Calculation 3 5 55 7" xfId="47650"/>
    <cellStyle name="Calculation 3 5 56" xfId="7604"/>
    <cellStyle name="Calculation 3 5 56 2" xfId="15321"/>
    <cellStyle name="Calculation 3 5 56 3" xfId="24314"/>
    <cellStyle name="Calculation 3 5 56 4" xfId="32501"/>
    <cellStyle name="Calculation 3 5 56 5" xfId="41743"/>
    <cellStyle name="Calculation 3 5 56 6" xfId="46166"/>
    <cellStyle name="Calculation 3 5 56 7" xfId="49334"/>
    <cellStyle name="Calculation 3 5 57" xfId="7880"/>
    <cellStyle name="Calculation 3 5 57 2" xfId="15597"/>
    <cellStyle name="Calculation 3 5 57 3" xfId="24584"/>
    <cellStyle name="Calculation 3 5 57 4" xfId="32777"/>
    <cellStyle name="Calculation 3 5 57 5" xfId="42008"/>
    <cellStyle name="Calculation 3 5 57 6" xfId="46442"/>
    <cellStyle name="Calculation 3 5 57 7" xfId="52389"/>
    <cellStyle name="Calculation 3 5 58" xfId="7979"/>
    <cellStyle name="Calculation 3 5 58 2" xfId="15696"/>
    <cellStyle name="Calculation 3 5 58 3" xfId="24681"/>
    <cellStyle name="Calculation 3 5 58 4" xfId="32876"/>
    <cellStyle name="Calculation 3 5 58 5" xfId="42102"/>
    <cellStyle name="Calculation 3 5 58 6" xfId="46541"/>
    <cellStyle name="Calculation 3 5 58 7" xfId="52201"/>
    <cellStyle name="Calculation 3 5 59" xfId="7650"/>
    <cellStyle name="Calculation 3 5 59 2" xfId="15367"/>
    <cellStyle name="Calculation 3 5 59 3" xfId="24360"/>
    <cellStyle name="Calculation 3 5 59 4" xfId="32547"/>
    <cellStyle name="Calculation 3 5 59 5" xfId="41789"/>
    <cellStyle name="Calculation 3 5 59 6" xfId="46212"/>
    <cellStyle name="Calculation 3 5 59 7" xfId="47515"/>
    <cellStyle name="Calculation 3 5 6" xfId="1501"/>
    <cellStyle name="Calculation 3 5 6 2" xfId="9324"/>
    <cellStyle name="Calculation 3 5 6 3" xfId="16752"/>
    <cellStyle name="Calculation 3 5 6 4" xfId="25694"/>
    <cellStyle name="Calculation 3 5 6 5" xfId="34233"/>
    <cellStyle name="Calculation 3 5 6 6" xfId="41149"/>
    <cellStyle name="Calculation 3 5 6 7" xfId="52302"/>
    <cellStyle name="Calculation 3 5 60" xfId="8156"/>
    <cellStyle name="Calculation 3 5 60 2" xfId="15873"/>
    <cellStyle name="Calculation 3 5 60 3" xfId="33053"/>
    <cellStyle name="Calculation 3 5 60 4" xfId="42272"/>
    <cellStyle name="Calculation 3 5 60 5" xfId="46718"/>
    <cellStyle name="Calculation 3 5 60 6" xfId="47895"/>
    <cellStyle name="Calculation 3 5 61" xfId="19301"/>
    <cellStyle name="Calculation 3 5 62" xfId="28365"/>
    <cellStyle name="Calculation 3 5 63" xfId="36284"/>
    <cellStyle name="Calculation 3 5 64" xfId="47801"/>
    <cellStyle name="Calculation 3 5 7" xfId="1287"/>
    <cellStyle name="Calculation 3 5 7 2" xfId="9110"/>
    <cellStyle name="Calculation 3 5 7 3" xfId="16538"/>
    <cellStyle name="Calculation 3 5 7 4" xfId="19973"/>
    <cellStyle name="Calculation 3 5 7 5" xfId="27178"/>
    <cellStyle name="Calculation 3 5 7 6" xfId="39348"/>
    <cellStyle name="Calculation 3 5 7 7" xfId="47185"/>
    <cellStyle name="Calculation 3 5 8" xfId="1738"/>
    <cellStyle name="Calculation 3 5 8 2" xfId="9561"/>
    <cellStyle name="Calculation 3 5 8 3" xfId="16989"/>
    <cellStyle name="Calculation 3 5 8 4" xfId="20033"/>
    <cellStyle name="Calculation 3 5 8 5" xfId="33141"/>
    <cellStyle name="Calculation 3 5 8 6" xfId="40821"/>
    <cellStyle name="Calculation 3 5 8 7" xfId="50411"/>
    <cellStyle name="Calculation 3 5 9" xfId="1872"/>
    <cellStyle name="Calculation 3 5 9 2" xfId="9695"/>
    <cellStyle name="Calculation 3 5 9 3" xfId="17123"/>
    <cellStyle name="Calculation 3 5 9 4" xfId="25036"/>
    <cellStyle name="Calculation 3 5 9 5" xfId="33394"/>
    <cellStyle name="Calculation 3 5 9 6" xfId="40182"/>
    <cellStyle name="Calculation 3 5 9 7" xfId="50875"/>
    <cellStyle name="Calculation 3 6" xfId="245"/>
    <cellStyle name="Calculation 3 6 2" xfId="8345"/>
    <cellStyle name="Calculation 3 6 3" xfId="8374"/>
    <cellStyle name="Calculation 3 6 4" xfId="19377"/>
    <cellStyle name="Calculation 3 6 5" xfId="27945"/>
    <cellStyle name="Calculation 3 6 6" xfId="37315"/>
    <cellStyle name="Calculation 3 6 7" xfId="47259"/>
    <cellStyle name="Calculation 3 7" xfId="232"/>
    <cellStyle name="Calculation 3 7 2" xfId="8336"/>
    <cellStyle name="Calculation 3 7 3" xfId="8368"/>
    <cellStyle name="Calculation 3 7 4" xfId="19036"/>
    <cellStyle name="Calculation 3 7 5" xfId="28174"/>
    <cellStyle name="Calculation 3 7 6" xfId="38247"/>
    <cellStyle name="Calculation 3 7 7" xfId="49884"/>
    <cellStyle name="Calculation 3 8" xfId="1073"/>
    <cellStyle name="Calculation 3 8 2" xfId="8897"/>
    <cellStyle name="Calculation 3 8 3" xfId="16325"/>
    <cellStyle name="Calculation 3 8 4" xfId="19064"/>
    <cellStyle name="Calculation 3 8 5" xfId="33163"/>
    <cellStyle name="Calculation 3 8 6" xfId="36644"/>
    <cellStyle name="Calculation 3 8 7" xfId="50461"/>
    <cellStyle name="Calculation 3 9" xfId="1019"/>
    <cellStyle name="Calculation 3 9 2" xfId="8843"/>
    <cellStyle name="Calculation 3 9 3" xfId="16271"/>
    <cellStyle name="Calculation 3 9 4" xfId="19974"/>
    <cellStyle name="Calculation 3 9 5" xfId="27683"/>
    <cellStyle name="Calculation 3 9 6" xfId="38142"/>
    <cellStyle name="Calculation 3 9 7" xfId="48715"/>
    <cellStyle name="Check Cell 2" xfId="133"/>
    <cellStyle name="Check Cell 2 2" xfId="188"/>
    <cellStyle name="Check Cell 2 2 2" xfId="271"/>
    <cellStyle name="Check Cell 2 2 2 2" xfId="474"/>
    <cellStyle name="Check Cell 2 2 2 2 2" xfId="8388"/>
    <cellStyle name="Check Cell 2 2 2 3" xfId="8358"/>
    <cellStyle name="Check Cell 2 2 3" xfId="253"/>
    <cellStyle name="Check Cell 2 2 3 2" xfId="472"/>
    <cellStyle name="Check Cell 2 2 3 2 2" xfId="8386"/>
    <cellStyle name="Check Cell 2 2 3 3" xfId="8353"/>
    <cellStyle name="Check Cell 2 2 4" xfId="457"/>
    <cellStyle name="Check Cell 2 2 4 2" xfId="8375"/>
    <cellStyle name="Check Cell 2 2 5" xfId="240"/>
    <cellStyle name="Check Cell 2 2 5 2" xfId="8340"/>
    <cellStyle name="Check Cell 2 2 6" xfId="8228"/>
    <cellStyle name="Check Cell 2 2 6 2" xfId="15922"/>
    <cellStyle name="Check Cell 2 2 7" xfId="8231"/>
    <cellStyle name="Check Cell 2 2 7 2" xfId="15923"/>
    <cellStyle name="Check Cell 2 2 8" xfId="8233"/>
    <cellStyle name="Check Cell 2 3" xfId="190"/>
    <cellStyle name="Check Cell 2 3 2" xfId="273"/>
    <cellStyle name="Check Cell 2 3 2 2" xfId="476"/>
    <cellStyle name="Check Cell 2 3 2 2 2" xfId="8390"/>
    <cellStyle name="Check Cell 2 3 2 3" xfId="8360"/>
    <cellStyle name="Check Cell 2 3 3" xfId="250"/>
    <cellStyle name="Check Cell 2 3 3 2" xfId="469"/>
    <cellStyle name="Check Cell 2 3 3 2 2" xfId="8383"/>
    <cellStyle name="Check Cell 2 3 3 3" xfId="8350"/>
    <cellStyle name="Check Cell 2 3 4" xfId="459"/>
    <cellStyle name="Check Cell 2 3 4 2" xfId="8377"/>
    <cellStyle name="Check Cell 2 3 5" xfId="242"/>
    <cellStyle name="Check Cell 2 3 5 2" xfId="8342"/>
    <cellStyle name="Check Cell 2 3 6" xfId="8227"/>
    <cellStyle name="Check Cell 2 3 6 2" xfId="15921"/>
    <cellStyle name="Check Cell 2 3 7" xfId="8236"/>
    <cellStyle name="Check Cell 2 3 7 2" xfId="15925"/>
    <cellStyle name="Check Cell 2 3 8" xfId="8234"/>
    <cellStyle name="Check Cell 2 4" xfId="199"/>
    <cellStyle name="Check Cell 2 4 2" xfId="252"/>
    <cellStyle name="Check Cell 2 4 2 2" xfId="471"/>
    <cellStyle name="Check Cell 2 4 2 2 2" xfId="8385"/>
    <cellStyle name="Check Cell 2 4 2 3" xfId="8352"/>
    <cellStyle name="Check Cell 2 4 3" xfId="460"/>
    <cellStyle name="Check Cell 2 4 3 2" xfId="8378"/>
    <cellStyle name="Check Cell 2 4 4" xfId="8239"/>
    <cellStyle name="Check Cell 2 4 4 2" xfId="15928"/>
    <cellStyle name="Check Cell 2 4 5" xfId="8232"/>
    <cellStyle name="Check Cell 2 4 5 2" xfId="15924"/>
    <cellStyle name="Check Cell 2 4 6" xfId="8229"/>
    <cellStyle name="Check Cell 2 5" xfId="8224"/>
    <cellStyle name="Check Cell 3" xfId="132"/>
    <cellStyle name="Check Cell 3 2" xfId="189"/>
    <cellStyle name="Check Cell 3 2 2" xfId="272"/>
    <cellStyle name="Check Cell 3 2 2 2" xfId="475"/>
    <cellStyle name="Check Cell 3 2 2 2 2" xfId="8389"/>
    <cellStyle name="Check Cell 3 2 2 3" xfId="8359"/>
    <cellStyle name="Check Cell 3 2 3" xfId="254"/>
    <cellStyle name="Check Cell 3 2 3 2" xfId="473"/>
    <cellStyle name="Check Cell 3 2 3 2 2" xfId="8387"/>
    <cellStyle name="Check Cell 3 2 3 3" xfId="8354"/>
    <cellStyle name="Check Cell 3 2 4" xfId="458"/>
    <cellStyle name="Check Cell 3 2 4 2" xfId="8376"/>
    <cellStyle name="Check Cell 3 2 5" xfId="241"/>
    <cellStyle name="Check Cell 3 2 5 2" xfId="8341"/>
    <cellStyle name="Check Cell 3 2 6" xfId="8226"/>
    <cellStyle name="Check Cell 3 2 6 2" xfId="15920"/>
    <cellStyle name="Check Cell 3 2 7" xfId="8223"/>
    <cellStyle name="Check Cell 3 2 7 2" xfId="15918"/>
    <cellStyle name="Check Cell 3 2 8" xfId="8230"/>
    <cellStyle name="Check Cell 3 3" xfId="210"/>
    <cellStyle name="Check Cell 3 3 2" xfId="275"/>
    <cellStyle name="Check Cell 3 3 2 2" xfId="477"/>
    <cellStyle name="Check Cell 3 3 2 2 2" xfId="8391"/>
    <cellStyle name="Check Cell 3 3 2 3" xfId="8361"/>
    <cellStyle name="Check Cell 3 3 3" xfId="249"/>
    <cellStyle name="Check Cell 3 3 3 2" xfId="468"/>
    <cellStyle name="Check Cell 3 3 3 2 2" xfId="8382"/>
    <cellStyle name="Check Cell 3 3 3 3" xfId="8349"/>
    <cellStyle name="Check Cell 3 3 4" xfId="461"/>
    <cellStyle name="Check Cell 3 3 4 2" xfId="8379"/>
    <cellStyle name="Check Cell 3 3 5" xfId="247"/>
    <cellStyle name="Check Cell 3 3 5 2" xfId="8347"/>
    <cellStyle name="Check Cell 3 3 6" xfId="8240"/>
    <cellStyle name="Check Cell 3 3 6 2" xfId="15929"/>
    <cellStyle name="Check Cell 3 3 7" xfId="8242"/>
    <cellStyle name="Check Cell 3 3 7 2" xfId="15931"/>
    <cellStyle name="Check Cell 3 3 8" xfId="8235"/>
    <cellStyle name="Check Cell 3 4" xfId="211"/>
    <cellStyle name="Check Cell 3 4 2" xfId="251"/>
    <cellStyle name="Check Cell 3 4 2 2" xfId="470"/>
    <cellStyle name="Check Cell 3 4 2 2 2" xfId="8384"/>
    <cellStyle name="Check Cell 3 4 2 3" xfId="8351"/>
    <cellStyle name="Check Cell 3 4 3" xfId="462"/>
    <cellStyle name="Check Cell 3 4 3 2" xfId="8380"/>
    <cellStyle name="Check Cell 3 4 4" xfId="8241"/>
    <cellStyle name="Check Cell 3 4 4 2" xfId="15930"/>
    <cellStyle name="Check Cell 3 4 5" xfId="8243"/>
    <cellStyle name="Check Cell 3 4 5 2" xfId="15932"/>
    <cellStyle name="Check Cell 3 4 6" xfId="8244"/>
    <cellStyle name="Check Cell 3 5" xfId="8225"/>
    <cellStyle name="Comma" xfId="7" builtinId="3"/>
    <cellStyle name="Comma 10" xfId="191"/>
    <cellStyle name="Comma 10 2" xfId="277"/>
    <cellStyle name="Comma 10 2 2" xfId="278"/>
    <cellStyle name="Comma 10 3" xfId="276"/>
    <cellStyle name="Comma 11" xfId="279"/>
    <cellStyle name="Comma 11 2" xfId="280"/>
    <cellStyle name="Comma 12" xfId="8207"/>
    <cellStyle name="Comma 12 2" xfId="54557"/>
    <cellStyle name="Comma 13" xfId="8213"/>
    <cellStyle name="Comma 13 2" xfId="54567"/>
    <cellStyle name="Comma 13 2 2" xfId="54585"/>
    <cellStyle name="Comma 14" xfId="8203"/>
    <cellStyle name="Comma 15" xfId="54566"/>
    <cellStyle name="Comma 2" xfId="14"/>
    <cellStyle name="Comma 2 2" xfId="31"/>
    <cellStyle name="Comma 2 2 2" xfId="281"/>
    <cellStyle name="Comma 2 3" xfId="32"/>
    <cellStyle name="Comma 2 3 2" xfId="282"/>
    <cellStyle name="Comma 2 4" xfId="33"/>
    <cellStyle name="Comma 2 4 2" xfId="283"/>
    <cellStyle name="Comma 2 5" xfId="34"/>
    <cellStyle name="Comma 2 5 2" xfId="284"/>
    <cellStyle name="Comma 2 6" xfId="30"/>
    <cellStyle name="Comma 2 7" xfId="285"/>
    <cellStyle name="Comma 3" xfId="13"/>
    <cellStyle name="Comma 3 2" xfId="24"/>
    <cellStyle name="Comma 3 3" xfId="35"/>
    <cellStyle name="Comma 3 3 2" xfId="286"/>
    <cellStyle name="Comma 4" xfId="21"/>
    <cellStyle name="Comma 4 2" xfId="36"/>
    <cellStyle name="Comma 4 2 2" xfId="287"/>
    <cellStyle name="Comma 4 3" xfId="288"/>
    <cellStyle name="Comma 5" xfId="37"/>
    <cellStyle name="Comma 6" xfId="38"/>
    <cellStyle name="Comma 6 2" xfId="78"/>
    <cellStyle name="Comma 6 2 2" xfId="289"/>
    <cellStyle name="Comma 6 3" xfId="290"/>
    <cellStyle name="Comma 7" xfId="29"/>
    <cellStyle name="Comma 8" xfId="178"/>
    <cellStyle name="Comma 8 2" xfId="192"/>
    <cellStyle name="Comma 9" xfId="185"/>
    <cellStyle name="Comma 9 2" xfId="268"/>
    <cellStyle name="Comma 9 2 2" xfId="292"/>
    <cellStyle name="Comma 9 3" xfId="293"/>
    <cellStyle name="Comma 9 4" xfId="291"/>
    <cellStyle name="Comma 9 5" xfId="237"/>
    <cellStyle name="Currency" xfId="1" builtinId="4"/>
    <cellStyle name="Currency 10" xfId="179"/>
    <cellStyle name="Currency 10 2" xfId="194"/>
    <cellStyle name="Currency 11" xfId="181"/>
    <cellStyle name="Currency 11 2" xfId="195"/>
    <cellStyle name="Currency 11 2 2" xfId="294"/>
    <cellStyle name="Currency 12" xfId="186"/>
    <cellStyle name="Currency 12 2" xfId="269"/>
    <cellStyle name="Currency 12 2 2" xfId="296"/>
    <cellStyle name="Currency 12 3" xfId="297"/>
    <cellStyle name="Currency 12 4" xfId="295"/>
    <cellStyle name="Currency 12 5" xfId="238"/>
    <cellStyle name="Currency 13" xfId="193"/>
    <cellStyle name="Currency 13 2" xfId="299"/>
    <cellStyle name="Currency 13 3" xfId="298"/>
    <cellStyle name="Currency 14" xfId="8208"/>
    <cellStyle name="Currency 14 2" xfId="54558"/>
    <cellStyle name="Currency 14 3" xfId="54569"/>
    <cellStyle name="Currency 15" xfId="8212"/>
    <cellStyle name="Currency 15 2" xfId="54584"/>
    <cellStyle name="Currency 16" xfId="8202"/>
    <cellStyle name="Currency 17" xfId="54568"/>
    <cellStyle name="Currency 2" xfId="16"/>
    <cellStyle name="Currency 2 2" xfId="41"/>
    <cellStyle name="Currency 2 2 2" xfId="42"/>
    <cellStyle name="Currency 2 2 2 2" xfId="300"/>
    <cellStyle name="Currency 2 2 3" xfId="43"/>
    <cellStyle name="Currency 2 2 3 2" xfId="301"/>
    <cellStyle name="Currency 2 2 4" xfId="302"/>
    <cellStyle name="Currency 2 3" xfId="44"/>
    <cellStyle name="Currency 2 3 2" xfId="303"/>
    <cellStyle name="Currency 2 4" xfId="45"/>
    <cellStyle name="Currency 2 4 2" xfId="304"/>
    <cellStyle name="Currency 2 5" xfId="46"/>
    <cellStyle name="Currency 2 5 2" xfId="305"/>
    <cellStyle name="Currency 2 6" xfId="40"/>
    <cellStyle name="Currency 2 7" xfId="135"/>
    <cellStyle name="Currency 2 7 2" xfId="196"/>
    <cellStyle name="Currency 2 8" xfId="173"/>
    <cellStyle name="Currency 2 9" xfId="306"/>
    <cellStyle name="Currency 3" xfId="15"/>
    <cellStyle name="Currency 3 2" xfId="22"/>
    <cellStyle name="Currency 3 3" xfId="47"/>
    <cellStyle name="Currency 3 3 2" xfId="307"/>
    <cellStyle name="Currency 4" xfId="20"/>
    <cellStyle name="Currency 4 2" xfId="25"/>
    <cellStyle name="Currency 4 2 2" xfId="308"/>
    <cellStyle name="Currency 4 3" xfId="309"/>
    <cellStyle name="Currency 5" xfId="5"/>
    <cellStyle name="Currency 5 2" xfId="48"/>
    <cellStyle name="Currency 5 2 2" xfId="197"/>
    <cellStyle name="Currency 5 2 2 2" xfId="310"/>
    <cellStyle name="Currency 5 2 3" xfId="311"/>
    <cellStyle name="Currency 5 3" xfId="312"/>
    <cellStyle name="Currency 6" xfId="39"/>
    <cellStyle name="Currency 7" xfId="49"/>
    <cellStyle name="Currency 8" xfId="134"/>
    <cellStyle name="Currency 8 2" xfId="198"/>
    <cellStyle name="Currency 9" xfId="174"/>
    <cellStyle name="Data Field" xfId="313"/>
    <cellStyle name="Data Field 2" xfId="314"/>
    <cellStyle name="Data Name" xfId="315"/>
    <cellStyle name="Data Name 2" xfId="316"/>
    <cellStyle name="Date/Time" xfId="317"/>
    <cellStyle name="Explanatory Text 2" xfId="137"/>
    <cellStyle name="Explanatory Text 3" xfId="136"/>
    <cellStyle name="Good 2" xfId="139"/>
    <cellStyle name="Good 3" xfId="138"/>
    <cellStyle name="Heading" xfId="318"/>
    <cellStyle name="Heading 1 2" xfId="141"/>
    <cellStyle name="Heading 1 3" xfId="140"/>
    <cellStyle name="Heading 2 2" xfId="143"/>
    <cellStyle name="Heading 2 3" xfId="142"/>
    <cellStyle name="Heading 3 2" xfId="145"/>
    <cellStyle name="Heading 3 2 10" xfId="25377"/>
    <cellStyle name="Heading 3 2 11" xfId="26811"/>
    <cellStyle name="Heading 3 2 12" xfId="27214"/>
    <cellStyle name="Heading 3 2 13" xfId="27375"/>
    <cellStyle name="Heading 3 2 14" xfId="36258"/>
    <cellStyle name="Heading 3 2 15" xfId="42322"/>
    <cellStyle name="Heading 3 2 16" xfId="46765"/>
    <cellStyle name="Heading 3 2 17" xfId="46895"/>
    <cellStyle name="Heading 3 2 2" xfId="319"/>
    <cellStyle name="Heading 3 2 2 10" xfId="26896"/>
    <cellStyle name="Heading 3 2 2 11" xfId="27959"/>
    <cellStyle name="Heading 3 2 2 12" xfId="28087"/>
    <cellStyle name="Heading 3 2 2 13" xfId="36295"/>
    <cellStyle name="Heading 3 2 2 14" xfId="42323"/>
    <cellStyle name="Heading 3 2 2 15" xfId="42338"/>
    <cellStyle name="Heading 3 2 2 16" xfId="47066"/>
    <cellStyle name="Heading 3 2 2 2" xfId="555"/>
    <cellStyle name="Heading 3 2 2 2 10" xfId="36351"/>
    <cellStyle name="Heading 3 2 2 2 11" xfId="42328"/>
    <cellStyle name="Heading 3 2 2 2 12" xfId="46770"/>
    <cellStyle name="Heading 3 2 2 2 13" xfId="47297"/>
    <cellStyle name="Heading 3 2 2 2 2" xfId="8407"/>
    <cellStyle name="Heading 3 2 2 2 3" xfId="8248"/>
    <cellStyle name="Heading 3 2 2 2 4" xfId="19242"/>
    <cellStyle name="Heading 3 2 2 2 5" xfId="26721"/>
    <cellStyle name="Heading 3 2 2 2 6" xfId="26090"/>
    <cellStyle name="Heading 3 2 2 2 7" xfId="27025"/>
    <cellStyle name="Heading 3 2 2 2 8" xfId="26826"/>
    <cellStyle name="Heading 3 2 2 2 9" xfId="34979"/>
    <cellStyle name="Heading 3 2 2 3" xfId="574"/>
    <cellStyle name="Heading 3 2 2 3 10" xfId="36363"/>
    <cellStyle name="Heading 3 2 2 3 11" xfId="42330"/>
    <cellStyle name="Heading 3 2 2 3 12" xfId="42337"/>
    <cellStyle name="Heading 3 2 2 3 13" xfId="47315"/>
    <cellStyle name="Heading 3 2 2 3 2" xfId="8411"/>
    <cellStyle name="Heading 3 2 2 3 3" xfId="8245"/>
    <cellStyle name="Heading 3 2 2 3 4" xfId="19252"/>
    <cellStyle name="Heading 3 2 2 3 5" xfId="26717"/>
    <cellStyle name="Heading 3 2 2 3 6" xfId="19858"/>
    <cellStyle name="Heading 3 2 2 3 7" xfId="27038"/>
    <cellStyle name="Heading 3 2 2 3 8" xfId="33101"/>
    <cellStyle name="Heading 3 2 2 3 9" xfId="33205"/>
    <cellStyle name="Heading 3 2 2 4" xfId="478"/>
    <cellStyle name="Heading 3 2 2 4 10" xfId="36310"/>
    <cellStyle name="Heading 3 2 2 4 11" xfId="42325"/>
    <cellStyle name="Heading 3 2 2 4 12" xfId="46774"/>
    <cellStyle name="Heading 3 2 2 4 13" xfId="47223"/>
    <cellStyle name="Heading 3 2 2 4 2" xfId="8392"/>
    <cellStyle name="Heading 3 2 2 4 3" xfId="8315"/>
    <cellStyle name="Heading 3 2 2 4 4" xfId="19212"/>
    <cellStyle name="Heading 3 2 2 4 5" xfId="26711"/>
    <cellStyle name="Heading 3 2 2 4 6" xfId="26716"/>
    <cellStyle name="Heading 3 2 2 4 7" xfId="26986"/>
    <cellStyle name="Heading 3 2 2 4 8" xfId="27928"/>
    <cellStyle name="Heading 3 2 2 4 9" xfId="35392"/>
    <cellStyle name="Heading 3 2 2 5" xfId="8364"/>
    <cellStyle name="Heading 3 2 2 6" xfId="8250"/>
    <cellStyle name="Heading 3 2 2 7" xfId="19145"/>
    <cellStyle name="Heading 3 2 2 8" xfId="25074"/>
    <cellStyle name="Heading 3 2 2 9" xfId="26186"/>
    <cellStyle name="Heading 3 2 3" xfId="583"/>
    <cellStyle name="Heading 3 2 3 10" xfId="36367"/>
    <cellStyle name="Heading 3 2 3 11" xfId="42331"/>
    <cellStyle name="Heading 3 2 3 12" xfId="46773"/>
    <cellStyle name="Heading 3 2 3 13" xfId="47323"/>
    <cellStyle name="Heading 3 2 3 2" xfId="8413"/>
    <cellStyle name="Heading 3 2 3 3" xfId="15919"/>
    <cellStyle name="Heading 3 2 3 4" xfId="19257"/>
    <cellStyle name="Heading 3 2 3 5" xfId="26715"/>
    <cellStyle name="Heading 3 2 3 6" xfId="26718"/>
    <cellStyle name="Heading 3 2 3 7" xfId="27041"/>
    <cellStyle name="Heading 3 2 3 8" xfId="27630"/>
    <cellStyle name="Heading 3 2 3 9" xfId="28131"/>
    <cellStyle name="Heading 3 2 4" xfId="589"/>
    <cellStyle name="Heading 3 2 4 10" xfId="36370"/>
    <cellStyle name="Heading 3 2 4 11" xfId="42333"/>
    <cellStyle name="Heading 3 2 4 12" xfId="42472"/>
    <cellStyle name="Heading 3 2 4 13" xfId="47328"/>
    <cellStyle name="Heading 3 2 4 2" xfId="8415"/>
    <cellStyle name="Heading 3 2 4 3" xfId="8314"/>
    <cellStyle name="Heading 3 2 4 4" xfId="19260"/>
    <cellStyle name="Heading 3 2 4 5" xfId="26714"/>
    <cellStyle name="Heading 3 2 4 6" xfId="26656"/>
    <cellStyle name="Heading 3 2 4 7" xfId="27045"/>
    <cellStyle name="Heading 3 2 4 8" xfId="28893"/>
    <cellStyle name="Heading 3 2 4 9" xfId="27778"/>
    <cellStyle name="Heading 3 2 5" xfId="8237"/>
    <cellStyle name="Heading 3 2 5 10" xfId="42319"/>
    <cellStyle name="Heading 3 2 5 11" xfId="46763"/>
    <cellStyle name="Heading 3 2 5 12" xfId="46769"/>
    <cellStyle name="Heading 3 2 5 13" xfId="54549"/>
    <cellStyle name="Heading 3 2 5 2" xfId="15926"/>
    <cellStyle name="Heading 3 2 5 3" xfId="19022"/>
    <cellStyle name="Heading 3 2 5 4" xfId="26709"/>
    <cellStyle name="Heading 3 2 5 5" xfId="26723"/>
    <cellStyle name="Heading 3 2 5 6" xfId="19512"/>
    <cellStyle name="Heading 3 2 5 7" xfId="33117"/>
    <cellStyle name="Heading 3 2 5 8" xfId="35576"/>
    <cellStyle name="Heading 3 2 5 9" xfId="36247"/>
    <cellStyle name="Heading 3 2 6" xfId="8309"/>
    <cellStyle name="Heading 3 2 7" xfId="8404"/>
    <cellStyle name="Heading 3 2 8" xfId="19079"/>
    <cellStyle name="Heading 3 2 9" xfId="19987"/>
    <cellStyle name="Heading 3 3" xfId="144"/>
    <cellStyle name="Heading 3 3 10" xfId="26712"/>
    <cellStyle name="Heading 3 3 11" xfId="26810"/>
    <cellStyle name="Heading 3 3 12" xfId="27440"/>
    <cellStyle name="Heading 3 3 13" xfId="27033"/>
    <cellStyle name="Heading 3 3 14" xfId="36257"/>
    <cellStyle name="Heading 3 3 15" xfId="42321"/>
    <cellStyle name="Heading 3 3 16" xfId="46771"/>
    <cellStyle name="Heading 3 3 17" xfId="46894"/>
    <cellStyle name="Heading 3 3 2" xfId="320"/>
    <cellStyle name="Heading 3 3 2 10" xfId="26897"/>
    <cellStyle name="Heading 3 3 2 11" xfId="27365"/>
    <cellStyle name="Heading 3 3 2 12" xfId="28652"/>
    <cellStyle name="Heading 3 3 2 13" xfId="36296"/>
    <cellStyle name="Heading 3 3 2 14" xfId="42324"/>
    <cellStyle name="Heading 3 3 2 15" xfId="42336"/>
    <cellStyle name="Heading 3 3 2 16" xfId="47067"/>
    <cellStyle name="Heading 3 3 2 2" xfId="556"/>
    <cellStyle name="Heading 3 3 2 2 10" xfId="36352"/>
    <cellStyle name="Heading 3 3 2 2 11" xfId="42329"/>
    <cellStyle name="Heading 3 3 2 2 12" xfId="46772"/>
    <cellStyle name="Heading 3 3 2 2 13" xfId="47298"/>
    <cellStyle name="Heading 3 3 2 2 2" xfId="8408"/>
    <cellStyle name="Heading 3 3 2 2 3" xfId="8362"/>
    <cellStyle name="Heading 3 3 2 2 4" xfId="19243"/>
    <cellStyle name="Heading 3 3 2 2 5" xfId="25067"/>
    <cellStyle name="Heading 3 3 2 2 6" xfId="26719"/>
    <cellStyle name="Heading 3 3 2 2 7" xfId="27026"/>
    <cellStyle name="Heading 3 3 2 2 8" xfId="26822"/>
    <cellStyle name="Heading 3 3 2 2 9" xfId="26935"/>
    <cellStyle name="Heading 3 3 2 3" xfId="523"/>
    <cellStyle name="Heading 3 3 2 3 10" xfId="36335"/>
    <cellStyle name="Heading 3 3 2 3 11" xfId="42327"/>
    <cellStyle name="Heading 3 3 2 3 12" xfId="46767"/>
    <cellStyle name="Heading 3 3 2 3 13" xfId="47265"/>
    <cellStyle name="Heading 3 3 2 3 2" xfId="8398"/>
    <cellStyle name="Heading 3 3 2 3 3" xfId="8363"/>
    <cellStyle name="Heading 3 3 2 3 4" xfId="19224"/>
    <cellStyle name="Heading 3 3 2 3 5" xfId="26607"/>
    <cellStyle name="Heading 3 3 2 3 6" xfId="19647"/>
    <cellStyle name="Heading 3 3 2 3 7" xfId="27008"/>
    <cellStyle name="Heading 3 3 2 3 8" xfId="27555"/>
    <cellStyle name="Heading 3 3 2 3 9" xfId="34003"/>
    <cellStyle name="Heading 3 3 2 4" xfId="479"/>
    <cellStyle name="Heading 3 3 2 4 10" xfId="36311"/>
    <cellStyle name="Heading 3 3 2 4 11" xfId="42326"/>
    <cellStyle name="Heading 3 3 2 4 12" xfId="42335"/>
    <cellStyle name="Heading 3 3 2 4 13" xfId="47224"/>
    <cellStyle name="Heading 3 3 2 4 2" xfId="8393"/>
    <cellStyle name="Heading 3 3 2 4 3" xfId="8307"/>
    <cellStyle name="Heading 3 3 2 4 4" xfId="19213"/>
    <cellStyle name="Heading 3 3 2 4 5" xfId="26220"/>
    <cellStyle name="Heading 3 3 2 4 6" xfId="25656"/>
    <cellStyle name="Heading 3 3 2 4 7" xfId="26987"/>
    <cellStyle name="Heading 3 3 2 4 8" xfId="28037"/>
    <cellStyle name="Heading 3 3 2 4 9" xfId="27184"/>
    <cellStyle name="Heading 3 3 2 5" xfId="8365"/>
    <cellStyle name="Heading 3 3 2 6" xfId="8249"/>
    <cellStyle name="Heading 3 3 2 7" xfId="19146"/>
    <cellStyle name="Heading 3 3 2 8" xfId="26722"/>
    <cellStyle name="Heading 3 3 2 9" xfId="26720"/>
    <cellStyle name="Heading 3 3 3" xfId="585"/>
    <cellStyle name="Heading 3 3 3 10" xfId="36368"/>
    <cellStyle name="Heading 3 3 3 11" xfId="42332"/>
    <cellStyle name="Heading 3 3 3 12" xfId="42545"/>
    <cellStyle name="Heading 3 3 3 13" xfId="47325"/>
    <cellStyle name="Heading 3 3 3 2" xfId="8414"/>
    <cellStyle name="Heading 3 3 3 3" xfId="8316"/>
    <cellStyle name="Heading 3 3 3 4" xfId="19258"/>
    <cellStyle name="Heading 3 3 3 5" xfId="20492"/>
    <cellStyle name="Heading 3 3 3 6" xfId="19739"/>
    <cellStyle name="Heading 3 3 3 7" xfId="27042"/>
    <cellStyle name="Heading 3 3 3 8" xfId="27509"/>
    <cellStyle name="Heading 3 3 3 9" xfId="28135"/>
    <cellStyle name="Heading 3 3 4" xfId="591"/>
    <cellStyle name="Heading 3 3 4 10" xfId="36371"/>
    <cellStyle name="Heading 3 3 4 11" xfId="42334"/>
    <cellStyle name="Heading 3 3 4 12" xfId="46766"/>
    <cellStyle name="Heading 3 3 4 13" xfId="47330"/>
    <cellStyle name="Heading 3 3 4 2" xfId="8417"/>
    <cellStyle name="Heading 3 3 4 3" xfId="11784"/>
    <cellStyle name="Heading 3 3 4 4" xfId="19261"/>
    <cellStyle name="Heading 3 3 4 5" xfId="25654"/>
    <cellStyle name="Heading 3 3 4 6" xfId="20061"/>
    <cellStyle name="Heading 3 3 4 7" xfId="27047"/>
    <cellStyle name="Heading 3 3 4 8" xfId="28749"/>
    <cellStyle name="Heading 3 3 4 9" xfId="34287"/>
    <cellStyle name="Heading 3 3 5" xfId="8238"/>
    <cellStyle name="Heading 3 3 5 10" xfId="42320"/>
    <cellStyle name="Heading 3 3 5 11" xfId="46764"/>
    <cellStyle name="Heading 3 3 5 12" xfId="46768"/>
    <cellStyle name="Heading 3 3 5 13" xfId="54550"/>
    <cellStyle name="Heading 3 3 5 2" xfId="15927"/>
    <cellStyle name="Heading 3 3 5 3" xfId="19023"/>
    <cellStyle name="Heading 3 3 5 4" xfId="26710"/>
    <cellStyle name="Heading 3 3 5 5" xfId="26724"/>
    <cellStyle name="Heading 3 3 5 6" xfId="20626"/>
    <cellStyle name="Heading 3 3 5 7" xfId="33118"/>
    <cellStyle name="Heading 3 3 5 8" xfId="35577"/>
    <cellStyle name="Heading 3 3 5 9" xfId="36248"/>
    <cellStyle name="Heading 3 3 6" xfId="8308"/>
    <cellStyle name="Heading 3 3 7" xfId="11808"/>
    <cellStyle name="Heading 3 3 8" xfId="19078"/>
    <cellStyle name="Heading 3 3 9" xfId="26713"/>
    <cellStyle name="Heading 4 2" xfId="147"/>
    <cellStyle name="Heading 4 3" xfId="146"/>
    <cellStyle name="Hyperlink" xfId="9" builtinId="8"/>
    <cellStyle name="Hyperlink 10" xfId="8222"/>
    <cellStyle name="Hyperlink 2" xfId="10"/>
    <cellStyle name="Hyperlink 2 2" xfId="321"/>
    <cellStyle name="Hyperlink 2_ResWXMF_FY10v2_0" xfId="322"/>
    <cellStyle name="Hyperlink 3" xfId="323"/>
    <cellStyle name="Hyperlink 3 2" xfId="324"/>
    <cellStyle name="Hyperlink 4" xfId="325"/>
    <cellStyle name="Hyperlink 5" xfId="8209"/>
    <cellStyle name="Hyperlink 5 2" xfId="54559"/>
    <cellStyle name="Hyperlink 6" xfId="8214"/>
    <cellStyle name="Hyperlink 7" xfId="8218"/>
    <cellStyle name="Hyperlink 8" xfId="8219"/>
    <cellStyle name="Hyperlink 9" xfId="8221"/>
    <cellStyle name="Hyperlink_REMProgramPlanner_Master_20120829_2013" xfId="1116"/>
    <cellStyle name="Input 2" xfId="149"/>
    <cellStyle name="Input 2 10" xfId="1159"/>
    <cellStyle name="Input 2 10 2" xfId="8982"/>
    <cellStyle name="Input 2 10 3" xfId="16410"/>
    <cellStyle name="Input 2 10 4" xfId="19694"/>
    <cellStyle name="Input 2 10 5" xfId="28807"/>
    <cellStyle name="Input 2 10 6" xfId="38950"/>
    <cellStyle name="Input 2 10 7" xfId="48723"/>
    <cellStyle name="Input 2 11" xfId="1391"/>
    <cellStyle name="Input 2 11 2" xfId="9214"/>
    <cellStyle name="Input 2 11 3" xfId="16642"/>
    <cellStyle name="Input 2 11 4" xfId="20141"/>
    <cellStyle name="Input 2 11 5" xfId="27667"/>
    <cellStyle name="Input 2 11 6" xfId="37585"/>
    <cellStyle name="Input 2 11 7" xfId="47534"/>
    <cellStyle name="Input 2 12" xfId="2319"/>
    <cellStyle name="Input 2 12 2" xfId="10142"/>
    <cellStyle name="Input 2 12 3" xfId="17570"/>
    <cellStyle name="Input 2 12 4" xfId="25523"/>
    <cellStyle name="Input 2 12 5" xfId="34005"/>
    <cellStyle name="Input 2 12 6" xfId="41578"/>
    <cellStyle name="Input 2 12 7" xfId="51924"/>
    <cellStyle name="Input 2 13" xfId="2704"/>
    <cellStyle name="Input 2 13 2" xfId="10527"/>
    <cellStyle name="Input 2 13 3" xfId="17955"/>
    <cellStyle name="Input 2 13 4" xfId="25381"/>
    <cellStyle name="Input 2 13 5" xfId="33829"/>
    <cellStyle name="Input 2 13 6" xfId="39207"/>
    <cellStyle name="Input 2 13 7" xfId="51609"/>
    <cellStyle name="Input 2 14" xfId="3592"/>
    <cellStyle name="Input 2 14 2" xfId="11378"/>
    <cellStyle name="Input 2 14 3" xfId="18653"/>
    <cellStyle name="Input 2 14 4" xfId="25831"/>
    <cellStyle name="Input 2 14 5" xfId="34414"/>
    <cellStyle name="Input 2 14 6" xfId="40268"/>
    <cellStyle name="Input 2 14 7" xfId="52631"/>
    <cellStyle name="Input 2 15" xfId="3484"/>
    <cellStyle name="Input 2 15 2" xfId="11275"/>
    <cellStyle name="Input 2 15 3" xfId="20471"/>
    <cellStyle name="Input 2 15 4" xfId="19361"/>
    <cellStyle name="Input 2 15 5" xfId="27754"/>
    <cellStyle name="Input 2 15 6" xfId="36729"/>
    <cellStyle name="Input 2 15 7" xfId="48944"/>
    <cellStyle name="Input 2 16" xfId="3047"/>
    <cellStyle name="Input 2 16 2" xfId="20213"/>
    <cellStyle name="Input 2 16 3" xfId="28305"/>
    <cellStyle name="Input 2 16 4" xfId="37685"/>
    <cellStyle name="Input 2 16 5" xfId="42370"/>
    <cellStyle name="Input 2 16 6" xfId="47244"/>
    <cellStyle name="Input 2 17" xfId="3073"/>
    <cellStyle name="Input 2 17 2" xfId="10881"/>
    <cellStyle name="Input 2 17 3" xfId="20235"/>
    <cellStyle name="Input 2 17 4" xfId="28326"/>
    <cellStyle name="Input 2 17 5" xfId="37707"/>
    <cellStyle name="Input 2 17 6" xfId="42386"/>
    <cellStyle name="Input 2 17 7" xfId="53253"/>
    <cellStyle name="Input 2 18" xfId="4062"/>
    <cellStyle name="Input 2 18 2" xfId="11828"/>
    <cellStyle name="Input 2 18 3" xfId="20772"/>
    <cellStyle name="Input 2 18 4" xfId="28959"/>
    <cellStyle name="Input 2 18 5" xfId="38338"/>
    <cellStyle name="Input 2 18 6" xfId="42624"/>
    <cellStyle name="Input 2 18 7" xfId="50928"/>
    <cellStyle name="Input 2 19" xfId="3320"/>
    <cellStyle name="Input 2 19 2" xfId="11113"/>
    <cellStyle name="Input 2 19 3" xfId="20391"/>
    <cellStyle name="Input 2 19 4" xfId="28491"/>
    <cellStyle name="Input 2 19 5" xfId="37881"/>
    <cellStyle name="Input 2 19 6" xfId="42463"/>
    <cellStyle name="Input 2 19 7" xfId="49992"/>
    <cellStyle name="Input 2 2" xfId="258"/>
    <cellStyle name="Input 2 2 10" xfId="1126"/>
    <cellStyle name="Input 2 2 10 2" xfId="8949"/>
    <cellStyle name="Input 2 2 10 3" xfId="16377"/>
    <cellStyle name="Input 2 2 10 4" xfId="25689"/>
    <cellStyle name="Input 2 2 10 5" xfId="34227"/>
    <cellStyle name="Input 2 2 10 6" xfId="36664"/>
    <cellStyle name="Input 2 2 10 7" xfId="52291"/>
    <cellStyle name="Input 2 2 11" xfId="1187"/>
    <cellStyle name="Input 2 2 11 2" xfId="9010"/>
    <cellStyle name="Input 2 2 11 3" xfId="16438"/>
    <cellStyle name="Input 2 2 11 4" xfId="24820"/>
    <cellStyle name="Input 2 2 11 5" xfId="27885"/>
    <cellStyle name="Input 2 2 11 6" xfId="37049"/>
    <cellStyle name="Input 2 2 11 7" xfId="48068"/>
    <cellStyle name="Input 2 2 12" xfId="1200"/>
    <cellStyle name="Input 2 2 12 2" xfId="9023"/>
    <cellStyle name="Input 2 2 12 3" xfId="16451"/>
    <cellStyle name="Input 2 2 12 4" xfId="25555"/>
    <cellStyle name="Input 2 2 12 5" xfId="34050"/>
    <cellStyle name="Input 2 2 12 6" xfId="41262"/>
    <cellStyle name="Input 2 2 12 7" xfId="51989"/>
    <cellStyle name="Input 2 2 13" xfId="1651"/>
    <cellStyle name="Input 2 2 13 2" xfId="9474"/>
    <cellStyle name="Input 2 2 13 3" xfId="16902"/>
    <cellStyle name="Input 2 2 13 4" xfId="25648"/>
    <cellStyle name="Input 2 2 13 5" xfId="34169"/>
    <cellStyle name="Input 2 2 13 6" xfId="36778"/>
    <cellStyle name="Input 2 2 13 7" xfId="52196"/>
    <cellStyle name="Input 2 2 14" xfId="1784"/>
    <cellStyle name="Input 2 2 14 2" xfId="9607"/>
    <cellStyle name="Input 2 2 14 3" xfId="17035"/>
    <cellStyle name="Input 2 2 14 4" xfId="25457"/>
    <cellStyle name="Input 2 2 14 5" xfId="33922"/>
    <cellStyle name="Input 2 2 14 6" xfId="37053"/>
    <cellStyle name="Input 2 2 14 7" xfId="51775"/>
    <cellStyle name="Input 2 2 15" xfId="1182"/>
    <cellStyle name="Input 2 2 15 2" xfId="9005"/>
    <cellStyle name="Input 2 2 15 3" xfId="16433"/>
    <cellStyle name="Input 2 2 15 4" xfId="26360"/>
    <cellStyle name="Input 2 2 15 5" xfId="35092"/>
    <cellStyle name="Input 2 2 15 6" xfId="36677"/>
    <cellStyle name="Input 2 2 15 7" xfId="53759"/>
    <cellStyle name="Input 2 2 16" xfId="1799"/>
    <cellStyle name="Input 2 2 16 2" xfId="9622"/>
    <cellStyle name="Input 2 2 16 3" xfId="17050"/>
    <cellStyle name="Input 2 2 16 4" xfId="25179"/>
    <cellStyle name="Input 2 2 16 5" xfId="33561"/>
    <cellStyle name="Input 2 2 16 6" xfId="41054"/>
    <cellStyle name="Input 2 2 16 7" xfId="51176"/>
    <cellStyle name="Input 2 2 17" xfId="1083"/>
    <cellStyle name="Input 2 2 17 2" xfId="8907"/>
    <cellStyle name="Input 2 2 17 3" xfId="16335"/>
    <cellStyle name="Input 2 2 17 4" xfId="20149"/>
    <cellStyle name="Input 2 2 17 5" xfId="28682"/>
    <cellStyle name="Input 2 2 17 6" xfId="38182"/>
    <cellStyle name="Input 2 2 17 7" xfId="49305"/>
    <cellStyle name="Input 2 2 18" xfId="1209"/>
    <cellStyle name="Input 2 2 18 2" xfId="9032"/>
    <cellStyle name="Input 2 2 18 3" xfId="16460"/>
    <cellStyle name="Input 2 2 18 4" xfId="19550"/>
    <cellStyle name="Input 2 2 18 5" xfId="28385"/>
    <cellStyle name="Input 2 2 18 6" xfId="40477"/>
    <cellStyle name="Input 2 2 18 7" xfId="47525"/>
    <cellStyle name="Input 2 2 19" xfId="1597"/>
    <cellStyle name="Input 2 2 19 2" xfId="9420"/>
    <cellStyle name="Input 2 2 19 3" xfId="16848"/>
    <cellStyle name="Input 2 2 19 4" xfId="24863"/>
    <cellStyle name="Input 2 2 19 5" xfId="33176"/>
    <cellStyle name="Input 2 2 19 6" xfId="38687"/>
    <cellStyle name="Input 2 2 19 7" xfId="50485"/>
    <cellStyle name="Input 2 2 2" xfId="532"/>
    <cellStyle name="Input 2 2 2 10" xfId="1979"/>
    <cellStyle name="Input 2 2 2 10 2" xfId="9802"/>
    <cellStyle name="Input 2 2 2 10 3" xfId="17230"/>
    <cellStyle name="Input 2 2 2 10 4" xfId="19996"/>
    <cellStyle name="Input 2 2 2 10 5" xfId="27005"/>
    <cellStyle name="Input 2 2 2 10 6" xfId="37586"/>
    <cellStyle name="Input 2 2 2 10 7" xfId="48634"/>
    <cellStyle name="Input 2 2 2 11" xfId="2097"/>
    <cellStyle name="Input 2 2 2 11 2" xfId="9920"/>
    <cellStyle name="Input 2 2 2 11 3" xfId="17348"/>
    <cellStyle name="Input 2 2 2 11 4" xfId="19314"/>
    <cellStyle name="Input 2 2 2 11 5" xfId="28035"/>
    <cellStyle name="Input 2 2 2 11 6" xfId="40494"/>
    <cellStyle name="Input 2 2 2 11 7" xfId="48890"/>
    <cellStyle name="Input 2 2 2 12" xfId="2210"/>
    <cellStyle name="Input 2 2 2 12 2" xfId="10033"/>
    <cellStyle name="Input 2 2 2 12 3" xfId="17461"/>
    <cellStyle name="Input 2 2 2 12 4" xfId="25629"/>
    <cellStyle name="Input 2 2 2 12 5" xfId="34146"/>
    <cellStyle name="Input 2 2 2 12 6" xfId="36325"/>
    <cellStyle name="Input 2 2 2 12 7" xfId="52152"/>
    <cellStyle name="Input 2 2 2 13" xfId="2310"/>
    <cellStyle name="Input 2 2 2 13 2" xfId="10133"/>
    <cellStyle name="Input 2 2 2 13 3" xfId="17561"/>
    <cellStyle name="Input 2 2 2 13 4" xfId="20588"/>
    <cellStyle name="Input 2 2 2 13 5" xfId="27345"/>
    <cellStyle name="Input 2 2 2 13 6" xfId="36935"/>
    <cellStyle name="Input 2 2 2 13 7" xfId="48791"/>
    <cellStyle name="Input 2 2 2 14" xfId="2404"/>
    <cellStyle name="Input 2 2 2 14 2" xfId="10227"/>
    <cellStyle name="Input 2 2 2 14 3" xfId="17655"/>
    <cellStyle name="Input 2 2 2 14 4" xfId="26256"/>
    <cellStyle name="Input 2 2 2 14 5" xfId="34954"/>
    <cellStyle name="Input 2 2 2 14 6" xfId="39245"/>
    <cellStyle name="Input 2 2 2 14 7" xfId="53551"/>
    <cellStyle name="Input 2 2 2 15" xfId="2508"/>
    <cellStyle name="Input 2 2 2 15 2" xfId="10331"/>
    <cellStyle name="Input 2 2 2 15 3" xfId="17759"/>
    <cellStyle name="Input 2 2 2 15 4" xfId="19596"/>
    <cellStyle name="Input 2 2 2 15 5" xfId="27912"/>
    <cellStyle name="Input 2 2 2 15 6" xfId="39479"/>
    <cellStyle name="Input 2 2 2 15 7" xfId="50015"/>
    <cellStyle name="Input 2 2 2 16" xfId="2621"/>
    <cellStyle name="Input 2 2 2 16 2" xfId="10444"/>
    <cellStyle name="Input 2 2 2 16 3" xfId="17872"/>
    <cellStyle name="Input 2 2 2 16 4" xfId="26452"/>
    <cellStyle name="Input 2 2 2 16 5" xfId="35228"/>
    <cellStyle name="Input 2 2 2 16 6" xfId="40504"/>
    <cellStyle name="Input 2 2 2 16 7" xfId="53966"/>
    <cellStyle name="Input 2 2 2 17" xfId="2710"/>
    <cellStyle name="Input 2 2 2 17 2" xfId="10533"/>
    <cellStyle name="Input 2 2 2 17 3" xfId="17961"/>
    <cellStyle name="Input 2 2 2 17 4" xfId="19290"/>
    <cellStyle name="Input 2 2 2 17 5" xfId="28486"/>
    <cellStyle name="Input 2 2 2 17 6" xfId="38551"/>
    <cellStyle name="Input 2 2 2 17 7" xfId="47614"/>
    <cellStyle name="Input 2 2 2 18" xfId="2747"/>
    <cellStyle name="Input 2 2 2 18 2" xfId="10570"/>
    <cellStyle name="Input 2 2 2 18 3" xfId="17998"/>
    <cellStyle name="Input 2 2 2 18 4" xfId="25455"/>
    <cellStyle name="Input 2 2 2 18 5" xfId="33919"/>
    <cellStyle name="Input 2 2 2 18 6" xfId="36724"/>
    <cellStyle name="Input 2 2 2 18 7" xfId="51770"/>
    <cellStyle name="Input 2 2 2 19" xfId="2814"/>
    <cellStyle name="Input 2 2 2 19 2" xfId="10637"/>
    <cellStyle name="Input 2 2 2 19 3" xfId="18065"/>
    <cellStyle name="Input 2 2 2 19 4" xfId="19517"/>
    <cellStyle name="Input 2 2 2 19 5" xfId="27222"/>
    <cellStyle name="Input 2 2 2 19 6" xfId="37498"/>
    <cellStyle name="Input 2 2 2 19 7" xfId="49974"/>
    <cellStyle name="Input 2 2 2 2" xfId="682"/>
    <cellStyle name="Input 2 2 2 2 2" xfId="8506"/>
    <cellStyle name="Input 2 2 2 2 3" xfId="15934"/>
    <cellStyle name="Input 2 2 2 2 4" xfId="19169"/>
    <cellStyle name="Input 2 2 2 2 5" xfId="28790"/>
    <cellStyle name="Input 2 2 2 2 6" xfId="37147"/>
    <cellStyle name="Input 2 2 2 2 7" xfId="49228"/>
    <cellStyle name="Input 2 2 2 20" xfId="2921"/>
    <cellStyle name="Input 2 2 2 20 2" xfId="10744"/>
    <cellStyle name="Input 2 2 2 20 3" xfId="18172"/>
    <cellStyle name="Input 2 2 2 20 4" xfId="26449"/>
    <cellStyle name="Input 2 2 2 20 5" xfId="35224"/>
    <cellStyle name="Input 2 2 2 20 6" xfId="41826"/>
    <cellStyle name="Input 2 2 2 20 7" xfId="53958"/>
    <cellStyle name="Input 2 2 2 21" xfId="3297"/>
    <cellStyle name="Input 2 2 2 21 2" xfId="11090"/>
    <cellStyle name="Input 2 2 2 21 3" xfId="18419"/>
    <cellStyle name="Input 2 2 2 21 4" xfId="25744"/>
    <cellStyle name="Input 2 2 2 21 5" xfId="34295"/>
    <cellStyle name="Input 2 2 2 21 6" xfId="40097"/>
    <cellStyle name="Input 2 2 2 21 7" xfId="52421"/>
    <cellStyle name="Input 2 2 2 22" xfId="3417"/>
    <cellStyle name="Input 2 2 2 22 2" xfId="11208"/>
    <cellStyle name="Input 2 2 2 22 3" xfId="18530"/>
    <cellStyle name="Input 2 2 2 22 4" xfId="26089"/>
    <cellStyle name="Input 2 2 2 22 5" xfId="34739"/>
    <cellStyle name="Input 2 2 2 22 6" xfId="37029"/>
    <cellStyle name="Input 2 2 2 22 7" xfId="53186"/>
    <cellStyle name="Input 2 2 2 23" xfId="3001"/>
    <cellStyle name="Input 2 2 2 23 2" xfId="10820"/>
    <cellStyle name="Input 2 2 2 23 3" xfId="18243"/>
    <cellStyle name="Input 2 2 2 23 4" xfId="26052"/>
    <cellStyle name="Input 2 2 2 23 5" xfId="34693"/>
    <cellStyle name="Input 2 2 2 23 6" xfId="40592"/>
    <cellStyle name="Input 2 2 2 23 7" xfId="53110"/>
    <cellStyle name="Input 2 2 2 24" xfId="3688"/>
    <cellStyle name="Input 2 2 2 24 2" xfId="11473"/>
    <cellStyle name="Input 2 2 2 24 3" xfId="18746"/>
    <cellStyle name="Input 2 2 2 24 4" xfId="19498"/>
    <cellStyle name="Input 2 2 2 24 5" xfId="28534"/>
    <cellStyle name="Input 2 2 2 24 6" xfId="36416"/>
    <cellStyle name="Input 2 2 2 24 7" xfId="49619"/>
    <cellStyle name="Input 2 2 2 25" xfId="3818"/>
    <cellStyle name="Input 2 2 2 25 2" xfId="11600"/>
    <cellStyle name="Input 2 2 2 25 3" xfId="18857"/>
    <cellStyle name="Input 2 2 2 25 4" xfId="25902"/>
    <cellStyle name="Input 2 2 2 25 5" xfId="34497"/>
    <cellStyle name="Input 2 2 2 25 6" xfId="40292"/>
    <cellStyle name="Input 2 2 2 25 7" xfId="52782"/>
    <cellStyle name="Input 2 2 2 26" xfId="3936"/>
    <cellStyle name="Input 2 2 2 26 2" xfId="11716"/>
    <cellStyle name="Input 2 2 2 26 3" xfId="18966"/>
    <cellStyle name="Input 2 2 2 26 4" xfId="20604"/>
    <cellStyle name="Input 2 2 2 26 5" xfId="28039"/>
    <cellStyle name="Input 2 2 2 26 6" xfId="37814"/>
    <cellStyle name="Input 2 2 2 26 7" xfId="49626"/>
    <cellStyle name="Input 2 2 2 27" xfId="4019"/>
    <cellStyle name="Input 2 2 2 27 2" xfId="11794"/>
    <cellStyle name="Input 2 2 2 27 3" xfId="20729"/>
    <cellStyle name="Input 2 2 2 27 4" xfId="28916"/>
    <cellStyle name="Input 2 2 2 27 5" xfId="38299"/>
    <cellStyle name="Input 2 2 2 27 6" xfId="42581"/>
    <cellStyle name="Input 2 2 2 27 7" xfId="51806"/>
    <cellStyle name="Input 2 2 2 28" xfId="4133"/>
    <cellStyle name="Input 2 2 2 28 2" xfId="11892"/>
    <cellStyle name="Input 2 2 2 28 3" xfId="20843"/>
    <cellStyle name="Input 2 2 2 28 4" xfId="29030"/>
    <cellStyle name="Input 2 2 2 28 5" xfId="38407"/>
    <cellStyle name="Input 2 2 2 28 6" xfId="42695"/>
    <cellStyle name="Input 2 2 2 28 7" xfId="51049"/>
    <cellStyle name="Input 2 2 2 29" xfId="3062"/>
    <cellStyle name="Input 2 2 2 29 2" xfId="20228"/>
    <cellStyle name="Input 2 2 2 29 3" xfId="28319"/>
    <cellStyle name="Input 2 2 2 29 4" xfId="37700"/>
    <cellStyle name="Input 2 2 2 29 5" xfId="42383"/>
    <cellStyle name="Input 2 2 2 29 6" xfId="54399"/>
    <cellStyle name="Input 2 2 2 3" xfId="790"/>
    <cellStyle name="Input 2 2 2 3 2" xfId="8614"/>
    <cellStyle name="Input 2 2 2 3 3" xfId="16042"/>
    <cellStyle name="Input 2 2 2 3 4" xfId="20571"/>
    <cellStyle name="Input 2 2 2 3 5" xfId="26794"/>
    <cellStyle name="Input 2 2 2 3 6" xfId="37204"/>
    <cellStyle name="Input 2 2 2 3 7" xfId="50338"/>
    <cellStyle name="Input 2 2 2 30" xfId="4330"/>
    <cellStyle name="Input 2 2 2 30 2" xfId="12047"/>
    <cellStyle name="Input 2 2 2 30 3" xfId="21040"/>
    <cellStyle name="Input 2 2 2 30 4" xfId="29227"/>
    <cellStyle name="Input 2 2 2 30 5" xfId="38598"/>
    <cellStyle name="Input 2 2 2 30 6" xfId="42892"/>
    <cellStyle name="Input 2 2 2 30 7" xfId="50082"/>
    <cellStyle name="Input 2 2 2 31" xfId="4453"/>
    <cellStyle name="Input 2 2 2 31 2" xfId="12170"/>
    <cellStyle name="Input 2 2 2 31 3" xfId="21163"/>
    <cellStyle name="Input 2 2 2 31 4" xfId="29350"/>
    <cellStyle name="Input 2 2 2 31 5" xfId="38716"/>
    <cellStyle name="Input 2 2 2 31 6" xfId="43015"/>
    <cellStyle name="Input 2 2 2 31 7" xfId="50043"/>
    <cellStyle name="Input 2 2 2 32" xfId="4567"/>
    <cellStyle name="Input 2 2 2 32 2" xfId="12284"/>
    <cellStyle name="Input 2 2 2 32 3" xfId="21277"/>
    <cellStyle name="Input 2 2 2 32 4" xfId="29464"/>
    <cellStyle name="Input 2 2 2 32 5" xfId="38825"/>
    <cellStyle name="Input 2 2 2 32 6" xfId="43129"/>
    <cellStyle name="Input 2 2 2 32 7" xfId="53000"/>
    <cellStyle name="Input 2 2 2 33" xfId="4680"/>
    <cellStyle name="Input 2 2 2 33 2" xfId="12397"/>
    <cellStyle name="Input 2 2 2 33 3" xfId="21390"/>
    <cellStyle name="Input 2 2 2 33 4" xfId="29577"/>
    <cellStyle name="Input 2 2 2 33 5" xfId="38934"/>
    <cellStyle name="Input 2 2 2 33 6" xfId="43242"/>
    <cellStyle name="Input 2 2 2 33 7" xfId="48582"/>
    <cellStyle name="Input 2 2 2 34" xfId="4791"/>
    <cellStyle name="Input 2 2 2 34 2" xfId="12508"/>
    <cellStyle name="Input 2 2 2 34 3" xfId="21501"/>
    <cellStyle name="Input 2 2 2 34 4" xfId="29688"/>
    <cellStyle name="Input 2 2 2 34 5" xfId="39042"/>
    <cellStyle name="Input 2 2 2 34 6" xfId="43353"/>
    <cellStyle name="Input 2 2 2 34 7" xfId="52709"/>
    <cellStyle name="Input 2 2 2 35" xfId="4900"/>
    <cellStyle name="Input 2 2 2 35 2" xfId="12617"/>
    <cellStyle name="Input 2 2 2 35 3" xfId="21610"/>
    <cellStyle name="Input 2 2 2 35 4" xfId="29797"/>
    <cellStyle name="Input 2 2 2 35 5" xfId="39146"/>
    <cellStyle name="Input 2 2 2 35 6" xfId="43462"/>
    <cellStyle name="Input 2 2 2 35 7" xfId="47696"/>
    <cellStyle name="Input 2 2 2 36" xfId="5011"/>
    <cellStyle name="Input 2 2 2 36 2" xfId="12728"/>
    <cellStyle name="Input 2 2 2 36 3" xfId="21721"/>
    <cellStyle name="Input 2 2 2 36 4" xfId="29908"/>
    <cellStyle name="Input 2 2 2 36 5" xfId="39254"/>
    <cellStyle name="Input 2 2 2 36 6" xfId="43573"/>
    <cellStyle name="Input 2 2 2 36 7" xfId="48021"/>
    <cellStyle name="Input 2 2 2 37" xfId="5390"/>
    <cellStyle name="Input 2 2 2 37 2" xfId="13107"/>
    <cellStyle name="Input 2 2 2 37 3" xfId="22100"/>
    <cellStyle name="Input 2 2 2 37 4" xfId="30287"/>
    <cellStyle name="Input 2 2 2 37 5" xfId="39618"/>
    <cellStyle name="Input 2 2 2 37 6" xfId="43952"/>
    <cellStyle name="Input 2 2 2 37 7" xfId="52519"/>
    <cellStyle name="Input 2 2 2 38" xfId="5510"/>
    <cellStyle name="Input 2 2 2 38 2" xfId="13227"/>
    <cellStyle name="Input 2 2 2 38 3" xfId="22220"/>
    <cellStyle name="Input 2 2 2 38 4" xfId="30407"/>
    <cellStyle name="Input 2 2 2 38 5" xfId="39732"/>
    <cellStyle name="Input 2 2 2 38 6" xfId="44072"/>
    <cellStyle name="Input 2 2 2 38 7" xfId="48117"/>
    <cellStyle name="Input 2 2 2 39" xfId="5634"/>
    <cellStyle name="Input 2 2 2 39 2" xfId="13351"/>
    <cellStyle name="Input 2 2 2 39 3" xfId="22344"/>
    <cellStyle name="Input 2 2 2 39 4" xfId="30531"/>
    <cellStyle name="Input 2 2 2 39 5" xfId="39852"/>
    <cellStyle name="Input 2 2 2 39 6" xfId="44196"/>
    <cellStyle name="Input 2 2 2 39 7" xfId="46835"/>
    <cellStyle name="Input 2 2 2 4" xfId="901"/>
    <cellStyle name="Input 2 2 2 4 2" xfId="8725"/>
    <cellStyle name="Input 2 2 2 4 3" xfId="16153"/>
    <cellStyle name="Input 2 2 2 4 4" xfId="26406"/>
    <cellStyle name="Input 2 2 2 4 5" xfId="35162"/>
    <cellStyle name="Input 2 2 2 4 6" xfId="37168"/>
    <cellStyle name="Input 2 2 2 4 7" xfId="53863"/>
    <cellStyle name="Input 2 2 2 40" xfId="5750"/>
    <cellStyle name="Input 2 2 2 40 2" xfId="13467"/>
    <cellStyle name="Input 2 2 2 40 3" xfId="22460"/>
    <cellStyle name="Input 2 2 2 40 4" xfId="30647"/>
    <cellStyle name="Input 2 2 2 40 5" xfId="39964"/>
    <cellStyle name="Input 2 2 2 40 6" xfId="44312"/>
    <cellStyle name="Input 2 2 2 40 7" xfId="52313"/>
    <cellStyle name="Input 2 2 2 41" xfId="5866"/>
    <cellStyle name="Input 2 2 2 41 2" xfId="13583"/>
    <cellStyle name="Input 2 2 2 41 3" xfId="22576"/>
    <cellStyle name="Input 2 2 2 41 4" xfId="30763"/>
    <cellStyle name="Input 2 2 2 41 5" xfId="40077"/>
    <cellStyle name="Input 2 2 2 41 6" xfId="44428"/>
    <cellStyle name="Input 2 2 2 41 7" xfId="51584"/>
    <cellStyle name="Input 2 2 2 42" xfId="5995"/>
    <cellStyle name="Input 2 2 2 42 2" xfId="13712"/>
    <cellStyle name="Input 2 2 2 42 3" xfId="22705"/>
    <cellStyle name="Input 2 2 2 42 4" xfId="30892"/>
    <cellStyle name="Input 2 2 2 42 5" xfId="40201"/>
    <cellStyle name="Input 2 2 2 42 6" xfId="44557"/>
    <cellStyle name="Input 2 2 2 42 7" xfId="51737"/>
    <cellStyle name="Input 2 2 2 43" xfId="5577"/>
    <cellStyle name="Input 2 2 2 43 2" xfId="13294"/>
    <cellStyle name="Input 2 2 2 43 3" xfId="22287"/>
    <cellStyle name="Input 2 2 2 43 4" xfId="30474"/>
    <cellStyle name="Input 2 2 2 43 5" xfId="39796"/>
    <cellStyle name="Input 2 2 2 43 6" xfId="44139"/>
    <cellStyle name="Input 2 2 2 43 7" xfId="46971"/>
    <cellStyle name="Input 2 2 2 44" xfId="6251"/>
    <cellStyle name="Input 2 2 2 44 2" xfId="13968"/>
    <cellStyle name="Input 2 2 2 44 3" xfId="22961"/>
    <cellStyle name="Input 2 2 2 44 4" xfId="31148"/>
    <cellStyle name="Input 2 2 2 44 5" xfId="40449"/>
    <cellStyle name="Input 2 2 2 44 6" xfId="44813"/>
    <cellStyle name="Input 2 2 2 44 7" xfId="49822"/>
    <cellStyle name="Input 2 2 2 45" xfId="6367"/>
    <cellStyle name="Input 2 2 2 45 2" xfId="14084"/>
    <cellStyle name="Input 2 2 2 45 3" xfId="23077"/>
    <cellStyle name="Input 2 2 2 45 4" xfId="31264"/>
    <cellStyle name="Input 2 2 2 45 5" xfId="40562"/>
    <cellStyle name="Input 2 2 2 45 6" xfId="44929"/>
    <cellStyle name="Input 2 2 2 45 7" xfId="53280"/>
    <cellStyle name="Input 2 2 2 46" xfId="6478"/>
    <cellStyle name="Input 2 2 2 46 2" xfId="14195"/>
    <cellStyle name="Input 2 2 2 46 3" xfId="23188"/>
    <cellStyle name="Input 2 2 2 46 4" xfId="31375"/>
    <cellStyle name="Input 2 2 2 46 5" xfId="40669"/>
    <cellStyle name="Input 2 2 2 46 6" xfId="45040"/>
    <cellStyle name="Input 2 2 2 46 7" xfId="52620"/>
    <cellStyle name="Input 2 2 2 47" xfId="6556"/>
    <cellStyle name="Input 2 2 2 47 2" xfId="14273"/>
    <cellStyle name="Input 2 2 2 47 3" xfId="23266"/>
    <cellStyle name="Input 2 2 2 47 4" xfId="31453"/>
    <cellStyle name="Input 2 2 2 47 5" xfId="40742"/>
    <cellStyle name="Input 2 2 2 47 6" xfId="45118"/>
    <cellStyle name="Input 2 2 2 47 7" xfId="52158"/>
    <cellStyle name="Input 2 2 2 48" xfId="6624"/>
    <cellStyle name="Input 2 2 2 48 2" xfId="14341"/>
    <cellStyle name="Input 2 2 2 48 3" xfId="23334"/>
    <cellStyle name="Input 2 2 2 48 4" xfId="31521"/>
    <cellStyle name="Input 2 2 2 48 5" xfId="40808"/>
    <cellStyle name="Input 2 2 2 48 6" xfId="45186"/>
    <cellStyle name="Input 2 2 2 48 7" xfId="51683"/>
    <cellStyle name="Input 2 2 2 49" xfId="6736"/>
    <cellStyle name="Input 2 2 2 49 2" xfId="14453"/>
    <cellStyle name="Input 2 2 2 49 3" xfId="23446"/>
    <cellStyle name="Input 2 2 2 49 4" xfId="31633"/>
    <cellStyle name="Input 2 2 2 49 5" xfId="40914"/>
    <cellStyle name="Input 2 2 2 49 6" xfId="45298"/>
    <cellStyle name="Input 2 2 2 49 7" xfId="51285"/>
    <cellStyle name="Input 2 2 2 5" xfId="1367"/>
    <cellStyle name="Input 2 2 2 5 2" xfId="9190"/>
    <cellStyle name="Input 2 2 2 5 3" xfId="16618"/>
    <cellStyle name="Input 2 2 2 5 4" xfId="26171"/>
    <cellStyle name="Input 2 2 2 5 5" xfId="34842"/>
    <cellStyle name="Input 2 2 2 5 6" xfId="40041"/>
    <cellStyle name="Input 2 2 2 5 7" xfId="53365"/>
    <cellStyle name="Input 2 2 2 50" xfId="6851"/>
    <cellStyle name="Input 2 2 2 50 2" xfId="14568"/>
    <cellStyle name="Input 2 2 2 50 3" xfId="23561"/>
    <cellStyle name="Input 2 2 2 50 4" xfId="31748"/>
    <cellStyle name="Input 2 2 2 50 5" xfId="41022"/>
    <cellStyle name="Input 2 2 2 50 6" xfId="45413"/>
    <cellStyle name="Input 2 2 2 50 7" xfId="49326"/>
    <cellStyle name="Input 2 2 2 51" xfId="6964"/>
    <cellStyle name="Input 2 2 2 51 2" xfId="14681"/>
    <cellStyle name="Input 2 2 2 51 3" xfId="23674"/>
    <cellStyle name="Input 2 2 2 51 4" xfId="31861"/>
    <cellStyle name="Input 2 2 2 51 5" xfId="41130"/>
    <cellStyle name="Input 2 2 2 51 6" xfId="45526"/>
    <cellStyle name="Input 2 2 2 51 7" xfId="46805"/>
    <cellStyle name="Input 2 2 2 52" xfId="7075"/>
    <cellStyle name="Input 2 2 2 52 2" xfId="14792"/>
    <cellStyle name="Input 2 2 2 52 3" xfId="23785"/>
    <cellStyle name="Input 2 2 2 52 4" xfId="31972"/>
    <cellStyle name="Input 2 2 2 52 5" xfId="41235"/>
    <cellStyle name="Input 2 2 2 52 6" xfId="45637"/>
    <cellStyle name="Input 2 2 2 52 7" xfId="51883"/>
    <cellStyle name="Input 2 2 2 53" xfId="7349"/>
    <cellStyle name="Input 2 2 2 53 2" xfId="15066"/>
    <cellStyle name="Input 2 2 2 53 3" xfId="24059"/>
    <cellStyle name="Input 2 2 2 53 4" xfId="32246"/>
    <cellStyle name="Input 2 2 2 53 5" xfId="41502"/>
    <cellStyle name="Input 2 2 2 53 6" xfId="45911"/>
    <cellStyle name="Input 2 2 2 53 7" xfId="51359"/>
    <cellStyle name="Input 2 2 2 54" xfId="7206"/>
    <cellStyle name="Input 2 2 2 54 2" xfId="14923"/>
    <cellStyle name="Input 2 2 2 54 3" xfId="23916"/>
    <cellStyle name="Input 2 2 2 54 4" xfId="32103"/>
    <cellStyle name="Input 2 2 2 54 5" xfId="41363"/>
    <cellStyle name="Input 2 2 2 54 6" xfId="45768"/>
    <cellStyle name="Input 2 2 2 54 7" xfId="50617"/>
    <cellStyle name="Input 2 2 2 55" xfId="7472"/>
    <cellStyle name="Input 2 2 2 55 2" xfId="15189"/>
    <cellStyle name="Input 2 2 2 55 3" xfId="24182"/>
    <cellStyle name="Input 2 2 2 55 4" xfId="32369"/>
    <cellStyle name="Input 2 2 2 55 5" xfId="41618"/>
    <cellStyle name="Input 2 2 2 55 6" xfId="46034"/>
    <cellStyle name="Input 2 2 2 55 7" xfId="48090"/>
    <cellStyle name="Input 2 2 2 56" xfId="7593"/>
    <cellStyle name="Input 2 2 2 56 2" xfId="15310"/>
    <cellStyle name="Input 2 2 2 56 3" xfId="24303"/>
    <cellStyle name="Input 2 2 2 56 4" xfId="32490"/>
    <cellStyle name="Input 2 2 2 56 5" xfId="41733"/>
    <cellStyle name="Input 2 2 2 56 6" xfId="46155"/>
    <cellStyle name="Input 2 2 2 56 7" xfId="47805"/>
    <cellStyle name="Input 2 2 2 57" xfId="7869"/>
    <cellStyle name="Input 2 2 2 57 2" xfId="15586"/>
    <cellStyle name="Input 2 2 2 57 3" xfId="24573"/>
    <cellStyle name="Input 2 2 2 57 4" xfId="32766"/>
    <cellStyle name="Input 2 2 2 57 5" xfId="41998"/>
    <cellStyle name="Input 2 2 2 57 6" xfId="46431"/>
    <cellStyle name="Input 2 2 2 57 7" xfId="48272"/>
    <cellStyle name="Input 2 2 2 58" xfId="7948"/>
    <cellStyle name="Input 2 2 2 58 2" xfId="15665"/>
    <cellStyle name="Input 2 2 2 58 3" xfId="24651"/>
    <cellStyle name="Input 2 2 2 58 4" xfId="32845"/>
    <cellStyle name="Input 2 2 2 58 5" xfId="42074"/>
    <cellStyle name="Input 2 2 2 58 6" xfId="46510"/>
    <cellStyle name="Input 2 2 2 58 7" xfId="51815"/>
    <cellStyle name="Input 2 2 2 59" xfId="7682"/>
    <cellStyle name="Input 2 2 2 59 2" xfId="15399"/>
    <cellStyle name="Input 2 2 2 59 3" xfId="24390"/>
    <cellStyle name="Input 2 2 2 59 4" xfId="32579"/>
    <cellStyle name="Input 2 2 2 59 5" xfId="41817"/>
    <cellStyle name="Input 2 2 2 59 6" xfId="46244"/>
    <cellStyle name="Input 2 2 2 59 7" xfId="53860"/>
    <cellStyle name="Input 2 2 2 6" xfId="1490"/>
    <cellStyle name="Input 2 2 2 6 2" xfId="9313"/>
    <cellStyle name="Input 2 2 2 6 3" xfId="16741"/>
    <cellStyle name="Input 2 2 2 6 4" xfId="26156"/>
    <cellStyle name="Input 2 2 2 6 5" xfId="34825"/>
    <cellStyle name="Input 2 2 2 6 6" xfId="42281"/>
    <cellStyle name="Input 2 2 2 6 7" xfId="53333"/>
    <cellStyle name="Input 2 2 2 60" xfId="8145"/>
    <cellStyle name="Input 2 2 2 60 2" xfId="15862"/>
    <cellStyle name="Input 2 2 2 60 3" xfId="33042"/>
    <cellStyle name="Input 2 2 2 60 4" xfId="42262"/>
    <cellStyle name="Input 2 2 2 60 5" xfId="46707"/>
    <cellStyle name="Input 2 2 2 60 6" xfId="49339"/>
    <cellStyle name="Input 2 2 2 61" xfId="19594"/>
    <cellStyle name="Input 2 2 2 62" xfId="28653"/>
    <cellStyle name="Input 2 2 2 63" xfId="36291"/>
    <cellStyle name="Input 2 2 2 64" xfId="48726"/>
    <cellStyle name="Input 2 2 2 7" xfId="1608"/>
    <cellStyle name="Input 2 2 2 7 2" xfId="9431"/>
    <cellStyle name="Input 2 2 2 7 3" xfId="16859"/>
    <cellStyle name="Input 2 2 2 7 4" xfId="19166"/>
    <cellStyle name="Input 2 2 2 7 5" xfId="28217"/>
    <cellStyle name="Input 2 2 2 7 6" xfId="37919"/>
    <cellStyle name="Input 2 2 2 7 7" xfId="49233"/>
    <cellStyle name="Input 2 2 2 8" xfId="1727"/>
    <cellStyle name="Input 2 2 2 8 2" xfId="9550"/>
    <cellStyle name="Input 2 2 2 8 3" xfId="16978"/>
    <cellStyle name="Input 2 2 2 8 4" xfId="25304"/>
    <cellStyle name="Input 2 2 2 8 5" xfId="33720"/>
    <cellStyle name="Input 2 2 2 8 6" xfId="41907"/>
    <cellStyle name="Input 2 2 2 8 7" xfId="51435"/>
    <cellStyle name="Input 2 2 2 9" xfId="1861"/>
    <cellStyle name="Input 2 2 2 9 2" xfId="9684"/>
    <cellStyle name="Input 2 2 2 9 3" xfId="17112"/>
    <cellStyle name="Input 2 2 2 9 4" xfId="25657"/>
    <cellStyle name="Input 2 2 2 9 5" xfId="34179"/>
    <cellStyle name="Input 2 2 2 9 6" xfId="41111"/>
    <cellStyle name="Input 2 2 2 9 7" xfId="52212"/>
    <cellStyle name="Input 2 2 20" xfId="2435"/>
    <cellStyle name="Input 2 2 20 2" xfId="10258"/>
    <cellStyle name="Input 2 2 20 3" xfId="17686"/>
    <cellStyle name="Input 2 2 20 4" xfId="19923"/>
    <cellStyle name="Input 2 2 20 5" xfId="33142"/>
    <cellStyle name="Input 2 2 20 6" xfId="41808"/>
    <cellStyle name="Input 2 2 20 7" xfId="50414"/>
    <cellStyle name="Input 2 2 21" xfId="1153"/>
    <cellStyle name="Input 2 2 21 2" xfId="8976"/>
    <cellStyle name="Input 2 2 21 3" xfId="16404"/>
    <cellStyle name="Input 2 2 21 4" xfId="20058"/>
    <cellStyle name="Input 2 2 21 5" xfId="26740"/>
    <cellStyle name="Input 2 2 21 6" xfId="36544"/>
    <cellStyle name="Input 2 2 21 7" xfId="49043"/>
    <cellStyle name="Input 2 2 22" xfId="1358"/>
    <cellStyle name="Input 2 2 22 2" xfId="9181"/>
    <cellStyle name="Input 2 2 22 3" xfId="16609"/>
    <cellStyle name="Input 2 2 22 4" xfId="19273"/>
    <cellStyle name="Input 2 2 22 5" xfId="28239"/>
    <cellStyle name="Input 2 2 22 6" xfId="40772"/>
    <cellStyle name="Input 2 2 22 7" xfId="48192"/>
    <cellStyle name="Input 2 2 23" xfId="1092"/>
    <cellStyle name="Input 2 2 23 2" xfId="8916"/>
    <cellStyle name="Input 2 2 23 3" xfId="16344"/>
    <cellStyle name="Input 2 2 23 4" xfId="25169"/>
    <cellStyle name="Input 2 2 23 5" xfId="33549"/>
    <cellStyle name="Input 2 2 23 6" xfId="37504"/>
    <cellStyle name="Input 2 2 23 7" xfId="51153"/>
    <cellStyle name="Input 2 2 24" xfId="2758"/>
    <cellStyle name="Input 2 2 24 2" xfId="10581"/>
    <cellStyle name="Input 2 2 24 3" xfId="18009"/>
    <cellStyle name="Input 2 2 24 4" xfId="26513"/>
    <cellStyle name="Input 2 2 24 5" xfId="35309"/>
    <cellStyle name="Input 2 2 24 6" xfId="41257"/>
    <cellStyle name="Input 2 2 24 7" xfId="54099"/>
    <cellStyle name="Input 2 2 25" xfId="1438"/>
    <cellStyle name="Input 2 2 25 2" xfId="9261"/>
    <cellStyle name="Input 2 2 25 3" xfId="16689"/>
    <cellStyle name="Input 2 2 25 4" xfId="25718"/>
    <cellStyle name="Input 2 2 25 5" xfId="34260"/>
    <cellStyle name="Input 2 2 25 6" xfId="40277"/>
    <cellStyle name="Input 2 2 25 7" xfId="52351"/>
    <cellStyle name="Input 2 2 26" xfId="3108"/>
    <cellStyle name="Input 2 2 26 2" xfId="10913"/>
    <cellStyle name="Input 2 2 26 3" xfId="18294"/>
    <cellStyle name="Input 2 2 26 4" xfId="19347"/>
    <cellStyle name="Input 2 2 26 5" xfId="28292"/>
    <cellStyle name="Input 2 2 26 6" xfId="41947"/>
    <cellStyle name="Input 2 2 26 7" xfId="49542"/>
    <cellStyle name="Input 2 2 27" xfId="3157"/>
    <cellStyle name="Input 2 2 27 2" xfId="10959"/>
    <cellStyle name="Input 2 2 27 3" xfId="18329"/>
    <cellStyle name="Input 2 2 27 4" xfId="26280"/>
    <cellStyle name="Input 2 2 27 5" xfId="34983"/>
    <cellStyle name="Input 2 2 27 6" xfId="39219"/>
    <cellStyle name="Input 2 2 27 7" xfId="53598"/>
    <cellStyle name="Input 2 2 28" xfId="3101"/>
    <cellStyle name="Input 2 2 28 2" xfId="10906"/>
    <cellStyle name="Input 2 2 28 3" xfId="18288"/>
    <cellStyle name="Input 2 2 28 4" xfId="24876"/>
    <cellStyle name="Input 2 2 28 5" xfId="33190"/>
    <cellStyle name="Input 2 2 28 6" xfId="36634"/>
    <cellStyle name="Input 2 2 28 7" xfId="50509"/>
    <cellStyle name="Input 2 2 29" xfId="3211"/>
    <cellStyle name="Input 2 2 29 2" xfId="11009"/>
    <cellStyle name="Input 2 2 29 3" xfId="18349"/>
    <cellStyle name="Input 2 2 29 4" xfId="19978"/>
    <cellStyle name="Input 2 2 29 5" xfId="27583"/>
    <cellStyle name="Input 2 2 29 6" xfId="41199"/>
    <cellStyle name="Input 2 2 29 7" xfId="47993"/>
    <cellStyle name="Input 2 2 3" xfId="507"/>
    <cellStyle name="Input 2 2 3 10" xfId="1954"/>
    <cellStyle name="Input 2 2 3 10 2" xfId="9777"/>
    <cellStyle name="Input 2 2 3 10 3" xfId="17205"/>
    <cellStyle name="Input 2 2 3 10 4" xfId="25192"/>
    <cellStyle name="Input 2 2 3 10 5" xfId="33576"/>
    <cellStyle name="Input 2 2 3 10 6" xfId="40167"/>
    <cellStyle name="Input 2 2 3 10 7" xfId="51196"/>
    <cellStyle name="Input 2 2 3 11" xfId="2072"/>
    <cellStyle name="Input 2 2 3 11 2" xfId="9895"/>
    <cellStyle name="Input 2 2 3 11 3" xfId="17323"/>
    <cellStyle name="Input 2 2 3 11 4" xfId="25310"/>
    <cellStyle name="Input 2 2 3 11 5" xfId="33726"/>
    <cellStyle name="Input 2 2 3 11 6" xfId="38485"/>
    <cellStyle name="Input 2 2 3 11 7" xfId="51444"/>
    <cellStyle name="Input 2 2 3 12" xfId="2185"/>
    <cellStyle name="Input 2 2 3 12 2" xfId="10008"/>
    <cellStyle name="Input 2 2 3 12 3" xfId="17436"/>
    <cellStyle name="Input 2 2 3 12 4" xfId="19523"/>
    <cellStyle name="Input 2 2 3 12 5" xfId="28179"/>
    <cellStyle name="Input 2 2 3 12 6" xfId="38693"/>
    <cellStyle name="Input 2 2 3 12 7" xfId="47852"/>
    <cellStyle name="Input 2 2 3 13" xfId="1588"/>
    <cellStyle name="Input 2 2 3 13 2" xfId="9411"/>
    <cellStyle name="Input 2 2 3 13 3" xfId="16839"/>
    <cellStyle name="Input 2 2 3 13 4" xfId="25236"/>
    <cellStyle name="Input 2 2 3 13 5" xfId="33640"/>
    <cellStyle name="Input 2 2 3 13 6" xfId="39823"/>
    <cellStyle name="Input 2 2 3 13 7" xfId="51294"/>
    <cellStyle name="Input 2 2 3 14" xfId="2353"/>
    <cellStyle name="Input 2 2 3 14 2" xfId="10176"/>
    <cellStyle name="Input 2 2 3 14 3" xfId="17604"/>
    <cellStyle name="Input 2 2 3 14 4" xfId="25319"/>
    <cellStyle name="Input 2 2 3 14 5" xfId="33745"/>
    <cellStyle name="Input 2 2 3 14 6" xfId="38158"/>
    <cellStyle name="Input 2 2 3 14 7" xfId="51468"/>
    <cellStyle name="Input 2 2 3 15" xfId="2483"/>
    <cellStyle name="Input 2 2 3 15 2" xfId="10306"/>
    <cellStyle name="Input 2 2 3 15 3" xfId="17734"/>
    <cellStyle name="Input 2 2 3 15 4" xfId="25907"/>
    <cellStyle name="Input 2 2 3 15 5" xfId="34503"/>
    <cellStyle name="Input 2 2 3 15 6" xfId="38311"/>
    <cellStyle name="Input 2 2 3 15 7" xfId="52795"/>
    <cellStyle name="Input 2 2 3 16" xfId="2596"/>
    <cellStyle name="Input 2 2 3 16 2" xfId="10419"/>
    <cellStyle name="Input 2 2 3 16 3" xfId="17847"/>
    <cellStyle name="Input 2 2 3 16 4" xfId="19246"/>
    <cellStyle name="Input 2 2 3 16 5" xfId="28078"/>
    <cellStyle name="Input 2 2 3 16 6" xfId="39553"/>
    <cellStyle name="Input 2 2 3 16 7" xfId="50141"/>
    <cellStyle name="Input 2 2 3 17" xfId="2456"/>
    <cellStyle name="Input 2 2 3 17 2" xfId="10279"/>
    <cellStyle name="Input 2 2 3 17 3" xfId="17707"/>
    <cellStyle name="Input 2 2 3 17 4" xfId="19653"/>
    <cellStyle name="Input 2 2 3 17 5" xfId="26748"/>
    <cellStyle name="Input 2 2 3 17 6" xfId="41016"/>
    <cellStyle name="Input 2 2 3 17 7" xfId="49722"/>
    <cellStyle name="Input 2 2 3 18" xfId="2694"/>
    <cellStyle name="Input 2 2 3 18 2" xfId="10517"/>
    <cellStyle name="Input 2 2 3 18 3" xfId="17945"/>
    <cellStyle name="Input 2 2 3 18 4" xfId="26210"/>
    <cellStyle name="Input 2 2 3 18 5" xfId="34892"/>
    <cellStyle name="Input 2 2 3 18 6" xfId="40400"/>
    <cellStyle name="Input 2 2 3 18 7" xfId="53443"/>
    <cellStyle name="Input 2 2 3 19" xfId="2790"/>
    <cellStyle name="Input 2 2 3 19 2" xfId="10613"/>
    <cellStyle name="Input 2 2 3 19 3" xfId="18041"/>
    <cellStyle name="Input 2 2 3 19 4" xfId="25781"/>
    <cellStyle name="Input 2 2 3 19 5" xfId="34344"/>
    <cellStyle name="Input 2 2 3 19 6" xfId="38118"/>
    <cellStyle name="Input 2 2 3 19 7" xfId="52511"/>
    <cellStyle name="Input 2 2 3 2" xfId="658"/>
    <cellStyle name="Input 2 2 3 2 2" xfId="8482"/>
    <cellStyle name="Input 2 2 3 2 3" xfId="8278"/>
    <cellStyle name="Input 2 2 3 2 4" xfId="25539"/>
    <cellStyle name="Input 2 2 3 2 5" xfId="34030"/>
    <cellStyle name="Input 2 2 3 2 6" xfId="36359"/>
    <cellStyle name="Input 2 2 3 2 7" xfId="51963"/>
    <cellStyle name="Input 2 2 3 20" xfId="2897"/>
    <cellStyle name="Input 2 2 3 20 2" xfId="10720"/>
    <cellStyle name="Input 2 2 3 20 3" xfId="18148"/>
    <cellStyle name="Input 2 2 3 20 4" xfId="19677"/>
    <cellStyle name="Input 2 2 3 20 5" xfId="27537"/>
    <cellStyle name="Input 2 2 3 20 6" xfId="37278"/>
    <cellStyle name="Input 2 2 3 20 7" xfId="47723"/>
    <cellStyle name="Input 2 2 3 21" xfId="3273"/>
    <cellStyle name="Input 2 2 3 21 2" xfId="11066"/>
    <cellStyle name="Input 2 2 3 21 3" xfId="18395"/>
    <cellStyle name="Input 2 2 3 21 4" xfId="19482"/>
    <cellStyle name="Input 2 2 3 21 5" xfId="27011"/>
    <cellStyle name="Input 2 2 3 21 6" xfId="36636"/>
    <cellStyle name="Input 2 2 3 21 7" xfId="48385"/>
    <cellStyle name="Input 2 2 3 22" xfId="3393"/>
    <cellStyle name="Input 2 2 3 22 2" xfId="11184"/>
    <cellStyle name="Input 2 2 3 22 3" xfId="18506"/>
    <cellStyle name="Input 2 2 3 22 4" xfId="24905"/>
    <cellStyle name="Input 2 2 3 22 5" xfId="33227"/>
    <cellStyle name="Input 2 2 3 22 6" xfId="37884"/>
    <cellStyle name="Input 2 2 3 22 7" xfId="50576"/>
    <cellStyle name="Input 2 2 3 23" xfId="3005"/>
    <cellStyle name="Input 2 2 3 23 2" xfId="10824"/>
    <cellStyle name="Input 2 2 3 23 3" xfId="18247"/>
    <cellStyle name="Input 2 2 3 23 4" xfId="25937"/>
    <cellStyle name="Input 2 2 3 23 5" xfId="34542"/>
    <cellStyle name="Input 2 2 3 23 6" xfId="40233"/>
    <cellStyle name="Input 2 2 3 23 7" xfId="52866"/>
    <cellStyle name="Input 2 2 3 24" xfId="3663"/>
    <cellStyle name="Input 2 2 3 24 2" xfId="11448"/>
    <cellStyle name="Input 2 2 3 24 3" xfId="18721"/>
    <cellStyle name="Input 2 2 3 24 4" xfId="26019"/>
    <cellStyle name="Input 2 2 3 24 5" xfId="34647"/>
    <cellStyle name="Input 2 2 3 24 6" xfId="40066"/>
    <cellStyle name="Input 2 2 3 24 7" xfId="53035"/>
    <cellStyle name="Input 2 2 3 25" xfId="3794"/>
    <cellStyle name="Input 2 2 3 25 2" xfId="11576"/>
    <cellStyle name="Input 2 2 3 25 3" xfId="18833"/>
    <cellStyle name="Input 2 2 3 25 4" xfId="20364"/>
    <cellStyle name="Input 2 2 3 25 5" xfId="27839"/>
    <cellStyle name="Input 2 2 3 25 6" xfId="39407"/>
    <cellStyle name="Input 2 2 3 25 7" xfId="48709"/>
    <cellStyle name="Input 2 2 3 26" xfId="3911"/>
    <cellStyle name="Input 2 2 3 26 2" xfId="11691"/>
    <cellStyle name="Input 2 2 3 26 3" xfId="18942"/>
    <cellStyle name="Input 2 2 3 26 4" xfId="20423"/>
    <cellStyle name="Input 2 2 3 26 5" xfId="28768"/>
    <cellStyle name="Input 2 2 3 26 6" xfId="38222"/>
    <cellStyle name="Input 2 2 3 26 7" xfId="50259"/>
    <cellStyle name="Input 2 2 3 27" xfId="3183"/>
    <cellStyle name="Input 2 2 3 27 2" xfId="10984"/>
    <cellStyle name="Input 2 2 3 27 3" xfId="20311"/>
    <cellStyle name="Input 2 2 3 27 4" xfId="28403"/>
    <cellStyle name="Input 2 2 3 27 5" xfId="37790"/>
    <cellStyle name="Input 2 2 3 27 6" xfId="42426"/>
    <cellStyle name="Input 2 2 3 27 7" xfId="51002"/>
    <cellStyle name="Input 2 2 3 28" xfId="4108"/>
    <cellStyle name="Input 2 2 3 28 2" xfId="11868"/>
    <cellStyle name="Input 2 2 3 28 3" xfId="20818"/>
    <cellStyle name="Input 2 2 3 28 4" xfId="29005"/>
    <cellStyle name="Input 2 2 3 28 5" xfId="38383"/>
    <cellStyle name="Input 2 2 3 28 6" xfId="42670"/>
    <cellStyle name="Input 2 2 3 28 7" xfId="53710"/>
    <cellStyle name="Input 2 2 3 29" xfId="3539"/>
    <cellStyle name="Input 2 2 3 29 2" xfId="20507"/>
    <cellStyle name="Input 2 2 3 29 3" xfId="28633"/>
    <cellStyle name="Input 2 2 3 29 4" xfId="38010"/>
    <cellStyle name="Input 2 2 3 29 5" xfId="42503"/>
    <cellStyle name="Input 2 2 3 29 6" xfId="50804"/>
    <cellStyle name="Input 2 2 3 3" xfId="765"/>
    <cellStyle name="Input 2 2 3 3 2" xfId="8589"/>
    <cellStyle name="Input 2 2 3 3 3" xfId="16017"/>
    <cellStyle name="Input 2 2 3 3 4" xfId="19918"/>
    <cellStyle name="Input 2 2 3 3 5" xfId="27267"/>
    <cellStyle name="Input 2 2 3 3 6" xfId="36350"/>
    <cellStyle name="Input 2 2 3 3 7" xfId="48093"/>
    <cellStyle name="Input 2 2 3 30" xfId="4305"/>
    <cellStyle name="Input 2 2 3 30 2" xfId="12022"/>
    <cellStyle name="Input 2 2 3 30 3" xfId="21015"/>
    <cellStyle name="Input 2 2 3 30 4" xfId="29202"/>
    <cellStyle name="Input 2 2 3 30 5" xfId="38574"/>
    <cellStyle name="Input 2 2 3 30 6" xfId="42867"/>
    <cellStyle name="Input 2 2 3 30 7" xfId="47286"/>
    <cellStyle name="Input 2 2 3 31" xfId="4428"/>
    <cellStyle name="Input 2 2 3 31 2" xfId="12145"/>
    <cellStyle name="Input 2 2 3 31 3" xfId="21138"/>
    <cellStyle name="Input 2 2 3 31 4" xfId="29325"/>
    <cellStyle name="Input 2 2 3 31 5" xfId="38692"/>
    <cellStyle name="Input 2 2 3 31 6" xfId="42990"/>
    <cellStyle name="Input 2 2 3 31 7" xfId="52593"/>
    <cellStyle name="Input 2 2 3 32" xfId="4542"/>
    <cellStyle name="Input 2 2 3 32 2" xfId="12259"/>
    <cellStyle name="Input 2 2 3 32 3" xfId="21252"/>
    <cellStyle name="Input 2 2 3 32 4" xfId="29439"/>
    <cellStyle name="Input 2 2 3 32 5" xfId="38801"/>
    <cellStyle name="Input 2 2 3 32 6" xfId="43104"/>
    <cellStyle name="Input 2 2 3 32 7" xfId="54005"/>
    <cellStyle name="Input 2 2 3 33" xfId="4655"/>
    <cellStyle name="Input 2 2 3 33 2" xfId="12372"/>
    <cellStyle name="Input 2 2 3 33 3" xfId="21365"/>
    <cellStyle name="Input 2 2 3 33 4" xfId="29552"/>
    <cellStyle name="Input 2 2 3 33 5" xfId="38909"/>
    <cellStyle name="Input 2 2 3 33 6" xfId="43217"/>
    <cellStyle name="Input 2 2 3 33 7" xfId="51480"/>
    <cellStyle name="Input 2 2 3 34" xfId="4767"/>
    <cellStyle name="Input 2 2 3 34 2" xfId="12484"/>
    <cellStyle name="Input 2 2 3 34 3" xfId="21477"/>
    <cellStyle name="Input 2 2 3 34 4" xfId="29664"/>
    <cellStyle name="Input 2 2 3 34 5" xfId="39018"/>
    <cellStyle name="Input 2 2 3 34 6" xfId="43329"/>
    <cellStyle name="Input 2 2 3 34 7" xfId="50140"/>
    <cellStyle name="Input 2 2 3 35" xfId="4875"/>
    <cellStyle name="Input 2 2 3 35 2" xfId="12592"/>
    <cellStyle name="Input 2 2 3 35 3" xfId="21585"/>
    <cellStyle name="Input 2 2 3 35 4" xfId="29772"/>
    <cellStyle name="Input 2 2 3 35 5" xfId="39121"/>
    <cellStyle name="Input 2 2 3 35 6" xfId="43437"/>
    <cellStyle name="Input 2 2 3 35 7" xfId="51415"/>
    <cellStyle name="Input 2 2 3 36" xfId="4987"/>
    <cellStyle name="Input 2 2 3 36 2" xfId="12704"/>
    <cellStyle name="Input 2 2 3 36 3" xfId="21697"/>
    <cellStyle name="Input 2 2 3 36 4" xfId="29884"/>
    <cellStyle name="Input 2 2 3 36 5" xfId="39230"/>
    <cellStyle name="Input 2 2 3 36 6" xfId="43549"/>
    <cellStyle name="Input 2 2 3 36 7" xfId="48305"/>
    <cellStyle name="Input 2 2 3 37" xfId="5124"/>
    <cellStyle name="Input 2 2 3 37 2" xfId="12841"/>
    <cellStyle name="Input 2 2 3 37 3" xfId="21834"/>
    <cellStyle name="Input 2 2 3 37 4" xfId="30021"/>
    <cellStyle name="Input 2 2 3 37 5" xfId="39362"/>
    <cellStyle name="Input 2 2 3 37 6" xfId="43686"/>
    <cellStyle name="Input 2 2 3 37 7" xfId="47262"/>
    <cellStyle name="Input 2 2 3 38" xfId="5485"/>
    <cellStyle name="Input 2 2 3 38 2" xfId="13202"/>
    <cellStyle name="Input 2 2 3 38 3" xfId="22195"/>
    <cellStyle name="Input 2 2 3 38 4" xfId="30382"/>
    <cellStyle name="Input 2 2 3 38 5" xfId="39708"/>
    <cellStyle name="Input 2 2 3 38 6" xfId="44047"/>
    <cellStyle name="Input 2 2 3 38 7" xfId="49784"/>
    <cellStyle name="Input 2 2 3 39" xfId="5610"/>
    <cellStyle name="Input 2 2 3 39 2" xfId="13327"/>
    <cellStyle name="Input 2 2 3 39 3" xfId="22320"/>
    <cellStyle name="Input 2 2 3 39 4" xfId="30507"/>
    <cellStyle name="Input 2 2 3 39 5" xfId="39828"/>
    <cellStyle name="Input 2 2 3 39 6" xfId="44172"/>
    <cellStyle name="Input 2 2 3 39 7" xfId="47132"/>
    <cellStyle name="Input 2 2 3 4" xfId="877"/>
    <cellStyle name="Input 2 2 3 4 2" xfId="8701"/>
    <cellStyle name="Input 2 2 3 4 3" xfId="16129"/>
    <cellStyle name="Input 2 2 3 4 4" xfId="25424"/>
    <cellStyle name="Input 2 2 3 4 5" xfId="33880"/>
    <cellStyle name="Input 2 2 3 4 6" xfId="36336"/>
    <cellStyle name="Input 2 2 3 4 7" xfId="51695"/>
    <cellStyle name="Input 2 2 3 40" xfId="5725"/>
    <cellStyle name="Input 2 2 3 40 2" xfId="13442"/>
    <cellStyle name="Input 2 2 3 40 3" xfId="22435"/>
    <cellStyle name="Input 2 2 3 40 4" xfId="30622"/>
    <cellStyle name="Input 2 2 3 40 5" xfId="39939"/>
    <cellStyle name="Input 2 2 3 40 6" xfId="44287"/>
    <cellStyle name="Input 2 2 3 40 7" xfId="47363"/>
    <cellStyle name="Input 2 2 3 41" xfId="5842"/>
    <cellStyle name="Input 2 2 3 41 2" xfId="13559"/>
    <cellStyle name="Input 2 2 3 41 3" xfId="22552"/>
    <cellStyle name="Input 2 2 3 41 4" xfId="30739"/>
    <cellStyle name="Input 2 2 3 41 5" xfId="40053"/>
    <cellStyle name="Input 2 2 3 41 6" xfId="44404"/>
    <cellStyle name="Input 2 2 3 41 7" xfId="48895"/>
    <cellStyle name="Input 2 2 3 42" xfId="5970"/>
    <cellStyle name="Input 2 2 3 42 2" xfId="13687"/>
    <cellStyle name="Input 2 2 3 42 3" xfId="22680"/>
    <cellStyle name="Input 2 2 3 42 4" xfId="30867"/>
    <cellStyle name="Input 2 2 3 42 5" xfId="40177"/>
    <cellStyle name="Input 2 2 3 42 6" xfId="44532"/>
    <cellStyle name="Input 2 2 3 42 7" xfId="50310"/>
    <cellStyle name="Input 2 2 3 43" xfId="5813"/>
    <cellStyle name="Input 2 2 3 43 2" xfId="13530"/>
    <cellStyle name="Input 2 2 3 43 3" xfId="22523"/>
    <cellStyle name="Input 2 2 3 43 4" xfId="30710"/>
    <cellStyle name="Input 2 2 3 43 5" xfId="40025"/>
    <cellStyle name="Input 2 2 3 43 6" xfId="44375"/>
    <cellStyle name="Input 2 2 3 43 7" xfId="52136"/>
    <cellStyle name="Input 2 2 3 44" xfId="6226"/>
    <cellStyle name="Input 2 2 3 44 2" xfId="13943"/>
    <cellStyle name="Input 2 2 3 44 3" xfId="22936"/>
    <cellStyle name="Input 2 2 3 44 4" xfId="31123"/>
    <cellStyle name="Input 2 2 3 44 5" xfId="40424"/>
    <cellStyle name="Input 2 2 3 44 6" xfId="44788"/>
    <cellStyle name="Input 2 2 3 44 7" xfId="52894"/>
    <cellStyle name="Input 2 2 3 45" xfId="6343"/>
    <cellStyle name="Input 2 2 3 45 2" xfId="14060"/>
    <cellStyle name="Input 2 2 3 45 3" xfId="23053"/>
    <cellStyle name="Input 2 2 3 45 4" xfId="31240"/>
    <cellStyle name="Input 2 2 3 45 5" xfId="40538"/>
    <cellStyle name="Input 2 2 3 45 6" xfId="44905"/>
    <cellStyle name="Input 2 2 3 45 7" xfId="47932"/>
    <cellStyle name="Input 2 2 3 46" xfId="6453"/>
    <cellStyle name="Input 2 2 3 46 2" xfId="14170"/>
    <cellStyle name="Input 2 2 3 46 3" xfId="23163"/>
    <cellStyle name="Input 2 2 3 46 4" xfId="31350"/>
    <cellStyle name="Input 2 2 3 46 5" xfId="40644"/>
    <cellStyle name="Input 2 2 3 46 6" xfId="45015"/>
    <cellStyle name="Input 2 2 3 46 7" xfId="49957"/>
    <cellStyle name="Input 2 2 3 47" xfId="5163"/>
    <cellStyle name="Input 2 2 3 47 2" xfId="12880"/>
    <cellStyle name="Input 2 2 3 47 3" xfId="21873"/>
    <cellStyle name="Input 2 2 3 47 4" xfId="30060"/>
    <cellStyle name="Input 2 2 3 47 5" xfId="39399"/>
    <cellStyle name="Input 2 2 3 47 6" xfId="43725"/>
    <cellStyle name="Input 2 2 3 47 7" xfId="53106"/>
    <cellStyle name="Input 2 2 3 48" xfId="6600"/>
    <cellStyle name="Input 2 2 3 48 2" xfId="14317"/>
    <cellStyle name="Input 2 2 3 48 3" xfId="23310"/>
    <cellStyle name="Input 2 2 3 48 4" xfId="31497"/>
    <cellStyle name="Input 2 2 3 48 5" xfId="40784"/>
    <cellStyle name="Input 2 2 3 48 6" xfId="45162"/>
    <cellStyle name="Input 2 2 3 48 7" xfId="50890"/>
    <cellStyle name="Input 2 2 3 49" xfId="6711"/>
    <cellStyle name="Input 2 2 3 49 2" xfId="14428"/>
    <cellStyle name="Input 2 2 3 49 3" xfId="23421"/>
    <cellStyle name="Input 2 2 3 49 4" xfId="31608"/>
    <cellStyle name="Input 2 2 3 49 5" xfId="40890"/>
    <cellStyle name="Input 2 2 3 49 6" xfId="45273"/>
    <cellStyle name="Input 2 2 3 49 7" xfId="54179"/>
    <cellStyle name="Input 2 2 3 5" xfId="1342"/>
    <cellStyle name="Input 2 2 3 5 2" xfId="9165"/>
    <cellStyle name="Input 2 2 3 5 3" xfId="16593"/>
    <cellStyle name="Input 2 2 3 5 4" xfId="19701"/>
    <cellStyle name="Input 2 2 3 5 5" xfId="27694"/>
    <cellStyle name="Input 2 2 3 5 6" xfId="36937"/>
    <cellStyle name="Input 2 2 3 5 7" xfId="47467"/>
    <cellStyle name="Input 2 2 3 50" xfId="6826"/>
    <cellStyle name="Input 2 2 3 50 2" xfId="14543"/>
    <cellStyle name="Input 2 2 3 50 3" xfId="23536"/>
    <cellStyle name="Input 2 2 3 50 4" xfId="31723"/>
    <cellStyle name="Input 2 2 3 50 5" xfId="40998"/>
    <cellStyle name="Input 2 2 3 50 6" xfId="45388"/>
    <cellStyle name="Input 2 2 3 50 7" xfId="49248"/>
    <cellStyle name="Input 2 2 3 51" xfId="6939"/>
    <cellStyle name="Input 2 2 3 51 2" xfId="14656"/>
    <cellStyle name="Input 2 2 3 51 3" xfId="23649"/>
    <cellStyle name="Input 2 2 3 51 4" xfId="31836"/>
    <cellStyle name="Input 2 2 3 51 5" xfId="41106"/>
    <cellStyle name="Input 2 2 3 51 6" xfId="45501"/>
    <cellStyle name="Input 2 2 3 51 7" xfId="46928"/>
    <cellStyle name="Input 2 2 3 52" xfId="7051"/>
    <cellStyle name="Input 2 2 3 52 2" xfId="14768"/>
    <cellStyle name="Input 2 2 3 52 3" xfId="23761"/>
    <cellStyle name="Input 2 2 3 52 4" xfId="31948"/>
    <cellStyle name="Input 2 2 3 52 5" xfId="41212"/>
    <cellStyle name="Input 2 2 3 52 6" xfId="45613"/>
    <cellStyle name="Input 2 2 3 52 7" xfId="53992"/>
    <cellStyle name="Input 2 2 3 53" xfId="7221"/>
    <cellStyle name="Input 2 2 3 53 2" xfId="14938"/>
    <cellStyle name="Input 2 2 3 53 3" xfId="23931"/>
    <cellStyle name="Input 2 2 3 53 4" xfId="32118"/>
    <cellStyle name="Input 2 2 3 53 5" xfId="41376"/>
    <cellStyle name="Input 2 2 3 53 6" xfId="45783"/>
    <cellStyle name="Input 2 2 3 53 7" xfId="49111"/>
    <cellStyle name="Input 2 2 3 54" xfId="7284"/>
    <cellStyle name="Input 2 2 3 54 2" xfId="15001"/>
    <cellStyle name="Input 2 2 3 54 3" xfId="23994"/>
    <cellStyle name="Input 2 2 3 54 4" xfId="32181"/>
    <cellStyle name="Input 2 2 3 54 5" xfId="41437"/>
    <cellStyle name="Input 2 2 3 54 6" xfId="45846"/>
    <cellStyle name="Input 2 2 3 54 7" xfId="47574"/>
    <cellStyle name="Input 2 2 3 55" xfId="7448"/>
    <cellStyle name="Input 2 2 3 55 2" xfId="15165"/>
    <cellStyle name="Input 2 2 3 55 3" xfId="24158"/>
    <cellStyle name="Input 2 2 3 55 4" xfId="32345"/>
    <cellStyle name="Input 2 2 3 55 5" xfId="41595"/>
    <cellStyle name="Input 2 2 3 55 6" xfId="46010"/>
    <cellStyle name="Input 2 2 3 55 7" xfId="49811"/>
    <cellStyle name="Input 2 2 3 56" xfId="7569"/>
    <cellStyle name="Input 2 2 3 56 2" xfId="15286"/>
    <cellStyle name="Input 2 2 3 56 3" xfId="24279"/>
    <cellStyle name="Input 2 2 3 56 4" xfId="32466"/>
    <cellStyle name="Input 2 2 3 56 5" xfId="41710"/>
    <cellStyle name="Input 2 2 3 56 6" xfId="46131"/>
    <cellStyle name="Input 2 2 3 56 7" xfId="50386"/>
    <cellStyle name="Input 2 2 3 57" xfId="7845"/>
    <cellStyle name="Input 2 2 3 57 2" xfId="15562"/>
    <cellStyle name="Input 2 2 3 57 3" xfId="24549"/>
    <cellStyle name="Input 2 2 3 57 4" xfId="32742"/>
    <cellStyle name="Input 2 2 3 57 5" xfId="41975"/>
    <cellStyle name="Input 2 2 3 57 6" xfId="46407"/>
    <cellStyle name="Input 2 2 3 57 7" xfId="51458"/>
    <cellStyle name="Input 2 2 3 58" xfId="7983"/>
    <cellStyle name="Input 2 2 3 58 2" xfId="15700"/>
    <cellStyle name="Input 2 2 3 58 3" xfId="24685"/>
    <cellStyle name="Input 2 2 3 58 4" xfId="32880"/>
    <cellStyle name="Input 2 2 3 58 5" xfId="42106"/>
    <cellStyle name="Input 2 2 3 58 6" xfId="46545"/>
    <cellStyle name="Input 2 2 3 58 7" xfId="51865"/>
    <cellStyle name="Input 2 2 3 59" xfId="8066"/>
    <cellStyle name="Input 2 2 3 59 2" xfId="15783"/>
    <cellStyle name="Input 2 2 3 59 3" xfId="24768"/>
    <cellStyle name="Input 2 2 3 59 4" xfId="32963"/>
    <cellStyle name="Input 2 2 3 59 5" xfId="42187"/>
    <cellStyle name="Input 2 2 3 59 6" xfId="46628"/>
    <cellStyle name="Input 2 2 3 59 7" xfId="50342"/>
    <cellStyle name="Input 2 2 3 6" xfId="1465"/>
    <cellStyle name="Input 2 2 3 6 2" xfId="9288"/>
    <cellStyle name="Input 2 2 3 6 3" xfId="16716"/>
    <cellStyle name="Input 2 2 3 6 4" xfId="19233"/>
    <cellStyle name="Input 2 2 3 6 5" xfId="26947"/>
    <cellStyle name="Input 2 2 3 6 6" xfId="36406"/>
    <cellStyle name="Input 2 2 3 6 7" xfId="49086"/>
    <cellStyle name="Input 2 2 3 60" xfId="8121"/>
    <cellStyle name="Input 2 2 3 60 2" xfId="15838"/>
    <cellStyle name="Input 2 2 3 60 3" xfId="33018"/>
    <cellStyle name="Input 2 2 3 60 4" xfId="42239"/>
    <cellStyle name="Input 2 2 3 60 5" xfId="46683"/>
    <cellStyle name="Input 2 2 3 60 6" xfId="52098"/>
    <cellStyle name="Input 2 2 3 61" xfId="25230"/>
    <cellStyle name="Input 2 2 3 62" xfId="33632"/>
    <cellStyle name="Input 2 2 3 63" xfId="37938"/>
    <cellStyle name="Input 2 2 3 64" xfId="51284"/>
    <cellStyle name="Input 2 2 3 7" xfId="1149"/>
    <cellStyle name="Input 2 2 3 7 2" xfId="8972"/>
    <cellStyle name="Input 2 2 3 7 3" xfId="16400"/>
    <cellStyle name="Input 2 2 3 7 4" xfId="20034"/>
    <cellStyle name="Input 2 2 3 7 5" xfId="27412"/>
    <cellStyle name="Input 2 2 3 7 6" xfId="40217"/>
    <cellStyle name="Input 2 2 3 7 7" xfId="49506"/>
    <cellStyle name="Input 2 2 3 8" xfId="1702"/>
    <cellStyle name="Input 2 2 3 8 2" xfId="9525"/>
    <cellStyle name="Input 2 2 3 8 3" xfId="16953"/>
    <cellStyle name="Input 2 2 3 8 4" xfId="26629"/>
    <cellStyle name="Input 2 2 3 8 5" xfId="35462"/>
    <cellStyle name="Input 2 2 3 8 6" xfId="36732"/>
    <cellStyle name="Input 2 2 3 8 7" xfId="54344"/>
    <cellStyle name="Input 2 2 3 9" xfId="1836"/>
    <cellStyle name="Input 2 2 3 9 2" xfId="9659"/>
    <cellStyle name="Input 2 2 3 9 3" xfId="17087"/>
    <cellStyle name="Input 2 2 3 9 4" xfId="20523"/>
    <cellStyle name="Input 2 2 3 9 5" xfId="27360"/>
    <cellStyle name="Input 2 2 3 9 6" xfId="37570"/>
    <cellStyle name="Input 2 2 3 9 7" xfId="48533"/>
    <cellStyle name="Input 2 2 30" xfId="3493"/>
    <cellStyle name="Input 2 2 30 2" xfId="11284"/>
    <cellStyle name="Input 2 2 30 3" xfId="18591"/>
    <cellStyle name="Input 2 2 30 4" xfId="25477"/>
    <cellStyle name="Input 2 2 30 5" xfId="33949"/>
    <cellStyle name="Input 2 2 30 6" xfId="39324"/>
    <cellStyle name="Input 2 2 30 7" xfId="51823"/>
    <cellStyle name="Input 2 2 31" xfId="3224"/>
    <cellStyle name="Input 2 2 31 2" xfId="11020"/>
    <cellStyle name="Input 2 2 31 3" xfId="18357"/>
    <cellStyle name="Input 2 2 31 4" xfId="26135"/>
    <cellStyle name="Input 2 2 31 5" xfId="34797"/>
    <cellStyle name="Input 2 2 31 6" xfId="40040"/>
    <cellStyle name="Input 2 2 31 7" xfId="53279"/>
    <cellStyle name="Input 2 2 32" xfId="3481"/>
    <cellStyle name="Input 2 2 32 2" xfId="11272"/>
    <cellStyle name="Input 2 2 32 3" xfId="20468"/>
    <cellStyle name="Input 2 2 32 4" xfId="28590"/>
    <cellStyle name="Input 2 2 32 5" xfId="37968"/>
    <cellStyle name="Input 2 2 32 6" xfId="42479"/>
    <cellStyle name="Input 2 2 32 7" xfId="49091"/>
    <cellStyle name="Input 2 2 33" xfId="2990"/>
    <cellStyle name="Input 2 2 33 2" xfId="10812"/>
    <cellStyle name="Input 2 2 33 3" xfId="20174"/>
    <cellStyle name="Input 2 2 33 4" xfId="28259"/>
    <cellStyle name="Input 2 2 33 5" xfId="37645"/>
    <cellStyle name="Input 2 2 33 6" xfId="42342"/>
    <cellStyle name="Input 2 2 33 7" xfId="54269"/>
    <cellStyle name="Input 2 2 34" xfId="4260"/>
    <cellStyle name="Input 2 2 34 2" xfId="20970"/>
    <cellStyle name="Input 2 2 34 3" xfId="29157"/>
    <cellStyle name="Input 2 2 34 4" xfId="38530"/>
    <cellStyle name="Input 2 2 34 5" xfId="42822"/>
    <cellStyle name="Input 2 2 34 6" xfId="53046"/>
    <cellStyle name="Input 2 2 35" xfId="3196"/>
    <cellStyle name="Input 2 2 35 2" xfId="10996"/>
    <cellStyle name="Input 2 2 35 3" xfId="20323"/>
    <cellStyle name="Input 2 2 35 4" xfId="28416"/>
    <cellStyle name="Input 2 2 35 5" xfId="37802"/>
    <cellStyle name="Input 2 2 35 6" xfId="42437"/>
    <cellStyle name="Input 2 2 35 7" xfId="49548"/>
    <cellStyle name="Input 2 2 36" xfId="4321"/>
    <cellStyle name="Input 2 2 36 2" xfId="12038"/>
    <cellStyle name="Input 2 2 36 3" xfId="21031"/>
    <cellStyle name="Input 2 2 36 4" xfId="29218"/>
    <cellStyle name="Input 2 2 36 5" xfId="38589"/>
    <cellStyle name="Input 2 2 36 6" xfId="42883"/>
    <cellStyle name="Input 2 2 36 7" xfId="49766"/>
    <cellStyle name="Input 2 2 37" xfId="4230"/>
    <cellStyle name="Input 2 2 37 2" xfId="11967"/>
    <cellStyle name="Input 2 2 37 3" xfId="20940"/>
    <cellStyle name="Input 2 2 37 4" xfId="29127"/>
    <cellStyle name="Input 2 2 37 5" xfId="38502"/>
    <cellStyle name="Input 2 2 37 6" xfId="42792"/>
    <cellStyle name="Input 2 2 37 7" xfId="48776"/>
    <cellStyle name="Input 2 2 38" xfId="4401"/>
    <cellStyle name="Input 2 2 38 2" xfId="12118"/>
    <cellStyle name="Input 2 2 38 3" xfId="21111"/>
    <cellStyle name="Input 2 2 38 4" xfId="29298"/>
    <cellStyle name="Input 2 2 38 5" xfId="38668"/>
    <cellStyle name="Input 2 2 38 6" xfId="42963"/>
    <cellStyle name="Input 2 2 38 7" xfId="48871"/>
    <cellStyle name="Input 2 2 39" xfId="3208"/>
    <cellStyle name="Input 2 2 39 2" xfId="11007"/>
    <cellStyle name="Input 2 2 39 3" xfId="20334"/>
    <cellStyle name="Input 2 2 39 4" xfId="28425"/>
    <cellStyle name="Input 2 2 39 5" xfId="37813"/>
    <cellStyle name="Input 2 2 39 6" xfId="42445"/>
    <cellStyle name="Input 2 2 39 7" xfId="47288"/>
    <cellStyle name="Input 2 2 4" xfId="582"/>
    <cellStyle name="Input 2 2 4 10" xfId="2029"/>
    <cellStyle name="Input 2 2 4 10 2" xfId="9852"/>
    <cellStyle name="Input 2 2 4 10 3" xfId="17280"/>
    <cellStyle name="Input 2 2 4 10 4" xfId="19497"/>
    <cellStyle name="Input 2 2 4 10 5" xfId="28710"/>
    <cellStyle name="Input 2 2 4 10 6" xfId="40005"/>
    <cellStyle name="Input 2 2 4 10 7" xfId="47432"/>
    <cellStyle name="Input 2 2 4 11" xfId="2145"/>
    <cellStyle name="Input 2 2 4 11 2" xfId="9968"/>
    <cellStyle name="Input 2 2 4 11 3" xfId="17396"/>
    <cellStyle name="Input 2 2 4 11 4" xfId="24862"/>
    <cellStyle name="Input 2 2 4 11 5" xfId="33175"/>
    <cellStyle name="Input 2 2 4 11 6" xfId="37769"/>
    <cellStyle name="Input 2 2 4 11 7" xfId="50484"/>
    <cellStyle name="Input 2 2 4 12" xfId="2259"/>
    <cellStyle name="Input 2 2 4 12 2" xfId="10082"/>
    <cellStyle name="Input 2 2 4 12 3" xfId="17510"/>
    <cellStyle name="Input 2 2 4 12 4" xfId="26637"/>
    <cellStyle name="Input 2 2 4 12 5" xfId="35473"/>
    <cellStyle name="Input 2 2 4 12 6" xfId="38599"/>
    <cellStyle name="Input 2 2 4 12 7" xfId="54361"/>
    <cellStyle name="Input 2 2 4 13" xfId="2043"/>
    <cellStyle name="Input 2 2 4 13 2" xfId="9866"/>
    <cellStyle name="Input 2 2 4 13 3" xfId="17294"/>
    <cellStyle name="Input 2 2 4 13 4" xfId="20636"/>
    <cellStyle name="Input 2 2 4 13 5" xfId="27348"/>
    <cellStyle name="Input 2 2 4 13 6" xfId="38448"/>
    <cellStyle name="Input 2 2 4 13 7" xfId="47831"/>
    <cellStyle name="Input 2 2 4 14" xfId="1235"/>
    <cellStyle name="Input 2 2 4 14 2" xfId="9058"/>
    <cellStyle name="Input 2 2 4 14 3" xfId="16486"/>
    <cellStyle name="Input 2 2 4 14 4" xfId="20702"/>
    <cellStyle name="Input 2 2 4 14 5" xfId="28680"/>
    <cellStyle name="Input 2 2 4 14 6" xfId="37953"/>
    <cellStyle name="Input 2 2 4 14 7" xfId="47715"/>
    <cellStyle name="Input 2 2 4 15" xfId="2557"/>
    <cellStyle name="Input 2 2 4 15 2" xfId="10380"/>
    <cellStyle name="Input 2 2 4 15 3" xfId="17808"/>
    <cellStyle name="Input 2 2 4 15 4" xfId="26573"/>
    <cellStyle name="Input 2 2 4 15 5" xfId="35388"/>
    <cellStyle name="Input 2 2 4 15 6" xfId="39645"/>
    <cellStyle name="Input 2 2 4 15 7" xfId="54219"/>
    <cellStyle name="Input 2 2 4 16" xfId="2671"/>
    <cellStyle name="Input 2 2 4 16 2" xfId="10494"/>
    <cellStyle name="Input 2 2 4 16 3" xfId="17922"/>
    <cellStyle name="Input 2 2 4 16 4" xfId="19540"/>
    <cellStyle name="Input 2 2 4 16 5" xfId="28122"/>
    <cellStyle name="Input 2 2 4 16 6" xfId="38318"/>
    <cellStyle name="Input 2 2 4 16 7" xfId="48888"/>
    <cellStyle name="Input 2 2 4 17" xfId="2449"/>
    <cellStyle name="Input 2 2 4 17 2" xfId="10272"/>
    <cellStyle name="Input 2 2 4 17 3" xfId="17700"/>
    <cellStyle name="Input 2 2 4 17 4" xfId="19692"/>
    <cellStyle name="Input 2 2 4 17 5" xfId="28460"/>
    <cellStyle name="Input 2 2 4 17 6" xfId="41992"/>
    <cellStyle name="Input 2 2 4 17 7" xfId="48884"/>
    <cellStyle name="Input 2 2 4 18" xfId="2321"/>
    <cellStyle name="Input 2 2 4 18 2" xfId="10144"/>
    <cellStyle name="Input 2 2 4 18 3" xfId="17572"/>
    <cellStyle name="Input 2 2 4 18 4" xfId="25317"/>
    <cellStyle name="Input 2 2 4 18 5" xfId="33741"/>
    <cellStyle name="Input 2 2 4 18 6" xfId="41479"/>
    <cellStyle name="Input 2 2 4 18 7" xfId="51464"/>
    <cellStyle name="Input 2 2 4 19" xfId="2861"/>
    <cellStyle name="Input 2 2 4 19 2" xfId="10684"/>
    <cellStyle name="Input 2 2 4 19 3" xfId="18112"/>
    <cellStyle name="Input 2 2 4 19 4" xfId="25839"/>
    <cellStyle name="Input 2 2 4 19 5" xfId="34425"/>
    <cellStyle name="Input 2 2 4 19 6" xfId="38250"/>
    <cellStyle name="Input 2 2 4 19 7" xfId="52653"/>
    <cellStyle name="Input 2 2 4 2" xfId="729"/>
    <cellStyle name="Input 2 2 4 2 2" xfId="8553"/>
    <cellStyle name="Input 2 2 4 2 3" xfId="15981"/>
    <cellStyle name="Input 2 2 4 2 4" xfId="24931"/>
    <cellStyle name="Input 2 2 4 2 5" xfId="33263"/>
    <cellStyle name="Input 2 2 4 2 6" xfId="37541"/>
    <cellStyle name="Input 2 2 4 2 7" xfId="50640"/>
    <cellStyle name="Input 2 2 4 20" xfId="2968"/>
    <cellStyle name="Input 2 2 4 20 2" xfId="10791"/>
    <cellStyle name="Input 2 2 4 20 3" xfId="18219"/>
    <cellStyle name="Input 2 2 4 20 4" xfId="19182"/>
    <cellStyle name="Input 2 2 4 20 5" xfId="26918"/>
    <cellStyle name="Input 2 2 4 20 6" xfId="36427"/>
    <cellStyle name="Input 2 2 4 20 7" xfId="49163"/>
    <cellStyle name="Input 2 2 4 21" xfId="3346"/>
    <cellStyle name="Input 2 2 4 21 2" xfId="11139"/>
    <cellStyle name="Input 2 2 4 21 3" xfId="18466"/>
    <cellStyle name="Input 2 2 4 21 4" xfId="26463"/>
    <cellStyle name="Input 2 2 4 21 5" xfId="35242"/>
    <cellStyle name="Input 2 2 4 21 6" xfId="36651"/>
    <cellStyle name="Input 2 2 4 21 7" xfId="53991"/>
    <cellStyle name="Input 2 2 4 22" xfId="3465"/>
    <cellStyle name="Input 2 2 4 22 2" xfId="11256"/>
    <cellStyle name="Input 2 2 4 22 3" xfId="18577"/>
    <cellStyle name="Input 2 2 4 22 4" xfId="25057"/>
    <cellStyle name="Input 2 2 4 22 5" xfId="33417"/>
    <cellStyle name="Input 2 2 4 22 6" xfId="37935"/>
    <cellStyle name="Input 2 2 4 22 7" xfId="50915"/>
    <cellStyle name="Input 2 2 4 23" xfId="3624"/>
    <cellStyle name="Input 2 2 4 23 2" xfId="11410"/>
    <cellStyle name="Input 2 2 4 23 3" xfId="18684"/>
    <cellStyle name="Input 2 2 4 23 4" xfId="20641"/>
    <cellStyle name="Input 2 2 4 23 5" xfId="27031"/>
    <cellStyle name="Input 2 2 4 23 6" xfId="37361"/>
    <cellStyle name="Input 2 2 4 23 7" xfId="47394"/>
    <cellStyle name="Input 2 2 4 24" xfId="3738"/>
    <cellStyle name="Input 2 2 4 24 2" xfId="11523"/>
    <cellStyle name="Input 2 2 4 24 3" xfId="18794"/>
    <cellStyle name="Input 2 2 4 24 4" xfId="26472"/>
    <cellStyle name="Input 2 2 4 24 5" xfId="35251"/>
    <cellStyle name="Input 2 2 4 24 6" xfId="40881"/>
    <cellStyle name="Input 2 2 4 24 7" xfId="54008"/>
    <cellStyle name="Input 2 2 4 25" xfId="3867"/>
    <cellStyle name="Input 2 2 4 25 2" xfId="11649"/>
    <cellStyle name="Input 2 2 4 25 3" xfId="18904"/>
    <cellStyle name="Input 2 2 4 25 4" xfId="19289"/>
    <cellStyle name="Input 2 2 4 25 5" xfId="28675"/>
    <cellStyle name="Input 2 2 4 25 6" xfId="38925"/>
    <cellStyle name="Input 2 2 4 25 7" xfId="48398"/>
    <cellStyle name="Input 2 2 4 26" xfId="3985"/>
    <cellStyle name="Input 2 2 4 26 2" xfId="11764"/>
    <cellStyle name="Input 2 2 4 26 3" xfId="19013"/>
    <cellStyle name="Input 2 2 4 26 4" xfId="25256"/>
    <cellStyle name="Input 2 2 4 26 5" xfId="33662"/>
    <cellStyle name="Input 2 2 4 26 6" xfId="38166"/>
    <cellStyle name="Input 2 2 4 26 7" xfId="51336"/>
    <cellStyle name="Input 2 2 4 27" xfId="3182"/>
    <cellStyle name="Input 2 2 4 27 2" xfId="10983"/>
    <cellStyle name="Input 2 2 4 27 3" xfId="20310"/>
    <cellStyle name="Input 2 2 4 27 4" xfId="28402"/>
    <cellStyle name="Input 2 2 4 27 5" xfId="37789"/>
    <cellStyle name="Input 2 2 4 27 6" xfId="42425"/>
    <cellStyle name="Input 2 2 4 27 7" xfId="51109"/>
    <cellStyle name="Input 2 2 4 28" xfId="4181"/>
    <cellStyle name="Input 2 2 4 28 2" xfId="11940"/>
    <cellStyle name="Input 2 2 4 28 3" xfId="20891"/>
    <cellStyle name="Input 2 2 4 28 4" xfId="29078"/>
    <cellStyle name="Input 2 2 4 28 5" xfId="38454"/>
    <cellStyle name="Input 2 2 4 28 6" xfId="42743"/>
    <cellStyle name="Input 2 2 4 28 7" xfId="53611"/>
    <cellStyle name="Input 2 2 4 29" xfId="4208"/>
    <cellStyle name="Input 2 2 4 29 2" xfId="20918"/>
    <cellStyle name="Input 2 2 4 29 3" xfId="29105"/>
    <cellStyle name="Input 2 2 4 29 4" xfId="38481"/>
    <cellStyle name="Input 2 2 4 29 5" xfId="42770"/>
    <cellStyle name="Input 2 2 4 29 6" xfId="50897"/>
    <cellStyle name="Input 2 2 4 3" xfId="838"/>
    <cellStyle name="Input 2 2 4 3 2" xfId="8662"/>
    <cellStyle name="Input 2 2 4 3 3" xfId="16090"/>
    <cellStyle name="Input 2 2 4 3 4" xfId="25647"/>
    <cellStyle name="Input 2 2 4 3 5" xfId="34168"/>
    <cellStyle name="Input 2 2 4 3 6" xfId="36569"/>
    <cellStyle name="Input 2 2 4 3 7" xfId="52195"/>
    <cellStyle name="Input 2 2 4 30" xfId="4380"/>
    <cellStyle name="Input 2 2 4 30 2" xfId="12097"/>
    <cellStyle name="Input 2 2 4 30 3" xfId="21090"/>
    <cellStyle name="Input 2 2 4 30 4" xfId="29277"/>
    <cellStyle name="Input 2 2 4 30 5" xfId="38647"/>
    <cellStyle name="Input 2 2 4 30 6" xfId="42942"/>
    <cellStyle name="Input 2 2 4 30 7" xfId="50885"/>
    <cellStyle name="Input 2 2 4 31" xfId="4501"/>
    <cellStyle name="Input 2 2 4 31 2" xfId="12218"/>
    <cellStyle name="Input 2 2 4 31 3" xfId="21211"/>
    <cellStyle name="Input 2 2 4 31 4" xfId="29398"/>
    <cellStyle name="Input 2 2 4 31 5" xfId="38762"/>
    <cellStyle name="Input 2 2 4 31 6" xfId="43063"/>
    <cellStyle name="Input 2 2 4 31 7" xfId="51394"/>
    <cellStyle name="Input 2 2 4 32" xfId="4615"/>
    <cellStyle name="Input 2 2 4 32 2" xfId="12332"/>
    <cellStyle name="Input 2 2 4 32 3" xfId="21325"/>
    <cellStyle name="Input 2 2 4 32 4" xfId="29512"/>
    <cellStyle name="Input 2 2 4 32 5" xfId="38871"/>
    <cellStyle name="Input 2 2 4 32 6" xfId="43177"/>
    <cellStyle name="Input 2 2 4 32 7" xfId="52504"/>
    <cellStyle name="Input 2 2 4 33" xfId="4728"/>
    <cellStyle name="Input 2 2 4 33 2" xfId="12445"/>
    <cellStyle name="Input 2 2 4 33 3" xfId="21438"/>
    <cellStyle name="Input 2 2 4 33 4" xfId="29625"/>
    <cellStyle name="Input 2 2 4 33 5" xfId="38980"/>
    <cellStyle name="Input 2 2 4 33 6" xfId="43290"/>
    <cellStyle name="Input 2 2 4 33 7" xfId="51539"/>
    <cellStyle name="Input 2 2 4 34" xfId="4838"/>
    <cellStyle name="Input 2 2 4 34 2" xfId="12555"/>
    <cellStyle name="Input 2 2 4 34 3" xfId="21548"/>
    <cellStyle name="Input 2 2 4 34 4" xfId="29735"/>
    <cellStyle name="Input 2 2 4 34 5" xfId="39086"/>
    <cellStyle name="Input 2 2 4 34 6" xfId="43400"/>
    <cellStyle name="Input 2 2 4 34 7" xfId="49028"/>
    <cellStyle name="Input 2 2 4 35" xfId="4948"/>
    <cellStyle name="Input 2 2 4 35 2" xfId="12665"/>
    <cellStyle name="Input 2 2 4 35 3" xfId="21658"/>
    <cellStyle name="Input 2 2 4 35 4" xfId="29845"/>
    <cellStyle name="Input 2 2 4 35 5" xfId="39192"/>
    <cellStyle name="Input 2 2 4 35 6" xfId="43510"/>
    <cellStyle name="Input 2 2 4 35 7" xfId="48105"/>
    <cellStyle name="Input 2 2 4 36" xfId="5058"/>
    <cellStyle name="Input 2 2 4 36 2" xfId="12775"/>
    <cellStyle name="Input 2 2 4 36 3" xfId="21768"/>
    <cellStyle name="Input 2 2 4 36 4" xfId="29955"/>
    <cellStyle name="Input 2 2 4 36 5" xfId="39298"/>
    <cellStyle name="Input 2 2 4 36 6" xfId="43620"/>
    <cellStyle name="Input 2 2 4 36 7" xfId="54035"/>
    <cellStyle name="Input 2 2 4 37" xfId="5438"/>
    <cellStyle name="Input 2 2 4 37 2" xfId="13155"/>
    <cellStyle name="Input 2 2 4 37 3" xfId="22148"/>
    <cellStyle name="Input 2 2 4 37 4" xfId="30335"/>
    <cellStyle name="Input 2 2 4 37 5" xfId="39664"/>
    <cellStyle name="Input 2 2 4 37 6" xfId="44000"/>
    <cellStyle name="Input 2 2 4 37 7" xfId="48320"/>
    <cellStyle name="Input 2 2 4 38" xfId="5558"/>
    <cellStyle name="Input 2 2 4 38 2" xfId="13275"/>
    <cellStyle name="Input 2 2 4 38 3" xfId="22268"/>
    <cellStyle name="Input 2 2 4 38 4" xfId="30455"/>
    <cellStyle name="Input 2 2 4 38 5" xfId="39778"/>
    <cellStyle name="Input 2 2 4 38 6" xfId="44120"/>
    <cellStyle name="Input 2 2 4 38 7" xfId="46981"/>
    <cellStyle name="Input 2 2 4 39" xfId="5683"/>
    <cellStyle name="Input 2 2 4 39 2" xfId="13400"/>
    <cellStyle name="Input 2 2 4 39 3" xfId="22393"/>
    <cellStyle name="Input 2 2 4 39 4" xfId="30580"/>
    <cellStyle name="Input 2 2 4 39 5" xfId="39898"/>
    <cellStyle name="Input 2 2 4 39 6" xfId="44245"/>
    <cellStyle name="Input 2 2 4 39 7" xfId="47093"/>
    <cellStyle name="Input 2 2 4 4" xfId="948"/>
    <cellStyle name="Input 2 2 4 4 2" xfId="8772"/>
    <cellStyle name="Input 2 2 4 4 3" xfId="16200"/>
    <cellStyle name="Input 2 2 4 4 4" xfId="20095"/>
    <cellStyle name="Input 2 2 4 4 5" xfId="27247"/>
    <cellStyle name="Input 2 2 4 4 6" xfId="37437"/>
    <cellStyle name="Input 2 2 4 4 7" xfId="48899"/>
    <cellStyle name="Input 2 2 4 40" xfId="5798"/>
    <cellStyle name="Input 2 2 4 40 2" xfId="13515"/>
    <cellStyle name="Input 2 2 4 40 3" xfId="22508"/>
    <cellStyle name="Input 2 2 4 40 4" xfId="30695"/>
    <cellStyle name="Input 2 2 4 40 5" xfId="40010"/>
    <cellStyle name="Input 2 2 4 40 6" xfId="44360"/>
    <cellStyle name="Input 2 2 4 40 7" xfId="53488"/>
    <cellStyle name="Input 2 2 4 41" xfId="5916"/>
    <cellStyle name="Input 2 2 4 41 2" xfId="13633"/>
    <cellStyle name="Input 2 2 4 41 3" xfId="22626"/>
    <cellStyle name="Input 2 2 4 41 4" xfId="30813"/>
    <cellStyle name="Input 2 2 4 41 5" xfId="40125"/>
    <cellStyle name="Input 2 2 4 41 6" xfId="44478"/>
    <cellStyle name="Input 2 2 4 41 7" xfId="49826"/>
    <cellStyle name="Input 2 2 4 42" xfId="6043"/>
    <cellStyle name="Input 2 2 4 42 2" xfId="13760"/>
    <cellStyle name="Input 2 2 4 42 3" xfId="22753"/>
    <cellStyle name="Input 2 2 4 42 4" xfId="30940"/>
    <cellStyle name="Input 2 2 4 42 5" xfId="40247"/>
    <cellStyle name="Input 2 2 4 42 6" xfId="44605"/>
    <cellStyle name="Input 2 2 4 42 7" xfId="49948"/>
    <cellStyle name="Input 2 2 4 43" xfId="6171"/>
    <cellStyle name="Input 2 2 4 43 2" xfId="13888"/>
    <cellStyle name="Input 2 2 4 43 3" xfId="22881"/>
    <cellStyle name="Input 2 2 4 43 4" xfId="31068"/>
    <cellStyle name="Input 2 2 4 43 5" xfId="40369"/>
    <cellStyle name="Input 2 2 4 43 6" xfId="44733"/>
    <cellStyle name="Input 2 2 4 43 7" xfId="51047"/>
    <cellStyle name="Input 2 2 4 44" xfId="6299"/>
    <cellStyle name="Input 2 2 4 44 2" xfId="14016"/>
    <cellStyle name="Input 2 2 4 44 3" xfId="23009"/>
    <cellStyle name="Input 2 2 4 44 4" xfId="31196"/>
    <cellStyle name="Input 2 2 4 44 5" xfId="40496"/>
    <cellStyle name="Input 2 2 4 44 6" xfId="44861"/>
    <cellStyle name="Input 2 2 4 44 7" xfId="54370"/>
    <cellStyle name="Input 2 2 4 45" xfId="6414"/>
    <cellStyle name="Input 2 2 4 45 2" xfId="14131"/>
    <cellStyle name="Input 2 2 4 45 3" xfId="23124"/>
    <cellStyle name="Input 2 2 4 45 4" xfId="31311"/>
    <cellStyle name="Input 2 2 4 45 5" xfId="40606"/>
    <cellStyle name="Input 2 2 4 45 6" xfId="44976"/>
    <cellStyle name="Input 2 2 4 45 7" xfId="53756"/>
    <cellStyle name="Input 2 2 4 46" xfId="6526"/>
    <cellStyle name="Input 2 2 4 46 2" xfId="14243"/>
    <cellStyle name="Input 2 2 4 46 3" xfId="23236"/>
    <cellStyle name="Input 2 2 4 46 4" xfId="31423"/>
    <cellStyle name="Input 2 2 4 46 5" xfId="40714"/>
    <cellStyle name="Input 2 2 4 46 6" xfId="45088"/>
    <cellStyle name="Input 2 2 4 46 7" xfId="51260"/>
    <cellStyle name="Input 2 2 4 47" xfId="6079"/>
    <cellStyle name="Input 2 2 4 47 2" xfId="13796"/>
    <cellStyle name="Input 2 2 4 47 3" xfId="22789"/>
    <cellStyle name="Input 2 2 4 47 4" xfId="30976"/>
    <cellStyle name="Input 2 2 4 47 5" xfId="40280"/>
    <cellStyle name="Input 2 2 4 47 6" xfId="44641"/>
    <cellStyle name="Input 2 2 4 47 7" xfId="53463"/>
    <cellStyle name="Input 2 2 4 48" xfId="6673"/>
    <cellStyle name="Input 2 2 4 48 2" xfId="14390"/>
    <cellStyle name="Input 2 2 4 48 3" xfId="23383"/>
    <cellStyle name="Input 2 2 4 48 4" xfId="31570"/>
    <cellStyle name="Input 2 2 4 48 5" xfId="40854"/>
    <cellStyle name="Input 2 2 4 48 6" xfId="45235"/>
    <cellStyle name="Input 2 2 4 48 7" xfId="50731"/>
    <cellStyle name="Input 2 2 4 49" xfId="6784"/>
    <cellStyle name="Input 2 2 4 49 2" xfId="14501"/>
    <cellStyle name="Input 2 2 4 49 3" xfId="23494"/>
    <cellStyle name="Input 2 2 4 49 4" xfId="31681"/>
    <cellStyle name="Input 2 2 4 49 5" xfId="40960"/>
    <cellStyle name="Input 2 2 4 49 6" xfId="45346"/>
    <cellStyle name="Input 2 2 4 49 7" xfId="53577"/>
    <cellStyle name="Input 2 2 4 5" xfId="1416"/>
    <cellStyle name="Input 2 2 4 5 2" xfId="9239"/>
    <cellStyle name="Input 2 2 4 5 3" xfId="16667"/>
    <cellStyle name="Input 2 2 4 5 4" xfId="19398"/>
    <cellStyle name="Input 2 2 4 5 5" xfId="27595"/>
    <cellStyle name="Input 2 2 4 5 6" xfId="36866"/>
    <cellStyle name="Input 2 2 4 5 7" xfId="47854"/>
    <cellStyle name="Input 2 2 4 50" xfId="6899"/>
    <cellStyle name="Input 2 2 4 50 2" xfId="14616"/>
    <cellStyle name="Input 2 2 4 50 3" xfId="23609"/>
    <cellStyle name="Input 2 2 4 50 4" xfId="31796"/>
    <cellStyle name="Input 2 2 4 50 5" xfId="41068"/>
    <cellStyle name="Input 2 2 4 50 6" xfId="45461"/>
    <cellStyle name="Input 2 2 4 50 7" xfId="46800"/>
    <cellStyle name="Input 2 2 4 51" xfId="7012"/>
    <cellStyle name="Input 2 2 4 51 2" xfId="14729"/>
    <cellStyle name="Input 2 2 4 51 3" xfId="23722"/>
    <cellStyle name="Input 2 2 4 51 4" xfId="31909"/>
    <cellStyle name="Input 2 2 4 51 5" xfId="41176"/>
    <cellStyle name="Input 2 2 4 51 6" xfId="45574"/>
    <cellStyle name="Input 2 2 4 51 7" xfId="46882"/>
    <cellStyle name="Input 2 2 4 52" xfId="7122"/>
    <cellStyle name="Input 2 2 4 52 2" xfId="14839"/>
    <cellStyle name="Input 2 2 4 52 3" xfId="23832"/>
    <cellStyle name="Input 2 2 4 52 4" xfId="32019"/>
    <cellStyle name="Input 2 2 4 52 5" xfId="41281"/>
    <cellStyle name="Input 2 2 4 52 6" xfId="45684"/>
    <cellStyle name="Input 2 2 4 52 7" xfId="53177"/>
    <cellStyle name="Input 2 2 4 53" xfId="7156"/>
    <cellStyle name="Input 2 2 4 53 2" xfId="14873"/>
    <cellStyle name="Input 2 2 4 53 3" xfId="23866"/>
    <cellStyle name="Input 2 2 4 53 4" xfId="32053"/>
    <cellStyle name="Input 2 2 4 53 5" xfId="41315"/>
    <cellStyle name="Input 2 2 4 53 6" xfId="45718"/>
    <cellStyle name="Input 2 2 4 53 7" xfId="47911"/>
    <cellStyle name="Input 2 2 4 54" xfId="7346"/>
    <cellStyle name="Input 2 2 4 54 2" xfId="15063"/>
    <cellStyle name="Input 2 2 4 54 3" xfId="24056"/>
    <cellStyle name="Input 2 2 4 54 4" xfId="32243"/>
    <cellStyle name="Input 2 2 4 54 5" xfId="41499"/>
    <cellStyle name="Input 2 2 4 54 6" xfId="45908"/>
    <cellStyle name="Input 2 2 4 54 7" xfId="51923"/>
    <cellStyle name="Input 2 2 4 55" xfId="7519"/>
    <cellStyle name="Input 2 2 4 55 2" xfId="15236"/>
    <cellStyle name="Input 2 2 4 55 3" xfId="24229"/>
    <cellStyle name="Input 2 2 4 55 4" xfId="32416"/>
    <cellStyle name="Input 2 2 4 55 5" xfId="41662"/>
    <cellStyle name="Input 2 2 4 55 6" xfId="46081"/>
    <cellStyle name="Input 2 2 4 55 7" xfId="49676"/>
    <cellStyle name="Input 2 2 4 56" xfId="7640"/>
    <cellStyle name="Input 2 2 4 56 2" xfId="15357"/>
    <cellStyle name="Input 2 2 4 56 3" xfId="24350"/>
    <cellStyle name="Input 2 2 4 56 4" xfId="32537"/>
    <cellStyle name="Input 2 2 4 56 5" xfId="41779"/>
    <cellStyle name="Input 2 2 4 56 6" xfId="46202"/>
    <cellStyle name="Input 2 2 4 56 7" xfId="52096"/>
    <cellStyle name="Input 2 2 4 57" xfId="7917"/>
    <cellStyle name="Input 2 2 4 57 2" xfId="15634"/>
    <cellStyle name="Input 2 2 4 57 3" xfId="24621"/>
    <cellStyle name="Input 2 2 4 57 4" xfId="32814"/>
    <cellStyle name="Input 2 2 4 57 5" xfId="42045"/>
    <cellStyle name="Input 2 2 4 57 6" xfId="46479"/>
    <cellStyle name="Input 2 2 4 57 7" xfId="51222"/>
    <cellStyle name="Input 2 2 4 58" xfId="8045"/>
    <cellStyle name="Input 2 2 4 58 2" xfId="15762"/>
    <cellStyle name="Input 2 2 4 58 3" xfId="24747"/>
    <cellStyle name="Input 2 2 4 58 4" xfId="32942"/>
    <cellStyle name="Input 2 2 4 58 5" xfId="42167"/>
    <cellStyle name="Input 2 2 4 58 6" xfId="46607"/>
    <cellStyle name="Input 2 2 4 58 7" xfId="52636"/>
    <cellStyle name="Input 2 2 4 59" xfId="7746"/>
    <cellStyle name="Input 2 2 4 59 2" xfId="15463"/>
    <cellStyle name="Input 2 2 4 59 3" xfId="24454"/>
    <cellStyle name="Input 2 2 4 59 4" xfId="32643"/>
    <cellStyle name="Input 2 2 4 59 5" xfId="41879"/>
    <cellStyle name="Input 2 2 4 59 6" xfId="46308"/>
    <cellStyle name="Input 2 2 4 59 7" xfId="53602"/>
    <cellStyle name="Input 2 2 4 6" xfId="1539"/>
    <cellStyle name="Input 2 2 4 6 2" xfId="9362"/>
    <cellStyle name="Input 2 2 4 6 3" xfId="16790"/>
    <cellStyle name="Input 2 2 4 6 4" xfId="25431"/>
    <cellStyle name="Input 2 2 4 6 5" xfId="33890"/>
    <cellStyle name="Input 2 2 4 6 6" xfId="37559"/>
    <cellStyle name="Input 2 2 4 6 7" xfId="51711"/>
    <cellStyle name="Input 2 2 4 60" xfId="8192"/>
    <cellStyle name="Input 2 2 4 60 2" xfId="15909"/>
    <cellStyle name="Input 2 2 4 60 3" xfId="33089"/>
    <cellStyle name="Input 2 2 4 60 4" xfId="42308"/>
    <cellStyle name="Input 2 2 4 60 5" xfId="46754"/>
    <cellStyle name="Input 2 2 4 60 6" xfId="46862"/>
    <cellStyle name="Input 2 2 4 61" xfId="19599"/>
    <cellStyle name="Input 2 2 4 62" xfId="28418"/>
    <cellStyle name="Input 2 2 4 63" xfId="36993"/>
    <cellStyle name="Input 2 2 4 64" xfId="47524"/>
    <cellStyle name="Input 2 2 4 7" xfId="1104"/>
    <cellStyle name="Input 2 2 4 7 2" xfId="8928"/>
    <cellStyle name="Input 2 2 4 7 3" xfId="16356"/>
    <cellStyle name="Input 2 2 4 7 4" xfId="20518"/>
    <cellStyle name="Input 2 2 4 7 5" xfId="27342"/>
    <cellStyle name="Input 2 2 4 7 6" xfId="36918"/>
    <cellStyle name="Input 2 2 4 7 7" xfId="47875"/>
    <cellStyle name="Input 2 2 4 8" xfId="1777"/>
    <cellStyle name="Input 2 2 4 8 2" xfId="9600"/>
    <cellStyle name="Input 2 2 4 8 3" xfId="17028"/>
    <cellStyle name="Input 2 2 4 8 4" xfId="26320"/>
    <cellStyle name="Input 2 2 4 8 5" xfId="35043"/>
    <cellStyle name="Input 2 2 4 8 6" xfId="37393"/>
    <cellStyle name="Input 2 2 4 8 7" xfId="53684"/>
    <cellStyle name="Input 2 2 4 9" xfId="1910"/>
    <cellStyle name="Input 2 2 4 9 2" xfId="9733"/>
    <cellStyle name="Input 2 2 4 9 3" xfId="17161"/>
    <cellStyle name="Input 2 2 4 9 4" xfId="19096"/>
    <cellStyle name="Input 2 2 4 9 5" xfId="26833"/>
    <cellStyle name="Input 2 2 4 9 6" xfId="41799"/>
    <cellStyle name="Input 2 2 4 9 7" xfId="49809"/>
    <cellStyle name="Input 2 2 40" xfId="4278"/>
    <cellStyle name="Input 2 2 40 2" xfId="11995"/>
    <cellStyle name="Input 2 2 40 3" xfId="20988"/>
    <cellStyle name="Input 2 2 40 4" xfId="29175"/>
    <cellStyle name="Input 2 2 40 5" xfId="38548"/>
    <cellStyle name="Input 2 2 40 6" xfId="42840"/>
    <cellStyle name="Input 2 2 40 7" xfId="51215"/>
    <cellStyle name="Input 2 2 41" xfId="4398"/>
    <cellStyle name="Input 2 2 41 2" xfId="12115"/>
    <cellStyle name="Input 2 2 41 3" xfId="21108"/>
    <cellStyle name="Input 2 2 41 4" xfId="29295"/>
    <cellStyle name="Input 2 2 41 5" xfId="38665"/>
    <cellStyle name="Input 2 2 41 6" xfId="42960"/>
    <cellStyle name="Input 2 2 41 7" xfId="49156"/>
    <cellStyle name="Input 2 2 42" xfId="5177"/>
    <cellStyle name="Input 2 2 42 2" xfId="12894"/>
    <cellStyle name="Input 2 2 42 3" xfId="21887"/>
    <cellStyle name="Input 2 2 42 4" xfId="30074"/>
    <cellStyle name="Input 2 2 42 5" xfId="39413"/>
    <cellStyle name="Input 2 2 42 6" xfId="43739"/>
    <cellStyle name="Input 2 2 42 7" xfId="51950"/>
    <cellStyle name="Input 2 2 43" xfId="5376"/>
    <cellStyle name="Input 2 2 43 2" xfId="13093"/>
    <cellStyle name="Input 2 2 43 3" xfId="22086"/>
    <cellStyle name="Input 2 2 43 4" xfId="30273"/>
    <cellStyle name="Input 2 2 43 5" xfId="39604"/>
    <cellStyle name="Input 2 2 43 6" xfId="43938"/>
    <cellStyle name="Input 2 2 43 7" xfId="53798"/>
    <cellStyle name="Input 2 2 44" xfId="5153"/>
    <cellStyle name="Input 2 2 44 2" xfId="12870"/>
    <cellStyle name="Input 2 2 44 3" xfId="21863"/>
    <cellStyle name="Input 2 2 44 4" xfId="30050"/>
    <cellStyle name="Input 2 2 44 5" xfId="39389"/>
    <cellStyle name="Input 2 2 44 6" xfId="43715"/>
    <cellStyle name="Input 2 2 44 7" xfId="54016"/>
    <cellStyle name="Input 2 2 45" xfId="5231"/>
    <cellStyle name="Input 2 2 45 2" xfId="12948"/>
    <cellStyle name="Input 2 2 45 3" xfId="21941"/>
    <cellStyle name="Input 2 2 45 4" xfId="30128"/>
    <cellStyle name="Input 2 2 45 5" xfId="39463"/>
    <cellStyle name="Input 2 2 45 6" xfId="43793"/>
    <cellStyle name="Input 2 2 45 7" xfId="53665"/>
    <cellStyle name="Input 2 2 46" xfId="5374"/>
    <cellStyle name="Input 2 2 46 2" xfId="13091"/>
    <cellStyle name="Input 2 2 46 3" xfId="22084"/>
    <cellStyle name="Input 2 2 46 4" xfId="30271"/>
    <cellStyle name="Input 2 2 46 5" xfId="39602"/>
    <cellStyle name="Input 2 2 46 6" xfId="43936"/>
    <cellStyle name="Input 2 2 46 7" xfId="54176"/>
    <cellStyle name="Input 2 2 47" xfId="5073"/>
    <cellStyle name="Input 2 2 47 2" xfId="12790"/>
    <cellStyle name="Input 2 2 47 3" xfId="21783"/>
    <cellStyle name="Input 2 2 47 4" xfId="29970"/>
    <cellStyle name="Input 2 2 47 5" xfId="39313"/>
    <cellStyle name="Input 2 2 47 6" xfId="43635"/>
    <cellStyle name="Input 2 2 47 7" xfId="53690"/>
    <cellStyle name="Input 2 2 48" xfId="5698"/>
    <cellStyle name="Input 2 2 48 2" xfId="13415"/>
    <cellStyle name="Input 2 2 48 3" xfId="22408"/>
    <cellStyle name="Input 2 2 48 4" xfId="30595"/>
    <cellStyle name="Input 2 2 48 5" xfId="39913"/>
    <cellStyle name="Input 2 2 48 6" xfId="44260"/>
    <cellStyle name="Input 2 2 48 7" xfId="47081"/>
    <cellStyle name="Input 2 2 49" xfId="5187"/>
    <cellStyle name="Input 2 2 49 2" xfId="12904"/>
    <cellStyle name="Input 2 2 49 3" xfId="21897"/>
    <cellStyle name="Input 2 2 49 4" xfId="30084"/>
    <cellStyle name="Input 2 2 49 5" xfId="39423"/>
    <cellStyle name="Input 2 2 49 6" xfId="43749"/>
    <cellStyle name="Input 2 2 49 7" xfId="47485"/>
    <cellStyle name="Input 2 2 5" xfId="550"/>
    <cellStyle name="Input 2 2 5 10" xfId="1997"/>
    <cellStyle name="Input 2 2 5 10 2" xfId="9820"/>
    <cellStyle name="Input 2 2 5 10 3" xfId="17248"/>
    <cellStyle name="Input 2 2 5 10 4" xfId="26073"/>
    <cellStyle name="Input 2 2 5 10 5" xfId="34719"/>
    <cellStyle name="Input 2 2 5 10 6" xfId="40271"/>
    <cellStyle name="Input 2 2 5 10 7" xfId="53155"/>
    <cellStyle name="Input 2 2 5 11" xfId="2115"/>
    <cellStyle name="Input 2 2 5 11 2" xfId="9938"/>
    <cellStyle name="Input 2 2 5 11 3" xfId="17366"/>
    <cellStyle name="Input 2 2 5 11 4" xfId="26336"/>
    <cellStyle name="Input 2 2 5 11 5" xfId="35062"/>
    <cellStyle name="Input 2 2 5 11 6" xfId="36500"/>
    <cellStyle name="Input 2 2 5 11 7" xfId="53713"/>
    <cellStyle name="Input 2 2 5 12" xfId="2228"/>
    <cellStyle name="Input 2 2 5 12 2" xfId="10051"/>
    <cellStyle name="Input 2 2 5 12 3" xfId="17479"/>
    <cellStyle name="Input 2 2 5 12 4" xfId="19906"/>
    <cellStyle name="Input 2 2 5 12 5" xfId="27137"/>
    <cellStyle name="Input 2 2 5 12 6" xfId="36832"/>
    <cellStyle name="Input 2 2 5 12 7" xfId="50062"/>
    <cellStyle name="Input 2 2 5 13" xfId="1043"/>
    <cellStyle name="Input 2 2 5 13 2" xfId="8867"/>
    <cellStyle name="Input 2 2 5 13 3" xfId="16295"/>
    <cellStyle name="Input 2 2 5 13 4" xfId="26317"/>
    <cellStyle name="Input 2 2 5 13 5" xfId="35040"/>
    <cellStyle name="Input 2 2 5 13 6" xfId="36789"/>
    <cellStyle name="Input 2 2 5 13 7" xfId="53681"/>
    <cellStyle name="Input 2 2 5 14" xfId="1038"/>
    <cellStyle name="Input 2 2 5 14 2" xfId="8862"/>
    <cellStyle name="Input 2 2 5 14 3" xfId="16290"/>
    <cellStyle name="Input 2 2 5 14 4" xfId="26605"/>
    <cellStyle name="Input 2 2 5 14 5" xfId="35432"/>
    <cellStyle name="Input 2 2 5 14 6" xfId="38134"/>
    <cellStyle name="Input 2 2 5 14 7" xfId="54296"/>
    <cellStyle name="Input 2 2 5 15" xfId="2526"/>
    <cellStyle name="Input 2 2 5 15 2" xfId="10349"/>
    <cellStyle name="Input 2 2 5 15 3" xfId="17777"/>
    <cellStyle name="Input 2 2 5 15 4" xfId="20511"/>
    <cellStyle name="Input 2 2 5 15 5" xfId="28030"/>
    <cellStyle name="Input 2 2 5 15 6" xfId="37048"/>
    <cellStyle name="Input 2 2 5 15 7" xfId="48328"/>
    <cellStyle name="Input 2 2 5 16" xfId="2639"/>
    <cellStyle name="Input 2 2 5 16 2" xfId="10462"/>
    <cellStyle name="Input 2 2 5 16 3" xfId="17890"/>
    <cellStyle name="Input 2 2 5 16 4" xfId="25668"/>
    <cellStyle name="Input 2 2 5 16 5" xfId="34200"/>
    <cellStyle name="Input 2 2 5 16 6" xfId="36504"/>
    <cellStyle name="Input 2 2 5 16 7" xfId="52238"/>
    <cellStyle name="Input 2 2 5 17" xfId="1430"/>
    <cellStyle name="Input 2 2 5 17 2" xfId="9253"/>
    <cellStyle name="Input 2 2 5 17 3" xfId="16681"/>
    <cellStyle name="Input 2 2 5 17 4" xfId="26083"/>
    <cellStyle name="Input 2 2 5 17 5" xfId="34730"/>
    <cellStyle name="Input 2 2 5 17 6" xfId="40884"/>
    <cellStyle name="Input 2 2 5 17 7" xfId="53171"/>
    <cellStyle name="Input 2 2 5 18" xfId="2723"/>
    <cellStyle name="Input 2 2 5 18 2" xfId="10546"/>
    <cellStyle name="Input 2 2 5 18 3" xfId="17974"/>
    <cellStyle name="Input 2 2 5 18 4" xfId="24900"/>
    <cellStyle name="Input 2 2 5 18 5" xfId="33216"/>
    <cellStyle name="Input 2 2 5 18 6" xfId="36396"/>
    <cellStyle name="Input 2 2 5 18 7" xfId="50560"/>
    <cellStyle name="Input 2 2 5 19" xfId="2832"/>
    <cellStyle name="Input 2 2 5 19 2" xfId="10655"/>
    <cellStyle name="Input 2 2 5 19 3" xfId="18083"/>
    <cellStyle name="Input 2 2 5 19 4" xfId="25732"/>
    <cellStyle name="Input 2 2 5 19 5" xfId="34280"/>
    <cellStyle name="Input 2 2 5 19 6" xfId="41141"/>
    <cellStyle name="Input 2 2 5 19 7" xfId="52392"/>
    <cellStyle name="Input 2 2 5 2" xfId="700"/>
    <cellStyle name="Input 2 2 5 2 2" xfId="8524"/>
    <cellStyle name="Input 2 2 5 2 3" xfId="15952"/>
    <cellStyle name="Input 2 2 5 2 4" xfId="26241"/>
    <cellStyle name="Input 2 2 5 2 5" xfId="34931"/>
    <cellStyle name="Input 2 2 5 2 6" xfId="37861"/>
    <cellStyle name="Input 2 2 5 2 7" xfId="53514"/>
    <cellStyle name="Input 2 2 5 20" xfId="2939"/>
    <cellStyle name="Input 2 2 5 20 2" xfId="10762"/>
    <cellStyle name="Input 2 2 5 20 3" xfId="18190"/>
    <cellStyle name="Input 2 2 5 20 4" xfId="25664"/>
    <cellStyle name="Input 2 2 5 20 5" xfId="34193"/>
    <cellStyle name="Input 2 2 5 20 6" xfId="40461"/>
    <cellStyle name="Input 2 2 5 20 7" xfId="52229"/>
    <cellStyle name="Input 2 2 5 21" xfId="3315"/>
    <cellStyle name="Input 2 2 5 21 2" xfId="11108"/>
    <cellStyle name="Input 2 2 5 21 3" xfId="18437"/>
    <cellStyle name="Input 2 2 5 21 4" xfId="24860"/>
    <cellStyle name="Input 2 2 5 21 5" xfId="33173"/>
    <cellStyle name="Input 2 2 5 21 6" xfId="38193"/>
    <cellStyle name="Input 2 2 5 21 7" xfId="50481"/>
    <cellStyle name="Input 2 2 5 22" xfId="3435"/>
    <cellStyle name="Input 2 2 5 22 2" xfId="11226"/>
    <cellStyle name="Input 2 2 5 22 3" xfId="18548"/>
    <cellStyle name="Input 2 2 5 22 4" xfId="26584"/>
    <cellStyle name="Input 2 2 5 22 5" xfId="35404"/>
    <cellStyle name="Input 2 2 5 22 6" xfId="36773"/>
    <cellStyle name="Input 2 2 5 22 7" xfId="54243"/>
    <cellStyle name="Input 2 2 5 23" xfId="3594"/>
    <cellStyle name="Input 2 2 5 23 2" xfId="11380"/>
    <cellStyle name="Input 2 2 5 23 3" xfId="18655"/>
    <cellStyle name="Input 2 2 5 23 4" xfId="25893"/>
    <cellStyle name="Input 2 2 5 23 5" xfId="34488"/>
    <cellStyle name="Input 2 2 5 23 6" xfId="40036"/>
    <cellStyle name="Input 2 2 5 23 7" xfId="52769"/>
    <cellStyle name="Input 2 2 5 24" xfId="3706"/>
    <cellStyle name="Input 2 2 5 24 2" xfId="11491"/>
    <cellStyle name="Input 2 2 5 24 3" xfId="18764"/>
    <cellStyle name="Input 2 2 5 24 4" xfId="24827"/>
    <cellStyle name="Input 2 2 5 24 5" xfId="27600"/>
    <cellStyle name="Input 2 2 5 24 6" xfId="38337"/>
    <cellStyle name="Input 2 2 5 24 7" xfId="48753"/>
    <cellStyle name="Input 2 2 5 25" xfId="3836"/>
    <cellStyle name="Input 2 2 5 25 2" xfId="11618"/>
    <cellStyle name="Input 2 2 5 25 3" xfId="18875"/>
    <cellStyle name="Input 2 2 5 25 4" xfId="24908"/>
    <cellStyle name="Input 2 2 5 25 5" xfId="33230"/>
    <cellStyle name="Input 2 2 5 25 6" xfId="38363"/>
    <cellStyle name="Input 2 2 5 25 7" xfId="50581"/>
    <cellStyle name="Input 2 2 5 26" xfId="3954"/>
    <cellStyle name="Input 2 2 5 26 2" xfId="11734"/>
    <cellStyle name="Input 2 2 5 26 3" xfId="18984"/>
    <cellStyle name="Input 2 2 5 26 4" xfId="26696"/>
    <cellStyle name="Input 2 2 5 26 5" xfId="35548"/>
    <cellStyle name="Input 2 2 5 26 6" xfId="41209"/>
    <cellStyle name="Input 2 2 5 26 7" xfId="54487"/>
    <cellStyle name="Input 2 2 5 27" xfId="3043"/>
    <cellStyle name="Input 2 2 5 27 2" xfId="10856"/>
    <cellStyle name="Input 2 2 5 27 3" xfId="20209"/>
    <cellStyle name="Input 2 2 5 27 4" xfId="28301"/>
    <cellStyle name="Input 2 2 5 27 5" xfId="37681"/>
    <cellStyle name="Input 2 2 5 27 6" xfId="42367"/>
    <cellStyle name="Input 2 2 5 27 7" xfId="47901"/>
    <cellStyle name="Input 2 2 5 28" xfId="4151"/>
    <cellStyle name="Input 2 2 5 28 2" xfId="11910"/>
    <cellStyle name="Input 2 2 5 28 3" xfId="20861"/>
    <cellStyle name="Input 2 2 5 28 4" xfId="29048"/>
    <cellStyle name="Input 2 2 5 28 5" xfId="38424"/>
    <cellStyle name="Input 2 2 5 28 6" xfId="42713"/>
    <cellStyle name="Input 2 2 5 28 7" xfId="48353"/>
    <cellStyle name="Input 2 2 5 29" xfId="4213"/>
    <cellStyle name="Input 2 2 5 29 2" xfId="20923"/>
    <cellStyle name="Input 2 2 5 29 3" xfId="29110"/>
    <cellStyle name="Input 2 2 5 29 4" xfId="38486"/>
    <cellStyle name="Input 2 2 5 29 5" xfId="42775"/>
    <cellStyle name="Input 2 2 5 29 6" xfId="50526"/>
    <cellStyle name="Input 2 2 5 3" xfId="808"/>
    <cellStyle name="Input 2 2 5 3 2" xfId="8632"/>
    <cellStyle name="Input 2 2 5 3 3" xfId="16060"/>
    <cellStyle name="Input 2 2 5 3 4" xfId="24810"/>
    <cellStyle name="Input 2 2 5 3 5" xfId="28832"/>
    <cellStyle name="Input 2 2 5 3 6" xfId="36774"/>
    <cellStyle name="Input 2 2 5 3 7" xfId="48672"/>
    <cellStyle name="Input 2 2 5 30" xfId="4348"/>
    <cellStyle name="Input 2 2 5 30 2" xfId="12065"/>
    <cellStyle name="Input 2 2 5 30 3" xfId="21058"/>
    <cellStyle name="Input 2 2 5 30 4" xfId="29245"/>
    <cellStyle name="Input 2 2 5 30 5" xfId="38615"/>
    <cellStyle name="Input 2 2 5 30 6" xfId="42910"/>
    <cellStyle name="Input 2 2 5 30 7" xfId="54112"/>
    <cellStyle name="Input 2 2 5 31" xfId="4471"/>
    <cellStyle name="Input 2 2 5 31 2" xfId="12188"/>
    <cellStyle name="Input 2 2 5 31 3" xfId="21181"/>
    <cellStyle name="Input 2 2 5 31 4" xfId="29368"/>
    <cellStyle name="Input 2 2 5 31 5" xfId="38733"/>
    <cellStyle name="Input 2 2 5 31 6" xfId="43033"/>
    <cellStyle name="Input 2 2 5 31 7" xfId="54443"/>
    <cellStyle name="Input 2 2 5 32" xfId="4585"/>
    <cellStyle name="Input 2 2 5 32 2" xfId="12302"/>
    <cellStyle name="Input 2 2 5 32 3" xfId="21295"/>
    <cellStyle name="Input 2 2 5 32 4" xfId="29482"/>
    <cellStyle name="Input 2 2 5 32 5" xfId="38842"/>
    <cellStyle name="Input 2 2 5 32 6" xfId="43147"/>
    <cellStyle name="Input 2 2 5 32 7" xfId="51167"/>
    <cellStyle name="Input 2 2 5 33" xfId="4698"/>
    <cellStyle name="Input 2 2 5 33 2" xfId="12415"/>
    <cellStyle name="Input 2 2 5 33 3" xfId="21408"/>
    <cellStyle name="Input 2 2 5 33 4" xfId="29595"/>
    <cellStyle name="Input 2 2 5 33 5" xfId="38951"/>
    <cellStyle name="Input 2 2 5 33 6" xfId="43260"/>
    <cellStyle name="Input 2 2 5 33 7" xfId="47792"/>
    <cellStyle name="Input 2 2 5 34" xfId="4809"/>
    <cellStyle name="Input 2 2 5 34 2" xfId="12526"/>
    <cellStyle name="Input 2 2 5 34 3" xfId="21519"/>
    <cellStyle name="Input 2 2 5 34 4" xfId="29706"/>
    <cellStyle name="Input 2 2 5 34 5" xfId="39059"/>
    <cellStyle name="Input 2 2 5 34 6" xfId="43371"/>
    <cellStyle name="Input 2 2 5 34 7" xfId="47545"/>
    <cellStyle name="Input 2 2 5 35" xfId="4918"/>
    <cellStyle name="Input 2 2 5 35 2" xfId="12635"/>
    <cellStyle name="Input 2 2 5 35 3" xfId="21628"/>
    <cellStyle name="Input 2 2 5 35 4" xfId="29815"/>
    <cellStyle name="Input 2 2 5 35 5" xfId="39163"/>
    <cellStyle name="Input 2 2 5 35 6" xfId="43480"/>
    <cellStyle name="Input 2 2 5 35 7" xfId="51588"/>
    <cellStyle name="Input 2 2 5 36" xfId="5029"/>
    <cellStyle name="Input 2 2 5 36 2" xfId="12746"/>
    <cellStyle name="Input 2 2 5 36 3" xfId="21739"/>
    <cellStyle name="Input 2 2 5 36 4" xfId="29926"/>
    <cellStyle name="Input 2 2 5 36 5" xfId="39271"/>
    <cellStyle name="Input 2 2 5 36 6" xfId="43591"/>
    <cellStyle name="Input 2 2 5 36 7" xfId="51053"/>
    <cellStyle name="Input 2 2 5 37" xfId="5408"/>
    <cellStyle name="Input 2 2 5 37 2" xfId="13125"/>
    <cellStyle name="Input 2 2 5 37 3" xfId="22118"/>
    <cellStyle name="Input 2 2 5 37 4" xfId="30305"/>
    <cellStyle name="Input 2 2 5 37 5" xfId="39635"/>
    <cellStyle name="Input 2 2 5 37 6" xfId="43970"/>
    <cellStyle name="Input 2 2 5 37 7" xfId="50561"/>
    <cellStyle name="Input 2 2 5 38" xfId="5528"/>
    <cellStyle name="Input 2 2 5 38 2" xfId="13245"/>
    <cellStyle name="Input 2 2 5 38 3" xfId="22238"/>
    <cellStyle name="Input 2 2 5 38 4" xfId="30425"/>
    <cellStyle name="Input 2 2 5 38 5" xfId="39749"/>
    <cellStyle name="Input 2 2 5 38 6" xfId="44090"/>
    <cellStyle name="Input 2 2 5 38 7" xfId="49338"/>
    <cellStyle name="Input 2 2 5 39" xfId="5652"/>
    <cellStyle name="Input 2 2 5 39 2" xfId="13369"/>
    <cellStyle name="Input 2 2 5 39 3" xfId="22362"/>
    <cellStyle name="Input 2 2 5 39 4" xfId="30549"/>
    <cellStyle name="Input 2 2 5 39 5" xfId="39869"/>
    <cellStyle name="Input 2 2 5 39 6" xfId="44214"/>
    <cellStyle name="Input 2 2 5 39 7" xfId="47114"/>
    <cellStyle name="Input 2 2 5 4" xfId="919"/>
    <cellStyle name="Input 2 2 5 4 2" xfId="8743"/>
    <cellStyle name="Input 2 2 5 4 3" xfId="16171"/>
    <cellStyle name="Input 2 2 5 4 4" xfId="25625"/>
    <cellStyle name="Input 2 2 5 4 5" xfId="34139"/>
    <cellStyle name="Input 2 2 5 4 6" xfId="37567"/>
    <cellStyle name="Input 2 2 5 4 7" xfId="52141"/>
    <cellStyle name="Input 2 2 5 40" xfId="5768"/>
    <cellStyle name="Input 2 2 5 40 2" xfId="13485"/>
    <cellStyle name="Input 2 2 5 40 3" xfId="22478"/>
    <cellStyle name="Input 2 2 5 40 4" xfId="30665"/>
    <cellStyle name="Input 2 2 5 40 5" xfId="39981"/>
    <cellStyle name="Input 2 2 5 40 6" xfId="44330"/>
    <cellStyle name="Input 2 2 5 40 7" xfId="50384"/>
    <cellStyle name="Input 2 2 5 41" xfId="5884"/>
    <cellStyle name="Input 2 2 5 41 2" xfId="13601"/>
    <cellStyle name="Input 2 2 5 41 3" xfId="22594"/>
    <cellStyle name="Input 2 2 5 41 4" xfId="30781"/>
    <cellStyle name="Input 2 2 5 41 5" xfId="40094"/>
    <cellStyle name="Input 2 2 5 41 6" xfId="44446"/>
    <cellStyle name="Input 2 2 5 41 7" xfId="50850"/>
    <cellStyle name="Input 2 2 5 42" xfId="6013"/>
    <cellStyle name="Input 2 2 5 42 2" xfId="13730"/>
    <cellStyle name="Input 2 2 5 42 3" xfId="22723"/>
    <cellStyle name="Input 2 2 5 42 4" xfId="30910"/>
    <cellStyle name="Input 2 2 5 42 5" xfId="40218"/>
    <cellStyle name="Input 2 2 5 42 6" xfId="44575"/>
    <cellStyle name="Input 2 2 5 42 7" xfId="53188"/>
    <cellStyle name="Input 2 2 5 43" xfId="6140"/>
    <cellStyle name="Input 2 2 5 43 2" xfId="13857"/>
    <cellStyle name="Input 2 2 5 43 3" xfId="22850"/>
    <cellStyle name="Input 2 2 5 43 4" xfId="31037"/>
    <cellStyle name="Input 2 2 5 43 5" xfId="40338"/>
    <cellStyle name="Input 2 2 5 43 6" xfId="44702"/>
    <cellStyle name="Input 2 2 5 43 7" xfId="54414"/>
    <cellStyle name="Input 2 2 5 44" xfId="6269"/>
    <cellStyle name="Input 2 2 5 44 2" xfId="13986"/>
    <cellStyle name="Input 2 2 5 44 3" xfId="22979"/>
    <cellStyle name="Input 2 2 5 44 4" xfId="31166"/>
    <cellStyle name="Input 2 2 5 44 5" xfId="40466"/>
    <cellStyle name="Input 2 2 5 44 6" xfId="44831"/>
    <cellStyle name="Input 2 2 5 44 7" xfId="47880"/>
    <cellStyle name="Input 2 2 5 45" xfId="6385"/>
    <cellStyle name="Input 2 2 5 45 2" xfId="14102"/>
    <cellStyle name="Input 2 2 5 45 3" xfId="23095"/>
    <cellStyle name="Input 2 2 5 45 4" xfId="31282"/>
    <cellStyle name="Input 2 2 5 45 5" xfId="40579"/>
    <cellStyle name="Input 2 2 5 45 6" xfId="44947"/>
    <cellStyle name="Input 2 2 5 45 7" xfId="51343"/>
    <cellStyle name="Input 2 2 5 46" xfId="6496"/>
    <cellStyle name="Input 2 2 5 46 2" xfId="14213"/>
    <cellStyle name="Input 2 2 5 46 3" xfId="23206"/>
    <cellStyle name="Input 2 2 5 46 4" xfId="31393"/>
    <cellStyle name="Input 2 2 5 46 5" xfId="40686"/>
    <cellStyle name="Input 2 2 5 46 6" xfId="45058"/>
    <cellStyle name="Input 2 2 5 46 7" xfId="47915"/>
    <cellStyle name="Input 2 2 5 47" xfId="5308"/>
    <cellStyle name="Input 2 2 5 47 2" xfId="13025"/>
    <cellStyle name="Input 2 2 5 47 3" xfId="22018"/>
    <cellStyle name="Input 2 2 5 47 4" xfId="30205"/>
    <cellStyle name="Input 2 2 5 47 5" xfId="39539"/>
    <cellStyle name="Input 2 2 5 47 6" xfId="43870"/>
    <cellStyle name="Input 2 2 5 47 7" xfId="53206"/>
    <cellStyle name="Input 2 2 5 48" xfId="6642"/>
    <cellStyle name="Input 2 2 5 48 2" xfId="14359"/>
    <cellStyle name="Input 2 2 5 48 3" xfId="23352"/>
    <cellStyle name="Input 2 2 5 48 4" xfId="31539"/>
    <cellStyle name="Input 2 2 5 48 5" xfId="40825"/>
    <cellStyle name="Input 2 2 5 48 6" xfId="45204"/>
    <cellStyle name="Input 2 2 5 48 7" xfId="53983"/>
    <cellStyle name="Input 2 2 5 49" xfId="6754"/>
    <cellStyle name="Input 2 2 5 49 2" xfId="14471"/>
    <cellStyle name="Input 2 2 5 49 3" xfId="23464"/>
    <cellStyle name="Input 2 2 5 49 4" xfId="31651"/>
    <cellStyle name="Input 2 2 5 49 5" xfId="40931"/>
    <cellStyle name="Input 2 2 5 49 6" xfId="45316"/>
    <cellStyle name="Input 2 2 5 49 7" xfId="49316"/>
    <cellStyle name="Input 2 2 5 5" xfId="1385"/>
    <cellStyle name="Input 2 2 5 5 2" xfId="9208"/>
    <cellStyle name="Input 2 2 5 5 3" xfId="16636"/>
    <cellStyle name="Input 2 2 5 5 4" xfId="25300"/>
    <cellStyle name="Input 2 2 5 5 5" xfId="33716"/>
    <cellStyle name="Input 2 2 5 5 6" xfId="38162"/>
    <cellStyle name="Input 2 2 5 5 7" xfId="51428"/>
    <cellStyle name="Input 2 2 5 50" xfId="6869"/>
    <cellStyle name="Input 2 2 5 50 2" xfId="14586"/>
    <cellStyle name="Input 2 2 5 50 3" xfId="23579"/>
    <cellStyle name="Input 2 2 5 50 4" xfId="31766"/>
    <cellStyle name="Input 2 2 5 50 5" xfId="41039"/>
    <cellStyle name="Input 2 2 5 50 6" xfId="45431"/>
    <cellStyle name="Input 2 2 5 50 7" xfId="46784"/>
    <cellStyle name="Input 2 2 5 51" xfId="6982"/>
    <cellStyle name="Input 2 2 5 51 2" xfId="14699"/>
    <cellStyle name="Input 2 2 5 51 3" xfId="23692"/>
    <cellStyle name="Input 2 2 5 51 4" xfId="31879"/>
    <cellStyle name="Input 2 2 5 51 5" xfId="41147"/>
    <cellStyle name="Input 2 2 5 51 6" xfId="45544"/>
    <cellStyle name="Input 2 2 5 51 7" xfId="46940"/>
    <cellStyle name="Input 2 2 5 52" xfId="7093"/>
    <cellStyle name="Input 2 2 5 52 2" xfId="14810"/>
    <cellStyle name="Input 2 2 5 52 3" xfId="23803"/>
    <cellStyle name="Input 2 2 5 52 4" xfId="31990"/>
    <cellStyle name="Input 2 2 5 52 5" xfId="41252"/>
    <cellStyle name="Input 2 2 5 52 6" xfId="45655"/>
    <cellStyle name="Input 2 2 5 52 7" xfId="49545"/>
    <cellStyle name="Input 2 2 5 53" xfId="7186"/>
    <cellStyle name="Input 2 2 5 53 2" xfId="14903"/>
    <cellStyle name="Input 2 2 5 53 3" xfId="23896"/>
    <cellStyle name="Input 2 2 5 53 4" xfId="32083"/>
    <cellStyle name="Input 2 2 5 53 5" xfId="41344"/>
    <cellStyle name="Input 2 2 5 53 6" xfId="45748"/>
    <cellStyle name="Input 2 2 5 53 7" xfId="52846"/>
    <cellStyle name="Input 2 2 5 54" xfId="7249"/>
    <cellStyle name="Input 2 2 5 54 2" xfId="14966"/>
    <cellStyle name="Input 2 2 5 54 3" xfId="23959"/>
    <cellStyle name="Input 2 2 5 54 4" xfId="32146"/>
    <cellStyle name="Input 2 2 5 54 5" xfId="41402"/>
    <cellStyle name="Input 2 2 5 54 6" xfId="45811"/>
    <cellStyle name="Input 2 2 5 54 7" xfId="48008"/>
    <cellStyle name="Input 2 2 5 55" xfId="7490"/>
    <cellStyle name="Input 2 2 5 55 2" xfId="15207"/>
    <cellStyle name="Input 2 2 5 55 3" xfId="24200"/>
    <cellStyle name="Input 2 2 5 55 4" xfId="32387"/>
    <cellStyle name="Input 2 2 5 55 5" xfId="41635"/>
    <cellStyle name="Input 2 2 5 55 6" xfId="46052"/>
    <cellStyle name="Input 2 2 5 55 7" xfId="51230"/>
    <cellStyle name="Input 2 2 5 56" xfId="7611"/>
    <cellStyle name="Input 2 2 5 56 2" xfId="15328"/>
    <cellStyle name="Input 2 2 5 56 3" xfId="24321"/>
    <cellStyle name="Input 2 2 5 56 4" xfId="32508"/>
    <cellStyle name="Input 2 2 5 56 5" xfId="41750"/>
    <cellStyle name="Input 2 2 5 56 6" xfId="46173"/>
    <cellStyle name="Input 2 2 5 56 7" xfId="47348"/>
    <cellStyle name="Input 2 2 5 57" xfId="7887"/>
    <cellStyle name="Input 2 2 5 57 2" xfId="15604"/>
    <cellStyle name="Input 2 2 5 57 3" xfId="24591"/>
    <cellStyle name="Input 2 2 5 57 4" xfId="32784"/>
    <cellStyle name="Input 2 2 5 57 5" xfId="42015"/>
    <cellStyle name="Input 2 2 5 57 6" xfId="46449"/>
    <cellStyle name="Input 2 2 5 57 7" xfId="54479"/>
    <cellStyle name="Input 2 2 5 58" xfId="8015"/>
    <cellStyle name="Input 2 2 5 58 2" xfId="15732"/>
    <cellStyle name="Input 2 2 5 58 3" xfId="24717"/>
    <cellStyle name="Input 2 2 5 58 4" xfId="32912"/>
    <cellStyle name="Input 2 2 5 58 5" xfId="42138"/>
    <cellStyle name="Input 2 2 5 58 6" xfId="46577"/>
    <cellStyle name="Input 2 2 5 58 7" xfId="50749"/>
    <cellStyle name="Input 2 2 5 59" xfId="7685"/>
    <cellStyle name="Input 2 2 5 59 2" xfId="15402"/>
    <cellStyle name="Input 2 2 5 59 3" xfId="24393"/>
    <cellStyle name="Input 2 2 5 59 4" xfId="32582"/>
    <cellStyle name="Input 2 2 5 59 5" xfId="41820"/>
    <cellStyle name="Input 2 2 5 59 6" xfId="46247"/>
    <cellStyle name="Input 2 2 5 59 7" xfId="53489"/>
    <cellStyle name="Input 2 2 5 6" xfId="1508"/>
    <cellStyle name="Input 2 2 5 6 2" xfId="9331"/>
    <cellStyle name="Input 2 2 5 6 3" xfId="16759"/>
    <cellStyle name="Input 2 2 5 6 4" xfId="25283"/>
    <cellStyle name="Input 2 2 5 6 5" xfId="33695"/>
    <cellStyle name="Input 2 2 5 6 6" xfId="40581"/>
    <cellStyle name="Input 2 2 5 6 7" xfId="51395"/>
    <cellStyle name="Input 2 2 5 60" xfId="8163"/>
    <cellStyle name="Input 2 2 5 60 2" xfId="15880"/>
    <cellStyle name="Input 2 2 5 60 3" xfId="33060"/>
    <cellStyle name="Input 2 2 5 60 4" xfId="42279"/>
    <cellStyle name="Input 2 2 5 60 5" xfId="46725"/>
    <cellStyle name="Input 2 2 5 60 6" xfId="47837"/>
    <cellStyle name="Input 2 2 5 61" xfId="26655"/>
    <cellStyle name="Input 2 2 5 62" xfId="35499"/>
    <cellStyle name="Input 2 2 5 63" xfId="36304"/>
    <cellStyle name="Input 2 2 5 64" xfId="54403"/>
    <cellStyle name="Input 2 2 5 7" xfId="1222"/>
    <cellStyle name="Input 2 2 5 7 2" xfId="9045"/>
    <cellStyle name="Input 2 2 5 7 3" xfId="16473"/>
    <cellStyle name="Input 2 2 5 7 4" xfId="24835"/>
    <cellStyle name="Input 2 2 5 7 5" xfId="27394"/>
    <cellStyle name="Input 2 2 5 7 6" xfId="38962"/>
    <cellStyle name="Input 2 2 5 7 7" xfId="49379"/>
    <cellStyle name="Input 2 2 5 8" xfId="1745"/>
    <cellStyle name="Input 2 2 5 8 2" xfId="9568"/>
    <cellStyle name="Input 2 2 5 8 3" xfId="16996"/>
    <cellStyle name="Input 2 2 5 8 4" xfId="20280"/>
    <cellStyle name="Input 2 2 5 8 5" xfId="26852"/>
    <cellStyle name="Input 2 2 5 8 6" xfId="40304"/>
    <cellStyle name="Input 2 2 5 8 7" xfId="49455"/>
    <cellStyle name="Input 2 2 5 9" xfId="1879"/>
    <cellStyle name="Input 2 2 5 9 2" xfId="9702"/>
    <cellStyle name="Input 2 2 5 9 3" xfId="17130"/>
    <cellStyle name="Input 2 2 5 9 4" xfId="19731"/>
    <cellStyle name="Input 2 2 5 9 5" xfId="27308"/>
    <cellStyle name="Input 2 2 5 9 6" xfId="39235"/>
    <cellStyle name="Input 2 2 5 9 7" xfId="50268"/>
    <cellStyle name="Input 2 2 50" xfId="5928"/>
    <cellStyle name="Input 2 2 50 2" xfId="13645"/>
    <cellStyle name="Input 2 2 50 3" xfId="22638"/>
    <cellStyle name="Input 2 2 50 4" xfId="30825"/>
    <cellStyle name="Input 2 2 50 5" xfId="40137"/>
    <cellStyle name="Input 2 2 50 6" xfId="44490"/>
    <cellStyle name="Input 2 2 50 7" xfId="48449"/>
    <cellStyle name="Input 2 2 51" xfId="6191"/>
    <cellStyle name="Input 2 2 51 2" xfId="13908"/>
    <cellStyle name="Input 2 2 51 3" xfId="22901"/>
    <cellStyle name="Input 2 2 51 4" xfId="31088"/>
    <cellStyle name="Input 2 2 51 5" xfId="40389"/>
    <cellStyle name="Input 2 2 51 6" xfId="44753"/>
    <cellStyle name="Input 2 2 51 7" xfId="48264"/>
    <cellStyle name="Input 2 2 52" xfId="5228"/>
    <cellStyle name="Input 2 2 52 2" xfId="12945"/>
    <cellStyle name="Input 2 2 52 3" xfId="21938"/>
    <cellStyle name="Input 2 2 52 4" xfId="30125"/>
    <cellStyle name="Input 2 2 52 5" xfId="39460"/>
    <cellStyle name="Input 2 2 52 6" xfId="43790"/>
    <cellStyle name="Input 2 2 52 7" xfId="54160"/>
    <cellStyle name="Input 2 2 53" xfId="5302"/>
    <cellStyle name="Input 2 2 53 2" xfId="13019"/>
    <cellStyle name="Input 2 2 53 3" xfId="22012"/>
    <cellStyle name="Input 2 2 53 4" xfId="30199"/>
    <cellStyle name="Input 2 2 53 5" xfId="39533"/>
    <cellStyle name="Input 2 2 53 6" xfId="43864"/>
    <cellStyle name="Input 2 2 53 7" xfId="53899"/>
    <cellStyle name="Input 2 2 54" xfId="5323"/>
    <cellStyle name="Input 2 2 54 2" xfId="13040"/>
    <cellStyle name="Input 2 2 54 3" xfId="22033"/>
    <cellStyle name="Input 2 2 54 4" xfId="30220"/>
    <cellStyle name="Input 2 2 54 5" xfId="39554"/>
    <cellStyle name="Input 2 2 54 6" xfId="43885"/>
    <cellStyle name="Input 2 2 54 7" xfId="51943"/>
    <cellStyle name="Input 2 2 55" xfId="6543"/>
    <cellStyle name="Input 2 2 55 2" xfId="14260"/>
    <cellStyle name="Input 2 2 55 3" xfId="23253"/>
    <cellStyle name="Input 2 2 55 4" xfId="31440"/>
    <cellStyle name="Input 2 2 55 5" xfId="40730"/>
    <cellStyle name="Input 2 2 55 6" xfId="45105"/>
    <cellStyle name="Input 2 2 55 7" xfId="49385"/>
    <cellStyle name="Input 2 2 56" xfId="5356"/>
    <cellStyle name="Input 2 2 56 2" xfId="13073"/>
    <cellStyle name="Input 2 2 56 3" xfId="22066"/>
    <cellStyle name="Input 2 2 56 4" xfId="30253"/>
    <cellStyle name="Input 2 2 56 5" xfId="39585"/>
    <cellStyle name="Input 2 2 56 6" xfId="43918"/>
    <cellStyle name="Input 2 2 56 7" xfId="49806"/>
    <cellStyle name="Input 2 2 57" xfId="5695"/>
    <cellStyle name="Input 2 2 57 2" xfId="13412"/>
    <cellStyle name="Input 2 2 57 3" xfId="22405"/>
    <cellStyle name="Input 2 2 57 4" xfId="30592"/>
    <cellStyle name="Input 2 2 57 5" xfId="39910"/>
    <cellStyle name="Input 2 2 57 6" xfId="44257"/>
    <cellStyle name="Input 2 2 57 7" xfId="47084"/>
    <cellStyle name="Input 2 2 58" xfId="7132"/>
    <cellStyle name="Input 2 2 58 2" xfId="14849"/>
    <cellStyle name="Input 2 2 58 3" xfId="23842"/>
    <cellStyle name="Input 2 2 58 4" xfId="32029"/>
    <cellStyle name="Input 2 2 58 5" xfId="41291"/>
    <cellStyle name="Input 2 2 58 6" xfId="45694"/>
    <cellStyle name="Input 2 2 58 7" xfId="47661"/>
    <cellStyle name="Input 2 2 59" xfId="7256"/>
    <cellStyle name="Input 2 2 59 2" xfId="14973"/>
    <cellStyle name="Input 2 2 59 3" xfId="23966"/>
    <cellStyle name="Input 2 2 59 4" xfId="32153"/>
    <cellStyle name="Input 2 2 59 5" xfId="41409"/>
    <cellStyle name="Input 2 2 59 6" xfId="45818"/>
    <cellStyle name="Input 2 2 59 7" xfId="53876"/>
    <cellStyle name="Input 2 2 6" xfId="466"/>
    <cellStyle name="Input 2 2 6 10" xfId="1082"/>
    <cellStyle name="Input 2 2 6 10 2" xfId="8906"/>
    <cellStyle name="Input 2 2 6 10 3" xfId="16334"/>
    <cellStyle name="Input 2 2 6 10 4" xfId="19861"/>
    <cellStyle name="Input 2 2 6 10 5" xfId="27748"/>
    <cellStyle name="Input 2 2 6 10 6" xfId="38246"/>
    <cellStyle name="Input 2 2 6 10 7" xfId="49342"/>
    <cellStyle name="Input 2 2 6 11" xfId="1108"/>
    <cellStyle name="Input 2 2 6 11 2" xfId="8932"/>
    <cellStyle name="Input 2 2 6 11 3" xfId="16360"/>
    <cellStyle name="Input 2 2 6 11 4" xfId="26597"/>
    <cellStyle name="Input 2 2 6 11 5" xfId="35423"/>
    <cellStyle name="Input 2 2 6 11 6" xfId="36619"/>
    <cellStyle name="Input 2 2 6 11 7" xfId="54272"/>
    <cellStyle name="Input 2 2 6 12" xfId="1805"/>
    <cellStyle name="Input 2 2 6 12 2" xfId="9628"/>
    <cellStyle name="Input 2 2 6 12 3" xfId="17056"/>
    <cellStyle name="Input 2 2 6 12 4" xfId="24940"/>
    <cellStyle name="Input 2 2 6 12 5" xfId="33275"/>
    <cellStyle name="Input 2 2 6 12 6" xfId="40593"/>
    <cellStyle name="Input 2 2 6 12 7" xfId="50658"/>
    <cellStyle name="Input 2 2 6 13" xfId="1236"/>
    <cellStyle name="Input 2 2 6 13 2" xfId="9059"/>
    <cellStyle name="Input 2 2 6 13 3" xfId="16487"/>
    <cellStyle name="Input 2 2 6 13 4" xfId="24834"/>
    <cellStyle name="Input 2 2 6 13 5" xfId="26842"/>
    <cellStyle name="Input 2 2 6 13 6" xfId="37886"/>
    <cellStyle name="Input 2 2 6 13 7" xfId="47735"/>
    <cellStyle name="Input 2 2 6 14" xfId="1302"/>
    <cellStyle name="Input 2 2 6 14 2" xfId="9125"/>
    <cellStyle name="Input 2 2 6 14 3" xfId="16553"/>
    <cellStyle name="Input 2 2 6 14 4" xfId="26462"/>
    <cellStyle name="Input 2 2 6 14 5" xfId="35241"/>
    <cellStyle name="Input 2 2 6 14 6" xfId="37908"/>
    <cellStyle name="Input 2 2 6 14 7" xfId="53989"/>
    <cellStyle name="Input 2 2 6 15" xfId="2446"/>
    <cellStyle name="Input 2 2 6 15 2" xfId="10269"/>
    <cellStyle name="Input 2 2 6 15 3" xfId="17697"/>
    <cellStyle name="Input 2 2 6 15 4" xfId="19183"/>
    <cellStyle name="Input 2 2 6 15 5" xfId="26916"/>
    <cellStyle name="Input 2 2 6 15 6" xfId="42068"/>
    <cellStyle name="Input 2 2 6 15 7" xfId="49168"/>
    <cellStyle name="Input 2 2 6 16" xfId="2408"/>
    <cellStyle name="Input 2 2 6 16 2" xfId="10231"/>
    <cellStyle name="Input 2 2 6 16 3" xfId="17659"/>
    <cellStyle name="Input 2 2 6 16 4" xfId="19917"/>
    <cellStyle name="Input 2 2 6 16 5" xfId="28484"/>
    <cellStyle name="Input 2 2 6 16 6" xfId="38815"/>
    <cellStyle name="Input 2 2 6 16 7" xfId="48088"/>
    <cellStyle name="Input 2 2 6 17" xfId="1797"/>
    <cellStyle name="Input 2 2 6 17 2" xfId="9620"/>
    <cellStyle name="Input 2 2 6 17 3" xfId="17048"/>
    <cellStyle name="Input 2 2 6 17 4" xfId="25278"/>
    <cellStyle name="Input 2 2 6 17 5" xfId="33690"/>
    <cellStyle name="Input 2 2 6 17 6" xfId="41267"/>
    <cellStyle name="Input 2 2 6 17 7" xfId="51386"/>
    <cellStyle name="Input 2 2 6 18" xfId="1017"/>
    <cellStyle name="Input 2 2 6 18 2" xfId="8841"/>
    <cellStyle name="Input 2 2 6 18 3" xfId="16269"/>
    <cellStyle name="Input 2 2 6 18 4" xfId="19601"/>
    <cellStyle name="Input 2 2 6 18 5" xfId="27089"/>
    <cellStyle name="Input 2 2 6 18 6" xfId="36276"/>
    <cellStyle name="Input 2 2 6 18 7" xfId="48283"/>
    <cellStyle name="Input 2 2 6 19" xfId="2763"/>
    <cellStyle name="Input 2 2 6 19 2" xfId="10586"/>
    <cellStyle name="Input 2 2 6 19 3" xfId="18014"/>
    <cellStyle name="Input 2 2 6 19 4" xfId="26272"/>
    <cellStyle name="Input 2 2 6 19 5" xfId="34972"/>
    <cellStyle name="Input 2 2 6 19 6" xfId="36788"/>
    <cellStyle name="Input 2 2 6 19 7" xfId="53581"/>
    <cellStyle name="Input 2 2 6 2" xfId="630"/>
    <cellStyle name="Input 2 2 6 2 2" xfId="8454"/>
    <cellStyle name="Input 2 2 6 2 3" xfId="8306"/>
    <cellStyle name="Input 2 2 6 2 4" xfId="19686"/>
    <cellStyle name="Input 2 2 6 2 5" xfId="28800"/>
    <cellStyle name="Input 2 2 6 2 6" xfId="37167"/>
    <cellStyle name="Input 2 2 6 2 7" xfId="48510"/>
    <cellStyle name="Input 2 2 6 20" xfId="2749"/>
    <cellStyle name="Input 2 2 6 20 2" xfId="10572"/>
    <cellStyle name="Input 2 2 6 20 3" xfId="18000"/>
    <cellStyle name="Input 2 2 6 20 4" xfId="25468"/>
    <cellStyle name="Input 2 2 6 20 5" xfId="33933"/>
    <cellStyle name="Input 2 2 6 20 6" xfId="41855"/>
    <cellStyle name="Input 2 2 6 20 7" xfId="51797"/>
    <cellStyle name="Input 2 2 6 21" xfId="3237"/>
    <cellStyle name="Input 2 2 6 21 2" xfId="11030"/>
    <cellStyle name="Input 2 2 6 21 3" xfId="18362"/>
    <cellStyle name="Input 2 2 6 21 4" xfId="25623"/>
    <cellStyle name="Input 2 2 6 21 5" xfId="34137"/>
    <cellStyle name="Input 2 2 6 21 6" xfId="37714"/>
    <cellStyle name="Input 2 2 6 21 7" xfId="52134"/>
    <cellStyle name="Input 2 2 6 22" xfId="3032"/>
    <cellStyle name="Input 2 2 6 22 2" xfId="10847"/>
    <cellStyle name="Input 2 2 6 22 3" xfId="18258"/>
    <cellStyle name="Input 2 2 6 22 4" xfId="19993"/>
    <cellStyle name="Input 2 2 6 22 5" xfId="28715"/>
    <cellStyle name="Input 2 2 6 22 6" xfId="37569"/>
    <cellStyle name="Input 2 2 6 22 7" xfId="50111"/>
    <cellStyle name="Input 2 2 6 23" xfId="3472"/>
    <cellStyle name="Input 2 2 6 23 2" xfId="11263"/>
    <cellStyle name="Input 2 2 6 23 3" xfId="18582"/>
    <cellStyle name="Input 2 2 6 23 4" xfId="19617"/>
    <cellStyle name="Input 2 2 6 23 5" xfId="27827"/>
    <cellStyle name="Input 2 2 6 23 6" xfId="37447"/>
    <cellStyle name="Input 2 2 6 23 7" xfId="50308"/>
    <cellStyle name="Input 2 2 6 24" xfId="3181"/>
    <cellStyle name="Input 2 2 6 24 2" xfId="10982"/>
    <cellStyle name="Input 2 2 6 24 3" xfId="18343"/>
    <cellStyle name="Input 2 2 6 24 4" xfId="25199"/>
    <cellStyle name="Input 2 2 6 24 5" xfId="33588"/>
    <cellStyle name="Input 2 2 6 24 6" xfId="37365"/>
    <cellStyle name="Input 2 2 6 24 7" xfId="51217"/>
    <cellStyle name="Input 2 2 6 25" xfId="3754"/>
    <cellStyle name="Input 2 2 6 25 2" xfId="11539"/>
    <cellStyle name="Input 2 2 6 25 3" xfId="18806"/>
    <cellStyle name="Input 2 2 6 25 4" xfId="25931"/>
    <cellStyle name="Input 2 2 6 25 5" xfId="34535"/>
    <cellStyle name="Input 2 2 6 25 6" xfId="39221"/>
    <cellStyle name="Input 2 2 6 25 7" xfId="52853"/>
    <cellStyle name="Input 2 2 6 26" xfId="3499"/>
    <cellStyle name="Input 2 2 6 26 2" xfId="11290"/>
    <cellStyle name="Input 2 2 6 26 3" xfId="18593"/>
    <cellStyle name="Input 2 2 6 26 4" xfId="25003"/>
    <cellStyle name="Input 2 2 6 26 5" xfId="33354"/>
    <cellStyle name="Input 2 2 6 26 6" xfId="37641"/>
    <cellStyle name="Input 2 2 6 26 7" xfId="50805"/>
    <cellStyle name="Input 2 2 6 27" xfId="3599"/>
    <cellStyle name="Input 2 2 6 27 2" xfId="11385"/>
    <cellStyle name="Input 2 2 6 27 3" xfId="20547"/>
    <cellStyle name="Input 2 2 6 27 4" xfId="28671"/>
    <cellStyle name="Input 2 2 6 27 5" xfId="38058"/>
    <cellStyle name="Input 2 2 6 27 6" xfId="42522"/>
    <cellStyle name="Input 2 2 6 27 7" xfId="52296"/>
    <cellStyle name="Input 2 2 6 28" xfId="4076"/>
    <cellStyle name="Input 2 2 6 28 2" xfId="11838"/>
    <cellStyle name="Input 2 2 6 28 3" xfId="20786"/>
    <cellStyle name="Input 2 2 6 28 4" xfId="28973"/>
    <cellStyle name="Input 2 2 6 28 5" xfId="38352"/>
    <cellStyle name="Input 2 2 6 28 6" xfId="42638"/>
    <cellStyle name="Input 2 2 6 28 7" xfId="49484"/>
    <cellStyle name="Input 2 2 6 29" xfId="4028"/>
    <cellStyle name="Input 2 2 6 29 2" xfId="20738"/>
    <cellStyle name="Input 2 2 6 29 3" xfId="28925"/>
    <cellStyle name="Input 2 2 6 29 4" xfId="38305"/>
    <cellStyle name="Input 2 2 6 29 5" xfId="42590"/>
    <cellStyle name="Input 2 2 6 29 6" xfId="54066"/>
    <cellStyle name="Input 2 2 6 3" xfId="213"/>
    <cellStyle name="Input 2 2 6 3 2" xfId="8318"/>
    <cellStyle name="Input 2 2 6 3 3" xfId="11835"/>
    <cellStyle name="Input 2 2 6 3 4" xfId="25597"/>
    <cellStyle name="Input 2 2 6 3 5" xfId="34107"/>
    <cellStyle name="Input 2 2 6 3 6" xfId="37083"/>
    <cellStyle name="Input 2 2 6 3 7" xfId="52086"/>
    <cellStyle name="Input 2 2 6 30" xfId="4274"/>
    <cellStyle name="Input 2 2 6 30 2" xfId="11991"/>
    <cellStyle name="Input 2 2 6 30 3" xfId="20984"/>
    <cellStyle name="Input 2 2 6 30 4" xfId="29171"/>
    <cellStyle name="Input 2 2 6 30 5" xfId="38544"/>
    <cellStyle name="Input 2 2 6 30 6" xfId="42836"/>
    <cellStyle name="Input 2 2 6 30 7" xfId="51884"/>
    <cellStyle name="Input 2 2 6 31" xfId="4397"/>
    <cellStyle name="Input 2 2 6 31 2" xfId="12114"/>
    <cellStyle name="Input 2 2 6 31 3" xfId="21107"/>
    <cellStyle name="Input 2 2 6 31 4" xfId="29294"/>
    <cellStyle name="Input 2 2 6 31 5" xfId="38664"/>
    <cellStyle name="Input 2 2 6 31 6" xfId="42959"/>
    <cellStyle name="Input 2 2 6 31 7" xfId="49261"/>
    <cellStyle name="Input 2 2 6 32" xfId="4513"/>
    <cellStyle name="Input 2 2 6 32 2" xfId="12230"/>
    <cellStyle name="Input 2 2 6 32 3" xfId="21223"/>
    <cellStyle name="Input 2 2 6 32 4" xfId="29410"/>
    <cellStyle name="Input 2 2 6 32 5" xfId="38774"/>
    <cellStyle name="Input 2 2 6 32 6" xfId="43075"/>
    <cellStyle name="Input 2 2 6 32 7" xfId="50246"/>
    <cellStyle name="Input 2 2 6 33" xfId="4627"/>
    <cellStyle name="Input 2 2 6 33 2" xfId="12344"/>
    <cellStyle name="Input 2 2 6 33 3" xfId="21337"/>
    <cellStyle name="Input 2 2 6 33 4" xfId="29524"/>
    <cellStyle name="Input 2 2 6 33 5" xfId="38883"/>
    <cellStyle name="Input 2 2 6 33 6" xfId="43189"/>
    <cellStyle name="Input 2 2 6 33 7" xfId="54381"/>
    <cellStyle name="Input 2 2 6 34" xfId="4740"/>
    <cellStyle name="Input 2 2 6 34 2" xfId="12457"/>
    <cellStyle name="Input 2 2 6 34 3" xfId="21450"/>
    <cellStyle name="Input 2 2 6 34 4" xfId="29637"/>
    <cellStyle name="Input 2 2 6 34 5" xfId="38992"/>
    <cellStyle name="Input 2 2 6 34 6" xfId="43302"/>
    <cellStyle name="Input 2 2 6 34 7" xfId="50410"/>
    <cellStyle name="Input 2 2 6 35" xfId="3085"/>
    <cellStyle name="Input 2 2 6 35 2" xfId="10892"/>
    <cellStyle name="Input 2 2 6 35 3" xfId="20246"/>
    <cellStyle name="Input 2 2 6 35 4" xfId="28336"/>
    <cellStyle name="Input 2 2 6 35 5" xfId="37716"/>
    <cellStyle name="Input 2 2 6 35 6" xfId="42393"/>
    <cellStyle name="Input 2 2 6 35 7" xfId="52217"/>
    <cellStyle name="Input 2 2 6 36" xfId="4960"/>
    <cellStyle name="Input 2 2 6 36 2" xfId="12677"/>
    <cellStyle name="Input 2 2 6 36 3" xfId="21670"/>
    <cellStyle name="Input 2 2 6 36 4" xfId="29857"/>
    <cellStyle name="Input 2 2 6 36 5" xfId="39204"/>
    <cellStyle name="Input 2 2 6 36 6" xfId="43522"/>
    <cellStyle name="Input 2 2 6 36 7" xfId="52025"/>
    <cellStyle name="Input 2 2 6 37" xfId="5372"/>
    <cellStyle name="Input 2 2 6 37 2" xfId="13089"/>
    <cellStyle name="Input 2 2 6 37 3" xfId="22082"/>
    <cellStyle name="Input 2 2 6 37 4" xfId="30269"/>
    <cellStyle name="Input 2 2 6 37 5" xfId="39600"/>
    <cellStyle name="Input 2 2 6 37 6" xfId="43934"/>
    <cellStyle name="Input 2 2 6 37 7" xfId="54100"/>
    <cellStyle name="Input 2 2 6 38" xfId="5452"/>
    <cellStyle name="Input 2 2 6 38 2" xfId="13169"/>
    <cellStyle name="Input 2 2 6 38 3" xfId="22162"/>
    <cellStyle name="Input 2 2 6 38 4" xfId="30349"/>
    <cellStyle name="Input 2 2 6 38 5" xfId="39678"/>
    <cellStyle name="Input 2 2 6 38 6" xfId="44014"/>
    <cellStyle name="Input 2 2 6 38 7" xfId="53460"/>
    <cellStyle name="Input 2 2 6 39" xfId="5574"/>
    <cellStyle name="Input 2 2 6 39 2" xfId="13291"/>
    <cellStyle name="Input 2 2 6 39 3" xfId="22284"/>
    <cellStyle name="Input 2 2 6 39 4" xfId="30471"/>
    <cellStyle name="Input 2 2 6 39 5" xfId="39794"/>
    <cellStyle name="Input 2 2 6 39 6" xfId="44136"/>
    <cellStyle name="Input 2 2 6 39 7" xfId="47159"/>
    <cellStyle name="Input 2 2 6 4" xfId="850"/>
    <cellStyle name="Input 2 2 6 4 2" xfId="8674"/>
    <cellStyle name="Input 2 2 6 4 3" xfId="16102"/>
    <cellStyle name="Input 2 2 6 4 4" xfId="20157"/>
    <cellStyle name="Input 2 2 6 4 5" xfId="28840"/>
    <cellStyle name="Input 2 2 6 4 6" xfId="36278"/>
    <cellStyle name="Input 2 2 6 4 7" xfId="47505"/>
    <cellStyle name="Input 2 2 6 40" xfId="5156"/>
    <cellStyle name="Input 2 2 6 40 2" xfId="12873"/>
    <cellStyle name="Input 2 2 6 40 3" xfId="21866"/>
    <cellStyle name="Input 2 2 6 40 4" xfId="30053"/>
    <cellStyle name="Input 2 2 6 40 5" xfId="39392"/>
    <cellStyle name="Input 2 2 6 40 6" xfId="43718"/>
    <cellStyle name="Input 2 2 6 40 7" xfId="53906"/>
    <cellStyle name="Input 2 2 6 41" xfId="5076"/>
    <cellStyle name="Input 2 2 6 41 2" xfId="12793"/>
    <cellStyle name="Input 2 2 6 41 3" xfId="21786"/>
    <cellStyle name="Input 2 2 6 41 4" xfId="29973"/>
    <cellStyle name="Input 2 2 6 41 5" xfId="39316"/>
    <cellStyle name="Input 2 2 6 41 6" xfId="43638"/>
    <cellStyle name="Input 2 2 6 41 7" xfId="53338"/>
    <cellStyle name="Input 2 2 6 42" xfId="5936"/>
    <cellStyle name="Input 2 2 6 42 2" xfId="13653"/>
    <cellStyle name="Input 2 2 6 42 3" xfId="22646"/>
    <cellStyle name="Input 2 2 6 42 4" xfId="30833"/>
    <cellStyle name="Input 2 2 6 42 5" xfId="40144"/>
    <cellStyle name="Input 2 2 6 42 6" xfId="44498"/>
    <cellStyle name="Input 2 2 6 42 7" xfId="53866"/>
    <cellStyle name="Input 2 2 6 43" xfId="6056"/>
    <cellStyle name="Input 2 2 6 43 2" xfId="13773"/>
    <cellStyle name="Input 2 2 6 43 3" xfId="22766"/>
    <cellStyle name="Input 2 2 6 43 4" xfId="30953"/>
    <cellStyle name="Input 2 2 6 43 5" xfId="40260"/>
    <cellStyle name="Input 2 2 6 43 6" xfId="44618"/>
    <cellStyle name="Input 2 2 6 43 7" xfId="47326"/>
    <cellStyle name="Input 2 2 6 44" xfId="6193"/>
    <cellStyle name="Input 2 2 6 44 2" xfId="13910"/>
    <cellStyle name="Input 2 2 6 44 3" xfId="22903"/>
    <cellStyle name="Input 2 2 6 44 4" xfId="31090"/>
    <cellStyle name="Input 2 2 6 44 5" xfId="40391"/>
    <cellStyle name="Input 2 2 6 44 6" xfId="44755"/>
    <cellStyle name="Input 2 2 6 44 7" xfId="48811"/>
    <cellStyle name="Input 2 2 6 45" xfId="5457"/>
    <cellStyle name="Input 2 2 6 45 2" xfId="13174"/>
    <cellStyle name="Input 2 2 6 45 3" xfId="22167"/>
    <cellStyle name="Input 2 2 6 45 4" xfId="30354"/>
    <cellStyle name="Input 2 2 6 45 5" xfId="39682"/>
    <cellStyle name="Input 2 2 6 45 6" xfId="44019"/>
    <cellStyle name="Input 2 2 6 45 7" xfId="48069"/>
    <cellStyle name="Input 2 2 6 46" xfId="5207"/>
    <cellStyle name="Input 2 2 6 46 2" xfId="12924"/>
    <cellStyle name="Input 2 2 6 46 3" xfId="21917"/>
    <cellStyle name="Input 2 2 6 46 4" xfId="30104"/>
    <cellStyle name="Input 2 2 6 46 5" xfId="39441"/>
    <cellStyle name="Input 2 2 6 46 6" xfId="43769"/>
    <cellStyle name="Input 2 2 6 46 7" xfId="48718"/>
    <cellStyle name="Input 2 2 6 47" xfId="5275"/>
    <cellStyle name="Input 2 2 6 47 2" xfId="12992"/>
    <cellStyle name="Input 2 2 6 47 3" xfId="21985"/>
    <cellStyle name="Input 2 2 6 47 4" xfId="30172"/>
    <cellStyle name="Input 2 2 6 47 5" xfId="39507"/>
    <cellStyle name="Input 2 2 6 47 6" xfId="43837"/>
    <cellStyle name="Input 2 2 6 47 7" xfId="49205"/>
    <cellStyle name="Input 2 2 6 48" xfId="6547"/>
    <cellStyle name="Input 2 2 6 48 2" xfId="14264"/>
    <cellStyle name="Input 2 2 6 48 3" xfId="23257"/>
    <cellStyle name="Input 2 2 6 48 4" xfId="31444"/>
    <cellStyle name="Input 2 2 6 48 5" xfId="40734"/>
    <cellStyle name="Input 2 2 6 48 6" xfId="45109"/>
    <cellStyle name="Input 2 2 6 48 7" xfId="49085"/>
    <cellStyle name="Input 2 2 6 49" xfId="5312"/>
    <cellStyle name="Input 2 2 6 49 2" xfId="13029"/>
    <cellStyle name="Input 2 2 6 49 3" xfId="22022"/>
    <cellStyle name="Input 2 2 6 49 4" xfId="30209"/>
    <cellStyle name="Input 2 2 6 49 5" xfId="39543"/>
    <cellStyle name="Input 2 2 6 49 6" xfId="43874"/>
    <cellStyle name="Input 2 2 6 49 7" xfId="52266"/>
    <cellStyle name="Input 2 2 6 5" xfId="1301"/>
    <cellStyle name="Input 2 2 6 5 2" xfId="9124"/>
    <cellStyle name="Input 2 2 6 5 3" xfId="16552"/>
    <cellStyle name="Input 2 2 6 5 4" xfId="26589"/>
    <cellStyle name="Input 2 2 6 5 5" xfId="35410"/>
    <cellStyle name="Input 2 2 6 5 6" xfId="38097"/>
    <cellStyle name="Input 2 2 6 5 7" xfId="54256"/>
    <cellStyle name="Input 2 2 6 50" xfId="6797"/>
    <cellStyle name="Input 2 2 6 50 2" xfId="14514"/>
    <cellStyle name="Input 2 2 6 50 3" xfId="23507"/>
    <cellStyle name="Input 2 2 6 50 4" xfId="31694"/>
    <cellStyle name="Input 2 2 6 50 5" xfId="40973"/>
    <cellStyle name="Input 2 2 6 50 6" xfId="45359"/>
    <cellStyle name="Input 2 2 6 50 7" xfId="52440"/>
    <cellStyle name="Input 2 2 6 51" xfId="6911"/>
    <cellStyle name="Input 2 2 6 51 2" xfId="14628"/>
    <cellStyle name="Input 2 2 6 51 3" xfId="23621"/>
    <cellStyle name="Input 2 2 6 51 4" xfId="31808"/>
    <cellStyle name="Input 2 2 6 51 5" xfId="41080"/>
    <cellStyle name="Input 2 2 6 51 6" xfId="45473"/>
    <cellStyle name="Input 2 2 6 51 7" xfId="46821"/>
    <cellStyle name="Input 2 2 6 52" xfId="7024"/>
    <cellStyle name="Input 2 2 6 52 2" xfId="14741"/>
    <cellStyle name="Input 2 2 6 52 3" xfId="23734"/>
    <cellStyle name="Input 2 2 6 52 4" xfId="31921"/>
    <cellStyle name="Input 2 2 6 52 5" xfId="41188"/>
    <cellStyle name="Input 2 2 6 52 6" xfId="45586"/>
    <cellStyle name="Input 2 2 6 52 7" xfId="46989"/>
    <cellStyle name="Input 2 2 6 53" xfId="7141"/>
    <cellStyle name="Input 2 2 6 53 2" xfId="14858"/>
    <cellStyle name="Input 2 2 6 53 3" xfId="23851"/>
    <cellStyle name="Input 2 2 6 53 4" xfId="32038"/>
    <cellStyle name="Input 2 2 6 53 5" xfId="41300"/>
    <cellStyle name="Input 2 2 6 53 6" xfId="45703"/>
    <cellStyle name="Input 2 2 6 53 7" xfId="51026"/>
    <cellStyle name="Input 2 2 6 54" xfId="7414"/>
    <cellStyle name="Input 2 2 6 54 2" xfId="15131"/>
    <cellStyle name="Input 2 2 6 54 3" xfId="24124"/>
    <cellStyle name="Input 2 2 6 54 4" xfId="32311"/>
    <cellStyle name="Input 2 2 6 54 5" xfId="41563"/>
    <cellStyle name="Input 2 2 6 54 6" xfId="45976"/>
    <cellStyle name="Input 2 2 6 54 7" xfId="52109"/>
    <cellStyle name="Input 2 2 6 55" xfId="7421"/>
    <cellStyle name="Input 2 2 6 55 2" xfId="15138"/>
    <cellStyle name="Input 2 2 6 55 3" xfId="24131"/>
    <cellStyle name="Input 2 2 6 55 4" xfId="32318"/>
    <cellStyle name="Input 2 2 6 55 5" xfId="41570"/>
    <cellStyle name="Input 2 2 6 55 6" xfId="45983"/>
    <cellStyle name="Input 2 2 6 55 7" xfId="51104"/>
    <cellStyle name="Input 2 2 6 56" xfId="7542"/>
    <cellStyle name="Input 2 2 6 56 2" xfId="15259"/>
    <cellStyle name="Input 2 2 6 56 3" xfId="24252"/>
    <cellStyle name="Input 2 2 6 56 4" xfId="32439"/>
    <cellStyle name="Input 2 2 6 56 5" xfId="41685"/>
    <cellStyle name="Input 2 2 6 56 6" xfId="46104"/>
    <cellStyle name="Input 2 2 6 56 7" xfId="48059"/>
    <cellStyle name="Input 2 2 6 57" xfId="7814"/>
    <cellStyle name="Input 2 2 6 57 2" xfId="15531"/>
    <cellStyle name="Input 2 2 6 57 3" xfId="24518"/>
    <cellStyle name="Input 2 2 6 57 4" xfId="32711"/>
    <cellStyle name="Input 2 2 6 57 5" xfId="41946"/>
    <cellStyle name="Input 2 2 6 57 6" xfId="46376"/>
    <cellStyle name="Input 2 2 6 57 7" xfId="48576"/>
    <cellStyle name="Input 2 2 6 58" xfId="7659"/>
    <cellStyle name="Input 2 2 6 58 2" xfId="15376"/>
    <cellStyle name="Input 2 2 6 58 3" xfId="24368"/>
    <cellStyle name="Input 2 2 6 58 4" xfId="32556"/>
    <cellStyle name="Input 2 2 6 58 5" xfId="41797"/>
    <cellStyle name="Input 2 2 6 58 6" xfId="46221"/>
    <cellStyle name="Input 2 2 6 58 7" xfId="49894"/>
    <cellStyle name="Input 2 2 6 59" xfId="7958"/>
    <cellStyle name="Input 2 2 6 59 2" xfId="15675"/>
    <cellStyle name="Input 2 2 6 59 3" xfId="24661"/>
    <cellStyle name="Input 2 2 6 59 4" xfId="32855"/>
    <cellStyle name="Input 2 2 6 59 5" xfId="42083"/>
    <cellStyle name="Input 2 2 6 59 6" xfId="46520"/>
    <cellStyle name="Input 2 2 6 59 7" xfId="48169"/>
    <cellStyle name="Input 2 2 6 6" xfId="1429"/>
    <cellStyle name="Input 2 2 6 6 2" xfId="9252"/>
    <cellStyle name="Input 2 2 6 6 3" xfId="16680"/>
    <cellStyle name="Input 2 2 6 6 4" xfId="19684"/>
    <cellStyle name="Input 2 2 6 6 5" xfId="27994"/>
    <cellStyle name="Input 2 2 6 6 6" xfId="40992"/>
    <cellStyle name="Input 2 2 6 6 7" xfId="48095"/>
    <cellStyle name="Input 2 2 6 60" xfId="8094"/>
    <cellStyle name="Input 2 2 6 60 2" xfId="15811"/>
    <cellStyle name="Input 2 2 6 60 3" xfId="32991"/>
    <cellStyle name="Input 2 2 6 60 4" xfId="42213"/>
    <cellStyle name="Input 2 2 6 60 5" xfId="46656"/>
    <cellStyle name="Input 2 2 6 60 6" xfId="48528"/>
    <cellStyle name="Input 2 2 6 61" xfId="25139"/>
    <cellStyle name="Input 2 2 6 62" xfId="33512"/>
    <cellStyle name="Input 2 2 6 63" xfId="36460"/>
    <cellStyle name="Input 2 2 6 64" xfId="51086"/>
    <cellStyle name="Input 2 2 6 7" xfId="1210"/>
    <cellStyle name="Input 2 2 6 7 2" xfId="9033"/>
    <cellStyle name="Input 2 2 6 7 3" xfId="16461"/>
    <cellStyle name="Input 2 2 6 7 4" xfId="25007"/>
    <cellStyle name="Input 2 2 6 7 5" xfId="33359"/>
    <cellStyle name="Input 2 2 6 7 6" xfId="40349"/>
    <cellStyle name="Input 2 2 6 7 7" xfId="50811"/>
    <cellStyle name="Input 2 2 6 8" xfId="1663"/>
    <cellStyle name="Input 2 2 6 8 2" xfId="9486"/>
    <cellStyle name="Input 2 2 6 8 3" xfId="16914"/>
    <cellStyle name="Input 2 2 6 8 4" xfId="19300"/>
    <cellStyle name="Input 2 2 6 8 5" xfId="28780"/>
    <cellStyle name="Input 2 2 6 8 6" xfId="39739"/>
    <cellStyle name="Input 2 2 6 8 7" xfId="47506"/>
    <cellStyle name="Input 2 2 6 9" xfId="1802"/>
    <cellStyle name="Input 2 2 6 9 2" xfId="9625"/>
    <cellStyle name="Input 2 2 6 9 3" xfId="17053"/>
    <cellStyle name="Input 2 2 6 9 4" xfId="25021"/>
    <cellStyle name="Input 2 2 6 9 5" xfId="33376"/>
    <cellStyle name="Input 2 2 6 9 6" xfId="36795"/>
    <cellStyle name="Input 2 2 6 9 7" xfId="50846"/>
    <cellStyle name="Input 2 2 60" xfId="7403"/>
    <cellStyle name="Input 2 2 60 2" xfId="15120"/>
    <cellStyle name="Input 2 2 60 3" xfId="24113"/>
    <cellStyle name="Input 2 2 60 4" xfId="32300"/>
    <cellStyle name="Input 2 2 60 5" xfId="41552"/>
    <cellStyle name="Input 2 2 60 6" xfId="45965"/>
    <cellStyle name="Input 2 2 60 7" xfId="53148"/>
    <cellStyle name="Input 2 2 61" xfId="7531"/>
    <cellStyle name="Input 2 2 61 2" xfId="15248"/>
    <cellStyle name="Input 2 2 61 3" xfId="24241"/>
    <cellStyle name="Input 2 2 61 4" xfId="32428"/>
    <cellStyle name="Input 2 2 61 5" xfId="41674"/>
    <cellStyle name="Input 2 2 61 6" xfId="46093"/>
    <cellStyle name="Input 2 2 61 7" xfId="48174"/>
    <cellStyle name="Input 2 2 62" xfId="7732"/>
    <cellStyle name="Input 2 2 62 2" xfId="15449"/>
    <cellStyle name="Input 2 2 62 3" xfId="24440"/>
    <cellStyle name="Input 2 2 62 4" xfId="32629"/>
    <cellStyle name="Input 2 2 62 5" xfId="41866"/>
    <cellStyle name="Input 2 2 62 6" xfId="46294"/>
    <cellStyle name="Input 2 2 62 7" xfId="47312"/>
    <cellStyle name="Input 2 2 63" xfId="7955"/>
    <cellStyle name="Input 2 2 63 2" xfId="15672"/>
    <cellStyle name="Input 2 2 63 3" xfId="24658"/>
    <cellStyle name="Input 2 2 63 4" xfId="32852"/>
    <cellStyle name="Input 2 2 63 5" xfId="42080"/>
    <cellStyle name="Input 2 2 63 6" xfId="46517"/>
    <cellStyle name="Input 2 2 63 7" xfId="48396"/>
    <cellStyle name="Input 2 2 64" xfId="7765"/>
    <cellStyle name="Input 2 2 64 2" xfId="15482"/>
    <cellStyle name="Input 2 2 64 3" xfId="24471"/>
    <cellStyle name="Input 2 2 64 4" xfId="32662"/>
    <cellStyle name="Input 2 2 64 5" xfId="41898"/>
    <cellStyle name="Input 2 2 64 6" xfId="46327"/>
    <cellStyle name="Input 2 2 64 7" xfId="51487"/>
    <cellStyle name="Input 2 2 65" xfId="8081"/>
    <cellStyle name="Input 2 2 65 2" xfId="15798"/>
    <cellStyle name="Input 2 2 65 3" xfId="32978"/>
    <cellStyle name="Input 2 2 65 4" xfId="42200"/>
    <cellStyle name="Input 2 2 65 5" xfId="46643"/>
    <cellStyle name="Input 2 2 65 6" xfId="48705"/>
    <cellStyle name="Input 2 2 66" xfId="20707"/>
    <cellStyle name="Input 2 2 67" xfId="27857"/>
    <cellStyle name="Input 2 2 68" xfId="36627"/>
    <cellStyle name="Input 2 2 69" xfId="47343"/>
    <cellStyle name="Input 2 2 7" xfId="599"/>
    <cellStyle name="Input 2 2 7 2" xfId="8423"/>
    <cellStyle name="Input 2 2 7 3" xfId="11974"/>
    <cellStyle name="Input 2 2 7 4" xfId="19699"/>
    <cellStyle name="Input 2 2 7 5" xfId="28337"/>
    <cellStyle name="Input 2 2 7 6" xfId="37481"/>
    <cellStyle name="Input 2 2 7 7" xfId="49025"/>
    <cellStyle name="Input 2 2 8" xfId="229"/>
    <cellStyle name="Input 2 2 8 2" xfId="8333"/>
    <cellStyle name="Input 2 2 8 3" xfId="8253"/>
    <cellStyle name="Input 2 2 8 4" xfId="24803"/>
    <cellStyle name="Input 2 2 8 5" xfId="28323"/>
    <cellStyle name="Input 2 2 8 6" xfId="36776"/>
    <cellStyle name="Input 2 2 8 7" xfId="50250"/>
    <cellStyle name="Input 2 2 9" xfId="627"/>
    <cellStyle name="Input 2 2 9 2" xfId="8451"/>
    <cellStyle name="Input 2 2 9 3" xfId="8402"/>
    <cellStyle name="Input 2 2 9 4" xfId="24815"/>
    <cellStyle name="Input 2 2 9 5" xfId="28833"/>
    <cellStyle name="Input 2 2 9 6" xfId="37272"/>
    <cellStyle name="Input 2 2 9 7" xfId="47921"/>
    <cellStyle name="Input 2 20" xfId="4038"/>
    <cellStyle name="Input 2 20 2" xfId="11809"/>
    <cellStyle name="Input 2 20 3" xfId="20748"/>
    <cellStyle name="Input 2 20 4" xfId="28935"/>
    <cellStyle name="Input 2 20 5" xfId="38314"/>
    <cellStyle name="Input 2 20 6" xfId="42600"/>
    <cellStyle name="Input 2 20 7" xfId="53402"/>
    <cellStyle name="Input 2 21" xfId="4049"/>
    <cellStyle name="Input 2 21 2" xfId="11818"/>
    <cellStyle name="Input 2 21 3" xfId="20759"/>
    <cellStyle name="Input 2 21 4" xfId="28946"/>
    <cellStyle name="Input 2 21 5" xfId="38325"/>
    <cellStyle name="Input 2 21 6" xfId="42611"/>
    <cellStyle name="Input 2 21 7" xfId="52492"/>
    <cellStyle name="Input 2 22" xfId="5269"/>
    <cellStyle name="Input 2 22 2" xfId="12986"/>
    <cellStyle name="Input 2 22 3" xfId="21979"/>
    <cellStyle name="Input 2 22 4" xfId="30166"/>
    <cellStyle name="Input 2 22 5" xfId="39501"/>
    <cellStyle name="Input 2 22 6" xfId="43831"/>
    <cellStyle name="Input 2 22 7" xfId="49855"/>
    <cellStyle name="Input 2 23" xfId="5204"/>
    <cellStyle name="Input 2 23 2" xfId="12921"/>
    <cellStyle name="Input 2 23 3" xfId="21914"/>
    <cellStyle name="Input 2 23 4" xfId="30101"/>
    <cellStyle name="Input 2 23 5" xfId="39438"/>
    <cellStyle name="Input 2 23 6" xfId="43766"/>
    <cellStyle name="Input 2 23 7" xfId="49012"/>
    <cellStyle name="Input 2 24" xfId="5937"/>
    <cellStyle name="Input 2 24 2" xfId="13654"/>
    <cellStyle name="Input 2 24 3" xfId="22647"/>
    <cellStyle name="Input 2 24 4" xfId="30834"/>
    <cellStyle name="Input 2 24 5" xfId="40145"/>
    <cellStyle name="Input 2 24 6" xfId="44499"/>
    <cellStyle name="Input 2 24 7" xfId="53610"/>
    <cellStyle name="Input 2 25" xfId="5230"/>
    <cellStyle name="Input 2 25 2" xfId="12947"/>
    <cellStyle name="Input 2 25 3" xfId="21940"/>
    <cellStyle name="Input 2 25 4" xfId="30127"/>
    <cellStyle name="Input 2 25 5" xfId="39462"/>
    <cellStyle name="Input 2 25 6" xfId="43792"/>
    <cellStyle name="Input 2 25 7" xfId="53782"/>
    <cellStyle name="Input 2 26" xfId="6185"/>
    <cellStyle name="Input 2 26 2" xfId="13902"/>
    <cellStyle name="Input 2 26 3" xfId="22895"/>
    <cellStyle name="Input 2 26 4" xfId="31082"/>
    <cellStyle name="Input 2 26 5" xfId="40383"/>
    <cellStyle name="Input 2 26 6" xfId="44747"/>
    <cellStyle name="Input 2 26 7" xfId="47371"/>
    <cellStyle name="Input 2 27" xfId="6553"/>
    <cellStyle name="Input 2 27 2" xfId="14270"/>
    <cellStyle name="Input 2 27 3" xfId="23263"/>
    <cellStyle name="Input 2 27 4" xfId="31450"/>
    <cellStyle name="Input 2 27 5" xfId="40739"/>
    <cellStyle name="Input 2 27 6" xfId="45115"/>
    <cellStyle name="Input 2 27 7" xfId="47211"/>
    <cellStyle name="Input 2 28" xfId="7299"/>
    <cellStyle name="Input 2 28 2" xfId="15016"/>
    <cellStyle name="Input 2 28 3" xfId="24009"/>
    <cellStyle name="Input 2 28 4" xfId="32196"/>
    <cellStyle name="Input 2 28 5" xfId="41452"/>
    <cellStyle name="Input 2 28 6" xfId="45861"/>
    <cellStyle name="Input 2 28 7" xfId="49303"/>
    <cellStyle name="Input 2 29" xfId="7274"/>
    <cellStyle name="Input 2 29 2" xfId="14991"/>
    <cellStyle name="Input 2 29 3" xfId="23984"/>
    <cellStyle name="Input 2 29 4" xfId="32171"/>
    <cellStyle name="Input 2 29 5" xfId="41427"/>
    <cellStyle name="Input 2 29 6" xfId="45836"/>
    <cellStyle name="Input 2 29 7" xfId="52157"/>
    <cellStyle name="Input 2 3" xfId="510"/>
    <cellStyle name="Input 2 3 10" xfId="1957"/>
    <cellStyle name="Input 2 3 10 2" xfId="9780"/>
    <cellStyle name="Input 2 3 10 3" xfId="17208"/>
    <cellStyle name="Input 2 3 10 4" xfId="25033"/>
    <cellStyle name="Input 2 3 10 5" xfId="33389"/>
    <cellStyle name="Input 2 3 10 6" xfId="39819"/>
    <cellStyle name="Input 2 3 10 7" xfId="50865"/>
    <cellStyle name="Input 2 3 11" xfId="2075"/>
    <cellStyle name="Input 2 3 11 2" xfId="9898"/>
    <cellStyle name="Input 2 3 11 3" xfId="17326"/>
    <cellStyle name="Input 2 3 11 4" xfId="25158"/>
    <cellStyle name="Input 2 3 11 5" xfId="33535"/>
    <cellStyle name="Input 2 3 11 6" xfId="37058"/>
    <cellStyle name="Input 2 3 11 7" xfId="51126"/>
    <cellStyle name="Input 2 3 12" xfId="2188"/>
    <cellStyle name="Input 2 3 12 2" xfId="10011"/>
    <cellStyle name="Input 2 3 12 3" xfId="17439"/>
    <cellStyle name="Input 2 3 12 4" xfId="26542"/>
    <cellStyle name="Input 2 3 12 5" xfId="35343"/>
    <cellStyle name="Input 2 3 12 6" xfId="36463"/>
    <cellStyle name="Input 2 3 12 7" xfId="54153"/>
    <cellStyle name="Input 2 3 13" xfId="1289"/>
    <cellStyle name="Input 2 3 13 2" xfId="9112"/>
    <cellStyle name="Input 2 3 13 3" xfId="16540"/>
    <cellStyle name="Input 2 3 13 4" xfId="20178"/>
    <cellStyle name="Input 2 3 13 5" xfId="28150"/>
    <cellStyle name="Input 2 3 13 6" xfId="39135"/>
    <cellStyle name="Input 2 3 13 7" xfId="46954"/>
    <cellStyle name="Input 2 3 14" xfId="1041"/>
    <cellStyle name="Input 2 3 14 2" xfId="8865"/>
    <cellStyle name="Input 2 3 14 3" xfId="16293"/>
    <cellStyle name="Input 2 3 14 4" xfId="26370"/>
    <cellStyle name="Input 2 3 14 5" xfId="35107"/>
    <cellStyle name="Input 2 3 14 6" xfId="36739"/>
    <cellStyle name="Input 2 3 14 7" xfId="53786"/>
    <cellStyle name="Input 2 3 15" xfId="2486"/>
    <cellStyle name="Input 2 3 15 2" xfId="10309"/>
    <cellStyle name="Input 2 3 15 3" xfId="17737"/>
    <cellStyle name="Input 2 3 15 4" xfId="25757"/>
    <cellStyle name="Input 2 3 15 5" xfId="34310"/>
    <cellStyle name="Input 2 3 15 6" xfId="38100"/>
    <cellStyle name="Input 2 3 15 7" xfId="52444"/>
    <cellStyle name="Input 2 3 16" xfId="2599"/>
    <cellStyle name="Input 2 3 16 2" xfId="10422"/>
    <cellStyle name="Input 2 3 16 3" xfId="17850"/>
    <cellStyle name="Input 2 3 16 4" xfId="20128"/>
    <cellStyle name="Input 2 3 16 5" xfId="27388"/>
    <cellStyle name="Input 2 3 16 6" xfId="37064"/>
    <cellStyle name="Input 2 3 16 7" xfId="49551"/>
    <cellStyle name="Input 2 3 17" xfId="2304"/>
    <cellStyle name="Input 2 3 17 2" xfId="10127"/>
    <cellStyle name="Input 2 3 17 3" xfId="17555"/>
    <cellStyle name="Input 2 3 17 4" xfId="19964"/>
    <cellStyle name="Input 2 3 17 5" xfId="27177"/>
    <cellStyle name="Input 2 3 17 6" xfId="38507"/>
    <cellStyle name="Input 2 3 17 7" xfId="48926"/>
    <cellStyle name="Input 2 3 18" xfId="2714"/>
    <cellStyle name="Input 2 3 18 2" xfId="10537"/>
    <cellStyle name="Input 2 3 18 3" xfId="17965"/>
    <cellStyle name="Input 2 3 18 4" xfId="25289"/>
    <cellStyle name="Input 2 3 18 5" xfId="33701"/>
    <cellStyle name="Input 2 3 18 6" xfId="38025"/>
    <cellStyle name="Input 2 3 18 7" xfId="51402"/>
    <cellStyle name="Input 2 3 19" xfId="2793"/>
    <cellStyle name="Input 2 3 19 2" xfId="10616"/>
    <cellStyle name="Input 2 3 19 3" xfId="18044"/>
    <cellStyle name="Input 2 3 19 4" xfId="25634"/>
    <cellStyle name="Input 2 3 19 5" xfId="34153"/>
    <cellStyle name="Input 2 3 19 6" xfId="37949"/>
    <cellStyle name="Input 2 3 19 7" xfId="52172"/>
    <cellStyle name="Input 2 3 2" xfId="661"/>
    <cellStyle name="Input 2 3 2 2" xfId="8485"/>
    <cellStyle name="Input 2 3 2 3" xfId="8273"/>
    <cellStyle name="Input 2 3 2 4" xfId="25281"/>
    <cellStyle name="Input 2 3 2 5" xfId="33693"/>
    <cellStyle name="Input 2 3 2 6" xfId="36585"/>
    <cellStyle name="Input 2 3 2 7" xfId="51392"/>
    <cellStyle name="Input 2 3 20" xfId="2900"/>
    <cellStyle name="Input 2 3 20 2" xfId="10723"/>
    <cellStyle name="Input 2 3 20 3" xfId="18151"/>
    <cellStyle name="Input 2 3 20 4" xfId="19441"/>
    <cellStyle name="Input 2 3 20 5" xfId="27515"/>
    <cellStyle name="Input 2 3 20 6" xfId="36704"/>
    <cellStyle name="Input 2 3 20 7" xfId="48610"/>
    <cellStyle name="Input 2 3 21" xfId="3276"/>
    <cellStyle name="Input 2 3 21 2" xfId="11069"/>
    <cellStyle name="Input 2 3 21 3" xfId="18398"/>
    <cellStyle name="Input 2 3 21 4" xfId="26602"/>
    <cellStyle name="Input 2 3 21 5" xfId="35429"/>
    <cellStyle name="Input 2 3 21 6" xfId="42141"/>
    <cellStyle name="Input 2 3 21 7" xfId="54291"/>
    <cellStyle name="Input 2 3 22" xfId="3396"/>
    <cellStyle name="Input 2 3 22 2" xfId="11187"/>
    <cellStyle name="Input 2 3 22 3" xfId="18509"/>
    <cellStyle name="Input 2 3 22 4" xfId="19143"/>
    <cellStyle name="Input 2 3 22 5" xfId="26871"/>
    <cellStyle name="Input 2 3 22 6" xfId="37564"/>
    <cellStyle name="Input 2 3 22 7" xfId="49804"/>
    <cellStyle name="Input 2 3 23" xfId="3161"/>
    <cellStyle name="Input 2 3 23 2" xfId="10963"/>
    <cellStyle name="Input 2 3 23 3" xfId="18333"/>
    <cellStyle name="Input 2 3 23 4" xfId="26122"/>
    <cellStyle name="Input 2 3 23 5" xfId="34783"/>
    <cellStyle name="Input 2 3 23 6" xfId="38791"/>
    <cellStyle name="Input 2 3 23 7" xfId="53259"/>
    <cellStyle name="Input 2 3 24" xfId="3666"/>
    <cellStyle name="Input 2 3 24 2" xfId="11451"/>
    <cellStyle name="Input 2 3 24 3" xfId="18724"/>
    <cellStyle name="Input 2 3 24 4" xfId="25953"/>
    <cellStyle name="Input 2 3 24 5" xfId="34560"/>
    <cellStyle name="Input 2 3 24 6" xfId="36527"/>
    <cellStyle name="Input 2 3 24 7" xfId="52896"/>
    <cellStyle name="Input 2 3 25" xfId="3797"/>
    <cellStyle name="Input 2 3 25 2" xfId="11579"/>
    <cellStyle name="Input 2 3 25 3" xfId="18836"/>
    <cellStyle name="Input 2 3 25 4" xfId="20198"/>
    <cellStyle name="Input 2 3 25 5" xfId="28059"/>
    <cellStyle name="Input 2 3 25 6" xfId="36595"/>
    <cellStyle name="Input 2 3 25 7" xfId="48520"/>
    <cellStyle name="Input 2 3 26" xfId="3914"/>
    <cellStyle name="Input 2 3 26 2" xfId="11694"/>
    <cellStyle name="Input 2 3 26 3" xfId="18945"/>
    <cellStyle name="Input 2 3 26 4" xfId="19483"/>
    <cellStyle name="Input 2 3 26 5" xfId="28363"/>
    <cellStyle name="Input 2 3 26 6" xfId="38041"/>
    <cellStyle name="Input 2 3 26 7" xfId="50005"/>
    <cellStyle name="Input 2 3 27" xfId="3175"/>
    <cellStyle name="Input 2 3 27 2" xfId="10976"/>
    <cellStyle name="Input 2 3 27 3" xfId="20307"/>
    <cellStyle name="Input 2 3 27 4" xfId="28398"/>
    <cellStyle name="Input 2 3 27 5" xfId="37786"/>
    <cellStyle name="Input 2 3 27 6" xfId="42424"/>
    <cellStyle name="Input 2 3 27 7" xfId="47638"/>
    <cellStyle name="Input 2 3 28" xfId="4111"/>
    <cellStyle name="Input 2 3 28 2" xfId="11871"/>
    <cellStyle name="Input 2 3 28 3" xfId="20821"/>
    <cellStyle name="Input 2 3 28 4" xfId="29008"/>
    <cellStyle name="Input 2 3 28 5" xfId="38386"/>
    <cellStyle name="Input 2 3 28 6" xfId="42673"/>
    <cellStyle name="Input 2 3 28 7" xfId="53305"/>
    <cellStyle name="Input 2 3 29" xfId="3360"/>
    <cellStyle name="Input 2 3 29 2" xfId="20409"/>
    <cellStyle name="Input 2 3 29 3" xfId="28516"/>
    <cellStyle name="Input 2 3 29 4" xfId="37902"/>
    <cellStyle name="Input 2 3 29 5" xfId="42466"/>
    <cellStyle name="Input 2 3 29 6" xfId="54155"/>
    <cellStyle name="Input 2 3 3" xfId="768"/>
    <cellStyle name="Input 2 3 3 2" xfId="8592"/>
    <cellStyle name="Input 2 3 3 3" xfId="16020"/>
    <cellStyle name="Input 2 3 3 4" xfId="25776"/>
    <cellStyle name="Input 2 3 3 5" xfId="34335"/>
    <cellStyle name="Input 2 3 3 6" xfId="37015"/>
    <cellStyle name="Input 2 3 3 7" xfId="52496"/>
    <cellStyle name="Input 2 3 30" xfId="4308"/>
    <cellStyle name="Input 2 3 30 2" xfId="12025"/>
    <cellStyle name="Input 2 3 30 3" xfId="21018"/>
    <cellStyle name="Input 2 3 30 4" xfId="29205"/>
    <cellStyle name="Input 2 3 30 5" xfId="38577"/>
    <cellStyle name="Input 2 3 30 6" xfId="42870"/>
    <cellStyle name="Input 2 3 30 7" xfId="48743"/>
    <cellStyle name="Input 2 3 31" xfId="4431"/>
    <cellStyle name="Input 2 3 31 2" xfId="12148"/>
    <cellStyle name="Input 2 3 31 3" xfId="21141"/>
    <cellStyle name="Input 2 3 31 4" xfId="29328"/>
    <cellStyle name="Input 2 3 31 5" xfId="38695"/>
    <cellStyle name="Input 2 3 31 6" xfId="42993"/>
    <cellStyle name="Input 2 3 31 7" xfId="52352"/>
    <cellStyle name="Input 2 3 32" xfId="4545"/>
    <cellStyle name="Input 2 3 32 2" xfId="12262"/>
    <cellStyle name="Input 2 3 32 3" xfId="21255"/>
    <cellStyle name="Input 2 3 32 4" xfId="29442"/>
    <cellStyle name="Input 2 3 32 5" xfId="38804"/>
    <cellStyle name="Input 2 3 32 6" xfId="43107"/>
    <cellStyle name="Input 2 3 32 7" xfId="54073"/>
    <cellStyle name="Input 2 3 33" xfId="4658"/>
    <cellStyle name="Input 2 3 33 2" xfId="12375"/>
    <cellStyle name="Input 2 3 33 3" xfId="21368"/>
    <cellStyle name="Input 2 3 33 4" xfId="29555"/>
    <cellStyle name="Input 2 3 33 5" xfId="38912"/>
    <cellStyle name="Input 2 3 33 6" xfId="43220"/>
    <cellStyle name="Input 2 3 33 7" xfId="51164"/>
    <cellStyle name="Input 2 3 34" xfId="4770"/>
    <cellStyle name="Input 2 3 34 2" xfId="12487"/>
    <cellStyle name="Input 2 3 34 3" xfId="21480"/>
    <cellStyle name="Input 2 3 34 4" xfId="29667"/>
    <cellStyle name="Input 2 3 34 5" xfId="39021"/>
    <cellStyle name="Input 2 3 34 6" xfId="43332"/>
    <cellStyle name="Input 2 3 34 7" xfId="48431"/>
    <cellStyle name="Input 2 3 35" xfId="4878"/>
    <cellStyle name="Input 2 3 35 2" xfId="12595"/>
    <cellStyle name="Input 2 3 35 3" xfId="21588"/>
    <cellStyle name="Input 2 3 35 4" xfId="29775"/>
    <cellStyle name="Input 2 3 35 5" xfId="39124"/>
    <cellStyle name="Input 2 3 35 6" xfId="43440"/>
    <cellStyle name="Input 2 3 35 7" xfId="51097"/>
    <cellStyle name="Input 2 3 36" xfId="4990"/>
    <cellStyle name="Input 2 3 36 2" xfId="12707"/>
    <cellStyle name="Input 2 3 36 3" xfId="21700"/>
    <cellStyle name="Input 2 3 36 4" xfId="29887"/>
    <cellStyle name="Input 2 3 36 5" xfId="39233"/>
    <cellStyle name="Input 2 3 36 6" xfId="43552"/>
    <cellStyle name="Input 2 3 36 7" xfId="48794"/>
    <cellStyle name="Input 2 3 37" xfId="5123"/>
    <cellStyle name="Input 2 3 37 2" xfId="12840"/>
    <cellStyle name="Input 2 3 37 3" xfId="21833"/>
    <cellStyle name="Input 2 3 37 4" xfId="30020"/>
    <cellStyle name="Input 2 3 37 5" xfId="39361"/>
    <cellStyle name="Input 2 3 37 6" xfId="43685"/>
    <cellStyle name="Input 2 3 37 7" xfId="48629"/>
    <cellStyle name="Input 2 3 38" xfId="5488"/>
    <cellStyle name="Input 2 3 38 2" xfId="13205"/>
    <cellStyle name="Input 2 3 38 3" xfId="22198"/>
    <cellStyle name="Input 2 3 38 4" xfId="30385"/>
    <cellStyle name="Input 2 3 38 5" xfId="39711"/>
    <cellStyle name="Input 2 3 38 6" xfId="44050"/>
    <cellStyle name="Input 2 3 38 7" xfId="49904"/>
    <cellStyle name="Input 2 3 39" xfId="5613"/>
    <cellStyle name="Input 2 3 39 2" xfId="13330"/>
    <cellStyle name="Input 2 3 39 3" xfId="22323"/>
    <cellStyle name="Input 2 3 39 4" xfId="30510"/>
    <cellStyle name="Input 2 3 39 5" xfId="39831"/>
    <cellStyle name="Input 2 3 39 6" xfId="44175"/>
    <cellStyle name="Input 2 3 39 7" xfId="46840"/>
    <cellStyle name="Input 2 3 4" xfId="880"/>
    <cellStyle name="Input 2 3 4 2" xfId="8704"/>
    <cellStyle name="Input 2 3 4 3" xfId="16132"/>
    <cellStyle name="Input 2 3 4 4" xfId="24983"/>
    <cellStyle name="Input 2 3 4 5" xfId="33326"/>
    <cellStyle name="Input 2 3 4 6" xfId="36581"/>
    <cellStyle name="Input 2 3 4 7" xfId="50755"/>
    <cellStyle name="Input 2 3 40" xfId="5728"/>
    <cellStyle name="Input 2 3 40 2" xfId="13445"/>
    <cellStyle name="Input 2 3 40 3" xfId="22438"/>
    <cellStyle name="Input 2 3 40 4" xfId="30625"/>
    <cellStyle name="Input 2 3 40 5" xfId="39942"/>
    <cellStyle name="Input 2 3 40 6" xfId="44290"/>
    <cellStyle name="Input 2 3 40 7" xfId="48268"/>
    <cellStyle name="Input 2 3 41" xfId="5845"/>
    <cellStyle name="Input 2 3 41 2" xfId="13562"/>
    <cellStyle name="Input 2 3 41 3" xfId="22555"/>
    <cellStyle name="Input 2 3 41 4" xfId="30742"/>
    <cellStyle name="Input 2 3 41 5" xfId="40056"/>
    <cellStyle name="Input 2 3 41 6" xfId="44407"/>
    <cellStyle name="Input 2 3 41 7" xfId="47311"/>
    <cellStyle name="Input 2 3 42" xfId="5973"/>
    <cellStyle name="Input 2 3 42 2" xfId="13690"/>
    <cellStyle name="Input 2 3 42 3" xfId="22683"/>
    <cellStyle name="Input 2 3 42 4" xfId="30870"/>
    <cellStyle name="Input 2 3 42 5" xfId="40180"/>
    <cellStyle name="Input 2 3 42 6" xfId="44535"/>
    <cellStyle name="Input 2 3 42 7" xfId="49941"/>
    <cellStyle name="Input 2 3 43" xfId="5691"/>
    <cellStyle name="Input 2 3 43 2" xfId="13408"/>
    <cellStyle name="Input 2 3 43 3" xfId="22401"/>
    <cellStyle name="Input 2 3 43 4" xfId="30588"/>
    <cellStyle name="Input 2 3 43 5" xfId="39906"/>
    <cellStyle name="Input 2 3 43 6" xfId="44253"/>
    <cellStyle name="Input 2 3 43 7" xfId="46933"/>
    <cellStyle name="Input 2 3 44" xfId="6229"/>
    <cellStyle name="Input 2 3 44 2" xfId="13946"/>
    <cellStyle name="Input 2 3 44 3" xfId="22939"/>
    <cellStyle name="Input 2 3 44 4" xfId="31126"/>
    <cellStyle name="Input 2 3 44 5" xfId="40427"/>
    <cellStyle name="Input 2 3 44 6" xfId="44791"/>
    <cellStyle name="Input 2 3 44 7" xfId="52041"/>
    <cellStyle name="Input 2 3 45" xfId="6346"/>
    <cellStyle name="Input 2 3 45 2" xfId="14063"/>
    <cellStyle name="Input 2 3 45 3" xfId="23056"/>
    <cellStyle name="Input 2 3 45 4" xfId="31243"/>
    <cellStyle name="Input 2 3 45 5" xfId="40541"/>
    <cellStyle name="Input 2 3 45 6" xfId="44908"/>
    <cellStyle name="Input 2 3 45 7" xfId="49192"/>
    <cellStyle name="Input 2 3 46" xfId="6456"/>
    <cellStyle name="Input 2 3 46 2" xfId="14173"/>
    <cellStyle name="Input 2 3 46 3" xfId="23166"/>
    <cellStyle name="Input 2 3 46 4" xfId="31353"/>
    <cellStyle name="Input 2 3 46 5" xfId="40647"/>
    <cellStyle name="Input 2 3 46 6" xfId="45018"/>
    <cellStyle name="Input 2 3 46 7" xfId="50479"/>
    <cellStyle name="Input 2 3 47" xfId="5576"/>
    <cellStyle name="Input 2 3 47 2" xfId="13293"/>
    <cellStyle name="Input 2 3 47 3" xfId="22286"/>
    <cellStyle name="Input 2 3 47 4" xfId="30473"/>
    <cellStyle name="Input 2 3 47 5" xfId="39795"/>
    <cellStyle name="Input 2 3 47 6" xfId="44138"/>
    <cellStyle name="Input 2 3 47 7" xfId="46802"/>
    <cellStyle name="Input 2 3 48" xfId="6603"/>
    <cellStyle name="Input 2 3 48 2" xfId="14320"/>
    <cellStyle name="Input 2 3 48 3" xfId="23313"/>
    <cellStyle name="Input 2 3 48 4" xfId="31500"/>
    <cellStyle name="Input 2 3 48 5" xfId="40787"/>
    <cellStyle name="Input 2 3 48 6" xfId="45165"/>
    <cellStyle name="Input 2 3 48 7" xfId="50703"/>
    <cellStyle name="Input 2 3 49" xfId="6714"/>
    <cellStyle name="Input 2 3 49 2" xfId="14431"/>
    <cellStyle name="Input 2 3 49 3" xfId="23424"/>
    <cellStyle name="Input 2 3 49 4" xfId="31611"/>
    <cellStyle name="Input 2 3 49 5" xfId="40893"/>
    <cellStyle name="Input 2 3 49 6" xfId="45276"/>
    <cellStyle name="Input 2 3 49 7" xfId="53647"/>
    <cellStyle name="Input 2 3 5" xfId="1345"/>
    <cellStyle name="Input 2 3 5 2" xfId="9168"/>
    <cellStyle name="Input 2 3 5 3" xfId="16596"/>
    <cellStyle name="Input 2 3 5 4" xfId="19450"/>
    <cellStyle name="Input 2 3 5 5" xfId="27681"/>
    <cellStyle name="Input 2 3 5 6" xfId="42184"/>
    <cellStyle name="Input 2 3 5 7" xfId="48468"/>
    <cellStyle name="Input 2 3 50" xfId="6829"/>
    <cellStyle name="Input 2 3 50 2" xfId="14546"/>
    <cellStyle name="Input 2 3 50 3" xfId="23539"/>
    <cellStyle name="Input 2 3 50 4" xfId="31726"/>
    <cellStyle name="Input 2 3 50 5" xfId="41001"/>
    <cellStyle name="Input 2 3 50 6" xfId="45391"/>
    <cellStyle name="Input 2 3 50 7" xfId="48953"/>
    <cellStyle name="Input 2 3 51" xfId="6942"/>
    <cellStyle name="Input 2 3 51 2" xfId="14659"/>
    <cellStyle name="Input 2 3 51 3" xfId="23652"/>
    <cellStyle name="Input 2 3 51 4" xfId="31839"/>
    <cellStyle name="Input 2 3 51 5" xfId="41109"/>
    <cellStyle name="Input 2 3 51 6" xfId="45504"/>
    <cellStyle name="Input 2 3 51 7" xfId="47038"/>
    <cellStyle name="Input 2 3 52" xfId="7054"/>
    <cellStyle name="Input 2 3 52 2" xfId="14771"/>
    <cellStyle name="Input 2 3 52 3" xfId="23764"/>
    <cellStyle name="Input 2 3 52 4" xfId="31951"/>
    <cellStyle name="Input 2 3 52 5" xfId="41215"/>
    <cellStyle name="Input 2 3 52 6" xfId="45616"/>
    <cellStyle name="Input 2 3 52 7" xfId="53949"/>
    <cellStyle name="Input 2 3 53" xfId="7236"/>
    <cellStyle name="Input 2 3 53 2" xfId="14953"/>
    <cellStyle name="Input 2 3 53 3" xfId="23946"/>
    <cellStyle name="Input 2 3 53 4" xfId="32133"/>
    <cellStyle name="Input 2 3 53 5" xfId="41391"/>
    <cellStyle name="Input 2 3 53 6" xfId="45798"/>
    <cellStyle name="Input 2 3 53 7" xfId="50080"/>
    <cellStyle name="Input 2 3 54" xfId="7407"/>
    <cellStyle name="Input 2 3 54 2" xfId="15124"/>
    <cellStyle name="Input 2 3 54 3" xfId="24117"/>
    <cellStyle name="Input 2 3 54 4" xfId="32304"/>
    <cellStyle name="Input 2 3 54 5" xfId="41556"/>
    <cellStyle name="Input 2 3 54 6" xfId="45969"/>
    <cellStyle name="Input 2 3 54 7" xfId="52800"/>
    <cellStyle name="Input 2 3 55" xfId="7451"/>
    <cellStyle name="Input 2 3 55 2" xfId="15168"/>
    <cellStyle name="Input 2 3 55 3" xfId="24161"/>
    <cellStyle name="Input 2 3 55 4" xfId="32348"/>
    <cellStyle name="Input 2 3 55 5" xfId="41598"/>
    <cellStyle name="Input 2 3 55 6" xfId="46013"/>
    <cellStyle name="Input 2 3 55 7" xfId="50774"/>
    <cellStyle name="Input 2 3 56" xfId="7572"/>
    <cellStyle name="Input 2 3 56 2" xfId="15289"/>
    <cellStyle name="Input 2 3 56 3" xfId="24282"/>
    <cellStyle name="Input 2 3 56 4" xfId="32469"/>
    <cellStyle name="Input 2 3 56 5" xfId="41713"/>
    <cellStyle name="Input 2 3 56 6" xfId="46134"/>
    <cellStyle name="Input 2 3 56 7" xfId="50008"/>
    <cellStyle name="Input 2 3 57" xfId="7848"/>
    <cellStyle name="Input 2 3 57 2" xfId="15565"/>
    <cellStyle name="Input 2 3 57 3" xfId="24552"/>
    <cellStyle name="Input 2 3 57 4" xfId="32745"/>
    <cellStyle name="Input 2 3 57 5" xfId="41978"/>
    <cellStyle name="Input 2 3 57 6" xfId="46410"/>
    <cellStyle name="Input 2 3 57 7" xfId="51140"/>
    <cellStyle name="Input 2 3 58" xfId="7981"/>
    <cellStyle name="Input 2 3 58 2" xfId="15698"/>
    <cellStyle name="Input 2 3 58 3" xfId="24683"/>
    <cellStyle name="Input 2 3 58 4" xfId="32878"/>
    <cellStyle name="Input 2 3 58 5" xfId="42104"/>
    <cellStyle name="Input 2 3 58 6" xfId="46543"/>
    <cellStyle name="Input 2 3 58 7" xfId="52092"/>
    <cellStyle name="Input 2 3 59" xfId="8058"/>
    <cellStyle name="Input 2 3 59 2" xfId="15775"/>
    <cellStyle name="Input 2 3 59 3" xfId="24760"/>
    <cellStyle name="Input 2 3 59 4" xfId="32955"/>
    <cellStyle name="Input 2 3 59 5" xfId="42180"/>
    <cellStyle name="Input 2 3 59 6" xfId="46620"/>
    <cellStyle name="Input 2 3 59 7" xfId="51048"/>
    <cellStyle name="Input 2 3 6" xfId="1468"/>
    <cellStyle name="Input 2 3 6 2" xfId="9291"/>
    <cellStyle name="Input 2 3 6 3" xfId="16719"/>
    <cellStyle name="Input 2 3 6 4" xfId="20373"/>
    <cellStyle name="Input 2 3 6 5" xfId="28688"/>
    <cellStyle name="Input 2 3 6 6" xfId="37001"/>
    <cellStyle name="Input 2 3 6 7" xfId="47690"/>
    <cellStyle name="Input 2 3 60" xfId="8124"/>
    <cellStyle name="Input 2 3 60 2" xfId="15841"/>
    <cellStyle name="Input 2 3 60 3" xfId="33021"/>
    <cellStyle name="Input 2 3 60 4" xfId="42242"/>
    <cellStyle name="Input 2 3 60 5" xfId="46686"/>
    <cellStyle name="Input 2 3 60 6" xfId="51516"/>
    <cellStyle name="Input 2 3 61" xfId="25077"/>
    <cellStyle name="Input 2 3 62" xfId="33437"/>
    <cellStyle name="Input 2 3 63" xfId="36424"/>
    <cellStyle name="Input 2 3 64" xfId="50962"/>
    <cellStyle name="Input 2 3 7" xfId="1168"/>
    <cellStyle name="Input 2 3 7 2" xfId="8991"/>
    <cellStyle name="Input 2 3 7 3" xfId="16419"/>
    <cellStyle name="Input 2 3 7 4" xfId="19770"/>
    <cellStyle name="Input 2 3 7 5" xfId="27992"/>
    <cellStyle name="Input 2 3 7 6" xfId="38191"/>
    <cellStyle name="Input 2 3 7 7" xfId="48521"/>
    <cellStyle name="Input 2 3 8" xfId="1705"/>
    <cellStyle name="Input 2 3 8 2" xfId="9528"/>
    <cellStyle name="Input 2 3 8 3" xfId="16956"/>
    <cellStyle name="Input 2 3 8 4" xfId="26398"/>
    <cellStyle name="Input 2 3 8 5" xfId="35150"/>
    <cellStyle name="Input 2 3 8 6" xfId="36658"/>
    <cellStyle name="Input 2 3 8 7" xfId="53846"/>
    <cellStyle name="Input 2 3 9" xfId="1839"/>
    <cellStyle name="Input 2 3 9 2" xfId="9662"/>
    <cellStyle name="Input 2 3 9 3" xfId="17090"/>
    <cellStyle name="Input 2 3 9 4" xfId="26685"/>
    <cellStyle name="Input 2 3 9 5" xfId="35535"/>
    <cellStyle name="Input 2 3 9 6" xfId="37472"/>
    <cellStyle name="Input 2 3 9 7" xfId="54463"/>
    <cellStyle name="Input 2 30" xfId="7401"/>
    <cellStyle name="Input 2 30 2" xfId="15118"/>
    <cellStyle name="Input 2 30 3" xfId="24111"/>
    <cellStyle name="Input 2 30 4" xfId="32298"/>
    <cellStyle name="Input 2 30 5" xfId="41550"/>
    <cellStyle name="Input 2 30 6" xfId="45963"/>
    <cellStyle name="Input 2 30 7" xfId="53254"/>
    <cellStyle name="Input 2 31" xfId="7724"/>
    <cellStyle name="Input 2 31 2" xfId="15441"/>
    <cellStyle name="Input 2 31 3" xfId="24432"/>
    <cellStyle name="Input 2 31 4" xfId="32621"/>
    <cellStyle name="Input 2 31 5" xfId="41858"/>
    <cellStyle name="Input 2 31 6" xfId="46286"/>
    <cellStyle name="Input 2 31 7" xfId="49062"/>
    <cellStyle name="Input 2 32" xfId="25794"/>
    <cellStyle name="Input 2 33" xfId="34365"/>
    <cellStyle name="Input 2 34" xfId="38069"/>
    <cellStyle name="Input 2 35" xfId="52550"/>
    <cellStyle name="Input 2 4" xfId="568"/>
    <cellStyle name="Input 2 4 10" xfId="2015"/>
    <cellStyle name="Input 2 4 10 2" xfId="9838"/>
    <cellStyle name="Input 2 4 10 3" xfId="17266"/>
    <cellStyle name="Input 2 4 10 4" xfId="25149"/>
    <cellStyle name="Input 2 4 10 5" xfId="33526"/>
    <cellStyle name="Input 2 4 10 6" xfId="41275"/>
    <cellStyle name="Input 2 4 10 7" xfId="51111"/>
    <cellStyle name="Input 2 4 11" xfId="2132"/>
    <cellStyle name="Input 2 4 11 2" xfId="9955"/>
    <cellStyle name="Input 2 4 11 3" xfId="17383"/>
    <cellStyle name="Input 2 4 11 4" xfId="25542"/>
    <cellStyle name="Input 2 4 11 5" xfId="34033"/>
    <cellStyle name="Input 2 4 11 6" xfId="36710"/>
    <cellStyle name="Input 2 4 11 7" xfId="51967"/>
    <cellStyle name="Input 2 4 12" xfId="2246"/>
    <cellStyle name="Input 2 4 12 2" xfId="10069"/>
    <cellStyle name="Input 2 4 12 3" xfId="17497"/>
    <cellStyle name="Input 2 4 12 4" xfId="26140"/>
    <cellStyle name="Input 2 4 12 5" xfId="34805"/>
    <cellStyle name="Input 2 4 12 6" xfId="40202"/>
    <cellStyle name="Input 2 4 12 7" xfId="53296"/>
    <cellStyle name="Input 2 4 13" xfId="974"/>
    <cellStyle name="Input 2 4 13 2" xfId="8798"/>
    <cellStyle name="Input 2 4 13 3" xfId="16226"/>
    <cellStyle name="Input 2 4 13 4" xfId="26196"/>
    <cellStyle name="Input 2 4 13 5" xfId="34877"/>
    <cellStyle name="Input 2 4 13 6" xfId="37576"/>
    <cellStyle name="Input 2 4 13 7" xfId="53418"/>
    <cellStyle name="Input 2 4 14" xfId="1003"/>
    <cellStyle name="Input 2 4 14 2" xfId="8827"/>
    <cellStyle name="Input 2 4 14 3" xfId="16255"/>
    <cellStyle name="Input 2 4 14 4" xfId="19062"/>
    <cellStyle name="Input 2 4 14 5" xfId="33165"/>
    <cellStyle name="Input 2 4 14 6" xfId="37473"/>
    <cellStyle name="Input 2 4 14 7" xfId="50464"/>
    <cellStyle name="Input 2 4 15" xfId="2543"/>
    <cellStyle name="Input 2 4 15 2" xfId="10366"/>
    <cellStyle name="Input 2 4 15 3" xfId="17794"/>
    <cellStyle name="Input 2 4 15 4" xfId="20277"/>
    <cellStyle name="Input 2 4 15 5" xfId="28492"/>
    <cellStyle name="Input 2 4 15 6" xfId="40835"/>
    <cellStyle name="Input 2 4 15 7" xfId="47767"/>
    <cellStyle name="Input 2 4 16" xfId="2657"/>
    <cellStyle name="Input 2 4 16 2" xfId="10480"/>
    <cellStyle name="Input 2 4 16 3" xfId="17908"/>
    <cellStyle name="Input 2 4 16 4" xfId="19959"/>
    <cellStyle name="Input 2 4 16 5" xfId="28792"/>
    <cellStyle name="Input 2 4 16 6" xfId="36880"/>
    <cellStyle name="Input 2 4 16 7" xfId="50295"/>
    <cellStyle name="Input 2 4 17" xfId="2336"/>
    <cellStyle name="Input 2 4 17 2" xfId="10159"/>
    <cellStyle name="Input 2 4 17 3" xfId="17587"/>
    <cellStyle name="Input 2 4 17 4" xfId="26142"/>
    <cellStyle name="Input 2 4 17 5" xfId="34807"/>
    <cellStyle name="Input 2 4 17 6" xfId="39921"/>
    <cellStyle name="Input 2 4 17 7" xfId="53300"/>
    <cellStyle name="Input 2 4 18" xfId="2293"/>
    <cellStyle name="Input 2 4 18 2" xfId="10116"/>
    <cellStyle name="Input 2 4 18 3" xfId="17544"/>
    <cellStyle name="Input 2 4 18 4" xfId="20675"/>
    <cellStyle name="Input 2 4 18 5" xfId="26796"/>
    <cellStyle name="Input 2 4 18 6" xfId="36653"/>
    <cellStyle name="Input 2 4 18 7" xfId="50337"/>
    <cellStyle name="Input 2 4 19" xfId="2848"/>
    <cellStyle name="Input 2 4 19 2" xfId="10671"/>
    <cellStyle name="Input 2 4 19 3" xfId="18099"/>
    <cellStyle name="Input 2 4 19 4" xfId="26424"/>
    <cellStyle name="Input 2 4 19 5" xfId="35189"/>
    <cellStyle name="Input 2 4 19 6" xfId="39743"/>
    <cellStyle name="Input 2 4 19 7" xfId="53909"/>
    <cellStyle name="Input 2 4 2" xfId="716"/>
    <cellStyle name="Input 2 4 2 2" xfId="8540"/>
    <cellStyle name="Input 2 4 2 3" xfId="15968"/>
    <cellStyle name="Input 2 4 2 4" xfId="19230"/>
    <cellStyle name="Input 2 4 2 5" xfId="27596"/>
    <cellStyle name="Input 2 4 2 6" xfId="36872"/>
    <cellStyle name="Input 2 4 2 7" xfId="47580"/>
    <cellStyle name="Input 2 4 20" xfId="2955"/>
    <cellStyle name="Input 2 4 20 2" xfId="10778"/>
    <cellStyle name="Input 2 4 20 3" xfId="18206"/>
    <cellStyle name="Input 2 4 20 4" xfId="24881"/>
    <cellStyle name="Input 2 4 20 5" xfId="33195"/>
    <cellStyle name="Input 2 4 20 6" xfId="38610"/>
    <cellStyle name="Input 2 4 20 7" xfId="50521"/>
    <cellStyle name="Input 2 4 21" xfId="3332"/>
    <cellStyle name="Input 2 4 21 2" xfId="11125"/>
    <cellStyle name="Input 2 4 21 3" xfId="18453"/>
    <cellStyle name="Input 2 4 21 4" xfId="20563"/>
    <cellStyle name="Input 2 4 21 5" xfId="28103"/>
    <cellStyle name="Input 2 4 21 6" xfId="37107"/>
    <cellStyle name="Input 2 4 21 7" xfId="48732"/>
    <cellStyle name="Input 2 4 22" xfId="3451"/>
    <cellStyle name="Input 2 4 22 2" xfId="11242"/>
    <cellStyle name="Input 2 4 22 3" xfId="18564"/>
    <cellStyle name="Input 2 4 22 4" xfId="25800"/>
    <cellStyle name="Input 2 4 22 5" xfId="34376"/>
    <cellStyle name="Input 2 4 22 6" xfId="39044"/>
    <cellStyle name="Input 2 4 22 7" xfId="52565"/>
    <cellStyle name="Input 2 4 23" xfId="3611"/>
    <cellStyle name="Input 2 4 23 2" xfId="11397"/>
    <cellStyle name="Input 2 4 23 3" xfId="18671"/>
    <cellStyle name="Input 2 4 23 4" xfId="25023"/>
    <cellStyle name="Input 2 4 23 5" xfId="33378"/>
    <cellStyle name="Input 2 4 23 6" xfId="38221"/>
    <cellStyle name="Input 2 4 23 7" xfId="50849"/>
    <cellStyle name="Input 2 4 24" xfId="3724"/>
    <cellStyle name="Input 2 4 24 2" xfId="11509"/>
    <cellStyle name="Input 2 4 24 3" xfId="18781"/>
    <cellStyle name="Input 2 4 24 4" xfId="25453"/>
    <cellStyle name="Input 2 4 24 5" xfId="33915"/>
    <cellStyle name="Input 2 4 24 6" xfId="36877"/>
    <cellStyle name="Input 2 4 24 7" xfId="51760"/>
    <cellStyle name="Input 2 4 25" xfId="3853"/>
    <cellStyle name="Input 2 4 25 2" xfId="11635"/>
    <cellStyle name="Input 2 4 25 3" xfId="18891"/>
    <cellStyle name="Input 2 4 25 4" xfId="19193"/>
    <cellStyle name="Input 2 4 25 5" xfId="26759"/>
    <cellStyle name="Input 2 4 25 6" xfId="37215"/>
    <cellStyle name="Input 2 4 25 7" xfId="49133"/>
    <cellStyle name="Input 2 4 26" xfId="3972"/>
    <cellStyle name="Input 2 4 26 2" xfId="11751"/>
    <cellStyle name="Input 2 4 26 3" xfId="19000"/>
    <cellStyle name="Input 2 4 26 4" xfId="25917"/>
    <cellStyle name="Input 2 4 26 5" xfId="34518"/>
    <cellStyle name="Input 2 4 26 6" xfId="39367"/>
    <cellStyle name="Input 2 4 26 7" xfId="52818"/>
    <cellStyle name="Input 2 4 27" xfId="3501"/>
    <cellStyle name="Input 2 4 27 2" xfId="11292"/>
    <cellStyle name="Input 2 4 27 3" xfId="20485"/>
    <cellStyle name="Input 2 4 27 4" xfId="28607"/>
    <cellStyle name="Input 2 4 27 5" xfId="37981"/>
    <cellStyle name="Input 2 4 27 6" xfId="42491"/>
    <cellStyle name="Input 2 4 27 7" xfId="48450"/>
    <cellStyle name="Input 2 4 28" xfId="4168"/>
    <cellStyle name="Input 2 4 28 2" xfId="11927"/>
    <cellStyle name="Input 2 4 28 3" xfId="20878"/>
    <cellStyle name="Input 2 4 28 4" xfId="29065"/>
    <cellStyle name="Input 2 4 28 5" xfId="38441"/>
    <cellStyle name="Input 2 4 28 6" xfId="42730"/>
    <cellStyle name="Input 2 4 28 7" xfId="50154"/>
    <cellStyle name="Input 2 4 29" xfId="3873"/>
    <cellStyle name="Input 2 4 29 2" xfId="20646"/>
    <cellStyle name="Input 2 4 29 3" xfId="28817"/>
    <cellStyle name="Input 2 4 29 4" xfId="38210"/>
    <cellStyle name="Input 2 4 29 5" xfId="42547"/>
    <cellStyle name="Input 2 4 29 6" xfId="48171"/>
    <cellStyle name="Input 2 4 3" xfId="825"/>
    <cellStyle name="Input 2 4 3 2" xfId="8649"/>
    <cellStyle name="Input 2 4 3 3" xfId="16077"/>
    <cellStyle name="Input 2 4 3 4" xfId="26208"/>
    <cellStyle name="Input 2 4 3 5" xfId="34890"/>
    <cellStyle name="Input 2 4 3 6" xfId="37275"/>
    <cellStyle name="Input 2 4 3 7" xfId="53440"/>
    <cellStyle name="Input 2 4 30" xfId="4366"/>
    <cellStyle name="Input 2 4 30 2" xfId="12083"/>
    <cellStyle name="Input 2 4 30 3" xfId="21076"/>
    <cellStyle name="Input 2 4 30 4" xfId="29263"/>
    <cellStyle name="Input 2 4 30 5" xfId="38633"/>
    <cellStyle name="Input 2 4 30 6" xfId="42928"/>
    <cellStyle name="Input 2 4 30 7" xfId="52545"/>
    <cellStyle name="Input 2 4 31" xfId="4488"/>
    <cellStyle name="Input 2 4 31 2" xfId="12205"/>
    <cellStyle name="Input 2 4 31 3" xfId="21198"/>
    <cellStyle name="Input 2 4 31 4" xfId="29385"/>
    <cellStyle name="Input 2 4 31 5" xfId="38749"/>
    <cellStyle name="Input 2 4 31 6" xfId="43050"/>
    <cellStyle name="Input 2 4 31 7" xfId="52877"/>
    <cellStyle name="Input 2 4 32" xfId="4602"/>
    <cellStyle name="Input 2 4 32 2" xfId="12319"/>
    <cellStyle name="Input 2 4 32 3" xfId="21312"/>
    <cellStyle name="Input 2 4 32 4" xfId="29499"/>
    <cellStyle name="Input 2 4 32 5" xfId="38858"/>
    <cellStyle name="Input 2 4 32 6" xfId="43164"/>
    <cellStyle name="Input 2 4 32 7" xfId="49398"/>
    <cellStyle name="Input 2 4 33" xfId="4715"/>
    <cellStyle name="Input 2 4 33 2" xfId="12432"/>
    <cellStyle name="Input 2 4 33 3" xfId="21425"/>
    <cellStyle name="Input 2 4 33 4" xfId="29612"/>
    <cellStyle name="Input 2 4 33 5" xfId="38967"/>
    <cellStyle name="Input 2 4 33 6" xfId="43277"/>
    <cellStyle name="Input 2 4 33 7" xfId="51839"/>
    <cellStyle name="Input 2 4 34" xfId="4825"/>
    <cellStyle name="Input 2 4 34 2" xfId="12542"/>
    <cellStyle name="Input 2 4 34 3" xfId="21535"/>
    <cellStyle name="Input 2 4 34 4" xfId="29722"/>
    <cellStyle name="Input 2 4 34 5" xfId="39074"/>
    <cellStyle name="Input 2 4 34 6" xfId="43387"/>
    <cellStyle name="Input 2 4 34 7" xfId="49169"/>
    <cellStyle name="Input 2 4 35" xfId="4935"/>
    <cellStyle name="Input 2 4 35 2" xfId="12652"/>
    <cellStyle name="Input 2 4 35 3" xfId="21645"/>
    <cellStyle name="Input 2 4 35 4" xfId="29832"/>
    <cellStyle name="Input 2 4 35 5" xfId="39179"/>
    <cellStyle name="Input 2 4 35 6" xfId="43497"/>
    <cellStyle name="Input 2 4 35 7" xfId="54364"/>
    <cellStyle name="Input 2 4 36" xfId="5045"/>
    <cellStyle name="Input 2 4 36 2" xfId="12762"/>
    <cellStyle name="Input 2 4 36 3" xfId="21755"/>
    <cellStyle name="Input 2 4 36 4" xfId="29942"/>
    <cellStyle name="Input 2 4 36 5" xfId="39286"/>
    <cellStyle name="Input 2 4 36 6" xfId="43607"/>
    <cellStyle name="Input 2 4 36 7" xfId="49392"/>
    <cellStyle name="Input 2 4 37" xfId="5425"/>
    <cellStyle name="Input 2 4 37 2" xfId="13142"/>
    <cellStyle name="Input 2 4 37 3" xfId="22135"/>
    <cellStyle name="Input 2 4 37 4" xfId="30322"/>
    <cellStyle name="Input 2 4 37 5" xfId="39651"/>
    <cellStyle name="Input 2 4 37 6" xfId="43987"/>
    <cellStyle name="Input 2 4 37 7" xfId="48831"/>
    <cellStyle name="Input 2 4 38" xfId="5545"/>
    <cellStyle name="Input 2 4 38 2" xfId="13262"/>
    <cellStyle name="Input 2 4 38 3" xfId="22255"/>
    <cellStyle name="Input 2 4 38 4" xfId="30442"/>
    <cellStyle name="Input 2 4 38 5" xfId="39765"/>
    <cellStyle name="Input 2 4 38 6" xfId="44107"/>
    <cellStyle name="Input 2 4 38 7" xfId="47181"/>
    <cellStyle name="Input 2 4 39" xfId="5669"/>
    <cellStyle name="Input 2 4 39 2" xfId="13386"/>
    <cellStyle name="Input 2 4 39 3" xfId="22379"/>
    <cellStyle name="Input 2 4 39 4" xfId="30566"/>
    <cellStyle name="Input 2 4 39 5" xfId="39886"/>
    <cellStyle name="Input 2 4 39 6" xfId="44231"/>
    <cellStyle name="Input 2 4 39 7" xfId="47102"/>
    <cellStyle name="Input 2 4 4" xfId="935"/>
    <cellStyle name="Input 2 4 4 2" xfId="8759"/>
    <cellStyle name="Input 2 4 4 3" xfId="16187"/>
    <cellStyle name="Input 2 4 4 4" xfId="24826"/>
    <cellStyle name="Input 2 4 4 5" xfId="27886"/>
    <cellStyle name="Input 2 4 4 6" xfId="36524"/>
    <cellStyle name="Input 2 4 4 7" xfId="50307"/>
    <cellStyle name="Input 2 4 40" xfId="5785"/>
    <cellStyle name="Input 2 4 40 2" xfId="13502"/>
    <cellStyle name="Input 2 4 40 3" xfId="22495"/>
    <cellStyle name="Input 2 4 40 4" xfId="30682"/>
    <cellStyle name="Input 2 4 40 5" xfId="39998"/>
    <cellStyle name="Input 2 4 40 6" xfId="44347"/>
    <cellStyle name="Input 2 4 40 7" xfId="47269"/>
    <cellStyle name="Input 2 4 41" xfId="5902"/>
    <cellStyle name="Input 2 4 41 2" xfId="13619"/>
    <cellStyle name="Input 2 4 41 3" xfId="22612"/>
    <cellStyle name="Input 2 4 41 4" xfId="30799"/>
    <cellStyle name="Input 2 4 41 5" xfId="40112"/>
    <cellStyle name="Input 2 4 41 6" xfId="44464"/>
    <cellStyle name="Input 2 4 41 7" xfId="49006"/>
    <cellStyle name="Input 2 4 42" xfId="6030"/>
    <cellStyle name="Input 2 4 42 2" xfId="13747"/>
    <cellStyle name="Input 2 4 42 3" xfId="22740"/>
    <cellStyle name="Input 2 4 42 4" xfId="30927"/>
    <cellStyle name="Input 2 4 42 5" xfId="40235"/>
    <cellStyle name="Input 2 4 42 6" xfId="44592"/>
    <cellStyle name="Input 2 4 42 7" xfId="51252"/>
    <cellStyle name="Input 2 4 43" xfId="6157"/>
    <cellStyle name="Input 2 4 43 2" xfId="13874"/>
    <cellStyle name="Input 2 4 43 3" xfId="22867"/>
    <cellStyle name="Input 2 4 43 4" xfId="31054"/>
    <cellStyle name="Input 2 4 43 5" xfId="40355"/>
    <cellStyle name="Input 2 4 43 6" xfId="44719"/>
    <cellStyle name="Input 2 4 43 7" xfId="52745"/>
    <cellStyle name="Input 2 4 44" xfId="6286"/>
    <cellStyle name="Input 2 4 44 2" xfId="14003"/>
    <cellStyle name="Input 2 4 44 3" xfId="22996"/>
    <cellStyle name="Input 2 4 44 4" xfId="31183"/>
    <cellStyle name="Input 2 4 44 5" xfId="40483"/>
    <cellStyle name="Input 2 4 44 6" xfId="44848"/>
    <cellStyle name="Input 2 4 44 7" xfId="47707"/>
    <cellStyle name="Input 2 4 45" xfId="6401"/>
    <cellStyle name="Input 2 4 45 2" xfId="14118"/>
    <cellStyle name="Input 2 4 45 3" xfId="23111"/>
    <cellStyle name="Input 2 4 45 4" xfId="31298"/>
    <cellStyle name="Input 2 4 45 5" xfId="40594"/>
    <cellStyle name="Input 2 4 45 6" xfId="44963"/>
    <cellStyle name="Input 2 4 45 7" xfId="47450"/>
    <cellStyle name="Input 2 4 46" xfId="6513"/>
    <cellStyle name="Input 2 4 46 2" xfId="14230"/>
    <cellStyle name="Input 2 4 46 3" xfId="23223"/>
    <cellStyle name="Input 2 4 46 4" xfId="31410"/>
    <cellStyle name="Input 2 4 46 5" xfId="40702"/>
    <cellStyle name="Input 2 4 46 6" xfId="45075"/>
    <cellStyle name="Input 2 4 46 7" xfId="51702"/>
    <cellStyle name="Input 2 4 47" xfId="6242"/>
    <cellStyle name="Input 2 4 47 2" xfId="13959"/>
    <cellStyle name="Input 2 4 47 3" xfId="22952"/>
    <cellStyle name="Input 2 4 47 4" xfId="31139"/>
    <cellStyle name="Input 2 4 47 5" xfId="40440"/>
    <cellStyle name="Input 2 4 47 6" xfId="44804"/>
    <cellStyle name="Input 2 4 47 7" xfId="50987"/>
    <cellStyle name="Input 2 4 48" xfId="6660"/>
    <cellStyle name="Input 2 4 48 2" xfId="14377"/>
    <cellStyle name="Input 2 4 48 3" xfId="23370"/>
    <cellStyle name="Input 2 4 48 4" xfId="31557"/>
    <cellStyle name="Input 2 4 48 5" xfId="40841"/>
    <cellStyle name="Input 2 4 48 6" xfId="45222"/>
    <cellStyle name="Input 2 4 48 7" xfId="47669"/>
    <cellStyle name="Input 2 4 49" xfId="6771"/>
    <cellStyle name="Input 2 4 49 2" xfId="14488"/>
    <cellStyle name="Input 2 4 49 3" xfId="23481"/>
    <cellStyle name="Input 2 4 49 4" xfId="31668"/>
    <cellStyle name="Input 2 4 49 5" xfId="40947"/>
    <cellStyle name="Input 2 4 49 6" xfId="45333"/>
    <cellStyle name="Input 2 4 49 7" xfId="48053"/>
    <cellStyle name="Input 2 4 5" xfId="1403"/>
    <cellStyle name="Input 2 4 5 2" xfId="9226"/>
    <cellStyle name="Input 2 4 5 3" xfId="16654"/>
    <cellStyle name="Input 2 4 5 4" xfId="19947"/>
    <cellStyle name="Input 2 4 5 5" xfId="27266"/>
    <cellStyle name="Input 2 4 5 6" xfId="36317"/>
    <cellStyle name="Input 2 4 5 7" xfId="49448"/>
    <cellStyle name="Input 2 4 50" xfId="6886"/>
    <cellStyle name="Input 2 4 50 2" xfId="14603"/>
    <cellStyle name="Input 2 4 50 3" xfId="23596"/>
    <cellStyle name="Input 2 4 50 4" xfId="31783"/>
    <cellStyle name="Input 2 4 50 5" xfId="41055"/>
    <cellStyle name="Input 2 4 50 6" xfId="45448"/>
    <cellStyle name="Input 2 4 50 7" xfId="46923"/>
    <cellStyle name="Input 2 4 51" xfId="6999"/>
    <cellStyle name="Input 2 4 51 2" xfId="14716"/>
    <cellStyle name="Input 2 4 51 3" xfId="23709"/>
    <cellStyle name="Input 2 4 51 4" xfId="31896"/>
    <cellStyle name="Input 2 4 51 5" xfId="41163"/>
    <cellStyle name="Input 2 4 51 6" xfId="45561"/>
    <cellStyle name="Input 2 4 51 7" xfId="47222"/>
    <cellStyle name="Input 2 4 52" xfId="7109"/>
    <cellStyle name="Input 2 4 52 2" xfId="14826"/>
    <cellStyle name="Input 2 4 52 3" xfId="23819"/>
    <cellStyle name="Input 2 4 52 4" xfId="32006"/>
    <cellStyle name="Input 2 4 52 5" xfId="41268"/>
    <cellStyle name="Input 2 4 52 6" xfId="45671"/>
    <cellStyle name="Input 2 4 52 7" xfId="54497"/>
    <cellStyle name="Input 2 4 53" xfId="7169"/>
    <cellStyle name="Input 2 4 53 2" xfId="14886"/>
    <cellStyle name="Input 2 4 53 3" xfId="23879"/>
    <cellStyle name="Input 2 4 53 4" xfId="32066"/>
    <cellStyle name="Input 2 4 53 5" xfId="41328"/>
    <cellStyle name="Input 2 4 53 6" xfId="45731"/>
    <cellStyle name="Input 2 4 53 7" xfId="48373"/>
    <cellStyle name="Input 2 4 54" xfId="7262"/>
    <cellStyle name="Input 2 4 54 2" xfId="14979"/>
    <cellStyle name="Input 2 4 54 3" xfId="23972"/>
    <cellStyle name="Input 2 4 54 4" xfId="32159"/>
    <cellStyle name="Input 2 4 54 5" xfId="41415"/>
    <cellStyle name="Input 2 4 54 6" xfId="45824"/>
    <cellStyle name="Input 2 4 54 7" xfId="48120"/>
    <cellStyle name="Input 2 4 55" xfId="7506"/>
    <cellStyle name="Input 2 4 55 2" xfId="15223"/>
    <cellStyle name="Input 2 4 55 3" xfId="24216"/>
    <cellStyle name="Input 2 4 55 4" xfId="32403"/>
    <cellStyle name="Input 2 4 55 5" xfId="41650"/>
    <cellStyle name="Input 2 4 55 6" xfId="46068"/>
    <cellStyle name="Input 2 4 55 7" xfId="49459"/>
    <cellStyle name="Input 2 4 56" xfId="7627"/>
    <cellStyle name="Input 2 4 56 2" xfId="15344"/>
    <cellStyle name="Input 2 4 56 3" xfId="24337"/>
    <cellStyle name="Input 2 4 56 4" xfId="32524"/>
    <cellStyle name="Input 2 4 56 5" xfId="41766"/>
    <cellStyle name="Input 2 4 56 6" xfId="46189"/>
    <cellStyle name="Input 2 4 56 7" xfId="53241"/>
    <cellStyle name="Input 2 4 57" xfId="7904"/>
    <cellStyle name="Input 2 4 57 2" xfId="15621"/>
    <cellStyle name="Input 2 4 57 3" xfId="24608"/>
    <cellStyle name="Input 2 4 57 4" xfId="32801"/>
    <cellStyle name="Input 2 4 57 5" xfId="42032"/>
    <cellStyle name="Input 2 4 57 6" xfId="46466"/>
    <cellStyle name="Input 2 4 57 7" xfId="52810"/>
    <cellStyle name="Input 2 4 58" xfId="8032"/>
    <cellStyle name="Input 2 4 58 2" xfId="15749"/>
    <cellStyle name="Input 2 4 58 3" xfId="24734"/>
    <cellStyle name="Input 2 4 58 4" xfId="32929"/>
    <cellStyle name="Input 2 4 58 5" xfId="42154"/>
    <cellStyle name="Input 2 4 58 6" xfId="46594"/>
    <cellStyle name="Input 2 4 58 7" xfId="53893"/>
    <cellStyle name="Input 2 4 59" xfId="7690"/>
    <cellStyle name="Input 2 4 59 2" xfId="15407"/>
    <cellStyle name="Input 2 4 59 3" xfId="24398"/>
    <cellStyle name="Input 2 4 59 4" xfId="32587"/>
    <cellStyle name="Input 2 4 59 5" xfId="41825"/>
    <cellStyle name="Input 2 4 59 6" xfId="46252"/>
    <cellStyle name="Input 2 4 59 7" xfId="53072"/>
    <cellStyle name="Input 2 4 6" xfId="1526"/>
    <cellStyle name="Input 2 4 6 2" xfId="9349"/>
    <cellStyle name="Input 2 4 6 3" xfId="16777"/>
    <cellStyle name="Input 2 4 6 4" xfId="20130"/>
    <cellStyle name="Input 2 4 6 5" xfId="28793"/>
    <cellStyle name="Input 2 4 6 6" xfId="38472"/>
    <cellStyle name="Input 2 4 6 7" xfId="49416"/>
    <cellStyle name="Input 2 4 60" xfId="8179"/>
    <cellStyle name="Input 2 4 60 2" xfId="15896"/>
    <cellStyle name="Input 2 4 60 3" xfId="33076"/>
    <cellStyle name="Input 2 4 60 4" xfId="42295"/>
    <cellStyle name="Input 2 4 60 5" xfId="46741"/>
    <cellStyle name="Input 2 4 60 6" xfId="46877"/>
    <cellStyle name="Input 2 4 61" xfId="25758"/>
    <cellStyle name="Input 2 4 62" xfId="34311"/>
    <cellStyle name="Input 2 4 63" xfId="36254"/>
    <cellStyle name="Input 2 4 64" xfId="52445"/>
    <cellStyle name="Input 2 4 7" xfId="1114"/>
    <cellStyle name="Input 2 4 7 2" xfId="8938"/>
    <cellStyle name="Input 2 4 7 3" xfId="16366"/>
    <cellStyle name="Input 2 4 7 4" xfId="26200"/>
    <cellStyle name="Input 2 4 7 5" xfId="34881"/>
    <cellStyle name="Input 2 4 7 6" xfId="36592"/>
    <cellStyle name="Input 2 4 7 7" xfId="53426"/>
    <cellStyle name="Input 2 4 8" xfId="1763"/>
    <cellStyle name="Input 2 4 8 2" xfId="9586"/>
    <cellStyle name="Input 2 4 8 3" xfId="17014"/>
    <cellStyle name="Input 2 4 8 4" xfId="20552"/>
    <cellStyle name="Input 2 4 8 5" xfId="28669"/>
    <cellStyle name="Input 2 4 8 6" xfId="37723"/>
    <cellStyle name="Input 2 4 8 7" xfId="49682"/>
    <cellStyle name="Input 2 4 9" xfId="1896"/>
    <cellStyle name="Input 2 4 9 2" xfId="9719"/>
    <cellStyle name="Input 2 4 9 3" xfId="17147"/>
    <cellStyle name="Input 2 4 9 4" xfId="19217"/>
    <cellStyle name="Input 2 4 9 5" xfId="27080"/>
    <cellStyle name="Input 2 4 9 6" xfId="37858"/>
    <cellStyle name="Input 2 4 9 7" xfId="48965"/>
    <cellStyle name="Input 2 5" xfId="584"/>
    <cellStyle name="Input 2 5 10" xfId="2030"/>
    <cellStyle name="Input 2 5 10 2" xfId="9853"/>
    <cellStyle name="Input 2 5 10 3" xfId="17281"/>
    <cellStyle name="Input 2 5 10 4" xfId="19920"/>
    <cellStyle name="Input 2 5 10 5" xfId="27239"/>
    <cellStyle name="Input 2 5 10 6" xfId="39893"/>
    <cellStyle name="Input 2 5 10 7" xfId="49449"/>
    <cellStyle name="Input 2 5 11" xfId="2147"/>
    <cellStyle name="Input 2 5 11 2" xfId="9970"/>
    <cellStyle name="Input 2 5 11 3" xfId="17398"/>
    <cellStyle name="Input 2 5 11 4" xfId="19697"/>
    <cellStyle name="Input 2 5 11 5" xfId="27009"/>
    <cellStyle name="Input 2 5 11 6" xfId="37803"/>
    <cellStyle name="Input 2 5 11 7" xfId="50248"/>
    <cellStyle name="Input 2 5 12" xfId="2261"/>
    <cellStyle name="Input 2 5 12 2" xfId="10084"/>
    <cellStyle name="Input 2 5 12 3" xfId="17512"/>
    <cellStyle name="Input 2 5 12 4" xfId="26457"/>
    <cellStyle name="Input 2 5 12 5" xfId="35233"/>
    <cellStyle name="Input 2 5 12 6" xfId="36474"/>
    <cellStyle name="Input 2 5 12 7" xfId="53976"/>
    <cellStyle name="Input 2 5 13" xfId="1656"/>
    <cellStyle name="Input 2 5 13 2" xfId="9479"/>
    <cellStyle name="Input 2 5 13 3" xfId="16907"/>
    <cellStyle name="Input 2 5 13 4" xfId="25338"/>
    <cellStyle name="Input 2 5 13 5" xfId="33769"/>
    <cellStyle name="Input 2 5 13 6" xfId="39800"/>
    <cellStyle name="Input 2 5 13 7" xfId="51506"/>
    <cellStyle name="Input 2 5 14" xfId="1008"/>
    <cellStyle name="Input 2 5 14 2" xfId="8832"/>
    <cellStyle name="Input 2 5 14 3" xfId="16260"/>
    <cellStyle name="Input 2 5 14 4" xfId="19131"/>
    <cellStyle name="Input 2 5 14 5" xfId="26868"/>
    <cellStyle name="Input 2 5 14 6" xfId="37183"/>
    <cellStyle name="Input 2 5 14 7" xfId="49862"/>
    <cellStyle name="Input 2 5 15" xfId="2559"/>
    <cellStyle name="Input 2 5 15 2" xfId="10382"/>
    <cellStyle name="Input 2 5 15 3" xfId="17810"/>
    <cellStyle name="Input 2 5 15 4" xfId="26396"/>
    <cellStyle name="Input 2 5 15 5" xfId="35147"/>
    <cellStyle name="Input 2 5 15 6" xfId="39173"/>
    <cellStyle name="Input 2 5 15 7" xfId="53841"/>
    <cellStyle name="Input 2 5 16" xfId="2673"/>
    <cellStyle name="Input 2 5 16 2" xfId="10496"/>
    <cellStyle name="Input 2 5 16 3" xfId="17924"/>
    <cellStyle name="Input 2 5 16 4" xfId="19641"/>
    <cellStyle name="Input 2 5 16 5" xfId="27119"/>
    <cellStyle name="Input 2 5 16 6" xfId="36933"/>
    <cellStyle name="Input 2 5 16 7" xfId="48671"/>
    <cellStyle name="Input 2 5 17" xfId="1156"/>
    <cellStyle name="Input 2 5 17 2" xfId="8979"/>
    <cellStyle name="Input 2 5 17 3" xfId="16407"/>
    <cellStyle name="Input 2 5 17 4" xfId="19793"/>
    <cellStyle name="Input 2 5 17 5" xfId="27125"/>
    <cellStyle name="Input 2 5 17 6" xfId="39270"/>
    <cellStyle name="Input 2 5 17 7" xfId="47998"/>
    <cellStyle name="Input 2 5 18" xfId="1228"/>
    <cellStyle name="Input 2 5 18 2" xfId="9051"/>
    <cellStyle name="Input 2 5 18 3" xfId="16479"/>
    <cellStyle name="Input 2 5 18 4" xfId="20643"/>
    <cellStyle name="Input 2 5 18 5" xfId="27820"/>
    <cellStyle name="Input 2 5 18 6" xfId="38435"/>
    <cellStyle name="Input 2 5 18 7" xfId="48864"/>
    <cellStyle name="Input 2 5 19" xfId="2862"/>
    <cellStyle name="Input 2 5 19 2" xfId="10685"/>
    <cellStyle name="Input 2 5 19 3" xfId="18113"/>
    <cellStyle name="Input 2 5 19 4" xfId="25414"/>
    <cellStyle name="Input 2 5 19 5" xfId="33870"/>
    <cellStyle name="Input 2 5 19 6" xfId="38186"/>
    <cellStyle name="Input 2 5 19 7" xfId="51678"/>
    <cellStyle name="Input 2 5 2" xfId="730"/>
    <cellStyle name="Input 2 5 2 2" xfId="8554"/>
    <cellStyle name="Input 2 5 2 3" xfId="15982"/>
    <cellStyle name="Input 2 5 2 4" xfId="24894"/>
    <cellStyle name="Input 2 5 2 5" xfId="33210"/>
    <cellStyle name="Input 2 5 2 6" xfId="36607"/>
    <cellStyle name="Input 2 5 2 7" xfId="50549"/>
    <cellStyle name="Input 2 5 20" xfId="2969"/>
    <cellStyle name="Input 2 5 20 2" xfId="10792"/>
    <cellStyle name="Input 2 5 20 3" xfId="18220"/>
    <cellStyle name="Input 2 5 20 4" xfId="19667"/>
    <cellStyle name="Input 2 5 20 5" xfId="28771"/>
    <cellStyle name="Input 2 5 20 6" xfId="37554"/>
    <cellStyle name="Input 2 5 20 7" xfId="48929"/>
    <cellStyle name="Input 2 5 21" xfId="3348"/>
    <cellStyle name="Input 2 5 21 2" xfId="11141"/>
    <cellStyle name="Input 2 5 21 3" xfId="18468"/>
    <cellStyle name="Input 2 5 21 4" xfId="26530"/>
    <cellStyle name="Input 2 5 21 5" xfId="35330"/>
    <cellStyle name="Input 2 5 21 6" xfId="41882"/>
    <cellStyle name="Input 2 5 21 7" xfId="54136"/>
    <cellStyle name="Input 2 5 22" xfId="3467"/>
    <cellStyle name="Input 2 5 22 2" xfId="11258"/>
    <cellStyle name="Input 2 5 22 3" xfId="18578"/>
    <cellStyle name="Input 2 5 22 4" xfId="19611"/>
    <cellStyle name="Input 2 5 22 5" xfId="27346"/>
    <cellStyle name="Input 2 5 22 6" xfId="37604"/>
    <cellStyle name="Input 2 5 22 7" xfId="47560"/>
    <cellStyle name="Input 2 5 23" xfId="3625"/>
    <cellStyle name="Input 2 5 23 2" xfId="11411"/>
    <cellStyle name="Input 2 5 23 3" xfId="18685"/>
    <cellStyle name="Input 2 5 23 4" xfId="20597"/>
    <cellStyle name="Input 2 5 23 5" xfId="27556"/>
    <cellStyle name="Input 2 5 23 6" xfId="36583"/>
    <cellStyle name="Input 2 5 23 7" xfId="49410"/>
    <cellStyle name="Input 2 5 24" xfId="3740"/>
    <cellStyle name="Input 2 5 24 2" xfId="11525"/>
    <cellStyle name="Input 2 5 24 3" xfId="18795"/>
    <cellStyle name="Input 2 5 24 4" xfId="26486"/>
    <cellStyle name="Input 2 5 24 5" xfId="35275"/>
    <cellStyle name="Input 2 5 24 6" xfId="36756"/>
    <cellStyle name="Input 2 5 24 7" xfId="54048"/>
    <cellStyle name="Input 2 5 25" xfId="3868"/>
    <cellStyle name="Input 2 5 25 2" xfId="11650"/>
    <cellStyle name="Input 2 5 25 3" xfId="18905"/>
    <cellStyle name="Input 2 5 25 4" xfId="19331"/>
    <cellStyle name="Input 2 5 25 5" xfId="28193"/>
    <cellStyle name="Input 2 5 25 6" xfId="37006"/>
    <cellStyle name="Input 2 5 25 7" xfId="48323"/>
    <cellStyle name="Input 2 5 26" xfId="3987"/>
    <cellStyle name="Input 2 5 26 2" xfId="11766"/>
    <cellStyle name="Input 2 5 26 3" xfId="19014"/>
    <cellStyle name="Input 2 5 26 4" xfId="25155"/>
    <cellStyle name="Input 2 5 26 5" xfId="33532"/>
    <cellStyle name="Input 2 5 26 6" xfId="37752"/>
    <cellStyle name="Input 2 5 26 7" xfId="51123"/>
    <cellStyle name="Input 2 5 27" xfId="3052"/>
    <cellStyle name="Input 2 5 27 2" xfId="10864"/>
    <cellStyle name="Input 2 5 27 3" xfId="20218"/>
    <cellStyle name="Input 2 5 27 4" xfId="28310"/>
    <cellStyle name="Input 2 5 27 5" xfId="37690"/>
    <cellStyle name="Input 2 5 27 6" xfId="42375"/>
    <cellStyle name="Input 2 5 27 7" xfId="47686"/>
    <cellStyle name="Input 2 5 28" xfId="4183"/>
    <cellStyle name="Input 2 5 28 2" xfId="11942"/>
    <cellStyle name="Input 2 5 28 3" xfId="20893"/>
    <cellStyle name="Input 2 5 28 4" xfId="29080"/>
    <cellStyle name="Input 2 5 28 5" xfId="38456"/>
    <cellStyle name="Input 2 5 28 6" xfId="42745"/>
    <cellStyle name="Input 2 5 28 7" xfId="53476"/>
    <cellStyle name="Input 2 5 29" xfId="4254"/>
    <cellStyle name="Input 2 5 29 2" xfId="20964"/>
    <cellStyle name="Input 2 5 29 3" xfId="29151"/>
    <cellStyle name="Input 2 5 29 4" xfId="38524"/>
    <cellStyle name="Input 2 5 29 5" xfId="42816"/>
    <cellStyle name="Input 2 5 29 6" xfId="53701"/>
    <cellStyle name="Input 2 5 3" xfId="839"/>
    <cellStyle name="Input 2 5 3 2" xfId="8663"/>
    <cellStyle name="Input 2 5 3 3" xfId="16091"/>
    <cellStyle name="Input 2 5 3 4" xfId="20435"/>
    <cellStyle name="Input 2 5 3 5" xfId="28728"/>
    <cellStyle name="Input 2 5 3 6" xfId="36654"/>
    <cellStyle name="Input 2 5 3 7" xfId="47611"/>
    <cellStyle name="Input 2 5 30" xfId="4382"/>
    <cellStyle name="Input 2 5 30 2" xfId="12099"/>
    <cellStyle name="Input 2 5 30 3" xfId="21092"/>
    <cellStyle name="Input 2 5 30 4" xfId="29279"/>
    <cellStyle name="Input 2 5 30 5" xfId="38649"/>
    <cellStyle name="Input 2 5 30 6" xfId="42944"/>
    <cellStyle name="Input 2 5 30 7" xfId="47532"/>
    <cellStyle name="Input 2 5 31" xfId="4502"/>
    <cellStyle name="Input 2 5 31 2" xfId="12219"/>
    <cellStyle name="Input 2 5 31 3" xfId="21212"/>
    <cellStyle name="Input 2 5 31 4" xfId="29399"/>
    <cellStyle name="Input 2 5 31 5" xfId="38763"/>
    <cellStyle name="Input 2 5 31 6" xfId="43064"/>
    <cellStyle name="Input 2 5 31 7" xfId="51291"/>
    <cellStyle name="Input 2 5 32" xfId="4616"/>
    <cellStyle name="Input 2 5 32 2" xfId="12333"/>
    <cellStyle name="Input 2 5 32 3" xfId="21326"/>
    <cellStyle name="Input 2 5 32 4" xfId="29513"/>
    <cellStyle name="Input 2 5 32 5" xfId="38872"/>
    <cellStyle name="Input 2 5 32 6" xfId="43178"/>
    <cellStyle name="Input 2 5 32 7" xfId="52380"/>
    <cellStyle name="Input 2 5 33" xfId="4729"/>
    <cellStyle name="Input 2 5 33 2" xfId="12446"/>
    <cellStyle name="Input 2 5 33 3" xfId="21439"/>
    <cellStyle name="Input 2 5 33 4" xfId="29626"/>
    <cellStyle name="Input 2 5 33 5" xfId="38981"/>
    <cellStyle name="Input 2 5 33 6" xfId="43291"/>
    <cellStyle name="Input 2 5 33 7" xfId="51434"/>
    <cellStyle name="Input 2 5 34" xfId="4839"/>
    <cellStyle name="Input 2 5 34 2" xfId="12556"/>
    <cellStyle name="Input 2 5 34 3" xfId="21549"/>
    <cellStyle name="Input 2 5 34 4" xfId="29736"/>
    <cellStyle name="Input 2 5 34 5" xfId="39087"/>
    <cellStyle name="Input 2 5 34 6" xfId="43401"/>
    <cellStyle name="Input 2 5 34 7" xfId="49041"/>
    <cellStyle name="Input 2 5 35" xfId="4949"/>
    <cellStyle name="Input 2 5 35 2" xfId="12666"/>
    <cellStyle name="Input 2 5 35 3" xfId="21659"/>
    <cellStyle name="Input 2 5 35 4" xfId="29846"/>
    <cellStyle name="Input 2 5 35 5" xfId="39193"/>
    <cellStyle name="Input 2 5 35 6" xfId="43511"/>
    <cellStyle name="Input 2 5 35 7" xfId="51672"/>
    <cellStyle name="Input 2 5 36" xfId="5059"/>
    <cellStyle name="Input 2 5 36 2" xfId="12776"/>
    <cellStyle name="Input 2 5 36 3" xfId="21769"/>
    <cellStyle name="Input 2 5 36 4" xfId="29956"/>
    <cellStyle name="Input 2 5 36 5" xfId="39299"/>
    <cellStyle name="Input 2 5 36 6" xfId="43621"/>
    <cellStyle name="Input 2 5 36 7" xfId="53764"/>
    <cellStyle name="Input 2 5 37" xfId="5440"/>
    <cellStyle name="Input 2 5 37 2" xfId="13157"/>
    <cellStyle name="Input 2 5 37 3" xfId="22150"/>
    <cellStyle name="Input 2 5 37 4" xfId="30337"/>
    <cellStyle name="Input 2 5 37 5" xfId="39666"/>
    <cellStyle name="Input 2 5 37 6" xfId="44002"/>
    <cellStyle name="Input 2 5 37 7" xfId="48411"/>
    <cellStyle name="Input 2 5 38" xfId="5559"/>
    <cellStyle name="Input 2 5 38 2" xfId="13276"/>
    <cellStyle name="Input 2 5 38 3" xfId="22269"/>
    <cellStyle name="Input 2 5 38 4" xfId="30456"/>
    <cellStyle name="Input 2 5 38 5" xfId="39779"/>
    <cellStyle name="Input 2 5 38 6" xfId="44121"/>
    <cellStyle name="Input 2 5 38 7" xfId="47212"/>
    <cellStyle name="Input 2 5 39" xfId="5685"/>
    <cellStyle name="Input 2 5 39 2" xfId="13402"/>
    <cellStyle name="Input 2 5 39 3" xfId="22395"/>
    <cellStyle name="Input 2 5 39 4" xfId="30582"/>
    <cellStyle name="Input 2 5 39 5" xfId="39900"/>
    <cellStyle name="Input 2 5 39 6" xfId="44247"/>
    <cellStyle name="Input 2 5 39 7" xfId="47091"/>
    <cellStyle name="Input 2 5 4" xfId="949"/>
    <cellStyle name="Input 2 5 4 2" xfId="8773"/>
    <cellStyle name="Input 2 5 4 3" xfId="16201"/>
    <cellStyle name="Input 2 5 4 4" xfId="20524"/>
    <cellStyle name="Input 2 5 4 5" xfId="27059"/>
    <cellStyle name="Input 2 5 4 6" xfId="37375"/>
    <cellStyle name="Input 2 5 4 7" xfId="48792"/>
    <cellStyle name="Input 2 5 40" xfId="5799"/>
    <cellStyle name="Input 2 5 40 2" xfId="13516"/>
    <cellStyle name="Input 2 5 40 3" xfId="22509"/>
    <cellStyle name="Input 2 5 40 4" xfId="30696"/>
    <cellStyle name="Input 2 5 40 5" xfId="40011"/>
    <cellStyle name="Input 2 5 40 6" xfId="44361"/>
    <cellStyle name="Input 2 5 40 7" xfId="53386"/>
    <cellStyle name="Input 2 5 41" xfId="5918"/>
    <cellStyle name="Input 2 5 41 2" xfId="13635"/>
    <cellStyle name="Input 2 5 41 3" xfId="22628"/>
    <cellStyle name="Input 2 5 41 4" xfId="30815"/>
    <cellStyle name="Input 2 5 41 5" xfId="40127"/>
    <cellStyle name="Input 2 5 41 6" xfId="44480"/>
    <cellStyle name="Input 2 5 41 7" xfId="47365"/>
    <cellStyle name="Input 2 5 42" xfId="6044"/>
    <cellStyle name="Input 2 5 42 2" xfId="13761"/>
    <cellStyle name="Input 2 5 42 3" xfId="22754"/>
    <cellStyle name="Input 2 5 42 4" xfId="30941"/>
    <cellStyle name="Input 2 5 42 5" xfId="40248"/>
    <cellStyle name="Input 2 5 42 6" xfId="44606"/>
    <cellStyle name="Input 2 5 42 7" xfId="49581"/>
    <cellStyle name="Input 2 5 43" xfId="6172"/>
    <cellStyle name="Input 2 5 43 2" xfId="13889"/>
    <cellStyle name="Input 2 5 43 3" xfId="22882"/>
    <cellStyle name="Input 2 5 43 4" xfId="31069"/>
    <cellStyle name="Input 2 5 43 5" xfId="40370"/>
    <cellStyle name="Input 2 5 43 6" xfId="44734"/>
    <cellStyle name="Input 2 5 43 7" xfId="50940"/>
    <cellStyle name="Input 2 5 44" xfId="6301"/>
    <cellStyle name="Input 2 5 44 2" xfId="14018"/>
    <cellStyle name="Input 2 5 44 3" xfId="23011"/>
    <cellStyle name="Input 2 5 44 4" xfId="31198"/>
    <cellStyle name="Input 2 5 44 5" xfId="40498"/>
    <cellStyle name="Input 2 5 44 6" xfId="44863"/>
    <cellStyle name="Input 2 5 44 7" xfId="53984"/>
    <cellStyle name="Input 2 5 45" xfId="6416"/>
    <cellStyle name="Input 2 5 45 2" xfId="14133"/>
    <cellStyle name="Input 2 5 45 3" xfId="23126"/>
    <cellStyle name="Input 2 5 45 4" xfId="31313"/>
    <cellStyle name="Input 2 5 45 5" xfId="40608"/>
    <cellStyle name="Input 2 5 45 6" xfId="44978"/>
    <cellStyle name="Input 2 5 45 7" xfId="48383"/>
    <cellStyle name="Input 2 5 46" xfId="6528"/>
    <cellStyle name="Input 2 5 46 2" xfId="14245"/>
    <cellStyle name="Input 2 5 46 3" xfId="23238"/>
    <cellStyle name="Input 2 5 46 4" xfId="31425"/>
    <cellStyle name="Input 2 5 46 5" xfId="40716"/>
    <cellStyle name="Input 2 5 46 6" xfId="45090"/>
    <cellStyle name="Input 2 5 46 7" xfId="51044"/>
    <cellStyle name="Input 2 5 47" xfId="6132"/>
    <cellStyle name="Input 2 5 47 2" xfId="13849"/>
    <cellStyle name="Input 2 5 47 3" xfId="22842"/>
    <cellStyle name="Input 2 5 47 4" xfId="31029"/>
    <cellStyle name="Input 2 5 47 5" xfId="40330"/>
    <cellStyle name="Input 2 5 47 6" xfId="44694"/>
    <cellStyle name="Input 2 5 47 7" xfId="50745"/>
    <cellStyle name="Input 2 5 48" xfId="6674"/>
    <cellStyle name="Input 2 5 48 2" xfId="14391"/>
    <cellStyle name="Input 2 5 48 3" xfId="23384"/>
    <cellStyle name="Input 2 5 48 4" xfId="31571"/>
    <cellStyle name="Input 2 5 48 5" xfId="40855"/>
    <cellStyle name="Input 2 5 48 6" xfId="45236"/>
    <cellStyle name="Input 2 5 48 7" xfId="49787"/>
    <cellStyle name="Input 2 5 49" xfId="6786"/>
    <cellStyle name="Input 2 5 49 2" xfId="14503"/>
    <cellStyle name="Input 2 5 49 3" xfId="23496"/>
    <cellStyle name="Input 2 5 49 4" xfId="31683"/>
    <cellStyle name="Input 2 5 49 5" xfId="40962"/>
    <cellStyle name="Input 2 5 49 6" xfId="45348"/>
    <cellStyle name="Input 2 5 49 7" xfId="53453"/>
    <cellStyle name="Input 2 5 5" xfId="1418"/>
    <cellStyle name="Input 2 5 5 2" xfId="9241"/>
    <cellStyle name="Input 2 5 5 3" xfId="16669"/>
    <cellStyle name="Input 2 5 5 4" xfId="20365"/>
    <cellStyle name="Input 2 5 5 5" xfId="27217"/>
    <cellStyle name="Input 2 5 5 6" xfId="42173"/>
    <cellStyle name="Input 2 5 5 7" xfId="48210"/>
    <cellStyle name="Input 2 5 50" xfId="6900"/>
    <cellStyle name="Input 2 5 50 2" xfId="14617"/>
    <cellStyle name="Input 2 5 50 3" xfId="23610"/>
    <cellStyle name="Input 2 5 50 4" xfId="31797"/>
    <cellStyle name="Input 2 5 50 5" xfId="41069"/>
    <cellStyle name="Input 2 5 50 6" xfId="45462"/>
    <cellStyle name="Input 2 5 50 7" xfId="46795"/>
    <cellStyle name="Input 2 5 51" xfId="7013"/>
    <cellStyle name="Input 2 5 51 2" xfId="14730"/>
    <cellStyle name="Input 2 5 51 3" xfId="23723"/>
    <cellStyle name="Input 2 5 51 4" xfId="31910"/>
    <cellStyle name="Input 2 5 51 5" xfId="41177"/>
    <cellStyle name="Input 2 5 51 6" xfId="45575"/>
    <cellStyle name="Input 2 5 51 7" xfId="54536"/>
    <cellStyle name="Input 2 5 52" xfId="7123"/>
    <cellStyle name="Input 2 5 52 2" xfId="14840"/>
    <cellStyle name="Input 2 5 52 3" xfId="23833"/>
    <cellStyle name="Input 2 5 52 4" xfId="32020"/>
    <cellStyle name="Input 2 5 52 5" xfId="41282"/>
    <cellStyle name="Input 2 5 52 6" xfId="45685"/>
    <cellStyle name="Input 2 5 52 7" xfId="53073"/>
    <cellStyle name="Input 2 5 53" xfId="7154"/>
    <cellStyle name="Input 2 5 53 2" xfId="14871"/>
    <cellStyle name="Input 2 5 53 3" xfId="23864"/>
    <cellStyle name="Input 2 5 53 4" xfId="32051"/>
    <cellStyle name="Input 2 5 53 5" xfId="41313"/>
    <cellStyle name="Input 2 5 53 6" xfId="45716"/>
    <cellStyle name="Input 2 5 53 7" xfId="47453"/>
    <cellStyle name="Input 2 5 54" xfId="7279"/>
    <cellStyle name="Input 2 5 54 2" xfId="14996"/>
    <cellStyle name="Input 2 5 54 3" xfId="23989"/>
    <cellStyle name="Input 2 5 54 4" xfId="32176"/>
    <cellStyle name="Input 2 5 54 5" xfId="41432"/>
    <cellStyle name="Input 2 5 54 6" xfId="45841"/>
    <cellStyle name="Input 2 5 54 7" xfId="51362"/>
    <cellStyle name="Input 2 5 55" xfId="7520"/>
    <cellStyle name="Input 2 5 55 2" xfId="15237"/>
    <cellStyle name="Input 2 5 55 3" xfId="24230"/>
    <cellStyle name="Input 2 5 55 4" xfId="32417"/>
    <cellStyle name="Input 2 5 55 5" xfId="41663"/>
    <cellStyle name="Input 2 5 55 6" xfId="46082"/>
    <cellStyle name="Input 2 5 55 7" xfId="49715"/>
    <cellStyle name="Input 2 5 56" xfId="7641"/>
    <cellStyle name="Input 2 5 56 2" xfId="15358"/>
    <cellStyle name="Input 2 5 56 3" xfId="24351"/>
    <cellStyle name="Input 2 5 56 4" xfId="32538"/>
    <cellStyle name="Input 2 5 56 5" xfId="41780"/>
    <cellStyle name="Input 2 5 56 6" xfId="46203"/>
    <cellStyle name="Input 2 5 56 7" xfId="51979"/>
    <cellStyle name="Input 2 5 57" xfId="7919"/>
    <cellStyle name="Input 2 5 57 2" xfId="15636"/>
    <cellStyle name="Input 2 5 57 3" xfId="24623"/>
    <cellStyle name="Input 2 5 57 4" xfId="32816"/>
    <cellStyle name="Input 2 5 57 5" xfId="42047"/>
    <cellStyle name="Input 2 5 57 6" xfId="46481"/>
    <cellStyle name="Input 2 5 57 7" xfId="51007"/>
    <cellStyle name="Input 2 5 58" xfId="8047"/>
    <cellStyle name="Input 2 5 58 2" xfId="15764"/>
    <cellStyle name="Input 2 5 58 3" xfId="24749"/>
    <cellStyle name="Input 2 5 58 4" xfId="32944"/>
    <cellStyle name="Input 2 5 58 5" xfId="42169"/>
    <cellStyle name="Input 2 5 58 6" xfId="46609"/>
    <cellStyle name="Input 2 5 58 7" xfId="52394"/>
    <cellStyle name="Input 2 5 59" xfId="7778"/>
    <cellStyle name="Input 2 5 59 2" xfId="15495"/>
    <cellStyle name="Input 2 5 59 3" xfId="24484"/>
    <cellStyle name="Input 2 5 59 4" xfId="32675"/>
    <cellStyle name="Input 2 5 59 5" xfId="41910"/>
    <cellStyle name="Input 2 5 59 6" xfId="46340"/>
    <cellStyle name="Input 2 5 59 7" xfId="50233"/>
    <cellStyle name="Input 2 5 6" xfId="1541"/>
    <cellStyle name="Input 2 5 6 2" xfId="9364"/>
    <cellStyle name="Input 2 5 6 3" xfId="16792"/>
    <cellStyle name="Input 2 5 6 4" xfId="25426"/>
    <cellStyle name="Input 2 5 6 5" xfId="33883"/>
    <cellStyle name="Input 2 5 6 6" xfId="37331"/>
    <cellStyle name="Input 2 5 6 7" xfId="51698"/>
    <cellStyle name="Input 2 5 60" xfId="8193"/>
    <cellStyle name="Input 2 5 60 2" xfId="15910"/>
    <cellStyle name="Input 2 5 60 3" xfId="33090"/>
    <cellStyle name="Input 2 5 60 4" xfId="42309"/>
    <cellStyle name="Input 2 5 60 5" xfId="46755"/>
    <cellStyle name="Input 2 5 60 6" xfId="46863"/>
    <cellStyle name="Input 2 5 61" xfId="24959"/>
    <cellStyle name="Input 2 5 62" xfId="33297"/>
    <cellStyle name="Input 2 5 63" xfId="36865"/>
    <cellStyle name="Input 2 5 64" xfId="50690"/>
    <cellStyle name="Input 2 5 7" xfId="1304"/>
    <cellStyle name="Input 2 5 7 2" xfId="9127"/>
    <cellStyle name="Input 2 5 7 3" xfId="16555"/>
    <cellStyle name="Input 2 5 7 4" xfId="26291"/>
    <cellStyle name="Input 2 5 7 5" xfId="35000"/>
    <cellStyle name="Input 2 5 7 6" xfId="37930"/>
    <cellStyle name="Input 2 5 7 7" xfId="53621"/>
    <cellStyle name="Input 2 5 8" xfId="1779"/>
    <cellStyle name="Input 2 5 8 2" xfId="9602"/>
    <cellStyle name="Input 2 5 8 3" xfId="17030"/>
    <cellStyle name="Input 2 5 8 4" xfId="26152"/>
    <cellStyle name="Input 2 5 8 5" xfId="34821"/>
    <cellStyle name="Input 2 5 8 6" xfId="36882"/>
    <cellStyle name="Input 2 5 8 7" xfId="53324"/>
    <cellStyle name="Input 2 5 9" xfId="1912"/>
    <cellStyle name="Input 2 5 9 2" xfId="9735"/>
    <cellStyle name="Input 2 5 9 3" xfId="17163"/>
    <cellStyle name="Input 2 5 9 4" xfId="20008"/>
    <cellStyle name="Input 2 5 9 5" xfId="27554"/>
    <cellStyle name="Input 2 5 9 6" xfId="41824"/>
    <cellStyle name="Input 2 5 9 7" xfId="47750"/>
    <cellStyle name="Input 2 6" xfId="244"/>
    <cellStyle name="Input 2 6 2" xfId="8344"/>
    <cellStyle name="Input 2 6 3" xfId="8381"/>
    <cellStyle name="Input 2 6 4" xfId="20446"/>
    <cellStyle name="Input 2 6 5" xfId="28091"/>
    <cellStyle name="Input 2 6 6" xfId="37388"/>
    <cellStyle name="Input 2 6 7" xfId="48626"/>
    <cellStyle name="Input 2 7" xfId="220"/>
    <cellStyle name="Input 2 7 2" xfId="8325"/>
    <cellStyle name="Input 2 7 3" xfId="8247"/>
    <cellStyle name="Input 2 7 4" xfId="25134"/>
    <cellStyle name="Input 2 7 5" xfId="33507"/>
    <cellStyle name="Input 2 7 6" xfId="36574"/>
    <cellStyle name="Input 2 7 7" xfId="51080"/>
    <cellStyle name="Input 2 8" xfId="1292"/>
    <cellStyle name="Input 2 8 2" xfId="9115"/>
    <cellStyle name="Input 2 8 3" xfId="16543"/>
    <cellStyle name="Input 2 8 4" xfId="19794"/>
    <cellStyle name="Input 2 8 5" xfId="28357"/>
    <cellStyle name="Input 2 8 6" xfId="38814"/>
    <cellStyle name="Input 2 8 7" xfId="46968"/>
    <cellStyle name="Input 2 9" xfId="1010"/>
    <cellStyle name="Input 2 9 2" xfId="8834"/>
    <cellStyle name="Input 2 9 3" xfId="16262"/>
    <cellStyle name="Input 2 9 4" xfId="19889"/>
    <cellStyle name="Input 2 9 5" xfId="28497"/>
    <cellStyle name="Input 2 9 6" xfId="36361"/>
    <cellStyle name="Input 2 9 7" xfId="47382"/>
    <cellStyle name="Input 3" xfId="148"/>
    <cellStyle name="Input 3 10" xfId="1172"/>
    <cellStyle name="Input 3 10 2" xfId="8995"/>
    <cellStyle name="Input 3 10 3" xfId="16423"/>
    <cellStyle name="Input 3 10 4" xfId="20158"/>
    <cellStyle name="Input 3 10 5" xfId="27392"/>
    <cellStyle name="Input 3 10 6" xfId="37945"/>
    <cellStyle name="Input 3 10 7" xfId="48536"/>
    <cellStyle name="Input 3 11" xfId="988"/>
    <cellStyle name="Input 3 11 2" xfId="8812"/>
    <cellStyle name="Input 3 11 3" xfId="16240"/>
    <cellStyle name="Input 3 11 4" xfId="19115"/>
    <cellStyle name="Input 3 11 5" xfId="28474"/>
    <cellStyle name="Input 3 11 6" xfId="36859"/>
    <cellStyle name="Input 3 11 7" xfId="47588"/>
    <cellStyle name="Input 3 12" xfId="1058"/>
    <cellStyle name="Input 3 12 2" xfId="8882"/>
    <cellStyle name="Input 3 12 3" xfId="16310"/>
    <cellStyle name="Input 3 12 4" xfId="19432"/>
    <cellStyle name="Input 3 12 5" xfId="28712"/>
    <cellStyle name="Input 3 12 6" xfId="37401"/>
    <cellStyle name="Input 3 12 7" xfId="47585"/>
    <cellStyle name="Input 3 13" xfId="1578"/>
    <cellStyle name="Input 3 13 2" xfId="9401"/>
    <cellStyle name="Input 3 13 3" xfId="16829"/>
    <cellStyle name="Input 3 13 4" xfId="25375"/>
    <cellStyle name="Input 3 13 5" xfId="33822"/>
    <cellStyle name="Input 3 13 6" xfId="36758"/>
    <cellStyle name="Input 3 13 7" xfId="51598"/>
    <cellStyle name="Input 3 14" xfId="3245"/>
    <cellStyle name="Input 3 14 2" xfId="11038"/>
    <cellStyle name="Input 3 14 3" xfId="18367"/>
    <cellStyle name="Input 3 14 4" xfId="25160"/>
    <cellStyle name="Input 3 14 5" xfId="33537"/>
    <cellStyle name="Input 3 14 6" xfId="37990"/>
    <cellStyle name="Input 3 14 7" xfId="51129"/>
    <cellStyle name="Input 3 15" xfId="3232"/>
    <cellStyle name="Input 3 15 2" xfId="11027"/>
    <cellStyle name="Input 3 15 3" xfId="20352"/>
    <cellStyle name="Input 3 15 4" xfId="25815"/>
    <cellStyle name="Input 3 15 5" xfId="34394"/>
    <cellStyle name="Input 3 15 6" xfId="39005"/>
    <cellStyle name="Input 3 15 7" xfId="52594"/>
    <cellStyle name="Input 3 16" xfId="3170"/>
    <cellStyle name="Input 3 16 2" xfId="20303"/>
    <cellStyle name="Input 3 16 3" xfId="28393"/>
    <cellStyle name="Input 3 16 4" xfId="37781"/>
    <cellStyle name="Input 3 16 5" xfId="42420"/>
    <cellStyle name="Input 3 16 6" xfId="52546"/>
    <cellStyle name="Input 3 17" xfId="3363"/>
    <cellStyle name="Input 3 17 2" xfId="11155"/>
    <cellStyle name="Input 3 17 3" xfId="20412"/>
    <cellStyle name="Input 3 17 4" xfId="28519"/>
    <cellStyle name="Input 3 17 5" xfId="37905"/>
    <cellStyle name="Input 3 17 6" xfId="42469"/>
    <cellStyle name="Input 3 17 7" xfId="53905"/>
    <cellStyle name="Input 3 18" xfId="3148"/>
    <cellStyle name="Input 3 18 2" xfId="10952"/>
    <cellStyle name="Input 3 18 3" xfId="20285"/>
    <cellStyle name="Input 3 18 4" xfId="28378"/>
    <cellStyle name="Input 3 18 5" xfId="37764"/>
    <cellStyle name="Input 3 18 6" xfId="42412"/>
    <cellStyle name="Input 3 18 7" xfId="47859"/>
    <cellStyle name="Input 3 19" xfId="4393"/>
    <cellStyle name="Input 3 19 2" xfId="12110"/>
    <cellStyle name="Input 3 19 3" xfId="21103"/>
    <cellStyle name="Input 3 19 4" xfId="29290"/>
    <cellStyle name="Input 3 19 5" xfId="38660"/>
    <cellStyle name="Input 3 19 6" xfId="42955"/>
    <cellStyle name="Input 3 19 7" xfId="47429"/>
    <cellStyle name="Input 3 2" xfId="257"/>
    <cellStyle name="Input 3 2 10" xfId="1125"/>
    <cellStyle name="Input 3 2 10 2" xfId="8948"/>
    <cellStyle name="Input 3 2 10 3" xfId="16376"/>
    <cellStyle name="Input 3 2 10 4" xfId="25739"/>
    <cellStyle name="Input 3 2 10 5" xfId="34289"/>
    <cellStyle name="Input 3 2 10 6" xfId="36971"/>
    <cellStyle name="Input 3 2 10 7" xfId="52412"/>
    <cellStyle name="Input 3 2 11" xfId="1188"/>
    <cellStyle name="Input 3 2 11 2" xfId="9011"/>
    <cellStyle name="Input 3 2 11 3" xfId="16439"/>
    <cellStyle name="Input 3 2 11 4" xfId="26070"/>
    <cellStyle name="Input 3 2 11 5" xfId="34715"/>
    <cellStyle name="Input 3 2 11 6" xfId="36980"/>
    <cellStyle name="Input 3 2 11 7" xfId="53145"/>
    <cellStyle name="Input 3 2 12" xfId="1078"/>
    <cellStyle name="Input 3 2 12 2" xfId="8902"/>
    <cellStyle name="Input 3 2 12 3" xfId="16330"/>
    <cellStyle name="Input 3 2 12 4" xfId="19105"/>
    <cellStyle name="Input 3 2 12 5" xfId="26980"/>
    <cellStyle name="Input 3 2 12 6" xfId="36835"/>
    <cellStyle name="Input 3 2 12 7" xfId="49859"/>
    <cellStyle name="Input 3 2 13" xfId="1198"/>
    <cellStyle name="Input 3 2 13 2" xfId="9021"/>
    <cellStyle name="Input 3 2 13 3" xfId="16449"/>
    <cellStyle name="Input 3 2 13 4" xfId="19616"/>
    <cellStyle name="Input 3 2 13 5" xfId="27302"/>
    <cellStyle name="Input 3 2 13 6" xfId="41362"/>
    <cellStyle name="Input 3 2 13 7" xfId="47630"/>
    <cellStyle name="Input 3 2 14" xfId="1112"/>
    <cellStyle name="Input 3 2 14 2" xfId="8936"/>
    <cellStyle name="Input 3 2 14 3" xfId="16364"/>
    <cellStyle name="Input 3 2 14 4" xfId="26355"/>
    <cellStyle name="Input 3 2 14 5" xfId="35084"/>
    <cellStyle name="Input 3 2 14 6" xfId="37699"/>
    <cellStyle name="Input 3 2 14 7" xfId="53743"/>
    <cellStyle name="Input 3 2 15" xfId="1111"/>
    <cellStyle name="Input 3 2 15 2" xfId="8935"/>
    <cellStyle name="Input 3 2 15 3" xfId="16363"/>
    <cellStyle name="Input 3 2 15 4" xfId="26374"/>
    <cellStyle name="Input 3 2 15 5" xfId="35116"/>
    <cellStyle name="Input 3 2 15 6" xfId="36289"/>
    <cellStyle name="Input 3 2 15 7" xfId="53797"/>
    <cellStyle name="Input 3 2 16" xfId="1800"/>
    <cellStyle name="Input 3 2 16 2" xfId="9623"/>
    <cellStyle name="Input 3 2 16 3" xfId="17051"/>
    <cellStyle name="Input 3 2 16 4" xfId="25126"/>
    <cellStyle name="Input 3 2 16 5" xfId="33499"/>
    <cellStyle name="Input 3 2 16 6" xfId="40946"/>
    <cellStyle name="Input 3 2 16 7" xfId="51068"/>
    <cellStyle name="Input 3 2 17" xfId="1175"/>
    <cellStyle name="Input 3 2 17 2" xfId="8998"/>
    <cellStyle name="Input 3 2 17 3" xfId="16426"/>
    <cellStyle name="Input 3 2 17 4" xfId="26688"/>
    <cellStyle name="Input 3 2 17 5" xfId="35538"/>
    <cellStyle name="Input 3 2 17 6" xfId="36431"/>
    <cellStyle name="Input 3 2 17 7" xfId="54466"/>
    <cellStyle name="Input 3 2 18" xfId="1665"/>
    <cellStyle name="Input 3 2 18 2" xfId="9488"/>
    <cellStyle name="Input 3 2 18 3" xfId="16916"/>
    <cellStyle name="Input 3 2 18 4" xfId="24950"/>
    <cellStyle name="Input 3 2 18 5" xfId="33286"/>
    <cellStyle name="Input 3 2 18 6" xfId="39261"/>
    <cellStyle name="Input 3 2 18 7" xfId="50672"/>
    <cellStyle name="Input 3 2 19" xfId="1070"/>
    <cellStyle name="Input 3 2 19 2" xfId="8894"/>
    <cellStyle name="Input 3 2 19 3" xfId="16322"/>
    <cellStyle name="Input 3 2 19 4" xfId="24929"/>
    <cellStyle name="Input 3 2 19 5" xfId="33260"/>
    <cellStyle name="Input 3 2 19 6" xfId="36682"/>
    <cellStyle name="Input 3 2 19 7" xfId="50633"/>
    <cellStyle name="Input 3 2 2" xfId="531"/>
    <cellStyle name="Input 3 2 2 10" xfId="1978"/>
    <cellStyle name="Input 3 2 2 10 2" xfId="9801"/>
    <cellStyle name="Input 3 2 2 10 3" xfId="17229"/>
    <cellStyle name="Input 3 2 2 10 4" xfId="19395"/>
    <cellStyle name="Input 3 2 2 10 5" xfId="28355"/>
    <cellStyle name="Input 3 2 2 10 6" xfId="37851"/>
    <cellStyle name="Input 3 2 2 10 7" xfId="48745"/>
    <cellStyle name="Input 3 2 2 11" xfId="2096"/>
    <cellStyle name="Input 3 2 2 11 2" xfId="9919"/>
    <cellStyle name="Input 3 2 2 11 3" xfId="17347"/>
    <cellStyle name="Input 3 2 2 11 4" xfId="20102"/>
    <cellStyle name="Input 3 2 2 11 5" xfId="27296"/>
    <cellStyle name="Input 3 2 2 11 6" xfId="40604"/>
    <cellStyle name="Input 3 2 2 11 7" xfId="48296"/>
    <cellStyle name="Input 3 2 2 12" xfId="2209"/>
    <cellStyle name="Input 3 2 2 12 2" xfId="10032"/>
    <cellStyle name="Input 3 2 2 12 3" xfId="17460"/>
    <cellStyle name="Input 3 2 2 12 4" xfId="19664"/>
    <cellStyle name="Input 3 2 2 12 5" xfId="27860"/>
    <cellStyle name="Input 3 2 2 12 6" xfId="37084"/>
    <cellStyle name="Input 3 2 2 12 7" xfId="47672"/>
    <cellStyle name="Input 3 2 2 13" xfId="2332"/>
    <cellStyle name="Input 3 2 2 13 2" xfId="10155"/>
    <cellStyle name="Input 3 2 2 13 3" xfId="17583"/>
    <cellStyle name="Input 3 2 2 13 4" xfId="26366"/>
    <cellStyle name="Input 3 2 2 13 5" xfId="35101"/>
    <cellStyle name="Input 3 2 2 13 6" xfId="40276"/>
    <cellStyle name="Input 3 2 2 13 7" xfId="53775"/>
    <cellStyle name="Input 3 2 2 14" xfId="2418"/>
    <cellStyle name="Input 3 2 2 14 2" xfId="10241"/>
    <cellStyle name="Input 3 2 2 14 3" xfId="17669"/>
    <cellStyle name="Input 3 2 2 14 4" xfId="25666"/>
    <cellStyle name="Input 3 2 2 14 5" xfId="34197"/>
    <cellStyle name="Input 3 2 2 14 6" xfId="37709"/>
    <cellStyle name="Input 3 2 2 14 7" xfId="52234"/>
    <cellStyle name="Input 3 2 2 15" xfId="2507"/>
    <cellStyle name="Input 3 2 2 15 2" xfId="10330"/>
    <cellStyle name="Input 3 2 2 15 3" xfId="17758"/>
    <cellStyle name="Input 3 2 2 15 4" xfId="19961"/>
    <cellStyle name="Input 3 2 2 15 5" xfId="26735"/>
    <cellStyle name="Input 3 2 2 15 6" xfId="39589"/>
    <cellStyle name="Input 3 2 2 15 7" xfId="49735"/>
    <cellStyle name="Input 3 2 2 16" xfId="2620"/>
    <cellStyle name="Input 3 2 2 16 2" xfId="10443"/>
    <cellStyle name="Input 3 2 2 16 3" xfId="17871"/>
    <cellStyle name="Input 3 2 2 16 4" xfId="26577"/>
    <cellStyle name="Input 3 2 2 16 5" xfId="35396"/>
    <cellStyle name="Input 3 2 2 16 6" xfId="40613"/>
    <cellStyle name="Input 3 2 2 16 7" xfId="54231"/>
    <cellStyle name="Input 3 2 2 17" xfId="2724"/>
    <cellStyle name="Input 3 2 2 17 2" xfId="10547"/>
    <cellStyle name="Input 3 2 2 17 3" xfId="17975"/>
    <cellStyle name="Input 3 2 2 17 4" xfId="24867"/>
    <cellStyle name="Input 3 2 2 17 5" xfId="33180"/>
    <cellStyle name="Input 3 2 2 17 6" xfId="37521"/>
    <cellStyle name="Input 3 2 2 17 7" xfId="50490"/>
    <cellStyle name="Input 3 2 2 18" xfId="2753"/>
    <cellStyle name="Input 3 2 2 18 2" xfId="10576"/>
    <cellStyle name="Input 3 2 2 18 3" xfId="18004"/>
    <cellStyle name="Input 3 2 2 18 4" xfId="19076"/>
    <cellStyle name="Input 3 2 2 18 5" xfId="26734"/>
    <cellStyle name="Input 3 2 2 18 6" xfId="42021"/>
    <cellStyle name="Input 3 2 2 18 7" xfId="49800"/>
    <cellStyle name="Input 3 2 2 19" xfId="2813"/>
    <cellStyle name="Input 3 2 2 19 2" xfId="10636"/>
    <cellStyle name="Input 3 2 2 19 3" xfId="18064"/>
    <cellStyle name="Input 3 2 2 19 4" xfId="20443"/>
    <cellStyle name="Input 3 2 2 19 5" xfId="27597"/>
    <cellStyle name="Input 3 2 2 19 6" xfId="37489"/>
    <cellStyle name="Input 3 2 2 19 7" xfId="50103"/>
    <cellStyle name="Input 3 2 2 2" xfId="681"/>
    <cellStyle name="Input 3 2 2 2 2" xfId="8505"/>
    <cellStyle name="Input 3 2 2 2 3" xfId="15933"/>
    <cellStyle name="Input 3 2 2 2 4" xfId="19315"/>
    <cellStyle name="Input 3 2 2 2 5" xfId="28146"/>
    <cellStyle name="Input 3 2 2 2 6" xfId="37208"/>
    <cellStyle name="Input 3 2 2 2 7" xfId="47953"/>
    <cellStyle name="Input 3 2 2 20" xfId="2920"/>
    <cellStyle name="Input 3 2 2 20 2" xfId="10743"/>
    <cellStyle name="Input 3 2 2 20 3" xfId="18171"/>
    <cellStyle name="Input 3 2 2 20 4" xfId="26574"/>
    <cellStyle name="Input 3 2 2 20 5" xfId="35390"/>
    <cellStyle name="Input 3 2 2 20 6" xfId="42274"/>
    <cellStyle name="Input 3 2 2 20 7" xfId="54222"/>
    <cellStyle name="Input 3 2 2 21" xfId="3296"/>
    <cellStyle name="Input 3 2 2 21 2" xfId="11089"/>
    <cellStyle name="Input 3 2 2 21 3" xfId="18418"/>
    <cellStyle name="Input 3 2 2 21 4" xfId="25786"/>
    <cellStyle name="Input 3 2 2 21 5" xfId="34352"/>
    <cellStyle name="Input 3 2 2 21 6" xfId="40221"/>
    <cellStyle name="Input 3 2 2 21 7" xfId="52522"/>
    <cellStyle name="Input 3 2 2 22" xfId="3416"/>
    <cellStyle name="Input 3 2 2 22 2" xfId="11207"/>
    <cellStyle name="Input 3 2 2 22 3" xfId="18529"/>
    <cellStyle name="Input 3 2 2 22 4" xfId="19877"/>
    <cellStyle name="Input 3 2 2 22 5" xfId="27670"/>
    <cellStyle name="Input 3 2 2 22 6" xfId="37248"/>
    <cellStyle name="Input 3 2 2 22 7" xfId="47239"/>
    <cellStyle name="Input 3 2 2 23" xfId="3217"/>
    <cellStyle name="Input 3 2 2 23 2" xfId="11014"/>
    <cellStyle name="Input 3 2 2 23 3" xfId="18354"/>
    <cellStyle name="Input 3 2 2 23 4" xfId="26581"/>
    <cellStyle name="Input 3 2 2 23 5" xfId="35400"/>
    <cellStyle name="Input 3 2 2 23 6" xfId="40100"/>
    <cellStyle name="Input 3 2 2 23 7" xfId="54236"/>
    <cellStyle name="Input 3 2 2 24" xfId="3687"/>
    <cellStyle name="Input 3 2 2 24 2" xfId="11472"/>
    <cellStyle name="Input 3 2 2 24 3" xfId="18745"/>
    <cellStyle name="Input 3 2 2 24 4" xfId="24956"/>
    <cellStyle name="Input 3 2 2 24 5" xfId="33294"/>
    <cellStyle name="Input 3 2 2 24 6" xfId="37598"/>
    <cellStyle name="Input 3 2 2 24 7" xfId="50686"/>
    <cellStyle name="Input 3 2 2 25" xfId="3817"/>
    <cellStyle name="Input 3 2 2 25 2" xfId="11599"/>
    <cellStyle name="Input 3 2 2 25 3" xfId="18856"/>
    <cellStyle name="Input 3 2 2 25 4" xfId="25950"/>
    <cellStyle name="Input 3 2 2 25 5" xfId="34555"/>
    <cellStyle name="Input 3 2 2 25 6" xfId="40403"/>
    <cellStyle name="Input 3 2 2 25 7" xfId="52885"/>
    <cellStyle name="Input 3 2 2 26" xfId="3935"/>
    <cellStyle name="Input 3 2 2 26 2" xfId="11715"/>
    <cellStyle name="Input 3 2 2 26 3" xfId="18965"/>
    <cellStyle name="Input 3 2 2 26 4" xfId="25115"/>
    <cellStyle name="Input 3 2 2 26 5" xfId="33485"/>
    <cellStyle name="Input 3 2 2 26 6" xfId="38492"/>
    <cellStyle name="Input 3 2 2 26 7" xfId="51045"/>
    <cellStyle name="Input 3 2 2 27" xfId="4032"/>
    <cellStyle name="Input 3 2 2 27 2" xfId="11803"/>
    <cellStyle name="Input 3 2 2 27 3" xfId="20742"/>
    <cellStyle name="Input 3 2 2 27 4" xfId="28929"/>
    <cellStyle name="Input 3 2 2 27 5" xfId="38309"/>
    <cellStyle name="Input 3 2 2 27 6" xfId="42594"/>
    <cellStyle name="Input 3 2 2 27 7" xfId="54255"/>
    <cellStyle name="Input 3 2 2 28" xfId="4132"/>
    <cellStyle name="Input 3 2 2 28 2" xfId="11891"/>
    <cellStyle name="Input 3 2 2 28 3" xfId="20842"/>
    <cellStyle name="Input 3 2 2 28 4" xfId="29029"/>
    <cellStyle name="Input 3 2 2 28 5" xfId="38406"/>
    <cellStyle name="Input 3 2 2 28 6" xfId="42694"/>
    <cellStyle name="Input 3 2 2 28 7" xfId="51156"/>
    <cellStyle name="Input 3 2 2 29" xfId="3056"/>
    <cellStyle name="Input 3 2 2 29 2" xfId="20222"/>
    <cellStyle name="Input 3 2 2 29 3" xfId="28314"/>
    <cellStyle name="Input 3 2 2 29 4" xfId="37694"/>
    <cellStyle name="Input 3 2 2 29 5" xfId="42379"/>
    <cellStyle name="Input 3 2 2 29 6" xfId="48973"/>
    <cellStyle name="Input 3 2 2 3" xfId="789"/>
    <cellStyle name="Input 3 2 2 3 2" xfId="8613"/>
    <cellStyle name="Input 3 2 2 3 3" xfId="16041"/>
    <cellStyle name="Input 3 2 2 3 4" xfId="24968"/>
    <cellStyle name="Input 3 2 2 3 5" xfId="33308"/>
    <cellStyle name="Input 3 2 2 3 6" xfId="36726"/>
    <cellStyle name="Input 3 2 2 3 7" xfId="50715"/>
    <cellStyle name="Input 3 2 2 30" xfId="4329"/>
    <cellStyle name="Input 3 2 2 30 2" xfId="12046"/>
    <cellStyle name="Input 3 2 2 30 3" xfId="21039"/>
    <cellStyle name="Input 3 2 2 30 4" xfId="29226"/>
    <cellStyle name="Input 3 2 2 30 5" xfId="38597"/>
    <cellStyle name="Input 3 2 2 30 6" xfId="42891"/>
    <cellStyle name="Input 3 2 2 30 7" xfId="50215"/>
    <cellStyle name="Input 3 2 2 31" xfId="4452"/>
    <cellStyle name="Input 3 2 2 31 2" xfId="12169"/>
    <cellStyle name="Input 3 2 2 31 3" xfId="21162"/>
    <cellStyle name="Input 3 2 2 31 4" xfId="29349"/>
    <cellStyle name="Input 3 2 2 31 5" xfId="38715"/>
    <cellStyle name="Input 3 2 2 31 6" xfId="43014"/>
    <cellStyle name="Input 3 2 2 31 7" xfId="50155"/>
    <cellStyle name="Input 3 2 2 32" xfId="4566"/>
    <cellStyle name="Input 3 2 2 32 2" xfId="12283"/>
    <cellStyle name="Input 3 2 2 32 3" xfId="21276"/>
    <cellStyle name="Input 3 2 2 32 4" xfId="29463"/>
    <cellStyle name="Input 3 2 2 32 5" xfId="38824"/>
    <cellStyle name="Input 3 2 2 32 6" xfId="43128"/>
    <cellStyle name="Input 3 2 2 32 7" xfId="53104"/>
    <cellStyle name="Input 3 2 2 33" xfId="4679"/>
    <cellStyle name="Input 3 2 2 33 2" xfId="12396"/>
    <cellStyle name="Input 3 2 2 33 3" xfId="21389"/>
    <cellStyle name="Input 3 2 2 33 4" xfId="29576"/>
    <cellStyle name="Input 3 2 2 33 5" xfId="38933"/>
    <cellStyle name="Input 3 2 2 33 6" xfId="43241"/>
    <cellStyle name="Input 3 2 2 33 7" xfId="49105"/>
    <cellStyle name="Input 3 2 2 34" xfId="4790"/>
    <cellStyle name="Input 3 2 2 34 2" xfId="12507"/>
    <cellStyle name="Input 3 2 2 34 3" xfId="21500"/>
    <cellStyle name="Input 3 2 2 34 4" xfId="29687"/>
    <cellStyle name="Input 3 2 2 34 5" xfId="39041"/>
    <cellStyle name="Input 3 2 2 34 6" xfId="43352"/>
    <cellStyle name="Input 3 2 2 34 7" xfId="52816"/>
    <cellStyle name="Input 3 2 2 35" xfId="4899"/>
    <cellStyle name="Input 3 2 2 35 2" xfId="12616"/>
    <cellStyle name="Input 3 2 2 35 3" xfId="21609"/>
    <cellStyle name="Input 3 2 2 35 4" xfId="29796"/>
    <cellStyle name="Input 3 2 2 35 5" xfId="39145"/>
    <cellStyle name="Input 3 2 2 35 6" xfId="43461"/>
    <cellStyle name="Input 3 2 2 35 7" xfId="47961"/>
    <cellStyle name="Input 3 2 2 36" xfId="5010"/>
    <cellStyle name="Input 3 2 2 36 2" xfId="12727"/>
    <cellStyle name="Input 3 2 2 36 3" xfId="21720"/>
    <cellStyle name="Input 3 2 2 36 4" xfId="29907"/>
    <cellStyle name="Input 3 2 2 36 5" xfId="39253"/>
    <cellStyle name="Input 3 2 2 36 6" xfId="43572"/>
    <cellStyle name="Input 3 2 2 36 7" xfId="52994"/>
    <cellStyle name="Input 3 2 2 37" xfId="5389"/>
    <cellStyle name="Input 3 2 2 37 2" xfId="13106"/>
    <cellStyle name="Input 3 2 2 37 3" xfId="22099"/>
    <cellStyle name="Input 3 2 2 37 4" xfId="30286"/>
    <cellStyle name="Input 3 2 2 37 5" xfId="39617"/>
    <cellStyle name="Input 3 2 2 37 6" xfId="43951"/>
    <cellStyle name="Input 3 2 2 37 7" xfId="52042"/>
    <cellStyle name="Input 3 2 2 38" xfId="5509"/>
    <cellStyle name="Input 3 2 2 38 2" xfId="13226"/>
    <cellStyle name="Input 3 2 2 38 3" xfId="22219"/>
    <cellStyle name="Input 3 2 2 38 4" xfId="30406"/>
    <cellStyle name="Input 3 2 2 38 5" xfId="39731"/>
    <cellStyle name="Input 3 2 2 38 6" xfId="44071"/>
    <cellStyle name="Input 3 2 2 38 7" xfId="47777"/>
    <cellStyle name="Input 3 2 2 39" xfId="5633"/>
    <cellStyle name="Input 3 2 2 39 2" xfId="13350"/>
    <cellStyle name="Input 3 2 2 39 3" xfId="22343"/>
    <cellStyle name="Input 3 2 2 39 4" xfId="30530"/>
    <cellStyle name="Input 3 2 2 39 5" xfId="39851"/>
    <cellStyle name="Input 3 2 2 39 6" xfId="44195"/>
    <cellStyle name="Input 3 2 2 39 7" xfId="47117"/>
    <cellStyle name="Input 3 2 2 4" xfId="900"/>
    <cellStyle name="Input 3 2 2 4 2" xfId="8724"/>
    <cellStyle name="Input 3 2 2 4 3" xfId="16152"/>
    <cellStyle name="Input 3 2 2 4 4" xfId="26458"/>
    <cellStyle name="Input 3 2 2 4 5" xfId="35235"/>
    <cellStyle name="Input 3 2 2 4 6" xfId="37228"/>
    <cellStyle name="Input 3 2 2 4 7" xfId="53977"/>
    <cellStyle name="Input 3 2 2 40" xfId="5749"/>
    <cellStyle name="Input 3 2 2 40 2" xfId="13466"/>
    <cellStyle name="Input 3 2 2 40 3" xfId="22459"/>
    <cellStyle name="Input 3 2 2 40 4" xfId="30646"/>
    <cellStyle name="Input 3 2 2 40 5" xfId="39963"/>
    <cellStyle name="Input 3 2 2 40 6" xfId="44311"/>
    <cellStyle name="Input 3 2 2 40 7" xfId="52435"/>
    <cellStyle name="Input 3 2 2 41" xfId="5865"/>
    <cellStyle name="Input 3 2 2 41 2" xfId="13582"/>
    <cellStyle name="Input 3 2 2 41 3" xfId="22575"/>
    <cellStyle name="Input 3 2 2 41 4" xfId="30762"/>
    <cellStyle name="Input 3 2 2 41 5" xfId="40076"/>
    <cellStyle name="Input 3 2 2 41 6" xfId="44427"/>
    <cellStyle name="Input 3 2 2 41 7" xfId="53013"/>
    <cellStyle name="Input 3 2 2 42" xfId="5994"/>
    <cellStyle name="Input 3 2 2 42 2" xfId="13711"/>
    <cellStyle name="Input 3 2 2 42 3" xfId="22704"/>
    <cellStyle name="Input 3 2 2 42 4" xfId="30891"/>
    <cellStyle name="Input 3 2 2 42 5" xfId="40200"/>
    <cellStyle name="Input 3 2 2 42 6" xfId="44556"/>
    <cellStyle name="Input 3 2 2 42 7" xfId="51833"/>
    <cellStyle name="Input 3 2 2 43" xfId="5571"/>
    <cellStyle name="Input 3 2 2 43 2" xfId="13288"/>
    <cellStyle name="Input 3 2 2 43 3" xfId="22281"/>
    <cellStyle name="Input 3 2 2 43 4" xfId="30468"/>
    <cellStyle name="Input 3 2 2 43 5" xfId="39791"/>
    <cellStyle name="Input 3 2 2 43 6" xfId="44133"/>
    <cellStyle name="Input 3 2 2 43 7" xfId="47163"/>
    <cellStyle name="Input 3 2 2 44" xfId="6250"/>
    <cellStyle name="Input 3 2 2 44 2" xfId="13967"/>
    <cellStyle name="Input 3 2 2 44 3" xfId="22960"/>
    <cellStyle name="Input 3 2 2 44 4" xfId="31147"/>
    <cellStyle name="Input 3 2 2 44 5" xfId="40448"/>
    <cellStyle name="Input 3 2 2 44 6" xfId="44812"/>
    <cellStyle name="Input 3 2 2 44 7" xfId="50264"/>
    <cellStyle name="Input 3 2 2 45" xfId="6366"/>
    <cellStyle name="Input 3 2 2 45 2" xfId="14083"/>
    <cellStyle name="Input 3 2 2 45 3" xfId="23076"/>
    <cellStyle name="Input 3 2 2 45 4" xfId="31263"/>
    <cellStyle name="Input 3 2 2 45 5" xfId="40561"/>
    <cellStyle name="Input 3 2 2 45 6" xfId="44928"/>
    <cellStyle name="Input 3 2 2 45 7" xfId="53385"/>
    <cellStyle name="Input 3 2 2 46" xfId="6477"/>
    <cellStyle name="Input 3 2 2 46 2" xfId="14194"/>
    <cellStyle name="Input 3 2 2 46 3" xfId="23187"/>
    <cellStyle name="Input 3 2 2 46 4" xfId="31374"/>
    <cellStyle name="Input 3 2 2 46 5" xfId="40668"/>
    <cellStyle name="Input 3 2 2 46 6" xfId="45039"/>
    <cellStyle name="Input 3 2 2 46 7" xfId="52967"/>
    <cellStyle name="Input 3 2 2 47" xfId="6565"/>
    <cellStyle name="Input 3 2 2 47 2" xfId="14282"/>
    <cellStyle name="Input 3 2 2 47 3" xfId="23275"/>
    <cellStyle name="Input 3 2 2 47 4" xfId="31462"/>
    <cellStyle name="Input 3 2 2 47 5" xfId="40750"/>
    <cellStyle name="Input 3 2 2 47 6" xfId="45127"/>
    <cellStyle name="Input 3 2 2 47 7" xfId="48422"/>
    <cellStyle name="Input 3 2 2 48" xfId="6623"/>
    <cellStyle name="Input 3 2 2 48 2" xfId="14340"/>
    <cellStyle name="Input 3 2 2 48 3" xfId="23333"/>
    <cellStyle name="Input 3 2 2 48 4" xfId="31520"/>
    <cellStyle name="Input 3 2 2 48 5" xfId="40807"/>
    <cellStyle name="Input 3 2 2 48 6" xfId="45185"/>
    <cellStyle name="Input 3 2 2 48 7" xfId="47292"/>
    <cellStyle name="Input 3 2 2 49" xfId="6735"/>
    <cellStyle name="Input 3 2 2 49 2" xfId="14452"/>
    <cellStyle name="Input 3 2 2 49 3" xfId="23445"/>
    <cellStyle name="Input 3 2 2 49 4" xfId="31632"/>
    <cellStyle name="Input 3 2 2 49 5" xfId="40913"/>
    <cellStyle name="Input 3 2 2 49 6" xfId="45297"/>
    <cellStyle name="Input 3 2 2 49 7" xfId="51388"/>
    <cellStyle name="Input 3 2 2 5" xfId="1366"/>
    <cellStyle name="Input 3 2 2 5 2" xfId="9189"/>
    <cellStyle name="Input 3 2 2 5 3" xfId="16617"/>
    <cellStyle name="Input 3 2 2 5 4" xfId="26222"/>
    <cellStyle name="Input 3 2 2 5 5" xfId="34907"/>
    <cellStyle name="Input 3 2 2 5 6" xfId="40164"/>
    <cellStyle name="Input 3 2 2 5 7" xfId="53468"/>
    <cellStyle name="Input 3 2 2 50" xfId="6850"/>
    <cellStyle name="Input 3 2 2 50 2" xfId="14567"/>
    <cellStyle name="Input 3 2 2 50 3" xfId="23560"/>
    <cellStyle name="Input 3 2 2 50 4" xfId="31747"/>
    <cellStyle name="Input 3 2 2 50 5" xfId="41021"/>
    <cellStyle name="Input 3 2 2 50 6" xfId="45412"/>
    <cellStyle name="Input 3 2 2 50 7" xfId="50176"/>
    <cellStyle name="Input 3 2 2 51" xfId="6963"/>
    <cellStyle name="Input 3 2 2 51 2" xfId="14680"/>
    <cellStyle name="Input 3 2 2 51 3" xfId="23673"/>
    <cellStyle name="Input 3 2 2 51 4" xfId="31860"/>
    <cellStyle name="Input 3 2 2 51 5" xfId="41129"/>
    <cellStyle name="Input 3 2 2 51 6" xfId="45525"/>
    <cellStyle name="Input 3 2 2 51 7" xfId="47032"/>
    <cellStyle name="Input 3 2 2 52" xfId="7074"/>
    <cellStyle name="Input 3 2 2 52 2" xfId="14791"/>
    <cellStyle name="Input 3 2 2 52 3" xfId="23784"/>
    <cellStyle name="Input 3 2 2 52 4" xfId="31971"/>
    <cellStyle name="Input 3 2 2 52 5" xfId="41234"/>
    <cellStyle name="Input 3 2 2 52 6" xfId="45636"/>
    <cellStyle name="Input 3 2 2 52 7" xfId="51994"/>
    <cellStyle name="Input 3 2 2 53" xfId="7328"/>
    <cellStyle name="Input 3 2 2 53 2" xfId="15045"/>
    <cellStyle name="Input 3 2 2 53 3" xfId="24038"/>
    <cellStyle name="Input 3 2 2 53 4" xfId="32225"/>
    <cellStyle name="Input 3 2 2 53 5" xfId="41481"/>
    <cellStyle name="Input 3 2 2 53 6" xfId="45890"/>
    <cellStyle name="Input 3 2 2 53 7" xfId="53734"/>
    <cellStyle name="Input 3 2 2 54" xfId="7392"/>
    <cellStyle name="Input 3 2 2 54 2" xfId="15109"/>
    <cellStyle name="Input 3 2 2 54 3" xfId="24102"/>
    <cellStyle name="Input 3 2 2 54 4" xfId="32289"/>
    <cellStyle name="Input 3 2 2 54 5" xfId="41543"/>
    <cellStyle name="Input 3 2 2 54 6" xfId="45954"/>
    <cellStyle name="Input 3 2 2 54 7" xfId="54334"/>
    <cellStyle name="Input 3 2 2 55" xfId="7471"/>
    <cellStyle name="Input 3 2 2 55 2" xfId="15188"/>
    <cellStyle name="Input 3 2 2 55 3" xfId="24181"/>
    <cellStyle name="Input 3 2 2 55 4" xfId="32368"/>
    <cellStyle name="Input 3 2 2 55 5" xfId="41617"/>
    <cellStyle name="Input 3 2 2 55 6" xfId="46033"/>
    <cellStyle name="Input 3 2 2 55 7" xfId="53272"/>
    <cellStyle name="Input 3 2 2 56" xfId="7592"/>
    <cellStyle name="Input 3 2 2 56 2" xfId="15309"/>
    <cellStyle name="Input 3 2 2 56 3" xfId="24302"/>
    <cellStyle name="Input 3 2 2 56 4" xfId="32489"/>
    <cellStyle name="Input 3 2 2 56 5" xfId="41732"/>
    <cellStyle name="Input 3 2 2 56 6" xfId="46154"/>
    <cellStyle name="Input 3 2 2 56 7" xfId="48428"/>
    <cellStyle name="Input 3 2 2 57" xfId="7868"/>
    <cellStyle name="Input 3 2 2 57 2" xfId="15585"/>
    <cellStyle name="Input 3 2 2 57 3" xfId="24572"/>
    <cellStyle name="Input 3 2 2 57 4" xfId="32765"/>
    <cellStyle name="Input 3 2 2 57 5" xfId="41997"/>
    <cellStyle name="Input 3 2 2 57 6" xfId="46430"/>
    <cellStyle name="Input 3 2 2 57 7" xfId="47745"/>
    <cellStyle name="Input 3 2 2 58" xfId="7956"/>
    <cellStyle name="Input 3 2 2 58 2" xfId="15673"/>
    <cellStyle name="Input 3 2 2 58 3" xfId="24659"/>
    <cellStyle name="Input 3 2 2 58 4" xfId="32853"/>
    <cellStyle name="Input 3 2 2 58 5" xfId="42081"/>
    <cellStyle name="Input 3 2 2 58 6" xfId="46518"/>
    <cellStyle name="Input 3 2 2 58 7" xfId="47972"/>
    <cellStyle name="Input 3 2 2 59" xfId="8046"/>
    <cellStyle name="Input 3 2 2 59 2" xfId="15763"/>
    <cellStyle name="Input 3 2 2 59 3" xfId="24748"/>
    <cellStyle name="Input 3 2 2 59 4" xfId="32943"/>
    <cellStyle name="Input 3 2 2 59 5" xfId="42168"/>
    <cellStyle name="Input 3 2 2 59 6" xfId="46608"/>
    <cellStyle name="Input 3 2 2 59 7" xfId="52557"/>
    <cellStyle name="Input 3 2 2 6" xfId="1489"/>
    <cellStyle name="Input 3 2 2 6 2" xfId="9312"/>
    <cellStyle name="Input 3 2 2 6 3" xfId="16740"/>
    <cellStyle name="Input 3 2 2 6 4" xfId="26205"/>
    <cellStyle name="Input 3 2 2 6 5" xfId="34887"/>
    <cellStyle name="Input 3 2 2 6 6" xfId="36665"/>
    <cellStyle name="Input 3 2 2 6 7" xfId="53437"/>
    <cellStyle name="Input 3 2 2 60" xfId="8144"/>
    <cellStyle name="Input 3 2 2 60 2" xfId="15861"/>
    <cellStyle name="Input 3 2 2 60 3" xfId="33041"/>
    <cellStyle name="Input 3 2 2 60 4" xfId="42261"/>
    <cellStyle name="Input 3 2 2 60 5" xfId="46706"/>
    <cellStyle name="Input 3 2 2 60 6" xfId="49372"/>
    <cellStyle name="Input 3 2 2 61" xfId="20035"/>
    <cellStyle name="Input 3 2 2 62" xfId="27901"/>
    <cellStyle name="Input 3 2 2 63" xfId="36657"/>
    <cellStyle name="Input 3 2 2 64" xfId="48833"/>
    <cellStyle name="Input 3 2 2 7" xfId="1632"/>
    <cellStyle name="Input 3 2 2 7 2" xfId="9455"/>
    <cellStyle name="Input 3 2 2 7 3" xfId="16883"/>
    <cellStyle name="Input 3 2 2 7 4" xfId="26595"/>
    <cellStyle name="Input 3 2 2 7 5" xfId="35419"/>
    <cellStyle name="Input 3 2 2 7 6" xfId="37269"/>
    <cellStyle name="Input 3 2 2 7 7" xfId="54268"/>
    <cellStyle name="Input 3 2 2 8" xfId="1726"/>
    <cellStyle name="Input 3 2 2 8 2" xfId="9549"/>
    <cellStyle name="Input 3 2 2 8 3" xfId="16977"/>
    <cellStyle name="Input 3 2 2 8 4" xfId="25353"/>
    <cellStyle name="Input 3 2 2 8 5" xfId="33788"/>
    <cellStyle name="Input 3 2 2 8 6" xfId="42134"/>
    <cellStyle name="Input 3 2 2 8 7" xfId="51540"/>
    <cellStyle name="Input 3 2 2 9" xfId="1860"/>
    <cellStyle name="Input 3 2 2 9 2" xfId="9683"/>
    <cellStyle name="Input 3 2 2 9 3" xfId="17111"/>
    <cellStyle name="Input 3 2 2 9 4" xfId="25704"/>
    <cellStyle name="Input 3 2 2 9 5" xfId="34244"/>
    <cellStyle name="Input 3 2 2 9 6" xfId="41217"/>
    <cellStyle name="Input 3 2 2 9 7" xfId="52321"/>
    <cellStyle name="Input 3 2 20" xfId="1284"/>
    <cellStyle name="Input 3 2 20 2" xfId="9107"/>
    <cellStyle name="Input 3 2 20 3" xfId="16535"/>
    <cellStyle name="Input 3 2 20 4" xfId="20658"/>
    <cellStyle name="Input 3 2 20 5" xfId="27397"/>
    <cellStyle name="Input 3 2 20 6" xfId="39842"/>
    <cellStyle name="Input 3 2 20 7" xfId="46786"/>
    <cellStyle name="Input 3 2 21" xfId="1602"/>
    <cellStyle name="Input 3 2 21 2" xfId="9425"/>
    <cellStyle name="Input 3 2 21 3" xfId="16853"/>
    <cellStyle name="Input 3 2 21 4" xfId="19126"/>
    <cellStyle name="Input 3 2 21 5" xfId="27094"/>
    <cellStyle name="Input 3 2 21 6" xfId="38279"/>
    <cellStyle name="Input 3 2 21 7" xfId="49883"/>
    <cellStyle name="Input 3 2 22" xfId="2558"/>
    <cellStyle name="Input 3 2 22 2" xfId="10381"/>
    <cellStyle name="Input 3 2 22 3" xfId="17809"/>
    <cellStyle name="Input 3 2 22 4" xfId="26448"/>
    <cellStyle name="Input 3 2 22 5" xfId="35223"/>
    <cellStyle name="Input 3 2 22 6" xfId="39280"/>
    <cellStyle name="Input 3 2 22 7" xfId="53955"/>
    <cellStyle name="Input 3 2 23" xfId="1080"/>
    <cellStyle name="Input 3 2 23 2" xfId="8904"/>
    <cellStyle name="Input 3 2 23 3" xfId="16332"/>
    <cellStyle name="Input 3 2 23 4" xfId="19998"/>
    <cellStyle name="Input 3 2 23 5" xfId="28739"/>
    <cellStyle name="Input 3 2 23 6" xfId="36535"/>
    <cellStyle name="Input 3 2 23 7" xfId="47379"/>
    <cellStyle name="Input 3 2 24" xfId="2298"/>
    <cellStyle name="Input 3 2 24 2" xfId="10121"/>
    <cellStyle name="Input 3 2 24 3" xfId="17549"/>
    <cellStyle name="Input 3 2 24 4" xfId="19352"/>
    <cellStyle name="Input 3 2 24 5" xfId="28594"/>
    <cellStyle name="Input 3 2 24 6" xfId="39454"/>
    <cellStyle name="Input 3 2 24 7" xfId="50049"/>
    <cellStyle name="Input 3 2 25" xfId="2342"/>
    <cellStyle name="Input 3 2 25 2" xfId="10165"/>
    <cellStyle name="Input 3 2 25 3" xfId="17593"/>
    <cellStyle name="Input 3 2 25 4" xfId="25413"/>
    <cellStyle name="Input 3 2 25 5" xfId="33869"/>
    <cellStyle name="Input 3 2 25 6" xfId="39104"/>
    <cellStyle name="Input 3 2 25 7" xfId="51676"/>
    <cellStyle name="Input 3 2 26" xfId="3107"/>
    <cellStyle name="Input 3 2 26 2" xfId="10912"/>
    <cellStyle name="Input 3 2 26 3" xfId="18293"/>
    <cellStyle name="Input 3 2 26 4" xfId="19207"/>
    <cellStyle name="Input 3 2 26 5" xfId="28573"/>
    <cellStyle name="Input 3 2 26 6" xfId="41801"/>
    <cellStyle name="Input 3 2 26 7" xfId="49905"/>
    <cellStyle name="Input 3 2 27" xfId="3158"/>
    <cellStyle name="Input 3 2 27 2" xfId="10960"/>
    <cellStyle name="Input 3 2 27 3" xfId="18330"/>
    <cellStyle name="Input 3 2 27 4" xfId="26262"/>
    <cellStyle name="Input 3 2 27 5" xfId="34960"/>
    <cellStyle name="Input 3 2 27 6" xfId="39111"/>
    <cellStyle name="Input 3 2 27 7" xfId="53562"/>
    <cellStyle name="Input 3 2 28" xfId="3034"/>
    <cellStyle name="Input 3 2 28 2" xfId="10849"/>
    <cellStyle name="Input 3 2 28 3" xfId="18260"/>
    <cellStyle name="Input 3 2 28 4" xfId="19129"/>
    <cellStyle name="Input 3 2 28 5" xfId="27675"/>
    <cellStyle name="Input 3 2 28 6" xfId="37187"/>
    <cellStyle name="Input 3 2 28 7" xfId="49869"/>
    <cellStyle name="Input 3 2 29" xfId="3192"/>
    <cellStyle name="Input 3 2 29 2" xfId="10993"/>
    <cellStyle name="Input 3 2 29 3" xfId="18345"/>
    <cellStyle name="Input 3 2 29 4" xfId="19141"/>
    <cellStyle name="Input 3 2 29 5" xfId="33115"/>
    <cellStyle name="Input 3 2 29 6" xfId="40323"/>
    <cellStyle name="Input 3 2 29 7" xfId="49819"/>
    <cellStyle name="Input 3 2 3" xfId="481"/>
    <cellStyle name="Input 3 2 3 10" xfId="1928"/>
    <cellStyle name="Input 3 2 3 10 2" xfId="9751"/>
    <cellStyle name="Input 3 2 3 10 3" xfId="17179"/>
    <cellStyle name="Input 3 2 3 10 4" xfId="26562"/>
    <cellStyle name="Input 3 2 3 10 5" xfId="35371"/>
    <cellStyle name="Input 3 2 3 10 6" xfId="41468"/>
    <cellStyle name="Input 3 2 3 10 7" xfId="54195"/>
    <cellStyle name="Input 3 2 3 11" xfId="2046"/>
    <cellStyle name="Input 3 2 3 11 2" xfId="9869"/>
    <cellStyle name="Input 3 2 3 11 3" xfId="17297"/>
    <cellStyle name="Input 3 2 3 11 4" xfId="26494"/>
    <cellStyle name="Input 3 2 3 11 5" xfId="35286"/>
    <cellStyle name="Input 3 2 3 11 6" xfId="38206"/>
    <cellStyle name="Input 3 2 3 11 7" xfId="54062"/>
    <cellStyle name="Input 3 2 3 12" xfId="2159"/>
    <cellStyle name="Input 3 2 3 12 2" xfId="9982"/>
    <cellStyle name="Input 3 2 3 12 3" xfId="17410"/>
    <cellStyle name="Input 3 2 3 12 4" xfId="20204"/>
    <cellStyle name="Input 3 2 3 12 5" xfId="27750"/>
    <cellStyle name="Input 3 2 3 12 6" xfId="41382"/>
    <cellStyle name="Input 3 2 3 12 7" xfId="48919"/>
    <cellStyle name="Input 3 2 3 13" xfId="2260"/>
    <cellStyle name="Input 3 2 3 13 2" xfId="10083"/>
    <cellStyle name="Input 3 2 3 13 3" xfId="17511"/>
    <cellStyle name="Input 3 2 3 13 4" xfId="26582"/>
    <cellStyle name="Input 3 2 3 13 5" xfId="35402"/>
    <cellStyle name="Input 3 2 3 13 6" xfId="38503"/>
    <cellStyle name="Input 3 2 3 13 7" xfId="54241"/>
    <cellStyle name="Input 3 2 3 14" xfId="1580"/>
    <cellStyle name="Input 3 2 3 14 2" xfId="9403"/>
    <cellStyle name="Input 3 2 3 14 3" xfId="16831"/>
    <cellStyle name="Input 3 2 3 14 4" xfId="25696"/>
    <cellStyle name="Input 3 2 3 14 5" xfId="34235"/>
    <cellStyle name="Input 3 2 3 14 6" xfId="40639"/>
    <cellStyle name="Input 3 2 3 14 7" xfId="52304"/>
    <cellStyle name="Input 3 2 3 15" xfId="2457"/>
    <cellStyle name="Input 3 2 3 15 2" xfId="10280"/>
    <cellStyle name="Input 3 2 3 15 3" xfId="17708"/>
    <cellStyle name="Input 3 2 3 15 4" xfId="19359"/>
    <cellStyle name="Input 3 2 3 15 5" xfId="28480"/>
    <cellStyle name="Input 3 2 3 15 6" xfId="40908"/>
    <cellStyle name="Input 3 2 3 15 7" xfId="49000"/>
    <cellStyle name="Input 3 2 3 16" xfId="2570"/>
    <cellStyle name="Input 3 2 3 16 2" xfId="10393"/>
    <cellStyle name="Input 3 2 3 16 3" xfId="17821"/>
    <cellStyle name="Input 3 2 3 16 4" xfId="25913"/>
    <cellStyle name="Input 3 2 3 16 5" xfId="34513"/>
    <cellStyle name="Input 3 2 3 16 6" xfId="38199"/>
    <cellStyle name="Input 3 2 3 16 7" xfId="52808"/>
    <cellStyle name="Input 3 2 3 17" xfId="2413"/>
    <cellStyle name="Input 3 2 3 17 2" xfId="10236"/>
    <cellStyle name="Input 3 2 3 17 3" xfId="17664"/>
    <cellStyle name="Input 3 2 3 17 4" xfId="25916"/>
    <cellStyle name="Input 3 2 3 17 5" xfId="34517"/>
    <cellStyle name="Input 3 2 3 17 6" xfId="38397"/>
    <cellStyle name="Input 3 2 3 17 7" xfId="52815"/>
    <cellStyle name="Input 3 2 3 18" xfId="2350"/>
    <cellStyle name="Input 3 2 3 18 2" xfId="10173"/>
    <cellStyle name="Input 3 2 3 18 3" xfId="17601"/>
    <cellStyle name="Input 3 2 3 18 4" xfId="25578"/>
    <cellStyle name="Input 3 2 3 18 5" xfId="34081"/>
    <cellStyle name="Input 3 2 3 18 6" xfId="38365"/>
    <cellStyle name="Input 3 2 3 18 7" xfId="52043"/>
    <cellStyle name="Input 3 2 3 19" xfId="2764"/>
    <cellStyle name="Input 3 2 3 19 2" xfId="10587"/>
    <cellStyle name="Input 3 2 3 19 3" xfId="18015"/>
    <cellStyle name="Input 3 2 3 19 4" xfId="26292"/>
    <cellStyle name="Input 3 2 3 19 5" xfId="35003"/>
    <cellStyle name="Input 3 2 3 19 6" xfId="40305"/>
    <cellStyle name="Input 3 2 3 19 7" xfId="53624"/>
    <cellStyle name="Input 3 2 3 2" xfId="632"/>
    <cellStyle name="Input 3 2 3 2 2" xfId="8456"/>
    <cellStyle name="Input 3 2 3 2 3" xfId="8304"/>
    <cellStyle name="Input 3 2 3 2 4" xfId="20429"/>
    <cellStyle name="Input 3 2 3 2 5" xfId="28747"/>
    <cellStyle name="Input 3 2 3 2 6" xfId="36345"/>
    <cellStyle name="Input 3 2 3 2 7" xfId="47689"/>
    <cellStyle name="Input 3 2 3 20" xfId="2871"/>
    <cellStyle name="Input 3 2 3 20 2" xfId="10694"/>
    <cellStyle name="Input 3 2 3 20 3" xfId="18122"/>
    <cellStyle name="Input 3 2 3 20 4" xfId="25326"/>
    <cellStyle name="Input 3 2 3 20 5" xfId="33756"/>
    <cellStyle name="Input 3 2 3 20 6" xfId="36725"/>
    <cellStyle name="Input 3 2 3 20 7" xfId="51488"/>
    <cellStyle name="Input 3 2 3 21" xfId="3247"/>
    <cellStyle name="Input 3 2 3 21 2" xfId="11040"/>
    <cellStyle name="Input 3 2 3 21 3" xfId="18369"/>
    <cellStyle name="Input 3 2 3 21 4" xfId="25054"/>
    <cellStyle name="Input 3 2 3 21 5" xfId="33414"/>
    <cellStyle name="Input 3 2 3 21 6" xfId="37848"/>
    <cellStyle name="Input 3 2 3 21 7" xfId="50907"/>
    <cellStyle name="Input 3 2 3 22" xfId="3367"/>
    <cellStyle name="Input 3 2 3 22 2" xfId="11158"/>
    <cellStyle name="Input 3 2 3 22 3" xfId="18480"/>
    <cellStyle name="Input 3 2 3 22 4" xfId="26197"/>
    <cellStyle name="Input 3 2 3 22 5" xfId="34878"/>
    <cellStyle name="Input 3 2 3 22 6" xfId="40346"/>
    <cellStyle name="Input 3 2 3 22 7" xfId="53420"/>
    <cellStyle name="Input 3 2 3 23" xfId="3576"/>
    <cellStyle name="Input 3 2 3 23 2" xfId="11365"/>
    <cellStyle name="Input 3 2 3 23 3" xfId="18645"/>
    <cellStyle name="Input 3 2 3 23 4" xfId="26672"/>
    <cellStyle name="Input 3 2 3 23 5" xfId="35519"/>
    <cellStyle name="Input 3 2 3 23 6" xfId="41959"/>
    <cellStyle name="Input 3 2 3 23 7" xfId="54438"/>
    <cellStyle name="Input 3 2 3 24" xfId="3637"/>
    <cellStyle name="Input 3 2 3 24 2" xfId="11422"/>
    <cellStyle name="Input 3 2 3 24 3" xfId="18695"/>
    <cellStyle name="Input 3 2 3 24 4" xfId="19366"/>
    <cellStyle name="Input 3 2 3 24 5" xfId="28507"/>
    <cellStyle name="Input 3 2 3 24 6" xfId="37022"/>
    <cellStyle name="Input 3 2 3 24 7" xfId="49592"/>
    <cellStyle name="Input 3 2 3 25" xfId="3768"/>
    <cellStyle name="Input 3 2 3 25 2" xfId="11550"/>
    <cellStyle name="Input 3 2 3 25 3" xfId="18807"/>
    <cellStyle name="Input 3 2 3 25 4" xfId="25221"/>
    <cellStyle name="Input 3 2 3 25 5" xfId="33621"/>
    <cellStyle name="Input 3 2 3 25 6" xfId="37776"/>
    <cellStyle name="Input 3 2 3 25 7" xfId="51266"/>
    <cellStyle name="Input 3 2 3 26" xfId="3885"/>
    <cellStyle name="Input 3 2 3 26 2" xfId="11665"/>
    <cellStyle name="Input 3 2 3 26 3" xfId="18916"/>
    <cellStyle name="Input 3 2 3 26 4" xfId="25994"/>
    <cellStyle name="Input 3 2 3 26 5" xfId="34616"/>
    <cellStyle name="Input 3 2 3 26 6" xfId="40769"/>
    <cellStyle name="Input 3 2 3 26 7" xfId="52981"/>
    <cellStyle name="Input 3 2 3 27" xfId="3882"/>
    <cellStyle name="Input 3 2 3 27 2" xfId="11663"/>
    <cellStyle name="Input 3 2 3 27 3" xfId="20652"/>
    <cellStyle name="Input 3 2 3 27 4" xfId="28823"/>
    <cellStyle name="Input 3 2 3 27 5" xfId="38215"/>
    <cellStyle name="Input 3 2 3 27 6" xfId="42550"/>
    <cellStyle name="Input 3 2 3 27 7" xfId="53133"/>
    <cellStyle name="Input 3 2 3 28" xfId="4082"/>
    <cellStyle name="Input 3 2 3 28 2" xfId="11842"/>
    <cellStyle name="Input 3 2 3 28 3" xfId="20792"/>
    <cellStyle name="Input 3 2 3 28 4" xfId="28979"/>
    <cellStyle name="Input 3 2 3 28 5" xfId="38358"/>
    <cellStyle name="Input 3 2 3 28 6" xfId="42644"/>
    <cellStyle name="Input 3 2 3 28 7" xfId="48258"/>
    <cellStyle name="Input 3 2 3 29" xfId="4223"/>
    <cellStyle name="Input 3 2 3 29 2" xfId="20933"/>
    <cellStyle name="Input 3 2 3 29 3" xfId="29120"/>
    <cellStyle name="Input 3 2 3 29 4" xfId="38495"/>
    <cellStyle name="Input 3 2 3 29 5" xfId="42785"/>
    <cellStyle name="Input 3 2 3 29 6" xfId="49035"/>
    <cellStyle name="Input 3 2 3 3" xfId="739"/>
    <cellStyle name="Input 3 2 3 3 2" xfId="8563"/>
    <cellStyle name="Input 3 2 3 3 3" xfId="15991"/>
    <cellStyle name="Input 3 2 3 3 4" xfId="20401"/>
    <cellStyle name="Input 3 2 3 3 5" xfId="27066"/>
    <cellStyle name="Input 3 2 3 3 6" xfId="36331"/>
    <cellStyle name="Input 3 2 3 3 7" xfId="49389"/>
    <cellStyle name="Input 3 2 3 30" xfId="4279"/>
    <cellStyle name="Input 3 2 3 30 2" xfId="11996"/>
    <cellStyle name="Input 3 2 3 30 3" xfId="20989"/>
    <cellStyle name="Input 3 2 3 30 4" xfId="29176"/>
    <cellStyle name="Input 3 2 3 30 5" xfId="38549"/>
    <cellStyle name="Input 3 2 3 30 6" xfId="42841"/>
    <cellStyle name="Input 3 2 3 30 7" xfId="51107"/>
    <cellStyle name="Input 3 2 3 31" xfId="4402"/>
    <cellStyle name="Input 3 2 3 31 2" xfId="12119"/>
    <cellStyle name="Input 3 2 3 31 3" xfId="21112"/>
    <cellStyle name="Input 3 2 3 31 4" xfId="29299"/>
    <cellStyle name="Input 3 2 3 31 5" xfId="38669"/>
    <cellStyle name="Input 3 2 3 31 6" xfId="42964"/>
    <cellStyle name="Input 3 2 3 31 7" xfId="48765"/>
    <cellStyle name="Input 3 2 3 32" xfId="4516"/>
    <cellStyle name="Input 3 2 3 32 2" xfId="12233"/>
    <cellStyle name="Input 3 2 3 32 3" xfId="21226"/>
    <cellStyle name="Input 3 2 3 32 4" xfId="29413"/>
    <cellStyle name="Input 3 2 3 32 5" xfId="38777"/>
    <cellStyle name="Input 3 2 3 32 6" xfId="43078"/>
    <cellStyle name="Input 3 2 3 32 7" xfId="49993"/>
    <cellStyle name="Input 3 2 3 33" xfId="4629"/>
    <cellStyle name="Input 3 2 3 33 2" xfId="12346"/>
    <cellStyle name="Input 3 2 3 33 3" xfId="21339"/>
    <cellStyle name="Input 3 2 3 33 4" xfId="29526"/>
    <cellStyle name="Input 3 2 3 33 5" xfId="38885"/>
    <cellStyle name="Input 3 2 3 33 6" xfId="43191"/>
    <cellStyle name="Input 3 2 3 33 7" xfId="54019"/>
    <cellStyle name="Input 3 2 3 34" xfId="4741"/>
    <cellStyle name="Input 3 2 3 34 2" xfId="12458"/>
    <cellStyle name="Input 3 2 3 34 3" xfId="21451"/>
    <cellStyle name="Input 3 2 3 34 4" xfId="29638"/>
    <cellStyle name="Input 3 2 3 34 5" xfId="38993"/>
    <cellStyle name="Input 3 2 3 34 6" xfId="43303"/>
    <cellStyle name="Input 3 2 3 34 7" xfId="50286"/>
    <cellStyle name="Input 3 2 3 35" xfId="4849"/>
    <cellStyle name="Input 3 2 3 35 2" xfId="12566"/>
    <cellStyle name="Input 3 2 3 35 3" xfId="21559"/>
    <cellStyle name="Input 3 2 3 35 4" xfId="29746"/>
    <cellStyle name="Input 3 2 3 35 5" xfId="39097"/>
    <cellStyle name="Input 3 2 3 35 6" xfId="43411"/>
    <cellStyle name="Input 3 2 3 35 7" xfId="48179"/>
    <cellStyle name="Input 3 2 3 36" xfId="4961"/>
    <cellStyle name="Input 3 2 3 36 2" xfId="12678"/>
    <cellStyle name="Input 3 2 3 36 3" xfId="21671"/>
    <cellStyle name="Input 3 2 3 36 4" xfId="29858"/>
    <cellStyle name="Input 3 2 3 36 5" xfId="39205"/>
    <cellStyle name="Input 3 2 3 36 6" xfId="43523"/>
    <cellStyle name="Input 3 2 3 36 7" xfId="51914"/>
    <cellStyle name="Input 3 2 3 37" xfId="5150"/>
    <cellStyle name="Input 3 2 3 37 2" xfId="12867"/>
    <cellStyle name="Input 3 2 3 37 3" xfId="21860"/>
    <cellStyle name="Input 3 2 3 37 4" xfId="30047"/>
    <cellStyle name="Input 3 2 3 37 5" xfId="39386"/>
    <cellStyle name="Input 3 2 3 37 6" xfId="43712"/>
    <cellStyle name="Input 3 2 3 37 7" xfId="54429"/>
    <cellStyle name="Input 3 2 3 38" xfId="5459"/>
    <cellStyle name="Input 3 2 3 38 2" xfId="13176"/>
    <cellStyle name="Input 3 2 3 38 3" xfId="22169"/>
    <cellStyle name="Input 3 2 3 38 4" xfId="30356"/>
    <cellStyle name="Input 3 2 3 38 5" xfId="39684"/>
    <cellStyle name="Input 3 2 3 38 6" xfId="44021"/>
    <cellStyle name="Input 3 2 3 38 7" xfId="52902"/>
    <cellStyle name="Input 3 2 3 39" xfId="5584"/>
    <cellStyle name="Input 3 2 3 39 2" xfId="13301"/>
    <cellStyle name="Input 3 2 3 39 3" xfId="22294"/>
    <cellStyle name="Input 3 2 3 39 4" xfId="30481"/>
    <cellStyle name="Input 3 2 3 39 5" xfId="39803"/>
    <cellStyle name="Input 3 2 3 39 6" xfId="44146"/>
    <cellStyle name="Input 3 2 3 39 7" xfId="47153"/>
    <cellStyle name="Input 3 2 3 4" xfId="851"/>
    <cellStyle name="Input 3 2 3 4 2" xfId="8675"/>
    <cellStyle name="Input 3 2 3 4 3" xfId="16103"/>
    <cellStyle name="Input 3 2 3 4 4" xfId="20574"/>
    <cellStyle name="Input 3 2 3 4 5" xfId="27150"/>
    <cellStyle name="Input 3 2 3 4 6" xfId="36389"/>
    <cellStyle name="Input 3 2 3 4 7" xfId="50208"/>
    <cellStyle name="Input 3 2 3 40" xfId="5699"/>
    <cellStyle name="Input 3 2 3 40 2" xfId="13416"/>
    <cellStyle name="Input 3 2 3 40 3" xfId="22409"/>
    <cellStyle name="Input 3 2 3 40 4" xfId="30596"/>
    <cellStyle name="Input 3 2 3 40 5" xfId="39914"/>
    <cellStyle name="Input 3 2 3 40 6" xfId="44261"/>
    <cellStyle name="Input 3 2 3 40 7" xfId="46932"/>
    <cellStyle name="Input 3 2 3 41" xfId="5816"/>
    <cellStyle name="Input 3 2 3 41 2" xfId="13533"/>
    <cellStyle name="Input 3 2 3 41 3" xfId="22526"/>
    <cellStyle name="Input 3 2 3 41 4" xfId="30713"/>
    <cellStyle name="Input 3 2 3 41 5" xfId="40028"/>
    <cellStyle name="Input 3 2 3 41 6" xfId="44378"/>
    <cellStyle name="Input 3 2 3 41 7" xfId="51553"/>
    <cellStyle name="Input 3 2 3 42" xfId="5944"/>
    <cellStyle name="Input 3 2 3 42 2" xfId="13661"/>
    <cellStyle name="Input 3 2 3 42 3" xfId="22654"/>
    <cellStyle name="Input 3 2 3 42 4" xfId="30841"/>
    <cellStyle name="Input 3 2 3 42 5" xfId="40152"/>
    <cellStyle name="Input 3 2 3 42 6" xfId="44506"/>
    <cellStyle name="Input 3 2 3 42 7" xfId="53078"/>
    <cellStyle name="Input 3 2 3 43" xfId="6102"/>
    <cellStyle name="Input 3 2 3 43 2" xfId="13819"/>
    <cellStyle name="Input 3 2 3 43 3" xfId="22812"/>
    <cellStyle name="Input 3 2 3 43 4" xfId="30999"/>
    <cellStyle name="Input 3 2 3 43 5" xfId="40301"/>
    <cellStyle name="Input 3 2 3 43 6" xfId="44664"/>
    <cellStyle name="Input 3 2 3 43 7" xfId="50998"/>
    <cellStyle name="Input 3 2 3 44" xfId="6200"/>
    <cellStyle name="Input 3 2 3 44 2" xfId="13917"/>
    <cellStyle name="Input 3 2 3 44 3" xfId="22910"/>
    <cellStyle name="Input 3 2 3 44 4" xfId="31097"/>
    <cellStyle name="Input 3 2 3 44 5" xfId="40398"/>
    <cellStyle name="Input 3 2 3 44 6" xfId="44762"/>
    <cellStyle name="Input 3 2 3 44 7" xfId="49717"/>
    <cellStyle name="Input 3 2 3 45" xfId="6317"/>
    <cellStyle name="Input 3 2 3 45 2" xfId="14034"/>
    <cellStyle name="Input 3 2 3 45 3" xfId="23027"/>
    <cellStyle name="Input 3 2 3 45 4" xfId="31214"/>
    <cellStyle name="Input 3 2 3 45 5" xfId="40514"/>
    <cellStyle name="Input 3 2 3 45 6" xfId="44879"/>
    <cellStyle name="Input 3 2 3 45 7" xfId="52368"/>
    <cellStyle name="Input 3 2 3 46" xfId="6427"/>
    <cellStyle name="Input 3 2 3 46 2" xfId="14144"/>
    <cellStyle name="Input 3 2 3 46 3" xfId="23137"/>
    <cellStyle name="Input 3 2 3 46 4" xfId="31324"/>
    <cellStyle name="Input 3 2 3 46 5" xfId="40619"/>
    <cellStyle name="Input 3 2 3 46 6" xfId="44989"/>
    <cellStyle name="Input 3 2 3 46 7" xfId="53433"/>
    <cellStyle name="Input 3 2 3 47" xfId="6527"/>
    <cellStyle name="Input 3 2 3 47 2" xfId="14244"/>
    <cellStyle name="Input 3 2 3 47 3" xfId="23237"/>
    <cellStyle name="Input 3 2 3 47 4" xfId="31424"/>
    <cellStyle name="Input 3 2 3 47 5" xfId="40715"/>
    <cellStyle name="Input 3 2 3 47 6" xfId="45089"/>
    <cellStyle name="Input 3 2 3 47 7" xfId="51152"/>
    <cellStyle name="Input 3 2 3 48" xfId="6574"/>
    <cellStyle name="Input 3 2 3 48 2" xfId="14291"/>
    <cellStyle name="Input 3 2 3 48 3" xfId="23284"/>
    <cellStyle name="Input 3 2 3 48 4" xfId="31471"/>
    <cellStyle name="Input 3 2 3 48 5" xfId="40759"/>
    <cellStyle name="Input 3 2 3 48 6" xfId="45136"/>
    <cellStyle name="Input 3 2 3 48 7" xfId="53616"/>
    <cellStyle name="Input 3 2 3 49" xfId="6685"/>
    <cellStyle name="Input 3 2 3 49 2" xfId="14402"/>
    <cellStyle name="Input 3 2 3 49 3" xfId="23395"/>
    <cellStyle name="Input 3 2 3 49 4" xfId="31582"/>
    <cellStyle name="Input 3 2 3 49 5" xfId="40866"/>
    <cellStyle name="Input 3 2 3 49 6" xfId="45247"/>
    <cellStyle name="Input 3 2 3 49 7" xfId="49088"/>
    <cellStyle name="Input 3 2 3 5" xfId="1316"/>
    <cellStyle name="Input 3 2 3 5 2" xfId="9139"/>
    <cellStyle name="Input 3 2 3 5 3" xfId="16567"/>
    <cellStyle name="Input 3 2 3 5 4" xfId="25823"/>
    <cellStyle name="Input 3 2 3 5 5" xfId="34405"/>
    <cellStyle name="Input 3 2 3 5 6" xfId="37152"/>
    <cellStyle name="Input 3 2 3 5 7" xfId="52614"/>
    <cellStyle name="Input 3 2 3 50" xfId="6800"/>
    <cellStyle name="Input 3 2 3 50 2" xfId="14517"/>
    <cellStyle name="Input 3 2 3 50 3" xfId="23510"/>
    <cellStyle name="Input 3 2 3 50 4" xfId="31697"/>
    <cellStyle name="Input 3 2 3 50 5" xfId="40975"/>
    <cellStyle name="Input 3 2 3 50 6" xfId="45362"/>
    <cellStyle name="Input 3 2 3 50 7" xfId="47624"/>
    <cellStyle name="Input 3 2 3 51" xfId="6913"/>
    <cellStyle name="Input 3 2 3 51 2" xfId="14630"/>
    <cellStyle name="Input 3 2 3 51 3" xfId="23623"/>
    <cellStyle name="Input 3 2 3 51 4" xfId="31810"/>
    <cellStyle name="Input 3 2 3 51 5" xfId="41082"/>
    <cellStyle name="Input 3 2 3 51 6" xfId="45475"/>
    <cellStyle name="Input 3 2 3 51 7" xfId="46820"/>
    <cellStyle name="Input 3 2 3 52" xfId="7025"/>
    <cellStyle name="Input 3 2 3 52 2" xfId="14742"/>
    <cellStyle name="Input 3 2 3 52 3" xfId="23735"/>
    <cellStyle name="Input 3 2 3 52 4" xfId="31922"/>
    <cellStyle name="Input 3 2 3 52 5" xfId="41189"/>
    <cellStyle name="Input 3 2 3 52 6" xfId="45587"/>
    <cellStyle name="Input 3 2 3 52 7" xfId="47204"/>
    <cellStyle name="Input 3 2 3 53" xfId="7313"/>
    <cellStyle name="Input 3 2 3 53 2" xfId="15030"/>
    <cellStyle name="Input 3 2 3 53 3" xfId="24023"/>
    <cellStyle name="Input 3 2 3 53 4" xfId="32210"/>
    <cellStyle name="Input 3 2 3 53 5" xfId="41466"/>
    <cellStyle name="Input 3 2 3 53 6" xfId="45875"/>
    <cellStyle name="Input 3 2 3 53 7" xfId="51587"/>
    <cellStyle name="Input 3 2 3 54" xfId="7363"/>
    <cellStyle name="Input 3 2 3 54 2" xfId="15080"/>
    <cellStyle name="Input 3 2 3 54 3" xfId="24073"/>
    <cellStyle name="Input 3 2 3 54 4" xfId="32260"/>
    <cellStyle name="Input 3 2 3 54 5" xfId="41516"/>
    <cellStyle name="Input 3 2 3 54 6" xfId="45925"/>
    <cellStyle name="Input 3 2 3 54 7" xfId="49950"/>
    <cellStyle name="Input 3 2 3 55" xfId="7422"/>
    <cellStyle name="Input 3 2 3 55 2" xfId="15139"/>
    <cellStyle name="Input 3 2 3 55 3" xfId="24132"/>
    <cellStyle name="Input 3 2 3 55 4" xfId="32319"/>
    <cellStyle name="Input 3 2 3 55 5" xfId="41571"/>
    <cellStyle name="Input 3 2 3 55 6" xfId="45984"/>
    <cellStyle name="Input 3 2 3 55 7" xfId="50997"/>
    <cellStyle name="Input 3 2 3 56" xfId="7543"/>
    <cellStyle name="Input 3 2 3 56 2" xfId="15260"/>
    <cellStyle name="Input 3 2 3 56 3" xfId="24253"/>
    <cellStyle name="Input 3 2 3 56 4" xfId="32440"/>
    <cellStyle name="Input 3 2 3 56 5" xfId="41686"/>
    <cellStyle name="Input 3 2 3 56 6" xfId="46105"/>
    <cellStyle name="Input 3 2 3 56 7" xfId="53136"/>
    <cellStyle name="Input 3 2 3 57" xfId="7819"/>
    <cellStyle name="Input 3 2 3 57 2" xfId="15536"/>
    <cellStyle name="Input 3 2 3 57 3" xfId="24523"/>
    <cellStyle name="Input 3 2 3 57 4" xfId="32716"/>
    <cellStyle name="Input 3 2 3 57 5" xfId="41951"/>
    <cellStyle name="Input 3 2 3 57 6" xfId="46381"/>
    <cellStyle name="Input 3 2 3 57 7" xfId="53998"/>
    <cellStyle name="Input 3 2 3 58" xfId="7781"/>
    <cellStyle name="Input 3 2 3 58 2" xfId="15498"/>
    <cellStyle name="Input 3 2 3 58 3" xfId="24487"/>
    <cellStyle name="Input 3 2 3 58 4" xfId="32678"/>
    <cellStyle name="Input 3 2 3 58 5" xfId="41913"/>
    <cellStyle name="Input 3 2 3 58 6" xfId="46343"/>
    <cellStyle name="Input 3 2 3 58 7" xfId="49867"/>
    <cellStyle name="Input 3 2 3 59" xfId="7679"/>
    <cellStyle name="Input 3 2 3 59 2" xfId="15396"/>
    <cellStyle name="Input 3 2 3 59 3" xfId="24387"/>
    <cellStyle name="Input 3 2 3 59 4" xfId="32576"/>
    <cellStyle name="Input 3 2 3 59 5" xfId="41814"/>
    <cellStyle name="Input 3 2 3 59 6" xfId="46241"/>
    <cellStyle name="Input 3 2 3 59 7" xfId="54359"/>
    <cellStyle name="Input 3 2 3 6" xfId="1439"/>
    <cellStyle name="Input 3 2 3 6 2" xfId="9262"/>
    <cellStyle name="Input 3 2 3 6 3" xfId="16690"/>
    <cellStyle name="Input 3 2 3 6 4" xfId="25671"/>
    <cellStyle name="Input 3 2 3 6 5" xfId="34203"/>
    <cellStyle name="Input 3 2 3 6 6" xfId="40171"/>
    <cellStyle name="Input 3 2 3 6 7" xfId="52241"/>
    <cellStyle name="Input 3 2 3 60" xfId="8095"/>
    <cellStyle name="Input 3 2 3 60 2" xfId="15812"/>
    <cellStyle name="Input 3 2 3 60 3" xfId="32992"/>
    <cellStyle name="Input 3 2 3 60 4" xfId="42214"/>
    <cellStyle name="Input 3 2 3 60 5" xfId="46657"/>
    <cellStyle name="Input 3 2 3 60 6" xfId="48402"/>
    <cellStyle name="Input 3 2 3 61" xfId="26618"/>
    <cellStyle name="Input 3 2 3 62" xfId="35450"/>
    <cellStyle name="Input 3 2 3 63" xfId="36909"/>
    <cellStyle name="Input 3 2 3 64" xfId="54323"/>
    <cellStyle name="Input 3 2 3 7" xfId="1229"/>
    <cellStyle name="Input 3 2 3 7 2" xfId="9052"/>
    <cellStyle name="Input 3 2 3 7 3" xfId="16480"/>
    <cellStyle name="Input 3 2 3 7 4" xfId="20688"/>
    <cellStyle name="Input 3 2 3 7 5" xfId="27139"/>
    <cellStyle name="Input 3 2 3 7 6" xfId="37891"/>
    <cellStyle name="Input 3 2 3 7 7" xfId="48758"/>
    <cellStyle name="Input 3 2 3 8" xfId="1676"/>
    <cellStyle name="Input 3 2 3 8 2" xfId="9499"/>
    <cellStyle name="Input 3 2 3 8 3" xfId="16927"/>
    <cellStyle name="Input 3 2 3 8 4" xfId="20551"/>
    <cellStyle name="Input 3 2 3 8 5" xfId="27064"/>
    <cellStyle name="Input 3 2 3 8 6" xfId="38249"/>
    <cellStyle name="Input 3 2 3 8 7" xfId="47741"/>
    <cellStyle name="Input 3 2 3 9" xfId="1810"/>
    <cellStyle name="Input 3 2 3 9 2" xfId="9633"/>
    <cellStyle name="Input 3 2 3 9 3" xfId="17061"/>
    <cellStyle name="Input 3 2 3 9 4" xfId="20073"/>
    <cellStyle name="Input 3 2 3 9 5" xfId="27796"/>
    <cellStyle name="Input 3 2 3 9 6" xfId="40111"/>
    <cellStyle name="Input 3 2 3 9 7" xfId="49603"/>
    <cellStyle name="Input 3 2 30" xfId="3142"/>
    <cellStyle name="Input 3 2 30 2" xfId="10947"/>
    <cellStyle name="Input 3 2 30 3" xfId="18320"/>
    <cellStyle name="Input 3 2 30 4" xfId="19732"/>
    <cellStyle name="Input 3 2 30 5" xfId="27446"/>
    <cellStyle name="Input 3 2 30 6" xfId="40774"/>
    <cellStyle name="Input 3 2 30 7" xfId="46918"/>
    <cellStyle name="Input 3 2 31" xfId="3246"/>
    <cellStyle name="Input 3 2 31 2" xfId="11039"/>
    <cellStyle name="Input 3 2 31 3" xfId="18368"/>
    <cellStyle name="Input 3 2 31 4" xfId="25107"/>
    <cellStyle name="Input 3 2 31 5" xfId="33472"/>
    <cellStyle name="Input 3 2 31 6" xfId="37914"/>
    <cellStyle name="Input 3 2 31 7" xfId="51022"/>
    <cellStyle name="Input 3 2 32" xfId="3859"/>
    <cellStyle name="Input 3 2 32 2" xfId="11641"/>
    <cellStyle name="Input 3 2 32 3" xfId="20642"/>
    <cellStyle name="Input 3 2 32 4" xfId="28812"/>
    <cellStyle name="Input 3 2 32 5" xfId="38205"/>
    <cellStyle name="Input 3 2 32 6" xfId="42546"/>
    <cellStyle name="Input 3 2 32 7" xfId="47264"/>
    <cellStyle name="Input 3 2 33" xfId="3494"/>
    <cellStyle name="Input 3 2 33 2" xfId="11285"/>
    <cellStyle name="Input 3 2 33 3" xfId="20479"/>
    <cellStyle name="Input 3 2 33 4" xfId="28601"/>
    <cellStyle name="Input 3 2 33 5" xfId="37977"/>
    <cellStyle name="Input 3 2 33 6" xfId="42487"/>
    <cellStyle name="Input 3 2 33 7" xfId="51818"/>
    <cellStyle name="Input 3 2 34" xfId="4196"/>
    <cellStyle name="Input 3 2 34 2" xfId="20906"/>
    <cellStyle name="Input 3 2 34 3" xfId="29093"/>
    <cellStyle name="Input 3 2 34 4" xfId="38469"/>
    <cellStyle name="Input 3 2 34 5" xfId="42758"/>
    <cellStyle name="Input 3 2 34 6" xfId="52343"/>
    <cellStyle name="Input 3 2 35" xfId="3563"/>
    <cellStyle name="Input 3 2 35 2" xfId="11352"/>
    <cellStyle name="Input 3 2 35 3" xfId="20522"/>
    <cellStyle name="Input 3 2 35 4" xfId="28651"/>
    <cellStyle name="Input 3 2 35 5" xfId="38030"/>
    <cellStyle name="Input 3 2 35 6" xfId="42510"/>
    <cellStyle name="Input 3 2 35 7" xfId="50932"/>
    <cellStyle name="Input 3 2 36" xfId="4277"/>
    <cellStyle name="Input 3 2 36 2" xfId="11994"/>
    <cellStyle name="Input 3 2 36 3" xfId="20987"/>
    <cellStyle name="Input 3 2 36 4" xfId="29174"/>
    <cellStyle name="Input 3 2 36 5" xfId="38547"/>
    <cellStyle name="Input 3 2 36 6" xfId="42839"/>
    <cellStyle name="Input 3 2 36 7" xfId="51321"/>
    <cellStyle name="Input 3 2 37" xfId="3222"/>
    <cellStyle name="Input 3 2 37 2" xfId="11018"/>
    <cellStyle name="Input 3 2 37 3" xfId="20345"/>
    <cellStyle name="Input 3 2 37 4" xfId="28433"/>
    <cellStyle name="Input 3 2 37 5" xfId="37824"/>
    <cellStyle name="Input 3 2 37 6" xfId="42451"/>
    <cellStyle name="Input 3 2 37 7" xfId="53486"/>
    <cellStyle name="Input 3 2 38" xfId="3049"/>
    <cellStyle name="Input 3 2 38 2" xfId="10861"/>
    <cellStyle name="Input 3 2 38 3" xfId="20215"/>
    <cellStyle name="Input 3 2 38 4" xfId="28307"/>
    <cellStyle name="Input 3 2 38 5" xfId="37687"/>
    <cellStyle name="Input 3 2 38 6" xfId="42372"/>
    <cellStyle name="Input 3 2 38 7" xfId="49754"/>
    <cellStyle name="Input 3 2 39" xfId="4050"/>
    <cellStyle name="Input 3 2 39 2" xfId="11819"/>
    <cellStyle name="Input 3 2 39 3" xfId="20760"/>
    <cellStyle name="Input 3 2 39 4" xfId="28947"/>
    <cellStyle name="Input 3 2 39 5" xfId="38326"/>
    <cellStyle name="Input 3 2 39 6" xfId="42612"/>
    <cellStyle name="Input 3 2 39 7" xfId="52374"/>
    <cellStyle name="Input 3 2 4" xfId="542"/>
    <cellStyle name="Input 3 2 4 10" xfId="1989"/>
    <cellStyle name="Input 3 2 4 10 2" xfId="9812"/>
    <cellStyle name="Input 3 2 4 10 3" xfId="17240"/>
    <cellStyle name="Input 3 2 4 10 4" xfId="26447"/>
    <cellStyle name="Input 3 2 4 10 5" xfId="35222"/>
    <cellStyle name="Input 3 2 4 10 6" xfId="37138"/>
    <cellStyle name="Input 3 2 4 10 7" xfId="53954"/>
    <cellStyle name="Input 3 2 4 11" xfId="2107"/>
    <cellStyle name="Input 3 2 4 11 2" xfId="9930"/>
    <cellStyle name="Input 3 2 4 11 3" xfId="17358"/>
    <cellStyle name="Input 3 2 4 11 4" xfId="26676"/>
    <cellStyle name="Input 3 2 4 11 5" xfId="35523"/>
    <cellStyle name="Input 3 2 4 11 6" xfId="39296"/>
    <cellStyle name="Input 3 2 4 11 7" xfId="54445"/>
    <cellStyle name="Input 3 2 4 12" xfId="2220"/>
    <cellStyle name="Input 3 2 4 12 2" xfId="10043"/>
    <cellStyle name="Input 3 2 4 12 3" xfId="17471"/>
    <cellStyle name="Input 3 2 4 12 4" xfId="19293"/>
    <cellStyle name="Input 3 2 4 12 5" xfId="28436"/>
    <cellStyle name="Input 3 2 4 12 6" xfId="37340"/>
    <cellStyle name="Input 3 2 4 12 7" xfId="47569"/>
    <cellStyle name="Input 3 2 4 13" xfId="2311"/>
    <cellStyle name="Input 3 2 4 13 2" xfId="10134"/>
    <cellStyle name="Input 3 2 4 13 3" xfId="17562"/>
    <cellStyle name="Input 3 2 4 13 4" xfId="20499"/>
    <cellStyle name="Input 3 2 4 13 5" xfId="28143"/>
    <cellStyle name="Input 3 2 4 13 6" xfId="36587"/>
    <cellStyle name="Input 3 2 4 13 7" xfId="48681"/>
    <cellStyle name="Input 3 2 4 14" xfId="2405"/>
    <cellStyle name="Input 3 2 4 14 2" xfId="10228"/>
    <cellStyle name="Input 3 2 4 14 3" xfId="17656"/>
    <cellStyle name="Input 3 2 4 14 4" xfId="26227"/>
    <cellStyle name="Input 3 2 4 14 5" xfId="34914"/>
    <cellStyle name="Input 3 2 4 14 6" xfId="39136"/>
    <cellStyle name="Input 3 2 4 14 7" xfId="53477"/>
    <cellStyle name="Input 3 2 4 15" xfId="2518"/>
    <cellStyle name="Input 3 2 4 15 2" xfId="10341"/>
    <cellStyle name="Input 3 2 4 15 3" xfId="17769"/>
    <cellStyle name="Input 3 2 4 15 4" xfId="20133"/>
    <cellStyle name="Input 3 2 4 15 5" xfId="27568"/>
    <cellStyle name="Input 3 2 4 15 6" xfId="41822"/>
    <cellStyle name="Input 3 2 4 15 7" xfId="48981"/>
    <cellStyle name="Input 3 2 4 16" xfId="2631"/>
    <cellStyle name="Input 3 2 4 16 2" xfId="10454"/>
    <cellStyle name="Input 3 2 4 16 3" xfId="17882"/>
    <cellStyle name="Input 3 2 4 16 4" xfId="25682"/>
    <cellStyle name="Input 3 2 4 16 5" xfId="34215"/>
    <cellStyle name="Input 3 2 4 16 6" xfId="39304"/>
    <cellStyle name="Input 3 2 4 16 7" xfId="52268"/>
    <cellStyle name="Input 3 2 4 17" xfId="2711"/>
    <cellStyle name="Input 3 2 4 17 2" xfId="10534"/>
    <cellStyle name="Input 3 2 4 17 3" xfId="17962"/>
    <cellStyle name="Input 3 2 4 17 4" xfId="25547"/>
    <cellStyle name="Input 3 2 4 17 5" xfId="34039"/>
    <cellStyle name="Input 3 2 4 17 6" xfId="38292"/>
    <cellStyle name="Input 3 2 4 17 7" xfId="51973"/>
    <cellStyle name="Input 3 2 4 18" xfId="2748"/>
    <cellStyle name="Input 3 2 4 18 2" xfId="10571"/>
    <cellStyle name="Input 3 2 4 18 3" xfId="17999"/>
    <cellStyle name="Input 3 2 4 18 4" xfId="25492"/>
    <cellStyle name="Input 3 2 4 18 5" xfId="33967"/>
    <cellStyle name="Input 3 2 4 18 6" xfId="42284"/>
    <cellStyle name="Input 3 2 4 18 7" xfId="51853"/>
    <cellStyle name="Input 3 2 4 19" xfId="2824"/>
    <cellStyle name="Input 3 2 4 19 2" xfId="10647"/>
    <cellStyle name="Input 3 2 4 19 3" xfId="18075"/>
    <cellStyle name="Input 3 2 4 19 4" xfId="19585"/>
    <cellStyle name="Input 3 2 4 19 5" xfId="28882"/>
    <cellStyle name="Input 3 2 4 19 6" xfId="41906"/>
    <cellStyle name="Input 3 2 4 19 7" xfId="47712"/>
    <cellStyle name="Input 3 2 4 2" xfId="692"/>
    <cellStyle name="Input 3 2 4 2 2" xfId="8516"/>
    <cellStyle name="Input 3 2 4 2 3" xfId="15944"/>
    <cellStyle name="Input 3 2 4 2 4" xfId="20104"/>
    <cellStyle name="Input 3 2 4 2 5" xfId="27696"/>
    <cellStyle name="Input 3 2 4 2 6" xfId="36765"/>
    <cellStyle name="Input 3 2 4 2 7" xfId="47934"/>
    <cellStyle name="Input 3 2 4 20" xfId="2931"/>
    <cellStyle name="Input 3 2 4 20 2" xfId="10754"/>
    <cellStyle name="Input 3 2 4 20 3" xfId="18182"/>
    <cellStyle name="Input 3 2 4 20 4" xfId="25478"/>
    <cellStyle name="Input 3 2 4 20 5" xfId="33951"/>
    <cellStyle name="Input 3 2 4 20 6" xfId="41142"/>
    <cellStyle name="Input 3 2 4 20 7" xfId="51826"/>
    <cellStyle name="Input 3 2 4 21" xfId="3307"/>
    <cellStyle name="Input 3 2 4 21 2" xfId="11100"/>
    <cellStyle name="Input 3 2 4 21 3" xfId="18429"/>
    <cellStyle name="Input 3 2 4 21 4" xfId="25183"/>
    <cellStyle name="Input 3 2 4 21 5" xfId="33566"/>
    <cellStyle name="Input 3 2 4 21 6" xfId="38845"/>
    <cellStyle name="Input 3 2 4 21 7" xfId="51183"/>
    <cellStyle name="Input 3 2 4 22" xfId="3427"/>
    <cellStyle name="Input 3 2 4 22 2" xfId="11218"/>
    <cellStyle name="Input 3 2 4 22 3" xfId="18540"/>
    <cellStyle name="Input 3 2 4 22 4" xfId="20385"/>
    <cellStyle name="Input 3 2 4 22 5" xfId="28558"/>
    <cellStyle name="Input 3 2 4 22 6" xfId="41620"/>
    <cellStyle name="Input 3 2 4 22 7" xfId="48572"/>
    <cellStyle name="Input 3 2 4 23" xfId="3075"/>
    <cellStyle name="Input 3 2 4 23 2" xfId="10883"/>
    <cellStyle name="Input 3 2 4 23 3" xfId="18276"/>
    <cellStyle name="Input 3 2 4 23 4" xfId="26024"/>
    <cellStyle name="Input 3 2 4 23 5" xfId="34653"/>
    <cellStyle name="Input 3 2 4 23 6" xfId="39236"/>
    <cellStyle name="Input 3 2 4 23 7" xfId="53042"/>
    <cellStyle name="Input 3 2 4 24" xfId="3698"/>
    <cellStyle name="Input 3 2 4 24 2" xfId="11483"/>
    <cellStyle name="Input 3 2 4 24 3" xfId="18756"/>
    <cellStyle name="Input 3 2 4 24 4" xfId="19334"/>
    <cellStyle name="Input 3 2 4 24 5" xfId="27272"/>
    <cellStyle name="Input 3 2 4 24 6" xfId="37091"/>
    <cellStyle name="Input 3 2 4 24 7" xfId="49434"/>
    <cellStyle name="Input 3 2 4 25" xfId="3828"/>
    <cellStyle name="Input 3 2 4 25 2" xfId="11610"/>
    <cellStyle name="Input 3 2 4 25 3" xfId="18867"/>
    <cellStyle name="Input 3 2 4 25 4" xfId="25383"/>
    <cellStyle name="Input 3 2 4 25 5" xfId="33831"/>
    <cellStyle name="Input 3 2 4 25 6" xfId="39102"/>
    <cellStyle name="Input 3 2 4 25 7" xfId="51612"/>
    <cellStyle name="Input 3 2 4 26" xfId="3946"/>
    <cellStyle name="Input 3 2 4 26 2" xfId="11726"/>
    <cellStyle name="Input 3 2 4 26 3" xfId="18976"/>
    <cellStyle name="Input 3 2 4 26 4" xfId="26503"/>
    <cellStyle name="Input 3 2 4 26 5" xfId="35297"/>
    <cellStyle name="Input 3 2 4 26 6" xfId="42085"/>
    <cellStyle name="Input 3 2 4 26 7" xfId="54081"/>
    <cellStyle name="Input 3 2 4 27" xfId="4020"/>
    <cellStyle name="Input 3 2 4 27 2" xfId="11795"/>
    <cellStyle name="Input 3 2 4 27 3" xfId="20730"/>
    <cellStyle name="Input 3 2 4 27 4" xfId="28917"/>
    <cellStyle name="Input 3 2 4 27 5" xfId="38300"/>
    <cellStyle name="Input 3 2 4 27 6" xfId="42582"/>
    <cellStyle name="Input 3 2 4 27 7" xfId="52463"/>
    <cellStyle name="Input 3 2 4 28" xfId="4143"/>
    <cellStyle name="Input 3 2 4 28 2" xfId="11902"/>
    <cellStyle name="Input 3 2 4 28 3" xfId="20853"/>
    <cellStyle name="Input 3 2 4 28 4" xfId="29040"/>
    <cellStyle name="Input 3 2 4 28 5" xfId="38416"/>
    <cellStyle name="Input 3 2 4 28 6" xfId="42705"/>
    <cellStyle name="Input 3 2 4 28 7" xfId="50177"/>
    <cellStyle name="Input 3 2 4 29" xfId="3210"/>
    <cellStyle name="Input 3 2 4 29 2" xfId="20336"/>
    <cellStyle name="Input 3 2 4 29 3" xfId="28427"/>
    <cellStyle name="Input 3 2 4 29 4" xfId="37815"/>
    <cellStyle name="Input 3 2 4 29 5" xfId="42447"/>
    <cellStyle name="Input 3 2 4 29 6" xfId="48439"/>
    <cellStyle name="Input 3 2 4 3" xfId="800"/>
    <cellStyle name="Input 3 2 4 3 2" xfId="8624"/>
    <cellStyle name="Input 3 2 4 3 3" xfId="16052"/>
    <cellStyle name="Input 3 2 4 3 4" xfId="19449"/>
    <cellStyle name="Input 3 2 4 3 5" xfId="27109"/>
    <cellStyle name="Input 3 2 4 3 6" xfId="36748"/>
    <cellStyle name="Input 3 2 4 3 7" xfId="49335"/>
    <cellStyle name="Input 3 2 4 30" xfId="4340"/>
    <cellStyle name="Input 3 2 4 30 2" xfId="12057"/>
    <cellStyle name="Input 3 2 4 30 3" xfId="21050"/>
    <cellStyle name="Input 3 2 4 30 4" xfId="29237"/>
    <cellStyle name="Input 3 2 4 30 5" xfId="38607"/>
    <cellStyle name="Input 3 2 4 30 6" xfId="42902"/>
    <cellStyle name="Input 3 2 4 30 7" xfId="47349"/>
    <cellStyle name="Input 3 2 4 31" xfId="4463"/>
    <cellStyle name="Input 3 2 4 31 2" xfId="12180"/>
    <cellStyle name="Input 3 2 4 31 3" xfId="21173"/>
    <cellStyle name="Input 3 2 4 31 4" xfId="29360"/>
    <cellStyle name="Input 3 2 4 31 5" xfId="38725"/>
    <cellStyle name="Input 3 2 4 31 6" xfId="43025"/>
    <cellStyle name="Input 3 2 4 31 7" xfId="48295"/>
    <cellStyle name="Input 3 2 4 32" xfId="4577"/>
    <cellStyle name="Input 3 2 4 32 2" xfId="12294"/>
    <cellStyle name="Input 3 2 4 32 3" xfId="21287"/>
    <cellStyle name="Input 3 2 4 32 4" xfId="29474"/>
    <cellStyle name="Input 3 2 4 32 5" xfId="38834"/>
    <cellStyle name="Input 3 2 4 32 6" xfId="43139"/>
    <cellStyle name="Input 3 2 4 32 7" xfId="52174"/>
    <cellStyle name="Input 3 2 4 33" xfId="4690"/>
    <cellStyle name="Input 3 2 4 33 2" xfId="12407"/>
    <cellStyle name="Input 3 2 4 33 3" xfId="21400"/>
    <cellStyle name="Input 3 2 4 33 4" xfId="29587"/>
    <cellStyle name="Input 3 2 4 33 5" xfId="38943"/>
    <cellStyle name="Input 3 2 4 33 6" xfId="43252"/>
    <cellStyle name="Input 3 2 4 33 7" xfId="52035"/>
    <cellStyle name="Input 3 2 4 34" xfId="4801"/>
    <cellStyle name="Input 3 2 4 34 2" xfId="12518"/>
    <cellStyle name="Input 3 2 4 34 3" xfId="21511"/>
    <cellStyle name="Input 3 2 4 34 4" xfId="29698"/>
    <cellStyle name="Input 3 2 4 34 5" xfId="39051"/>
    <cellStyle name="Input 3 2 4 34 6" xfId="43363"/>
    <cellStyle name="Input 3 2 4 34 7" xfId="51543"/>
    <cellStyle name="Input 3 2 4 35" xfId="4910"/>
    <cellStyle name="Input 3 2 4 35 2" xfId="12627"/>
    <cellStyle name="Input 3 2 4 35 3" xfId="21620"/>
    <cellStyle name="Input 3 2 4 35 4" xfId="29807"/>
    <cellStyle name="Input 3 2 4 35 5" xfId="39155"/>
    <cellStyle name="Input 3 2 4 35 6" xfId="43472"/>
    <cellStyle name="Input 3 2 4 35 7" xfId="48354"/>
    <cellStyle name="Input 3 2 4 36" xfId="5021"/>
    <cellStyle name="Input 3 2 4 36 2" xfId="12738"/>
    <cellStyle name="Input 3 2 4 36 3" xfId="21731"/>
    <cellStyle name="Input 3 2 4 36 4" xfId="29918"/>
    <cellStyle name="Input 3 2 4 36 5" xfId="39263"/>
    <cellStyle name="Input 3 2 4 36 6" xfId="43583"/>
    <cellStyle name="Input 3 2 4 36 7" xfId="52059"/>
    <cellStyle name="Input 3 2 4 37" xfId="5400"/>
    <cellStyle name="Input 3 2 4 37 2" xfId="13117"/>
    <cellStyle name="Input 3 2 4 37 3" xfId="22110"/>
    <cellStyle name="Input 3 2 4 37 4" xfId="30297"/>
    <cellStyle name="Input 3 2 4 37 5" xfId="39627"/>
    <cellStyle name="Input 3 2 4 37 6" xfId="43962"/>
    <cellStyle name="Input 3 2 4 37 7" xfId="51282"/>
    <cellStyle name="Input 3 2 4 38" xfId="5520"/>
    <cellStyle name="Input 3 2 4 38 2" xfId="13237"/>
    <cellStyle name="Input 3 2 4 38 3" xfId="22230"/>
    <cellStyle name="Input 3 2 4 38 4" xfId="30417"/>
    <cellStyle name="Input 3 2 4 38 5" xfId="39741"/>
    <cellStyle name="Input 3 2 4 38 6" xfId="44082"/>
    <cellStyle name="Input 3 2 4 38 7" xfId="48928"/>
    <cellStyle name="Input 3 2 4 39" xfId="5644"/>
    <cellStyle name="Input 3 2 4 39 2" xfId="13361"/>
    <cellStyle name="Input 3 2 4 39 3" xfId="22354"/>
    <cellStyle name="Input 3 2 4 39 4" xfId="30541"/>
    <cellStyle name="Input 3 2 4 39 5" xfId="39861"/>
    <cellStyle name="Input 3 2 4 39 6" xfId="44206"/>
    <cellStyle name="Input 3 2 4 39 7" xfId="47225"/>
    <cellStyle name="Input 3 2 4 4" xfId="911"/>
    <cellStyle name="Input 3 2 4 4 2" xfId="8735"/>
    <cellStyle name="Input 3 2 4 4 3" xfId="16163"/>
    <cellStyle name="Input 3 2 4 4 4" xfId="25973"/>
    <cellStyle name="Input 3 2 4 4 5" xfId="34585"/>
    <cellStyle name="Input 3 2 4 4 6" xfId="38266"/>
    <cellStyle name="Input 3 2 4 4 7" xfId="52935"/>
    <cellStyle name="Input 3 2 4 40" xfId="5760"/>
    <cellStyle name="Input 3 2 4 40 2" xfId="13477"/>
    <cellStyle name="Input 3 2 4 40 3" xfId="22470"/>
    <cellStyle name="Input 3 2 4 40 4" xfId="30657"/>
    <cellStyle name="Input 3 2 4 40 5" xfId="39973"/>
    <cellStyle name="Input 3 2 4 40 6" xfId="44322"/>
    <cellStyle name="Input 3 2 4 40 7" xfId="51090"/>
    <cellStyle name="Input 3 2 4 41" xfId="5876"/>
    <cellStyle name="Input 3 2 4 41 2" xfId="13593"/>
    <cellStyle name="Input 3 2 4 41 3" xfId="22586"/>
    <cellStyle name="Input 3 2 4 41 4" xfId="30773"/>
    <cellStyle name="Input 3 2 4 41 5" xfId="40086"/>
    <cellStyle name="Input 3 2 4 41 6" xfId="44438"/>
    <cellStyle name="Input 3 2 4 41 7" xfId="51961"/>
    <cellStyle name="Input 3 2 4 42" xfId="6005"/>
    <cellStyle name="Input 3 2 4 42 2" xfId="13722"/>
    <cellStyle name="Input 3 2 4 42 3" xfId="22715"/>
    <cellStyle name="Input 3 2 4 42 4" xfId="30902"/>
    <cellStyle name="Input 3 2 4 42 5" xfId="40210"/>
    <cellStyle name="Input 3 2 4 42 6" xfId="44567"/>
    <cellStyle name="Input 3 2 4 42 7" xfId="53985"/>
    <cellStyle name="Input 3 2 4 43" xfId="5074"/>
    <cellStyle name="Input 3 2 4 43 2" xfId="12791"/>
    <cellStyle name="Input 3 2 4 43 3" xfId="21784"/>
    <cellStyle name="Input 3 2 4 43 4" xfId="29971"/>
    <cellStyle name="Input 3 2 4 43 5" xfId="39314"/>
    <cellStyle name="Input 3 2 4 43 6" xfId="43636"/>
    <cellStyle name="Input 3 2 4 43 7" xfId="53712"/>
    <cellStyle name="Input 3 2 4 44" xfId="6261"/>
    <cellStyle name="Input 3 2 4 44 2" xfId="13978"/>
    <cellStyle name="Input 3 2 4 44 3" xfId="22971"/>
    <cellStyle name="Input 3 2 4 44 4" xfId="31158"/>
    <cellStyle name="Input 3 2 4 44 5" xfId="40458"/>
    <cellStyle name="Input 3 2 4 44 6" xfId="44823"/>
    <cellStyle name="Input 3 2 4 44 7" xfId="49059"/>
    <cellStyle name="Input 3 2 4 45" xfId="6377"/>
    <cellStyle name="Input 3 2 4 45 2" xfId="14094"/>
    <cellStyle name="Input 3 2 4 45 3" xfId="23087"/>
    <cellStyle name="Input 3 2 4 45 4" xfId="31274"/>
    <cellStyle name="Input 3 2 4 45 5" xfId="40571"/>
    <cellStyle name="Input 3 2 4 45 6" xfId="44939"/>
    <cellStyle name="Input 3 2 4 45 7" xfId="52354"/>
    <cellStyle name="Input 3 2 4 46" xfId="6488"/>
    <cellStyle name="Input 3 2 4 46 2" xfId="14205"/>
    <cellStyle name="Input 3 2 4 46 3" xfId="23198"/>
    <cellStyle name="Input 3 2 4 46 4" xfId="31385"/>
    <cellStyle name="Input 3 2 4 46 5" xfId="40678"/>
    <cellStyle name="Input 3 2 4 46 6" xfId="45050"/>
    <cellStyle name="Input 3 2 4 46 7" xfId="54400"/>
    <cellStyle name="Input 3 2 4 47" xfId="6557"/>
    <cellStyle name="Input 3 2 4 47 2" xfId="14274"/>
    <cellStyle name="Input 3 2 4 47 3" xfId="23267"/>
    <cellStyle name="Input 3 2 4 47 4" xfId="31454"/>
    <cellStyle name="Input 3 2 4 47 5" xfId="40743"/>
    <cellStyle name="Input 3 2 4 47 6" xfId="45119"/>
    <cellStyle name="Input 3 2 4 47 7" xfId="51841"/>
    <cellStyle name="Input 3 2 4 48" xfId="6634"/>
    <cellStyle name="Input 3 2 4 48 2" xfId="14351"/>
    <cellStyle name="Input 3 2 4 48 3" xfId="23344"/>
    <cellStyle name="Input 3 2 4 48 4" xfId="31531"/>
    <cellStyle name="Input 3 2 4 48 5" xfId="40817"/>
    <cellStyle name="Input 3 2 4 48 6" xfId="45196"/>
    <cellStyle name="Input 3 2 4 48 7" xfId="48577"/>
    <cellStyle name="Input 3 2 4 49" xfId="6746"/>
    <cellStyle name="Input 3 2 4 49 2" xfId="14463"/>
    <cellStyle name="Input 3 2 4 49 3" xfId="23456"/>
    <cellStyle name="Input 3 2 4 49 4" xfId="31643"/>
    <cellStyle name="Input 3 2 4 49 5" xfId="40923"/>
    <cellStyle name="Input 3 2 4 49 6" xfId="45308"/>
    <cellStyle name="Input 3 2 4 49 7" xfId="50365"/>
    <cellStyle name="Input 3 2 4 5" xfId="1377"/>
    <cellStyle name="Input 3 2 4 5 2" xfId="9200"/>
    <cellStyle name="Input 3 2 4 5 3" xfId="16628"/>
    <cellStyle name="Input 3 2 4 5 4" xfId="25760"/>
    <cellStyle name="Input 3 2 4 5 5" xfId="34314"/>
    <cellStyle name="Input 3 2 4 5 6" xfId="38789"/>
    <cellStyle name="Input 3 2 4 5 7" xfId="52455"/>
    <cellStyle name="Input 3 2 4 50" xfId="6861"/>
    <cellStyle name="Input 3 2 4 50 2" xfId="14578"/>
    <cellStyle name="Input 3 2 4 50 3" xfId="23571"/>
    <cellStyle name="Input 3 2 4 50 4" xfId="31758"/>
    <cellStyle name="Input 3 2 4 50 5" xfId="41031"/>
    <cellStyle name="Input 3 2 4 50 6" xfId="45423"/>
    <cellStyle name="Input 3 2 4 50 7" xfId="54521"/>
    <cellStyle name="Input 3 2 4 51" xfId="6974"/>
    <cellStyle name="Input 3 2 4 51 2" xfId="14691"/>
    <cellStyle name="Input 3 2 4 51 3" xfId="23684"/>
    <cellStyle name="Input 3 2 4 51 4" xfId="31871"/>
    <cellStyle name="Input 3 2 4 51 5" xfId="41139"/>
    <cellStyle name="Input 3 2 4 51 6" xfId="45536"/>
    <cellStyle name="Input 3 2 4 51 7" xfId="54515"/>
    <cellStyle name="Input 3 2 4 52" xfId="7085"/>
    <cellStyle name="Input 3 2 4 52 2" xfId="14802"/>
    <cellStyle name="Input 3 2 4 52 3" xfId="23795"/>
    <cellStyle name="Input 3 2 4 52 4" xfId="31982"/>
    <cellStyle name="Input 3 2 4 52 5" xfId="41244"/>
    <cellStyle name="Input 3 2 4 52 6" xfId="45647"/>
    <cellStyle name="Input 3 2 4 52 7" xfId="50696"/>
    <cellStyle name="Input 3 2 4 53" xfId="7194"/>
    <cellStyle name="Input 3 2 4 53 2" xfId="14911"/>
    <cellStyle name="Input 3 2 4 53 3" xfId="23904"/>
    <cellStyle name="Input 3 2 4 53 4" xfId="32091"/>
    <cellStyle name="Input 3 2 4 53 5" xfId="41352"/>
    <cellStyle name="Input 3 2 4 53 6" xfId="45756"/>
    <cellStyle name="Input 3 2 4 53 7" xfId="47592"/>
    <cellStyle name="Input 3 2 4 54" xfId="7388"/>
    <cellStyle name="Input 3 2 4 54 2" xfId="15105"/>
    <cellStyle name="Input 3 2 4 54 3" xfId="24098"/>
    <cellStyle name="Input 3 2 4 54 4" xfId="32285"/>
    <cellStyle name="Input 3 2 4 54 5" xfId="41541"/>
    <cellStyle name="Input 3 2 4 54 6" xfId="45950"/>
    <cellStyle name="Input 3 2 4 54 7" xfId="48413"/>
    <cellStyle name="Input 3 2 4 55" xfId="7482"/>
    <cellStyle name="Input 3 2 4 55 2" xfId="15199"/>
    <cellStyle name="Input 3 2 4 55 3" xfId="24192"/>
    <cellStyle name="Input 3 2 4 55 4" xfId="32379"/>
    <cellStyle name="Input 3 2 4 55 5" xfId="41627"/>
    <cellStyle name="Input 3 2 4 55 6" xfId="46044"/>
    <cellStyle name="Input 3 2 4 55 7" xfId="52236"/>
    <cellStyle name="Input 3 2 4 56" xfId="7603"/>
    <cellStyle name="Input 3 2 4 56 2" xfId="15320"/>
    <cellStyle name="Input 3 2 4 56 3" xfId="24313"/>
    <cellStyle name="Input 3 2 4 56 4" xfId="32500"/>
    <cellStyle name="Input 3 2 4 56 5" xfId="41742"/>
    <cellStyle name="Input 3 2 4 56 6" xfId="46165"/>
    <cellStyle name="Input 3 2 4 56 7" xfId="49701"/>
    <cellStyle name="Input 3 2 4 57" xfId="7879"/>
    <cellStyle name="Input 3 2 4 57 2" xfId="15596"/>
    <cellStyle name="Input 3 2 4 57 3" xfId="24583"/>
    <cellStyle name="Input 3 2 4 57 4" xfId="32776"/>
    <cellStyle name="Input 3 2 4 57 5" xfId="42007"/>
    <cellStyle name="Input 3 2 4 57 6" xfId="46441"/>
    <cellStyle name="Input 3 2 4 57 7" xfId="52560"/>
    <cellStyle name="Input 3 2 4 58" xfId="7946"/>
    <cellStyle name="Input 3 2 4 58 2" xfId="15663"/>
    <cellStyle name="Input 3 2 4 58 3" xfId="24649"/>
    <cellStyle name="Input 3 2 4 58 4" xfId="32843"/>
    <cellStyle name="Input 3 2 4 58 5" xfId="42072"/>
    <cellStyle name="Input 3 2 4 58 6" xfId="46508"/>
    <cellStyle name="Input 3 2 4 58 7" xfId="51847"/>
    <cellStyle name="Input 3 2 4 59" xfId="7695"/>
    <cellStyle name="Input 3 2 4 59 2" xfId="15412"/>
    <cellStyle name="Input 3 2 4 59 3" xfId="24403"/>
    <cellStyle name="Input 3 2 4 59 4" xfId="32592"/>
    <cellStyle name="Input 3 2 4 59 5" xfId="41830"/>
    <cellStyle name="Input 3 2 4 59 6" xfId="46257"/>
    <cellStyle name="Input 3 2 4 59 7" xfId="52597"/>
    <cellStyle name="Input 3 2 4 6" xfId="1500"/>
    <cellStyle name="Input 3 2 4 6 2" xfId="9323"/>
    <cellStyle name="Input 3 2 4 6 3" xfId="16751"/>
    <cellStyle name="Input 3 2 4 6 4" xfId="25745"/>
    <cellStyle name="Input 3 2 4 6 5" xfId="34296"/>
    <cellStyle name="Input 3 2 4 6 6" xfId="41254"/>
    <cellStyle name="Input 3 2 4 6 7" xfId="52423"/>
    <cellStyle name="Input 3 2 4 60" xfId="8155"/>
    <cellStyle name="Input 3 2 4 60 2" xfId="15872"/>
    <cellStyle name="Input 3 2 4 60 3" xfId="33052"/>
    <cellStyle name="Input 3 2 4 60 4" xfId="42271"/>
    <cellStyle name="Input 3 2 4 60 5" xfId="46717"/>
    <cellStyle name="Input 3 2 4 60 6" xfId="47766"/>
    <cellStyle name="Input 3 2 4 61" xfId="20082"/>
    <cellStyle name="Input 3 2 4 62" xfId="27127"/>
    <cellStyle name="Input 3 2 4 63" xfId="36264"/>
    <cellStyle name="Input 3 2 4 64" xfId="48956"/>
    <cellStyle name="Input 3 2 4 7" xfId="1609"/>
    <cellStyle name="Input 3 2 4 7 2" xfId="9432"/>
    <cellStyle name="Input 3 2 4 7 3" xfId="16860"/>
    <cellStyle name="Input 3 2 4 7 4" xfId="19197"/>
    <cellStyle name="Input 3 2 4 7 5" xfId="26927"/>
    <cellStyle name="Input 3 2 4 7 6" xfId="37854"/>
    <cellStyle name="Input 3 2 4 7 7" xfId="49128"/>
    <cellStyle name="Input 3 2 4 8" xfId="1737"/>
    <cellStyle name="Input 3 2 4 8 2" xfId="9560"/>
    <cellStyle name="Input 3 2 4 8 3" xfId="16988"/>
    <cellStyle name="Input 3 2 4 8 4" xfId="24882"/>
    <cellStyle name="Input 3 2 4 8 5" xfId="33196"/>
    <cellStyle name="Input 3 2 4 8 6" xfId="40927"/>
    <cellStyle name="Input 3 2 4 8 7" xfId="50523"/>
    <cellStyle name="Input 3 2 4 9" xfId="1871"/>
    <cellStyle name="Input 3 2 4 9 2" xfId="9694"/>
    <cellStyle name="Input 3 2 4 9 3" xfId="17122"/>
    <cellStyle name="Input 3 2 4 9 4" xfId="25092"/>
    <cellStyle name="Input 3 2 4 9 5" xfId="33454"/>
    <cellStyle name="Input 3 2 4 9 6" xfId="40282"/>
    <cellStyle name="Input 3 2 4 9 7" xfId="50991"/>
    <cellStyle name="Input 3 2 40" xfId="4255"/>
    <cellStyle name="Input 3 2 40 2" xfId="11979"/>
    <cellStyle name="Input 3 2 40 3" xfId="20965"/>
    <cellStyle name="Input 3 2 40 4" xfId="29152"/>
    <cellStyle name="Input 3 2 40 5" xfId="38525"/>
    <cellStyle name="Input 3 2 40 6" xfId="42817"/>
    <cellStyle name="Input 3 2 40 7" xfId="53564"/>
    <cellStyle name="Input 3 2 41" xfId="4048"/>
    <cellStyle name="Input 3 2 41 2" xfId="11817"/>
    <cellStyle name="Input 3 2 41 3" xfId="20758"/>
    <cellStyle name="Input 3 2 41 4" xfId="28945"/>
    <cellStyle name="Input 3 2 41 5" xfId="38324"/>
    <cellStyle name="Input 3 2 41 6" xfId="42610"/>
    <cellStyle name="Input 3 2 41 7" xfId="52572"/>
    <cellStyle name="Input 3 2 42" xfId="5241"/>
    <cellStyle name="Input 3 2 42 2" xfId="12958"/>
    <cellStyle name="Input 3 2 42 3" xfId="21951"/>
    <cellStyle name="Input 3 2 42 4" xfId="30138"/>
    <cellStyle name="Input 3 2 42 5" xfId="39473"/>
    <cellStyle name="Input 3 2 42 6" xfId="43803"/>
    <cellStyle name="Input 3 2 42 7" xfId="52749"/>
    <cellStyle name="Input 3 2 43" xfId="5162"/>
    <cellStyle name="Input 3 2 43 2" xfId="12879"/>
    <cellStyle name="Input 3 2 43 3" xfId="21872"/>
    <cellStyle name="Input 3 2 43 4" xfId="30059"/>
    <cellStyle name="Input 3 2 43 5" xfId="39398"/>
    <cellStyle name="Input 3 2 43 6" xfId="43724"/>
    <cellStyle name="Input 3 2 43 7" xfId="53213"/>
    <cellStyle name="Input 3 2 44" xfId="5169"/>
    <cellStyle name="Input 3 2 44 2" xfId="12886"/>
    <cellStyle name="Input 3 2 44 3" xfId="21879"/>
    <cellStyle name="Input 3 2 44 4" xfId="30066"/>
    <cellStyle name="Input 3 2 44 5" xfId="39405"/>
    <cellStyle name="Input 3 2 44 6" xfId="43731"/>
    <cellStyle name="Input 3 2 44 7" xfId="52650"/>
    <cellStyle name="Input 3 2 45" xfId="5186"/>
    <cellStyle name="Input 3 2 45 2" xfId="12903"/>
    <cellStyle name="Input 3 2 45 3" xfId="21896"/>
    <cellStyle name="Input 3 2 45 4" xfId="30083"/>
    <cellStyle name="Input 3 2 45 5" xfId="39422"/>
    <cellStyle name="Input 3 2 45 6" xfId="43748"/>
    <cellStyle name="Input 3 2 45 7" xfId="49604"/>
    <cellStyle name="Input 3 2 46" xfId="5257"/>
    <cellStyle name="Input 3 2 46 2" xfId="12974"/>
    <cellStyle name="Input 3 2 46 3" xfId="21967"/>
    <cellStyle name="Input 3 2 46 4" xfId="30154"/>
    <cellStyle name="Input 3 2 46 5" xfId="39489"/>
    <cellStyle name="Input 3 2 46 6" xfId="43819"/>
    <cellStyle name="Input 3 2 46 7" xfId="50944"/>
    <cellStyle name="Input 3 2 47" xfId="5213"/>
    <cellStyle name="Input 3 2 47 2" xfId="12930"/>
    <cellStyle name="Input 3 2 47 3" xfId="21923"/>
    <cellStyle name="Input 3 2 47 4" xfId="30110"/>
    <cellStyle name="Input 3 2 47 5" xfId="39445"/>
    <cellStyle name="Input 3 2 47 6" xfId="43775"/>
    <cellStyle name="Input 3 2 47 7" xfId="51666"/>
    <cellStyle name="Input 3 2 48" xfId="5304"/>
    <cellStyle name="Input 3 2 48 2" xfId="13021"/>
    <cellStyle name="Input 3 2 48 3" xfId="22014"/>
    <cellStyle name="Input 3 2 48 4" xfId="30201"/>
    <cellStyle name="Input 3 2 48 5" xfId="39535"/>
    <cellStyle name="Input 3 2 48 6" xfId="43866"/>
    <cellStyle name="Input 3 2 48 7" xfId="53763"/>
    <cellStyle name="Input 3 2 49" xfId="5908"/>
    <cellStyle name="Input 3 2 49 2" xfId="13625"/>
    <cellStyle name="Input 3 2 49 3" xfId="22618"/>
    <cellStyle name="Input 3 2 49 4" xfId="30805"/>
    <cellStyle name="Input 3 2 49 5" xfId="40118"/>
    <cellStyle name="Input 3 2 49 6" xfId="44470"/>
    <cellStyle name="Input 3 2 49 7" xfId="53607"/>
    <cellStyle name="Input 3 2 5" xfId="587"/>
    <cellStyle name="Input 3 2 5 10" xfId="2033"/>
    <cellStyle name="Input 3 2 5 10 2" xfId="9856"/>
    <cellStyle name="Input 3 2 5 10 3" xfId="17284"/>
    <cellStyle name="Input 3 2 5 10 4" xfId="19153"/>
    <cellStyle name="Input 3 2 5 10 5" xfId="28011"/>
    <cellStyle name="Input 3 2 5 10 6" xfId="39658"/>
    <cellStyle name="Input 3 2 5 10 7" xfId="49264"/>
    <cellStyle name="Input 3 2 5 11" xfId="2149"/>
    <cellStyle name="Input 3 2 5 11 2" xfId="9972"/>
    <cellStyle name="Input 3 2 5 11 3" xfId="17400"/>
    <cellStyle name="Input 3 2 5 11 4" xfId="20550"/>
    <cellStyle name="Input 3 2 5 11 5" xfId="27673"/>
    <cellStyle name="Input 3 2 5 11 6" xfId="36945"/>
    <cellStyle name="Input 3 2 5 11 7" xfId="49995"/>
    <cellStyle name="Input 3 2 5 12" xfId="2264"/>
    <cellStyle name="Input 3 2 5 12 2" xfId="10087"/>
    <cellStyle name="Input 3 2 5 12 3" xfId="17515"/>
    <cellStyle name="Input 3 2 5 12 4" xfId="26250"/>
    <cellStyle name="Input 3 2 5 12 5" xfId="34944"/>
    <cellStyle name="Input 3 2 5 12 6" xfId="38243"/>
    <cellStyle name="Input 3 2 5 12 7" xfId="53537"/>
    <cellStyle name="Input 3 2 5 13" xfId="2041"/>
    <cellStyle name="Input 3 2 5 13 2" xfId="9864"/>
    <cellStyle name="Input 3 2 5 13 3" xfId="17292"/>
    <cellStyle name="Input 3 2 5 13 4" xfId="19403"/>
    <cellStyle name="Input 3 2 5 13 5" xfId="27677"/>
    <cellStyle name="Input 3 2 5 13 6" xfId="38474"/>
    <cellStyle name="Input 3 2 5 13 7" xfId="48561"/>
    <cellStyle name="Input 3 2 5 14" xfId="2315"/>
    <cellStyle name="Input 3 2 5 14 2" xfId="10138"/>
    <cellStyle name="Input 3 2 5 14 3" xfId="17566"/>
    <cellStyle name="Input 3 2 5 14 4" xfId="25527"/>
    <cellStyle name="Input 3 2 5 14 5" xfId="34009"/>
    <cellStyle name="Input 3 2 5 14 6" xfId="41840"/>
    <cellStyle name="Input 3 2 5 14 7" xfId="51932"/>
    <cellStyle name="Input 3 2 5 15" xfId="2562"/>
    <cellStyle name="Input 3 2 5 15 2" xfId="10385"/>
    <cellStyle name="Input 3 2 5 15 3" xfId="17813"/>
    <cellStyle name="Input 3 2 5 15 4" xfId="26224"/>
    <cellStyle name="Input 3 2 5 15 5" xfId="34909"/>
    <cellStyle name="Input 3 2 5 15 6" xfId="38852"/>
    <cellStyle name="Input 3 2 5 15 7" xfId="53470"/>
    <cellStyle name="Input 3 2 5 16" xfId="2675"/>
    <cellStyle name="Input 3 2 5 16 2" xfId="10498"/>
    <cellStyle name="Input 3 2 5 16 3" xfId="17926"/>
    <cellStyle name="Input 3 2 5 16 4" xfId="26514"/>
    <cellStyle name="Input 3 2 5 16 5" xfId="35310"/>
    <cellStyle name="Input 3 2 5 16 6" xfId="42216"/>
    <cellStyle name="Input 3 2 5 16 7" xfId="54101"/>
    <cellStyle name="Input 3 2 5 17" xfId="1271"/>
    <cellStyle name="Input 3 2 5 17 2" xfId="9094"/>
    <cellStyle name="Input 3 2 5 17 3" xfId="16522"/>
    <cellStyle name="Input 3 2 5 17 4" xfId="20426"/>
    <cellStyle name="Input 3 2 5 17 5" xfId="27924"/>
    <cellStyle name="Input 3 2 5 17 6" xfId="41011"/>
    <cellStyle name="Input 3 2 5 17 7" xfId="46955"/>
    <cellStyle name="Input 3 2 5 18" xfId="1547"/>
    <cellStyle name="Input 3 2 5 18 2" xfId="9370"/>
    <cellStyle name="Input 3 2 5 18 3" xfId="16798"/>
    <cellStyle name="Input 3 2 5 18 4" xfId="20085"/>
    <cellStyle name="Input 3 2 5 18 5" xfId="27869"/>
    <cellStyle name="Input 3 2 5 18 6" xfId="37170"/>
    <cellStyle name="Input 3 2 5 18 7" xfId="47571"/>
    <cellStyle name="Input 3 2 5 19" xfId="2865"/>
    <cellStyle name="Input 3 2 5 19 2" xfId="10688"/>
    <cellStyle name="Input 3 2 5 19 3" xfId="18116"/>
    <cellStyle name="Input 3 2 5 19 4" xfId="25688"/>
    <cellStyle name="Input 3 2 5 19 5" xfId="34226"/>
    <cellStyle name="Input 3 2 5 19 6" xfId="38020"/>
    <cellStyle name="Input 3 2 5 19 7" xfId="52289"/>
    <cellStyle name="Input 3 2 5 2" xfId="732"/>
    <cellStyle name="Input 3 2 5 2 2" xfId="8556"/>
    <cellStyle name="Input 3 2 5 2 3" xfId="15984"/>
    <cellStyle name="Input 3 2 5 2 4" xfId="20105"/>
    <cellStyle name="Input 3 2 5 2 5" xfId="26790"/>
    <cellStyle name="Input 3 2 5 2 6" xfId="37439"/>
    <cellStyle name="Input 3 2 5 2 7" xfId="50344"/>
    <cellStyle name="Input 3 2 5 20" xfId="2971"/>
    <cellStyle name="Input 3 2 5 20 2" xfId="10794"/>
    <cellStyle name="Input 3 2 5 20 3" xfId="18222"/>
    <cellStyle name="Input 3 2 5 20 4" xfId="19679"/>
    <cellStyle name="Input 3 2 5 20 5" xfId="28835"/>
    <cellStyle name="Input 3 2 5 20 6" xfId="36906"/>
    <cellStyle name="Input 3 2 5 20 7" xfId="48878"/>
    <cellStyle name="Input 3 2 5 21" xfId="3351"/>
    <cellStyle name="Input 3 2 5 21 2" xfId="11144"/>
    <cellStyle name="Input 3 2 5 21 3" xfId="18470"/>
    <cellStyle name="Input 3 2 5 21 4" xfId="26275"/>
    <cellStyle name="Input 3 2 5 21 5" xfId="34976"/>
    <cellStyle name="Input 3 2 5 21 6" xfId="36852"/>
    <cellStyle name="Input 3 2 5 21 7" xfId="53587"/>
    <cellStyle name="Input 3 2 5 22" xfId="3470"/>
    <cellStyle name="Input 3 2 5 22 2" xfId="11261"/>
    <cellStyle name="Input 3 2 5 22 3" xfId="18580"/>
    <cellStyle name="Input 3 2 5 22 4" xfId="24892"/>
    <cellStyle name="Input 3 2 5 22 5" xfId="33208"/>
    <cellStyle name="Input 3 2 5 22 6" xfId="37496"/>
    <cellStyle name="Input 3 2 5 22 7" xfId="50543"/>
    <cellStyle name="Input 3 2 5 23" xfId="3628"/>
    <cellStyle name="Input 3 2 5 23 2" xfId="11413"/>
    <cellStyle name="Input 3 2 5 23 3" xfId="18687"/>
    <cellStyle name="Input 3 2 5 23 4" xfId="19088"/>
    <cellStyle name="Input 3 2 5 23 5" xfId="27193"/>
    <cellStyle name="Input 3 2 5 23 6" xfId="37134"/>
    <cellStyle name="Input 3 2 5 23 7" xfId="49225"/>
    <cellStyle name="Input 3 2 5 24" xfId="3743"/>
    <cellStyle name="Input 3 2 5 24 2" xfId="11528"/>
    <cellStyle name="Input 3 2 5 24 3" xfId="18798"/>
    <cellStyle name="Input 3 2 5 24 4" xfId="26420"/>
    <cellStyle name="Input 3 2 5 24 5" xfId="35182"/>
    <cellStyle name="Input 3 2 5 24 6" xfId="40529"/>
    <cellStyle name="Input 3 2 5 24 7" xfId="53897"/>
    <cellStyle name="Input 3 2 5 25" xfId="3871"/>
    <cellStyle name="Input 3 2 5 25 2" xfId="11653"/>
    <cellStyle name="Input 3 2 5 25 3" xfId="18908"/>
    <cellStyle name="Input 3 2 5 25 4" xfId="26596"/>
    <cellStyle name="Input 3 2 5 25 5" xfId="35422"/>
    <cellStyle name="Input 3 2 5 25 6" xfId="42224"/>
    <cellStyle name="Input 3 2 5 25 7" xfId="54271"/>
    <cellStyle name="Input 3 2 5 26" xfId="3990"/>
    <cellStyle name="Input 3 2 5 26 2" xfId="11769"/>
    <cellStyle name="Input 3 2 5 26 3" xfId="19016"/>
    <cellStyle name="Input 3 2 5 26 4" xfId="24988"/>
    <cellStyle name="Input 3 2 5 26 5" xfId="33333"/>
    <cellStyle name="Input 3 2 5 26 6" xfId="37855"/>
    <cellStyle name="Input 3 2 5 26 7" xfId="50766"/>
    <cellStyle name="Input 3 2 5 27" xfId="3234"/>
    <cellStyle name="Input 3 2 5 27 2" xfId="11028"/>
    <cellStyle name="Input 3 2 5 27 3" xfId="20354"/>
    <cellStyle name="Input 3 2 5 27 4" xfId="28443"/>
    <cellStyle name="Input 3 2 5 27 5" xfId="37834"/>
    <cellStyle name="Input 3 2 5 27 6" xfId="42458"/>
    <cellStyle name="Input 3 2 5 27 7" xfId="52474"/>
    <cellStyle name="Input 3 2 5 28" xfId="4186"/>
    <cellStyle name="Input 3 2 5 28 2" xfId="11945"/>
    <cellStyle name="Input 3 2 5 28 3" xfId="20896"/>
    <cellStyle name="Input 3 2 5 28 4" xfId="29083"/>
    <cellStyle name="Input 3 2 5 28 5" xfId="38459"/>
    <cellStyle name="Input 3 2 5 28 6" xfId="42748"/>
    <cellStyle name="Input 3 2 5 28 7" xfId="53163"/>
    <cellStyle name="Input 3 2 5 29" xfId="4211"/>
    <cellStyle name="Input 3 2 5 29 2" xfId="20921"/>
    <cellStyle name="Input 3 2 5 29 3" xfId="29108"/>
    <cellStyle name="Input 3 2 5 29 4" xfId="38484"/>
    <cellStyle name="Input 3 2 5 29 5" xfId="42773"/>
    <cellStyle name="Input 3 2 5 29 6" xfId="50709"/>
    <cellStyle name="Input 3 2 5 3" xfId="842"/>
    <cellStyle name="Input 3 2 5 3 2" xfId="8666"/>
    <cellStyle name="Input 3 2 5 3 3" xfId="16094"/>
    <cellStyle name="Input 3 2 5 3 4" xfId="25386"/>
    <cellStyle name="Input 3 2 5 3 5" xfId="33834"/>
    <cellStyle name="Input 3 2 5 3 6" xfId="37826"/>
    <cellStyle name="Input 3 2 5 3 7" xfId="51616"/>
    <cellStyle name="Input 3 2 5 30" xfId="4385"/>
    <cellStyle name="Input 3 2 5 30 2" xfId="12102"/>
    <cellStyle name="Input 3 2 5 30 3" xfId="21095"/>
    <cellStyle name="Input 3 2 5 30 4" xfId="29282"/>
    <cellStyle name="Input 3 2 5 30 5" xfId="38652"/>
    <cellStyle name="Input 3 2 5 30 6" xfId="42947"/>
    <cellStyle name="Input 3 2 5 30 7" xfId="50514"/>
    <cellStyle name="Input 3 2 5 31" xfId="4505"/>
    <cellStyle name="Input 3 2 5 31 2" xfId="12222"/>
    <cellStyle name="Input 3 2 5 31 3" xfId="21215"/>
    <cellStyle name="Input 3 2 5 31 4" xfId="29402"/>
    <cellStyle name="Input 3 2 5 31 5" xfId="38766"/>
    <cellStyle name="Input 3 2 5 31 6" xfId="43067"/>
    <cellStyle name="Input 3 2 5 31 7" xfId="50969"/>
    <cellStyle name="Input 3 2 5 32" xfId="4619"/>
    <cellStyle name="Input 3 2 5 32 2" xfId="12336"/>
    <cellStyle name="Input 3 2 5 32 3" xfId="21329"/>
    <cellStyle name="Input 3 2 5 32 4" xfId="29516"/>
    <cellStyle name="Input 3 2 5 32 5" xfId="38875"/>
    <cellStyle name="Input 3 2 5 32 6" xfId="43181"/>
    <cellStyle name="Input 3 2 5 32 7" xfId="52140"/>
    <cellStyle name="Input 3 2 5 33" xfId="4732"/>
    <cellStyle name="Input 3 2 5 33 2" xfId="12449"/>
    <cellStyle name="Input 3 2 5 33 3" xfId="21442"/>
    <cellStyle name="Input 3 2 5 33 4" xfId="29629"/>
    <cellStyle name="Input 3 2 5 33 5" xfId="38984"/>
    <cellStyle name="Input 3 2 5 33 6" xfId="43294"/>
    <cellStyle name="Input 3 2 5 33 7" xfId="51116"/>
    <cellStyle name="Input 3 2 5 34" xfId="4842"/>
    <cellStyle name="Input 3 2 5 34 2" xfId="12559"/>
    <cellStyle name="Input 3 2 5 34 3" xfId="21552"/>
    <cellStyle name="Input 3 2 5 34 4" xfId="29739"/>
    <cellStyle name="Input 3 2 5 34 5" xfId="39090"/>
    <cellStyle name="Input 3 2 5 34 6" xfId="43404"/>
    <cellStyle name="Input 3 2 5 34 7" xfId="48532"/>
    <cellStyle name="Input 3 2 5 35" xfId="4952"/>
    <cellStyle name="Input 3 2 5 35 2" xfId="12669"/>
    <cellStyle name="Input 3 2 5 35 3" xfId="21662"/>
    <cellStyle name="Input 3 2 5 35 4" xfId="29849"/>
    <cellStyle name="Input 3 2 5 35 5" xfId="39196"/>
    <cellStyle name="Input 3 2 5 35 6" xfId="43514"/>
    <cellStyle name="Input 3 2 5 35 7" xfId="52725"/>
    <cellStyle name="Input 3 2 5 36" xfId="5061"/>
    <cellStyle name="Input 3 2 5 36 2" xfId="12778"/>
    <cellStyle name="Input 3 2 5 36 3" xfId="21771"/>
    <cellStyle name="Input 3 2 5 36 4" xfId="29958"/>
    <cellStyle name="Input 3 2 5 36 5" xfId="39301"/>
    <cellStyle name="Input 3 2 5 36 6" xfId="43623"/>
    <cellStyle name="Input 3 2 5 36 7" xfId="51574"/>
    <cellStyle name="Input 3 2 5 37" xfId="5443"/>
    <cellStyle name="Input 3 2 5 37 2" xfId="13160"/>
    <cellStyle name="Input 3 2 5 37 3" xfId="22153"/>
    <cellStyle name="Input 3 2 5 37 4" xfId="30340"/>
    <cellStyle name="Input 3 2 5 37 5" xfId="39669"/>
    <cellStyle name="Input 3 2 5 37 6" xfId="44005"/>
    <cellStyle name="Input 3 2 5 37 7" xfId="54392"/>
    <cellStyle name="Input 3 2 5 38" xfId="5562"/>
    <cellStyle name="Input 3 2 5 38 2" xfId="13279"/>
    <cellStyle name="Input 3 2 5 38 3" xfId="22272"/>
    <cellStyle name="Input 3 2 5 38 4" xfId="30459"/>
    <cellStyle name="Input 3 2 5 38 5" xfId="39782"/>
    <cellStyle name="Input 3 2 5 38 6" xfId="44124"/>
    <cellStyle name="Input 3 2 5 38 7" xfId="47170"/>
    <cellStyle name="Input 3 2 5 39" xfId="5688"/>
    <cellStyle name="Input 3 2 5 39 2" xfId="13405"/>
    <cellStyle name="Input 3 2 5 39 3" xfId="22398"/>
    <cellStyle name="Input 3 2 5 39 4" xfId="30585"/>
    <cellStyle name="Input 3 2 5 39 5" xfId="39903"/>
    <cellStyle name="Input 3 2 5 39 6" xfId="44250"/>
    <cellStyle name="Input 3 2 5 39 7" xfId="47088"/>
    <cellStyle name="Input 3 2 5 4" xfId="951"/>
    <cellStyle name="Input 3 2 5 4 2" xfId="8775"/>
    <cellStyle name="Input 3 2 5 4 3" xfId="16203"/>
    <cellStyle name="Input 3 2 5 4 4" xfId="19024"/>
    <cellStyle name="Input 3 2 5 4 5" xfId="26965"/>
    <cellStyle name="Input 3 2 5 4 6" xfId="37254"/>
    <cellStyle name="Input 3 2 5 4 7" xfId="47316"/>
    <cellStyle name="Input 3 2 5 40" xfId="5802"/>
    <cellStyle name="Input 3 2 5 40 2" xfId="13519"/>
    <cellStyle name="Input 3 2 5 40 3" xfId="22512"/>
    <cellStyle name="Input 3 2 5 40 4" xfId="30699"/>
    <cellStyle name="Input 3 2 5 40 5" xfId="40014"/>
    <cellStyle name="Input 3 2 5 40 6" xfId="44364"/>
    <cellStyle name="Input 3 2 5 40 7" xfId="53175"/>
    <cellStyle name="Input 3 2 5 41" xfId="5921"/>
    <cellStyle name="Input 3 2 5 41 2" xfId="13638"/>
    <cellStyle name="Input 3 2 5 41 3" xfId="22631"/>
    <cellStyle name="Input 3 2 5 41 4" xfId="30818"/>
    <cellStyle name="Input 3 2 5 41 5" xfId="40130"/>
    <cellStyle name="Input 3 2 5 41 6" xfId="44483"/>
    <cellStyle name="Input 3 2 5 41 7" xfId="54098"/>
    <cellStyle name="Input 3 2 5 42" xfId="6047"/>
    <cellStyle name="Input 3 2 5 42 2" xfId="13764"/>
    <cellStyle name="Input 3 2 5 42 3" xfId="22757"/>
    <cellStyle name="Input 3 2 5 42 4" xfId="30944"/>
    <cellStyle name="Input 3 2 5 42 5" xfId="40251"/>
    <cellStyle name="Input 3 2 5 42 6" xfId="44609"/>
    <cellStyle name="Input 3 2 5 42 7" xfId="48231"/>
    <cellStyle name="Input 3 2 5 43" xfId="6174"/>
    <cellStyle name="Input 3 2 5 43 2" xfId="13891"/>
    <cellStyle name="Input 3 2 5 43 3" xfId="22884"/>
    <cellStyle name="Input 3 2 5 43 4" xfId="31071"/>
    <cellStyle name="Input 3 2 5 43 5" xfId="40372"/>
    <cellStyle name="Input 3 2 5 43 6" xfId="44736"/>
    <cellStyle name="Input 3 2 5 43 7" xfId="47470"/>
    <cellStyle name="Input 3 2 5 44" xfId="6303"/>
    <cellStyle name="Input 3 2 5 44 2" xfId="14020"/>
    <cellStyle name="Input 3 2 5 44 3" xfId="23013"/>
    <cellStyle name="Input 3 2 5 44 4" xfId="31200"/>
    <cellStyle name="Input 3 2 5 44 5" xfId="40500"/>
    <cellStyle name="Input 3 2 5 44 6" xfId="44865"/>
    <cellStyle name="Input 3 2 5 44 7" xfId="53644"/>
    <cellStyle name="Input 3 2 5 45" xfId="6418"/>
    <cellStyle name="Input 3 2 5 45 2" xfId="14135"/>
    <cellStyle name="Input 3 2 5 45 3" xfId="23128"/>
    <cellStyle name="Input 3 2 5 45 4" xfId="31315"/>
    <cellStyle name="Input 3 2 5 45 5" xfId="40610"/>
    <cellStyle name="Input 3 2 5 45 6" xfId="44980"/>
    <cellStyle name="Input 3 2 5 45 7" xfId="54440"/>
    <cellStyle name="Input 3 2 5 46" xfId="6530"/>
    <cellStyle name="Input 3 2 5 46 2" xfId="14247"/>
    <cellStyle name="Input 3 2 5 46 3" xfId="23240"/>
    <cellStyle name="Input 3 2 5 46 4" xfId="31427"/>
    <cellStyle name="Input 3 2 5 46 5" xfId="40718"/>
    <cellStyle name="Input 3 2 5 46 6" xfId="45092"/>
    <cellStyle name="Input 3 2 5 46 7" xfId="50820"/>
    <cellStyle name="Input 3 2 5 47" xfId="5075"/>
    <cellStyle name="Input 3 2 5 47 2" xfId="12792"/>
    <cellStyle name="Input 3 2 5 47 3" xfId="21785"/>
    <cellStyle name="Input 3 2 5 47 4" xfId="29972"/>
    <cellStyle name="Input 3 2 5 47 5" xfId="39315"/>
    <cellStyle name="Input 3 2 5 47 6" xfId="43637"/>
    <cellStyle name="Input 3 2 5 47 7" xfId="53442"/>
    <cellStyle name="Input 3 2 5 48" xfId="6677"/>
    <cellStyle name="Input 3 2 5 48 2" xfId="14394"/>
    <cellStyle name="Input 3 2 5 48 3" xfId="23387"/>
    <cellStyle name="Input 3 2 5 48 4" xfId="31574"/>
    <cellStyle name="Input 3 2 5 48 5" xfId="40858"/>
    <cellStyle name="Input 3 2 5 48 6" xfId="45239"/>
    <cellStyle name="Input 3 2 5 48 7" xfId="50313"/>
    <cellStyle name="Input 3 2 5 49" xfId="6789"/>
    <cellStyle name="Input 3 2 5 49 2" xfId="14506"/>
    <cellStyle name="Input 3 2 5 49 3" xfId="23499"/>
    <cellStyle name="Input 3 2 5 49 4" xfId="31686"/>
    <cellStyle name="Input 3 2 5 49 5" xfId="40965"/>
    <cellStyle name="Input 3 2 5 49 6" xfId="45351"/>
    <cellStyle name="Input 3 2 5 49 7" xfId="48062"/>
    <cellStyle name="Input 3 2 5 5" xfId="1421"/>
    <cellStyle name="Input 3 2 5 5 2" xfId="9244"/>
    <cellStyle name="Input 3 2 5 5 3" xfId="16672"/>
    <cellStyle name="Input 3 2 5 5 4" xfId="26580"/>
    <cellStyle name="Input 3 2 5 5 5" xfId="35399"/>
    <cellStyle name="Input 3 2 5 5 6" xfId="36817"/>
    <cellStyle name="Input 3 2 5 5 7" xfId="54234"/>
    <cellStyle name="Input 3 2 5 50" xfId="6903"/>
    <cellStyle name="Input 3 2 5 50 2" xfId="14620"/>
    <cellStyle name="Input 3 2 5 50 3" xfId="23613"/>
    <cellStyle name="Input 3 2 5 50 4" xfId="31800"/>
    <cellStyle name="Input 3 2 5 50 5" xfId="41072"/>
    <cellStyle name="Input 3 2 5 50 6" xfId="45465"/>
    <cellStyle name="Input 3 2 5 50 7" xfId="46797"/>
    <cellStyle name="Input 3 2 5 51" xfId="7016"/>
    <cellStyle name="Input 3 2 5 51 2" xfId="14733"/>
    <cellStyle name="Input 3 2 5 51 3" xfId="23726"/>
    <cellStyle name="Input 3 2 5 51 4" xfId="31913"/>
    <cellStyle name="Input 3 2 5 51 5" xfId="41180"/>
    <cellStyle name="Input 3 2 5 51 6" xfId="45578"/>
    <cellStyle name="Input 3 2 5 51 7" xfId="54551"/>
    <cellStyle name="Input 3 2 5 52" xfId="7125"/>
    <cellStyle name="Input 3 2 5 52 2" xfId="14842"/>
    <cellStyle name="Input 3 2 5 52 3" xfId="23835"/>
    <cellStyle name="Input 3 2 5 52 4" xfId="32022"/>
    <cellStyle name="Input 3 2 5 52 5" xfId="41284"/>
    <cellStyle name="Input 3 2 5 52 6" xfId="45687"/>
    <cellStyle name="Input 3 2 5 52 7" xfId="52933"/>
    <cellStyle name="Input 3 2 5 53" xfId="7375"/>
    <cellStyle name="Input 3 2 5 53 2" xfId="15092"/>
    <cellStyle name="Input 3 2 5 53 3" xfId="24085"/>
    <cellStyle name="Input 3 2 5 53 4" xfId="32272"/>
    <cellStyle name="Input 3 2 5 53 5" xfId="41528"/>
    <cellStyle name="Input 3 2 5 53 6" xfId="45937"/>
    <cellStyle name="Input 3 2 5 53 7" xfId="48695"/>
    <cellStyle name="Input 3 2 5 54" xfId="7353"/>
    <cellStyle name="Input 3 2 5 54 2" xfId="15070"/>
    <cellStyle name="Input 3 2 5 54 3" xfId="24063"/>
    <cellStyle name="Input 3 2 5 54 4" xfId="32250"/>
    <cellStyle name="Input 3 2 5 54 5" xfId="41506"/>
    <cellStyle name="Input 3 2 5 54 6" xfId="45915"/>
    <cellStyle name="Input 3 2 5 54 7" xfId="50926"/>
    <cellStyle name="Input 3 2 5 55" xfId="7522"/>
    <cellStyle name="Input 3 2 5 55 2" xfId="15239"/>
    <cellStyle name="Input 3 2 5 55 3" xfId="24232"/>
    <cellStyle name="Input 3 2 5 55 4" xfId="32419"/>
    <cellStyle name="Input 3 2 5 55 5" xfId="41665"/>
    <cellStyle name="Input 3 2 5 55 6" xfId="46084"/>
    <cellStyle name="Input 3 2 5 55 7" xfId="49355"/>
    <cellStyle name="Input 3 2 5 56" xfId="7643"/>
    <cellStyle name="Input 3 2 5 56 2" xfId="15360"/>
    <cellStyle name="Input 3 2 5 56 3" xfId="24353"/>
    <cellStyle name="Input 3 2 5 56 4" xfId="32540"/>
    <cellStyle name="Input 3 2 5 56 5" xfId="41782"/>
    <cellStyle name="Input 3 2 5 56 6" xfId="46205"/>
    <cellStyle name="Input 3 2 5 56 7" xfId="51514"/>
    <cellStyle name="Input 3 2 5 57" xfId="7921"/>
    <cellStyle name="Input 3 2 5 57 2" xfId="15638"/>
    <cellStyle name="Input 3 2 5 57 3" xfId="24625"/>
    <cellStyle name="Input 3 2 5 57 4" xfId="32818"/>
    <cellStyle name="Input 3 2 5 57 5" xfId="42049"/>
    <cellStyle name="Input 3 2 5 57 6" xfId="46483"/>
    <cellStyle name="Input 3 2 5 57 7" xfId="47538"/>
    <cellStyle name="Input 3 2 5 58" xfId="8049"/>
    <cellStyle name="Input 3 2 5 58 2" xfId="15766"/>
    <cellStyle name="Input 3 2 5 58 3" xfId="24751"/>
    <cellStyle name="Input 3 2 5 58 4" xfId="32946"/>
    <cellStyle name="Input 3 2 5 58 5" xfId="42171"/>
    <cellStyle name="Input 3 2 5 58 6" xfId="46611"/>
    <cellStyle name="Input 3 2 5 58 7" xfId="52163"/>
    <cellStyle name="Input 3 2 5 59" xfId="7950"/>
    <cellStyle name="Input 3 2 5 59 2" xfId="15667"/>
    <cellStyle name="Input 3 2 5 59 3" xfId="24653"/>
    <cellStyle name="Input 3 2 5 59 4" xfId="32847"/>
    <cellStyle name="Input 3 2 5 59 5" xfId="42076"/>
    <cellStyle name="Input 3 2 5 59 6" xfId="46512"/>
    <cellStyle name="Input 3 2 5 59 7" xfId="51728"/>
    <cellStyle name="Input 3 2 5 6" xfId="1544"/>
    <cellStyle name="Input 3 2 5 6 2" xfId="9367"/>
    <cellStyle name="Input 3 2 5 6 3" xfId="16795"/>
    <cellStyle name="Input 3 2 5 6 4" xfId="19882"/>
    <cellStyle name="Input 3 2 5 6 5" xfId="27587"/>
    <cellStyle name="Input 3 2 5 6 6" xfId="37260"/>
    <cellStyle name="Input 3 2 5 6 7" xfId="49609"/>
    <cellStyle name="Input 3 2 5 60" xfId="8195"/>
    <cellStyle name="Input 3 2 5 60 2" xfId="15912"/>
    <cellStyle name="Input 3 2 5 60 3" xfId="33092"/>
    <cellStyle name="Input 3 2 5 60 4" xfId="42311"/>
    <cellStyle name="Input 3 2 5 60 5" xfId="46757"/>
    <cellStyle name="Input 3 2 5 60 6" xfId="46861"/>
    <cellStyle name="Input 3 2 5 61" xfId="19668"/>
    <cellStyle name="Input 3 2 5 62" xfId="33133"/>
    <cellStyle name="Input 3 2 5 63" xfId="36505"/>
    <cellStyle name="Input 3 2 5 64" xfId="50394"/>
    <cellStyle name="Input 3 2 5 7" xfId="1098"/>
    <cellStyle name="Input 3 2 5 7 2" xfId="8922"/>
    <cellStyle name="Input 3 2 5 7 3" xfId="16350"/>
    <cellStyle name="Input 3 2 5 7 4" xfId="19636"/>
    <cellStyle name="Input 3 2 5 7 5" xfId="27088"/>
    <cellStyle name="Input 3 2 5 7 6" xfId="37160"/>
    <cellStyle name="Input 3 2 5 7 7" xfId="50070"/>
    <cellStyle name="Input 3 2 5 8" xfId="1782"/>
    <cellStyle name="Input 3 2 5 8 2" xfId="9605"/>
    <cellStyle name="Input 3 2 5 8 3" xfId="17033"/>
    <cellStyle name="Input 3 2 5 8 4" xfId="26054"/>
    <cellStyle name="Input 3 2 5 8 5" xfId="34696"/>
    <cellStyle name="Input 3 2 5 8 6" xfId="37102"/>
    <cellStyle name="Input 3 2 5 8 7" xfId="53113"/>
    <cellStyle name="Input 3 2 5 9" xfId="1914"/>
    <cellStyle name="Input 3 2 5 9 2" xfId="9737"/>
    <cellStyle name="Input 3 2 5 9 3" xfId="17165"/>
    <cellStyle name="Input 3 2 5 9 4" xfId="19299"/>
    <cellStyle name="Input 3 2 5 9 5" xfId="27904"/>
    <cellStyle name="Input 3 2 5 9 6" xfId="41310"/>
    <cellStyle name="Input 3 2 5 9 7" xfId="47879"/>
    <cellStyle name="Input 3 2 50" xfId="6135"/>
    <cellStyle name="Input 3 2 50 2" xfId="13852"/>
    <cellStyle name="Input 3 2 50 3" xfId="22845"/>
    <cellStyle name="Input 3 2 50 4" xfId="31032"/>
    <cellStyle name="Input 3 2 50 5" xfId="40333"/>
    <cellStyle name="Input 3 2 50 6" xfId="44697"/>
    <cellStyle name="Input 3 2 50 7" xfId="49850"/>
    <cellStyle name="Input 3 2 51" xfId="5242"/>
    <cellStyle name="Input 3 2 51 2" xfId="12959"/>
    <cellStyle name="Input 3 2 51 3" xfId="21952"/>
    <cellStyle name="Input 3 2 51 4" xfId="30139"/>
    <cellStyle name="Input 3 2 51 5" xfId="39474"/>
    <cellStyle name="Input 3 2 51 6" xfId="43804"/>
    <cellStyle name="Input 3 2 51 7" xfId="52639"/>
    <cellStyle name="Input 3 2 52" xfId="5347"/>
    <cellStyle name="Input 3 2 52 2" xfId="13064"/>
    <cellStyle name="Input 3 2 52 3" xfId="22057"/>
    <cellStyle name="Input 3 2 52 4" xfId="30244"/>
    <cellStyle name="Input 3 2 52 5" xfId="39576"/>
    <cellStyle name="Input 3 2 52 6" xfId="43909"/>
    <cellStyle name="Input 3 2 52 7" xfId="49023"/>
    <cellStyle name="Input 3 2 53" xfId="5079"/>
    <cellStyle name="Input 3 2 53 2" xfId="12796"/>
    <cellStyle name="Input 3 2 53 3" xfId="21789"/>
    <cellStyle name="Input 3 2 53 4" xfId="29976"/>
    <cellStyle name="Input 3 2 53 5" xfId="39319"/>
    <cellStyle name="Input 3 2 53 6" xfId="43641"/>
    <cellStyle name="Input 3 2 53 7" xfId="53023"/>
    <cellStyle name="Input 3 2 54" xfId="5380"/>
    <cellStyle name="Input 3 2 54 2" xfId="13097"/>
    <cellStyle name="Input 3 2 54 3" xfId="22090"/>
    <cellStyle name="Input 3 2 54 4" xfId="30277"/>
    <cellStyle name="Input 3 2 54 5" xfId="39608"/>
    <cellStyle name="Input 3 2 54 6" xfId="43942"/>
    <cellStyle name="Input 3 2 54 7" xfId="53323"/>
    <cellStyle name="Input 3 2 55" xfId="6549"/>
    <cellStyle name="Input 3 2 55 2" xfId="14266"/>
    <cellStyle name="Input 3 2 55 3" xfId="23259"/>
    <cellStyle name="Input 3 2 55 4" xfId="31446"/>
    <cellStyle name="Input 3 2 55 5" xfId="40736"/>
    <cellStyle name="Input 3 2 55 6" xfId="45111"/>
    <cellStyle name="Input 3 2 55 7" xfId="47940"/>
    <cellStyle name="Input 3 2 56" xfId="6189"/>
    <cellStyle name="Input 3 2 56 2" xfId="13906"/>
    <cellStyle name="Input 3 2 56 3" xfId="22899"/>
    <cellStyle name="Input 3 2 56 4" xfId="31086"/>
    <cellStyle name="Input 3 2 56 5" xfId="40387"/>
    <cellStyle name="Input 3 2 56 6" xfId="44751"/>
    <cellStyle name="Input 3 2 56 7" xfId="49201"/>
    <cellStyle name="Input 3 2 57" xfId="5934"/>
    <cellStyle name="Input 3 2 57 2" xfId="13651"/>
    <cellStyle name="Input 3 2 57 3" xfId="22644"/>
    <cellStyle name="Input 3 2 57 4" xfId="30831"/>
    <cellStyle name="Input 3 2 57 5" xfId="40142"/>
    <cellStyle name="Input 3 2 57 6" xfId="44496"/>
    <cellStyle name="Input 3 2 57 7" xfId="54245"/>
    <cellStyle name="Input 3 2 58" xfId="7147"/>
    <cellStyle name="Input 3 2 58 2" xfId="14864"/>
    <cellStyle name="Input 3 2 58 3" xfId="23857"/>
    <cellStyle name="Input 3 2 58 4" xfId="32044"/>
    <cellStyle name="Input 3 2 58 5" xfId="41306"/>
    <cellStyle name="Input 3 2 58 6" xfId="45709"/>
    <cellStyle name="Input 3 2 58 7" xfId="50540"/>
    <cellStyle name="Input 3 2 59" xfId="7144"/>
    <cellStyle name="Input 3 2 59 2" xfId="14861"/>
    <cellStyle name="Input 3 2 59 3" xfId="23854"/>
    <cellStyle name="Input 3 2 59 4" xfId="32041"/>
    <cellStyle name="Input 3 2 59 5" xfId="41303"/>
    <cellStyle name="Input 3 2 59 6" xfId="45706"/>
    <cellStyle name="Input 3 2 59 7" xfId="50797"/>
    <cellStyle name="Input 3 2 6" xfId="579"/>
    <cellStyle name="Input 3 2 6 10" xfId="2026"/>
    <cellStyle name="Input 3 2 6 10 2" xfId="9849"/>
    <cellStyle name="Input 3 2 6 10 3" xfId="17277"/>
    <cellStyle name="Input 3 2 6 10 4" xfId="20099"/>
    <cellStyle name="Input 3 2 6 10 5" xfId="27434"/>
    <cellStyle name="Input 3 2 6 10 6" xfId="40324"/>
    <cellStyle name="Input 3 2 6 10 7" xfId="50027"/>
    <cellStyle name="Input 3 2 6 11" xfId="2142"/>
    <cellStyle name="Input 3 2 6 11 2" xfId="9965"/>
    <cellStyle name="Input 3 2 6 11 3" xfId="17393"/>
    <cellStyle name="Input 3 2 6 11 4" xfId="19043"/>
    <cellStyle name="Input 3 2 6 11 5" xfId="26858"/>
    <cellStyle name="Input 3 2 6 11 6" xfId="38522"/>
    <cellStyle name="Input 3 2 6 11 7" xfId="49817"/>
    <cellStyle name="Input 3 2 6 12" xfId="2256"/>
    <cellStyle name="Input 3 2 6 12 2" xfId="10079"/>
    <cellStyle name="Input 3 2 6 12 3" xfId="17507"/>
    <cellStyle name="Input 3 2 6 12 4" xfId="26701"/>
    <cellStyle name="Input 3 2 6 12 5" xfId="35554"/>
    <cellStyle name="Input 3 2 6 12 6" xfId="38935"/>
    <cellStyle name="Input 3 2 6 12 7" xfId="54498"/>
    <cellStyle name="Input 3 2 6 13" xfId="1264"/>
    <cellStyle name="Input 3 2 6 13 2" xfId="9087"/>
    <cellStyle name="Input 3 2 6 13 3" xfId="16515"/>
    <cellStyle name="Input 3 2 6 13 4" xfId="19284"/>
    <cellStyle name="Input 3 2 6 13 5" xfId="27972"/>
    <cellStyle name="Input 3 2 6 13 6" xfId="41988"/>
    <cellStyle name="Input 3 2 6 13 7" xfId="46958"/>
    <cellStyle name="Input 3 2 6 14" xfId="1575"/>
    <cellStyle name="Input 3 2 6 14 2" xfId="9398"/>
    <cellStyle name="Input 3 2 6 14 3" xfId="16826"/>
    <cellStyle name="Input 3 2 6 14 4" xfId="25946"/>
    <cellStyle name="Input 3 2 6 14 5" xfId="34551"/>
    <cellStyle name="Input 3 2 6 14 6" xfId="40993"/>
    <cellStyle name="Input 3 2 6 14 7" xfId="52880"/>
    <cellStyle name="Input 3 2 6 15" xfId="2554"/>
    <cellStyle name="Input 3 2 6 15 2" xfId="10377"/>
    <cellStyle name="Input 3 2 6 15 3" xfId="17805"/>
    <cellStyle name="Input 3 2 6 15 4" xfId="26627"/>
    <cellStyle name="Input 3 2 6 15 5" xfId="35460"/>
    <cellStyle name="Input 3 2 6 15 6" xfId="39879"/>
    <cellStyle name="Input 3 2 6 15 7" xfId="54339"/>
    <cellStyle name="Input 3 2 6 16" xfId="2668"/>
    <cellStyle name="Input 3 2 6 16 2" xfId="10491"/>
    <cellStyle name="Input 3 2 6 16 3" xfId="17919"/>
    <cellStyle name="Input 3 2 6 16 4" xfId="19181"/>
    <cellStyle name="Input 3 2 6 16 5" xfId="26755"/>
    <cellStyle name="Input 3 2 6 16 6" xfId="39572"/>
    <cellStyle name="Input 3 2 6 16 7" xfId="49172"/>
    <cellStyle name="Input 3 2 6 17" xfId="2312"/>
    <cellStyle name="Input 3 2 6 17 2" xfId="10135"/>
    <cellStyle name="Input 3 2 6 17 3" xfId="17563"/>
    <cellStyle name="Input 3 2 6 17 4" xfId="19085"/>
    <cellStyle name="Input 3 2 6 17 5" xfId="26731"/>
    <cellStyle name="Input 3 2 6 17 6" xfId="42221"/>
    <cellStyle name="Input 3 2 6 17 7" xfId="47314"/>
    <cellStyle name="Input 3 2 6 18" xfId="2373"/>
    <cellStyle name="Input 3 2 6 18 2" xfId="10196"/>
    <cellStyle name="Input 3 2 6 18 3" xfId="17624"/>
    <cellStyle name="Input 3 2 6 18 4" xfId="19949"/>
    <cellStyle name="Input 3 2 6 18 5" xfId="27400"/>
    <cellStyle name="Input 3 2 6 18 6" xfId="36955"/>
    <cellStyle name="Input 3 2 6 18 7" xfId="48925"/>
    <cellStyle name="Input 3 2 6 19" xfId="2858"/>
    <cellStyle name="Input 3 2 6 19 2" xfId="10681"/>
    <cellStyle name="Input 3 2 6 19 3" xfId="18109"/>
    <cellStyle name="Input 3 2 6 19 4" xfId="25830"/>
    <cellStyle name="Input 3 2 6 19 5" xfId="34413"/>
    <cellStyle name="Input 3 2 6 19 6" xfId="36480"/>
    <cellStyle name="Input 3 2 6 19 7" xfId="52629"/>
    <cellStyle name="Input 3 2 6 2" xfId="726"/>
    <cellStyle name="Input 3 2 6 2 2" xfId="8550"/>
    <cellStyle name="Input 3 2 6 2 3" xfId="15978"/>
    <cellStyle name="Input 3 2 6 2 4" xfId="25013"/>
    <cellStyle name="Input 3 2 6 2 5" xfId="33366"/>
    <cellStyle name="Input 3 2 6 2 6" xfId="37862"/>
    <cellStyle name="Input 3 2 6 2 7" xfId="50828"/>
    <cellStyle name="Input 3 2 6 20" xfId="2965"/>
    <cellStyle name="Input 3 2 6 20 2" xfId="10788"/>
    <cellStyle name="Input 3 2 6 20 3" xfId="18216"/>
    <cellStyle name="Input 3 2 6 20 4" xfId="19970"/>
    <cellStyle name="Input 3 2 6 20 5" xfId="27368"/>
    <cellStyle name="Input 3 2 6 20 6" xfId="37941"/>
    <cellStyle name="Input 3 2 6 20 7" xfId="49015"/>
    <cellStyle name="Input 3 2 6 21" xfId="3343"/>
    <cellStyle name="Input 3 2 6 21 2" xfId="11136"/>
    <cellStyle name="Input 3 2 6 21 3" xfId="18463"/>
    <cellStyle name="Input 3 2 6 21 4" xfId="20440"/>
    <cellStyle name="Input 3 2 6 21 5" xfId="28102"/>
    <cellStyle name="Input 3 2 6 21 6" xfId="37718"/>
    <cellStyle name="Input 3 2 6 21 7" xfId="46990"/>
    <cellStyle name="Input 3 2 6 22" xfId="3462"/>
    <cellStyle name="Input 3 2 6 22 2" xfId="11253"/>
    <cellStyle name="Input 3 2 6 22 3" xfId="18574"/>
    <cellStyle name="Input 3 2 6 22 4" xfId="25213"/>
    <cellStyle name="Input 3 2 6 22 5" xfId="33609"/>
    <cellStyle name="Input 3 2 6 22 6" xfId="38102"/>
    <cellStyle name="Input 3 2 6 22 7" xfId="51244"/>
    <cellStyle name="Input 3 2 6 23" xfId="3621"/>
    <cellStyle name="Input 3 2 6 23 2" xfId="11407"/>
    <cellStyle name="Input 3 2 6 23 3" xfId="18681"/>
    <cellStyle name="Input 3 2 6 23 4" xfId="19628"/>
    <cellStyle name="Input 3 2 6 23 5" xfId="28022"/>
    <cellStyle name="Input 3 2 6 23 6" xfId="37288"/>
    <cellStyle name="Input 3 2 6 23 7" xfId="49988"/>
    <cellStyle name="Input 3 2 6 24" xfId="3735"/>
    <cellStyle name="Input 3 2 6 24 2" xfId="11520"/>
    <cellStyle name="Input 3 2 6 24 3" xfId="18791"/>
    <cellStyle name="Input 3 2 6 24 4" xfId="19357"/>
    <cellStyle name="Input 3 2 6 24 5" xfId="27560"/>
    <cellStyle name="Input 3 2 6 24 6" xfId="41203"/>
    <cellStyle name="Input 3 2 6 24 7" xfId="48363"/>
    <cellStyle name="Input 3 2 6 25" xfId="3864"/>
    <cellStyle name="Input 3 2 6 25 2" xfId="11646"/>
    <cellStyle name="Input 3 2 6 25 3" xfId="18901"/>
    <cellStyle name="Input 3 2 6 25 4" xfId="26326"/>
    <cellStyle name="Input 3 2 6 25 5" xfId="35050"/>
    <cellStyle name="Input 3 2 6 25 6" xfId="39347"/>
    <cellStyle name="Input 3 2 6 25 7" xfId="53692"/>
    <cellStyle name="Input 3 2 6 26" xfId="3982"/>
    <cellStyle name="Input 3 2 6 26 2" xfId="11761"/>
    <cellStyle name="Input 3 2 6 26 3" xfId="19010"/>
    <cellStyle name="Input 3 2 6 26 4" xfId="25513"/>
    <cellStyle name="Input 3 2 6 26 5" xfId="33991"/>
    <cellStyle name="Input 3 2 6 26 6" xfId="38380"/>
    <cellStyle name="Input 3 2 6 26 7" xfId="51900"/>
    <cellStyle name="Input 3 2 6 27" xfId="3489"/>
    <cellStyle name="Input 3 2 6 27 2" xfId="11280"/>
    <cellStyle name="Input 3 2 6 27 3" xfId="20475"/>
    <cellStyle name="Input 3 2 6 27 4" xfId="28597"/>
    <cellStyle name="Input 3 2 6 27 5" xfId="37973"/>
    <cellStyle name="Input 3 2 6 27 6" xfId="42484"/>
    <cellStyle name="Input 3 2 6 27 7" xfId="47317"/>
    <cellStyle name="Input 3 2 6 28" xfId="4178"/>
    <cellStyle name="Input 3 2 6 28 2" xfId="11937"/>
    <cellStyle name="Input 3 2 6 28 3" xfId="20888"/>
    <cellStyle name="Input 3 2 6 28 4" xfId="29075"/>
    <cellStyle name="Input 3 2 6 28 5" xfId="38451"/>
    <cellStyle name="Input 3 2 6 28 6" xfId="42740"/>
    <cellStyle name="Input 3 2 6 28 7" xfId="54226"/>
    <cellStyle name="Input 3 2 6 29" xfId="4256"/>
    <cellStyle name="Input 3 2 6 29 2" xfId="20966"/>
    <cellStyle name="Input 3 2 6 29 3" xfId="29153"/>
    <cellStyle name="Input 3 2 6 29 4" xfId="38526"/>
    <cellStyle name="Input 3 2 6 29 5" xfId="42818"/>
    <cellStyle name="Input 3 2 6 29 6" xfId="53465"/>
    <cellStyle name="Input 3 2 6 3" xfId="835"/>
    <cellStyle name="Input 3 2 6 3 2" xfId="8659"/>
    <cellStyle name="Input 3 2 6 3 3" xfId="16087"/>
    <cellStyle name="Input 3 2 6 3 4" xfId="25437"/>
    <cellStyle name="Input 3 2 6 3 5" xfId="33897"/>
    <cellStyle name="Input 3 2 6 3 6" xfId="36986"/>
    <cellStyle name="Input 3 2 6 3 7" xfId="51721"/>
    <cellStyle name="Input 3 2 6 30" xfId="4377"/>
    <cellStyle name="Input 3 2 6 30 2" xfId="12094"/>
    <cellStyle name="Input 3 2 6 30 3" xfId="21087"/>
    <cellStyle name="Input 3 2 6 30 4" xfId="29274"/>
    <cellStyle name="Input 3 2 6 30 5" xfId="38644"/>
    <cellStyle name="Input 3 2 6 30 6" xfId="42939"/>
    <cellStyle name="Input 3 2 6 30 7" xfId="51216"/>
    <cellStyle name="Input 3 2 6 31" xfId="4498"/>
    <cellStyle name="Input 3 2 6 31 2" xfId="12215"/>
    <cellStyle name="Input 3 2 6 31 3" xfId="21208"/>
    <cellStyle name="Input 3 2 6 31 4" xfId="29395"/>
    <cellStyle name="Input 3 2 6 31 5" xfId="38759"/>
    <cellStyle name="Input 3 2 6 31 6" xfId="43060"/>
    <cellStyle name="Input 3 2 6 31 7" xfId="51965"/>
    <cellStyle name="Input 3 2 6 32" xfId="4612"/>
    <cellStyle name="Input 3 2 6 32 2" xfId="12329"/>
    <cellStyle name="Input 3 2 6 32 3" xfId="21322"/>
    <cellStyle name="Input 3 2 6 32 4" xfId="29509"/>
    <cellStyle name="Input 3 2 6 32 5" xfId="38868"/>
    <cellStyle name="Input 3 2 6 32 6" xfId="43174"/>
    <cellStyle name="Input 3 2 6 32 7" xfId="47238"/>
    <cellStyle name="Input 3 2 6 33" xfId="4725"/>
    <cellStyle name="Input 3 2 6 33 2" xfId="12442"/>
    <cellStyle name="Input 3 2 6 33 3" xfId="21435"/>
    <cellStyle name="Input 3 2 6 33 4" xfId="29622"/>
    <cellStyle name="Input 3 2 6 33 5" xfId="38977"/>
    <cellStyle name="Input 3 2 6 33 6" xfId="43287"/>
    <cellStyle name="Input 3 2 6 33 7" xfId="47645"/>
    <cellStyle name="Input 3 2 6 34" xfId="4835"/>
    <cellStyle name="Input 3 2 6 34 2" xfId="12552"/>
    <cellStyle name="Input 3 2 6 34 3" xfId="21545"/>
    <cellStyle name="Input 3 2 6 34 4" xfId="29732"/>
    <cellStyle name="Input 3 2 6 34 5" xfId="39083"/>
    <cellStyle name="Input 3 2 6 34 6" xfId="43397"/>
    <cellStyle name="Input 3 2 6 34 7" xfId="49720"/>
    <cellStyle name="Input 3 2 6 35" xfId="4945"/>
    <cellStyle name="Input 3 2 6 35 2" xfId="12662"/>
    <cellStyle name="Input 3 2 6 35 3" xfId="21655"/>
    <cellStyle name="Input 3 2 6 35 4" xfId="29842"/>
    <cellStyle name="Input 3 2 6 35 5" xfId="39189"/>
    <cellStyle name="Input 3 2 6 35 6" xfId="43507"/>
    <cellStyle name="Input 3 2 6 35 7" xfId="53287"/>
    <cellStyle name="Input 3 2 6 36" xfId="5055"/>
    <cellStyle name="Input 3 2 6 36 2" xfId="12772"/>
    <cellStyle name="Input 3 2 6 36 3" xfId="21765"/>
    <cellStyle name="Input 3 2 6 36 4" xfId="29952"/>
    <cellStyle name="Input 3 2 6 36 5" xfId="39295"/>
    <cellStyle name="Input 3 2 6 36 6" xfId="43617"/>
    <cellStyle name="Input 3 2 6 36 7" xfId="47232"/>
    <cellStyle name="Input 3 2 6 37" xfId="5435"/>
    <cellStyle name="Input 3 2 6 37 2" xfId="13152"/>
    <cellStyle name="Input 3 2 6 37 3" xfId="22145"/>
    <cellStyle name="Input 3 2 6 37 4" xfId="30332"/>
    <cellStyle name="Input 3 2 6 37 5" xfId="39661"/>
    <cellStyle name="Input 3 2 6 37 6" xfId="43997"/>
    <cellStyle name="Input 3 2 6 37 7" xfId="48168"/>
    <cellStyle name="Input 3 2 6 38" xfId="5555"/>
    <cellStyle name="Input 3 2 6 38 2" xfId="13272"/>
    <cellStyle name="Input 3 2 6 38 3" xfId="22265"/>
    <cellStyle name="Input 3 2 6 38 4" xfId="30452"/>
    <cellStyle name="Input 3 2 6 38 5" xfId="39775"/>
    <cellStyle name="Input 3 2 6 38 6" xfId="44117"/>
    <cellStyle name="Input 3 2 6 38 7" xfId="47173"/>
    <cellStyle name="Input 3 2 6 39" xfId="5680"/>
    <cellStyle name="Input 3 2 6 39 2" xfId="13397"/>
    <cellStyle name="Input 3 2 6 39 3" xfId="22390"/>
    <cellStyle name="Input 3 2 6 39 4" xfId="30577"/>
    <cellStyle name="Input 3 2 6 39 5" xfId="39895"/>
    <cellStyle name="Input 3 2 6 39 6" xfId="44242"/>
    <cellStyle name="Input 3 2 6 39 7" xfId="46777"/>
    <cellStyle name="Input 3 2 6 4" xfId="945"/>
    <cellStyle name="Input 3 2 6 4 2" xfId="8769"/>
    <cellStyle name="Input 3 2 6 4 3" xfId="16197"/>
    <cellStyle name="Input 3 2 6 4 4" xfId="19176"/>
    <cellStyle name="Input 3 2 6 4 5" xfId="26909"/>
    <cellStyle name="Input 3 2 6 4 6" xfId="37539"/>
    <cellStyle name="Input 3 2 6 4 7" xfId="49184"/>
    <cellStyle name="Input 3 2 6 40" xfId="5795"/>
    <cellStyle name="Input 3 2 6 40 2" xfId="13512"/>
    <cellStyle name="Input 3 2 6 40 3" xfId="22505"/>
    <cellStyle name="Input 3 2 6 40 4" xfId="30692"/>
    <cellStyle name="Input 3 2 6 40 5" xfId="40007"/>
    <cellStyle name="Input 3 2 6 40 6" xfId="44357"/>
    <cellStyle name="Input 3 2 6 40 7" xfId="53859"/>
    <cellStyle name="Input 3 2 6 41" xfId="5913"/>
    <cellStyle name="Input 3 2 6 41 2" xfId="13630"/>
    <cellStyle name="Input 3 2 6 41 3" xfId="22623"/>
    <cellStyle name="Input 3 2 6 41 4" xfId="30810"/>
    <cellStyle name="Input 3 2 6 41 5" xfId="40122"/>
    <cellStyle name="Input 3 2 6 41 6" xfId="44475"/>
    <cellStyle name="Input 3 2 6 41 7" xfId="51789"/>
    <cellStyle name="Input 3 2 6 42" xfId="6040"/>
    <cellStyle name="Input 3 2 6 42 2" xfId="13757"/>
    <cellStyle name="Input 3 2 6 42 3" xfId="22750"/>
    <cellStyle name="Input 3 2 6 42 4" xfId="30937"/>
    <cellStyle name="Input 3 2 6 42 5" xfId="40244"/>
    <cellStyle name="Input 3 2 6 42 6" xfId="44602"/>
    <cellStyle name="Input 3 2 6 42 7" xfId="50317"/>
    <cellStyle name="Input 3 2 6 43" xfId="6168"/>
    <cellStyle name="Input 3 2 6 43 2" xfId="13885"/>
    <cellStyle name="Input 3 2 6 43 3" xfId="22878"/>
    <cellStyle name="Input 3 2 6 43 4" xfId="31065"/>
    <cellStyle name="Input 3 2 6 43 5" xfId="40366"/>
    <cellStyle name="Input 3 2 6 43 6" xfId="44730"/>
    <cellStyle name="Input 3 2 6 43 7" xfId="51364"/>
    <cellStyle name="Input 3 2 6 44" xfId="6296"/>
    <cellStyle name="Input 3 2 6 44 2" xfId="14013"/>
    <cellStyle name="Input 3 2 6 44 3" xfId="23006"/>
    <cellStyle name="Input 3 2 6 44 4" xfId="31193"/>
    <cellStyle name="Input 3 2 6 44 5" xfId="40493"/>
    <cellStyle name="Input 3 2 6 44 6" xfId="44858"/>
    <cellStyle name="Input 3 2 6 44 7" xfId="54506"/>
    <cellStyle name="Input 3 2 6 45" xfId="6411"/>
    <cellStyle name="Input 3 2 6 45 2" xfId="14128"/>
    <cellStyle name="Input 3 2 6 45 3" xfId="23121"/>
    <cellStyle name="Input 3 2 6 45 4" xfId="31308"/>
    <cellStyle name="Input 3 2 6 45 5" xfId="40603"/>
    <cellStyle name="Input 3 2 6 45 6" xfId="44973"/>
    <cellStyle name="Input 3 2 6 45 7" xfId="48677"/>
    <cellStyle name="Input 3 2 6 46" xfId="6523"/>
    <cellStyle name="Input 3 2 6 46 2" xfId="14240"/>
    <cellStyle name="Input 3 2 6 46 3" xfId="23233"/>
    <cellStyle name="Input 3 2 6 46 4" xfId="31420"/>
    <cellStyle name="Input 3 2 6 46 5" xfId="40711"/>
    <cellStyle name="Input 3 2 6 46 6" xfId="45085"/>
    <cellStyle name="Input 3 2 6 46 7" xfId="51856"/>
    <cellStyle name="Input 3 2 6 47" xfId="5293"/>
    <cellStyle name="Input 3 2 6 47 2" xfId="13010"/>
    <cellStyle name="Input 3 2 6 47 3" xfId="22003"/>
    <cellStyle name="Input 3 2 6 47 4" xfId="30190"/>
    <cellStyle name="Input 3 2 6 47 5" xfId="39524"/>
    <cellStyle name="Input 3 2 6 47 6" xfId="43855"/>
    <cellStyle name="Input 3 2 6 47 7" xfId="48491"/>
    <cellStyle name="Input 3 2 6 48" xfId="6670"/>
    <cellStyle name="Input 3 2 6 48 2" xfId="14387"/>
    <cellStyle name="Input 3 2 6 48 3" xfId="23380"/>
    <cellStyle name="Input 3 2 6 48 4" xfId="31567"/>
    <cellStyle name="Input 3 2 6 48 5" xfId="40851"/>
    <cellStyle name="Input 3 2 6 48 6" xfId="45232"/>
    <cellStyle name="Input 3 2 6 48 7" xfId="50920"/>
    <cellStyle name="Input 3 2 6 49" xfId="6781"/>
    <cellStyle name="Input 3 2 6 49 2" xfId="14498"/>
    <cellStyle name="Input 3 2 6 49 3" xfId="23491"/>
    <cellStyle name="Input 3 2 6 49 4" xfId="31678"/>
    <cellStyle name="Input 3 2 6 49 5" xfId="40957"/>
    <cellStyle name="Input 3 2 6 49 6" xfId="45343"/>
    <cellStyle name="Input 3 2 6 49 7" xfId="54202"/>
    <cellStyle name="Input 3 2 6 5" xfId="1413"/>
    <cellStyle name="Input 3 2 6 5 2" xfId="9236"/>
    <cellStyle name="Input 3 2 6 5 3" xfId="16664"/>
    <cellStyle name="Input 3 2 6 5 4" xfId="19468"/>
    <cellStyle name="Input 3 2 6 5 5" xfId="26969"/>
    <cellStyle name="Input 3 2 6 5 6" xfId="39322"/>
    <cellStyle name="Input 3 2 6 5 7" xfId="47289"/>
    <cellStyle name="Input 3 2 6 50" xfId="6896"/>
    <cellStyle name="Input 3 2 6 50 2" xfId="14613"/>
    <cellStyle name="Input 3 2 6 50 3" xfId="23606"/>
    <cellStyle name="Input 3 2 6 50 4" xfId="31793"/>
    <cellStyle name="Input 3 2 6 50 5" xfId="41065"/>
    <cellStyle name="Input 3 2 6 50 6" xfId="45458"/>
    <cellStyle name="Input 3 2 6 50 7" xfId="46780"/>
    <cellStyle name="Input 3 2 6 51" xfId="7009"/>
    <cellStyle name="Input 3 2 6 51 2" xfId="14726"/>
    <cellStyle name="Input 3 2 6 51 3" xfId="23719"/>
    <cellStyle name="Input 3 2 6 51 4" xfId="31906"/>
    <cellStyle name="Input 3 2 6 51 5" xfId="41173"/>
    <cellStyle name="Input 3 2 6 51 6" xfId="45571"/>
    <cellStyle name="Input 3 2 6 51 7" xfId="47220"/>
    <cellStyle name="Input 3 2 6 52" xfId="7119"/>
    <cellStyle name="Input 3 2 6 52 2" xfId="14836"/>
    <cellStyle name="Input 3 2 6 52 3" xfId="23829"/>
    <cellStyle name="Input 3 2 6 52 4" xfId="32016"/>
    <cellStyle name="Input 3 2 6 52 5" xfId="41278"/>
    <cellStyle name="Input 3 2 6 52 6" xfId="45681"/>
    <cellStyle name="Input 3 2 6 52 7" xfId="53388"/>
    <cellStyle name="Input 3 2 6 53" xfId="7157"/>
    <cellStyle name="Input 3 2 6 53 2" xfId="14874"/>
    <cellStyle name="Input 3 2 6 53 3" xfId="23867"/>
    <cellStyle name="Input 3 2 6 53 4" xfId="32054"/>
    <cellStyle name="Input 3 2 6 53 5" xfId="41316"/>
    <cellStyle name="Input 3 2 6 53 6" xfId="45719"/>
    <cellStyle name="Input 3 2 6 53 7" xfId="49060"/>
    <cellStyle name="Input 3 2 6 54" xfId="7243"/>
    <cellStyle name="Input 3 2 6 54 2" xfId="14960"/>
    <cellStyle name="Input 3 2 6 54 3" xfId="23953"/>
    <cellStyle name="Input 3 2 6 54 4" xfId="32140"/>
    <cellStyle name="Input 3 2 6 54 5" xfId="41396"/>
    <cellStyle name="Input 3 2 6 54 6" xfId="45805"/>
    <cellStyle name="Input 3 2 6 54 7" xfId="54270"/>
    <cellStyle name="Input 3 2 6 55" xfId="7516"/>
    <cellStyle name="Input 3 2 6 55 2" xfId="15233"/>
    <cellStyle name="Input 3 2 6 55 3" xfId="24226"/>
    <cellStyle name="Input 3 2 6 55 4" xfId="32413"/>
    <cellStyle name="Input 3 2 6 55 5" xfId="41659"/>
    <cellStyle name="Input 3 2 6 55 6" xfId="46078"/>
    <cellStyle name="Input 3 2 6 55 7" xfId="47302"/>
    <cellStyle name="Input 3 2 6 56" xfId="7637"/>
    <cellStyle name="Input 3 2 6 56 2" xfId="15354"/>
    <cellStyle name="Input 3 2 6 56 3" xfId="24347"/>
    <cellStyle name="Input 3 2 6 56 4" xfId="32534"/>
    <cellStyle name="Input 3 2 6 56 5" xfId="41776"/>
    <cellStyle name="Input 3 2 6 56 6" xfId="46199"/>
    <cellStyle name="Input 3 2 6 56 7" xfId="52314"/>
    <cellStyle name="Input 3 2 6 57" xfId="7914"/>
    <cellStyle name="Input 3 2 6 57 2" xfId="15631"/>
    <cellStyle name="Input 3 2 6 57 3" xfId="24618"/>
    <cellStyle name="Input 3 2 6 57 4" xfId="32811"/>
    <cellStyle name="Input 3 2 6 57 5" xfId="42042"/>
    <cellStyle name="Input 3 2 6 57 6" xfId="46476"/>
    <cellStyle name="Input 3 2 6 57 7" xfId="51537"/>
    <cellStyle name="Input 3 2 6 58" xfId="8042"/>
    <cellStyle name="Input 3 2 6 58 2" xfId="15759"/>
    <cellStyle name="Input 3 2 6 58 3" xfId="24744"/>
    <cellStyle name="Input 3 2 6 58 4" xfId="32939"/>
    <cellStyle name="Input 3 2 6 58 5" xfId="42164"/>
    <cellStyle name="Input 3 2 6 58 6" xfId="46604"/>
    <cellStyle name="Input 3 2 6 58 7" xfId="51753"/>
    <cellStyle name="Input 3 2 6 59" xfId="7796"/>
    <cellStyle name="Input 3 2 6 59 2" xfId="15513"/>
    <cellStyle name="Input 3 2 6 59 3" xfId="24501"/>
    <cellStyle name="Input 3 2 6 59 4" xfId="32693"/>
    <cellStyle name="Input 3 2 6 59 5" xfId="41928"/>
    <cellStyle name="Input 3 2 6 59 6" xfId="46358"/>
    <cellStyle name="Input 3 2 6 59 7" xfId="53584"/>
    <cellStyle name="Input 3 2 6 6" xfId="1536"/>
    <cellStyle name="Input 3 2 6 6 2" xfId="9359"/>
    <cellStyle name="Input 3 2 6 6 3" xfId="16787"/>
    <cellStyle name="Input 3 2 6 6 4" xfId="24819"/>
    <cellStyle name="Input 3 2 6 6 5" xfId="28118"/>
    <cellStyle name="Input 3 2 6 6 6" xfId="37879"/>
    <cellStyle name="Input 3 2 6 6 7" xfId="47256"/>
    <cellStyle name="Input 3 2 6 60" xfId="8189"/>
    <cellStyle name="Input 3 2 6 60 2" xfId="15906"/>
    <cellStyle name="Input 3 2 6 60 3" xfId="33086"/>
    <cellStyle name="Input 3 2 6 60 4" xfId="42305"/>
    <cellStyle name="Input 3 2 6 60 5" xfId="46751"/>
    <cellStyle name="Input 3 2 6 60 6" xfId="46867"/>
    <cellStyle name="Input 3 2 6 61" xfId="25145"/>
    <cellStyle name="Input 3 2 6 62" xfId="33520"/>
    <cellStyle name="Input 3 2 6 63" xfId="36279"/>
    <cellStyle name="Input 3 2 6 64" xfId="51100"/>
    <cellStyle name="Input 3 2 6 7" xfId="1120"/>
    <cellStyle name="Input 3 2 6 7 2" xfId="8943"/>
    <cellStyle name="Input 3 2 6 7 3" xfId="16371"/>
    <cellStyle name="Input 3 2 6 7 4" xfId="25581"/>
    <cellStyle name="Input 3 2 6 7 5" xfId="34086"/>
    <cellStyle name="Input 3 2 6 7 6" xfId="36705"/>
    <cellStyle name="Input 3 2 6 7 7" xfId="52052"/>
    <cellStyle name="Input 3 2 6 8" xfId="1774"/>
    <cellStyle name="Input 3 2 6 8 2" xfId="9597"/>
    <cellStyle name="Input 3 2 6 8 3" xfId="17025"/>
    <cellStyle name="Input 3 2 6 8 4" xfId="26426"/>
    <cellStyle name="Input 3 2 6 8 5" xfId="35191"/>
    <cellStyle name="Input 3 2 6 8 6" xfId="37508"/>
    <cellStyle name="Input 3 2 6 8 7" xfId="53913"/>
    <cellStyle name="Input 3 2 6 9" xfId="1907"/>
    <cellStyle name="Input 3 2 6 9 2" xfId="9730"/>
    <cellStyle name="Input 3 2 6 9 3" xfId="17158"/>
    <cellStyle name="Input 3 2 6 9 4" xfId="24922"/>
    <cellStyle name="Input 3 2 6 9 5" xfId="33251"/>
    <cellStyle name="Input 3 2 6 9 6" xfId="37146"/>
    <cellStyle name="Input 3 2 6 9 7" xfId="50619"/>
    <cellStyle name="Input 3 2 60" xfId="7255"/>
    <cellStyle name="Input 3 2 60 2" xfId="14972"/>
    <cellStyle name="Input 3 2 60 3" xfId="23965"/>
    <cellStyle name="Input 3 2 60 4" xfId="32152"/>
    <cellStyle name="Input 3 2 60 5" xfId="41408"/>
    <cellStyle name="Input 3 2 60 6" xfId="45817"/>
    <cellStyle name="Input 3 2 60 7" xfId="53990"/>
    <cellStyle name="Input 3 2 61" xfId="7530"/>
    <cellStyle name="Input 3 2 61 2" xfId="15247"/>
    <cellStyle name="Input 3 2 61 3" xfId="24240"/>
    <cellStyle name="Input 3 2 61 4" xfId="32427"/>
    <cellStyle name="Input 3 2 61 5" xfId="41673"/>
    <cellStyle name="Input 3 2 61 6" xfId="46092"/>
    <cellStyle name="Input 3 2 61 7" xfId="54457"/>
    <cellStyle name="Input 3 2 62" xfId="7731"/>
    <cellStyle name="Input 3 2 62 2" xfId="15448"/>
    <cellStyle name="Input 3 2 62 3" xfId="24439"/>
    <cellStyle name="Input 3 2 62 4" xfId="32628"/>
    <cellStyle name="Input 3 2 62 5" xfId="41865"/>
    <cellStyle name="Input 3 2 62 6" xfId="46293"/>
    <cellStyle name="Input 3 2 62 7" xfId="48679"/>
    <cellStyle name="Input 3 2 63" xfId="7998"/>
    <cellStyle name="Input 3 2 63 2" xfId="15715"/>
    <cellStyle name="Input 3 2 63 3" xfId="24700"/>
    <cellStyle name="Input 3 2 63 4" xfId="32895"/>
    <cellStyle name="Input 3 2 63 5" xfId="42121"/>
    <cellStyle name="Input 3 2 63 6" xfId="46560"/>
    <cellStyle name="Input 3 2 63 7" xfId="49636"/>
    <cellStyle name="Input 3 2 64" xfId="7758"/>
    <cellStyle name="Input 3 2 64 2" xfId="15475"/>
    <cellStyle name="Input 3 2 64 3" xfId="24466"/>
    <cellStyle name="Input 3 2 64 4" xfId="32655"/>
    <cellStyle name="Input 3 2 64 5" xfId="41891"/>
    <cellStyle name="Input 3 2 64 6" xfId="46320"/>
    <cellStyle name="Input 3 2 64 7" xfId="52409"/>
    <cellStyle name="Input 3 2 65" xfId="7761"/>
    <cellStyle name="Input 3 2 65 2" xfId="15478"/>
    <cellStyle name="Input 3 2 65 3" xfId="32658"/>
    <cellStyle name="Input 3 2 65 4" xfId="41894"/>
    <cellStyle name="Input 3 2 65 5" xfId="46323"/>
    <cellStyle name="Input 3 2 65 6" xfId="47593"/>
    <cellStyle name="Input 3 2 66" xfId="20055"/>
    <cellStyle name="Input 3 2 67" xfId="28864"/>
    <cellStyle name="Input 3 2 68" xfId="36745"/>
    <cellStyle name="Input 3 2 69" xfId="47354"/>
    <cellStyle name="Input 3 2 7" xfId="598"/>
    <cellStyle name="Input 3 2 7 2" xfId="8422"/>
    <cellStyle name="Input 3 2 7 3" xfId="8418"/>
    <cellStyle name="Input 3 2 7 4" xfId="19189"/>
    <cellStyle name="Input 3 2 7 5" xfId="26970"/>
    <cellStyle name="Input 3 2 7 6" xfId="36996"/>
    <cellStyle name="Input 3 2 7 7" xfId="49148"/>
    <cellStyle name="Input 3 2 8" xfId="227"/>
    <cellStyle name="Input 3 2 8 2" xfId="8331"/>
    <cellStyle name="Input 3 2 8 3" xfId="8371"/>
    <cellStyle name="Input 3 2 8 4" xfId="24864"/>
    <cellStyle name="Input 3 2 8 5" xfId="33177"/>
    <cellStyle name="Input 3 2 8 6" xfId="36883"/>
    <cellStyle name="Input 3 2 8 7" xfId="50486"/>
    <cellStyle name="Input 3 2 9" xfId="626"/>
    <cellStyle name="Input 3 2 9 2" xfId="8450"/>
    <cellStyle name="Input 3 2 9 3" xfId="10942"/>
    <cellStyle name="Input 3 2 9 4" xfId="19676"/>
    <cellStyle name="Input 3 2 9 5" xfId="27738"/>
    <cellStyle name="Input 3 2 9 6" xfId="37394"/>
    <cellStyle name="Input 3 2 9 7" xfId="46914"/>
    <cellStyle name="Input 3 20" xfId="3202"/>
    <cellStyle name="Input 3 20 2" xfId="11002"/>
    <cellStyle name="Input 3 20 3" xfId="20328"/>
    <cellStyle name="Input 3 20 4" xfId="28420"/>
    <cellStyle name="Input 3 20 5" xfId="37807"/>
    <cellStyle name="Input 3 20 6" xfId="42440"/>
    <cellStyle name="Input 3 20 7" xfId="49157"/>
    <cellStyle name="Input 3 21" xfId="3221"/>
    <cellStyle name="Input 3 21 2" xfId="11017"/>
    <cellStyle name="Input 3 21 3" xfId="20344"/>
    <cellStyle name="Input 3 21 4" xfId="28432"/>
    <cellStyle name="Input 3 21 5" xfId="37823"/>
    <cellStyle name="Input 3 21 6" xfId="42450"/>
    <cellStyle name="Input 3 21 7" xfId="53540"/>
    <cellStyle name="Input 3 22" xfId="5268"/>
    <cellStyle name="Input 3 22 2" xfId="12985"/>
    <cellStyle name="Input 3 22 3" xfId="21978"/>
    <cellStyle name="Input 3 22 4" xfId="30165"/>
    <cellStyle name="Input 3 22 5" xfId="39500"/>
    <cellStyle name="Input 3 22 6" xfId="43830"/>
    <cellStyle name="Input 3 22 7" xfId="49968"/>
    <cellStyle name="Input 3 23" xfId="5365"/>
    <cellStyle name="Input 3 23 2" xfId="13082"/>
    <cellStyle name="Input 3 23 3" xfId="22075"/>
    <cellStyle name="Input 3 23 4" xfId="30262"/>
    <cellStyle name="Input 3 23 5" xfId="39594"/>
    <cellStyle name="Input 3 23 6" xfId="43927"/>
    <cellStyle name="Input 3 23 7" xfId="49595"/>
    <cellStyle name="Input 3 24" xfId="5298"/>
    <cellStyle name="Input 3 24 2" xfId="13015"/>
    <cellStyle name="Input 3 24 3" xfId="22008"/>
    <cellStyle name="Input 3 24 4" xfId="30195"/>
    <cellStyle name="Input 3 24 5" xfId="39529"/>
    <cellStyle name="Input 3 24 6" xfId="43860"/>
    <cellStyle name="Input 3 24 7" xfId="54038"/>
    <cellStyle name="Input 3 25" xfId="5236"/>
    <cellStyle name="Input 3 25 2" xfId="12953"/>
    <cellStyle name="Input 3 25 3" xfId="21946"/>
    <cellStyle name="Input 3 25 4" xfId="30133"/>
    <cellStyle name="Input 3 25 5" xfId="39468"/>
    <cellStyle name="Input 3 25 6" xfId="43798"/>
    <cellStyle name="Input 3 25 7" xfId="53096"/>
    <cellStyle name="Input 3 26" xfId="6090"/>
    <cellStyle name="Input 3 26 2" xfId="13807"/>
    <cellStyle name="Input 3 26 3" xfId="22800"/>
    <cellStyle name="Input 3 26 4" xfId="30987"/>
    <cellStyle name="Input 3 26 5" xfId="40291"/>
    <cellStyle name="Input 3 26 6" xfId="44652"/>
    <cellStyle name="Input 3 26 7" xfId="52450"/>
    <cellStyle name="Input 3 27" xfId="5069"/>
    <cellStyle name="Input 3 27 2" xfId="12786"/>
    <cellStyle name="Input 3 27 3" xfId="21779"/>
    <cellStyle name="Input 3 27 4" xfId="29966"/>
    <cellStyle name="Input 3 27 5" xfId="39309"/>
    <cellStyle name="Input 3 27 6" xfId="43631"/>
    <cellStyle name="Input 3 27 7" xfId="48165"/>
    <cellStyle name="Input 3 28" xfId="7300"/>
    <cellStyle name="Input 3 28 2" xfId="15017"/>
    <cellStyle name="Input 3 28 3" xfId="24010"/>
    <cellStyle name="Input 3 28 4" xfId="32197"/>
    <cellStyle name="Input 3 28 5" xfId="41453"/>
    <cellStyle name="Input 3 28 6" xfId="45862"/>
    <cellStyle name="Input 3 28 7" xfId="49199"/>
    <cellStyle name="Input 3 29" xfId="7240"/>
    <cellStyle name="Input 3 29 2" xfId="14957"/>
    <cellStyle name="Input 3 29 3" xfId="23950"/>
    <cellStyle name="Input 3 29 4" xfId="32137"/>
    <cellStyle name="Input 3 29 5" xfId="41394"/>
    <cellStyle name="Input 3 29 6" xfId="45802"/>
    <cellStyle name="Input 3 29 7" xfId="47335"/>
    <cellStyle name="Input 3 3" xfId="509"/>
    <cellStyle name="Input 3 3 10" xfId="1956"/>
    <cellStyle name="Input 3 3 10 2" xfId="9779"/>
    <cellStyle name="Input 3 3 10 3" xfId="17207"/>
    <cellStyle name="Input 3 3 10 4" xfId="25089"/>
    <cellStyle name="Input 3 3 10 5" xfId="33451"/>
    <cellStyle name="Input 3 3 10 6" xfId="39929"/>
    <cellStyle name="Input 3 3 10 7" xfId="50981"/>
    <cellStyle name="Input 3 3 11" xfId="2074"/>
    <cellStyle name="Input 3 3 11 2" xfId="9897"/>
    <cellStyle name="Input 3 3 11 3" xfId="17325"/>
    <cellStyle name="Input 3 3 11 4" xfId="25209"/>
    <cellStyle name="Input 3 3 11 5" xfId="33601"/>
    <cellStyle name="Input 3 3 11 6" xfId="38529"/>
    <cellStyle name="Input 3 3 11 7" xfId="51234"/>
    <cellStyle name="Input 3 3 12" xfId="2187"/>
    <cellStyle name="Input 3 3 12 2" xfId="10010"/>
    <cellStyle name="Input 3 3 12 3" xfId="17438"/>
    <cellStyle name="Input 3 3 12 4" xfId="20695"/>
    <cellStyle name="Input 3 3 12 5" xfId="28383"/>
    <cellStyle name="Input 3 3 12 6" xfId="37692"/>
    <cellStyle name="Input 3 3 12 7" xfId="48229"/>
    <cellStyle name="Input 3 3 13" xfId="1653"/>
    <cellStyle name="Input 3 3 13 2" xfId="9476"/>
    <cellStyle name="Input 3 3 13 3" xfId="16904"/>
    <cellStyle name="Input 3 3 13 4" xfId="25599"/>
    <cellStyle name="Input 3 3 13 5" xfId="34109"/>
    <cellStyle name="Input 3 3 13 6" xfId="40676"/>
    <cellStyle name="Input 3 3 13 7" xfId="52088"/>
    <cellStyle name="Input 3 3 14" xfId="2363"/>
    <cellStyle name="Input 3 3 14 2" xfId="10186"/>
    <cellStyle name="Input 3 3 14 3" xfId="17614"/>
    <cellStyle name="Input 3 3 14 4" xfId="20575"/>
    <cellStyle name="Input 3 3 14 5" xfId="28200"/>
    <cellStyle name="Input 3 3 14 6" xfId="37417"/>
    <cellStyle name="Input 3 3 14 7" xfId="50162"/>
    <cellStyle name="Input 3 3 15" xfId="2485"/>
    <cellStyle name="Input 3 3 15 2" xfId="10308"/>
    <cellStyle name="Input 3 3 15 3" xfId="17736"/>
    <cellStyle name="Input 3 3 15 4" xfId="25576"/>
    <cellStyle name="Input 3 3 15 5" xfId="34079"/>
    <cellStyle name="Input 3 3 15 6" xfId="38178"/>
    <cellStyle name="Input 3 3 15 7" xfId="52039"/>
    <cellStyle name="Input 3 3 16" xfId="2598"/>
    <cellStyle name="Input 3 3 16 2" xfId="10421"/>
    <cellStyle name="Input 3 3 16 3" xfId="17849"/>
    <cellStyle name="Input 3 3 16 4" xfId="19210"/>
    <cellStyle name="Input 3 3 16 5" xfId="27328"/>
    <cellStyle name="Input 3 3 16 6" xfId="39341"/>
    <cellStyle name="Input 3 3 16 7" xfId="49914"/>
    <cellStyle name="Input 3 3 17" xfId="2684"/>
    <cellStyle name="Input 3 3 17 2" xfId="10507"/>
    <cellStyle name="Input 3 3 17 3" xfId="17935"/>
    <cellStyle name="Input 3 3 17 4" xfId="26680"/>
    <cellStyle name="Input 3 3 17 5" xfId="35527"/>
    <cellStyle name="Input 3 3 17 6" xfId="41389"/>
    <cellStyle name="Input 3 3 17 7" xfId="54450"/>
    <cellStyle name="Input 3 3 18" xfId="2725"/>
    <cellStyle name="Input 3 3 18 2" xfId="10548"/>
    <cellStyle name="Input 3 3 18 3" xfId="17976"/>
    <cellStyle name="Input 3 3 18 4" xfId="19828"/>
    <cellStyle name="Input 3 3 18 5" xfId="33125"/>
    <cellStyle name="Input 3 3 18 6" xfId="36608"/>
    <cellStyle name="Input 3 3 18 7" xfId="50379"/>
    <cellStyle name="Input 3 3 19" xfId="2792"/>
    <cellStyle name="Input 3 3 19 2" xfId="10615"/>
    <cellStyle name="Input 3 3 19 3" xfId="18043"/>
    <cellStyle name="Input 3 3 19 4" xfId="25685"/>
    <cellStyle name="Input 3 3 19 5" xfId="34222"/>
    <cellStyle name="Input 3 3 19 6" xfId="38031"/>
    <cellStyle name="Input 3 3 19 7" xfId="52282"/>
    <cellStyle name="Input 3 3 2" xfId="660"/>
    <cellStyle name="Input 3 3 2 2" xfId="8484"/>
    <cellStyle name="Input 3 3 2 3" xfId="8276"/>
    <cellStyle name="Input 3 3 2 4" xfId="25331"/>
    <cellStyle name="Input 3 3 2 5" xfId="33761"/>
    <cellStyle name="Input 3 3 2 6" xfId="36949"/>
    <cellStyle name="Input 3 3 2 7" xfId="51498"/>
    <cellStyle name="Input 3 3 20" xfId="2899"/>
    <cellStyle name="Input 3 3 20 2" xfId="10722"/>
    <cellStyle name="Input 3 3 20 3" xfId="18150"/>
    <cellStyle name="Input 3 3 20 4" xfId="19216"/>
    <cellStyle name="Input 3 3 20 5" xfId="27154"/>
    <cellStyle name="Input 3 3 20 6" xfId="36888"/>
    <cellStyle name="Input 3 3 20 7" xfId="48721"/>
    <cellStyle name="Input 3 3 21" xfId="3275"/>
    <cellStyle name="Input 3 3 21 2" xfId="11068"/>
    <cellStyle name="Input 3 3 21 3" xfId="18397"/>
    <cellStyle name="Input 3 3 21 4" xfId="26674"/>
    <cellStyle name="Input 3 3 21 5" xfId="35521"/>
    <cellStyle name="Input 3 3 21 6" xfId="41883"/>
    <cellStyle name="Input 3 3 21 7" xfId="54442"/>
    <cellStyle name="Input 3 3 22" xfId="3395"/>
    <cellStyle name="Input 3 3 22 2" xfId="11186"/>
    <cellStyle name="Input 3 3 22 3" xfId="18508"/>
    <cellStyle name="Input 3 3 22 4" xfId="24936"/>
    <cellStyle name="Input 3 3 22 5" xfId="33270"/>
    <cellStyle name="Input 3 3 22 6" xfId="36437"/>
    <cellStyle name="Input 3 3 22 7" xfId="50650"/>
    <cellStyle name="Input 3 3 23" xfId="3134"/>
    <cellStyle name="Input 3 3 23 2" xfId="10939"/>
    <cellStyle name="Input 3 3 23 3" xfId="18317"/>
    <cellStyle name="Input 3 3 23 4" xfId="19069"/>
    <cellStyle name="Input 3 3 23 5" xfId="33157"/>
    <cellStyle name="Input 3 3 23 6" xfId="41699"/>
    <cellStyle name="Input 3 3 23 7" xfId="50448"/>
    <cellStyle name="Input 3 3 24" xfId="3665"/>
    <cellStyle name="Input 3 3 24 2" xfId="11450"/>
    <cellStyle name="Input 3 3 24 3" xfId="18723"/>
    <cellStyle name="Input 3 3 24 4" xfId="25826"/>
    <cellStyle name="Input 3 3 24 5" xfId="34409"/>
    <cellStyle name="Input 3 3 24 6" xfId="39841"/>
    <cellStyle name="Input 3 3 24 7" xfId="52621"/>
    <cellStyle name="Input 3 3 25" xfId="3796"/>
    <cellStyle name="Input 3 3 25 2" xfId="11578"/>
    <cellStyle name="Input 3 3 25 3" xfId="18835"/>
    <cellStyle name="Input 3 3 25 4" xfId="20139"/>
    <cellStyle name="Input 3 3 25 5" xfId="28295"/>
    <cellStyle name="Input 3 3 25 6" xfId="36934"/>
    <cellStyle name="Input 3 3 25 7" xfId="47231"/>
    <cellStyle name="Input 3 3 26" xfId="3913"/>
    <cellStyle name="Input 3 3 26 2" xfId="11693"/>
    <cellStyle name="Input 3 3 26 3" xfId="18944"/>
    <cellStyle name="Input 3 3 26 4" xfId="20639"/>
    <cellStyle name="Input 3 3 26 5" xfId="27618"/>
    <cellStyle name="Input 3 3 26 6" xfId="38082"/>
    <cellStyle name="Input 3 3 26 7" xfId="50128"/>
    <cellStyle name="Input 3 3 27" xfId="3080"/>
    <cellStyle name="Input 3 3 27 2" xfId="10888"/>
    <cellStyle name="Input 3 3 27 3" xfId="20241"/>
    <cellStyle name="Input 3 3 27 4" xfId="28331"/>
    <cellStyle name="Input 3 3 27 5" xfId="37711"/>
    <cellStyle name="Input 3 3 27 6" xfId="42388"/>
    <cellStyle name="Input 3 3 27 7" xfId="52691"/>
    <cellStyle name="Input 3 3 28" xfId="4110"/>
    <cellStyle name="Input 3 3 28 2" xfId="11870"/>
    <cellStyle name="Input 3 3 28 3" xfId="20820"/>
    <cellStyle name="Input 3 3 28 4" xfId="29007"/>
    <cellStyle name="Input 3 3 28 5" xfId="38385"/>
    <cellStyle name="Input 3 3 28 6" xfId="42672"/>
    <cellStyle name="Input 3 3 28 7" xfId="53409"/>
    <cellStyle name="Input 3 3 29" xfId="4073"/>
    <cellStyle name="Input 3 3 29 2" xfId="20783"/>
    <cellStyle name="Input 3 3 29 3" xfId="28970"/>
    <cellStyle name="Input 3 3 29 4" xfId="38349"/>
    <cellStyle name="Input 3 3 29 5" xfId="42635"/>
    <cellStyle name="Input 3 3 29 6" xfId="49952"/>
    <cellStyle name="Input 3 3 3" xfId="767"/>
    <cellStyle name="Input 3 3 3 2" xfId="8591"/>
    <cellStyle name="Input 3 3 3 3" xfId="16019"/>
    <cellStyle name="Input 3 3 3 4" xfId="26035"/>
    <cellStyle name="Input 3 3 3 5" xfId="34667"/>
    <cellStyle name="Input 3 3 3 6" xfId="38136"/>
    <cellStyle name="Input 3 3 3 7" xfId="53065"/>
    <cellStyle name="Input 3 3 30" xfId="4307"/>
    <cellStyle name="Input 3 3 30 2" xfId="12024"/>
    <cellStyle name="Input 3 3 30 3" xfId="21017"/>
    <cellStyle name="Input 3 3 30 4" xfId="29204"/>
    <cellStyle name="Input 3 3 30 5" xfId="38576"/>
    <cellStyle name="Input 3 3 30 6" xfId="42869"/>
    <cellStyle name="Input 3 3 30 7" xfId="48589"/>
    <cellStyle name="Input 3 3 31" xfId="4430"/>
    <cellStyle name="Input 3 3 31 2" xfId="12147"/>
    <cellStyle name="Input 3 3 31 3" xfId="21140"/>
    <cellStyle name="Input 3 3 31 4" xfId="29327"/>
    <cellStyle name="Input 3 3 31 5" xfId="38694"/>
    <cellStyle name="Input 3 3 31 6" xfId="42992"/>
    <cellStyle name="Input 3 3 31 7" xfId="52473"/>
    <cellStyle name="Input 3 3 32" xfId="4544"/>
    <cellStyle name="Input 3 3 32 2" xfId="12261"/>
    <cellStyle name="Input 3 3 32 3" xfId="21254"/>
    <cellStyle name="Input 3 3 32 4" xfId="29441"/>
    <cellStyle name="Input 3 3 32 5" xfId="38803"/>
    <cellStyle name="Input 3 3 32 6" xfId="43106"/>
    <cellStyle name="Input 3 3 32 7" xfId="54013"/>
    <cellStyle name="Input 3 3 33" xfId="4657"/>
    <cellStyle name="Input 3 3 33 2" xfId="12374"/>
    <cellStyle name="Input 3 3 33 3" xfId="21367"/>
    <cellStyle name="Input 3 3 33 4" xfId="29554"/>
    <cellStyle name="Input 3 3 33 5" xfId="38911"/>
    <cellStyle name="Input 3 3 33 6" xfId="43219"/>
    <cellStyle name="Input 3 3 33 7" xfId="51271"/>
    <cellStyle name="Input 3 3 34" xfId="4769"/>
    <cellStyle name="Input 3 3 34 2" xfId="12486"/>
    <cellStyle name="Input 3 3 34 3" xfId="21479"/>
    <cellStyle name="Input 3 3 34 4" xfId="29666"/>
    <cellStyle name="Input 3 3 34 5" xfId="39020"/>
    <cellStyle name="Input 3 3 34 6" xfId="43331"/>
    <cellStyle name="Input 3 3 34 7" xfId="48556"/>
    <cellStyle name="Input 3 3 35" xfId="4877"/>
    <cellStyle name="Input 3 3 35 2" xfId="12594"/>
    <cellStyle name="Input 3 3 35 3" xfId="21587"/>
    <cellStyle name="Input 3 3 35 4" xfId="29774"/>
    <cellStyle name="Input 3 3 35 5" xfId="39123"/>
    <cellStyle name="Input 3 3 35 6" xfId="43439"/>
    <cellStyle name="Input 3 3 35 7" xfId="51205"/>
    <cellStyle name="Input 3 3 36" xfId="4989"/>
    <cellStyle name="Input 3 3 36 2" xfId="12706"/>
    <cellStyle name="Input 3 3 36 3" xfId="21699"/>
    <cellStyle name="Input 3 3 36 4" xfId="29886"/>
    <cellStyle name="Input 3 3 36 5" xfId="39232"/>
    <cellStyle name="Input 3 3 36 6" xfId="43551"/>
    <cellStyle name="Input 3 3 36 7" xfId="48901"/>
    <cellStyle name="Input 3 3 37" xfId="5122"/>
    <cellStyle name="Input 3 3 37 2" xfId="12839"/>
    <cellStyle name="Input 3 3 37 3" xfId="21832"/>
    <cellStyle name="Input 3 3 37 4" xfId="30019"/>
    <cellStyle name="Input 3 3 37 5" xfId="39360"/>
    <cellStyle name="Input 3 3 37 6" xfId="43684"/>
    <cellStyle name="Input 3 3 37 7" xfId="48740"/>
    <cellStyle name="Input 3 3 38" xfId="5487"/>
    <cellStyle name="Input 3 3 38 2" xfId="13204"/>
    <cellStyle name="Input 3 3 38 3" xfId="22197"/>
    <cellStyle name="Input 3 3 38 4" xfId="30384"/>
    <cellStyle name="Input 3 3 38 5" xfId="39710"/>
    <cellStyle name="Input 3 3 38 6" xfId="44049"/>
    <cellStyle name="Input 3 3 38 7" xfId="50018"/>
    <cellStyle name="Input 3 3 39" xfId="5612"/>
    <cellStyle name="Input 3 3 39 2" xfId="13329"/>
    <cellStyle name="Input 3 3 39 3" xfId="22322"/>
    <cellStyle name="Input 3 3 39 4" xfId="30509"/>
    <cellStyle name="Input 3 3 39 5" xfId="39830"/>
    <cellStyle name="Input 3 3 39 6" xfId="44174"/>
    <cellStyle name="Input 3 3 39 7" xfId="47130"/>
    <cellStyle name="Input 3 3 4" xfId="879"/>
    <cellStyle name="Input 3 3 4 2" xfId="8703"/>
    <cellStyle name="Input 3 3 4 3" xfId="16131"/>
    <cellStyle name="Input 3 3 4 4" xfId="25366"/>
    <cellStyle name="Input 3 3 4 5" xfId="33806"/>
    <cellStyle name="Input 3 3 4 6" xfId="36970"/>
    <cellStyle name="Input 3 3 4 7" xfId="51572"/>
    <cellStyle name="Input 3 3 40" xfId="5727"/>
    <cellStyle name="Input 3 3 40 2" xfId="13444"/>
    <cellStyle name="Input 3 3 40 3" xfId="22437"/>
    <cellStyle name="Input 3 3 40 4" xfId="30624"/>
    <cellStyle name="Input 3 3 40 5" xfId="39941"/>
    <cellStyle name="Input 3 3 40 6" xfId="44289"/>
    <cellStyle name="Input 3 3 40 7" xfId="48399"/>
    <cellStyle name="Input 3 3 41" xfId="5844"/>
    <cellStyle name="Input 3 3 41 2" xfId="13561"/>
    <cellStyle name="Input 3 3 41 3" xfId="22554"/>
    <cellStyle name="Input 3 3 41 4" xfId="30741"/>
    <cellStyle name="Input 3 3 41 5" xfId="40055"/>
    <cellStyle name="Input 3 3 41 6" xfId="44406"/>
    <cellStyle name="Input 3 3 41 7" xfId="48678"/>
    <cellStyle name="Input 3 3 42" xfId="5972"/>
    <cellStyle name="Input 3 3 42 2" xfId="13689"/>
    <cellStyle name="Input 3 3 42 3" xfId="22682"/>
    <cellStyle name="Input 3 3 42 4" xfId="30869"/>
    <cellStyle name="Input 3 3 42 5" xfId="40179"/>
    <cellStyle name="Input 3 3 42 6" xfId="44534"/>
    <cellStyle name="Input 3 3 42 7" xfId="50054"/>
    <cellStyle name="Input 3 3 43" xfId="5262"/>
    <cellStyle name="Input 3 3 43 2" xfId="12979"/>
    <cellStyle name="Input 3 3 43 3" xfId="21972"/>
    <cellStyle name="Input 3 3 43 4" xfId="30159"/>
    <cellStyle name="Input 3 3 43 5" xfId="39494"/>
    <cellStyle name="Input 3 3 43 6" xfId="43824"/>
    <cellStyle name="Input 3 3 43 7" xfId="50525"/>
    <cellStyle name="Input 3 3 44" xfId="6228"/>
    <cellStyle name="Input 3 3 44 2" xfId="13945"/>
    <cellStyle name="Input 3 3 44 3" xfId="22938"/>
    <cellStyle name="Input 3 3 44 4" xfId="31125"/>
    <cellStyle name="Input 3 3 44 5" xfId="40426"/>
    <cellStyle name="Input 3 3 44 6" xfId="44790"/>
    <cellStyle name="Input 3 3 44 7" xfId="52682"/>
    <cellStyle name="Input 3 3 45" xfId="6345"/>
    <cellStyle name="Input 3 3 45 2" xfId="14062"/>
    <cellStyle name="Input 3 3 45 3" xfId="23055"/>
    <cellStyle name="Input 3 3 45 4" xfId="31242"/>
    <cellStyle name="Input 3 3 45 5" xfId="40540"/>
    <cellStyle name="Input 3 3 45 6" xfId="44907"/>
    <cellStyle name="Input 3 3 45 7" xfId="49296"/>
    <cellStyle name="Input 3 3 46" xfId="6455"/>
    <cellStyle name="Input 3 3 46 2" xfId="14172"/>
    <cellStyle name="Input 3 3 46 3" xfId="23165"/>
    <cellStyle name="Input 3 3 46 4" xfId="31352"/>
    <cellStyle name="Input 3 3 46 5" xfId="40646"/>
    <cellStyle name="Input 3 3 46 6" xfId="45017"/>
    <cellStyle name="Input 3 3 46 7" xfId="49780"/>
    <cellStyle name="Input 3 3 47" xfId="5080"/>
    <cellStyle name="Input 3 3 47 2" xfId="12797"/>
    <cellStyle name="Input 3 3 47 3" xfId="21790"/>
    <cellStyle name="Input 3 3 47 4" xfId="29977"/>
    <cellStyle name="Input 3 3 47 5" xfId="39320"/>
    <cellStyle name="Input 3 3 47 6" xfId="43642"/>
    <cellStyle name="Input 3 3 47 7" xfId="48050"/>
    <cellStyle name="Input 3 3 48" xfId="6602"/>
    <cellStyle name="Input 3 3 48 2" xfId="14319"/>
    <cellStyle name="Input 3 3 48 3" xfId="23312"/>
    <cellStyle name="Input 3 3 48 4" xfId="31499"/>
    <cellStyle name="Input 3 3 48 5" xfId="40786"/>
    <cellStyle name="Input 3 3 48 6" xfId="45164"/>
    <cellStyle name="Input 3 3 48 7" xfId="50762"/>
    <cellStyle name="Input 3 3 49" xfId="6713"/>
    <cellStyle name="Input 3 3 49 2" xfId="14430"/>
    <cellStyle name="Input 3 3 49 3" xfId="23423"/>
    <cellStyle name="Input 3 3 49 4" xfId="31610"/>
    <cellStyle name="Input 3 3 49 5" xfId="40892"/>
    <cellStyle name="Input 3 3 49 6" xfId="45275"/>
    <cellStyle name="Input 3 3 49 7" xfId="53801"/>
    <cellStyle name="Input 3 3 5" xfId="1344"/>
    <cellStyle name="Input 3 3 5 2" xfId="9167"/>
    <cellStyle name="Input 3 3 5 3" xfId="16595"/>
    <cellStyle name="Input 3 3 5 4" xfId="19319"/>
    <cellStyle name="Input 3 3 5 5" xfId="27238"/>
    <cellStyle name="Input 3 3 5 6" xfId="42226"/>
    <cellStyle name="Input 3 3 5 7" xfId="49031"/>
    <cellStyle name="Input 3 3 50" xfId="6828"/>
    <cellStyle name="Input 3 3 50 2" xfId="14545"/>
    <cellStyle name="Input 3 3 50 3" xfId="23538"/>
    <cellStyle name="Input 3 3 50 4" xfId="31725"/>
    <cellStyle name="Input 3 3 50 5" xfId="41000"/>
    <cellStyle name="Input 3 3 50 6" xfId="45390"/>
    <cellStyle name="Input 3 3 50 7" xfId="49046"/>
    <cellStyle name="Input 3 3 51" xfId="6941"/>
    <cellStyle name="Input 3 3 51 2" xfId="14658"/>
    <cellStyle name="Input 3 3 51 3" xfId="23651"/>
    <cellStyle name="Input 3 3 51 4" xfId="31838"/>
    <cellStyle name="Input 3 3 51 5" xfId="41108"/>
    <cellStyle name="Input 3 3 51 6" xfId="45503"/>
    <cellStyle name="Input 3 3 51 7" xfId="46984"/>
    <cellStyle name="Input 3 3 52" xfId="7053"/>
    <cellStyle name="Input 3 3 52 2" xfId="14770"/>
    <cellStyle name="Input 3 3 52 3" xfId="23763"/>
    <cellStyle name="Input 3 3 52 4" xfId="31950"/>
    <cellStyle name="Input 3 3 52 5" xfId="41214"/>
    <cellStyle name="Input 3 3 52 6" xfId="45615"/>
    <cellStyle name="Input 3 3 52 7" xfId="54213"/>
    <cellStyle name="Input 3 3 53" xfId="7321"/>
    <cellStyle name="Input 3 3 53 2" xfId="15038"/>
    <cellStyle name="Input 3 3 53 3" xfId="24031"/>
    <cellStyle name="Input 3 3 53 4" xfId="32218"/>
    <cellStyle name="Input 3 3 53 5" xfId="41474"/>
    <cellStyle name="Input 3 3 53 6" xfId="45883"/>
    <cellStyle name="Input 3 3 53 7" xfId="48230"/>
    <cellStyle name="Input 3 3 54" xfId="7351"/>
    <cellStyle name="Input 3 3 54 2" xfId="15068"/>
    <cellStyle name="Input 3 3 54 3" xfId="24061"/>
    <cellStyle name="Input 3 3 54 4" xfId="32248"/>
    <cellStyle name="Input 3 3 54 5" xfId="41504"/>
    <cellStyle name="Input 3 3 54 6" xfId="45913"/>
    <cellStyle name="Input 3 3 54 7" xfId="51146"/>
    <cellStyle name="Input 3 3 55" xfId="7450"/>
    <cellStyle name="Input 3 3 55 2" xfId="15167"/>
    <cellStyle name="Input 3 3 55 3" xfId="24160"/>
    <cellStyle name="Input 3 3 55 4" xfId="32347"/>
    <cellStyle name="Input 3 3 55 5" xfId="41597"/>
    <cellStyle name="Input 3 3 55 6" xfId="46012"/>
    <cellStyle name="Input 3 3 55 7" xfId="50927"/>
    <cellStyle name="Input 3 3 56" xfId="7571"/>
    <cellStyle name="Input 3 3 56 2" xfId="15288"/>
    <cellStyle name="Input 3 3 56 3" xfId="24281"/>
    <cellStyle name="Input 3 3 56 4" xfId="32468"/>
    <cellStyle name="Input 3 3 56 5" xfId="41712"/>
    <cellStyle name="Input 3 3 56 6" xfId="46133"/>
    <cellStyle name="Input 3 3 56 7" xfId="49613"/>
    <cellStyle name="Input 3 3 57" xfId="7847"/>
    <cellStyle name="Input 3 3 57 2" xfId="15564"/>
    <cellStyle name="Input 3 3 57 3" xfId="24551"/>
    <cellStyle name="Input 3 3 57 4" xfId="32744"/>
    <cellStyle name="Input 3 3 57 5" xfId="41977"/>
    <cellStyle name="Input 3 3 57 6" xfId="46409"/>
    <cellStyle name="Input 3 3 57 7" xfId="51248"/>
    <cellStyle name="Input 3 3 58" xfId="7945"/>
    <cellStyle name="Input 3 3 58 2" xfId="15662"/>
    <cellStyle name="Input 3 3 58 3" xfId="24648"/>
    <cellStyle name="Input 3 3 58 4" xfId="32842"/>
    <cellStyle name="Input 3 3 58 5" xfId="42071"/>
    <cellStyle name="Input 3 3 58 6" xfId="46507"/>
    <cellStyle name="Input 3 3 58 7" xfId="51851"/>
    <cellStyle name="Input 3 3 59" xfId="7771"/>
    <cellStyle name="Input 3 3 59 2" xfId="15488"/>
    <cellStyle name="Input 3 3 59 3" xfId="24477"/>
    <cellStyle name="Input 3 3 59 4" xfId="32668"/>
    <cellStyle name="Input 3 3 59 5" xfId="41904"/>
    <cellStyle name="Input 3 3 59 6" xfId="46333"/>
    <cellStyle name="Input 3 3 59 7" xfId="50841"/>
    <cellStyle name="Input 3 3 6" xfId="1467"/>
    <cellStyle name="Input 3 3 6 2" xfId="9290"/>
    <cellStyle name="Input 3 3 6 3" xfId="16718"/>
    <cellStyle name="Input 3 3 6 4" xfId="19050"/>
    <cellStyle name="Input 3 3 6 5" xfId="26913"/>
    <cellStyle name="Input 3 3 6 6" xfId="37493"/>
    <cellStyle name="Input 3 3 6 7" xfId="49175"/>
    <cellStyle name="Input 3 3 60" xfId="8123"/>
    <cellStyle name="Input 3 3 60 2" xfId="15840"/>
    <cellStyle name="Input 3 3 60 3" xfId="33020"/>
    <cellStyle name="Input 3 3 60 4" xfId="42241"/>
    <cellStyle name="Input 3 3 60 5" xfId="46685"/>
    <cellStyle name="Input 3 3 60 6" xfId="51871"/>
    <cellStyle name="Input 3 3 61" xfId="25127"/>
    <cellStyle name="Input 3 3 62" xfId="33500"/>
    <cellStyle name="Input 3 3 63" xfId="37607"/>
    <cellStyle name="Input 3 3 64" xfId="51069"/>
    <cellStyle name="Input 3 3 7" xfId="1563"/>
    <cellStyle name="Input 3 3 7 2" xfId="9386"/>
    <cellStyle name="Input 3 3 7 3" xfId="16814"/>
    <cellStyle name="Input 3 3 7 4" xfId="26557"/>
    <cellStyle name="Input 3 3 7 5" xfId="35366"/>
    <cellStyle name="Input 3 3 7 6" xfId="42234"/>
    <cellStyle name="Input 3 3 7 7" xfId="54188"/>
    <cellStyle name="Input 3 3 8" xfId="1704"/>
    <cellStyle name="Input 3 3 8 2" xfId="9527"/>
    <cellStyle name="Input 3 3 8 3" xfId="16955"/>
    <cellStyle name="Input 3 3 8 4" xfId="26450"/>
    <cellStyle name="Input 3 3 8 5" xfId="35225"/>
    <cellStyle name="Input 3 3 8 6" xfId="36801"/>
    <cellStyle name="Input 3 3 8 7" xfId="53960"/>
    <cellStyle name="Input 3 3 9" xfId="1838"/>
    <cellStyle name="Input 3 3 9 2" xfId="9661"/>
    <cellStyle name="Input 3 3 9 3" xfId="17089"/>
    <cellStyle name="Input 3 3 9 4" xfId="20173"/>
    <cellStyle name="Input 3 3 9 5" xfId="27237"/>
    <cellStyle name="Input 3 3 9 6" xfId="37356"/>
    <cellStyle name="Input 3 3 9 7" xfId="48290"/>
    <cellStyle name="Input 3 30" xfId="7410"/>
    <cellStyle name="Input 3 30 2" xfId="15127"/>
    <cellStyle name="Input 3 30 3" xfId="24120"/>
    <cellStyle name="Input 3 30 4" xfId="32307"/>
    <cellStyle name="Input 3 30 5" xfId="41559"/>
    <cellStyle name="Input 3 30 6" xfId="45972"/>
    <cellStyle name="Input 3 30 7" xfId="52449"/>
    <cellStyle name="Input 3 31" xfId="7753"/>
    <cellStyle name="Input 3 31 2" xfId="15470"/>
    <cellStyle name="Input 3 31 3" xfId="24461"/>
    <cellStyle name="Input 3 31 4" xfId="32650"/>
    <cellStyle name="Input 3 31 5" xfId="41886"/>
    <cellStyle name="Input 3 31 6" xfId="46315"/>
    <cellStyle name="Input 3 31 7" xfId="52271"/>
    <cellStyle name="Input 3 32" xfId="25834"/>
    <cellStyle name="Input 3 33" xfId="34419"/>
    <cellStyle name="Input 3 34" xfId="38128"/>
    <cellStyle name="Input 3 35" xfId="52642"/>
    <cellStyle name="Input 3 4" xfId="569"/>
    <cellStyle name="Input 3 4 10" xfId="2016"/>
    <cellStyle name="Input 3 4 10 2" xfId="9839"/>
    <cellStyle name="Input 3 4 10 3" xfId="17267"/>
    <cellStyle name="Input 3 4 10 4" xfId="25097"/>
    <cellStyle name="Input 3 4 10 5" xfId="33461"/>
    <cellStyle name="Input 3 4 10 6" xfId="41170"/>
    <cellStyle name="Input 3 4 10 7" xfId="51004"/>
    <cellStyle name="Input 3 4 11" xfId="2133"/>
    <cellStyle name="Input 3 4 11 2" xfId="9956"/>
    <cellStyle name="Input 3 4 11 3" xfId="17384"/>
    <cellStyle name="Input 3 4 11 4" xfId="25387"/>
    <cellStyle name="Input 3 4 11 5" xfId="33835"/>
    <cellStyle name="Input 3 4 11 6" xfId="36926"/>
    <cellStyle name="Input 3 4 11 7" xfId="51617"/>
    <cellStyle name="Input 3 4 12" xfId="2247"/>
    <cellStyle name="Input 3 4 12 2" xfId="10070"/>
    <cellStyle name="Input 3 4 12 3" xfId="17498"/>
    <cellStyle name="Input 3 4 12 4" xfId="26092"/>
    <cellStyle name="Input 3 4 12 5" xfId="34742"/>
    <cellStyle name="Input 3 4 12 6" xfId="40078"/>
    <cellStyle name="Input 3 4 12 7" xfId="53191"/>
    <cellStyle name="Input 3 4 13" xfId="1587"/>
    <cellStyle name="Input 3 4 13 2" xfId="9410"/>
    <cellStyle name="Input 3 4 13 3" xfId="16838"/>
    <cellStyle name="Input 3 4 13 4" xfId="25285"/>
    <cellStyle name="Input 3 4 13 5" xfId="33697"/>
    <cellStyle name="Input 3 4 13 6" xfId="39934"/>
    <cellStyle name="Input 3 4 13 7" xfId="51397"/>
    <cellStyle name="Input 3 4 14" xfId="1626"/>
    <cellStyle name="Input 3 4 14 2" xfId="9449"/>
    <cellStyle name="Input 3 4 14 3" xfId="16877"/>
    <cellStyle name="Input 3 4 14 4" xfId="19214"/>
    <cellStyle name="Input 3 4 14 5" xfId="28175"/>
    <cellStyle name="Input 3 4 14 6" xfId="37737"/>
    <cellStyle name="Input 3 4 14 7" xfId="48517"/>
    <cellStyle name="Input 3 4 15" xfId="2544"/>
    <cellStyle name="Input 3 4 15 2" xfId="10367"/>
    <cellStyle name="Input 3 4 15 3" xfId="17795"/>
    <cellStyle name="Input 3 4 15 4" xfId="19787"/>
    <cellStyle name="Input 3 4 15 5" xfId="27257"/>
    <cellStyle name="Input 3 4 15 6" xfId="36790"/>
    <cellStyle name="Input 3 4 15 7" xfId="46910"/>
    <cellStyle name="Input 3 4 16" xfId="2658"/>
    <cellStyle name="Input 3 4 16 2" xfId="10481"/>
    <cellStyle name="Input 3 4 16 3" xfId="17909"/>
    <cellStyle name="Input 3 4 16 4" xfId="19113"/>
    <cellStyle name="Input 3 4 16 5" xfId="28578"/>
    <cellStyle name="Input 3 4 16 6" xfId="37251"/>
    <cellStyle name="Input 3 4 16 7" xfId="50189"/>
    <cellStyle name="Input 3 4 17" xfId="2279"/>
    <cellStyle name="Input 3 4 17 2" xfId="10102"/>
    <cellStyle name="Input 3 4 17 3" xfId="17530"/>
    <cellStyle name="Input 3 4 17 4" xfId="20640"/>
    <cellStyle name="Input 3 4 17 5" xfId="28786"/>
    <cellStyle name="Input 3 4 17 6" xfId="36582"/>
    <cellStyle name="Input 3 4 17 7" xfId="47662"/>
    <cellStyle name="Input 3 4 18" xfId="1094"/>
    <cellStyle name="Input 3 4 18 2" xfId="8918"/>
    <cellStyle name="Input 3 4 18 3" xfId="16346"/>
    <cellStyle name="Input 3 4 18 4" xfId="25065"/>
    <cellStyle name="Input 3 4 18 5" xfId="33426"/>
    <cellStyle name="Input 3 4 18 6" xfId="37387"/>
    <cellStyle name="Input 3 4 18 7" xfId="50938"/>
    <cellStyle name="Input 3 4 19" xfId="2849"/>
    <cellStyle name="Input 3 4 19 2" xfId="10672"/>
    <cellStyle name="Input 3 4 19 3" xfId="18100"/>
    <cellStyle name="Input 3 4 19 4" xfId="26373"/>
    <cellStyle name="Input 3 4 19 5" xfId="35115"/>
    <cellStyle name="Input 3 4 19 6" xfId="39629"/>
    <cellStyle name="Input 3 4 19 7" xfId="53795"/>
    <cellStyle name="Input 3 4 2" xfId="717"/>
    <cellStyle name="Input 3 4 2 2" xfId="8541"/>
    <cellStyle name="Input 3 4 2 3" xfId="15969"/>
    <cellStyle name="Input 3 4 2 4" xfId="25582"/>
    <cellStyle name="Input 3 4 2 5" xfId="34087"/>
    <cellStyle name="Input 3 4 2 6" xfId="36826"/>
    <cellStyle name="Input 3 4 2 7" xfId="52056"/>
    <cellStyle name="Input 3 4 20" xfId="2956"/>
    <cellStyle name="Input 3 4 20 2" xfId="10779"/>
    <cellStyle name="Input 3 4 20 3" xfId="18207"/>
    <cellStyle name="Input 3 4 20 4" xfId="20088"/>
    <cellStyle name="Input 3 4 20 5" xfId="33140"/>
    <cellStyle name="Input 3 4 20 6" xfId="37677"/>
    <cellStyle name="Input 3 4 20 7" xfId="50409"/>
    <cellStyle name="Input 3 4 21" xfId="3333"/>
    <cellStyle name="Input 3 4 21 2" xfId="11126"/>
    <cellStyle name="Input 3 4 21 3" xfId="18454"/>
    <cellStyle name="Input 3 4 21 4" xfId="20685"/>
    <cellStyle name="Input 3 4 21 5" xfId="28468"/>
    <cellStyle name="Input 3 4 21 6" xfId="36349"/>
    <cellStyle name="Input 3 4 21 7" xfId="48621"/>
    <cellStyle name="Input 3 4 22" xfId="3452"/>
    <cellStyle name="Input 3 4 22 2" xfId="11243"/>
    <cellStyle name="Input 3 4 22 3" xfId="18565"/>
    <cellStyle name="Input 3 4 22 4" xfId="25773"/>
    <cellStyle name="Input 3 4 22 5" xfId="34331"/>
    <cellStyle name="Input 3 4 22 6" xfId="38936"/>
    <cellStyle name="Input 3 4 22 7" xfId="52481"/>
    <cellStyle name="Input 3 4 23" xfId="3612"/>
    <cellStyle name="Input 3 4 23 2" xfId="11398"/>
    <cellStyle name="Input 3 4 23 3" xfId="18672"/>
    <cellStyle name="Input 3 4 23 4" xfId="20000"/>
    <cellStyle name="Input 3 4 23 5" xfId="27929"/>
    <cellStyle name="Input 3 4 23 6" xfId="38159"/>
    <cellStyle name="Input 3 4 23 7" xfId="49664"/>
    <cellStyle name="Input 3 4 24" xfId="3725"/>
    <cellStyle name="Input 3 4 24 2" xfId="11510"/>
    <cellStyle name="Input 3 4 24 3" xfId="18782"/>
    <cellStyle name="Input 3 4 24 4" xfId="24923"/>
    <cellStyle name="Input 3 4 24 5" xfId="33253"/>
    <cellStyle name="Input 3 4 24 6" xfId="42230"/>
    <cellStyle name="Input 3 4 24 7" xfId="50622"/>
    <cellStyle name="Input 3 4 25" xfId="3854"/>
    <cellStyle name="Input 3 4 25 2" xfId="11636"/>
    <cellStyle name="Input 3 4 25 3" xfId="18892"/>
    <cellStyle name="Input 3 4 25 4" xfId="20155"/>
    <cellStyle name="Input 3 4 25 5" xfId="27512"/>
    <cellStyle name="Input 3 4 25 6" xfId="37194"/>
    <cellStyle name="Input 3 4 25 7" xfId="48127"/>
    <cellStyle name="Input 3 4 26" xfId="3973"/>
    <cellStyle name="Input 3 4 26 2" xfId="11752"/>
    <cellStyle name="Input 3 4 26 3" xfId="19001"/>
    <cellStyle name="Input 3 4 26 4" xfId="25868"/>
    <cellStyle name="Input 3 4 26 5" xfId="34457"/>
    <cellStyle name="Input 3 4 26 6" xfId="39227"/>
    <cellStyle name="Input 3 4 26 7" xfId="52711"/>
    <cellStyle name="Input 3 4 27" xfId="3020"/>
    <cellStyle name="Input 3 4 27 2" xfId="10836"/>
    <cellStyle name="Input 3 4 27 3" xfId="20193"/>
    <cellStyle name="Input 3 4 27 4" xfId="28284"/>
    <cellStyle name="Input 3 4 27 5" xfId="37665"/>
    <cellStyle name="Input 3 4 27 6" xfId="42358"/>
    <cellStyle name="Input 3 4 27 7" xfId="51173"/>
    <cellStyle name="Input 3 4 28" xfId="4169"/>
    <cellStyle name="Input 3 4 28 2" xfId="11928"/>
    <cellStyle name="Input 3 4 28 3" xfId="20879"/>
    <cellStyle name="Input 3 4 28 4" xfId="29066"/>
    <cellStyle name="Input 3 4 28 5" xfId="38442"/>
    <cellStyle name="Input 3 4 28 6" xfId="42731"/>
    <cellStyle name="Input 3 4 28 7" xfId="49637"/>
    <cellStyle name="Input 3 4 29" xfId="4197"/>
    <cellStyle name="Input 3 4 29 2" xfId="20907"/>
    <cellStyle name="Input 3 4 29 3" xfId="29094"/>
    <cellStyle name="Input 3 4 29 4" xfId="38470"/>
    <cellStyle name="Input 3 4 29 5" xfId="42759"/>
    <cellStyle name="Input 3 4 29 6" xfId="52233"/>
    <cellStyle name="Input 3 4 3" xfId="826"/>
    <cellStyle name="Input 3 4 3 2" xfId="8650"/>
    <cellStyle name="Input 3 4 3 3" xfId="16078"/>
    <cellStyle name="Input 3 4 3 4" xfId="26159"/>
    <cellStyle name="Input 3 4 3 5" xfId="34828"/>
    <cellStyle name="Input 3 4 3 6" xfId="37220"/>
    <cellStyle name="Input 3 4 3 7" xfId="53336"/>
    <cellStyle name="Input 3 4 30" xfId="4367"/>
    <cellStyle name="Input 3 4 30 2" xfId="12084"/>
    <cellStyle name="Input 3 4 30 3" xfId="21077"/>
    <cellStyle name="Input 3 4 30 4" xfId="29264"/>
    <cellStyle name="Input 3 4 30 5" xfId="38634"/>
    <cellStyle name="Input 3 4 30 6" xfId="42929"/>
    <cellStyle name="Input 3 4 30 7" xfId="52453"/>
    <cellStyle name="Input 3 4 31" xfId="4489"/>
    <cellStyle name="Input 3 4 31 2" xfId="12206"/>
    <cellStyle name="Input 3 4 31 3" xfId="21199"/>
    <cellStyle name="Input 3 4 31 4" xfId="29386"/>
    <cellStyle name="Input 3 4 31 5" xfId="38750"/>
    <cellStyle name="Input 3 4 31 6" xfId="43051"/>
    <cellStyle name="Input 3 4 31 7" xfId="52774"/>
    <cellStyle name="Input 3 4 32" xfId="4603"/>
    <cellStyle name="Input 3 4 32 2" xfId="12320"/>
    <cellStyle name="Input 3 4 32 3" xfId="21313"/>
    <cellStyle name="Input 3 4 32 4" xfId="29500"/>
    <cellStyle name="Input 3 4 32 5" xfId="38859"/>
    <cellStyle name="Input 3 4 32 6" xfId="43165"/>
    <cellStyle name="Input 3 4 32 7" xfId="49327"/>
    <cellStyle name="Input 3 4 33" xfId="4716"/>
    <cellStyle name="Input 3 4 33 2" xfId="12433"/>
    <cellStyle name="Input 3 4 33 3" xfId="21426"/>
    <cellStyle name="Input 3 4 33 4" xfId="29613"/>
    <cellStyle name="Input 3 4 33 5" xfId="38968"/>
    <cellStyle name="Input 3 4 33 6" xfId="43278"/>
    <cellStyle name="Input 3 4 33 7" xfId="52916"/>
    <cellStyle name="Input 3 4 34" xfId="4826"/>
    <cellStyle name="Input 3 4 34 2" xfId="12543"/>
    <cellStyle name="Input 3 4 34 3" xfId="21536"/>
    <cellStyle name="Input 3 4 34 4" xfId="29723"/>
    <cellStyle name="Input 3 4 34 5" xfId="39075"/>
    <cellStyle name="Input 3 4 34 6" xfId="43388"/>
    <cellStyle name="Input 3 4 34 7" xfId="47904"/>
    <cellStyle name="Input 3 4 35" xfId="4936"/>
    <cellStyle name="Input 3 4 35 2" xfId="12653"/>
    <cellStyle name="Input 3 4 35 3" xfId="21646"/>
    <cellStyle name="Input 3 4 35 4" xfId="29833"/>
    <cellStyle name="Input 3 4 35 5" xfId="39180"/>
    <cellStyle name="Input 3 4 35 6" xfId="43498"/>
    <cellStyle name="Input 3 4 35 7" xfId="54124"/>
    <cellStyle name="Input 3 4 36" xfId="5046"/>
    <cellStyle name="Input 3 4 36 2" xfId="12763"/>
    <cellStyle name="Input 3 4 36 3" xfId="21756"/>
    <cellStyle name="Input 3 4 36 4" xfId="29943"/>
    <cellStyle name="Input 3 4 36 5" xfId="39287"/>
    <cellStyle name="Input 3 4 36 6" xfId="43608"/>
    <cellStyle name="Input 3 4 36 7" xfId="48978"/>
    <cellStyle name="Input 3 4 37" xfId="5426"/>
    <cellStyle name="Input 3 4 37 2" xfId="13143"/>
    <cellStyle name="Input 3 4 37 3" xfId="22136"/>
    <cellStyle name="Input 3 4 37 4" xfId="30323"/>
    <cellStyle name="Input 3 4 37 5" xfId="39652"/>
    <cellStyle name="Input 3 4 37 6" xfId="43988"/>
    <cellStyle name="Input 3 4 37 7" xfId="48724"/>
    <cellStyle name="Input 3 4 38" xfId="5546"/>
    <cellStyle name="Input 3 4 38 2" xfId="13263"/>
    <cellStyle name="Input 3 4 38 3" xfId="22256"/>
    <cellStyle name="Input 3 4 38 4" xfId="30443"/>
    <cellStyle name="Input 3 4 38 5" xfId="39766"/>
    <cellStyle name="Input 3 4 38 6" xfId="44108"/>
    <cellStyle name="Input 3 4 38 7" xfId="47180"/>
    <cellStyle name="Input 3 4 39" xfId="5670"/>
    <cellStyle name="Input 3 4 39 2" xfId="13387"/>
    <cellStyle name="Input 3 4 39 3" xfId="22380"/>
    <cellStyle name="Input 3 4 39 4" xfId="30567"/>
    <cellStyle name="Input 3 4 39 5" xfId="39887"/>
    <cellStyle name="Input 3 4 39 6" xfId="44232"/>
    <cellStyle name="Input 3 4 39 7" xfId="46831"/>
    <cellStyle name="Input 3 4 4" xfId="936"/>
    <cellStyle name="Input 3 4 4 2" xfId="8760"/>
    <cellStyle name="Input 3 4 4 3" xfId="16188"/>
    <cellStyle name="Input 3 4 4 4" xfId="19705"/>
    <cellStyle name="Input 3 4 4 5" xfId="27795"/>
    <cellStyle name="Input 3 4 4 6" xfId="36466"/>
    <cellStyle name="Input 3 4 4 7" xfId="50200"/>
    <cellStyle name="Input 3 4 40" xfId="5786"/>
    <cellStyle name="Input 3 4 40 2" xfId="13503"/>
    <cellStyle name="Input 3 4 40 3" xfId="22496"/>
    <cellStyle name="Input 3 4 40 4" xfId="30683"/>
    <cellStyle name="Input 3 4 40 5" xfId="39999"/>
    <cellStyle name="Input 3 4 40 6" xfId="44348"/>
    <cellStyle name="Input 3 4 40 7" xfId="48566"/>
    <cellStyle name="Input 3 4 41" xfId="5903"/>
    <cellStyle name="Input 3 4 41 2" xfId="13620"/>
    <cellStyle name="Input 3 4 41 3" xfId="22613"/>
    <cellStyle name="Input 3 4 41 4" xfId="30800"/>
    <cellStyle name="Input 3 4 41 5" xfId="40113"/>
    <cellStyle name="Input 3 4 41 6" xfId="44465"/>
    <cellStyle name="Input 3 4 41 7" xfId="48334"/>
    <cellStyle name="Input 3 4 42" xfId="6031"/>
    <cellStyle name="Input 3 4 42 2" xfId="13748"/>
    <cellStyle name="Input 3 4 42 3" xfId="22741"/>
    <cellStyle name="Input 3 4 42 4" xfId="30928"/>
    <cellStyle name="Input 3 4 42 5" xfId="40236"/>
    <cellStyle name="Input 3 4 42 6" xfId="44593"/>
    <cellStyle name="Input 3 4 42 7" xfId="51144"/>
    <cellStyle name="Input 3 4 43" xfId="6158"/>
    <cellStyle name="Input 3 4 43 2" xfId="13875"/>
    <cellStyle name="Input 3 4 43 3" xfId="22868"/>
    <cellStyle name="Input 3 4 43 4" xfId="31055"/>
    <cellStyle name="Input 3 4 43 5" xfId="40356"/>
    <cellStyle name="Input 3 4 43 6" xfId="44720"/>
    <cellStyle name="Input 3 4 43 7" xfId="52635"/>
    <cellStyle name="Input 3 4 44" xfId="6287"/>
    <cellStyle name="Input 3 4 44 2" xfId="14004"/>
    <cellStyle name="Input 3 4 44 3" xfId="22997"/>
    <cellStyle name="Input 3 4 44 4" xfId="31184"/>
    <cellStyle name="Input 3 4 44 5" xfId="40484"/>
    <cellStyle name="Input 3 4 44 6" xfId="44849"/>
    <cellStyle name="Input 3 4 44 7" xfId="47878"/>
    <cellStyle name="Input 3 4 45" xfId="6402"/>
    <cellStyle name="Input 3 4 45 2" xfId="14119"/>
    <cellStyle name="Input 3 4 45 3" xfId="23112"/>
    <cellStyle name="Input 3 4 45 4" xfId="31299"/>
    <cellStyle name="Input 3 4 45 5" xfId="40595"/>
    <cellStyle name="Input 3 4 45 6" xfId="44964"/>
    <cellStyle name="Input 3 4 45 7" xfId="49467"/>
    <cellStyle name="Input 3 4 46" xfId="6514"/>
    <cellStyle name="Input 3 4 46 2" xfId="14231"/>
    <cellStyle name="Input 3 4 46 3" xfId="23224"/>
    <cellStyle name="Input 3 4 46 4" xfId="31411"/>
    <cellStyle name="Input 3 4 46 5" xfId="40703"/>
    <cellStyle name="Input 3 4 46 6" xfId="45076"/>
    <cellStyle name="Input 3 4 46 7" xfId="51934"/>
    <cellStyle name="Input 3 4 47" xfId="5800"/>
    <cellStyle name="Input 3 4 47 2" xfId="13517"/>
    <cellStyle name="Input 3 4 47 3" xfId="22510"/>
    <cellStyle name="Input 3 4 47 4" xfId="30697"/>
    <cellStyle name="Input 3 4 47 5" xfId="40012"/>
    <cellStyle name="Input 3 4 47 6" xfId="44362"/>
    <cellStyle name="Input 3 4 47 7" xfId="53281"/>
    <cellStyle name="Input 3 4 48" xfId="6661"/>
    <cellStyle name="Input 3 4 48 2" xfId="14378"/>
    <cellStyle name="Input 3 4 48 3" xfId="23371"/>
    <cellStyle name="Input 3 4 48 4" xfId="31558"/>
    <cellStyle name="Input 3 4 48 5" xfId="40842"/>
    <cellStyle name="Input 3 4 48 6" xfId="45223"/>
    <cellStyle name="Input 3 4 48 7" xfId="52147"/>
    <cellStyle name="Input 3 4 49" xfId="6772"/>
    <cellStyle name="Input 3 4 49 2" xfId="14489"/>
    <cellStyle name="Input 3 4 49 3" xfId="23482"/>
    <cellStyle name="Input 3 4 49 4" xfId="31669"/>
    <cellStyle name="Input 3 4 49 5" xfId="40948"/>
    <cellStyle name="Input 3 4 49 6" xfId="45334"/>
    <cellStyle name="Input 3 4 49 7" xfId="47864"/>
    <cellStyle name="Input 3 4 5" xfId="1404"/>
    <cellStyle name="Input 3 4 5 2" xfId="9227"/>
    <cellStyle name="Input 3 4 5 3" xfId="16655"/>
    <cellStyle name="Input 3 4 5 4" xfId="19365"/>
    <cellStyle name="Input 3 4 5 5" xfId="27427"/>
    <cellStyle name="Input 3 4 5 6" xfId="41152"/>
    <cellStyle name="Input 3 4 5 7" xfId="49351"/>
    <cellStyle name="Input 3 4 50" xfId="6887"/>
    <cellStyle name="Input 3 4 50 2" xfId="14604"/>
    <cellStyle name="Input 3 4 50 3" xfId="23597"/>
    <cellStyle name="Input 3 4 50 4" xfId="31784"/>
    <cellStyle name="Input 3 4 50 5" xfId="41056"/>
    <cellStyle name="Input 3 4 50 6" xfId="45449"/>
    <cellStyle name="Input 3 4 50 7" xfId="46947"/>
    <cellStyle name="Input 3 4 51" xfId="7000"/>
    <cellStyle name="Input 3 4 51 2" xfId="14717"/>
    <cellStyle name="Input 3 4 51 3" xfId="23710"/>
    <cellStyle name="Input 3 4 51 4" xfId="31897"/>
    <cellStyle name="Input 3 4 51 5" xfId="41164"/>
    <cellStyle name="Input 3 4 51 6" xfId="45562"/>
    <cellStyle name="Input 3 4 51 7" xfId="47022"/>
    <cellStyle name="Input 3 4 52" xfId="7110"/>
    <cellStyle name="Input 3 4 52 2" xfId="14827"/>
    <cellStyle name="Input 3 4 52 3" xfId="23820"/>
    <cellStyle name="Input 3 4 52 4" xfId="32007"/>
    <cellStyle name="Input 3 4 52 5" xfId="41269"/>
    <cellStyle name="Input 3 4 52 6" xfId="45672"/>
    <cellStyle name="Input 3 4 52 7" xfId="48216"/>
    <cellStyle name="Input 3 4 53" xfId="7166"/>
    <cellStyle name="Input 3 4 53 2" xfId="14883"/>
    <cellStyle name="Input 3 4 53 3" xfId="23876"/>
    <cellStyle name="Input 3 4 53 4" xfId="32063"/>
    <cellStyle name="Input 3 4 53 5" xfId="41325"/>
    <cellStyle name="Input 3 4 53 6" xfId="45728"/>
    <cellStyle name="Input 3 4 53 7" xfId="54316"/>
    <cellStyle name="Input 3 4 54" xfId="7224"/>
    <cellStyle name="Input 3 4 54 2" xfId="14941"/>
    <cellStyle name="Input 3 4 54 3" xfId="23934"/>
    <cellStyle name="Input 3 4 54 4" xfId="32121"/>
    <cellStyle name="Input 3 4 54 5" xfId="41379"/>
    <cellStyle name="Input 3 4 54 6" xfId="45786"/>
    <cellStyle name="Input 3 4 54 7" xfId="48826"/>
    <cellStyle name="Input 3 4 55" xfId="7507"/>
    <cellStyle name="Input 3 4 55 2" xfId="15224"/>
    <cellStyle name="Input 3 4 55 3" xfId="24217"/>
    <cellStyle name="Input 3 4 55 4" xfId="32404"/>
    <cellStyle name="Input 3 4 55 5" xfId="41651"/>
    <cellStyle name="Input 3 4 55 6" xfId="46069"/>
    <cellStyle name="Input 3 4 55 7" xfId="49344"/>
    <cellStyle name="Input 3 4 56" xfId="7628"/>
    <cellStyle name="Input 3 4 56 2" xfId="15345"/>
    <cellStyle name="Input 3 4 56 3" xfId="24338"/>
    <cellStyle name="Input 3 4 56 4" xfId="32525"/>
    <cellStyle name="Input 3 4 56 5" xfId="41767"/>
    <cellStyle name="Input 3 4 56 6" xfId="46190"/>
    <cellStyle name="Input 3 4 56 7" xfId="48058"/>
    <cellStyle name="Input 3 4 57" xfId="7905"/>
    <cellStyle name="Input 3 4 57 2" xfId="15622"/>
    <cellStyle name="Input 3 4 57 3" xfId="24609"/>
    <cellStyle name="Input 3 4 57 4" xfId="32802"/>
    <cellStyle name="Input 3 4 57 5" xfId="42033"/>
    <cellStyle name="Input 3 4 57 6" xfId="46467"/>
    <cellStyle name="Input 3 4 57 7" xfId="52702"/>
    <cellStyle name="Input 3 4 58" xfId="8033"/>
    <cellStyle name="Input 3 4 58 2" xfId="15750"/>
    <cellStyle name="Input 3 4 58 3" xfId="24735"/>
    <cellStyle name="Input 3 4 58 4" xfId="32930"/>
    <cellStyle name="Input 3 4 58 5" xfId="42155"/>
    <cellStyle name="Input 3 4 58 6" xfId="46595"/>
    <cellStyle name="Input 3 4 58 7" xfId="53778"/>
    <cellStyle name="Input 3 4 59" xfId="7680"/>
    <cellStyle name="Input 3 4 59 2" xfId="15397"/>
    <cellStyle name="Input 3 4 59 3" xfId="24388"/>
    <cellStyle name="Input 3 4 59 4" xfId="32577"/>
    <cellStyle name="Input 3 4 59 5" xfId="41815"/>
    <cellStyle name="Input 3 4 59 6" xfId="46242"/>
    <cellStyle name="Input 3 4 59 7" xfId="54239"/>
    <cellStyle name="Input 3 4 6" xfId="1527"/>
    <cellStyle name="Input 3 4 6 2" xfId="9350"/>
    <cellStyle name="Input 3 4 6 3" xfId="16778"/>
    <cellStyle name="Input 3 4 6 4" xfId="20383"/>
    <cellStyle name="Input 3 4 6 5" xfId="26953"/>
    <cellStyle name="Input 3 4 6 6" xfId="36486"/>
    <cellStyle name="Input 3 4 6 7" xfId="49073"/>
    <cellStyle name="Input 3 4 60" xfId="8180"/>
    <cellStyle name="Input 3 4 60 2" xfId="15897"/>
    <cellStyle name="Input 3 4 60 3" xfId="33077"/>
    <cellStyle name="Input 3 4 60 4" xfId="42296"/>
    <cellStyle name="Input 3 4 60 5" xfId="46742"/>
    <cellStyle name="Input 3 4 60 6" xfId="46874"/>
    <cellStyle name="Input 3 4 61" xfId="25706"/>
    <cellStyle name="Input 3 4 62" xfId="34246"/>
    <cellStyle name="Input 3 4 63" xfId="36298"/>
    <cellStyle name="Input 3 4 64" xfId="52323"/>
    <cellStyle name="Input 3 4 7" xfId="1122"/>
    <cellStyle name="Input 3 4 7 2" xfId="8945"/>
    <cellStyle name="Input 3 4 7 3" xfId="16373"/>
    <cellStyle name="Input 3 4 7 4" xfId="25890"/>
    <cellStyle name="Input 3 4 7 5" xfId="34485"/>
    <cellStyle name="Input 3 4 7 6" xfId="36281"/>
    <cellStyle name="Input 3 4 7 7" xfId="52764"/>
    <cellStyle name="Input 3 4 8" xfId="1764"/>
    <cellStyle name="Input 3 4 8 2" xfId="9587"/>
    <cellStyle name="Input 3 4 8 3" xfId="17015"/>
    <cellStyle name="Input 3 4 8 4" xfId="20091"/>
    <cellStyle name="Input 3 4 8 5" xfId="26737"/>
    <cellStyle name="Input 3 4 8 6" xfId="38252"/>
    <cellStyle name="Input 3 4 8 7" xfId="49731"/>
    <cellStyle name="Input 3 4 9" xfId="1897"/>
    <cellStyle name="Input 3 4 9 2" xfId="9720"/>
    <cellStyle name="Input 3 4 9 3" xfId="17148"/>
    <cellStyle name="Input 3 4 9 4" xfId="19702"/>
    <cellStyle name="Input 3 4 9 5" xfId="27179"/>
    <cellStyle name="Input 3 4 9 6" xfId="37593"/>
    <cellStyle name="Input 3 4 9 7" xfId="47919"/>
    <cellStyle name="Input 3 5" xfId="527"/>
    <cellStyle name="Input 3 5 10" xfId="1974"/>
    <cellStyle name="Input 3 5 10 2" xfId="9797"/>
    <cellStyle name="Input 3 5 10 3" xfId="17225"/>
    <cellStyle name="Input 3 5 10 4" xfId="19103"/>
    <cellStyle name="Input 3 5 10 5" xfId="26758"/>
    <cellStyle name="Input 3 5 10 6" xfId="38085"/>
    <cellStyle name="Input 3 5 10 7" xfId="49136"/>
    <cellStyle name="Input 3 5 11" xfId="2092"/>
    <cellStyle name="Input 3 5 11 2" xfId="9915"/>
    <cellStyle name="Input 3 5 11 3" xfId="17343"/>
    <cellStyle name="Input 3 5 11 4" xfId="19992"/>
    <cellStyle name="Input 3 5 11 5" xfId="26949"/>
    <cellStyle name="Input 3 5 11 6" xfId="40852"/>
    <cellStyle name="Input 3 5 11 7" xfId="49080"/>
    <cellStyle name="Input 3 5 12" xfId="2205"/>
    <cellStyle name="Input 3 5 12 2" xfId="10028"/>
    <cellStyle name="Input 3 5 12 3" xfId="17456"/>
    <cellStyle name="Input 3 5 12 4" xfId="25821"/>
    <cellStyle name="Input 3 5 12 5" xfId="34403"/>
    <cellStyle name="Input 3 5 12 6" xfId="36697"/>
    <cellStyle name="Input 3 5 12 7" xfId="52610"/>
    <cellStyle name="Input 3 5 13" xfId="2291"/>
    <cellStyle name="Input 3 5 13 2" xfId="10114"/>
    <cellStyle name="Input 3 5 13 3" xfId="17542"/>
    <cellStyle name="Input 3 5 13 4" xfId="25006"/>
    <cellStyle name="Input 3 5 13 5" xfId="33358"/>
    <cellStyle name="Input 3 5 13 6" xfId="36681"/>
    <cellStyle name="Input 3 5 13 7" xfId="50810"/>
    <cellStyle name="Input 3 5 14" xfId="2382"/>
    <cellStyle name="Input 3 5 14 2" xfId="10205"/>
    <cellStyle name="Input 3 5 14 3" xfId="17633"/>
    <cellStyle name="Input 3 5 14 4" xfId="19971"/>
    <cellStyle name="Input 3 5 14 5" xfId="27408"/>
    <cellStyle name="Input 3 5 14 6" xfId="41609"/>
    <cellStyle name="Input 3 5 14 7" xfId="47210"/>
    <cellStyle name="Input 3 5 15" xfId="2503"/>
    <cellStyle name="Input 3 5 15 2" xfId="10326"/>
    <cellStyle name="Input 3 5 15 3" xfId="17754"/>
    <cellStyle name="Input 3 5 15 4" xfId="24911"/>
    <cellStyle name="Input 3 5 15 5" xfId="33234"/>
    <cellStyle name="Input 3 5 15 6" xfId="36337"/>
    <cellStyle name="Input 3 5 15 7" xfId="50592"/>
    <cellStyle name="Input 3 5 16" xfId="2616"/>
    <cellStyle name="Input 3 5 16 2" xfId="10439"/>
    <cellStyle name="Input 3 5 16 3" xfId="17867"/>
    <cellStyle name="Input 3 5 16 4" xfId="26471"/>
    <cellStyle name="Input 3 5 16 5" xfId="35250"/>
    <cellStyle name="Input 3 5 16 6" xfId="40861"/>
    <cellStyle name="Input 3 5 16 7" xfId="54007"/>
    <cellStyle name="Input 3 5 17" xfId="2697"/>
    <cellStyle name="Input 3 5 17 2" xfId="10520"/>
    <cellStyle name="Input 3 5 17 3" xfId="17948"/>
    <cellStyle name="Input 3 5 17 4" xfId="26063"/>
    <cellStyle name="Input 3 5 17 5" xfId="34707"/>
    <cellStyle name="Input 3 5 17 6" xfId="40154"/>
    <cellStyle name="Input 3 5 17 7" xfId="53128"/>
    <cellStyle name="Input 3 5 18" xfId="2743"/>
    <cellStyle name="Input 3 5 18 2" xfId="10566"/>
    <cellStyle name="Input 3 5 18 3" xfId="17994"/>
    <cellStyle name="Input 3 5 18 4" xfId="20578"/>
    <cellStyle name="Input 3 5 18 5" xfId="27721"/>
    <cellStyle name="Input 3 5 18 6" xfId="38036"/>
    <cellStyle name="Input 3 5 18 7" xfId="47263"/>
    <cellStyle name="Input 3 5 19" xfId="2809"/>
    <cellStyle name="Input 3 5 19 2" xfId="10632"/>
    <cellStyle name="Input 3 5 19 3" xfId="18060"/>
    <cellStyle name="Input 3 5 19 4" xfId="19063"/>
    <cellStyle name="Input 3 5 19 5" xfId="33164"/>
    <cellStyle name="Input 3 5 19 6" xfId="37763"/>
    <cellStyle name="Input 3 5 19 7" xfId="50463"/>
    <cellStyle name="Input 3 5 2" xfId="677"/>
    <cellStyle name="Input 3 5 2 2" xfId="8501"/>
    <cellStyle name="Input 3 5 2 3" xfId="8257"/>
    <cellStyle name="Input 3 5 2 4" xfId="19440"/>
    <cellStyle name="Input 3 5 2 5" xfId="28466"/>
    <cellStyle name="Input 3 5 2 6" xfId="37436"/>
    <cellStyle name="Input 3 5 2 7" xfId="49514"/>
    <cellStyle name="Input 3 5 20" xfId="2916"/>
    <cellStyle name="Input 3 5 20 2" xfId="10739"/>
    <cellStyle name="Input 3 5 20 3" xfId="18167"/>
    <cellStyle name="Input 3 5 20 4" xfId="26482"/>
    <cellStyle name="Input 3 5 20 5" xfId="35269"/>
    <cellStyle name="Input 3 5 20 6" xfId="36391"/>
    <cellStyle name="Input 3 5 20 7" xfId="54040"/>
    <cellStyle name="Input 3 5 21" xfId="3292"/>
    <cellStyle name="Input 3 5 21 2" xfId="11085"/>
    <cellStyle name="Input 3 5 21 3" xfId="18414"/>
    <cellStyle name="Input 3 5 21 4" xfId="25943"/>
    <cellStyle name="Input 3 5 21 5" xfId="34548"/>
    <cellStyle name="Input 3 5 21 6" xfId="40582"/>
    <cellStyle name="Input 3 5 21 7" xfId="52876"/>
    <cellStyle name="Input 3 5 22" xfId="3412"/>
    <cellStyle name="Input 3 5 22 2" xfId="11203"/>
    <cellStyle name="Input 3 5 22 3" xfId="18525"/>
    <cellStyle name="Input 3 5 22 4" xfId="19817"/>
    <cellStyle name="Input 3 5 22 5" xfId="26989"/>
    <cellStyle name="Input 3 5 22 6" xfId="37336"/>
    <cellStyle name="Input 3 5 22 7" xfId="48465"/>
    <cellStyle name="Input 3 5 23" xfId="3130"/>
    <cellStyle name="Input 3 5 23 2" xfId="10935"/>
    <cellStyle name="Input 3 5 23 3" xfId="18313"/>
    <cellStyle name="Input 3 5 23 4" xfId="19231"/>
    <cellStyle name="Input 3 5 23 5" xfId="28729"/>
    <cellStyle name="Input 3 5 23 6" xfId="41838"/>
    <cellStyle name="Input 3 5 23 7" xfId="47847"/>
    <cellStyle name="Input 3 5 24" xfId="3683"/>
    <cellStyle name="Input 3 5 24 2" xfId="11468"/>
    <cellStyle name="Input 3 5 24 3" xfId="18741"/>
    <cellStyle name="Input 3 5 24 4" xfId="25091"/>
    <cellStyle name="Input 3 5 24 5" xfId="33453"/>
    <cellStyle name="Input 3 5 24 6" xfId="37674"/>
    <cellStyle name="Input 3 5 24 7" xfId="50989"/>
    <cellStyle name="Input 3 5 25" xfId="3813"/>
    <cellStyle name="Input 3 5 25 2" xfId="11595"/>
    <cellStyle name="Input 3 5 25 3" xfId="18852"/>
    <cellStyle name="Input 3 5 25 4" xfId="26064"/>
    <cellStyle name="Input 3 5 25 5" xfId="34708"/>
    <cellStyle name="Input 3 5 25 6" xfId="36750"/>
    <cellStyle name="Input 3 5 25 7" xfId="53129"/>
    <cellStyle name="Input 3 5 26" xfId="3931"/>
    <cellStyle name="Input 3 5 26 2" xfId="11711"/>
    <cellStyle name="Input 3 5 26 3" xfId="18961"/>
    <cellStyle name="Input 3 5 26 4" xfId="25495"/>
    <cellStyle name="Input 3 5 26 5" xfId="33971"/>
    <cellStyle name="Input 3 5 26 6" xfId="37806"/>
    <cellStyle name="Input 3 5 26 7" xfId="51860"/>
    <cellStyle name="Input 3 5 27" xfId="4008"/>
    <cellStyle name="Input 3 5 27 2" xfId="11787"/>
    <cellStyle name="Input 3 5 27 3" xfId="20718"/>
    <cellStyle name="Input 3 5 27 4" xfId="28905"/>
    <cellStyle name="Input 3 5 27 5" xfId="38288"/>
    <cellStyle name="Input 3 5 27 6" xfId="42570"/>
    <cellStyle name="Input 3 5 27 7" xfId="48682"/>
    <cellStyle name="Input 3 5 28" xfId="4128"/>
    <cellStyle name="Input 3 5 28 2" xfId="11887"/>
    <cellStyle name="Input 3 5 28 3" xfId="20838"/>
    <cellStyle name="Input 3 5 28 4" xfId="29025"/>
    <cellStyle name="Input 3 5 28 5" xfId="38402"/>
    <cellStyle name="Input 3 5 28 6" xfId="42690"/>
    <cellStyle name="Input 3 5 28 7" xfId="51646"/>
    <cellStyle name="Input 3 5 29" xfId="4056"/>
    <cellStyle name="Input 3 5 29 2" xfId="20766"/>
    <cellStyle name="Input 3 5 29 3" xfId="28953"/>
    <cellStyle name="Input 3 5 29 4" xfId="38332"/>
    <cellStyle name="Input 3 5 29 5" xfId="42618"/>
    <cellStyle name="Input 3 5 29 6" xfId="51568"/>
    <cellStyle name="Input 3 5 3" xfId="785"/>
    <cellStyle name="Input 3 5 3 2" xfId="8609"/>
    <cellStyle name="Input 3 5 3 3" xfId="16037"/>
    <cellStyle name="Input 3 5 3 4" xfId="25104"/>
    <cellStyle name="Input 3 5 3 5" xfId="33469"/>
    <cellStyle name="Input 3 5 3 6" xfId="37463"/>
    <cellStyle name="Input 3 5 3 7" xfId="51018"/>
    <cellStyle name="Input 3 5 30" xfId="4325"/>
    <cellStyle name="Input 3 5 30 2" xfId="12042"/>
    <cellStyle name="Input 3 5 30 3" xfId="21035"/>
    <cellStyle name="Input 3 5 30 4" xfId="29222"/>
    <cellStyle name="Input 3 5 30 5" xfId="38593"/>
    <cellStyle name="Input 3 5 30 6" xfId="42887"/>
    <cellStyle name="Input 3 5 30 7" xfId="47935"/>
    <cellStyle name="Input 3 5 31" xfId="4448"/>
    <cellStyle name="Input 3 5 31 2" xfId="12165"/>
    <cellStyle name="Input 3 5 31 3" xfId="21158"/>
    <cellStyle name="Input 3 5 31 4" xfId="29345"/>
    <cellStyle name="Input 3 5 31 5" xfId="38711"/>
    <cellStyle name="Input 3 5 31 6" xfId="43010"/>
    <cellStyle name="Input 3 5 31 7" xfId="50535"/>
    <cellStyle name="Input 3 5 32" xfId="4562"/>
    <cellStyle name="Input 3 5 32 2" xfId="12279"/>
    <cellStyle name="Input 3 5 32 3" xfId="21272"/>
    <cellStyle name="Input 3 5 32 4" xfId="29459"/>
    <cellStyle name="Input 3 5 32 5" xfId="38820"/>
    <cellStyle name="Input 3 5 32 6" xfId="43124"/>
    <cellStyle name="Input 3 5 32 7" xfId="53590"/>
    <cellStyle name="Input 3 5 33" xfId="4675"/>
    <cellStyle name="Input 3 5 33 2" xfId="12392"/>
    <cellStyle name="Input 3 5 33 3" xfId="21385"/>
    <cellStyle name="Input 3 5 33 4" xfId="29572"/>
    <cellStyle name="Input 3 5 33 5" xfId="38929"/>
    <cellStyle name="Input 3 5 33 6" xfId="43237"/>
    <cellStyle name="Input 3 5 33 7" xfId="49395"/>
    <cellStyle name="Input 3 5 34" xfId="4786"/>
    <cellStyle name="Input 3 5 34 2" xfId="12503"/>
    <cellStyle name="Input 3 5 34 3" xfId="21496"/>
    <cellStyle name="Input 3 5 34 4" xfId="29683"/>
    <cellStyle name="Input 3 5 34 5" xfId="39037"/>
    <cellStyle name="Input 3 5 34 6" xfId="43348"/>
    <cellStyle name="Input 3 5 34 7" xfId="53061"/>
    <cellStyle name="Input 3 5 35" xfId="4895"/>
    <cellStyle name="Input 3 5 35 2" xfId="12612"/>
    <cellStyle name="Input 3 5 35 3" xfId="21605"/>
    <cellStyle name="Input 3 5 35 4" xfId="29792"/>
    <cellStyle name="Input 3 5 35 5" xfId="39141"/>
    <cellStyle name="Input 3 5 35 6" xfId="43457"/>
    <cellStyle name="Input 3 5 35 7" xfId="49325"/>
    <cellStyle name="Input 3 5 36" xfId="5006"/>
    <cellStyle name="Input 3 5 36 2" xfId="12723"/>
    <cellStyle name="Input 3 5 36 3" xfId="21716"/>
    <cellStyle name="Input 3 5 36 4" xfId="29903"/>
    <cellStyle name="Input 3 5 36 5" xfId="39249"/>
    <cellStyle name="Input 3 5 36 6" xfId="43568"/>
    <cellStyle name="Input 3 5 36 7" xfId="53413"/>
    <cellStyle name="Input 3 5 37" xfId="5385"/>
    <cellStyle name="Input 3 5 37 2" xfId="13102"/>
    <cellStyle name="Input 3 5 37 3" xfId="22095"/>
    <cellStyle name="Input 3 5 37 4" xfId="30282"/>
    <cellStyle name="Input 3 5 37 5" xfId="39613"/>
    <cellStyle name="Input 3 5 37 6" xfId="43947"/>
    <cellStyle name="Input 3 5 37 7" xfId="52953"/>
    <cellStyle name="Input 3 5 38" xfId="5505"/>
    <cellStyle name="Input 3 5 38 2" xfId="13222"/>
    <cellStyle name="Input 3 5 38 3" xfId="22215"/>
    <cellStyle name="Input 3 5 38 4" xfId="30402"/>
    <cellStyle name="Input 3 5 38 5" xfId="39727"/>
    <cellStyle name="Input 3 5 38 6" xfId="44067"/>
    <cellStyle name="Input 3 5 38 7" xfId="48266"/>
    <cellStyle name="Input 3 5 39" xfId="5629"/>
    <cellStyle name="Input 3 5 39 2" xfId="13346"/>
    <cellStyle name="Input 3 5 39 3" xfId="22339"/>
    <cellStyle name="Input 3 5 39 4" xfId="30526"/>
    <cellStyle name="Input 3 5 39 5" xfId="39847"/>
    <cellStyle name="Input 3 5 39 6" xfId="44191"/>
    <cellStyle name="Input 3 5 39 7" xfId="46833"/>
    <cellStyle name="Input 3 5 4" xfId="896"/>
    <cellStyle name="Input 3 5 4 2" xfId="8720"/>
    <cellStyle name="Input 3 5 4 3" xfId="16148"/>
    <cellStyle name="Input 3 5 4 4" xfId="19737"/>
    <cellStyle name="Input 3 5 4 5" xfId="28242"/>
    <cellStyle name="Input 3 5 4 6" xfId="37457"/>
    <cellStyle name="Input 3 5 4 7" xfId="48218"/>
    <cellStyle name="Input 3 5 40" xfId="5745"/>
    <cellStyle name="Input 3 5 40 2" xfId="13462"/>
    <cellStyle name="Input 3 5 40 3" xfId="22455"/>
    <cellStyle name="Input 3 5 40 4" xfId="30642"/>
    <cellStyle name="Input 3 5 40 5" xfId="39959"/>
    <cellStyle name="Input 3 5 40 6" xfId="44307"/>
    <cellStyle name="Input 3 5 40 7" xfId="52890"/>
    <cellStyle name="Input 3 5 41" xfId="5861"/>
    <cellStyle name="Input 3 5 41 2" xfId="13578"/>
    <cellStyle name="Input 3 5 41 3" xfId="22571"/>
    <cellStyle name="Input 3 5 41 4" xfId="30758"/>
    <cellStyle name="Input 3 5 41 5" xfId="40072"/>
    <cellStyle name="Input 3 5 41 6" xfId="44423"/>
    <cellStyle name="Input 3 5 41 7" xfId="53328"/>
    <cellStyle name="Input 3 5 42" xfId="5990"/>
    <cellStyle name="Input 3 5 42 2" xfId="13707"/>
    <cellStyle name="Input 3 5 42 3" xfId="22700"/>
    <cellStyle name="Input 3 5 42 4" xfId="30887"/>
    <cellStyle name="Input 3 5 42 5" xfId="40196"/>
    <cellStyle name="Input 3 5 42 6" xfId="44552"/>
    <cellStyle name="Input 3 5 42 7" xfId="52624"/>
    <cellStyle name="Input 3 5 43" xfId="5255"/>
    <cellStyle name="Input 3 5 43 2" xfId="12972"/>
    <cellStyle name="Input 3 5 43 3" xfId="21965"/>
    <cellStyle name="Input 3 5 43 4" xfId="30152"/>
    <cellStyle name="Input 3 5 43 5" xfId="39487"/>
    <cellStyle name="Input 3 5 43 6" xfId="43817"/>
    <cellStyle name="Input 3 5 43 7" xfId="51158"/>
    <cellStyle name="Input 3 5 44" xfId="6246"/>
    <cellStyle name="Input 3 5 44 2" xfId="13963"/>
    <cellStyle name="Input 3 5 44 3" xfId="22956"/>
    <cellStyle name="Input 3 5 44 4" xfId="31143"/>
    <cellStyle name="Input 3 5 44 5" xfId="40444"/>
    <cellStyle name="Input 3 5 44 6" xfId="44808"/>
    <cellStyle name="Input 3 5 44 7" xfId="50684"/>
    <cellStyle name="Input 3 5 45" xfId="6362"/>
    <cellStyle name="Input 3 5 45 2" xfId="14079"/>
    <cellStyle name="Input 3 5 45 3" xfId="23072"/>
    <cellStyle name="Input 3 5 45 4" xfId="31259"/>
    <cellStyle name="Input 3 5 45 5" xfId="40557"/>
    <cellStyle name="Input 3 5 45 6" xfId="44924"/>
    <cellStyle name="Input 3 5 45 7" xfId="53858"/>
    <cellStyle name="Input 3 5 46" xfId="6473"/>
    <cellStyle name="Input 3 5 46 2" xfId="14190"/>
    <cellStyle name="Input 3 5 46 3" xfId="23183"/>
    <cellStyle name="Input 3 5 46 4" xfId="31370"/>
    <cellStyle name="Input 3 5 46 5" xfId="40664"/>
    <cellStyle name="Input 3 5 46 6" xfId="45035"/>
    <cellStyle name="Input 3 5 46 7" xfId="48619"/>
    <cellStyle name="Input 3 5 47" xfId="6545"/>
    <cellStyle name="Input 3 5 47 2" xfId="14262"/>
    <cellStyle name="Input 3 5 47 3" xfId="23255"/>
    <cellStyle name="Input 3 5 47 4" xfId="31442"/>
    <cellStyle name="Input 3 5 47 5" xfId="40732"/>
    <cellStyle name="Input 3 5 47 6" xfId="45107"/>
    <cellStyle name="Input 3 5 47 7" xfId="48470"/>
    <cellStyle name="Input 3 5 48" xfId="6619"/>
    <cellStyle name="Input 3 5 48 2" xfId="14336"/>
    <cellStyle name="Input 3 5 48 3" xfId="23329"/>
    <cellStyle name="Input 3 5 48 4" xfId="31516"/>
    <cellStyle name="Input 3 5 48 5" xfId="40803"/>
    <cellStyle name="Input 3 5 48 6" xfId="45181"/>
    <cellStyle name="Input 3 5 48 7" xfId="47758"/>
    <cellStyle name="Input 3 5 49" xfId="6731"/>
    <cellStyle name="Input 3 5 49 2" xfId="14448"/>
    <cellStyle name="Input 3 5 49 3" xfId="23441"/>
    <cellStyle name="Input 3 5 49 4" xfId="31628"/>
    <cellStyle name="Input 3 5 49 5" xfId="40909"/>
    <cellStyle name="Input 3 5 49 6" xfId="45293"/>
    <cellStyle name="Input 3 5 49 7" xfId="52076"/>
    <cellStyle name="Input 3 5 5" xfId="1362"/>
    <cellStyle name="Input 3 5 5 2" xfId="9185"/>
    <cellStyle name="Input 3 5 5 3" xfId="16613"/>
    <cellStyle name="Input 3 5 5 4" xfId="26446"/>
    <cellStyle name="Input 3 5 5 5" xfId="35221"/>
    <cellStyle name="Input 3 5 5 6" xfId="40525"/>
    <cellStyle name="Input 3 5 5 7" xfId="53953"/>
    <cellStyle name="Input 3 5 50" xfId="6846"/>
    <cellStyle name="Input 3 5 50 2" xfId="14563"/>
    <cellStyle name="Input 3 5 50 3" xfId="23556"/>
    <cellStyle name="Input 3 5 50 4" xfId="31743"/>
    <cellStyle name="Input 3 5 50 5" xfId="41017"/>
    <cellStyle name="Input 3 5 50 6" xfId="45408"/>
    <cellStyle name="Input 3 5 50 7" xfId="50621"/>
    <cellStyle name="Input 3 5 51" xfId="6959"/>
    <cellStyle name="Input 3 5 51 2" xfId="14676"/>
    <cellStyle name="Input 3 5 51 3" xfId="23669"/>
    <cellStyle name="Input 3 5 51 4" xfId="31856"/>
    <cellStyle name="Input 3 5 51 5" xfId="41125"/>
    <cellStyle name="Input 3 5 51 6" xfId="45521"/>
    <cellStyle name="Input 3 5 51 7" xfId="47033"/>
    <cellStyle name="Input 3 5 52" xfId="7070"/>
    <cellStyle name="Input 3 5 52 2" xfId="14787"/>
    <cellStyle name="Input 3 5 52 3" xfId="23780"/>
    <cellStyle name="Input 3 5 52 4" xfId="31967"/>
    <cellStyle name="Input 3 5 52 5" xfId="41230"/>
    <cellStyle name="Input 3 5 52 6" xfId="45632"/>
    <cellStyle name="Input 3 5 52 7" xfId="52329"/>
    <cellStyle name="Input 3 5 53" xfId="7338"/>
    <cellStyle name="Input 3 5 53 2" xfId="15055"/>
    <cellStyle name="Input 3 5 53 3" xfId="24048"/>
    <cellStyle name="Input 3 5 53 4" xfId="32235"/>
    <cellStyle name="Input 3 5 53 5" xfId="41491"/>
    <cellStyle name="Input 3 5 53 6" xfId="45900"/>
    <cellStyle name="Input 3 5 53 7" xfId="52735"/>
    <cellStyle name="Input 3 5 54" xfId="7270"/>
    <cellStyle name="Input 3 5 54 2" xfId="14987"/>
    <cellStyle name="Input 3 5 54 3" xfId="23980"/>
    <cellStyle name="Input 3 5 54 4" xfId="32167"/>
    <cellStyle name="Input 3 5 54 5" xfId="41423"/>
    <cellStyle name="Input 3 5 54 6" xfId="45832"/>
    <cellStyle name="Input 3 5 54 7" xfId="52494"/>
    <cellStyle name="Input 3 5 55" xfId="7467"/>
    <cellStyle name="Input 3 5 55 2" xfId="15184"/>
    <cellStyle name="Input 3 5 55 3" xfId="24177"/>
    <cellStyle name="Input 3 5 55 4" xfId="32364"/>
    <cellStyle name="Input 3 5 55 5" xfId="41613"/>
    <cellStyle name="Input 3 5 55 6" xfId="46029"/>
    <cellStyle name="Input 3 5 55 7" xfId="53738"/>
    <cellStyle name="Input 3 5 56" xfId="7588"/>
    <cellStyle name="Input 3 5 56 2" xfId="15305"/>
    <cellStyle name="Input 3 5 56 3" xfId="24298"/>
    <cellStyle name="Input 3 5 56 4" xfId="32485"/>
    <cellStyle name="Input 3 5 56 5" xfId="41728"/>
    <cellStyle name="Input 3 5 56 6" xfId="46150"/>
    <cellStyle name="Input 3 5 56 7" xfId="48317"/>
    <cellStyle name="Input 3 5 57" xfId="7864"/>
    <cellStyle name="Input 3 5 57 2" xfId="15581"/>
    <cellStyle name="Input 3 5 57 3" xfId="24568"/>
    <cellStyle name="Input 3 5 57 4" xfId="32761"/>
    <cellStyle name="Input 3 5 57 5" xfId="41993"/>
    <cellStyle name="Input 3 5 57 6" xfId="46426"/>
    <cellStyle name="Input 3 5 57 7" xfId="49069"/>
    <cellStyle name="Input 3 5 58" xfId="7954"/>
    <cellStyle name="Input 3 5 58 2" xfId="15671"/>
    <cellStyle name="Input 3 5 58 3" xfId="24657"/>
    <cellStyle name="Input 3 5 58 4" xfId="32851"/>
    <cellStyle name="Input 3 5 58 5" xfId="42079"/>
    <cellStyle name="Input 3 5 58 6" xfId="46516"/>
    <cellStyle name="Input 3 5 58 7" xfId="48522"/>
    <cellStyle name="Input 3 5 59" xfId="8089"/>
    <cellStyle name="Input 3 5 59 2" xfId="15806"/>
    <cellStyle name="Input 3 5 59 3" xfId="24790"/>
    <cellStyle name="Input 3 5 59 4" xfId="32986"/>
    <cellStyle name="Input 3 5 59 5" xfId="42208"/>
    <cellStyle name="Input 3 5 59 6" xfId="46651"/>
    <cellStyle name="Input 3 5 59 7" xfId="49002"/>
    <cellStyle name="Input 3 5 6" xfId="1485"/>
    <cellStyle name="Input 3 5 6 2" xfId="9308"/>
    <cellStyle name="Input 3 5 6 3" xfId="16736"/>
    <cellStyle name="Input 3 5 6 4" xfId="26431"/>
    <cellStyle name="Input 3 5 6 5" xfId="35199"/>
    <cellStyle name="Input 3 5 6 6" xfId="37713"/>
    <cellStyle name="Input 3 5 6 7" xfId="53922"/>
    <cellStyle name="Input 3 5 60" xfId="8140"/>
    <cellStyle name="Input 3 5 60 2" xfId="15857"/>
    <cellStyle name="Input 3 5 60 3" xfId="33037"/>
    <cellStyle name="Input 3 5 60 4" xfId="42257"/>
    <cellStyle name="Input 3 5 60 5" xfId="46702"/>
    <cellStyle name="Input 3 5 60 6" xfId="49896"/>
    <cellStyle name="Input 3 5 61" xfId="19170"/>
    <cellStyle name="Input 3 5 62" xfId="27474"/>
    <cellStyle name="Input 3 5 63" xfId="36609"/>
    <cellStyle name="Input 3 5 64" xfId="49223"/>
    <cellStyle name="Input 3 5 7" xfId="1585"/>
    <cellStyle name="Input 3 5 7 2" xfId="9408"/>
    <cellStyle name="Input 3 5 7 3" xfId="16836"/>
    <cellStyle name="Input 3 5 7 4" xfId="25388"/>
    <cellStyle name="Input 3 5 7 5" xfId="33836"/>
    <cellStyle name="Input 3 5 7 6" xfId="40172"/>
    <cellStyle name="Input 3 5 7 7" xfId="51618"/>
    <cellStyle name="Input 3 5 8" xfId="1722"/>
    <cellStyle name="Input 3 5 8 2" xfId="9545"/>
    <cellStyle name="Input 3 5 8 3" xfId="16973"/>
    <cellStyle name="Input 3 5 8 4" xfId="19999"/>
    <cellStyle name="Input 3 5 8 5" xfId="28075"/>
    <cellStyle name="Input 3 5 8 6" xfId="36968"/>
    <cellStyle name="Input 3 5 8 7" xfId="47646"/>
    <cellStyle name="Input 3 5 9" xfId="1856"/>
    <cellStyle name="Input 3 5 9 2" xfId="9679"/>
    <cellStyle name="Input 3 5 9 3" xfId="17107"/>
    <cellStyle name="Input 3 5 9 4" xfId="25906"/>
    <cellStyle name="Input 3 5 9 5" xfId="34502"/>
    <cellStyle name="Input 3 5 9 6" xfId="41715"/>
    <cellStyle name="Input 3 5 9 7" xfId="52794"/>
    <cellStyle name="Input 3 6" xfId="624"/>
    <cellStyle name="Input 3 6 2" xfId="8448"/>
    <cellStyle name="Input 3 6 3" xfId="10831"/>
    <cellStyle name="Input 3 6 4" xfId="20202"/>
    <cellStyle name="Input 3 6 5" xfId="27100"/>
    <cellStyle name="Input 3 6 6" xfId="37318"/>
    <cellStyle name="Input 3 6 7" xfId="47769"/>
    <cellStyle name="Input 3 7" xfId="216"/>
    <cellStyle name="Input 3 7 2" xfId="8321"/>
    <cellStyle name="Input 3 7 3" xfId="8403"/>
    <cellStyle name="Input 3 7 4" xfId="25336"/>
    <cellStyle name="Input 3 7 5" xfId="33767"/>
    <cellStyle name="Input 3 7 6" xfId="37901"/>
    <cellStyle name="Input 3 7 7" xfId="51504"/>
    <cellStyle name="Input 3 8" xfId="1315"/>
    <cellStyle name="Input 3 8 2" xfId="9138"/>
    <cellStyle name="Input 3 8 3" xfId="16566"/>
    <cellStyle name="Input 3 8 4" xfId="25878"/>
    <cellStyle name="Input 3 8 5" xfId="34468"/>
    <cellStyle name="Input 3 8 6" xfId="37213"/>
    <cellStyle name="Input 3 8 7" xfId="52737"/>
    <cellStyle name="Input 3 9" xfId="1139"/>
    <cellStyle name="Input 3 9 2" xfId="8962"/>
    <cellStyle name="Input 3 9 3" xfId="16390"/>
    <cellStyle name="Input 3 9 4" xfId="19221"/>
    <cellStyle name="Input 3 9 5" xfId="27879"/>
    <cellStyle name="Input 3 9 6" xfId="41038"/>
    <cellStyle name="Input 3 9 7" xfId="47490"/>
    <cellStyle name="Linked Cell 2" xfId="151"/>
    <cellStyle name="Linked Cell 3" xfId="150"/>
    <cellStyle name="Neutral 2" xfId="153"/>
    <cellStyle name="Neutral 3" xfId="152"/>
    <cellStyle name="Normal" xfId="0" builtinId="0"/>
    <cellStyle name="Normal 10" xfId="28"/>
    <cellStyle name="Normal 10 2" xfId="327"/>
    <cellStyle name="Normal 10 2 2" xfId="54587"/>
    <cellStyle name="Normal 10 3" xfId="326"/>
    <cellStyle name="Normal 11" xfId="79"/>
    <cellStyle name="Normal 11 2" xfId="200"/>
    <cellStyle name="Normal 12" xfId="175"/>
    <cellStyle name="Normal 13" xfId="176"/>
    <cellStyle name="Normal 13 2" xfId="201"/>
    <cellStyle name="Normal 13 2 2" xfId="328"/>
    <cellStyle name="Normal 13_CE_Workbook_7_18_2012_MultiTab" xfId="329"/>
    <cellStyle name="Normal 14" xfId="177"/>
    <cellStyle name="Normal 14 10" xfId="330"/>
    <cellStyle name="Normal 14 2" xfId="50"/>
    <cellStyle name="Normal 14 2 2" xfId="51"/>
    <cellStyle name="Normal 14 2 2 2" xfId="331"/>
    <cellStyle name="Normal 14 2 3" xfId="332"/>
    <cellStyle name="Normal 14 2_CE_Workbook_7_18_2012_MultiTab" xfId="333"/>
    <cellStyle name="Normal 14 3" xfId="183"/>
    <cellStyle name="Normal 14 4" xfId="334"/>
    <cellStyle name="Normal 14 5" xfId="335"/>
    <cellStyle name="Normal 14 6" xfId="336"/>
    <cellStyle name="Normal 14 7" xfId="337"/>
    <cellStyle name="Normal 14 8" xfId="338"/>
    <cellStyle name="Normal 14 9" xfId="339"/>
    <cellStyle name="Normal 14_CE_Workbook_7_18_2012_MultiTab" xfId="340"/>
    <cellStyle name="Normal 15" xfId="184"/>
    <cellStyle name="Normal 15 2" xfId="267"/>
    <cellStyle name="Normal 15 2 2" xfId="342"/>
    <cellStyle name="Normal 15 3" xfId="341"/>
    <cellStyle name="Normal 15 4" xfId="236"/>
    <cellStyle name="Normal 16" xfId="343"/>
    <cellStyle name="Normal 16 2" xfId="344"/>
    <cellStyle name="Normal 16 3" xfId="54560"/>
    <cellStyle name="Normal 17" xfId="345"/>
    <cellStyle name="Normal 17 2" xfId="346"/>
    <cellStyle name="Normal 17 3" xfId="54561"/>
    <cellStyle name="Normal 18" xfId="347"/>
    <cellStyle name="Normal 18 2" xfId="54590"/>
    <cellStyle name="Normal 18 2 2" xfId="54688"/>
    <cellStyle name="Normal 18 3" xfId="54644"/>
    <cellStyle name="Normal 19" xfId="348"/>
    <cellStyle name="Normal 19 2" xfId="54562"/>
    <cellStyle name="Normal 2" xfId="2"/>
    <cellStyle name="Normal 2 10" xfId="54645"/>
    <cellStyle name="Normal 2 2" xfId="53"/>
    <cellStyle name="Normal 2 2 2" xfId="54"/>
    <cellStyle name="Normal 2 2 2 2" xfId="349"/>
    <cellStyle name="Normal 2 2 3" xfId="350"/>
    <cellStyle name="Normal 2 2 3 2" xfId="351"/>
    <cellStyle name="Normal 2 2 3 2 2" xfId="54593"/>
    <cellStyle name="Normal 2 2 3 2 2 2" xfId="54689"/>
    <cellStyle name="Normal 2 2 3 2 3" xfId="54647"/>
    <cellStyle name="Normal 2 2 3 3" xfId="352"/>
    <cellStyle name="Normal 2 2 3 3 2" xfId="54594"/>
    <cellStyle name="Normal 2 2 3 3 2 2" xfId="54690"/>
    <cellStyle name="Normal 2 2 3 3 3" xfId="54648"/>
    <cellStyle name="Normal 2 2 4" xfId="353"/>
    <cellStyle name="Normal 2 2 5" xfId="54592"/>
    <cellStyle name="Normal 2 2 5 2" xfId="54691"/>
    <cellStyle name="Normal 2 2 6" xfId="54646"/>
    <cellStyle name="Normal 2 2_18230684" xfId="354"/>
    <cellStyle name="Normal 2 3" xfId="55"/>
    <cellStyle name="Normal 2 3 2" xfId="56"/>
    <cellStyle name="Normal 2 3 2 2" xfId="355"/>
    <cellStyle name="Normal 2 3 3" xfId="356"/>
    <cellStyle name="Normal 2 3_CE_Workbook_7_18_2012_MultiTab" xfId="357"/>
    <cellStyle name="Normal 2 4" xfId="57"/>
    <cellStyle name="Normal 2 4 2" xfId="358"/>
    <cellStyle name="Normal 2 5" xfId="52"/>
    <cellStyle name="Normal 2 5 2" xfId="360"/>
    <cellStyle name="Normal 2 5 2 2" xfId="361"/>
    <cellStyle name="Normal 2 5 2 2 2" xfId="54595"/>
    <cellStyle name="Normal 2 5 2 2 2 2" xfId="54692"/>
    <cellStyle name="Normal 2 5 2 2 3" xfId="54649"/>
    <cellStyle name="Normal 2 5 2 3" xfId="362"/>
    <cellStyle name="Normal 2 5 2 3 2" xfId="54596"/>
    <cellStyle name="Normal 2 5 2 3 2 2" xfId="54693"/>
    <cellStyle name="Normal 2 5 2 3 3" xfId="54650"/>
    <cellStyle name="Normal 2 5 3" xfId="363"/>
    <cellStyle name="Normal 2 5 3 2" xfId="54597"/>
    <cellStyle name="Normal 2 5 3 2 2" xfId="54694"/>
    <cellStyle name="Normal 2 5 3 3" xfId="54651"/>
    <cellStyle name="Normal 2 5 4" xfId="364"/>
    <cellStyle name="Normal 2 5 4 2" xfId="54598"/>
    <cellStyle name="Normal 2 5 4 2 2" xfId="54695"/>
    <cellStyle name="Normal 2 5 4 3" xfId="54652"/>
    <cellStyle name="Normal 2 5 5" xfId="359"/>
    <cellStyle name="Normal 2 5_CE_Workbook_7_18_2012_MultiTab" xfId="365"/>
    <cellStyle name="Normal 2 6" xfId="154"/>
    <cellStyle name="Normal 2 6 2" xfId="202"/>
    <cellStyle name="Normal 2 7" xfId="172"/>
    <cellStyle name="Normal 2 8" xfId="366"/>
    <cellStyle name="Normal 2 9" xfId="54591"/>
    <cellStyle name="Normal 2 9 2" xfId="54696"/>
    <cellStyle name="Normal 2_18230684" xfId="367"/>
    <cellStyle name="Normal 20" xfId="368"/>
    <cellStyle name="Normal 20 2" xfId="54599"/>
    <cellStyle name="Normal 20 2 2" xfId="54697"/>
    <cellStyle name="Normal 20 3" xfId="54653"/>
    <cellStyle name="Normal 21" xfId="369"/>
    <cellStyle name="Normal 21 2" xfId="54600"/>
    <cellStyle name="Normal 21 2 2" xfId="54698"/>
    <cellStyle name="Normal 21 3" xfId="54654"/>
    <cellStyle name="Normal 22" xfId="453"/>
    <cellStyle name="Normal 22 2" xfId="8205"/>
    <cellStyle name="Normal 23" xfId="454"/>
    <cellStyle name="Normal 23 2" xfId="8215"/>
    <cellStyle name="Normal 24" xfId="455"/>
    <cellStyle name="Normal 24 2" xfId="480"/>
    <cellStyle name="Normal 24 2 2" xfId="54586"/>
    <cellStyle name="Normal 24 3" xfId="8216"/>
    <cellStyle name="Normal 25" xfId="463"/>
    <cellStyle name="Normal 25 2" xfId="8217"/>
    <cellStyle name="Normal 26" xfId="464"/>
    <cellStyle name="Normal 26 2" xfId="54589"/>
    <cellStyle name="Normal 27" xfId="8201"/>
    <cellStyle name="Normal 28" xfId="8211"/>
    <cellStyle name="Normal 28 2" xfId="54588"/>
    <cellStyle name="Normal 29" xfId="8206"/>
    <cellStyle name="Normal 29 2" xfId="54731"/>
    <cellStyle name="Normal 3" xfId="3"/>
    <cellStyle name="Normal 3 2" xfId="59"/>
    <cellStyle name="Normal 3 2 2" xfId="60"/>
    <cellStyle name="Normal 3 2 2 2" xfId="370"/>
    <cellStyle name="Normal 3 3" xfId="61"/>
    <cellStyle name="Normal 3 3 2" xfId="371"/>
    <cellStyle name="Normal 3 4" xfId="62"/>
    <cellStyle name="Normal 3 5" xfId="58"/>
    <cellStyle name="Normal 3 5 2" xfId="373"/>
    <cellStyle name="Normal 3 5 2 2" xfId="374"/>
    <cellStyle name="Normal 3 5 2 2 2" xfId="54602"/>
    <cellStyle name="Normal 3 5 2 2 2 2" xfId="54699"/>
    <cellStyle name="Normal 3 5 2 2 3" xfId="54656"/>
    <cellStyle name="Normal 3 5 2 3" xfId="375"/>
    <cellStyle name="Normal 3 5 2 3 2" xfId="54603"/>
    <cellStyle name="Normal 3 5 2 3 2 2" xfId="54700"/>
    <cellStyle name="Normal 3 5 2 3 3" xfId="54657"/>
    <cellStyle name="Normal 3 5 3" xfId="376"/>
    <cellStyle name="Normal 3 5 3 2" xfId="54604"/>
    <cellStyle name="Normal 3 5 3 2 2" xfId="54701"/>
    <cellStyle name="Normal 3 5 3 3" xfId="54658"/>
    <cellStyle name="Normal 3 5 4" xfId="377"/>
    <cellStyle name="Normal 3 5 4 2" xfId="54605"/>
    <cellStyle name="Normal 3 5 4 2 2" xfId="54702"/>
    <cellStyle name="Normal 3 5 4 3" xfId="54659"/>
    <cellStyle name="Normal 3 5 5" xfId="372"/>
    <cellStyle name="Normal 3 5_CE_Workbook_7_18_2012_MultiTab" xfId="378"/>
    <cellStyle name="Normal 3 6" xfId="155"/>
    <cellStyle name="Normal 3 6 2" xfId="380"/>
    <cellStyle name="Normal 3 6 3" xfId="379"/>
    <cellStyle name="Normal 3 7" xfId="381"/>
    <cellStyle name="Normal 3 8" xfId="54601"/>
    <cellStyle name="Normal 3 8 2" xfId="54703"/>
    <cellStyle name="Normal 3 9" xfId="54655"/>
    <cellStyle name="Normal 3_18230684" xfId="382"/>
    <cellStyle name="Normal 30" xfId="8220"/>
    <cellStyle name="Normal 30 2" xfId="54732"/>
    <cellStyle name="Normal 31" xfId="54565"/>
    <cellStyle name="Normal 32" xfId="54572"/>
    <cellStyle name="Normal 33" xfId="54582"/>
    <cellStyle name="Normal 34" xfId="54573"/>
    <cellStyle name="Normal 35" xfId="54634"/>
    <cellStyle name="Normal 36" xfId="54579"/>
    <cellStyle name="Normal 37" xfId="54583"/>
    <cellStyle name="Normal 38" xfId="54576"/>
    <cellStyle name="Normal 39" xfId="54635"/>
    <cellStyle name="Normal 4" xfId="6"/>
    <cellStyle name="Normal 4 2" xfId="26"/>
    <cellStyle name="Normal 4 2 2" xfId="65"/>
    <cellStyle name="Normal 4 2 2 2" xfId="383"/>
    <cellStyle name="Normal 4 2 3" xfId="64"/>
    <cellStyle name="Normal 4 2 3 2" xfId="385"/>
    <cellStyle name="Normal 4 2 3 2 2" xfId="386"/>
    <cellStyle name="Normal 4 2 3 2 2 2" xfId="54608"/>
    <cellStyle name="Normal 4 2 3 2 2 2 2" xfId="54704"/>
    <cellStyle name="Normal 4 2 3 2 2 3" xfId="54662"/>
    <cellStyle name="Normal 4 2 3 2 3" xfId="387"/>
    <cellStyle name="Normal 4 2 3 2 3 2" xfId="54609"/>
    <cellStyle name="Normal 4 2 3 2 3 2 2" xfId="54705"/>
    <cellStyle name="Normal 4 2 3 2 3 3" xfId="54663"/>
    <cellStyle name="Normal 4 2 3 3" xfId="388"/>
    <cellStyle name="Normal 4 2 3 3 2" xfId="54610"/>
    <cellStyle name="Normal 4 2 3 3 2 2" xfId="54706"/>
    <cellStyle name="Normal 4 2 3 3 3" xfId="54664"/>
    <cellStyle name="Normal 4 2 3 4" xfId="389"/>
    <cellStyle name="Normal 4 2 3 4 2" xfId="54611"/>
    <cellStyle name="Normal 4 2 3 4 2 2" xfId="54707"/>
    <cellStyle name="Normal 4 2 3 4 3" xfId="54665"/>
    <cellStyle name="Normal 4 2 3 5" xfId="384"/>
    <cellStyle name="Normal 4 2 3_CE_Workbook_7_18_2012_MultiTab" xfId="390"/>
    <cellStyle name="Normal 4 2 4" xfId="391"/>
    <cellStyle name="Normal 4 2 4 2" xfId="392"/>
    <cellStyle name="Normal 4 2 4 2 2" xfId="54612"/>
    <cellStyle name="Normal 4 2 4 2 2 2" xfId="54708"/>
    <cellStyle name="Normal 4 2 4 2 3" xfId="54666"/>
    <cellStyle name="Normal 4 2 4 3" xfId="393"/>
    <cellStyle name="Normal 4 2 4 3 2" xfId="54613"/>
    <cellStyle name="Normal 4 2 4 3 2 2" xfId="54709"/>
    <cellStyle name="Normal 4 2 4 3 3" xfId="54667"/>
    <cellStyle name="Normal 4 2 5" xfId="394"/>
    <cellStyle name="Normal 4 2 5 2" xfId="54614"/>
    <cellStyle name="Normal 4 2 5 2 2" xfId="54710"/>
    <cellStyle name="Normal 4 2 5 3" xfId="54668"/>
    <cellStyle name="Normal 4 2 6" xfId="54607"/>
    <cellStyle name="Normal 4 2 6 2" xfId="54711"/>
    <cellStyle name="Normal 4 2 7" xfId="54661"/>
    <cellStyle name="Normal 4 2_CE_Workbook_7_18_2012_MultiTab" xfId="395"/>
    <cellStyle name="Normal 4 3" xfId="66"/>
    <cellStyle name="Normal 4 3 2" xfId="67"/>
    <cellStyle name="Normal 4 3 2 2" xfId="396"/>
    <cellStyle name="Normal 4 3 3" xfId="397"/>
    <cellStyle name="Normal 4 3_CE_Workbook_7_18_2012_MultiTab" xfId="398"/>
    <cellStyle name="Normal 4 4" xfId="68"/>
    <cellStyle name="Normal 4 4 2" xfId="399"/>
    <cellStyle name="Normal 4 5" xfId="63"/>
    <cellStyle name="Normal 4 5 2" xfId="401"/>
    <cellStyle name="Normal 4 5 2 2" xfId="402"/>
    <cellStyle name="Normal 4 5 2 2 2" xfId="54615"/>
    <cellStyle name="Normal 4 5 2 2 2 2" xfId="54712"/>
    <cellStyle name="Normal 4 5 2 2 3" xfId="54669"/>
    <cellStyle name="Normal 4 5 2 3" xfId="403"/>
    <cellStyle name="Normal 4 5 2 3 2" xfId="54616"/>
    <cellStyle name="Normal 4 5 2 3 2 2" xfId="54713"/>
    <cellStyle name="Normal 4 5 2 3 3" xfId="54670"/>
    <cellStyle name="Normal 4 5 3" xfId="404"/>
    <cellStyle name="Normal 4 5 3 2" xfId="54617"/>
    <cellStyle name="Normal 4 5 3 2 2" xfId="54714"/>
    <cellStyle name="Normal 4 5 3 3" xfId="54671"/>
    <cellStyle name="Normal 4 5 4" xfId="405"/>
    <cellStyle name="Normal 4 5 4 2" xfId="54618"/>
    <cellStyle name="Normal 4 5 4 2 2" xfId="54715"/>
    <cellStyle name="Normal 4 5 4 3" xfId="54672"/>
    <cellStyle name="Normal 4 5 5" xfId="400"/>
    <cellStyle name="Normal 4 5_CE_Workbook_7_18_2012_MultiTab" xfId="406"/>
    <cellStyle name="Normal 4 6" xfId="407"/>
    <cellStyle name="Normal 4 6 2" xfId="408"/>
    <cellStyle name="Normal 4 6 2 2" xfId="54619"/>
    <cellStyle name="Normal 4 6 2 2 2" xfId="54716"/>
    <cellStyle name="Normal 4 6 2 3" xfId="54673"/>
    <cellStyle name="Normal 4 6 3" xfId="409"/>
    <cellStyle name="Normal 4 6 3 2" xfId="54620"/>
    <cellStyle name="Normal 4 6 3 2 2" xfId="54717"/>
    <cellStyle name="Normal 4 6 3 3" xfId="54674"/>
    <cellStyle name="Normal 4 7" xfId="410"/>
    <cellStyle name="Normal 4 7 2" xfId="54621"/>
    <cellStyle name="Normal 4 7 2 2" xfId="54718"/>
    <cellStyle name="Normal 4 7 3" xfId="54675"/>
    <cellStyle name="Normal 4 8" xfId="54606"/>
    <cellStyle name="Normal 4 8 2" xfId="54719"/>
    <cellStyle name="Normal 4 9" xfId="54660"/>
    <cellStyle name="Normal 4_CE_Workbook_7_18_2012_MultiTab" xfId="411"/>
    <cellStyle name="Normal 40" xfId="54580"/>
    <cellStyle name="Normal 41" xfId="54575"/>
    <cellStyle name="Normal 42" xfId="54577"/>
    <cellStyle name="Normal 43" xfId="54636"/>
    <cellStyle name="Normal 44" xfId="54581"/>
    <cellStyle name="Normal 45" xfId="54574"/>
    <cellStyle name="Normal 46" xfId="54578"/>
    <cellStyle name="Normal 47" xfId="54637"/>
    <cellStyle name="Normal 48" xfId="54642"/>
    <cellStyle name="Normal 49" xfId="54638"/>
    <cellStyle name="Normal 5" xfId="12"/>
    <cellStyle name="Normal 5 10" xfId="222"/>
    <cellStyle name="Normal 5 2" xfId="27"/>
    <cellStyle name="Normal 5 2 2" xfId="413"/>
    <cellStyle name="Normal 5 2 3" xfId="412"/>
    <cellStyle name="Normal 5 3" xfId="69"/>
    <cellStyle name="Normal 5 3 2" xfId="415"/>
    <cellStyle name="Normal 5 3 2 2" xfId="416"/>
    <cellStyle name="Normal 5 3 2 2 2" xfId="54623"/>
    <cellStyle name="Normal 5 3 2 2 2 2" xfId="54720"/>
    <cellStyle name="Normal 5 3 2 2 3" xfId="54677"/>
    <cellStyle name="Normal 5 3 2 3" xfId="417"/>
    <cellStyle name="Normal 5 3 2 3 2" xfId="54624"/>
    <cellStyle name="Normal 5 3 2 3 2 2" xfId="54721"/>
    <cellStyle name="Normal 5 3 2 3 3" xfId="54678"/>
    <cellStyle name="Normal 5 3 3" xfId="418"/>
    <cellStyle name="Normal 5 3 3 2" xfId="54625"/>
    <cellStyle name="Normal 5 3 3 2 2" xfId="54722"/>
    <cellStyle name="Normal 5 3 3 3" xfId="54679"/>
    <cellStyle name="Normal 5 3 4" xfId="419"/>
    <cellStyle name="Normal 5 3 4 2" xfId="54626"/>
    <cellStyle name="Normal 5 3 4 2 2" xfId="54723"/>
    <cellStyle name="Normal 5 3 4 3" xfId="54680"/>
    <cellStyle name="Normal 5 3 5" xfId="414"/>
    <cellStyle name="Normal 5 3_CE_Workbook_7_18_2012_MultiTab" xfId="420"/>
    <cellStyle name="Normal 5 4" xfId="203"/>
    <cellStyle name="Normal 5 5" xfId="421"/>
    <cellStyle name="Normal 5 5 2" xfId="422"/>
    <cellStyle name="Normal 5 5 2 2" xfId="54627"/>
    <cellStyle name="Normal 5 5 2 2 2" xfId="54724"/>
    <cellStyle name="Normal 5 5 2 3" xfId="54681"/>
    <cellStyle name="Normal 5 5 3" xfId="423"/>
    <cellStyle name="Normal 5 5 3 2" xfId="54628"/>
    <cellStyle name="Normal 5 5 3 2 2" xfId="54725"/>
    <cellStyle name="Normal 5 5 3 3" xfId="54682"/>
    <cellStyle name="Normal 5 6" xfId="424"/>
    <cellStyle name="Normal 5 6 2" xfId="54629"/>
    <cellStyle name="Normal 5 6 2 2" xfId="54726"/>
    <cellStyle name="Normal 5 6 3" xfId="54683"/>
    <cellStyle name="Normal 5 7" xfId="456"/>
    <cellStyle name="Normal 5 7 2" xfId="54622"/>
    <cellStyle name="Normal 5 8" xfId="467"/>
    <cellStyle name="Normal 5 8 2" xfId="54676"/>
    <cellStyle name="Normal 5 9" xfId="234"/>
    <cellStyle name="Normal 5_CE_Workbook_7_18_2012_MultiTab" xfId="425"/>
    <cellStyle name="Normal 50" xfId="54641"/>
    <cellStyle name="Normal 51" xfId="54643"/>
    <cellStyle name="Normal 52" xfId="54640"/>
    <cellStyle name="Normal 53" xfId="54639"/>
    <cellStyle name="Normal 54" xfId="54733"/>
    <cellStyle name="Normal 55" xfId="54742"/>
    <cellStyle name="Normal 56" xfId="54737"/>
    <cellStyle name="Normal 57" xfId="54745"/>
    <cellStyle name="Normal 58" xfId="54741"/>
    <cellStyle name="Normal 59" xfId="54738"/>
    <cellStyle name="Normal 6" xfId="70"/>
    <cellStyle name="Normal 6 2" xfId="426"/>
    <cellStyle name="Normal 6 2 2" xfId="427"/>
    <cellStyle name="Normal 6 2 2 2" xfId="54631"/>
    <cellStyle name="Normal 6 2 2 2 2" xfId="54727"/>
    <cellStyle name="Normal 6 2 2 3" xfId="54685"/>
    <cellStyle name="Normal 6 2 3" xfId="428"/>
    <cellStyle name="Normal 6 2 3 2" xfId="54632"/>
    <cellStyle name="Normal 6 2 3 2 2" xfId="54728"/>
    <cellStyle name="Normal 6 2 3 3" xfId="54686"/>
    <cellStyle name="Normal 6 3" xfId="429"/>
    <cellStyle name="Normal 6 3 2" xfId="54633"/>
    <cellStyle name="Normal 6 3 2 2" xfId="54729"/>
    <cellStyle name="Normal 6 3 3" xfId="54687"/>
    <cellStyle name="Normal 6 4" xfId="54630"/>
    <cellStyle name="Normal 6 4 2" xfId="54730"/>
    <cellStyle name="Normal 6 5" xfId="54684"/>
    <cellStyle name="Normal 6_CE_Workbook_7_18_2012_MultiTab" xfId="430"/>
    <cellStyle name="Normal 60" xfId="54743"/>
    <cellStyle name="Normal 61" xfId="54739"/>
    <cellStyle name="Normal 62" xfId="54736"/>
    <cellStyle name="Normal 63" xfId="54744"/>
    <cellStyle name="Normal 64" xfId="54735"/>
    <cellStyle name="Normal 65" xfId="54746"/>
    <cellStyle name="Normal 66" xfId="54734"/>
    <cellStyle name="Normal 67" xfId="54740"/>
    <cellStyle name="Normal 68" xfId="54747"/>
    <cellStyle name="Normal 69" xfId="54757"/>
    <cellStyle name="Normal 7" xfId="71"/>
    <cellStyle name="Normal 7 2" xfId="431"/>
    <cellStyle name="Normal 70" xfId="54758"/>
    <cellStyle name="Normal 71" xfId="54751"/>
    <cellStyle name="Normal 72" xfId="54756"/>
    <cellStyle name="Normal 73" xfId="54754"/>
    <cellStyle name="Normal 74" xfId="54755"/>
    <cellStyle name="Normal 75" xfId="54749"/>
    <cellStyle name="Normal 76" xfId="54750"/>
    <cellStyle name="Normal 77" xfId="54752"/>
    <cellStyle name="Normal 78" xfId="54760"/>
    <cellStyle name="Normal 79" xfId="54753"/>
    <cellStyle name="Normal 8" xfId="72"/>
    <cellStyle name="Normal 8 2" xfId="432"/>
    <cellStyle name="Normal 8 3" xfId="433"/>
    <cellStyle name="Normal 8_Duplicate Delete" xfId="434"/>
    <cellStyle name="Normal 80" xfId="54759"/>
    <cellStyle name="Normal 81" xfId="54748"/>
    <cellStyle name="Normal 82" xfId="54761"/>
    <cellStyle name="Normal 83" xfId="54762"/>
    <cellStyle name="Normal 84" xfId="54769"/>
    <cellStyle name="Normal 85" xfId="54764"/>
    <cellStyle name="Normal 86" xfId="54771"/>
    <cellStyle name="Normal 87" xfId="54766"/>
    <cellStyle name="Normal 88" xfId="54765"/>
    <cellStyle name="Normal 89" xfId="54768"/>
    <cellStyle name="Normal 9" xfId="73"/>
    <cellStyle name="Normal 9 2" xfId="77"/>
    <cellStyle name="Normal 9 2 2" xfId="435"/>
    <cellStyle name="Normal 9 3" xfId="436"/>
    <cellStyle name="Normal 9_18230684" xfId="437"/>
    <cellStyle name="Normal 90" xfId="54763"/>
    <cellStyle name="Normal 91" xfId="54770"/>
    <cellStyle name="Normal 92" xfId="54767"/>
    <cellStyle name="Normal 93" xfId="54772"/>
    <cellStyle name="Normal_2_2011 EES sector view 2" xfId="171"/>
    <cellStyle name="Normal_2_2011 EES sector view_Revised 11-18-2010" xfId="156"/>
    <cellStyle name="Normal_P90010" xfId="17"/>
    <cellStyle name="Normal_P90010 2" xfId="23"/>
    <cellStyle name="Note 2" xfId="158"/>
    <cellStyle name="Note 2 10" xfId="1242"/>
    <cellStyle name="Note 2 10 2" xfId="9065"/>
    <cellStyle name="Note 2 10 3" xfId="16493"/>
    <cellStyle name="Note 2 10 4" xfId="19534"/>
    <cellStyle name="Note 2 10 5" xfId="28351"/>
    <cellStyle name="Note 2 10 6" xfId="37468"/>
    <cellStyle name="Note 2 10 7" xfId="47011"/>
    <cellStyle name="Note 2 11" xfId="1558"/>
    <cellStyle name="Note 2 11 2" xfId="9381"/>
    <cellStyle name="Note 2 11 3" xfId="16809"/>
    <cellStyle name="Note 2 11 4" xfId="20432"/>
    <cellStyle name="Note 2 11 5" xfId="27897"/>
    <cellStyle name="Note 2 11 6" xfId="37796"/>
    <cellStyle name="Note 2 11 7" xfId="47930"/>
    <cellStyle name="Note 2 12" xfId="1089"/>
    <cellStyle name="Note 2 12 2" xfId="8913"/>
    <cellStyle name="Note 2 12 3" xfId="16341"/>
    <cellStyle name="Note 2 12 4" xfId="20068"/>
    <cellStyle name="Note 2 12 5" xfId="28613"/>
    <cellStyle name="Note 2 12 6" xfId="36423"/>
    <cellStyle name="Note 2 12 7" xfId="48712"/>
    <cellStyle name="Note 2 13" xfId="2326"/>
    <cellStyle name="Note 2 13 2" xfId="10149"/>
    <cellStyle name="Note 2 13 3" xfId="17577"/>
    <cellStyle name="Note 2 13 4" xfId="26660"/>
    <cellStyle name="Note 2 13 5" xfId="35505"/>
    <cellStyle name="Note 2 13 6" xfId="40766"/>
    <cellStyle name="Note 2 13 7" xfId="54412"/>
    <cellStyle name="Note 2 14" xfId="1273"/>
    <cellStyle name="Note 2 14 2" xfId="9096"/>
    <cellStyle name="Note 2 14 3" xfId="16524"/>
    <cellStyle name="Note 2 14 4" xfId="19691"/>
    <cellStyle name="Note 2 14 5" xfId="27347"/>
    <cellStyle name="Note 2 14 6" xfId="40798"/>
    <cellStyle name="Note 2 14 7" xfId="46779"/>
    <cellStyle name="Note 2 15" xfId="2716"/>
    <cellStyle name="Note 2 15 2" xfId="10539"/>
    <cellStyle name="Note 2 15 3" xfId="17967"/>
    <cellStyle name="Note 2 15 4" xfId="25190"/>
    <cellStyle name="Note 2 15 5" xfId="33573"/>
    <cellStyle name="Note 2 15 6" xfId="38156"/>
    <cellStyle name="Note 2 15 7" xfId="51192"/>
    <cellStyle name="Note 2 16" xfId="3071"/>
    <cellStyle name="Note 2 16 2" xfId="10879"/>
    <cellStyle name="Note 2 16 3" xfId="18274"/>
    <cellStyle name="Note 2 16 4" xfId="26219"/>
    <cellStyle name="Note 2 16 5" xfId="34904"/>
    <cellStyle name="Note 2 16 6" xfId="39834"/>
    <cellStyle name="Note 2 16 7" xfId="53461"/>
    <cellStyle name="Note 2 17" xfId="3040"/>
    <cellStyle name="Note 2 17 2" xfId="10853"/>
    <cellStyle name="Note 2 17 3" xfId="18264"/>
    <cellStyle name="Note 2 17 4" xfId="24842"/>
    <cellStyle name="Note 2 17 5" xfId="27061"/>
    <cellStyle name="Note 2 17 6" xfId="37181"/>
    <cellStyle name="Note 2 17 7" xfId="49219"/>
    <cellStyle name="Note 2 18" xfId="3488"/>
    <cellStyle name="Note 2 18 2" xfId="11279"/>
    <cellStyle name="Note 2 18 3" xfId="18589"/>
    <cellStyle name="Note 2 18 4" xfId="19287"/>
    <cellStyle name="Note 2 18 5" xfId="27965"/>
    <cellStyle name="Note 2 18 6" xfId="36683"/>
    <cellStyle name="Note 2 18 7" xfId="48684"/>
    <cellStyle name="Note 2 19" xfId="4220"/>
    <cellStyle name="Note 2 19 2" xfId="11963"/>
    <cellStyle name="Note 2 19 3" xfId="20930"/>
    <cellStyle name="Note 2 19 4" xfId="29117"/>
    <cellStyle name="Note 2 19 5" xfId="35273"/>
    <cellStyle name="Note 2 19 6" xfId="42782"/>
    <cellStyle name="Note 2 19 7" xfId="49557"/>
    <cellStyle name="Note 2 2" xfId="169"/>
    <cellStyle name="Note 2 2 10" xfId="982"/>
    <cellStyle name="Note 2 2 10 2" xfId="8806"/>
    <cellStyle name="Note 2 2 10 3" xfId="16234"/>
    <cellStyle name="Note 2 2 10 4" xfId="25886"/>
    <cellStyle name="Note 2 2 10 5" xfId="34481"/>
    <cellStyle name="Note 2 2 10 6" xfId="37188"/>
    <cellStyle name="Note 2 2 10 7" xfId="52756"/>
    <cellStyle name="Note 2 2 11" xfId="1803"/>
    <cellStyle name="Note 2 2 11 2" xfId="9626"/>
    <cellStyle name="Note 2 2 11 3" xfId="17054"/>
    <cellStyle name="Note 2 2 11 4" xfId="19718"/>
    <cellStyle name="Note 2 2 11 5" xfId="27840"/>
    <cellStyle name="Note 2 2 11 6" xfId="39571"/>
    <cellStyle name="Note 2 2 11 7" xfId="47492"/>
    <cellStyle name="Note 2 2 12" xfId="2284"/>
    <cellStyle name="Note 2 2 12 2" xfId="10107"/>
    <cellStyle name="Note 2 2 12 3" xfId="17535"/>
    <cellStyle name="Note 2 2 12 4" xfId="25313"/>
    <cellStyle name="Note 2 2 12 5" xfId="33733"/>
    <cellStyle name="Note 2 2 12 6" xfId="36571"/>
    <cellStyle name="Note 2 2 12 7" xfId="51452"/>
    <cellStyle name="Note 2 2 13" xfId="2290"/>
    <cellStyle name="Note 2 2 13 2" xfId="10113"/>
    <cellStyle name="Note 2 2 13 3" xfId="17541"/>
    <cellStyle name="Note 2 2 13 4" xfId="19708"/>
    <cellStyle name="Note 2 2 13 5" xfId="27720"/>
    <cellStyle name="Note 2 2 13 6" xfId="36914"/>
    <cellStyle name="Note 2 2 13 7" xfId="47558"/>
    <cellStyle name="Note 2 2 14" xfId="2396"/>
    <cellStyle name="Note 2 2 14 2" xfId="10219"/>
    <cellStyle name="Note 2 2 14 3" xfId="17647"/>
    <cellStyle name="Note 2 2 14 4" xfId="26695"/>
    <cellStyle name="Note 2 2 14 5" xfId="35547"/>
    <cellStyle name="Note 2 2 14 6" xfId="40288"/>
    <cellStyle name="Note 2 2 14 7" xfId="54484"/>
    <cellStyle name="Note 2 2 15" xfId="3178"/>
    <cellStyle name="Note 2 2 15 2" xfId="10979"/>
    <cellStyle name="Note 2 2 15 3" xfId="18340"/>
    <cellStyle name="Note 2 2 15 4" xfId="25348"/>
    <cellStyle name="Note 2 2 15 5" xfId="33783"/>
    <cellStyle name="Note 2 2 15 6" xfId="37497"/>
    <cellStyle name="Note 2 2 15 7" xfId="51532"/>
    <cellStyle name="Note 2 2 16" xfId="3086"/>
    <cellStyle name="Note 2 2 16 2" xfId="10893"/>
    <cellStyle name="Note 2 2 16 3" xfId="18280"/>
    <cellStyle name="Note 2 2 16 4" xfId="25609"/>
    <cellStyle name="Note 2 2 16 5" xfId="34120"/>
    <cellStyle name="Note 2 2 16 6" xfId="38232"/>
    <cellStyle name="Note 2 2 16 7" xfId="52108"/>
    <cellStyle name="Note 2 2 17" xfId="3879"/>
    <cellStyle name="Note 2 2 17 2" xfId="11660"/>
    <cellStyle name="Note 2 2 17 3" xfId="18914"/>
    <cellStyle name="Note 2 2 17 4" xfId="26213"/>
    <cellStyle name="Note 2 2 17 5" xfId="34896"/>
    <cellStyle name="Note 2 2 17 6" xfId="41557"/>
    <cellStyle name="Note 2 2 17 7" xfId="53447"/>
    <cellStyle name="Note 2 2 18" xfId="4036"/>
    <cellStyle name="Note 2 2 18 2" xfId="11807"/>
    <cellStyle name="Note 2 2 18 3" xfId="20746"/>
    <cellStyle name="Note 2 2 18 4" xfId="28933"/>
    <cellStyle name="Note 2 2 18 5" xfId="36062"/>
    <cellStyle name="Note 2 2 18 6" xfId="42598"/>
    <cellStyle name="Note 2 2 18 7" xfId="53735"/>
    <cellStyle name="Note 2 2 19" xfId="3480"/>
    <cellStyle name="Note 2 2 19 2" xfId="11271"/>
    <cellStyle name="Note 2 2 19 3" xfId="20467"/>
    <cellStyle name="Note 2 2 19 4" xfId="28589"/>
    <cellStyle name="Note 2 2 19 5" xfId="33997"/>
    <cellStyle name="Note 2 2 19 6" xfId="42478"/>
    <cellStyle name="Note 2 2 19 7" xfId="49032"/>
    <cellStyle name="Note 2 2 2" xfId="265"/>
    <cellStyle name="Note 2 2 2 10" xfId="1133"/>
    <cellStyle name="Note 2 2 2 10 2" xfId="8956"/>
    <cellStyle name="Note 2 2 2 10 3" xfId="16384"/>
    <cellStyle name="Note 2 2 2 10 4" xfId="25277"/>
    <cellStyle name="Note 2 2 2 10 5" xfId="33689"/>
    <cellStyle name="Note 2 2 2 10 6" xfId="41749"/>
    <cellStyle name="Note 2 2 2 10 7" xfId="51384"/>
    <cellStyle name="Note 2 2 2 11" xfId="1425"/>
    <cellStyle name="Note 2 2 2 11 2" xfId="9248"/>
    <cellStyle name="Note 2 2 2 11 3" xfId="16676"/>
    <cellStyle name="Note 2 2 2 11 4" xfId="26251"/>
    <cellStyle name="Note 2 2 2 11 5" xfId="34947"/>
    <cellStyle name="Note 2 2 2 11 6" xfId="41377"/>
    <cellStyle name="Note 2 2 2 11 7" xfId="53542"/>
    <cellStyle name="Note 2 2 2 12" xfId="1062"/>
    <cellStyle name="Note 2 2 2 12 2" xfId="8886"/>
    <cellStyle name="Note 2 2 2 12 3" xfId="16314"/>
    <cellStyle name="Note 2 2 2 12 4" xfId="25322"/>
    <cellStyle name="Note 2 2 2 12 5" xfId="33750"/>
    <cellStyle name="Note 2 2 2 12 6" xfId="37175"/>
    <cellStyle name="Note 2 2 2 12 7" xfId="51479"/>
    <cellStyle name="Note 2 2 2 13" xfId="1137"/>
    <cellStyle name="Note 2 2 2 13 2" xfId="8960"/>
    <cellStyle name="Note 2 2 2 13 3" xfId="16388"/>
    <cellStyle name="Note 2 2 2 13 4" xfId="25075"/>
    <cellStyle name="Note 2 2 2 13 5" xfId="33435"/>
    <cellStyle name="Note 2 2 2 13 6" xfId="41251"/>
    <cellStyle name="Note 2 2 2 13 7" xfId="50959"/>
    <cellStyle name="Note 2 2 2 14" xfId="1033"/>
    <cellStyle name="Note 2 2 2 14 2" xfId="8857"/>
    <cellStyle name="Note 2 2 2 14 3" xfId="16285"/>
    <cellStyle name="Note 2 2 2 14 4" xfId="20561"/>
    <cellStyle name="Note 2 2 2 14 5" xfId="27136"/>
    <cellStyle name="Note 2 2 2 14 6" xfId="36999"/>
    <cellStyle name="Note 2 2 2 14 7" xfId="48366"/>
    <cellStyle name="Note 2 2 2 15" xfId="1044"/>
    <cellStyle name="Note 2 2 2 15 2" xfId="8868"/>
    <cellStyle name="Note 2 2 2 15 3" xfId="16296"/>
    <cellStyle name="Note 2 2 2 15 4" xfId="26194"/>
    <cellStyle name="Note 2 2 2 15 5" xfId="34875"/>
    <cellStyle name="Note 2 2 2 15 6" xfId="36549"/>
    <cellStyle name="Note 2 2 2 15 7" xfId="53415"/>
    <cellStyle name="Note 2 2 2 16" xfId="1582"/>
    <cellStyle name="Note 2 2 2 16 2" xfId="9405"/>
    <cellStyle name="Note 2 2 2 16 3" xfId="16833"/>
    <cellStyle name="Note 2 2 2 16 4" xfId="20572"/>
    <cellStyle name="Note 2 2 2 16 5" xfId="28865"/>
    <cellStyle name="Note 2 2 2 16 6" xfId="40419"/>
    <cellStyle name="Note 2 2 2 16 7" xfId="47609"/>
    <cellStyle name="Note 2 2 2 17" xfId="1204"/>
    <cellStyle name="Note 2 2 2 17 2" xfId="9027"/>
    <cellStyle name="Note 2 2 2 17 3" xfId="16455"/>
    <cellStyle name="Note 2 2 2 17 4" xfId="25248"/>
    <cellStyle name="Note 2 2 2 17 5" xfId="33652"/>
    <cellStyle name="Note 2 2 2 17 6" xfId="40836"/>
    <cellStyle name="Note 2 2 2 17 7" xfId="51315"/>
    <cellStyle name="Note 2 2 2 18" xfId="1267"/>
    <cellStyle name="Note 2 2 2 18 2" xfId="9090"/>
    <cellStyle name="Note 2 2 2 18 3" xfId="16518"/>
    <cellStyle name="Note 2 2 2 18 4" xfId="20406"/>
    <cellStyle name="Note 2 2 2 18 5" xfId="27868"/>
    <cellStyle name="Note 2 2 2 18 6" xfId="41483"/>
    <cellStyle name="Note 2 2 2 18 7" xfId="46929"/>
    <cellStyle name="Note 2 2 2 19" xfId="1079"/>
    <cellStyle name="Note 2 2 2 19 2" xfId="8903"/>
    <cellStyle name="Note 2 2 2 19 3" xfId="16331"/>
    <cellStyle name="Note 2 2 2 19 4" xfId="20678"/>
    <cellStyle name="Note 2 2 2 19 5" xfId="28010"/>
    <cellStyle name="Note 2 2 2 19 6" xfId="36775"/>
    <cellStyle name="Note 2 2 2 19 7" xfId="49495"/>
    <cellStyle name="Note 2 2 2 2" xfId="539"/>
    <cellStyle name="Note 2 2 2 2 10" xfId="1986"/>
    <cellStyle name="Note 2 2 2 2 10 2" xfId="9809"/>
    <cellStyle name="Note 2 2 2 2 10 3" xfId="17237"/>
    <cellStyle name="Note 2 2 2 2 10 4" xfId="26621"/>
    <cellStyle name="Note 2 2 2 2 10 5" xfId="35453"/>
    <cellStyle name="Note 2 2 2 2 10 6" xfId="37044"/>
    <cellStyle name="Note 2 2 2 2 10 7" xfId="54328"/>
    <cellStyle name="Note 2 2 2 2 11" xfId="2104"/>
    <cellStyle name="Note 2 2 2 2 11 2" xfId="9927"/>
    <cellStyle name="Note 2 2 2 2 11 3" xfId="17355"/>
    <cellStyle name="Note 2 2 2 2 11 4" xfId="19448"/>
    <cellStyle name="Note 2 2 2 2 11 5" xfId="28557"/>
    <cellStyle name="Note 2 2 2 2 11 6" xfId="36559"/>
    <cellStyle name="Note 2 2 2 2 11 7" xfId="48514"/>
    <cellStyle name="Note 2 2 2 2 12" xfId="2217"/>
    <cellStyle name="Note 2 2 2 2 12 2" xfId="10040"/>
    <cellStyle name="Note 2 2 2 2 12 3" xfId="17468"/>
    <cellStyle name="Note 2 2 2 2 12 4" xfId="25166"/>
    <cellStyle name="Note 2 2 2 2 12 5" xfId="33546"/>
    <cellStyle name="Note 2 2 2 2 12 6" xfId="37280"/>
    <cellStyle name="Note 2 2 2 2 12 7" xfId="51145"/>
    <cellStyle name="Note 2 2 2 2 13" xfId="2324"/>
    <cellStyle name="Note 2 2 2 2 13 2" xfId="10147"/>
    <cellStyle name="Note 2 2 2 2 13 3" xfId="17575"/>
    <cellStyle name="Note 2 2 2 2 13 4" xfId="19399"/>
    <cellStyle name="Note 2 2 2 2 13 5" xfId="28788"/>
    <cellStyle name="Note 2 2 2 2 13 6" xfId="40982"/>
    <cellStyle name="Note 2 2 2 2 13 7" xfId="48343"/>
    <cellStyle name="Note 2 2 2 2 14" xfId="2415"/>
    <cellStyle name="Note 2 2 2 2 14 2" xfId="10238"/>
    <cellStyle name="Note 2 2 2 2 14 3" xfId="17666"/>
    <cellStyle name="Note 2 2 2 2 14 4" xfId="25809"/>
    <cellStyle name="Note 2 2 2 2 14 5" xfId="34388"/>
    <cellStyle name="Note 2 2 2 2 14 6" xfId="38239"/>
    <cellStyle name="Note 2 2 2 2 14 7" xfId="52585"/>
    <cellStyle name="Note 2 2 2 2 15" xfId="2515"/>
    <cellStyle name="Note 2 2 2 2 15 2" xfId="10338"/>
    <cellStyle name="Note 2 2 2 2 15 3" xfId="17766"/>
    <cellStyle name="Note 2 2 2 2 15 4" xfId="19158"/>
    <cellStyle name="Note 2 2 2 2 15 5" xfId="28879"/>
    <cellStyle name="Note 2 2 2 2 15 6" xfId="36395"/>
    <cellStyle name="Note 2 2 2 2 15 7" xfId="49252"/>
    <cellStyle name="Note 2 2 2 2 16" xfId="2628"/>
    <cellStyle name="Note 2 2 2 2 16 2" xfId="10451"/>
    <cellStyle name="Note 2 2 2 2 16 3" xfId="17879"/>
    <cellStyle name="Note 2 2 2 2 16 4" xfId="26080"/>
    <cellStyle name="Note 2 2 2 2 16 5" xfId="34727"/>
    <cellStyle name="Note 2 2 2 2 16 6" xfId="36562"/>
    <cellStyle name="Note 2 2 2 2 16 7" xfId="53168"/>
    <cellStyle name="Note 2 2 2 2 17" xfId="2721"/>
    <cellStyle name="Note 2 2 2 2 17 2" xfId="10544"/>
    <cellStyle name="Note 2 2 2 2 17 3" xfId="17972"/>
    <cellStyle name="Note 2 2 2 2 17 4" xfId="19522"/>
    <cellStyle name="Note 2 2 2 2 17 5" xfId="28262"/>
    <cellStyle name="Note 2 2 2 2 17 6" xfId="37843"/>
    <cellStyle name="Note 2 2 2 2 17 7" xfId="47508"/>
    <cellStyle name="Note 2 2 2 2 18" xfId="2752"/>
    <cellStyle name="Note 2 2 2 2 18 2" xfId="10575"/>
    <cellStyle name="Note 2 2 2 2 18 3" xfId="18003"/>
    <cellStyle name="Note 2 2 2 2 18 4" xfId="19529"/>
    <cellStyle name="Note 2 2 2 2 18 5" xfId="27454"/>
    <cellStyle name="Note 2 2 2 2 18 6" xfId="36850"/>
    <cellStyle name="Note 2 2 2 2 18 7" xfId="49638"/>
    <cellStyle name="Note 2 2 2 2 19" xfId="2821"/>
    <cellStyle name="Note 2 2 2 2 19 2" xfId="10644"/>
    <cellStyle name="Note 2 2 2 2 19 3" xfId="18072"/>
    <cellStyle name="Note 2 2 2 2 19 4" xfId="19208"/>
    <cellStyle name="Note 2 2 2 2 19 5" xfId="26725"/>
    <cellStyle name="Note 2 2 2 2 19 6" xfId="42273"/>
    <cellStyle name="Note 2 2 2 2 19 7" xfId="49211"/>
    <cellStyle name="Note 2 2 2 2 2" xfId="689"/>
    <cellStyle name="Note 2 2 2 2 2 2" xfId="8513"/>
    <cellStyle name="Note 2 2 2 2 2 3" xfId="15941"/>
    <cellStyle name="Note 2 2 2 2 2 4" xfId="19764"/>
    <cellStyle name="Note 2 2 2 2 2 5" xfId="27092"/>
    <cellStyle name="Note 2 2 2 2 2 6" xfId="36951"/>
    <cellStyle name="Note 2 2 2 2 2 7" xfId="47253"/>
    <cellStyle name="Note 2 2 2 2 20" xfId="2928"/>
    <cellStyle name="Note 2 2 2 2 20 2" xfId="10751"/>
    <cellStyle name="Note 2 2 2 2 20 3" xfId="18179"/>
    <cellStyle name="Note 2 2 2 2 20 4" xfId="26075"/>
    <cellStyle name="Note 2 2 2 2 20 5" xfId="34721"/>
    <cellStyle name="Note 2 2 2 2 20 6" xfId="41555"/>
    <cellStyle name="Note 2 2 2 2 20 7" xfId="53159"/>
    <cellStyle name="Note 2 2 2 2 21" xfId="3304"/>
    <cellStyle name="Note 2 2 2 2 21 2" xfId="11097"/>
    <cellStyle name="Note 2 2 2 2 21 3" xfId="18426"/>
    <cellStyle name="Note 2 2 2 2 21 4" xfId="25332"/>
    <cellStyle name="Note 2 2 2 2 21 5" xfId="33762"/>
    <cellStyle name="Note 2 2 2 2 21 6" xfId="39166"/>
    <cellStyle name="Note 2 2 2 2 21 7" xfId="51499"/>
    <cellStyle name="Note 2 2 2 2 22" xfId="3424"/>
    <cellStyle name="Note 2 2 2 2 22 2" xfId="11215"/>
    <cellStyle name="Note 2 2 2 2 22 3" xfId="18537"/>
    <cellStyle name="Note 2 2 2 2 22 4" xfId="25822"/>
    <cellStyle name="Note 2 2 2 2 22 5" xfId="34404"/>
    <cellStyle name="Note 2 2 2 2 22 6" xfId="36833"/>
    <cellStyle name="Note 2 2 2 2 22 7" xfId="52611"/>
    <cellStyle name="Note 2 2 2 2 23" xfId="3550"/>
    <cellStyle name="Note 2 2 2 2 23 2" xfId="11339"/>
    <cellStyle name="Note 2 2 2 2 23 3" xfId="18625"/>
    <cellStyle name="Note 2 2 2 2 23 4" xfId="19913"/>
    <cellStyle name="Note 2 2 2 2 23 5" xfId="27837"/>
    <cellStyle name="Note 2 2 2 2 23 6" xfId="38131"/>
    <cellStyle name="Note 2 2 2 2 23 7" xfId="49577"/>
    <cellStyle name="Note 2 2 2 2 24" xfId="3179"/>
    <cellStyle name="Note 2 2 2 2 24 2" xfId="10980"/>
    <cellStyle name="Note 2 2 2 2 24 3" xfId="18341"/>
    <cellStyle name="Note 2 2 2 2 24 4" xfId="25299"/>
    <cellStyle name="Note 2 2 2 2 24 5" xfId="33715"/>
    <cellStyle name="Note 2 2 2 2 24 6" xfId="37059"/>
    <cellStyle name="Note 2 2 2 2 24 7" xfId="51427"/>
    <cellStyle name="Note 2 2 2 2 25" xfId="3695"/>
    <cellStyle name="Note 2 2 2 2 25 2" xfId="11480"/>
    <cellStyle name="Note 2 2 2 2 25 3" xfId="18753"/>
    <cellStyle name="Note 2 2 2 2 25 4" xfId="19123"/>
    <cellStyle name="Note 2 2 2 2 25 5" xfId="27439"/>
    <cellStyle name="Note 2 2 2 2 25 6" xfId="36678"/>
    <cellStyle name="Note 2 2 2 2 25 7" xfId="49899"/>
    <cellStyle name="Note 2 2 2 2 26" xfId="3825"/>
    <cellStyle name="Note 2 2 2 2 26 2" xfId="11607"/>
    <cellStyle name="Note 2 2 2 2 26 3" xfId="18864"/>
    <cellStyle name="Note 2 2 2 2 26 4" xfId="25601"/>
    <cellStyle name="Note 2 2 2 2 26 5" xfId="34111"/>
    <cellStyle name="Note 2 2 2 2 26 6" xfId="39689"/>
    <cellStyle name="Note 2 2 2 2 26 7" xfId="52091"/>
    <cellStyle name="Note 2 2 2 2 27" xfId="3943"/>
    <cellStyle name="Note 2 2 2 2 27 2" xfId="11723"/>
    <cellStyle name="Note 2 2 2 2 27 3" xfId="18973"/>
    <cellStyle name="Note 2 2 2 2 27 4" xfId="26478"/>
    <cellStyle name="Note 2 2 2 2 27 5" xfId="35262"/>
    <cellStyle name="Note 2 2 2 2 27 6" xfId="36875"/>
    <cellStyle name="Note 2 2 2 2 27 7" xfId="54029"/>
    <cellStyle name="Note 2 2 2 2 28" xfId="4027"/>
    <cellStyle name="Note 2 2 2 2 28 2" xfId="11800"/>
    <cellStyle name="Note 2 2 2 2 28 3" xfId="20737"/>
    <cellStyle name="Note 2 2 2 2 28 4" xfId="28924"/>
    <cellStyle name="Note 2 2 2 2 28 5" xfId="36225"/>
    <cellStyle name="Note 2 2 2 2 28 6" xfId="42589"/>
    <cellStyle name="Note 2 2 2 2 28 7" xfId="54510"/>
    <cellStyle name="Note 2 2 2 2 29" xfId="4140"/>
    <cellStyle name="Note 2 2 2 2 29 2" xfId="11899"/>
    <cellStyle name="Note 2 2 2 2 29 3" xfId="20850"/>
    <cellStyle name="Note 2 2 2 2 29 4" xfId="29037"/>
    <cellStyle name="Note 2 2 2 2 29 5" xfId="35117"/>
    <cellStyle name="Note 2 2 2 2 29 6" xfId="42702"/>
    <cellStyle name="Note 2 2 2 2 29 7" xfId="50455"/>
    <cellStyle name="Note 2 2 2 2 3" xfId="797"/>
    <cellStyle name="Note 2 2 2 2 3 2" xfId="8621"/>
    <cellStyle name="Note 2 2 2 2 3 3" xfId="16049"/>
    <cellStyle name="Note 2 2 2 2 3 4" xfId="19725"/>
    <cellStyle name="Note 2 2 2 2 3 5" xfId="27149"/>
    <cellStyle name="Note 2 2 2 2 3 6" xfId="37733"/>
    <cellStyle name="Note 2 2 2 2 3 7" xfId="49563"/>
    <cellStyle name="Note 2 2 2 2 30" xfId="4022"/>
    <cellStyle name="Note 2 2 2 2 30 2" xfId="20732"/>
    <cellStyle name="Note 2 2 2 2 30 3" xfId="28919"/>
    <cellStyle name="Note 2 2 2 2 30 4" xfId="35828"/>
    <cellStyle name="Note 2 2 2 2 30 5" xfId="42584"/>
    <cellStyle name="Note 2 2 2 2 30 6" xfId="52549"/>
    <cellStyle name="Note 2 2 2 2 31" xfId="4337"/>
    <cellStyle name="Note 2 2 2 2 31 2" xfId="12054"/>
    <cellStyle name="Note 2 2 2 2 31 3" xfId="21047"/>
    <cellStyle name="Note 2 2 2 2 31 4" xfId="29234"/>
    <cellStyle name="Note 2 2 2 2 31 5" xfId="35553"/>
    <cellStyle name="Note 2 2 2 2 31 6" xfId="42899"/>
    <cellStyle name="Note 2 2 2 2 31 7" xfId="47945"/>
    <cellStyle name="Note 2 2 2 2 32" xfId="4460"/>
    <cellStyle name="Note 2 2 2 2 32 2" xfId="12177"/>
    <cellStyle name="Note 2 2 2 2 32 3" xfId="21170"/>
    <cellStyle name="Note 2 2 2 2 32 4" xfId="29357"/>
    <cellStyle name="Note 2 2 2 2 32 5" xfId="27055"/>
    <cellStyle name="Note 2 2 2 2 32 6" xfId="43022"/>
    <cellStyle name="Note 2 2 2 2 32 7" xfId="49281"/>
    <cellStyle name="Note 2 2 2 2 33" xfId="4574"/>
    <cellStyle name="Note 2 2 2 2 33 2" xfId="12291"/>
    <cellStyle name="Note 2 2 2 2 33 3" xfId="21284"/>
    <cellStyle name="Note 2 2 2 2 33 4" xfId="29471"/>
    <cellStyle name="Note 2 2 2 2 33 5" xfId="35814"/>
    <cellStyle name="Note 2 2 2 2 33 6" xfId="43136"/>
    <cellStyle name="Note 2 2 2 2 33 7" xfId="52513"/>
    <cellStyle name="Note 2 2 2 2 34" xfId="4687"/>
    <cellStyle name="Note 2 2 2 2 34 2" xfId="12404"/>
    <cellStyle name="Note 2 2 2 2 34 3" xfId="21397"/>
    <cellStyle name="Note 2 2 2 2 34 4" xfId="29584"/>
    <cellStyle name="Note 2 2 2 2 34 5" xfId="35652"/>
    <cellStyle name="Note 2 2 2 2 34 6" xfId="43249"/>
    <cellStyle name="Note 2 2 2 2 34 7" xfId="51715"/>
    <cellStyle name="Note 2 2 2 2 35" xfId="4798"/>
    <cellStyle name="Note 2 2 2 2 35 2" xfId="12515"/>
    <cellStyle name="Note 2 2 2 2 35 3" xfId="21508"/>
    <cellStyle name="Note 2 2 2 2 35 4" xfId="29695"/>
    <cellStyle name="Note 2 2 2 2 35 5" xfId="28679"/>
    <cellStyle name="Note 2 2 2 2 35 6" xfId="43360"/>
    <cellStyle name="Note 2 2 2 2 35 7" xfId="47649"/>
    <cellStyle name="Note 2 2 2 2 36" xfId="4907"/>
    <cellStyle name="Note 2 2 2 2 36 2" xfId="12624"/>
    <cellStyle name="Note 2 2 2 2 36 3" xfId="21617"/>
    <cellStyle name="Note 2 2 2 2 36 4" xfId="29804"/>
    <cellStyle name="Note 2 2 2 2 36 5" xfId="35086"/>
    <cellStyle name="Note 2 2 2 2 36 6" xfId="43469"/>
    <cellStyle name="Note 2 2 2 2 36 7" xfId="48338"/>
    <cellStyle name="Note 2 2 2 2 37" xfId="5018"/>
    <cellStyle name="Note 2 2 2 2 37 2" xfId="12735"/>
    <cellStyle name="Note 2 2 2 2 37 3" xfId="21728"/>
    <cellStyle name="Note 2 2 2 2 37 4" xfId="29915"/>
    <cellStyle name="Note 2 2 2 2 37 5" xfId="35786"/>
    <cellStyle name="Note 2 2 2 2 37 6" xfId="43580"/>
    <cellStyle name="Note 2 2 2 2 37 7" xfId="52399"/>
    <cellStyle name="Note 2 2 2 2 38" xfId="5397"/>
    <cellStyle name="Note 2 2 2 2 38 2" xfId="13114"/>
    <cellStyle name="Note 2 2 2 2 38 3" xfId="22107"/>
    <cellStyle name="Note 2 2 2 2 38 4" xfId="30294"/>
    <cellStyle name="Note 2 2 2 2 38 5" xfId="35630"/>
    <cellStyle name="Note 2 2 2 2 38 6" xfId="43959"/>
    <cellStyle name="Note 2 2 2 2 38 7" xfId="51630"/>
    <cellStyle name="Note 2 2 2 2 39" xfId="5517"/>
    <cellStyle name="Note 2 2 2 2 39 2" xfId="13234"/>
    <cellStyle name="Note 2 2 2 2 39 3" xfId="22227"/>
    <cellStyle name="Note 2 2 2 2 39 4" xfId="30414"/>
    <cellStyle name="Note 2 2 2 2 39 5" xfId="27629"/>
    <cellStyle name="Note 2 2 2 2 39 6" xfId="44079"/>
    <cellStyle name="Note 2 2 2 2 39 7" xfId="49783"/>
    <cellStyle name="Note 2 2 2 2 4" xfId="908"/>
    <cellStyle name="Note 2 2 2 2 4 2" xfId="8732"/>
    <cellStyle name="Note 2 2 2 2 4 3" xfId="16160"/>
    <cellStyle name="Note 2 2 2 2 4 4" xfId="26086"/>
    <cellStyle name="Note 2 2 2 2 4 5" xfId="34734"/>
    <cellStyle name="Note 2 2 2 2 4 6" xfId="36792"/>
    <cellStyle name="Note 2 2 2 2 4 7" xfId="53179"/>
    <cellStyle name="Note 2 2 2 2 40" xfId="5641"/>
    <cellStyle name="Note 2 2 2 2 40 2" xfId="13358"/>
    <cellStyle name="Note 2 2 2 2 40 3" xfId="22351"/>
    <cellStyle name="Note 2 2 2 2 40 4" xfId="30538"/>
    <cellStyle name="Note 2 2 2 2 40 5" xfId="36232"/>
    <cellStyle name="Note 2 2 2 2 40 6" xfId="44203"/>
    <cellStyle name="Note 2 2 2 2 40 7" xfId="54529"/>
    <cellStyle name="Note 2 2 2 2 41" xfId="5757"/>
    <cellStyle name="Note 2 2 2 2 41 2" xfId="13474"/>
    <cellStyle name="Note 2 2 2 2 41 3" xfId="22467"/>
    <cellStyle name="Note 2 2 2 2 41 4" xfId="30654"/>
    <cellStyle name="Note 2 2 2 2 41 5" xfId="35699"/>
    <cellStyle name="Note 2 2 2 2 41 6" xfId="44319"/>
    <cellStyle name="Note 2 2 2 2 41 7" xfId="51408"/>
    <cellStyle name="Note 2 2 2 2 42" xfId="5873"/>
    <cellStyle name="Note 2 2 2 2 42 2" xfId="13590"/>
    <cellStyle name="Note 2 2 2 2 42 3" xfId="22583"/>
    <cellStyle name="Note 2 2 2 2 42 4" xfId="30770"/>
    <cellStyle name="Note 2 2 2 2 42 5" xfId="35665"/>
    <cellStyle name="Note 2 2 2 2 42 6" xfId="44435"/>
    <cellStyle name="Note 2 2 2 2 42 7" xfId="52187"/>
    <cellStyle name="Note 2 2 2 2 43" xfId="6002"/>
    <cellStyle name="Note 2 2 2 2 43 2" xfId="13719"/>
    <cellStyle name="Note 2 2 2 2 43 3" xfId="22712"/>
    <cellStyle name="Note 2 2 2 2 43 4" xfId="30899"/>
    <cellStyle name="Note 2 2 2 2 43 5" xfId="26765"/>
    <cellStyle name="Note 2 2 2 2 43 6" xfId="44564"/>
    <cellStyle name="Note 2 2 2 2 43 7" xfId="54279"/>
    <cellStyle name="Note 2 2 2 2 44" xfId="6100"/>
    <cellStyle name="Note 2 2 2 2 44 2" xfId="13817"/>
    <cellStyle name="Note 2 2 2 2 44 3" xfId="22810"/>
    <cellStyle name="Note 2 2 2 2 44 4" xfId="30997"/>
    <cellStyle name="Note 2 2 2 2 44 5" xfId="35605"/>
    <cellStyle name="Note 2 2 2 2 44 6" xfId="44662"/>
    <cellStyle name="Note 2 2 2 2 44 7" xfId="51213"/>
    <cellStyle name="Note 2 2 2 2 45" xfId="5575"/>
    <cellStyle name="Note 2 2 2 2 45 2" xfId="13292"/>
    <cellStyle name="Note 2 2 2 2 45 3" xfId="22285"/>
    <cellStyle name="Note 2 2 2 2 45 4" xfId="30472"/>
    <cellStyle name="Note 2 2 2 2 45 5" xfId="35136"/>
    <cellStyle name="Note 2 2 2 2 45 6" xfId="44137"/>
    <cellStyle name="Note 2 2 2 2 45 7" xfId="47160"/>
    <cellStyle name="Note 2 2 2 2 46" xfId="6258"/>
    <cellStyle name="Note 2 2 2 2 46 2" xfId="13975"/>
    <cellStyle name="Note 2 2 2 2 46 3" xfId="22968"/>
    <cellStyle name="Note 2 2 2 2 46 4" xfId="31155"/>
    <cellStyle name="Note 2 2 2 2 46 5" xfId="34905"/>
    <cellStyle name="Note 2 2 2 2 46 6" xfId="44820"/>
    <cellStyle name="Note 2 2 2 2 46 7" xfId="49346"/>
    <cellStyle name="Note 2 2 2 2 47" xfId="6374"/>
    <cellStyle name="Note 2 2 2 2 47 2" xfId="14091"/>
    <cellStyle name="Note 2 2 2 2 47 3" xfId="23084"/>
    <cellStyle name="Note 2 2 2 2 47 4" xfId="31271"/>
    <cellStyle name="Note 2 2 2 2 47 5" xfId="35849"/>
    <cellStyle name="Note 2 2 2 2 47 6" xfId="44936"/>
    <cellStyle name="Note 2 2 2 2 47 7" xfId="52718"/>
    <cellStyle name="Note 2 2 2 2 48" xfId="6485"/>
    <cellStyle name="Note 2 2 2 2 48 2" xfId="14202"/>
    <cellStyle name="Note 2 2 2 2 48 3" xfId="23195"/>
    <cellStyle name="Note 2 2 2 2 48 4" xfId="31382"/>
    <cellStyle name="Note 2 2 2 2 48 5" xfId="35667"/>
    <cellStyle name="Note 2 2 2 2 48 6" xfId="45047"/>
    <cellStyle name="Note 2 2 2 2 48 7" xfId="47366"/>
    <cellStyle name="Note 2 2 2 2 49" xfId="6562"/>
    <cellStyle name="Note 2 2 2 2 49 2" xfId="14279"/>
    <cellStyle name="Note 2 2 2 2 49 3" xfId="23272"/>
    <cellStyle name="Note 2 2 2 2 49 4" xfId="31459"/>
    <cellStyle name="Note 2 2 2 2 49 5" xfId="35677"/>
    <cellStyle name="Note 2 2 2 2 49 6" xfId="45124"/>
    <cellStyle name="Note 2 2 2 2 49 7" xfId="52626"/>
    <cellStyle name="Note 2 2 2 2 5" xfId="1374"/>
    <cellStyle name="Note 2 2 2 2 5 2" xfId="9197"/>
    <cellStyle name="Note 2 2 2 2 5 3" xfId="16625"/>
    <cellStyle name="Note 2 2 2 2 5 4" xfId="25911"/>
    <cellStyle name="Note 2 2 2 2 5 5" xfId="34511"/>
    <cellStyle name="Note 2 2 2 2 5 6" xfId="39109"/>
    <cellStyle name="Note 2 2 2 2 5 7" xfId="52806"/>
    <cellStyle name="Note 2 2 2 2 50" xfId="6631"/>
    <cellStyle name="Note 2 2 2 2 50 2" xfId="14348"/>
    <cellStyle name="Note 2 2 2 2 50 3" xfId="23341"/>
    <cellStyle name="Note 2 2 2 2 50 4" xfId="31528"/>
    <cellStyle name="Note 2 2 2 2 50 5" xfId="35654"/>
    <cellStyle name="Note 2 2 2 2 50 6" xfId="45193"/>
    <cellStyle name="Note 2 2 2 2 50 7" xfId="51674"/>
    <cellStyle name="Note 2 2 2 2 51" xfId="6743"/>
    <cellStyle name="Note 2 2 2 2 51 2" xfId="14460"/>
    <cellStyle name="Note 2 2 2 2 51 3" xfId="23453"/>
    <cellStyle name="Note 2 2 2 2 51 4" xfId="31640"/>
    <cellStyle name="Note 2 2 2 2 51 5" xfId="26955"/>
    <cellStyle name="Note 2 2 2 2 51 6" xfId="45305"/>
    <cellStyle name="Note 2 2 2 2 51 7" xfId="50660"/>
    <cellStyle name="Note 2 2 2 2 52" xfId="6858"/>
    <cellStyle name="Note 2 2 2 2 52 2" xfId="14575"/>
    <cellStyle name="Note 2 2 2 2 52 3" xfId="23568"/>
    <cellStyle name="Note 2 2 2 2 52 4" xfId="31755"/>
    <cellStyle name="Note 2 2 2 2 52 5" xfId="33386"/>
    <cellStyle name="Note 2 2 2 2 52 6" xfId="45420"/>
    <cellStyle name="Note 2 2 2 2 52 7" xfId="54531"/>
    <cellStyle name="Note 2 2 2 2 53" xfId="6971"/>
    <cellStyle name="Note 2 2 2 2 53 2" xfId="14688"/>
    <cellStyle name="Note 2 2 2 2 53 3" xfId="23681"/>
    <cellStyle name="Note 2 2 2 2 53 4" xfId="31868"/>
    <cellStyle name="Note 2 2 2 2 53 5" xfId="26883"/>
    <cellStyle name="Note 2 2 2 2 53 6" xfId="45533"/>
    <cellStyle name="Note 2 2 2 2 53 7" xfId="47028"/>
    <cellStyle name="Note 2 2 2 2 54" xfId="7082"/>
    <cellStyle name="Note 2 2 2 2 54 2" xfId="14799"/>
    <cellStyle name="Note 2 2 2 2 54 3" xfId="23792"/>
    <cellStyle name="Note 2 2 2 2 54 4" xfId="31979"/>
    <cellStyle name="Note 2 2 2 2 54 5" xfId="35583"/>
    <cellStyle name="Note 2 2 2 2 54 6" xfId="45644"/>
    <cellStyle name="Note 2 2 2 2 54 7" xfId="50883"/>
    <cellStyle name="Note 2 2 2 2 55" xfId="7195"/>
    <cellStyle name="Note 2 2 2 2 55 2" xfId="14912"/>
    <cellStyle name="Note 2 2 2 2 55 3" xfId="23905"/>
    <cellStyle name="Note 2 2 2 2 55 4" xfId="32092"/>
    <cellStyle name="Note 2 2 2 2 55 5" xfId="35670"/>
    <cellStyle name="Note 2 2 2 2 55 6" xfId="45757"/>
    <cellStyle name="Note 2 2 2 2 55 7" xfId="52068"/>
    <cellStyle name="Note 2 2 2 2 56" xfId="7389"/>
    <cellStyle name="Note 2 2 2 2 56 2" xfId="15106"/>
    <cellStyle name="Note 2 2 2 2 56 3" xfId="24099"/>
    <cellStyle name="Note 2 2 2 2 56 4" xfId="32286"/>
    <cellStyle name="Note 2 2 2 2 56 5" xfId="35623"/>
    <cellStyle name="Note 2 2 2 2 56 6" xfId="45951"/>
    <cellStyle name="Note 2 2 2 2 56 7" xfId="48256"/>
    <cellStyle name="Note 2 2 2 2 57" xfId="7479"/>
    <cellStyle name="Note 2 2 2 2 57 2" xfId="15196"/>
    <cellStyle name="Note 2 2 2 2 57 3" xfId="24189"/>
    <cellStyle name="Note 2 2 2 2 57 4" xfId="32376"/>
    <cellStyle name="Note 2 2 2 2 57 5" xfId="35924"/>
    <cellStyle name="Note 2 2 2 2 57 6" xfId="46041"/>
    <cellStyle name="Note 2 2 2 2 57 7" xfId="52587"/>
    <cellStyle name="Note 2 2 2 2 58" xfId="7600"/>
    <cellStyle name="Note 2 2 2 2 58 2" xfId="15317"/>
    <cellStyle name="Note 2 2 2 2 58 3" xfId="24310"/>
    <cellStyle name="Note 2 2 2 2 58 4" xfId="32497"/>
    <cellStyle name="Note 2 2 2 2 58 5" xfId="27771"/>
    <cellStyle name="Note 2 2 2 2 58 6" xfId="46162"/>
    <cellStyle name="Note 2 2 2 2 58 7" xfId="49748"/>
    <cellStyle name="Note 2 2 2 2 59" xfId="7876"/>
    <cellStyle name="Note 2 2 2 2 59 2" xfId="15593"/>
    <cellStyle name="Note 2 2 2 2 59 3" xfId="24580"/>
    <cellStyle name="Note 2 2 2 2 59 4" xfId="32773"/>
    <cellStyle name="Note 2 2 2 2 59 5" xfId="35532"/>
    <cellStyle name="Note 2 2 2 2 59 6" xfId="46438"/>
    <cellStyle name="Note 2 2 2 2 59 7" xfId="52569"/>
    <cellStyle name="Note 2 2 2 2 6" xfId="1497"/>
    <cellStyle name="Note 2 2 2 2 6 2" xfId="9320"/>
    <cellStyle name="Note 2 2 2 2 6 3" xfId="16748"/>
    <cellStyle name="Note 2 2 2 2 6 4" xfId="25896"/>
    <cellStyle name="Note 2 2 2 2 6 5" xfId="34491"/>
    <cellStyle name="Note 2 2 2 2 6 6" xfId="41637"/>
    <cellStyle name="Note 2 2 2 2 6 7" xfId="52775"/>
    <cellStyle name="Note 2 2 2 2 60" xfId="7938"/>
    <cellStyle name="Note 2 2 2 2 60 2" xfId="15655"/>
    <cellStyle name="Note 2 2 2 2 60 3" xfId="24641"/>
    <cellStyle name="Note 2 2 2 2 60 4" xfId="32835"/>
    <cellStyle name="Note 2 2 2 2 60 5" xfId="34621"/>
    <cellStyle name="Note 2 2 2 2 60 6" xfId="46500"/>
    <cellStyle name="Note 2 2 2 2 60 7" xfId="47989"/>
    <cellStyle name="Note 2 2 2 2 61" xfId="7951"/>
    <cellStyle name="Note 2 2 2 2 61 2" xfId="15668"/>
    <cellStyle name="Note 2 2 2 2 61 3" xfId="24654"/>
    <cellStyle name="Note 2 2 2 2 61 4" xfId="32848"/>
    <cellStyle name="Note 2 2 2 2 61 5" xfId="35684"/>
    <cellStyle name="Note 2 2 2 2 61 6" xfId="46513"/>
    <cellStyle name="Note 2 2 2 2 61 7" xfId="51599"/>
    <cellStyle name="Note 2 2 2 2 62" xfId="8073"/>
    <cellStyle name="Note 2 2 2 2 62 2" xfId="15790"/>
    <cellStyle name="Note 2 2 2 2 62 3" xfId="24775"/>
    <cellStyle name="Note 2 2 2 2 62 4" xfId="32970"/>
    <cellStyle name="Note 2 2 2 2 62 5" xfId="26964"/>
    <cellStyle name="Note 2 2 2 2 62 6" xfId="46635"/>
    <cellStyle name="Note 2 2 2 2 62 7" xfId="49387"/>
    <cellStyle name="Note 2 2 2 2 63" xfId="8152"/>
    <cellStyle name="Note 2 2 2 2 63 2" xfId="15869"/>
    <cellStyle name="Note 2 2 2 2 63 3" xfId="33049"/>
    <cellStyle name="Note 2 2 2 2 63 4" xfId="33523"/>
    <cellStyle name="Note 2 2 2 2 63 5" xfId="46714"/>
    <cellStyle name="Note 2 2 2 2 63 6" xfId="48639"/>
    <cellStyle name="Note 2 2 2 2 64" xfId="20370"/>
    <cellStyle name="Note 2 2 2 2 65" xfId="28556"/>
    <cellStyle name="Note 2 2 2 2 66" xfId="36708"/>
    <cellStyle name="Note 2 2 2 2 67" xfId="49358"/>
    <cellStyle name="Note 2 2 2 2 7" xfId="1624"/>
    <cellStyle name="Note 2 2 2 2 7 2" xfId="9447"/>
    <cellStyle name="Note 2 2 2 2 7 3" xfId="16875"/>
    <cellStyle name="Note 2 2 2 2 7 4" xfId="25458"/>
    <cellStyle name="Note 2 2 2 2 7 5" xfId="33923"/>
    <cellStyle name="Note 2 2 2 2 7 6" xfId="37762"/>
    <cellStyle name="Note 2 2 2 2 7 7" xfId="51776"/>
    <cellStyle name="Note 2 2 2 2 8" xfId="1734"/>
    <cellStyle name="Note 2 2 2 2 8 2" xfId="9557"/>
    <cellStyle name="Note 2 2 2 2 8 3" xfId="16985"/>
    <cellStyle name="Note 2 2 2 2 8 4" xfId="24991"/>
    <cellStyle name="Note 2 2 2 2 8 5" xfId="33337"/>
    <cellStyle name="Note 2 2 2 2 8 6" xfId="41248"/>
    <cellStyle name="Note 2 2 2 2 8 7" xfId="50773"/>
    <cellStyle name="Note 2 2 2 2 9" xfId="1868"/>
    <cellStyle name="Note 2 2 2 2 9 2" xfId="9691"/>
    <cellStyle name="Note 2 2 2 2 9 3" xfId="17119"/>
    <cellStyle name="Note 2 2 2 2 9 4" xfId="25245"/>
    <cellStyle name="Note 2 2 2 2 9 5" xfId="33649"/>
    <cellStyle name="Note 2 2 2 2 9 6" xfId="40543"/>
    <cellStyle name="Note 2 2 2 2 9 7" xfId="51312"/>
    <cellStyle name="Note 2 2 2 20" xfId="1638"/>
    <cellStyle name="Note 2 2 2 20 2" xfId="9461"/>
    <cellStyle name="Note 2 2 2 20 3" xfId="16889"/>
    <cellStyle name="Note 2 2 2 20 4" xfId="26209"/>
    <cellStyle name="Note 2 2 2 20 5" xfId="34891"/>
    <cellStyle name="Note 2 2 2 20 6" xfId="42103"/>
    <cellStyle name="Note 2 2 2 20 7" xfId="53441"/>
    <cellStyle name="Note 2 2 2 21" xfId="1310"/>
    <cellStyle name="Note 2 2 2 21 2" xfId="9133"/>
    <cellStyle name="Note 2 2 2 21 3" xfId="16561"/>
    <cellStyle name="Note 2 2 2 21 4" xfId="26093"/>
    <cellStyle name="Note 2 2 2 21 5" xfId="34743"/>
    <cellStyle name="Note 2 2 2 21 6" xfId="37484"/>
    <cellStyle name="Note 2 2 2 21 7" xfId="53193"/>
    <cellStyle name="Note 2 2 2 22" xfId="2531"/>
    <cellStyle name="Note 2 2 2 22 2" xfId="10354"/>
    <cellStyle name="Note 2 2 2 22 3" xfId="17782"/>
    <cellStyle name="Note 2 2 2 22 4" xfId="19555"/>
    <cellStyle name="Note 2 2 2 22 5" xfId="27311"/>
    <cellStyle name="Note 2 2 2 22 6" xfId="42147"/>
    <cellStyle name="Note 2 2 2 22 7" xfId="47682"/>
    <cellStyle name="Note 2 2 2 23" xfId="1481"/>
    <cellStyle name="Note 2 2 2 23 2" xfId="9304"/>
    <cellStyle name="Note 2 2 2 23 3" xfId="16732"/>
    <cellStyle name="Note 2 2 2 23 4" xfId="19826"/>
    <cellStyle name="Note 2 2 2 23 5" xfId="28775"/>
    <cellStyle name="Note 2 2 2 23 6" xfId="39593"/>
    <cellStyle name="Note 2 2 2 23 7" xfId="48160"/>
    <cellStyle name="Note 2 2 2 24" xfId="2708"/>
    <cellStyle name="Note 2 2 2 24 2" xfId="10531"/>
    <cellStyle name="Note 2 2 2 24 3" xfId="17959"/>
    <cellStyle name="Note 2 2 2 24 4" xfId="25649"/>
    <cellStyle name="Note 2 2 2 24 5" xfId="34171"/>
    <cellStyle name="Note 2 2 2 24 6" xfId="38779"/>
    <cellStyle name="Note 2 2 2 24 7" xfId="52198"/>
    <cellStyle name="Note 2 2 2 25" xfId="1661"/>
    <cellStyle name="Note 2 2 2 25 2" xfId="9484"/>
    <cellStyle name="Note 2 2 2 25 3" xfId="16912"/>
    <cellStyle name="Note 2 2 2 25 4" xfId="25086"/>
    <cellStyle name="Note 2 2 2 25 5" xfId="33447"/>
    <cellStyle name="Note 2 2 2 25 6" xfId="39859"/>
    <cellStyle name="Note 2 2 2 25 7" xfId="50975"/>
    <cellStyle name="Note 2 2 2 26" xfId="3115"/>
    <cellStyle name="Note 2 2 2 26 2" xfId="10920"/>
    <cellStyle name="Note 2 2 2 26 3" xfId="18301"/>
    <cellStyle name="Note 2 2 2 26 4" xfId="20081"/>
    <cellStyle name="Note 2 2 2 26 5" xfId="26817"/>
    <cellStyle name="Note 2 2 2 26 6" xfId="36376"/>
    <cellStyle name="Note 2 2 2 26 7" xfId="49042"/>
    <cellStyle name="Note 2 2 2 27" xfId="3064"/>
    <cellStyle name="Note 2 2 2 27 2" xfId="10873"/>
    <cellStyle name="Note 2 2 2 27 3" xfId="18268"/>
    <cellStyle name="Note 2 2 2 27 4" xfId="26606"/>
    <cellStyle name="Note 2 2 2 27 5" xfId="35433"/>
    <cellStyle name="Note 2 2 2 27 6" xfId="40544"/>
    <cellStyle name="Note 2 2 2 27 7" xfId="54297"/>
    <cellStyle name="Note 2 2 2 28" xfId="3077"/>
    <cellStyle name="Note 2 2 2 28 2" xfId="10885"/>
    <cellStyle name="Note 2 2 2 28 3" xfId="18278"/>
    <cellStyle name="Note 2 2 2 28 4" xfId="25985"/>
    <cellStyle name="Note 2 2 2 28 5" xfId="34606"/>
    <cellStyle name="Note 2 2 2 28 6" xfId="39024"/>
    <cellStyle name="Note 2 2 2 28 7" xfId="52966"/>
    <cellStyle name="Note 2 2 2 29" xfId="3076"/>
    <cellStyle name="Note 2 2 2 29 2" xfId="10884"/>
    <cellStyle name="Note 2 2 2 29 3" xfId="18277"/>
    <cellStyle name="Note 2 2 2 29 4" xfId="19568"/>
    <cellStyle name="Note 2 2 2 29 5" xfId="27251"/>
    <cellStyle name="Note 2 2 2 29 6" xfId="39127"/>
    <cellStyle name="Note 2 2 2 29 7" xfId="48070"/>
    <cellStyle name="Note 2 2 2 3" xfId="504"/>
    <cellStyle name="Note 2 2 2 3 10" xfId="1951"/>
    <cellStyle name="Note 2 2 2 3 10 2" xfId="9774"/>
    <cellStyle name="Note 2 2 2 3 10 3" xfId="17202"/>
    <cellStyle name="Note 2 2 2 3 10 4" xfId="25341"/>
    <cellStyle name="Note 2 2 2 3 10 5" xfId="33773"/>
    <cellStyle name="Note 2 2 2 3 10 6" xfId="40414"/>
    <cellStyle name="Note 2 2 2 3 10 7" xfId="51511"/>
    <cellStyle name="Note 2 2 2 3 11" xfId="2069"/>
    <cellStyle name="Note 2 2 2 3 11 2" xfId="9892"/>
    <cellStyle name="Note 2 2 2 3 11 3" xfId="17320"/>
    <cellStyle name="Note 2 2 2 3 11 4" xfId="25568"/>
    <cellStyle name="Note 2 2 2 3 11 5" xfId="34066"/>
    <cellStyle name="Note 2 2 2 3 11 6" xfId="39560"/>
    <cellStyle name="Note 2 2 2 3 11 7" xfId="52014"/>
    <cellStyle name="Note 2 2 2 3 12" xfId="2182"/>
    <cellStyle name="Note 2 2 2 3 12 2" xfId="10005"/>
    <cellStyle name="Note 2 2 2 3 12 3" xfId="17433"/>
    <cellStyle name="Note 2 2 2 3 12 4" xfId="26331"/>
    <cellStyle name="Note 2 2 2 3 12 5" xfId="35055"/>
    <cellStyle name="Note 2 2 2 3 12 6" xfId="39019"/>
    <cellStyle name="Note 2 2 2 3 12 7" xfId="53699"/>
    <cellStyle name="Note 2 2 2 3 13" xfId="2273"/>
    <cellStyle name="Note 2 2 2 3 13 2" xfId="10096"/>
    <cellStyle name="Note 2 2 2 3 13 3" xfId="17524"/>
    <cellStyle name="Note 2 2 2 3 13 4" xfId="25922"/>
    <cellStyle name="Note 2 2 2 3 13 5" xfId="34524"/>
    <cellStyle name="Note 2 2 2 3 13 6" xfId="37547"/>
    <cellStyle name="Note 2 2 2 3 13 7" xfId="52829"/>
    <cellStyle name="Note 2 2 2 3 14" xfId="2367"/>
    <cellStyle name="Note 2 2 2 3 14 2" xfId="10190"/>
    <cellStyle name="Note 2 2 2 3 14 3" xfId="17618"/>
    <cellStyle name="Note 2 2 2 3 14 4" xfId="19600"/>
    <cellStyle name="Note 2 2 2 3 14 5" xfId="26809"/>
    <cellStyle name="Note 2 2 2 3 14 6" xfId="37234"/>
    <cellStyle name="Note 2 2 2 3 14 7" xfId="49704"/>
    <cellStyle name="Note 2 2 2 3 15" xfId="2480"/>
    <cellStyle name="Note 2 2 2 3 15 2" xfId="10303"/>
    <cellStyle name="Note 2 2 2 3 15 3" xfId="17731"/>
    <cellStyle name="Note 2 2 2 3 15 4" xfId="26021"/>
    <cellStyle name="Note 2 2 2 3 15 5" xfId="34650"/>
    <cellStyle name="Note 2 2 2 3 15 6" xfId="38537"/>
    <cellStyle name="Note 2 2 2 3 15 7" xfId="53038"/>
    <cellStyle name="Note 2 2 2 3 16" xfId="2593"/>
    <cellStyle name="Note 2 2 2 3 16 2" xfId="10416"/>
    <cellStyle name="Note 2 2 2 3 16 3" xfId="17844"/>
    <cellStyle name="Note 2 2 2 3 16 4" xfId="20150"/>
    <cellStyle name="Note 2 2 2 3 16 5" xfId="33139"/>
    <cellStyle name="Note 2 2 2 3 16 6" xfId="40510"/>
    <cellStyle name="Note 2 2 2 3 16 7" xfId="50406"/>
    <cellStyle name="Note 2 2 2 3 17" xfId="2688"/>
    <cellStyle name="Note 2 2 2 3 17 2" xfId="10511"/>
    <cellStyle name="Note 2 2 2 3 17 3" xfId="17939"/>
    <cellStyle name="Note 2 2 2 3 17 4" xfId="19639"/>
    <cellStyle name="Note 2 2 2 3 17 5" xfId="27077"/>
    <cellStyle name="Note 2 2 2 3 17 6" xfId="40868"/>
    <cellStyle name="Note 2 2 2 3 17 7" xfId="48166"/>
    <cellStyle name="Note 2 2 2 3 18" xfId="2739"/>
    <cellStyle name="Note 2 2 2 3 18 2" xfId="10562"/>
    <cellStyle name="Note 2 2 2 3 18 3" xfId="17990"/>
    <cellStyle name="Note 2 2 2 3 18 4" xfId="20628"/>
    <cellStyle name="Note 2 2 2 3 18 5" xfId="27822"/>
    <cellStyle name="Note 2 2 2 3 18 6" xfId="37647"/>
    <cellStyle name="Note 2 2 2 3 18 7" xfId="48917"/>
    <cellStyle name="Note 2 2 2 3 19" xfId="2787"/>
    <cellStyle name="Note 2 2 2 3 19 2" xfId="10610"/>
    <cellStyle name="Note 2 2 2 3 19 3" xfId="18038"/>
    <cellStyle name="Note 2 2 2 3 19 4" xfId="25885"/>
    <cellStyle name="Note 2 2 2 3 19 5" xfId="34480"/>
    <cellStyle name="Note 2 2 2 3 19 6" xfId="37695"/>
    <cellStyle name="Note 2 2 2 3 19 7" xfId="52755"/>
    <cellStyle name="Note 2 2 2 3 2" xfId="655"/>
    <cellStyle name="Note 2 2 2 3 2 2" xfId="8479"/>
    <cellStyle name="Note 2 2 2 3 2 3" xfId="8279"/>
    <cellStyle name="Note 2 2 2 3 2 4" xfId="25642"/>
    <cellStyle name="Note 2 2 2 3 2 5" xfId="34162"/>
    <cellStyle name="Note 2 2 2 3 2 6" xfId="37241"/>
    <cellStyle name="Note 2 2 2 3 2 7" xfId="52189"/>
    <cellStyle name="Note 2 2 2 3 20" xfId="2894"/>
    <cellStyle name="Note 2 2 2 3 20 2" xfId="10717"/>
    <cellStyle name="Note 2 2 2 3 20 3" xfId="18145"/>
    <cellStyle name="Note 2 2 2 3 20 4" xfId="19204"/>
    <cellStyle name="Note 2 2 2 3 20 5" xfId="26843"/>
    <cellStyle name="Note 2 2 2 3 20 6" xfId="37839"/>
    <cellStyle name="Note 2 2 2 3 20 7" xfId="49218"/>
    <cellStyle name="Note 2 2 2 3 21" xfId="3270"/>
    <cellStyle name="Note 2 2 2 3 21 2" xfId="11063"/>
    <cellStyle name="Note 2 2 2 3 21 3" xfId="18392"/>
    <cellStyle name="Note 2 2 2 3 21 4" xfId="19325"/>
    <cellStyle name="Note 2 2 2 3 21 5" xfId="28614"/>
    <cellStyle name="Note 2 2 2 3 21 6" xfId="37978"/>
    <cellStyle name="Note 2 2 2 3 21 7" xfId="48676"/>
    <cellStyle name="Note 2 2 2 3 22" xfId="3390"/>
    <cellStyle name="Note 2 2 2 3 22 2" xfId="11181"/>
    <cellStyle name="Note 2 2 2 3 22 3" xfId="18503"/>
    <cellStyle name="Note 2 2 2 3 22 4" xfId="25122"/>
    <cellStyle name="Note 2 2 2 3 22 5" xfId="33495"/>
    <cellStyle name="Note 2 2 2 3 22 6" xfId="38061"/>
    <cellStyle name="Note 2 2 2 3 22 7" xfId="51060"/>
    <cellStyle name="Note 2 2 2 3 23" xfId="3523"/>
    <cellStyle name="Note 2 2 2 3 23 2" xfId="11314"/>
    <cellStyle name="Note 2 2 2 3 23 3" xfId="18611"/>
    <cellStyle name="Note 2 2 2 3 23 4" xfId="25820"/>
    <cellStyle name="Note 2 2 2 3 23 5" xfId="34401"/>
    <cellStyle name="Note 2 2 2 3 23 6" xfId="36798"/>
    <cellStyle name="Note 2 2 2 3 23 7" xfId="52605"/>
    <cellStyle name="Note 2 2 2 3 24" xfId="3133"/>
    <cellStyle name="Note 2 2 2 3 24 2" xfId="10938"/>
    <cellStyle name="Note 2 2 2 3 24 3" xfId="18316"/>
    <cellStyle name="Note 2 2 2 3 24 4" xfId="24925"/>
    <cellStyle name="Note 2 2 2 3 24 5" xfId="33255"/>
    <cellStyle name="Note 2 2 2 3 24 6" xfId="41965"/>
    <cellStyle name="Note 2 2 2 3 24 7" xfId="50624"/>
    <cellStyle name="Note 2 2 2 3 25" xfId="3660"/>
    <cellStyle name="Note 2 2 2 3 25 2" xfId="11445"/>
    <cellStyle name="Note 2 2 2 3 25 3" xfId="18718"/>
    <cellStyle name="Note 2 2 2 3 25 4" xfId="26165"/>
    <cellStyle name="Note 2 2 2 3 25 5" xfId="34835"/>
    <cellStyle name="Note 2 2 2 3 25 6" xfId="39420"/>
    <cellStyle name="Note 2 2 2 3 25 7" xfId="53351"/>
    <cellStyle name="Note 2 2 2 3 26" xfId="3791"/>
    <cellStyle name="Note 2 2 2 3 26 2" xfId="11573"/>
    <cellStyle name="Note 2 2 2 3 26 3" xfId="18830"/>
    <cellStyle name="Note 2 2 2 3 26 4" xfId="20577"/>
    <cellStyle name="Note 2 2 2 3 26 5" xfId="27359"/>
    <cellStyle name="Note 2 2 2 3 26 6" xfId="40381"/>
    <cellStyle name="Note 2 2 2 3 26 7" xfId="48326"/>
    <cellStyle name="Note 2 2 2 3 27" xfId="3908"/>
    <cellStyle name="Note 2 2 2 3 27 2" xfId="11688"/>
    <cellStyle name="Note 2 2 2 3 27 3" xfId="18939"/>
    <cellStyle name="Note 2 2 2 3 27 4" xfId="24912"/>
    <cellStyle name="Note 2 2 2 3 27 5" xfId="33235"/>
    <cellStyle name="Note 2 2 2 3 27 6" xfId="36455"/>
    <cellStyle name="Note 2 2 2 3 27 7" xfId="50593"/>
    <cellStyle name="Note 2 2 2 3 28" xfId="4000"/>
    <cellStyle name="Note 2 2 2 3 28 2" xfId="11779"/>
    <cellStyle name="Note 2 2 2 3 28 3" xfId="20710"/>
    <cellStyle name="Note 2 2 2 3 28 4" xfId="28897"/>
    <cellStyle name="Note 2 2 2 3 28 5" xfId="35234"/>
    <cellStyle name="Note 2 2 2 3 28 6" xfId="42562"/>
    <cellStyle name="Note 2 2 2 3 28 7" xfId="49925"/>
    <cellStyle name="Note 2 2 2 3 29" xfId="4105"/>
    <cellStyle name="Note 2 2 2 3 29 2" xfId="11865"/>
    <cellStyle name="Note 2 2 2 3 29 3" xfId="20815"/>
    <cellStyle name="Note 2 2 2 3 29 4" xfId="29002"/>
    <cellStyle name="Note 2 2 2 3 29 5" xfId="36153"/>
    <cellStyle name="Note 2 2 2 3 29 6" xfId="42667"/>
    <cellStyle name="Note 2 2 2 3 29 7" xfId="54158"/>
    <cellStyle name="Note 2 2 2 3 3" xfId="762"/>
    <cellStyle name="Note 2 2 2 3 3 2" xfId="8586"/>
    <cellStyle name="Note 2 2 2 3 3 3" xfId="16014"/>
    <cellStyle name="Note 2 2 2 3 3 4" xfId="26230"/>
    <cellStyle name="Note 2 2 2 3 3 5" xfId="34917"/>
    <cellStyle name="Note 2 2 2 3 3 6" xfId="37232"/>
    <cellStyle name="Note 2 2 2 3 3 7" xfId="53482"/>
    <cellStyle name="Note 2 2 2 3 30" xfId="4072"/>
    <cellStyle name="Note 2 2 2 3 30 2" xfId="20782"/>
    <cellStyle name="Note 2 2 2 3 30 3" xfId="28969"/>
    <cellStyle name="Note 2 2 2 3 30 4" xfId="26815"/>
    <cellStyle name="Note 2 2 2 3 30 5" xfId="42634"/>
    <cellStyle name="Note 2 2 2 3 30 6" xfId="50065"/>
    <cellStyle name="Note 2 2 2 3 31" xfId="4302"/>
    <cellStyle name="Note 2 2 2 3 31 2" xfId="12019"/>
    <cellStyle name="Note 2 2 2 3 31 3" xfId="21012"/>
    <cellStyle name="Note 2 2 2 3 31 4" xfId="29199"/>
    <cellStyle name="Note 2 2 2 3 31 5" xfId="33231"/>
    <cellStyle name="Note 2 2 2 3 31 6" xfId="42864"/>
    <cellStyle name="Note 2 2 2 3 31 7" xfId="48870"/>
    <cellStyle name="Note 2 2 2 3 32" xfId="4425"/>
    <cellStyle name="Note 2 2 2 3 32 2" xfId="12142"/>
    <cellStyle name="Note 2 2 2 3 32 3" xfId="21135"/>
    <cellStyle name="Note 2 2 2 3 32 4" xfId="29322"/>
    <cellStyle name="Note 2 2 2 3 32 5" xfId="35894"/>
    <cellStyle name="Note 2 2 2 3 32 6" xfId="42987"/>
    <cellStyle name="Note 2 2 2 3 32 7" xfId="52928"/>
    <cellStyle name="Note 2 2 2 3 33" xfId="4539"/>
    <cellStyle name="Note 2 2 2 3 33 2" xfId="12256"/>
    <cellStyle name="Note 2 2 2 3 33 3" xfId="21249"/>
    <cellStyle name="Note 2 2 2 3 33 4" xfId="29436"/>
    <cellStyle name="Note 2 2 2 3 33 5" xfId="26820"/>
    <cellStyle name="Note 2 2 2 3 33 6" xfId="43101"/>
    <cellStyle name="Note 2 2 2 3 33 7" xfId="46961"/>
    <cellStyle name="Note 2 2 2 3 34" xfId="4652"/>
    <cellStyle name="Note 2 2 2 3 34 2" xfId="12369"/>
    <cellStyle name="Note 2 2 2 3 34 3" xfId="21362"/>
    <cellStyle name="Note 2 2 2 3 34 4" xfId="29549"/>
    <cellStyle name="Note 2 2 2 3 34 5" xfId="28553"/>
    <cellStyle name="Note 2 2 2 3 34 6" xfId="43214"/>
    <cellStyle name="Note 2 2 2 3 34 7" xfId="47586"/>
    <cellStyle name="Note 2 2 2 3 35" xfId="4764"/>
    <cellStyle name="Note 2 2 2 3 35 2" xfId="12481"/>
    <cellStyle name="Note 2 2 2 3 35 3" xfId="21474"/>
    <cellStyle name="Note 2 2 2 3 35 4" xfId="29661"/>
    <cellStyle name="Note 2 2 2 3 35 5" xfId="34144"/>
    <cellStyle name="Note 2 2 2 3 35 6" xfId="43326"/>
    <cellStyle name="Note 2 2 2 3 35 7" xfId="49791"/>
    <cellStyle name="Note 2 2 2 3 36" xfId="4872"/>
    <cellStyle name="Note 2 2 2 3 36 2" xfId="12589"/>
    <cellStyle name="Note 2 2 2 3 36 3" xfId="21582"/>
    <cellStyle name="Note 2 2 2 3 36 4" xfId="29769"/>
    <cellStyle name="Note 2 2 2 3 36 5" xfId="35704"/>
    <cellStyle name="Note 2 2 2 3 36 6" xfId="43434"/>
    <cellStyle name="Note 2 2 2 3 36 7" xfId="51985"/>
    <cellStyle name="Note 2 2 2 3 37" xfId="4984"/>
    <cellStyle name="Note 2 2 2 3 37 2" xfId="12701"/>
    <cellStyle name="Note 2 2 2 3 37 3" xfId="21694"/>
    <cellStyle name="Note 2 2 2 3 37 4" xfId="29881"/>
    <cellStyle name="Note 2 2 2 3 37 5" xfId="33543"/>
    <cellStyle name="Note 2 2 2 3 37 6" xfId="43546"/>
    <cellStyle name="Note 2 2 2 3 37 7" xfId="48341"/>
    <cellStyle name="Note 2 2 2 3 38" xfId="5129"/>
    <cellStyle name="Note 2 2 2 3 38 2" xfId="12846"/>
    <cellStyle name="Note 2 2 2 3 38 3" xfId="21839"/>
    <cellStyle name="Note 2 2 2 3 38 4" xfId="30026"/>
    <cellStyle name="Note 2 2 2 3 38 5" xfId="35622"/>
    <cellStyle name="Note 2 2 2 3 38 6" xfId="43691"/>
    <cellStyle name="Note 2 2 2 3 38 7" xfId="51592"/>
    <cellStyle name="Note 2 2 2 3 39" xfId="5482"/>
    <cellStyle name="Note 2 2 2 3 39 2" xfId="13199"/>
    <cellStyle name="Note 2 2 2 3 39 3" xfId="22192"/>
    <cellStyle name="Note 2 2 2 3 39 4" xfId="30379"/>
    <cellStyle name="Note 2 2 2 3 39 5" xfId="27013"/>
    <cellStyle name="Note 2 2 2 3 39 6" xfId="44044"/>
    <cellStyle name="Note 2 2 2 3 39 7" xfId="50508"/>
    <cellStyle name="Note 2 2 2 3 4" xfId="874"/>
    <cellStyle name="Note 2 2 2 3 4 2" xfId="8698"/>
    <cellStyle name="Note 2 2 2 3 4 3" xfId="16126"/>
    <cellStyle name="Note 2 2 2 3 4 4" xfId="25421"/>
    <cellStyle name="Note 2 2 2 3 4 5" xfId="33877"/>
    <cellStyle name="Note 2 2 2 3 4 6" xfId="37216"/>
    <cellStyle name="Note 2 2 2 3 4 7" xfId="51691"/>
    <cellStyle name="Note 2 2 2 3 40" xfId="5607"/>
    <cellStyle name="Note 2 2 2 3 40 2" xfId="13324"/>
    <cellStyle name="Note 2 2 2 3 40 3" xfId="22317"/>
    <cellStyle name="Note 2 2 2 3 40 4" xfId="30504"/>
    <cellStyle name="Note 2 2 2 3 40 5" xfId="27567"/>
    <cellStyle name="Note 2 2 2 3 40 6" xfId="44169"/>
    <cellStyle name="Note 2 2 2 3 40 7" xfId="47135"/>
    <cellStyle name="Note 2 2 2 3 41" xfId="5722"/>
    <cellStyle name="Note 2 2 2 3 41 2" xfId="13439"/>
    <cellStyle name="Note 2 2 2 3 41 3" xfId="22432"/>
    <cellStyle name="Note 2 2 2 3 41 4" xfId="30619"/>
    <cellStyle name="Note 2 2 2 3 41 5" xfId="28470"/>
    <cellStyle name="Note 2 2 2 3 41 6" xfId="44284"/>
    <cellStyle name="Note 2 2 2 3 41 7" xfId="47851"/>
    <cellStyle name="Note 2 2 2 3 42" xfId="5839"/>
    <cellStyle name="Note 2 2 2 3 42 2" xfId="13556"/>
    <cellStyle name="Note 2 2 2 3 42 3" xfId="22549"/>
    <cellStyle name="Note 2 2 2 3 42 4" xfId="30736"/>
    <cellStyle name="Note 2 2 2 3 42 5" xfId="34322"/>
    <cellStyle name="Note 2 2 2 3 42 6" xfId="44401"/>
    <cellStyle name="Note 2 2 2 3 42 7" xfId="49179"/>
    <cellStyle name="Note 2 2 2 3 43" xfId="5967"/>
    <cellStyle name="Note 2 2 2 3 43 2" xfId="13684"/>
    <cellStyle name="Note 2 2 2 3 43 3" xfId="22677"/>
    <cellStyle name="Note 2 2 2 3 43 4" xfId="30864"/>
    <cellStyle name="Note 2 2 2 3 43 5" xfId="34145"/>
    <cellStyle name="Note 2 2 2 3 43 6" xfId="44529"/>
    <cellStyle name="Note 2 2 2 3 43 7" xfId="50079"/>
    <cellStyle name="Note 2 2 2 3 44" xfId="6078"/>
    <cellStyle name="Note 2 2 2 3 44 2" xfId="13795"/>
    <cellStyle name="Note 2 2 2 3 44 3" xfId="22788"/>
    <cellStyle name="Note 2 2 2 3 44 4" xfId="30975"/>
    <cellStyle name="Note 2 2 2 3 44 5" xfId="36112"/>
    <cellStyle name="Note 2 2 2 3 44 6" xfId="44640"/>
    <cellStyle name="Note 2 2 2 3 44 7" xfId="53566"/>
    <cellStyle name="Note 2 2 2 3 45" xfId="5572"/>
    <cellStyle name="Note 2 2 2 3 45 2" xfId="13289"/>
    <cellStyle name="Note 2 2 2 3 45 3" xfId="22282"/>
    <cellStyle name="Note 2 2 2 3 45 4" xfId="30469"/>
    <cellStyle name="Note 2 2 2 3 45 5" xfId="27414"/>
    <cellStyle name="Note 2 2 2 3 45 6" xfId="44134"/>
    <cellStyle name="Note 2 2 2 3 45 7" xfId="47162"/>
    <cellStyle name="Note 2 2 2 3 46" xfId="6223"/>
    <cellStyle name="Note 2 2 2 3 46 2" xfId="13940"/>
    <cellStyle name="Note 2 2 2 3 46 3" xfId="22933"/>
    <cellStyle name="Note 2 2 2 3 46 4" xfId="31120"/>
    <cellStyle name="Note 2 2 2 3 46 5" xfId="35984"/>
    <cellStyle name="Note 2 2 2 3 46 6" xfId="44785"/>
    <cellStyle name="Note 2 2 2 3 46 7" xfId="53138"/>
    <cellStyle name="Note 2 2 2 3 47" xfId="6340"/>
    <cellStyle name="Note 2 2 2 3 47 2" xfId="14057"/>
    <cellStyle name="Note 2 2 2 3 47 3" xfId="23050"/>
    <cellStyle name="Note 2 2 2 3 47 4" xfId="31237"/>
    <cellStyle name="Note 2 2 2 3 47 5" xfId="35120"/>
    <cellStyle name="Note 2 2 2 3 47 6" xfId="44902"/>
    <cellStyle name="Note 2 2 2 3 47 7" xfId="49580"/>
    <cellStyle name="Note 2 2 2 3 48" xfId="6450"/>
    <cellStyle name="Note 2 2 2 3 48 2" xfId="14167"/>
    <cellStyle name="Note 2 2 2 3 48 3" xfId="23160"/>
    <cellStyle name="Note 2 2 2 3 48 4" xfId="31347"/>
    <cellStyle name="Note 2 2 2 3 48 5" xfId="34061"/>
    <cellStyle name="Note 2 2 2 3 48 6" xfId="45012"/>
    <cellStyle name="Note 2 2 2 3 48 7" xfId="50966"/>
    <cellStyle name="Note 2 2 2 3 49" xfId="6539"/>
    <cellStyle name="Note 2 2 2 3 49 2" xfId="14256"/>
    <cellStyle name="Note 2 2 2 3 49 3" xfId="23249"/>
    <cellStyle name="Note 2 2 2 3 49 4" xfId="31436"/>
    <cellStyle name="Note 2 2 2 3 49 5" xfId="33856"/>
    <cellStyle name="Note 2 2 2 3 49 6" xfId="45101"/>
    <cellStyle name="Note 2 2 2 3 49 7" xfId="49642"/>
    <cellStyle name="Note 2 2 2 3 5" xfId="1339"/>
    <cellStyle name="Note 2 2 2 3 5 2" xfId="9162"/>
    <cellStyle name="Note 2 2 2 3 5 3" xfId="16590"/>
    <cellStyle name="Note 2 2 2 3 5 4" xfId="19783"/>
    <cellStyle name="Note 2 2 2 3 5 5" xfId="28270"/>
    <cellStyle name="Note 2 2 2 3 5 6" xfId="41410"/>
    <cellStyle name="Note 2 2 2 3 5 7" xfId="50066"/>
    <cellStyle name="Note 2 2 2 3 50" xfId="6597"/>
    <cellStyle name="Note 2 2 2 3 50 2" xfId="14314"/>
    <cellStyle name="Note 2 2 2 3 50 3" xfId="23307"/>
    <cellStyle name="Note 2 2 2 3 50 4" xfId="31494"/>
    <cellStyle name="Note 2 2 2 3 50 5" xfId="35608"/>
    <cellStyle name="Note 2 2 2 3 50 6" xfId="45159"/>
    <cellStyle name="Note 2 2 2 3 50 7" xfId="51221"/>
    <cellStyle name="Note 2 2 2 3 51" xfId="6708"/>
    <cellStyle name="Note 2 2 2 3 51 2" xfId="14425"/>
    <cellStyle name="Note 2 2 2 3 51 3" xfId="23418"/>
    <cellStyle name="Note 2 2 2 3 51 4" xfId="31605"/>
    <cellStyle name="Note 2 2 2 3 51 5" xfId="33729"/>
    <cellStyle name="Note 2 2 2 3 51 6" xfId="45270"/>
    <cellStyle name="Note 2 2 2 3 51 7" xfId="48153"/>
    <cellStyle name="Note 2 2 2 3 52" xfId="6823"/>
    <cellStyle name="Note 2 2 2 3 52 2" xfId="14540"/>
    <cellStyle name="Note 2 2 2 3 52 3" xfId="23533"/>
    <cellStyle name="Note 2 2 2 3 52 4" xfId="31720"/>
    <cellStyle name="Note 2 2 2 3 52 5" xfId="34263"/>
    <cellStyle name="Note 2 2 2 3 52 6" xfId="45385"/>
    <cellStyle name="Note 2 2 2 3 52 7" xfId="49433"/>
    <cellStyle name="Note 2 2 2 3 53" xfId="6936"/>
    <cellStyle name="Note 2 2 2 3 53 2" xfId="14653"/>
    <cellStyle name="Note 2 2 2 3 53 3" xfId="23646"/>
    <cellStyle name="Note 2 2 2 3 53 4" xfId="31833"/>
    <cellStyle name="Note 2 2 2 3 53 5" xfId="33658"/>
    <cellStyle name="Note 2 2 2 3 53 6" xfId="45498"/>
    <cellStyle name="Note 2 2 2 3 53 7" xfId="46944"/>
    <cellStyle name="Note 2 2 2 3 54" xfId="7048"/>
    <cellStyle name="Note 2 2 2 3 54 2" xfId="14765"/>
    <cellStyle name="Note 2 2 2 3 54 3" xfId="23758"/>
    <cellStyle name="Note 2 2 2 3 54 4" xfId="31945"/>
    <cellStyle name="Note 2 2 2 3 54 5" xfId="34850"/>
    <cellStyle name="Note 2 2 2 3 54 6" xfId="45610"/>
    <cellStyle name="Note 2 2 2 3 54 7" xfId="47986"/>
    <cellStyle name="Note 2 2 2 3 55" xfId="7233"/>
    <cellStyle name="Note 2 2 2 3 55 2" xfId="14950"/>
    <cellStyle name="Note 2 2 2 3 55 3" xfId="23943"/>
    <cellStyle name="Note 2 2 2 3 55 4" xfId="32130"/>
    <cellStyle name="Note 2 2 2 3 55 5" xfId="36022"/>
    <cellStyle name="Note 2 2 2 3 55 6" xfId="45795"/>
    <cellStyle name="Note 2 2 2 3 55 7" xfId="52049"/>
    <cellStyle name="Note 2 2 2 3 56" xfId="7218"/>
    <cellStyle name="Note 2 2 2 3 56 2" xfId="14935"/>
    <cellStyle name="Note 2 2 2 3 56 3" xfId="23928"/>
    <cellStyle name="Note 2 2 2 3 56 4" xfId="32115"/>
    <cellStyle name="Note 2 2 2 3 56 5" xfId="34873"/>
    <cellStyle name="Note 2 2 2 3 56 6" xfId="45780"/>
    <cellStyle name="Note 2 2 2 3 56 7" xfId="48298"/>
    <cellStyle name="Note 2 2 2 3 57" xfId="7445"/>
    <cellStyle name="Note 2 2 2 3 57 2" xfId="15162"/>
    <cellStyle name="Note 2 2 2 3 57 3" xfId="24155"/>
    <cellStyle name="Note 2 2 2 3 57 4" xfId="32342"/>
    <cellStyle name="Note 2 2 2 3 57 5" xfId="34019"/>
    <cellStyle name="Note 2 2 2 3 57 6" xfId="46007"/>
    <cellStyle name="Note 2 2 2 3 57 7" xfId="48650"/>
    <cellStyle name="Note 2 2 2 3 58" xfId="7566"/>
    <cellStyle name="Note 2 2 2 3 58 2" xfId="15283"/>
    <cellStyle name="Note 2 2 2 3 58 3" xfId="24276"/>
    <cellStyle name="Note 2 2 2 3 58 4" xfId="32463"/>
    <cellStyle name="Note 2 2 2 3 58 5" xfId="34659"/>
    <cellStyle name="Note 2 2 2 3 58 6" xfId="46128"/>
    <cellStyle name="Note 2 2 2 3 58 7" xfId="50682"/>
    <cellStyle name="Note 2 2 2 3 59" xfId="7842"/>
    <cellStyle name="Note 2 2 2 3 59 2" xfId="15559"/>
    <cellStyle name="Note 2 2 2 3 59 3" xfId="24546"/>
    <cellStyle name="Note 2 2 2 3 59 4" xfId="32739"/>
    <cellStyle name="Note 2 2 2 3 59 5" xfId="35807"/>
    <cellStyle name="Note 2 2 2 3 59 6" xfId="46404"/>
    <cellStyle name="Note 2 2 2 3 59 7" xfId="52028"/>
    <cellStyle name="Note 2 2 2 3 6" xfId="1462"/>
    <cellStyle name="Note 2 2 2 3 6 2" xfId="9285"/>
    <cellStyle name="Note 2 2 2 3 6 3" xfId="16713"/>
    <cellStyle name="Note 2 2 2 3 6 4" xfId="19556"/>
    <cellStyle name="Note 2 2 2 3 6 5" xfId="27710"/>
    <cellStyle name="Note 2 2 2 3 6 6" xfId="37918"/>
    <cellStyle name="Note 2 2 2 3 6 7" xfId="47447"/>
    <cellStyle name="Note 2 2 2 3 60" xfId="7763"/>
    <cellStyle name="Note 2 2 2 3 60 2" xfId="15480"/>
    <cellStyle name="Note 2 2 2 3 60 3" xfId="24469"/>
    <cellStyle name="Note 2 2 2 3 60 4" xfId="32660"/>
    <cellStyle name="Note 2 2 2 3 60 5" xfId="35789"/>
    <cellStyle name="Note 2 2 2 3 60 6" xfId="46325"/>
    <cellStyle name="Note 2 2 2 3 60 7" xfId="51952"/>
    <cellStyle name="Note 2 2 2 3 61" xfId="7960"/>
    <cellStyle name="Note 2 2 2 3 61 2" xfId="15677"/>
    <cellStyle name="Note 2 2 2 3 61 3" xfId="24663"/>
    <cellStyle name="Note 2 2 2 3 61 4" xfId="32857"/>
    <cellStyle name="Note 2 2 2 3 61 5" xfId="28006"/>
    <cellStyle name="Note 2 2 2 3 61 6" xfId="46522"/>
    <cellStyle name="Note 2 2 2 3 61 7" xfId="54293"/>
    <cellStyle name="Note 2 2 2 3 62" xfId="7936"/>
    <cellStyle name="Note 2 2 2 3 62 2" xfId="15653"/>
    <cellStyle name="Note 2 2 2 3 62 3" xfId="24640"/>
    <cellStyle name="Note 2 2 2 3 62 4" xfId="32833"/>
    <cellStyle name="Note 2 2 2 3 62 5" xfId="34337"/>
    <cellStyle name="Note 2 2 2 3 62 6" xfId="46498"/>
    <cellStyle name="Note 2 2 2 3 62 7" xfId="49267"/>
    <cellStyle name="Note 2 2 2 3 63" xfId="8118"/>
    <cellStyle name="Note 2 2 2 3 63 2" xfId="15835"/>
    <cellStyle name="Note 2 2 2 3 63 3" xfId="33015"/>
    <cellStyle name="Note 2 2 2 3 63 4" xfId="35890"/>
    <cellStyle name="Note 2 2 2 3 63 5" xfId="46680"/>
    <cellStyle name="Note 2 2 2 3 63 6" xfId="52316"/>
    <cellStyle name="Note 2 2 2 3 64" xfId="25394"/>
    <cellStyle name="Note 2 2 2 3 65" xfId="33842"/>
    <cellStyle name="Note 2 2 2 3 66" xfId="38184"/>
    <cellStyle name="Note 2 2 2 3 67" xfId="51628"/>
    <cellStyle name="Note 2 2 2 3 7" xfId="1567"/>
    <cellStyle name="Note 2 2 2 3 7 2" xfId="9390"/>
    <cellStyle name="Note 2 2 2 3 7 3" xfId="16818"/>
    <cellStyle name="Note 2 2 2 3 7 4" xfId="26344"/>
    <cellStyle name="Note 2 2 2 3 7 5" xfId="35070"/>
    <cellStyle name="Note 2 2 2 3 7 6" xfId="36818"/>
    <cellStyle name="Note 2 2 2 3 7 7" xfId="53724"/>
    <cellStyle name="Note 2 2 2 3 8" xfId="1699"/>
    <cellStyle name="Note 2 2 2 3 8 2" xfId="9522"/>
    <cellStyle name="Note 2 2 2 3 8 3" xfId="16950"/>
    <cellStyle name="Note 2 2 2 3 8 4" xfId="26694"/>
    <cellStyle name="Note 2 2 2 3 8 5" xfId="35546"/>
    <cellStyle name="Note 2 2 2 3 8 6" xfId="36879"/>
    <cellStyle name="Note 2 2 2 3 8 7" xfId="54482"/>
    <cellStyle name="Note 2 2 2 3 9" xfId="1833"/>
    <cellStyle name="Note 2 2 2 3 9 2" xfId="9656"/>
    <cellStyle name="Note 2 2 2 3 9 3" xfId="17084"/>
    <cellStyle name="Note 2 2 2 3 9 4" xfId="20002"/>
    <cellStyle name="Note 2 2 2 3 9 5" xfId="26960"/>
    <cellStyle name="Note 2 2 2 3 9 6" xfId="37889"/>
    <cellStyle name="Note 2 2 2 3 9 7" xfId="49058"/>
    <cellStyle name="Note 2 2 2 30" xfId="2985"/>
    <cellStyle name="Note 2 2 2 30 2" xfId="10807"/>
    <cellStyle name="Note 2 2 2 30 3" xfId="18234"/>
    <cellStyle name="Note 2 2 2 30 4" xfId="20559"/>
    <cellStyle name="Note 2 2 2 30 5" xfId="27376"/>
    <cellStyle name="Note 2 2 2 30 6" xfId="42152"/>
    <cellStyle name="Note 2 2 2 30 7" xfId="48502"/>
    <cellStyle name="Note 2 2 2 31" xfId="3712"/>
    <cellStyle name="Note 2 2 2 31 2" xfId="11497"/>
    <cellStyle name="Note 2 2 2 31 3" xfId="18769"/>
    <cellStyle name="Note 2 2 2 31 4" xfId="19967"/>
    <cellStyle name="Note 2 2 2 31 5" xfId="27398"/>
    <cellStyle name="Note 2 2 2 31 6" xfId="36379"/>
    <cellStyle name="Note 2 2 2 31 7" xfId="48313"/>
    <cellStyle name="Note 2 2 2 32" xfId="3119"/>
    <cellStyle name="Note 2 2 2 32 2" xfId="10924"/>
    <cellStyle name="Note 2 2 2 32 3" xfId="18303"/>
    <cellStyle name="Note 2 2 2 32 4" xfId="20693"/>
    <cellStyle name="Note 2 2 2 32 5" xfId="28617"/>
    <cellStyle name="Note 2 2 2 32 6" xfId="41807"/>
    <cellStyle name="Note 2 2 2 32 7" xfId="48649"/>
    <cellStyle name="Note 2 2 2 33" xfId="3162"/>
    <cellStyle name="Note 2 2 2 33 2" xfId="10964"/>
    <cellStyle name="Note 2 2 2 33 3" xfId="20296"/>
    <cellStyle name="Note 2 2 2 33 4" xfId="28386"/>
    <cellStyle name="Note 2 2 2 33 5" xfId="35947"/>
    <cellStyle name="Note 2 2 2 33 6" xfId="42416"/>
    <cellStyle name="Note 2 2 2 33 7" xfId="53153"/>
    <cellStyle name="Note 2 2 2 34" xfId="3209"/>
    <cellStyle name="Note 2 2 2 34 2" xfId="11008"/>
    <cellStyle name="Note 2 2 2 34 3" xfId="20335"/>
    <cellStyle name="Note 2 2 2 34 4" xfId="28426"/>
    <cellStyle name="Note 2 2 2 34 5" xfId="28014"/>
    <cellStyle name="Note 2 2 2 34 6" xfId="42446"/>
    <cellStyle name="Note 2 2 2 34 7" xfId="48564"/>
    <cellStyle name="Note 2 2 2 35" xfId="4219"/>
    <cellStyle name="Note 2 2 2 35 2" xfId="20929"/>
    <cellStyle name="Note 2 2 2 35 3" xfId="29116"/>
    <cellStyle name="Note 2 2 2 35 4" xfId="34921"/>
    <cellStyle name="Note 2 2 2 35 5" xfId="42781"/>
    <cellStyle name="Note 2 2 2 35 6" xfId="49921"/>
    <cellStyle name="Note 2 2 2 36" xfId="4229"/>
    <cellStyle name="Note 2 2 2 36 2" xfId="11966"/>
    <cellStyle name="Note 2 2 2 36 3" xfId="20939"/>
    <cellStyle name="Note 2 2 2 36 4" xfId="29126"/>
    <cellStyle name="Note 2 2 2 36 5" xfId="27846"/>
    <cellStyle name="Note 2 2 2 36 6" xfId="42791"/>
    <cellStyle name="Note 2 2 2 36 7" xfId="48883"/>
    <cellStyle name="Note 2 2 2 37" xfId="4372"/>
    <cellStyle name="Note 2 2 2 37 2" xfId="12089"/>
    <cellStyle name="Note 2 2 2 37 3" xfId="21082"/>
    <cellStyle name="Note 2 2 2 37 4" xfId="29269"/>
    <cellStyle name="Note 2 2 2 37 5" xfId="35706"/>
    <cellStyle name="Note 2 2 2 37 6" xfId="42934"/>
    <cellStyle name="Note 2 2 2 37 7" xfId="51996"/>
    <cellStyle name="Note 2 2 2 38" xfId="4444"/>
    <cellStyle name="Note 2 2 2 38 2" xfId="12161"/>
    <cellStyle name="Note 2 2 2 38 3" xfId="21154"/>
    <cellStyle name="Note 2 2 2 38 4" xfId="29341"/>
    <cellStyle name="Note 2 2 2 38 5" xfId="28814"/>
    <cellStyle name="Note 2 2 2 38 6" xfId="43006"/>
    <cellStyle name="Note 2 2 2 38 7" xfId="50586"/>
    <cellStyle name="Note 2 2 2 39" xfId="3201"/>
    <cellStyle name="Note 2 2 2 39 2" xfId="11001"/>
    <cellStyle name="Note 2 2 2 39 3" xfId="20327"/>
    <cellStyle name="Note 2 2 2 39 4" xfId="28419"/>
    <cellStyle name="Note 2 2 2 39 5" xfId="33583"/>
    <cellStyle name="Note 2 2 2 39 6" xfId="42439"/>
    <cellStyle name="Note 2 2 2 39 7" xfId="49262"/>
    <cellStyle name="Note 2 2 2 4" xfId="491"/>
    <cellStyle name="Note 2 2 2 4 10" xfId="1938"/>
    <cellStyle name="Note 2 2 2 4 10 2" xfId="9761"/>
    <cellStyle name="Note 2 2 2 4 10 3" xfId="17189"/>
    <cellStyle name="Note 2 2 2 4 10 4" xfId="26018"/>
    <cellStyle name="Note 2 2 2 4 10 5" xfId="34645"/>
    <cellStyle name="Note 2 2 2 4 10 6" xfId="41700"/>
    <cellStyle name="Note 2 2 2 4 10 7" xfId="53027"/>
    <cellStyle name="Note 2 2 2 4 11" xfId="2056"/>
    <cellStyle name="Note 2 2 2 4 11 2" xfId="9879"/>
    <cellStyle name="Note 2 2 2 4 11 3" xfId="17307"/>
    <cellStyle name="Note 2 2 2 4 11 4" xfId="19735"/>
    <cellStyle name="Note 2 2 2 4 11 5" xfId="28060"/>
    <cellStyle name="Note 2 2 2 4 11 6" xfId="37355"/>
    <cellStyle name="Note 2 2 2 4 11 7" xfId="48094"/>
    <cellStyle name="Note 2 2 2 4 12" xfId="2169"/>
    <cellStyle name="Note 2 2 2 4 12 2" xfId="9992"/>
    <cellStyle name="Note 2 2 2 4 12 3" xfId="17420"/>
    <cellStyle name="Note 2 2 2 4 12 4" xfId="25434"/>
    <cellStyle name="Note 2 2 2 4 12 5" xfId="33894"/>
    <cellStyle name="Note 2 2 2 4 12 6" xfId="40539"/>
    <cellStyle name="Note 2 2 2 4 12 7" xfId="51718"/>
    <cellStyle name="Note 2 2 2 4 13" xfId="1084"/>
    <cellStyle name="Note 2 2 2 4 13 2" xfId="8908"/>
    <cellStyle name="Note 2 2 2 4 13 3" xfId="16336"/>
    <cellStyle name="Note 2 2 2 4 13 4" xfId="24845"/>
    <cellStyle name="Note 2 2 2 4 13 5" xfId="26901"/>
    <cellStyle name="Note 2 2 2 4 13 6" xfId="38104"/>
    <cellStyle name="Note 2 2 2 4 13 7" xfId="49209"/>
    <cellStyle name="Note 2 2 2 4 14" xfId="2356"/>
    <cellStyle name="Note 2 2 2 4 14 2" xfId="10179"/>
    <cellStyle name="Note 2 2 2 4 14 3" xfId="17607"/>
    <cellStyle name="Note 2 2 2 4 14 4" xfId="25168"/>
    <cellStyle name="Note 2 2 2 4 14 5" xfId="33548"/>
    <cellStyle name="Note 2 2 2 4 14 6" xfId="37986"/>
    <cellStyle name="Note 2 2 2 4 14 7" xfId="51151"/>
    <cellStyle name="Note 2 2 2 4 15" xfId="2467"/>
    <cellStyle name="Note 2 2 2 4 15 2" xfId="10290"/>
    <cellStyle name="Note 2 2 2 4 15 3" xfId="17718"/>
    <cellStyle name="Note 2 2 2 4 15 4" xfId="20103"/>
    <cellStyle name="Note 2 2 2 4 15 5" xfId="27499"/>
    <cellStyle name="Note 2 2 2 4 15 6" xfId="40071"/>
    <cellStyle name="Note 2 2 2 4 15 7" xfId="48181"/>
    <cellStyle name="Note 2 2 2 4 16" xfId="2580"/>
    <cellStyle name="Note 2 2 2 4 16 2" xfId="10403"/>
    <cellStyle name="Note 2 2 2 4 16 3" xfId="17831"/>
    <cellStyle name="Note 2 2 2 4 16 4" xfId="25508"/>
    <cellStyle name="Note 2 2 2 4 16 5" xfId="33986"/>
    <cellStyle name="Note 2 2 2 4 16 6" xfId="37266"/>
    <cellStyle name="Note 2 2 2 4 16 7" xfId="51889"/>
    <cellStyle name="Note 2 2 2 4 17" xfId="2381"/>
    <cellStyle name="Note 2 2 2 4 17 2" xfId="10204"/>
    <cellStyle name="Note 2 2 2 4 17 3" xfId="17632"/>
    <cellStyle name="Note 2 2 2 4 17 4" xfId="20118"/>
    <cellStyle name="Note 2 2 2 4 17 5" xfId="28552"/>
    <cellStyle name="Note 2 2 2 4 17 6" xfId="41724"/>
    <cellStyle name="Note 2 2 2 4 17 7" xfId="47802"/>
    <cellStyle name="Note 2 2 2 4 18" xfId="2155"/>
    <cellStyle name="Note 2 2 2 4 18 2" xfId="9978"/>
    <cellStyle name="Note 2 2 2 4 18 3" xfId="17406"/>
    <cellStyle name="Note 2 2 2 4 18 4" xfId="19991"/>
    <cellStyle name="Note 2 2 2 4 18 5" xfId="27914"/>
    <cellStyle name="Note 2 2 2 4 18 6" xfId="36821"/>
    <cellStyle name="Note 2 2 2 4 18 7" xfId="49311"/>
    <cellStyle name="Note 2 2 2 4 19" xfId="2774"/>
    <cellStyle name="Note 2 2 2 4 19 2" xfId="10597"/>
    <cellStyle name="Note 2 2 2 4 19 3" xfId="18025"/>
    <cellStyle name="Note 2 2 2 4 19 4" xfId="26546"/>
    <cellStyle name="Note 2 2 2 4 19 5" xfId="35350"/>
    <cellStyle name="Note 2 2 2 4 19 6" xfId="36548"/>
    <cellStyle name="Note 2 2 2 4 19 7" xfId="54166"/>
    <cellStyle name="Note 2 2 2 4 2" xfId="642"/>
    <cellStyle name="Note 2 2 2 4 2 2" xfId="8466"/>
    <cellStyle name="Note 2 2 2 4 2 3" xfId="8294"/>
    <cellStyle name="Note 2 2 2 4 2 4" xfId="26203"/>
    <cellStyle name="Note 2 2 2 4 2 5" xfId="34885"/>
    <cellStyle name="Note 2 2 2 4 2 6" xfId="38124"/>
    <cellStyle name="Note 2 2 2 4 2 7" xfId="53434"/>
    <cellStyle name="Note 2 2 2 4 20" xfId="2881"/>
    <cellStyle name="Note 2 2 2 4 20 2" xfId="10704"/>
    <cellStyle name="Note 2 2 2 4 20 3" xfId="18132"/>
    <cellStyle name="Note 2 2 2 4 20 4" xfId="24857"/>
    <cellStyle name="Note 2 2 2 4 20 5" xfId="26746"/>
    <cellStyle name="Note 2 2 2 4 20 6" xfId="36807"/>
    <cellStyle name="Note 2 2 2 4 20 7" xfId="49793"/>
    <cellStyle name="Note 2 2 2 4 21" xfId="3257"/>
    <cellStyle name="Note 2 2 2 4 21 2" xfId="11050"/>
    <cellStyle name="Note 2 2 2 4 21 3" xfId="18379"/>
    <cellStyle name="Note 2 2 2 4 21 4" xfId="19533"/>
    <cellStyle name="Note 2 2 2 4 21 5" xfId="27570"/>
    <cellStyle name="Note 2 2 2 4 21 6" xfId="37197"/>
    <cellStyle name="Note 2 2 2 4 21 7" xfId="50044"/>
    <cellStyle name="Note 2 2 2 4 22" xfId="3377"/>
    <cellStyle name="Note 2 2 2 4 22 2" xfId="11168"/>
    <cellStyle name="Note 2 2 2 4 22 3" xfId="18490"/>
    <cellStyle name="Note 2 2 2 4 22 4" xfId="25412"/>
    <cellStyle name="Note 2 2 2 4 22 5" xfId="33868"/>
    <cellStyle name="Note 2 2 2 4 22 6" xfId="39171"/>
    <cellStyle name="Note 2 2 2 4 22 7" xfId="51675"/>
    <cellStyle name="Note 2 2 2 4 23" xfId="3511"/>
    <cellStyle name="Note 2 2 2 4 23 2" xfId="11302"/>
    <cellStyle name="Note 2 2 2 4 23 3" xfId="18600"/>
    <cellStyle name="Note 2 2 2 4 23 4" xfId="26278"/>
    <cellStyle name="Note 2 2 2 4 23 5" xfId="34981"/>
    <cellStyle name="Note 2 2 2 4 23 6" xfId="41919"/>
    <cellStyle name="Note 2 2 2 4 23 7" xfId="53596"/>
    <cellStyle name="Note 2 2 2 4 24" xfId="3575"/>
    <cellStyle name="Note 2 2 2 4 24 2" xfId="11364"/>
    <cellStyle name="Note 2 2 2 4 24 3" xfId="18644"/>
    <cellStyle name="Note 2 2 2 4 24 4" xfId="19307"/>
    <cellStyle name="Note 2 2 2 4 24 5" xfId="27187"/>
    <cellStyle name="Note 2 2 2 4 24 6" xfId="36812"/>
    <cellStyle name="Note 2 2 2 4 24 7" xfId="48237"/>
    <cellStyle name="Note 2 2 2 4 25" xfId="3647"/>
    <cellStyle name="Note 2 2 2 4 25 2" xfId="11432"/>
    <cellStyle name="Note 2 2 2 4 25 3" xfId="18705"/>
    <cellStyle name="Note 2 2 2 4 25 4" xfId="19419"/>
    <cellStyle name="Note 2 2 2 4 25 5" xfId="27341"/>
    <cellStyle name="Note 2 2 2 4 25 6" xfId="41607"/>
    <cellStyle name="Note 2 2 2 4 25 7" xfId="48405"/>
    <cellStyle name="Note 2 2 2 4 26" xfId="3778"/>
    <cellStyle name="Note 2 2 2 4 26 2" xfId="11560"/>
    <cellStyle name="Note 2 2 2 4 26 3" xfId="18817"/>
    <cellStyle name="Note 2 2 2 4 26 4" xfId="19990"/>
    <cellStyle name="Note 2 2 2 4 26 5" xfId="26788"/>
    <cellStyle name="Note 2 2 2 4 26 6" xfId="37367"/>
    <cellStyle name="Note 2 2 2 4 26 7" xfId="50346"/>
    <cellStyle name="Note 2 2 2 4 27" xfId="3895"/>
    <cellStyle name="Note 2 2 2 4 27 2" xfId="11675"/>
    <cellStyle name="Note 2 2 2 4 27 3" xfId="18926"/>
    <cellStyle name="Note 2 2 2 4 27 4" xfId="20031"/>
    <cellStyle name="Note 2 2 2 4 27 5" xfId="28098"/>
    <cellStyle name="Note 2 2 2 4 27 6" xfId="39924"/>
    <cellStyle name="Note 2 2 2 4 27 7" xfId="47618"/>
    <cellStyle name="Note 2 2 2 4 28" xfId="3203"/>
    <cellStyle name="Note 2 2 2 4 28 2" xfId="11003"/>
    <cellStyle name="Note 2 2 2 4 28 3" xfId="20329"/>
    <cellStyle name="Note 2 2 2 4 28 4" xfId="28421"/>
    <cellStyle name="Note 2 2 2 4 28 5" xfId="33318"/>
    <cellStyle name="Note 2 2 2 4 28 6" xfId="42441"/>
    <cellStyle name="Note 2 2 2 4 28 7" xfId="48922"/>
    <cellStyle name="Note 2 2 2 4 29" xfId="4092"/>
    <cellStyle name="Note 2 2 2 4 29 2" xfId="11852"/>
    <cellStyle name="Note 2 2 2 4 29 3" xfId="20802"/>
    <cellStyle name="Note 2 2 2 4 29 4" xfId="28989"/>
    <cellStyle name="Note 2 2 2 4 29 5" xfId="35642"/>
    <cellStyle name="Note 2 2 2 4 29 6" xfId="42654"/>
    <cellStyle name="Note 2 2 2 4 29 7" xfId="51662"/>
    <cellStyle name="Note 2 2 2 4 3" xfId="749"/>
    <cellStyle name="Note 2 2 2 4 3 2" xfId="8573"/>
    <cellStyle name="Note 2 2 2 4 3 3" xfId="16001"/>
    <cellStyle name="Note 2 2 2 4 3 4" xfId="20567"/>
    <cellStyle name="Note 2 2 2 4 3 5" xfId="27757"/>
    <cellStyle name="Note 2 2 2 4 3 6" xfId="38115"/>
    <cellStyle name="Note 2 2 2 4 3 7" xfId="47229"/>
    <cellStyle name="Note 2 2 2 4 30" xfId="3583"/>
    <cellStyle name="Note 2 2 2 4 30 2" xfId="20538"/>
    <cellStyle name="Note 2 2 2 4 30 3" xfId="28664"/>
    <cellStyle name="Note 2 2 2 4 30 4" xfId="36080"/>
    <cellStyle name="Note 2 2 2 4 30 5" xfId="42518"/>
    <cellStyle name="Note 2 2 2 4 30 6" xfId="53802"/>
    <cellStyle name="Note 2 2 2 4 31" xfId="4289"/>
    <cellStyle name="Note 2 2 2 4 31 2" xfId="12006"/>
    <cellStyle name="Note 2 2 2 4 31 3" xfId="20999"/>
    <cellStyle name="Note 2 2 2 4 31 4" xfId="29186"/>
    <cellStyle name="Note 2 2 2 4 31 5" xfId="35407"/>
    <cellStyle name="Note 2 2 2 4 31 6" xfId="42851"/>
    <cellStyle name="Note 2 2 2 4 31 7" xfId="49818"/>
    <cellStyle name="Note 2 2 2 4 32" xfId="4412"/>
    <cellStyle name="Note 2 2 2 4 32 2" xfId="12129"/>
    <cellStyle name="Note 2 2 2 4 32 3" xfId="21122"/>
    <cellStyle name="Note 2 2 2 4 32 4" xfId="29309"/>
    <cellStyle name="Note 2 2 2 4 32 5" xfId="28560"/>
    <cellStyle name="Note 2 2 2 4 32 6" xfId="42974"/>
    <cellStyle name="Note 2 2 2 4 32 7" xfId="48211"/>
    <cellStyle name="Note 2 2 2 4 33" xfId="4526"/>
    <cellStyle name="Note 2 2 2 4 33 2" xfId="12243"/>
    <cellStyle name="Note 2 2 2 4 33 3" xfId="21236"/>
    <cellStyle name="Note 2 2 2 4 33 4" xfId="29423"/>
    <cellStyle name="Note 2 2 2 4 33 5" xfId="26782"/>
    <cellStyle name="Note 2 2 2 4 33 6" xfId="43088"/>
    <cellStyle name="Note 2 2 2 4 33 7" xfId="47789"/>
    <cellStyle name="Note 2 2 2 4 34" xfId="4639"/>
    <cellStyle name="Note 2 2 2 4 34 2" xfId="12356"/>
    <cellStyle name="Note 2 2 2 4 34 3" xfId="21349"/>
    <cellStyle name="Note 2 2 2 4 34 4" xfId="29536"/>
    <cellStyle name="Note 2 2 2 4 34 5" xfId="35935"/>
    <cellStyle name="Note 2 2 2 4 34 6" xfId="43201"/>
    <cellStyle name="Note 2 2 2 4 34 7" xfId="53101"/>
    <cellStyle name="Note 2 2 2 4 35" xfId="4751"/>
    <cellStyle name="Note 2 2 2 4 35 2" xfId="12468"/>
    <cellStyle name="Note 2 2 2 4 35 3" xfId="21461"/>
    <cellStyle name="Note 2 2 2 4 35 4" xfId="29648"/>
    <cellStyle name="Note 2 2 2 4 35 5" xfId="34948"/>
    <cellStyle name="Note 2 2 2 4 35 6" xfId="43313"/>
    <cellStyle name="Note 2 2 2 4 35 7" xfId="49269"/>
    <cellStyle name="Note 2 2 2 4 36" xfId="4859"/>
    <cellStyle name="Note 2 2 2 4 36 2" xfId="12576"/>
    <cellStyle name="Note 2 2 2 4 36 3" xfId="21569"/>
    <cellStyle name="Note 2 2 2 4 36 4" xfId="29756"/>
    <cellStyle name="Note 2 2 2 4 36 5" xfId="35917"/>
    <cellStyle name="Note 2 2 2 4 36 6" xfId="43421"/>
    <cellStyle name="Note 2 2 2 4 36 7" xfId="53036"/>
    <cellStyle name="Note 2 2 2 4 37" xfId="4971"/>
    <cellStyle name="Note 2 2 2 4 37 2" xfId="12688"/>
    <cellStyle name="Note 2 2 2 4 37 3" xfId="21681"/>
    <cellStyle name="Note 2 2 2 4 37 4" xfId="29868"/>
    <cellStyle name="Note 2 2 2 4 37 5" xfId="27299"/>
    <cellStyle name="Note 2 2 2 4 37 6" xfId="43533"/>
    <cellStyle name="Note 2 2 2 4 37 7" xfId="50727"/>
    <cellStyle name="Note 2 2 2 4 38" xfId="5140"/>
    <cellStyle name="Note 2 2 2 4 38 2" xfId="12857"/>
    <cellStyle name="Note 2 2 2 4 38 3" xfId="21850"/>
    <cellStyle name="Note 2 2 2 4 38 4" xfId="30037"/>
    <cellStyle name="Note 2 2 2 4 38 5" xfId="36139"/>
    <cellStyle name="Note 2 2 2 4 38 6" xfId="43702"/>
    <cellStyle name="Note 2 2 2 4 38 7" xfId="54059"/>
    <cellStyle name="Note 2 2 2 4 39" xfId="5469"/>
    <cellStyle name="Note 2 2 2 4 39 2" xfId="13186"/>
    <cellStyle name="Note 2 2 2 4 39 3" xfId="22179"/>
    <cellStyle name="Note 2 2 2 4 39 4" xfId="30366"/>
    <cellStyle name="Note 2 2 2 4 39 5" xfId="35705"/>
    <cellStyle name="Note 2 2 2 4 39 6" xfId="44031"/>
    <cellStyle name="Note 2 2 2 4 39 7" xfId="51990"/>
    <cellStyle name="Note 2 2 2 4 4" xfId="861"/>
    <cellStyle name="Note 2 2 2 4 4 2" xfId="8685"/>
    <cellStyle name="Note 2 2 2 4 4 3" xfId="16113"/>
    <cellStyle name="Note 2 2 2 4 4 4" xfId="20042"/>
    <cellStyle name="Note 2 2 2 4 4 5" xfId="28709"/>
    <cellStyle name="Note 2 2 2 4 4 6" xfId="38099"/>
    <cellStyle name="Note 2 2 2 4 4 7" xfId="47403"/>
    <cellStyle name="Note 2 2 2 4 40" xfId="5594"/>
    <cellStyle name="Note 2 2 2 4 40 2" xfId="13311"/>
    <cellStyle name="Note 2 2 2 4 40 3" xfId="22304"/>
    <cellStyle name="Note 2 2 2 4 40 4" xfId="30491"/>
    <cellStyle name="Note 2 2 2 4 40 5" xfId="34924"/>
    <cellStyle name="Note 2 2 2 4 40 6" xfId="44156"/>
    <cellStyle name="Note 2 2 2 4 40 7" xfId="47145"/>
    <cellStyle name="Note 2 2 2 4 41" xfId="5709"/>
    <cellStyle name="Note 2 2 2 4 41 2" xfId="13426"/>
    <cellStyle name="Note 2 2 2 4 41 3" xfId="22419"/>
    <cellStyle name="Note 2 2 2 4 41 4" xfId="30606"/>
    <cellStyle name="Note 2 2 2 4 41 5" xfId="33730"/>
    <cellStyle name="Note 2 2 2 4 41 6" xfId="44271"/>
    <cellStyle name="Note 2 2 2 4 41 7" xfId="46950"/>
    <cellStyle name="Note 2 2 2 4 42" xfId="5826"/>
    <cellStyle name="Note 2 2 2 4 42 2" xfId="13543"/>
    <cellStyle name="Note 2 2 2 4 42 3" xfId="22536"/>
    <cellStyle name="Note 2 2 2 4 42 4" xfId="30723"/>
    <cellStyle name="Note 2 2 2 4 42 5" xfId="27552"/>
    <cellStyle name="Note 2 2 2 4 42 6" xfId="44388"/>
    <cellStyle name="Note 2 2 2 4 42 7" xfId="49630"/>
    <cellStyle name="Note 2 2 2 4 43" xfId="5954"/>
    <cellStyle name="Note 2 2 2 4 43 2" xfId="13671"/>
    <cellStyle name="Note 2 2 2 4 43 3" xfId="22664"/>
    <cellStyle name="Note 2 2 2 4 43 4" xfId="30851"/>
    <cellStyle name="Note 2 2 2 4 43 5" xfId="35776"/>
    <cellStyle name="Note 2 2 2 4 43 6" xfId="44516"/>
    <cellStyle name="Note 2 2 2 4 43 7" xfId="52144"/>
    <cellStyle name="Note 2 2 2 4 44" xfId="6067"/>
    <cellStyle name="Note 2 2 2 4 44 2" xfId="13784"/>
    <cellStyle name="Note 2 2 2 4 44 3" xfId="22777"/>
    <cellStyle name="Note 2 2 2 4 44 4" xfId="30964"/>
    <cellStyle name="Note 2 2 2 4 44 5" xfId="35656"/>
    <cellStyle name="Note 2 2 2 4 44 6" xfId="44629"/>
    <cellStyle name="Note 2 2 2 4 44 7" xfId="48540"/>
    <cellStyle name="Note 2 2 2 4 45" xfId="6088"/>
    <cellStyle name="Note 2 2 2 4 45 2" xfId="13805"/>
    <cellStyle name="Note 2 2 2 4 45 3" xfId="22798"/>
    <cellStyle name="Note 2 2 2 4 45 4" xfId="30985"/>
    <cellStyle name="Note 2 2 2 4 45 5" xfId="35903"/>
    <cellStyle name="Note 2 2 2 4 45 6" xfId="44650"/>
    <cellStyle name="Note 2 2 2 4 45 7" xfId="52693"/>
    <cellStyle name="Note 2 2 2 4 46" xfId="6210"/>
    <cellStyle name="Note 2 2 2 4 46 2" xfId="13927"/>
    <cellStyle name="Note 2 2 2 4 46 3" xfId="22920"/>
    <cellStyle name="Note 2 2 2 4 46 4" xfId="31107"/>
    <cellStyle name="Note 2 2 2 4 46 5" xfId="27674"/>
    <cellStyle name="Note 2 2 2 4 46 6" xfId="44772"/>
    <cellStyle name="Note 2 2 2 4 46 7" xfId="54459"/>
    <cellStyle name="Note 2 2 2 4 47" xfId="6327"/>
    <cellStyle name="Note 2 2 2 4 47 2" xfId="14044"/>
    <cellStyle name="Note 2 2 2 4 47 3" xfId="23037"/>
    <cellStyle name="Note 2 2 2 4 47 4" xfId="31224"/>
    <cellStyle name="Note 2 2 2 4 47 5" xfId="35592"/>
    <cellStyle name="Note 2 2 2 4 47 6" xfId="44889"/>
    <cellStyle name="Note 2 2 2 4 47 7" xfId="51142"/>
    <cellStyle name="Note 2 2 2 4 48" xfId="6437"/>
    <cellStyle name="Note 2 2 2 4 48 2" xfId="14154"/>
    <cellStyle name="Note 2 2 2 4 48 3" xfId="23147"/>
    <cellStyle name="Note 2 2 2 4 48 4" xfId="31334"/>
    <cellStyle name="Note 2 2 2 4 48 5" xfId="35885"/>
    <cellStyle name="Note 2 2 2 4 48 6" xfId="44999"/>
    <cellStyle name="Note 2 2 2 4 48 7" xfId="52154"/>
    <cellStyle name="Note 2 2 2 4 49" xfId="5810"/>
    <cellStyle name="Note 2 2 2 4 49 2" xfId="13527"/>
    <cellStyle name="Note 2 2 2 4 49 3" xfId="22520"/>
    <cellStyle name="Note 2 2 2 4 49 4" xfId="30707"/>
    <cellStyle name="Note 2 2 2 4 49 5" xfId="35860"/>
    <cellStyle name="Note 2 2 2 4 49 6" xfId="44372"/>
    <cellStyle name="Note 2 2 2 4 49 7" xfId="52355"/>
    <cellStyle name="Note 2 2 2 4 5" xfId="1326"/>
    <cellStyle name="Note 2 2 2 4 5 2" xfId="9149"/>
    <cellStyle name="Note 2 2 2 4 5 3" xfId="16577"/>
    <cellStyle name="Note 2 2 2 4 5 4" xfId="25267"/>
    <cellStyle name="Note 2 2 2 4 5 5" xfId="33675"/>
    <cellStyle name="Note 2 2 2 4 5 6" xfId="37982"/>
    <cellStyle name="Note 2 2 2 4 5 7" xfId="51361"/>
    <cellStyle name="Note 2 2 2 4 50" xfId="6584"/>
    <cellStyle name="Note 2 2 2 4 50 2" xfId="14301"/>
    <cellStyle name="Note 2 2 2 4 50 3" xfId="23294"/>
    <cellStyle name="Note 2 2 2 4 50 4" xfId="31481"/>
    <cellStyle name="Note 2 2 2 4 50 5" xfId="35922"/>
    <cellStyle name="Note 2 2 2 4 50 6" xfId="45146"/>
    <cellStyle name="Note 2 2 2 4 50 7" xfId="52809"/>
    <cellStyle name="Note 2 2 2 4 51" xfId="6695"/>
    <cellStyle name="Note 2 2 2 4 51 2" xfId="14412"/>
    <cellStyle name="Note 2 2 2 4 51 3" xfId="23405"/>
    <cellStyle name="Note 2 2 2 4 51 4" xfId="31592"/>
    <cellStyle name="Note 2 2 2 4 51 5" xfId="28170"/>
    <cellStyle name="Note 2 2 2 4 51 6" xfId="45257"/>
    <cellStyle name="Note 2 2 2 4 51 7" xfId="50939"/>
    <cellStyle name="Note 2 2 2 4 52" xfId="6810"/>
    <cellStyle name="Note 2 2 2 4 52 2" xfId="14527"/>
    <cellStyle name="Note 2 2 2 4 52 3" xfId="23520"/>
    <cellStyle name="Note 2 2 2 4 52 4" xfId="31707"/>
    <cellStyle name="Note 2 2 2 4 52 5" xfId="34347"/>
    <cellStyle name="Note 2 2 2 4 52 6" xfId="45372"/>
    <cellStyle name="Note 2 2 2 4 52 7" xfId="50872"/>
    <cellStyle name="Note 2 2 2 4 53" xfId="6923"/>
    <cellStyle name="Note 2 2 2 4 53 2" xfId="14640"/>
    <cellStyle name="Note 2 2 2 4 53 3" xfId="23633"/>
    <cellStyle name="Note 2 2 2 4 53 4" xfId="31820"/>
    <cellStyle name="Note 2 2 2 4 53 5" xfId="27188"/>
    <cellStyle name="Note 2 2 2 4 53 6" xfId="45485"/>
    <cellStyle name="Note 2 2 2 4 53 7" xfId="54514"/>
    <cellStyle name="Note 2 2 2 4 54" xfId="7035"/>
    <cellStyle name="Note 2 2 2 4 54 2" xfId="14752"/>
    <cellStyle name="Note 2 2 2 4 54 3" xfId="23745"/>
    <cellStyle name="Note 2 2 2 4 54 4" xfId="31932"/>
    <cellStyle name="Note 2 2 2 4 54 5" xfId="28236"/>
    <cellStyle name="Note 2 2 2 4 54 6" xfId="45597"/>
    <cellStyle name="Note 2 2 2 4 54 7" xfId="47202"/>
    <cellStyle name="Note 2 2 2 4 55" xfId="7309"/>
    <cellStyle name="Note 2 2 2 4 55 2" xfId="15026"/>
    <cellStyle name="Note 2 2 2 4 55 3" xfId="24019"/>
    <cellStyle name="Note 2 2 2 4 55 4" xfId="32206"/>
    <cellStyle name="Note 2 2 2 4 55 5" xfId="28576"/>
    <cellStyle name="Note 2 2 2 4 55 6" xfId="45871"/>
    <cellStyle name="Note 2 2 2 4 55 7" xfId="52495"/>
    <cellStyle name="Note 2 2 2 4 56" xfId="7408"/>
    <cellStyle name="Note 2 2 2 4 56 2" xfId="15125"/>
    <cellStyle name="Note 2 2 2 4 56 3" xfId="24118"/>
    <cellStyle name="Note 2 2 2 4 56 4" xfId="32305"/>
    <cellStyle name="Note 2 2 2 4 56 5" xfId="35944"/>
    <cellStyle name="Note 2 2 2 4 56 6" xfId="45970"/>
    <cellStyle name="Note 2 2 2 4 56 7" xfId="52692"/>
    <cellStyle name="Note 2 2 2 4 57" xfId="7432"/>
    <cellStyle name="Note 2 2 2 4 57 2" xfId="15149"/>
    <cellStyle name="Note 2 2 2 4 57 3" xfId="24142"/>
    <cellStyle name="Note 2 2 2 4 57 4" xfId="32329"/>
    <cellStyle name="Note 2 2 2 4 57 5" xfId="34781"/>
    <cellStyle name="Note 2 2 2 4 57 6" xfId="45994"/>
    <cellStyle name="Note 2 2 2 4 57 7" xfId="50020"/>
    <cellStyle name="Note 2 2 2 4 58" xfId="7553"/>
    <cellStyle name="Note 2 2 2 4 58 2" xfId="15270"/>
    <cellStyle name="Note 2 2 2 4 58 3" xfId="24263"/>
    <cellStyle name="Note 2 2 2 4 58 4" xfId="32450"/>
    <cellStyle name="Note 2 2 2 4 58 5" xfId="35851"/>
    <cellStyle name="Note 2 2 2 4 58 6" xfId="46115"/>
    <cellStyle name="Note 2 2 2 4 58 7" xfId="47621"/>
    <cellStyle name="Note 2 2 2 4 59" xfId="7829"/>
    <cellStyle name="Note 2 2 2 4 59 2" xfId="15546"/>
    <cellStyle name="Note 2 2 2 4 59 3" xfId="24533"/>
    <cellStyle name="Note 2 2 2 4 59 4" xfId="32726"/>
    <cellStyle name="Note 2 2 2 4 59 5" xfId="36035"/>
    <cellStyle name="Note 2 2 2 4 59 6" xfId="46391"/>
    <cellStyle name="Note 2 2 2 4 59 7" xfId="48108"/>
    <cellStyle name="Note 2 2 2 4 6" xfId="1449"/>
    <cellStyle name="Note 2 2 2 4 6 2" xfId="9272"/>
    <cellStyle name="Note 2 2 2 4 6 3" xfId="16700"/>
    <cellStyle name="Note 2 2 2 4 6 4" xfId="25106"/>
    <cellStyle name="Note 2 2 2 4 6 5" xfId="33471"/>
    <cellStyle name="Note 2 2 2 4 6 6" xfId="38903"/>
    <cellStyle name="Note 2 2 2 4 6 7" xfId="51020"/>
    <cellStyle name="Note 2 2 2 4 60" xfId="7703"/>
    <cellStyle name="Note 2 2 2 4 60 2" xfId="15420"/>
    <cellStyle name="Note 2 2 2 4 60 3" xfId="24411"/>
    <cellStyle name="Note 2 2 2 4 60 4" xfId="32600"/>
    <cellStyle name="Note 2 2 2 4 60 5" xfId="35750"/>
    <cellStyle name="Note 2 2 2 4 60 6" xfId="46265"/>
    <cellStyle name="Note 2 2 2 4 60 7" xfId="51554"/>
    <cellStyle name="Note 2 2 2 4 61" xfId="7696"/>
    <cellStyle name="Note 2 2 2 4 61 2" xfId="15413"/>
    <cellStyle name="Note 2 2 2 4 61 3" xfId="24404"/>
    <cellStyle name="Note 2 2 2 4 61 4" xfId="32593"/>
    <cellStyle name="Note 2 2 2 4 61 5" xfId="35659"/>
    <cellStyle name="Note 2 2 2 4 61 6" xfId="46258"/>
    <cellStyle name="Note 2 2 2 4 61 7" xfId="52477"/>
    <cellStyle name="Note 2 2 2 4 62" xfId="8020"/>
    <cellStyle name="Note 2 2 2 4 62 2" xfId="15737"/>
    <cellStyle name="Note 2 2 2 4 62 3" xfId="24722"/>
    <cellStyle name="Note 2 2 2 4 62 4" xfId="32917"/>
    <cellStyle name="Note 2 2 2 4 62 5" xfId="33252"/>
    <cellStyle name="Note 2 2 2 4 62 6" xfId="46582"/>
    <cellStyle name="Note 2 2 2 4 62 7" xfId="50565"/>
    <cellStyle name="Note 2 2 2 4 63" xfId="8105"/>
    <cellStyle name="Note 2 2 2 4 63 2" xfId="15822"/>
    <cellStyle name="Note 2 2 2 4 63 3" xfId="33002"/>
    <cellStyle name="Note 2 2 2 4 63 4" xfId="36190"/>
    <cellStyle name="Note 2 2 2 4 63 5" xfId="46667"/>
    <cellStyle name="Note 2 2 2 4 63 6" xfId="53703"/>
    <cellStyle name="Note 2 2 2 4 64" xfId="26055"/>
    <cellStyle name="Note 2 2 2 4 65" xfId="34697"/>
    <cellStyle name="Note 2 2 2 4 66" xfId="37341"/>
    <cellStyle name="Note 2 2 2 4 67" xfId="53114"/>
    <cellStyle name="Note 2 2 2 4 7" xfId="1555"/>
    <cellStyle name="Note 2 2 2 4 7 2" xfId="9378"/>
    <cellStyle name="Note 2 2 2 4 7 3" xfId="16806"/>
    <cellStyle name="Note 2 2 2 4 7 4" xfId="26309"/>
    <cellStyle name="Note 2 2 2 4 7 5" xfId="35028"/>
    <cellStyle name="Note 2 2 2 4 7 6" xfId="37650"/>
    <cellStyle name="Note 2 2 2 4 7 7" xfId="53663"/>
    <cellStyle name="Note 2 2 2 4 8" xfId="1686"/>
    <cellStyle name="Note 2 2 2 4 8 2" xfId="9509"/>
    <cellStyle name="Note 2 2 2 4 8 3" xfId="16937"/>
    <cellStyle name="Note 2 2 2 4 8 4" xfId="25429"/>
    <cellStyle name="Note 2 2 2 4 8 5" xfId="33888"/>
    <cellStyle name="Note 2 2 2 4 8 6" xfId="37513"/>
    <cellStyle name="Note 2 2 2 4 8 7" xfId="51706"/>
    <cellStyle name="Note 2 2 2 4 9" xfId="1820"/>
    <cellStyle name="Note 2 2 2 4 9 2" xfId="9643"/>
    <cellStyle name="Note 2 2 2 4 9 3" xfId="17071"/>
    <cellStyle name="Note 2 2 2 4 9 4" xfId="19582"/>
    <cellStyle name="Note 2 2 2 4 9 5" xfId="27273"/>
    <cellStyle name="Note 2 2 2 4 9 6" xfId="38857"/>
    <cellStyle name="Note 2 2 2 4 9 7" xfId="48254"/>
    <cellStyle name="Note 2 2 2 40" xfId="4671"/>
    <cellStyle name="Note 2 2 2 40 2" xfId="12388"/>
    <cellStyle name="Note 2 2 2 40 3" xfId="21381"/>
    <cellStyle name="Note 2 2 2 40 4" xfId="29568"/>
    <cellStyle name="Note 2 2 2 40 5" xfId="34932"/>
    <cellStyle name="Note 2 2 2 40 6" xfId="43233"/>
    <cellStyle name="Note 2 2 2 40 7" xfId="49973"/>
    <cellStyle name="Note 2 2 2 41" xfId="3349"/>
    <cellStyle name="Note 2 2 2 41 2" xfId="11142"/>
    <cellStyle name="Note 2 2 2 41 3" xfId="20405"/>
    <cellStyle name="Note 2 2 2 41 4" xfId="28509"/>
    <cellStyle name="Note 2 2 2 41 5" xfId="36141"/>
    <cellStyle name="Note 2 2 2 41 6" xfId="42465"/>
    <cellStyle name="Note 2 2 2 41 7" xfId="54072"/>
    <cellStyle name="Note 2 2 2 42" xfId="4891"/>
    <cellStyle name="Note 2 2 2 42 2" xfId="12608"/>
    <cellStyle name="Note 2 2 2 42 3" xfId="21601"/>
    <cellStyle name="Note 2 2 2 42 4" xfId="29788"/>
    <cellStyle name="Note 2 2 2 42 5" xfId="34071"/>
    <cellStyle name="Note 2 2 2 42 6" xfId="43453"/>
    <cellStyle name="Note 2 2 2 42 7" xfId="49900"/>
    <cellStyle name="Note 2 2 2 43" xfId="5109"/>
    <cellStyle name="Note 2 2 2 43 2" xfId="12826"/>
    <cellStyle name="Note 2 2 2 43 3" xfId="21819"/>
    <cellStyle name="Note 2 2 2 43 4" xfId="30006"/>
    <cellStyle name="Note 2 2 2 43 5" xfId="28691"/>
    <cellStyle name="Note 2 2 2 43 6" xfId="43671"/>
    <cellStyle name="Note 2 2 2 43 7" xfId="50122"/>
    <cellStyle name="Note 2 2 2 44" xfId="5381"/>
    <cellStyle name="Note 2 2 2 44 2" xfId="13098"/>
    <cellStyle name="Note 2 2 2 44 3" xfId="22091"/>
    <cellStyle name="Note 2 2 2 44 4" xfId="30278"/>
    <cellStyle name="Note 2 2 2 44 5" xfId="35959"/>
    <cellStyle name="Note 2 2 2 44 6" xfId="43943"/>
    <cellStyle name="Note 2 2 2 44 7" xfId="53218"/>
    <cellStyle name="Note 2 2 2 45" xfId="5165"/>
    <cellStyle name="Note 2 2 2 45 2" xfId="12882"/>
    <cellStyle name="Note 2 2 2 45 3" xfId="21875"/>
    <cellStyle name="Note 2 2 2 45 4" xfId="30062"/>
    <cellStyle name="Note 2 2 2 45 5" xfId="34353"/>
    <cellStyle name="Note 2 2 2 45 6" xfId="43727"/>
    <cellStyle name="Note 2 2 2 45 7" xfId="48029"/>
    <cellStyle name="Note 2 2 2 46" xfId="5258"/>
    <cellStyle name="Note 2 2 2 46 2" xfId="12975"/>
    <cellStyle name="Note 2 2 2 46 3" xfId="21968"/>
    <cellStyle name="Note 2 2 2 46 4" xfId="30155"/>
    <cellStyle name="Note 2 2 2 46 5" xfId="27707"/>
    <cellStyle name="Note 2 2 2 46 6" xfId="43820"/>
    <cellStyle name="Note 2 2 2 46 7" xfId="50829"/>
    <cellStyle name="Note 2 2 2 47" xfId="5210"/>
    <cellStyle name="Note 2 2 2 47 2" xfId="12927"/>
    <cellStyle name="Note 2 2 2 47 3" xfId="21920"/>
    <cellStyle name="Note 2 2 2 47 4" xfId="30107"/>
    <cellStyle name="Note 2 2 2 47 5" xfId="35980"/>
    <cellStyle name="Note 2 2 2 47 6" xfId="43772"/>
    <cellStyle name="Note 2 2 2 47 7" xfId="53341"/>
    <cellStyle name="Note 2 2 2 48" xfId="5191"/>
    <cellStyle name="Note 2 2 2 48 2" xfId="12908"/>
    <cellStyle name="Note 2 2 2 48 3" xfId="21901"/>
    <cellStyle name="Note 2 2 2 48 4" xfId="30088"/>
    <cellStyle name="Note 2 2 2 48 5" xfId="34809"/>
    <cellStyle name="Note 2 2 2 48 6" xfId="43753"/>
    <cellStyle name="Note 2 2 2 48 7" xfId="50356"/>
    <cellStyle name="Note 2 2 2 49" xfId="5263"/>
    <cellStyle name="Note 2 2 2 49 2" xfId="12980"/>
    <cellStyle name="Note 2 2 2 49 3" xfId="21973"/>
    <cellStyle name="Note 2 2 2 49 4" xfId="30160"/>
    <cellStyle name="Note 2 2 2 49 5" xfId="33586"/>
    <cellStyle name="Note 2 2 2 49 6" xfId="43825"/>
    <cellStyle name="Note 2 2 2 49 7" xfId="50457"/>
    <cellStyle name="Note 2 2 2 5" xfId="486"/>
    <cellStyle name="Note 2 2 2 5 10" xfId="1933"/>
    <cellStyle name="Note 2 2 2 5 10 2" xfId="9756"/>
    <cellStyle name="Note 2 2 2 5 10 3" xfId="17184"/>
    <cellStyle name="Note 2 2 2 5 10 4" xfId="26212"/>
    <cellStyle name="Note 2 2 2 5 10 5" xfId="34895"/>
    <cellStyle name="Note 2 2 2 5 10 6" xfId="42088"/>
    <cellStyle name="Note 2 2 2 5 10 7" xfId="53446"/>
    <cellStyle name="Note 2 2 2 5 11" xfId="2051"/>
    <cellStyle name="Note 2 2 2 5 11 2" xfId="9874"/>
    <cellStyle name="Note 2 2 2 5 11 3" xfId="17302"/>
    <cellStyle name="Note 2 2 2 5 11 4" xfId="26329"/>
    <cellStyle name="Note 2 2 2 5 11 5" xfId="35053"/>
    <cellStyle name="Note 2 2 2 5 11 6" xfId="37892"/>
    <cellStyle name="Note 2 2 2 5 11 7" xfId="53695"/>
    <cellStyle name="Note 2 2 2 5 12" xfId="2164"/>
    <cellStyle name="Note 2 2 2 5 12 2" xfId="9987"/>
    <cellStyle name="Note 2 2 2 5 12 3" xfId="17415"/>
    <cellStyle name="Note 2 2 2 5 12 4" xfId="26304"/>
    <cellStyle name="Note 2 2 2 5 12 5" xfId="35022"/>
    <cellStyle name="Note 2 2 2 5 12 6" xfId="40891"/>
    <cellStyle name="Note 2 2 2 5 12 7" xfId="53655"/>
    <cellStyle name="Note 2 2 2 5 13" xfId="2201"/>
    <cellStyle name="Note 2 2 2 5 13 2" xfId="10024"/>
    <cellStyle name="Note 2 2 2 5 13 3" xfId="17452"/>
    <cellStyle name="Note 2 2 2 5 13 4" xfId="25832"/>
    <cellStyle name="Note 2 2 2 5 13 5" xfId="34415"/>
    <cellStyle name="Note 2 2 2 5 13 6" xfId="37503"/>
    <cellStyle name="Note 2 2 2 5 13 7" xfId="52633"/>
    <cellStyle name="Note 2 2 2 5 14" xfId="1257"/>
    <cellStyle name="Note 2 2 2 5 14 2" xfId="9080"/>
    <cellStyle name="Note 2 2 2 5 14 3" xfId="16508"/>
    <cellStyle name="Note 2 2 2 5 14 4" xfId="24797"/>
    <cellStyle name="Note 2 2 2 5 14 5" xfId="28142"/>
    <cellStyle name="Note 2 2 2 5 14 6" xfId="36954"/>
    <cellStyle name="Note 2 2 2 5 14 7" xfId="47195"/>
    <cellStyle name="Note 2 2 2 5 15" xfId="2462"/>
    <cellStyle name="Note 2 2 2 5 15 2" xfId="10285"/>
    <cellStyle name="Note 2 2 2 5 15 3" xfId="17713"/>
    <cellStyle name="Note 2 2 2 5 15 4" xfId="20257"/>
    <cellStyle name="Note 2 2 2 5 15 5" xfId="28672"/>
    <cellStyle name="Note 2 2 2 5 15 6" xfId="40556"/>
    <cellStyle name="Note 2 2 2 5 15 7" xfId="47765"/>
    <cellStyle name="Note 2 2 2 5 16" xfId="2575"/>
    <cellStyle name="Note 2 2 2 5 16 2" xfId="10398"/>
    <cellStyle name="Note 2 2 2 5 16 3" xfId="17826"/>
    <cellStyle name="Note 2 2 2 5 16 4" xfId="25710"/>
    <cellStyle name="Note 2 2 2 5 16 5" xfId="34251"/>
    <cellStyle name="Note 2 2 2 5 16 6" xfId="37885"/>
    <cellStyle name="Note 2 2 2 5 16 7" xfId="52335"/>
    <cellStyle name="Note 2 2 2 5 17" xfId="2672"/>
    <cellStyle name="Note 2 2 2 5 17 2" xfId="10495"/>
    <cellStyle name="Note 2 2 2 5 17 3" xfId="17923"/>
    <cellStyle name="Note 2 2 2 5 17 4" xfId="19772"/>
    <cellStyle name="Note 2 2 2 5 17 5" xfId="27565"/>
    <cellStyle name="Note 2 2 2 5 17 6" xfId="37002"/>
    <cellStyle name="Note 2 2 2 5 17 7" xfId="48781"/>
    <cellStyle name="Note 2 2 2 5 18" xfId="1590"/>
    <cellStyle name="Note 2 2 2 5 18 2" xfId="9413"/>
    <cellStyle name="Note 2 2 2 5 18 3" xfId="16841"/>
    <cellStyle name="Note 2 2 2 5 18 4" xfId="25133"/>
    <cellStyle name="Note 2 2 2 5 18 5" xfId="33506"/>
    <cellStyle name="Note 2 2 2 5 18 6" xfId="39703"/>
    <cellStyle name="Note 2 2 2 5 18 7" xfId="51079"/>
    <cellStyle name="Note 2 2 2 5 19" xfId="2769"/>
    <cellStyle name="Note 2 2 2 5 19 2" xfId="10592"/>
    <cellStyle name="Note 2 2 2 5 19 3" xfId="18020"/>
    <cellStyle name="Note 2 2 2 5 19 4" xfId="26665"/>
    <cellStyle name="Note 2 2 2 5 19 5" xfId="35512"/>
    <cellStyle name="Note 2 2 2 5 19 6" xfId="40313"/>
    <cellStyle name="Note 2 2 2 5 19 7" xfId="54425"/>
    <cellStyle name="Note 2 2 2 5 2" xfId="637"/>
    <cellStyle name="Note 2 2 2 5 2 2" xfId="8461"/>
    <cellStyle name="Note 2 2 2 5 2 3" xfId="8297"/>
    <cellStyle name="Note 2 2 2 5 2 4" xfId="26553"/>
    <cellStyle name="Note 2 2 2 5 2 5" xfId="35362"/>
    <cellStyle name="Note 2 2 2 5 2 6" xfId="36793"/>
    <cellStyle name="Note 2 2 2 5 2 7" xfId="54183"/>
    <cellStyle name="Note 2 2 2 5 20" xfId="2876"/>
    <cellStyle name="Note 2 2 2 5 20 2" xfId="10699"/>
    <cellStyle name="Note 2 2 2 5 20 3" xfId="18127"/>
    <cellStyle name="Note 2 2 2 5 20 4" xfId="25073"/>
    <cellStyle name="Note 2 2 2 5 20 5" xfId="33433"/>
    <cellStyle name="Note 2 2 2 5 20 6" xfId="36593"/>
    <cellStyle name="Note 2 2 2 5 20 7" xfId="50957"/>
    <cellStyle name="Note 2 2 2 5 21" xfId="3252"/>
    <cellStyle name="Note 2 2 2 5 21 2" xfId="11045"/>
    <cellStyle name="Note 2 2 2 5 21 3" xfId="18374"/>
    <cellStyle name="Note 2 2 2 5 21 4" xfId="24889"/>
    <cellStyle name="Note 2 2 2 5 21 5" xfId="33204"/>
    <cellStyle name="Note 2 2 2 5 21 6" xfId="36902"/>
    <cellStyle name="Note 2 2 2 5 21 7" xfId="50536"/>
    <cellStyle name="Note 2 2 2 5 22" xfId="3372"/>
    <cellStyle name="Note 2 2 2 5 22 2" xfId="11163"/>
    <cellStyle name="Note 2 2 2 5 22 3" xfId="18485"/>
    <cellStyle name="Note 2 2 2 5 22 4" xfId="19752"/>
    <cellStyle name="Note 2 2 2 5 22 5" xfId="27540"/>
    <cellStyle name="Note 2 2 2 5 22 6" xfId="39877"/>
    <cellStyle name="Note 2 2 2 5 22 7" xfId="48028"/>
    <cellStyle name="Note 2 2 2 5 23" xfId="3507"/>
    <cellStyle name="Note 2 2 2 5 23 2" xfId="11298"/>
    <cellStyle name="Note 2 2 2 5 23 3" xfId="18596"/>
    <cellStyle name="Note 2 2 2 5 23 4" xfId="19778"/>
    <cellStyle name="Note 2 2 2 5 23 5" xfId="28083"/>
    <cellStyle name="Note 2 2 2 5 23 6" xfId="36624"/>
    <cellStyle name="Note 2 2 2 5 23 7" xfId="48222"/>
    <cellStyle name="Note 2 2 2 5 24" xfId="3566"/>
    <cellStyle name="Note 2 2 2 5 24 2" xfId="11355"/>
    <cellStyle name="Note 2 2 2 5 24 3" xfId="18638"/>
    <cellStyle name="Note 2 2 2 5 24 4" xfId="25002"/>
    <cellStyle name="Note 2 2 2 5 24 5" xfId="33353"/>
    <cellStyle name="Note 2 2 2 5 24 6" xfId="37123"/>
    <cellStyle name="Note 2 2 2 5 24 7" xfId="50803"/>
    <cellStyle name="Note 2 2 2 5 25" xfId="3642"/>
    <cellStyle name="Note 2 2 2 5 25 2" xfId="11427"/>
    <cellStyle name="Note 2 2 2 5 25 3" xfId="18700"/>
    <cellStyle name="Note 2 2 2 5 25 4" xfId="19414"/>
    <cellStyle name="Note 2 2 2 5 25 5" xfId="28096"/>
    <cellStyle name="Note 2 2 2 5 25 6" xfId="42105"/>
    <cellStyle name="Note 2 2 2 5 25 7" xfId="48968"/>
    <cellStyle name="Note 2 2 2 5 26" xfId="3773"/>
    <cellStyle name="Note 2 2 2 5 26 2" xfId="11555"/>
    <cellStyle name="Note 2 2 2 5 26 3" xfId="18812"/>
    <cellStyle name="Note 2 2 2 5 26 4" xfId="24987"/>
    <cellStyle name="Note 2 2 2 5 26 5" xfId="33332"/>
    <cellStyle name="Note 2 2 2 5 26 6" xfId="36405"/>
    <cellStyle name="Note 2 2 2 5 26 7" xfId="50763"/>
    <cellStyle name="Note 2 2 2 5 27" xfId="3890"/>
    <cellStyle name="Note 2 2 2 5 27 2" xfId="11670"/>
    <cellStyle name="Note 2 2 2 5 27 3" xfId="18921"/>
    <cellStyle name="Note 2 2 2 5 27 4" xfId="25789"/>
    <cellStyle name="Note 2 2 2 5 27 5" xfId="34357"/>
    <cellStyle name="Note 2 2 2 5 27 6" xfId="40408"/>
    <cellStyle name="Note 2 2 2 5 27 7" xfId="52530"/>
    <cellStyle name="Note 2 2 2 5 28" xfId="3960"/>
    <cellStyle name="Note 2 2 2 5 28 2" xfId="11739"/>
    <cellStyle name="Note 2 2 2 5 28 3" xfId="20691"/>
    <cellStyle name="Note 2 2 2 5 28 4" xfId="28872"/>
    <cellStyle name="Note 2 2 2 5 28 5" xfId="36117"/>
    <cellStyle name="Note 2 2 2 5 28 6" xfId="42555"/>
    <cellStyle name="Note 2 2 2 5 28 7" xfId="53965"/>
    <cellStyle name="Note 2 2 2 5 29" xfId="4087"/>
    <cellStyle name="Note 2 2 2 5 29 2" xfId="11847"/>
    <cellStyle name="Note 2 2 2 5 29 3" xfId="20797"/>
    <cellStyle name="Note 2 2 2 5 29 4" xfId="28984"/>
    <cellStyle name="Note 2 2 2 5 29 5" xfId="35809"/>
    <cellStyle name="Note 2 2 2 5 29 6" xfId="42649"/>
    <cellStyle name="Note 2 2 2 5 29 7" xfId="52488"/>
    <cellStyle name="Note 2 2 2 5 3" xfId="744"/>
    <cellStyle name="Note 2 2 2 5 3 2" xfId="8568"/>
    <cellStyle name="Note 2 2 2 5 3 3" xfId="15996"/>
    <cellStyle name="Note 2 2 2 5 3 4" xfId="20098"/>
    <cellStyle name="Note 2 2 2 5 3 5" xfId="26997"/>
    <cellStyle name="Note 2 2 2 5 3 6" xfId="36787"/>
    <cellStyle name="Note 2 2 2 5 3 7" xfId="47963"/>
    <cellStyle name="Note 2 2 2 5 30" xfId="3092"/>
    <cellStyle name="Note 2 2 2 5 30 2" xfId="20252"/>
    <cellStyle name="Note 2 2 2 5 30 3" xfId="28342"/>
    <cellStyle name="Note 2 2 2 5 30 4" xfId="34506"/>
    <cellStyle name="Note 2 2 2 5 30 5" xfId="42396"/>
    <cellStyle name="Note 2 2 2 5 30 6" xfId="51317"/>
    <cellStyle name="Note 2 2 2 5 31" xfId="4284"/>
    <cellStyle name="Note 2 2 2 5 31 2" xfId="12001"/>
    <cellStyle name="Note 2 2 2 5 31 3" xfId="20994"/>
    <cellStyle name="Note 2 2 2 5 31 4" xfId="29181"/>
    <cellStyle name="Note 2 2 2 5 31 5" xfId="35491"/>
    <cellStyle name="Note 2 2 2 5 31 6" xfId="42846"/>
    <cellStyle name="Note 2 2 2 5 31 7" xfId="50697"/>
    <cellStyle name="Note 2 2 2 5 32" xfId="4407"/>
    <cellStyle name="Note 2 2 2 5 32 2" xfId="12124"/>
    <cellStyle name="Note 2 2 2 5 32 3" xfId="21117"/>
    <cellStyle name="Note 2 2 2 5 32 4" xfId="29304"/>
    <cellStyle name="Note 2 2 2 5 32 5" xfId="27314"/>
    <cellStyle name="Note 2 2 2 5 32 6" xfId="42969"/>
    <cellStyle name="Note 2 2 2 5 32 7" xfId="48011"/>
    <cellStyle name="Note 2 2 2 5 33" xfId="4521"/>
    <cellStyle name="Note 2 2 2 5 33 2" xfId="12238"/>
    <cellStyle name="Note 2 2 2 5 33 3" xfId="21231"/>
    <cellStyle name="Note 2 2 2 5 33 4" xfId="29418"/>
    <cellStyle name="Note 2 2 2 5 33 5" xfId="35463"/>
    <cellStyle name="Note 2 2 2 5 33 6" xfId="43083"/>
    <cellStyle name="Note 2 2 2 5 33 7" xfId="49317"/>
    <cellStyle name="Note 2 2 2 5 34" xfId="4634"/>
    <cellStyle name="Note 2 2 2 5 34 2" xfId="12351"/>
    <cellStyle name="Note 2 2 2 5 34 3" xfId="21344"/>
    <cellStyle name="Note 2 2 2 5 34 4" xfId="29531"/>
    <cellStyle name="Note 2 2 2 5 34 5" xfId="36070"/>
    <cellStyle name="Note 2 2 2 5 34 6" xfId="43196"/>
    <cellStyle name="Note 2 2 2 5 34 7" xfId="53753"/>
    <cellStyle name="Note 2 2 2 5 35" xfId="4746"/>
    <cellStyle name="Note 2 2 2 5 35 2" xfId="12463"/>
    <cellStyle name="Note 2 2 2 5 35 3" xfId="21456"/>
    <cellStyle name="Note 2 2 2 5 35 4" xfId="29643"/>
    <cellStyle name="Note 2 2 2 5 35 5" xfId="27293"/>
    <cellStyle name="Note 2 2 2 5 35 6" xfId="43308"/>
    <cellStyle name="Note 2 2 2 5 35 7" xfId="49555"/>
    <cellStyle name="Note 2 2 2 5 36" xfId="4854"/>
    <cellStyle name="Note 2 2 2 5 36 2" xfId="12571"/>
    <cellStyle name="Note 2 2 2 5 36 3" xfId="21564"/>
    <cellStyle name="Note 2 2 2 5 36 4" xfId="29751"/>
    <cellStyle name="Note 2 2 2 5 36 5" xfId="36034"/>
    <cellStyle name="Note 2 2 2 5 36 6" xfId="43416"/>
    <cellStyle name="Note 2 2 2 5 36 7" xfId="53573"/>
    <cellStyle name="Note 2 2 2 5 37" xfId="4966"/>
    <cellStyle name="Note 2 2 2 5 37 2" xfId="12683"/>
    <cellStyle name="Note 2 2 2 5 37 3" xfId="21676"/>
    <cellStyle name="Note 2 2 2 5 37 4" xfId="29863"/>
    <cellStyle name="Note 2 2 2 5 37 5" xfId="34029"/>
    <cellStyle name="Note 2 2 2 5 37 6" xfId="43528"/>
    <cellStyle name="Note 2 2 2 5 37 7" xfId="51137"/>
    <cellStyle name="Note 2 2 2 5 38" xfId="5147"/>
    <cellStyle name="Note 2 2 2 5 38 2" xfId="12864"/>
    <cellStyle name="Note 2 2 2 5 38 3" xfId="21857"/>
    <cellStyle name="Note 2 2 2 5 38 4" xfId="30044"/>
    <cellStyle name="Note 2 2 2 5 38 5" xfId="33334"/>
    <cellStyle name="Note 2 2 2 5 38 6" xfId="43709"/>
    <cellStyle name="Note 2 2 2 5 38 7" xfId="48498"/>
    <cellStyle name="Note 2 2 2 5 39" xfId="5464"/>
    <cellStyle name="Note 2 2 2 5 39 2" xfId="13181"/>
    <cellStyle name="Note 2 2 2 5 39 3" xfId="22174"/>
    <cellStyle name="Note 2 2 2 5 39 4" xfId="30361"/>
    <cellStyle name="Note 2 2 2 5 39 5" xfId="35798"/>
    <cellStyle name="Note 2 2 2 5 39 6" xfId="44026"/>
    <cellStyle name="Note 2 2 2 5 39 7" xfId="52447"/>
    <cellStyle name="Note 2 2 2 5 4" xfId="856"/>
    <cellStyle name="Note 2 2 2 5 4 2" xfId="8680"/>
    <cellStyle name="Note 2 2 2 5 4 3" xfId="16108"/>
    <cellStyle name="Note 2 2 2 5 4 4" xfId="19597"/>
    <cellStyle name="Note 2 2 2 5 4 5" xfId="27642"/>
    <cellStyle name="Note 2 2 2 5 4 6" xfId="36770"/>
    <cellStyle name="Note 2 2 2 5 4 7" xfId="50251"/>
    <cellStyle name="Note 2 2 2 5 40" xfId="5589"/>
    <cellStyle name="Note 2 2 2 5 40 2" xfId="13306"/>
    <cellStyle name="Note 2 2 2 5 40 3" xfId="22299"/>
    <cellStyle name="Note 2 2 2 5 40 4" xfId="30486"/>
    <cellStyle name="Note 2 2 2 5 40 5" xfId="34268"/>
    <cellStyle name="Note 2 2 2 5 40 6" xfId="44151"/>
    <cellStyle name="Note 2 2 2 5 40 7" xfId="47149"/>
    <cellStyle name="Note 2 2 2 5 41" xfId="5704"/>
    <cellStyle name="Note 2 2 2 5 41 2" xfId="13421"/>
    <cellStyle name="Note 2 2 2 5 41 3" xfId="22414"/>
    <cellStyle name="Note 2 2 2 5 41 4" xfId="30601"/>
    <cellStyle name="Note 2 2 2 5 41 5" xfId="28658"/>
    <cellStyle name="Note 2 2 2 5 41 6" xfId="44266"/>
    <cellStyle name="Note 2 2 2 5 41 7" xfId="46825"/>
    <cellStyle name="Note 2 2 2 5 42" xfId="5821"/>
    <cellStyle name="Note 2 2 2 5 42 2" xfId="13538"/>
    <cellStyle name="Note 2 2 2 5 42 3" xfId="22531"/>
    <cellStyle name="Note 2 2 2 5 42 4" xfId="30718"/>
    <cellStyle name="Note 2 2 2 5 42 5" xfId="35158"/>
    <cellStyle name="Note 2 2 2 5 42 6" xfId="44383"/>
    <cellStyle name="Note 2 2 2 5 42 7" xfId="51024"/>
    <cellStyle name="Note 2 2 2 5 43" xfId="5949"/>
    <cellStyle name="Note 2 2 2 5 43 2" xfId="13666"/>
    <cellStyle name="Note 2 2 2 5 43 3" xfId="22659"/>
    <cellStyle name="Note 2 2 2 5 43 4" xfId="30846"/>
    <cellStyle name="Note 2 2 2 5 43 5" xfId="35898"/>
    <cellStyle name="Note 2 2 2 5 43 6" xfId="44511"/>
    <cellStyle name="Note 2 2 2 5 43 7" xfId="52604"/>
    <cellStyle name="Note 2 2 2 5 44" xfId="6062"/>
    <cellStyle name="Note 2 2 2 5 44 2" xfId="13779"/>
    <cellStyle name="Note 2 2 2 5 44 3" xfId="22772"/>
    <cellStyle name="Note 2 2 2 5 44 4" xfId="30959"/>
    <cellStyle name="Note 2 2 2 5 44 5" xfId="35650"/>
    <cellStyle name="Note 2 2 2 5 44 6" xfId="44624"/>
    <cellStyle name="Note 2 2 2 5 44 7" xfId="51667"/>
    <cellStyle name="Note 2 2 2 5 45" xfId="6091"/>
    <cellStyle name="Note 2 2 2 5 45 2" xfId="13808"/>
    <cellStyle name="Note 2 2 2 5 45 3" xfId="22801"/>
    <cellStyle name="Note 2 2 2 5 45 4" xfId="30988"/>
    <cellStyle name="Note 2 2 2 5 45 5" xfId="35856"/>
    <cellStyle name="Note 2 2 2 5 45 6" xfId="44653"/>
    <cellStyle name="Note 2 2 2 5 45 7" xfId="52328"/>
    <cellStyle name="Note 2 2 2 5 46" xfId="6205"/>
    <cellStyle name="Note 2 2 2 5 46 2" xfId="13922"/>
    <cellStyle name="Note 2 2 2 5 46 3" xfId="22915"/>
    <cellStyle name="Note 2 2 2 5 46 4" xfId="31102"/>
    <cellStyle name="Note 2 2 2 5 46 5" xfId="26886"/>
    <cellStyle name="Note 2 2 2 5 46 6" xfId="44767"/>
    <cellStyle name="Note 2 2 2 5 46 7" xfId="48285"/>
    <cellStyle name="Note 2 2 2 5 47" xfId="6322"/>
    <cellStyle name="Note 2 2 2 5 47 2" xfId="14039"/>
    <cellStyle name="Note 2 2 2 5 47 3" xfId="23032"/>
    <cellStyle name="Note 2 2 2 5 47 4" xfId="31219"/>
    <cellStyle name="Note 2 2 2 5 47 5" xfId="27882"/>
    <cellStyle name="Note 2 2 2 5 47 6" xfId="44884"/>
    <cellStyle name="Note 2 2 2 5 47 7" xfId="51920"/>
    <cellStyle name="Note 2 2 2 5 48" xfId="6432"/>
    <cellStyle name="Note 2 2 2 5 48 2" xfId="14149"/>
    <cellStyle name="Note 2 2 2 5 48 3" xfId="23142"/>
    <cellStyle name="Note 2 2 2 5 48 4" xfId="31329"/>
    <cellStyle name="Note 2 2 2 5 48 5" xfId="35960"/>
    <cellStyle name="Note 2 2 2 5 48 6" xfId="44994"/>
    <cellStyle name="Note 2 2 2 5 48 7" xfId="53014"/>
    <cellStyle name="Note 2 2 2 5 49" xfId="6469"/>
    <cellStyle name="Note 2 2 2 5 49 2" xfId="14186"/>
    <cellStyle name="Note 2 2 2 5 49 3" xfId="23179"/>
    <cellStyle name="Note 2 2 2 5 49 4" xfId="31366"/>
    <cellStyle name="Note 2 2 2 5 49 5" xfId="27669"/>
    <cellStyle name="Note 2 2 2 5 49 6" xfId="45031"/>
    <cellStyle name="Note 2 2 2 5 49 7" xfId="47756"/>
    <cellStyle name="Note 2 2 2 5 5" xfId="1321"/>
    <cellStyle name="Note 2 2 2 5 5 2" xfId="9144"/>
    <cellStyle name="Note 2 2 2 5 5 3" xfId="16572"/>
    <cellStyle name="Note 2 2 2 5 5 4" xfId="25630"/>
    <cellStyle name="Note 2 2 2 5 5 5" xfId="34148"/>
    <cellStyle name="Note 2 2 2 5 5 6" xfId="39551"/>
    <cellStyle name="Note 2 2 2 5 5 7" xfId="52156"/>
    <cellStyle name="Note 2 2 2 5 50" xfId="6579"/>
    <cellStyle name="Note 2 2 2 5 50 2" xfId="14296"/>
    <cellStyle name="Note 2 2 2 5 50 3" xfId="23289"/>
    <cellStyle name="Note 2 2 2 5 50 4" xfId="31476"/>
    <cellStyle name="Note 2 2 2 5 50 5" xfId="36010"/>
    <cellStyle name="Note 2 2 2 5 50 6" xfId="45141"/>
    <cellStyle name="Note 2 2 2 5 50 7" xfId="48080"/>
    <cellStyle name="Note 2 2 2 5 51" xfId="6690"/>
    <cellStyle name="Note 2 2 2 5 51 2" xfId="14407"/>
    <cellStyle name="Note 2 2 2 5 51 3" xfId="23400"/>
    <cellStyle name="Note 2 2 2 5 51 4" xfId="31587"/>
    <cellStyle name="Note 2 2 2 5 51 5" xfId="27014"/>
    <cellStyle name="Note 2 2 2 5 51 6" xfId="45252"/>
    <cellStyle name="Note 2 2 2 5 51 7" xfId="48905"/>
    <cellStyle name="Note 2 2 2 5 52" xfId="6805"/>
    <cellStyle name="Note 2 2 2 5 52 2" xfId="14522"/>
    <cellStyle name="Note 2 2 2 5 52 3" xfId="23515"/>
    <cellStyle name="Note 2 2 2 5 52 4" xfId="31702"/>
    <cellStyle name="Note 2 2 2 5 52 5" xfId="35703"/>
    <cellStyle name="Note 2 2 2 5 52 6" xfId="45367"/>
    <cellStyle name="Note 2 2 2 5 52 7" xfId="51413"/>
    <cellStyle name="Note 2 2 2 5 53" xfId="6918"/>
    <cellStyle name="Note 2 2 2 5 53 2" xfId="14635"/>
    <cellStyle name="Note 2 2 2 5 53 3" xfId="23628"/>
    <cellStyle name="Note 2 2 2 5 53 4" xfId="31815"/>
    <cellStyle name="Note 2 2 2 5 53 5" xfId="27415"/>
    <cellStyle name="Note 2 2 2 5 53 6" xfId="45480"/>
    <cellStyle name="Note 2 2 2 5 53 7" xfId="46818"/>
    <cellStyle name="Note 2 2 2 5 54" xfId="7030"/>
    <cellStyle name="Note 2 2 2 5 54 2" xfId="14747"/>
    <cellStyle name="Note 2 2 2 5 54 3" xfId="23740"/>
    <cellStyle name="Note 2 2 2 5 54 4" xfId="31927"/>
    <cellStyle name="Note 2 2 2 5 54 5" xfId="34532"/>
    <cellStyle name="Note 2 2 2 5 54 6" xfId="45592"/>
    <cellStyle name="Note 2 2 2 5 54 7" xfId="46939"/>
    <cellStyle name="Note 2 2 2 5 55" xfId="7317"/>
    <cellStyle name="Note 2 2 2 5 55 2" xfId="15034"/>
    <cellStyle name="Note 2 2 2 5 55 3" xfId="24027"/>
    <cellStyle name="Note 2 2 2 5 55 4" xfId="32214"/>
    <cellStyle name="Note 2 2 2 5 55 5" xfId="35904"/>
    <cellStyle name="Note 2 2 2 5 55 6" xfId="45879"/>
    <cellStyle name="Note 2 2 2 5 55 7" xfId="48583"/>
    <cellStyle name="Note 2 2 2 5 56" xfId="7304"/>
    <cellStyle name="Note 2 2 2 5 56 2" xfId="15021"/>
    <cellStyle name="Note 2 2 2 5 56 3" xfId="24014"/>
    <cellStyle name="Note 2 2 2 5 56 4" xfId="32201"/>
    <cellStyle name="Note 2 2 2 5 56 5" xfId="33782"/>
    <cellStyle name="Note 2 2 2 5 56 6" xfId="45866"/>
    <cellStyle name="Note 2 2 2 5 56 7" xfId="48806"/>
    <cellStyle name="Note 2 2 2 5 57" xfId="7427"/>
    <cellStyle name="Note 2 2 2 5 57 2" xfId="15144"/>
    <cellStyle name="Note 2 2 2 5 57 3" xfId="24137"/>
    <cellStyle name="Note 2 2 2 5 57 4" xfId="32324"/>
    <cellStyle name="Note 2 2 2 5 57 5" xfId="27817"/>
    <cellStyle name="Note 2 2 2 5 57 6" xfId="45989"/>
    <cellStyle name="Note 2 2 2 5 57 7" xfId="50564"/>
    <cellStyle name="Note 2 2 2 5 58" xfId="7548"/>
    <cellStyle name="Note 2 2 2 5 58 2" xfId="15265"/>
    <cellStyle name="Note 2 2 2 5 58 3" xfId="24258"/>
    <cellStyle name="Note 2 2 2 5 58 4" xfId="32445"/>
    <cellStyle name="Note 2 2 2 5 58 5" xfId="35941"/>
    <cellStyle name="Note 2 2 2 5 58 6" xfId="46110"/>
    <cellStyle name="Note 2 2 2 5 58 7" xfId="52680"/>
    <cellStyle name="Note 2 2 2 5 59" xfId="7824"/>
    <cellStyle name="Note 2 2 2 5 59 2" xfId="15541"/>
    <cellStyle name="Note 2 2 2 5 59 3" xfId="24528"/>
    <cellStyle name="Note 2 2 2 5 59 4" xfId="32721"/>
    <cellStyle name="Note 2 2 2 5 59 5" xfId="36125"/>
    <cellStyle name="Note 2 2 2 5 59 6" xfId="46386"/>
    <cellStyle name="Note 2 2 2 5 59 7" xfId="53580"/>
    <cellStyle name="Note 2 2 2 5 6" xfId="1444"/>
    <cellStyle name="Note 2 2 2 5 6 2" xfId="9267"/>
    <cellStyle name="Note 2 2 2 5 6 3" xfId="16695"/>
    <cellStyle name="Note 2 2 2 5 6 4" xfId="25359"/>
    <cellStyle name="Note 2 2 2 5 6 5" xfId="33795"/>
    <cellStyle name="Note 2 2 2 5 6 6" xfId="39702"/>
    <cellStyle name="Note 2 2 2 5 6 7" xfId="51549"/>
    <cellStyle name="Note 2 2 2 5 60" xfId="7892"/>
    <cellStyle name="Note 2 2 2 5 60 2" xfId="15609"/>
    <cellStyle name="Note 2 2 2 5 60 3" xfId="24596"/>
    <cellStyle name="Note 2 2 2 5 60 4" xfId="32789"/>
    <cellStyle name="Note 2 2 2 5 60 5" xfId="36220"/>
    <cellStyle name="Note 2 2 2 5 60 6" xfId="46454"/>
    <cellStyle name="Note 2 2 2 5 60 7" xfId="53957"/>
    <cellStyle name="Note 2 2 2 5 61" xfId="7670"/>
    <cellStyle name="Note 2 2 2 5 61 2" xfId="15387"/>
    <cellStyle name="Note 2 2 2 5 61 3" xfId="24379"/>
    <cellStyle name="Note 2 2 2 5 61 4" xfId="32567"/>
    <cellStyle name="Note 2 2 2 5 61 5" xfId="27019"/>
    <cellStyle name="Note 2 2 2 5 61 6" xfId="46232"/>
    <cellStyle name="Note 2 2 2 5 61 7" xfId="48748"/>
    <cellStyle name="Note 2 2 2 5 62" xfId="7654"/>
    <cellStyle name="Note 2 2 2 5 62 2" xfId="15371"/>
    <cellStyle name="Note 2 2 2 5 62 3" xfId="24363"/>
    <cellStyle name="Note 2 2 2 5 62 4" xfId="32551"/>
    <cellStyle name="Note 2 2 2 5 62 5" xfId="26892"/>
    <cellStyle name="Note 2 2 2 5 62 6" xfId="46216"/>
    <cellStyle name="Note 2 2 2 5 62 7" xfId="50497"/>
    <cellStyle name="Note 2 2 2 5 63" xfId="8100"/>
    <cellStyle name="Note 2 2 2 5 63 2" xfId="15817"/>
    <cellStyle name="Note 2 2 2 5 63 3" xfId="32997"/>
    <cellStyle name="Note 2 2 2 5 63 4" xfId="27690"/>
    <cellStyle name="Note 2 2 2 5 63 5" xfId="46662"/>
    <cellStyle name="Note 2 2 2 5 63 6" xfId="54325"/>
    <cellStyle name="Note 2 2 2 5 64" xfId="26286"/>
    <cellStyle name="Note 2 2 2 5 65" xfId="34993"/>
    <cellStyle name="Note 2 2 2 5 66" xfId="37698"/>
    <cellStyle name="Note 2 2 2 5 67" xfId="53614"/>
    <cellStyle name="Note 2 2 2 5 7" xfId="1004"/>
    <cellStyle name="Note 2 2 2 5 7 2" xfId="8828"/>
    <cellStyle name="Note 2 2 2 5 7 3" xfId="16256"/>
    <cellStyle name="Note 2 2 2 5 7 4" xfId="20464"/>
    <cellStyle name="Note 2 2 2 5 7 5" xfId="26784"/>
    <cellStyle name="Note 2 2 2 5 7 6" xfId="37408"/>
    <cellStyle name="Note 2 2 2 5 7 7" xfId="50353"/>
    <cellStyle name="Note 2 2 2 5 8" xfId="1681"/>
    <cellStyle name="Note 2 2 2 5 8 2" xfId="9504"/>
    <cellStyle name="Note 2 2 2 5 8 3" xfId="16932"/>
    <cellStyle name="Note 2 2 2 5 8 4" xfId="19745"/>
    <cellStyle name="Note 2 2 2 5 8 5" xfId="27495"/>
    <cellStyle name="Note 2 2 2 5 8 6" xfId="37939"/>
    <cellStyle name="Note 2 2 2 5 8 7" xfId="48588"/>
    <cellStyle name="Note 2 2 2 5 9" xfId="1815"/>
    <cellStyle name="Note 2 2 2 5 9 2" xfId="9638"/>
    <cellStyle name="Note 2 2 2 5 9 3" xfId="17066"/>
    <cellStyle name="Note 2 2 2 5 9 4" xfId="19348"/>
    <cellStyle name="Note 2 2 2 5 9 5" xfId="27377"/>
    <cellStyle name="Note 2 2 2 5 9 6" xfId="39650"/>
    <cellStyle name="Note 2 2 2 5 9 7" xfId="49407"/>
    <cellStyle name="Note 2 2 2 50" xfId="5171"/>
    <cellStyle name="Note 2 2 2 50 2" xfId="12888"/>
    <cellStyle name="Note 2 2 2 50 3" xfId="21881"/>
    <cellStyle name="Note 2 2 2 50 4" xfId="30068"/>
    <cellStyle name="Note 2 2 2 50 5" xfId="35815"/>
    <cellStyle name="Note 2 2 2 50 6" xfId="43733"/>
    <cellStyle name="Note 2 2 2 50 7" xfId="52515"/>
    <cellStyle name="Note 2 2 2 51" xfId="5311"/>
    <cellStyle name="Note 2 2 2 51 2" xfId="13028"/>
    <cellStyle name="Note 2 2 2 51 3" xfId="22021"/>
    <cellStyle name="Note 2 2 2 51 4" xfId="30208"/>
    <cellStyle name="Note 2 2 2 51 5" xfId="27648"/>
    <cellStyle name="Note 2 2 2 51 6" xfId="43873"/>
    <cellStyle name="Note 2 2 2 51 7" xfId="48022"/>
    <cellStyle name="Note 2 2 2 52" xfId="6099"/>
    <cellStyle name="Note 2 2 2 52 2" xfId="13816"/>
    <cellStyle name="Note 2 2 2 52 3" xfId="22809"/>
    <cellStyle name="Note 2 2 2 52 4" xfId="30996"/>
    <cellStyle name="Note 2 2 2 52 5" xfId="35687"/>
    <cellStyle name="Note 2 2 2 52 6" xfId="44661"/>
    <cellStyle name="Note 2 2 2 52 7" xfId="51319"/>
    <cellStyle name="Note 2 2 2 53" xfId="6183"/>
    <cellStyle name="Note 2 2 2 53 2" xfId="13900"/>
    <cellStyle name="Note 2 2 2 53 3" xfId="22893"/>
    <cellStyle name="Note 2 2 2 53 4" xfId="31080"/>
    <cellStyle name="Note 2 2 2 53 5" xfId="27802"/>
    <cellStyle name="Note 2 2 2 53 6" xfId="44745"/>
    <cellStyle name="Note 2 2 2 53 7" xfId="49851"/>
    <cellStyle name="Note 2 2 2 54" xfId="5310"/>
    <cellStyle name="Note 2 2 2 54 2" xfId="13027"/>
    <cellStyle name="Note 2 2 2 54 3" xfId="22020"/>
    <cellStyle name="Note 2 2 2 54 4" xfId="30207"/>
    <cellStyle name="Note 2 2 2 54 5" xfId="35908"/>
    <cellStyle name="Note 2 2 2 54 6" xfId="43872"/>
    <cellStyle name="Note 2 2 2 54 7" xfId="52995"/>
    <cellStyle name="Note 2 2 2 55" xfId="6084"/>
    <cellStyle name="Note 2 2 2 55 2" xfId="13801"/>
    <cellStyle name="Note 2 2 2 55 3" xfId="22794"/>
    <cellStyle name="Note 2 2 2 55 4" xfId="30981"/>
    <cellStyle name="Note 2 2 2 55 5" xfId="35964"/>
    <cellStyle name="Note 2 2 2 55 6" xfId="44646"/>
    <cellStyle name="Note 2 2 2 55 7" xfId="53044"/>
    <cellStyle name="Note 2 2 2 56" xfId="5168"/>
    <cellStyle name="Note 2 2 2 56 2" xfId="12885"/>
    <cellStyle name="Note 2 2 2 56 3" xfId="21878"/>
    <cellStyle name="Note 2 2 2 56 4" xfId="30065"/>
    <cellStyle name="Note 2 2 2 56 5" xfId="35871"/>
    <cellStyle name="Note 2 2 2 56 6" xfId="43730"/>
    <cellStyle name="Note 2 2 2 56 7" xfId="52759"/>
    <cellStyle name="Note 2 2 2 57" xfId="6727"/>
    <cellStyle name="Note 2 2 2 57 2" xfId="14444"/>
    <cellStyle name="Note 2 2 2 57 3" xfId="23437"/>
    <cellStyle name="Note 2 2 2 57 4" xfId="31624"/>
    <cellStyle name="Note 2 2 2 57 5" xfId="35872"/>
    <cellStyle name="Note 2 2 2 57 6" xfId="45289"/>
    <cellStyle name="Note 2 2 2 57 7" xfId="52416"/>
    <cellStyle name="Note 2 2 2 58" xfId="6842"/>
    <cellStyle name="Note 2 2 2 58 2" xfId="14559"/>
    <cellStyle name="Note 2 2 2 58 3" xfId="23552"/>
    <cellStyle name="Note 2 2 2 58 4" xfId="31739"/>
    <cellStyle name="Note 2 2 2 58 5" xfId="33713"/>
    <cellStyle name="Note 2 2 2 58 6" xfId="45404"/>
    <cellStyle name="Note 2 2 2 58 7" xfId="47892"/>
    <cellStyle name="Note 2 2 2 59" xfId="6955"/>
    <cellStyle name="Note 2 2 2 59 2" xfId="14672"/>
    <cellStyle name="Note 2 2 2 59 3" xfId="23665"/>
    <cellStyle name="Note 2 2 2 59 4" xfId="31852"/>
    <cellStyle name="Note 2 2 2 59 5" xfId="27580"/>
    <cellStyle name="Note 2 2 2 59 6" xfId="45517"/>
    <cellStyle name="Note 2 2 2 59 7" xfId="47035"/>
    <cellStyle name="Note 2 2 2 6" xfId="498"/>
    <cellStyle name="Note 2 2 2 6 10" xfId="1945"/>
    <cellStyle name="Note 2 2 2 6 10 2" xfId="9768"/>
    <cellStyle name="Note 2 2 2 6 10 3" xfId="17196"/>
    <cellStyle name="Note 2 2 2 6 10 4" xfId="25701"/>
    <cellStyle name="Note 2 2 2 6 10 5" xfId="34241"/>
    <cellStyle name="Note 2 2 2 6 10 6" xfId="40880"/>
    <cellStyle name="Note 2 2 2 6 10 7" xfId="52311"/>
    <cellStyle name="Note 2 2 2 6 11" xfId="2063"/>
    <cellStyle name="Note 2 2 2 6 11 2" xfId="9886"/>
    <cellStyle name="Note 2 2 2 6 11 3" xfId="17314"/>
    <cellStyle name="Note 2 2 2 6 11 4" xfId="25813"/>
    <cellStyle name="Note 2 2 2 6 11 5" xfId="34392"/>
    <cellStyle name="Note 2 2 2 6 11 6" xfId="37122"/>
    <cellStyle name="Note 2 2 2 6 11 7" xfId="52591"/>
    <cellStyle name="Note 2 2 2 6 12" xfId="2176"/>
    <cellStyle name="Note 2 2 2 6 12 2" xfId="9999"/>
    <cellStyle name="Note 2 2 2 6 12 3" xfId="17427"/>
    <cellStyle name="Note 2 2 2 6 12 4" xfId="19351"/>
    <cellStyle name="Note 2 2 2 6 12 5" xfId="27545"/>
    <cellStyle name="Note 2 2 2 6 12 6" xfId="39829"/>
    <cellStyle name="Note 2 2 2 6 12 7" xfId="47342"/>
    <cellStyle name="Note 2 2 2 6 13" xfId="2275"/>
    <cellStyle name="Note 2 2 2 6 13 2" xfId="10098"/>
    <cellStyle name="Note 2 2 2 6 13 3" xfId="17526"/>
    <cellStyle name="Note 2 2 2 6 13 4" xfId="25816"/>
    <cellStyle name="Note 2 2 2 6 13 5" xfId="34396"/>
    <cellStyle name="Note 2 2 2 6 13 6" xfId="36806"/>
    <cellStyle name="Note 2 2 2 6 13 7" xfId="52599"/>
    <cellStyle name="Note 2 2 2 6 14" xfId="2369"/>
    <cellStyle name="Note 2 2 2 6 14 2" xfId="10192"/>
    <cellStyle name="Note 2 2 2 6 14 3" xfId="17620"/>
    <cellStyle name="Note 2 2 2 6 14 4" xfId="19135"/>
    <cellStyle name="Note 2 2 2 6 14 5" xfId="33112"/>
    <cellStyle name="Note 2 2 2 6 14 6" xfId="37133"/>
    <cellStyle name="Note 2 2 2 6 14 7" xfId="49841"/>
    <cellStyle name="Note 2 2 2 6 15" xfId="2474"/>
    <cellStyle name="Note 2 2 2 6 15 2" xfId="10297"/>
    <cellStyle name="Note 2 2 2 6 15 3" xfId="17725"/>
    <cellStyle name="Note 2 2 2 6 15 4" xfId="26266"/>
    <cellStyle name="Note 2 2 2 6 15 5" xfId="34964"/>
    <cellStyle name="Note 2 2 2 6 15 6" xfId="39140"/>
    <cellStyle name="Note 2 2 2 6 15 7" xfId="53571"/>
    <cellStyle name="Note 2 2 2 6 16" xfId="2587"/>
    <cellStyle name="Note 2 2 2 6 16 2" xfId="10410"/>
    <cellStyle name="Note 2 2 2 6 16 3" xfId="17838"/>
    <cellStyle name="Note 2 2 2 6 16 4" xfId="25043"/>
    <cellStyle name="Note 2 2 2 6 16 5" xfId="33402"/>
    <cellStyle name="Note 2 2 2 6 16 6" xfId="37114"/>
    <cellStyle name="Note 2 2 2 6 16 7" xfId="50889"/>
    <cellStyle name="Note 2 2 2 6 17" xfId="2690"/>
    <cellStyle name="Note 2 2 2 6 17 2" xfId="10513"/>
    <cellStyle name="Note 2 2 2 6 17 3" xfId="17941"/>
    <cellStyle name="Note 2 2 2 6 17 4" xfId="26436"/>
    <cellStyle name="Note 2 2 2 6 17 5" xfId="35205"/>
    <cellStyle name="Note 2 2 2 6 17 6" xfId="36749"/>
    <cellStyle name="Note 2 2 2 6 17 7" xfId="53928"/>
    <cellStyle name="Note 2 2 2 6 18" xfId="2741"/>
    <cellStyle name="Note 2 2 2 6 18 2" xfId="10564"/>
    <cellStyle name="Note 2 2 2 6 18 3" xfId="17992"/>
    <cellStyle name="Note 2 2 2 6 18 4" xfId="19670"/>
    <cellStyle name="Note 2 2 2 6 18 5" xfId="27029"/>
    <cellStyle name="Note 2 2 2 6 18 6" xfId="37697"/>
    <cellStyle name="Note 2 2 2 6 18 7" xfId="48741"/>
    <cellStyle name="Note 2 2 2 6 19" xfId="2781"/>
    <cellStyle name="Note 2 2 2 6 19 2" xfId="10604"/>
    <cellStyle name="Note 2 2 2 6 19 3" xfId="18032"/>
    <cellStyle name="Note 2 2 2 6 19 4" xfId="26099"/>
    <cellStyle name="Note 2 2 2 6 19 5" xfId="34752"/>
    <cellStyle name="Note 2 2 2 6 19 6" xfId="38848"/>
    <cellStyle name="Note 2 2 2 6 19 7" xfId="53209"/>
    <cellStyle name="Note 2 2 2 6 2" xfId="649"/>
    <cellStyle name="Note 2 2 2 6 2 2" xfId="8473"/>
    <cellStyle name="Note 2 2 2 6 2 3" xfId="8285"/>
    <cellStyle name="Note 2 2 2 6 2 4" xfId="25942"/>
    <cellStyle name="Note 2 2 2 6 2 5" xfId="34547"/>
    <cellStyle name="Note 2 2 2 6 2 6" xfId="37494"/>
    <cellStyle name="Note 2 2 2 6 2 7" xfId="52875"/>
    <cellStyle name="Note 2 2 2 6 20" xfId="2888"/>
    <cellStyle name="Note 2 2 2 6 20 2" xfId="10711"/>
    <cellStyle name="Note 2 2 2 6 20 3" xfId="18139"/>
    <cellStyle name="Note 2 2 2 6 20 4" xfId="19130"/>
    <cellStyle name="Note 2 2 2 6 20 5" xfId="26853"/>
    <cellStyle name="Note 2 2 2 6 20 6" xfId="36717"/>
    <cellStyle name="Note 2 2 2 6 20 7" xfId="49868"/>
    <cellStyle name="Note 2 2 2 6 21" xfId="3264"/>
    <cellStyle name="Note 2 2 2 6 21 2" xfId="11057"/>
    <cellStyle name="Note 2 2 2 6 21 3" xfId="18386"/>
    <cellStyle name="Note 2 2 2 6 21 4" xfId="19055"/>
    <cellStyle name="Note 2 2 2 6 21 5" xfId="28465"/>
    <cellStyle name="Note 2 2 2 6 21 6" xfId="39403"/>
    <cellStyle name="Note 2 2 2 6 21 7" xfId="49282"/>
    <cellStyle name="Note 2 2 2 6 22" xfId="3384"/>
    <cellStyle name="Note 2 2 2 6 22 2" xfId="11175"/>
    <cellStyle name="Note 2 2 2 6 22 3" xfId="18497"/>
    <cellStyle name="Note 2 2 2 6 22 4" xfId="25533"/>
    <cellStyle name="Note 2 2 2 6 22 5" xfId="34020"/>
    <cellStyle name="Note 2 2 2 6 22 6" xfId="36492"/>
    <cellStyle name="Note 2 2 2 6 22 7" xfId="51949"/>
    <cellStyle name="Note 2 2 2 6 23" xfId="3518"/>
    <cellStyle name="Note 2 2 2 6 23 2" xfId="11309"/>
    <cellStyle name="Note 2 2 2 6 23 3" xfId="18606"/>
    <cellStyle name="Note 2 2 2 6 23 4" xfId="19922"/>
    <cellStyle name="Note 2 2 2 6 23 5" xfId="28878"/>
    <cellStyle name="Note 2 2 2 6 23 6" xfId="41277"/>
    <cellStyle name="Note 2 2 2 6 23 7" xfId="48107"/>
    <cellStyle name="Note 2 2 2 6 24" xfId="3163"/>
    <cellStyle name="Note 2 2 2 6 24 2" xfId="10965"/>
    <cellStyle name="Note 2 2 2 6 24 3" xfId="18334"/>
    <cellStyle name="Note 2 2 2 6 24 4" xfId="26025"/>
    <cellStyle name="Note 2 2 2 6 24 5" xfId="34655"/>
    <cellStyle name="Note 2 2 2 6 24 6" xfId="38564"/>
    <cellStyle name="Note 2 2 2 6 24 7" xfId="53048"/>
    <cellStyle name="Note 2 2 2 6 25" xfId="3654"/>
    <cellStyle name="Note 2 2 2 6 25 2" xfId="11439"/>
    <cellStyle name="Note 2 2 2 6 25 3" xfId="18712"/>
    <cellStyle name="Note 2 2 2 6 25 4" xfId="26564"/>
    <cellStyle name="Note 2 2 2 6 25 5" xfId="35375"/>
    <cellStyle name="Note 2 2 2 6 25 6" xfId="40797"/>
    <cellStyle name="Note 2 2 2 6 25 7" xfId="54203"/>
    <cellStyle name="Note 2 2 2 6 26" xfId="3785"/>
    <cellStyle name="Note 2 2 2 6 26 2" xfId="11567"/>
    <cellStyle name="Note 2 2 2 6 26 3" xfId="18824"/>
    <cellStyle name="Note 2 2 2 6 26 4" xfId="20114"/>
    <cellStyle name="Note 2 2 2 6 26 5" xfId="27213"/>
    <cellStyle name="Note 2 2 2 6 26 6" xfId="41121"/>
    <cellStyle name="Note 2 2 2 6 26 7" xfId="47376"/>
    <cellStyle name="Note 2 2 2 6 27" xfId="3902"/>
    <cellStyle name="Note 2 2 2 6 27 2" xfId="11682"/>
    <cellStyle name="Note 2 2 2 6 27 3" xfId="18933"/>
    <cellStyle name="Note 2 2 2 6 27 4" xfId="25141"/>
    <cellStyle name="Note 2 2 2 6 27 5" xfId="33514"/>
    <cellStyle name="Note 2 2 2 6 27 6" xfId="39003"/>
    <cellStyle name="Note 2 2 2 6 27 7" xfId="51089"/>
    <cellStyle name="Note 2 2 2 6 28" xfId="4002"/>
    <cellStyle name="Note 2 2 2 6 28 2" xfId="11781"/>
    <cellStyle name="Note 2 2 2 6 28 3" xfId="20712"/>
    <cellStyle name="Note 2 2 2 6 28 4" xfId="28899"/>
    <cellStyle name="Note 2 2 2 6 28 5" xfId="34320"/>
    <cellStyle name="Note 2 2 2 6 28 6" xfId="42564"/>
    <cellStyle name="Note 2 2 2 6 28 7" xfId="47443"/>
    <cellStyle name="Note 2 2 2 6 29" xfId="4099"/>
    <cellStyle name="Note 2 2 2 6 29 2" xfId="11859"/>
    <cellStyle name="Note 2 2 2 6 29 3" xfId="20809"/>
    <cellStyle name="Note 2 2 2 6 29 4" xfId="28996"/>
    <cellStyle name="Note 2 2 2 6 29 5" xfId="27468"/>
    <cellStyle name="Note 2 2 2 6 29 6" xfId="42661"/>
    <cellStyle name="Note 2 2 2 6 29 7" xfId="47720"/>
    <cellStyle name="Note 2 2 2 6 3" xfId="756"/>
    <cellStyle name="Note 2 2 2 6 3 2" xfId="8580"/>
    <cellStyle name="Note 2 2 2 6 3 3" xfId="16008"/>
    <cellStyle name="Note 2 2 2 6 3 4" xfId="26633"/>
    <cellStyle name="Note 2 2 2 6 3 5" xfId="35468"/>
    <cellStyle name="Note 2 2 2 6 3 6" xfId="36730"/>
    <cellStyle name="Note 2 2 2 6 3 7" xfId="54352"/>
    <cellStyle name="Note 2 2 2 6 30" xfId="2994"/>
    <cellStyle name="Note 2 2 2 6 30 2" xfId="20176"/>
    <cellStyle name="Note 2 2 2 6 30 3" xfId="28263"/>
    <cellStyle name="Note 2 2 2 6 30 4" xfId="36103"/>
    <cellStyle name="Note 2 2 2 6 30 5" xfId="42344"/>
    <cellStyle name="Note 2 2 2 6 30 6" xfId="53910"/>
    <cellStyle name="Note 2 2 2 6 31" xfId="4296"/>
    <cellStyle name="Note 2 2 2 6 31 2" xfId="12013"/>
    <cellStyle name="Note 2 2 2 6 31 3" xfId="21006"/>
    <cellStyle name="Note 2 2 2 6 31 4" xfId="29193"/>
    <cellStyle name="Note 2 2 2 6 31 5" xfId="28029"/>
    <cellStyle name="Note 2 2 2 6 31 6" xfId="42858"/>
    <cellStyle name="Note 2 2 2 6 31 7" xfId="47970"/>
    <cellStyle name="Note 2 2 2 6 32" xfId="4419"/>
    <cellStyle name="Note 2 2 2 6 32 2" xfId="12136"/>
    <cellStyle name="Note 2 2 2 6 32 3" xfId="21129"/>
    <cellStyle name="Note 2 2 2 6 32 4" xfId="29316"/>
    <cellStyle name="Note 2 2 2 6 32 5" xfId="35991"/>
    <cellStyle name="Note 2 2 2 6 32 6" xfId="42981"/>
    <cellStyle name="Note 2 2 2 6 32 7" xfId="53383"/>
    <cellStyle name="Note 2 2 2 6 33" xfId="4533"/>
    <cellStyle name="Note 2 2 2 6 33 2" xfId="12250"/>
    <cellStyle name="Note 2 2 2 6 33 3" xfId="21243"/>
    <cellStyle name="Note 2 2 2 6 33 4" xfId="29430"/>
    <cellStyle name="Note 2 2 2 6 33 5" xfId="36152"/>
    <cellStyle name="Note 2 2 2 6 33 6" xfId="43095"/>
    <cellStyle name="Note 2 2 2 6 33 7" xfId="54152"/>
    <cellStyle name="Note 2 2 2 6 34" xfId="4646"/>
    <cellStyle name="Note 2 2 2 6 34 2" xfId="12363"/>
    <cellStyle name="Note 2 2 2 6 34 3" xfId="21356"/>
    <cellStyle name="Note 2 2 2 6 34 4" xfId="29543"/>
    <cellStyle name="Note 2 2 2 6 34 5" xfId="35821"/>
    <cellStyle name="Note 2 2 2 6 34 6" xfId="43208"/>
    <cellStyle name="Note 2 2 2 6 34 7" xfId="52534"/>
    <cellStyle name="Note 2 2 2 6 35" xfId="4758"/>
    <cellStyle name="Note 2 2 2 6 35 2" xfId="12475"/>
    <cellStyle name="Note 2 2 2 6 35 3" xfId="21468"/>
    <cellStyle name="Note 2 2 2 6 35 4" xfId="29655"/>
    <cellStyle name="Note 2 2 2 6 35 5" xfId="28238"/>
    <cellStyle name="Note 2 2 2 6 35 6" xfId="43320"/>
    <cellStyle name="Note 2 2 2 6 35 7" xfId="47295"/>
    <cellStyle name="Note 2 2 2 6 36" xfId="4866"/>
    <cellStyle name="Note 2 2 2 6 36 2" xfId="12583"/>
    <cellStyle name="Note 2 2 2 6 36 3" xfId="21576"/>
    <cellStyle name="Note 2 2 2 6 36 4" xfId="29763"/>
    <cellStyle name="Note 2 2 2 6 36 5" xfId="35822"/>
    <cellStyle name="Note 2 2 2 6 36 6" xfId="43428"/>
    <cellStyle name="Note 2 2 2 6 36 7" xfId="52537"/>
    <cellStyle name="Note 2 2 2 6 37" xfId="4978"/>
    <cellStyle name="Note 2 2 2 6 37 2" xfId="12695"/>
    <cellStyle name="Note 2 2 2 6 37 3" xfId="21688"/>
    <cellStyle name="Note 2 2 2 6 37 4" xfId="29875"/>
    <cellStyle name="Note 2 2 2 6 37 5" xfId="27436"/>
    <cellStyle name="Note 2 2 2 6 37 6" xfId="43540"/>
    <cellStyle name="Note 2 2 2 6 37 7" xfId="50053"/>
    <cellStyle name="Note 2 2 2 6 38" xfId="5135"/>
    <cellStyle name="Note 2 2 2 6 38 2" xfId="12852"/>
    <cellStyle name="Note 2 2 2 6 38 3" xfId="21845"/>
    <cellStyle name="Note 2 2 2 6 38 4" xfId="30032"/>
    <cellStyle name="Note 2 2 2 6 38 5" xfId="35541"/>
    <cellStyle name="Note 2 2 2 6 38 6" xfId="43697"/>
    <cellStyle name="Note 2 2 2 6 38 7" xfId="47542"/>
    <cellStyle name="Note 2 2 2 6 39" xfId="5476"/>
    <cellStyle name="Note 2 2 2 6 39 2" xfId="13193"/>
    <cellStyle name="Note 2 2 2 6 39 3" xfId="22186"/>
    <cellStyle name="Note 2 2 2 6 39 4" xfId="30373"/>
    <cellStyle name="Note 2 2 2 6 39 5" xfId="33408"/>
    <cellStyle name="Note 2 2 2 6 39 6" xfId="44038"/>
    <cellStyle name="Note 2 2 2 6 39 7" xfId="50995"/>
    <cellStyle name="Note 2 2 2 6 4" xfId="868"/>
    <cellStyle name="Note 2 2 2 6 4 2" xfId="8692"/>
    <cellStyle name="Note 2 2 2 6 4 3" xfId="16120"/>
    <cellStyle name="Note 2 2 2 6 4 4" xfId="24824"/>
    <cellStyle name="Note 2 2 2 6 4 5" xfId="28809"/>
    <cellStyle name="Note 2 2 2 6 4 6" xfId="37515"/>
    <cellStyle name="Note 2 2 2 6 4 7" xfId="47869"/>
    <cellStyle name="Note 2 2 2 6 40" xfId="5601"/>
    <cellStyle name="Note 2 2 2 6 40 2" xfId="13318"/>
    <cellStyle name="Note 2 2 2 6 40 3" xfId="22311"/>
    <cellStyle name="Note 2 2 2 6 40 4" xfId="30498"/>
    <cellStyle name="Note 2 2 2 6 40 5" xfId="27611"/>
    <cellStyle name="Note 2 2 2 6 40 6" xfId="44163"/>
    <cellStyle name="Note 2 2 2 6 40 7" xfId="47140"/>
    <cellStyle name="Note 2 2 2 6 41" xfId="5716"/>
    <cellStyle name="Note 2 2 2 6 41 2" xfId="13433"/>
    <cellStyle name="Note 2 2 2 6 41 3" xfId="22426"/>
    <cellStyle name="Note 2 2 2 6 41 4" xfId="30613"/>
    <cellStyle name="Note 2 2 2 6 41 5" xfId="27433"/>
    <cellStyle name="Note 2 2 2 6 41 6" xfId="44278"/>
    <cellStyle name="Note 2 2 2 6 41 7" xfId="46803"/>
    <cellStyle name="Note 2 2 2 6 42" xfId="5833"/>
    <cellStyle name="Note 2 2 2 6 42 2" xfId="13550"/>
    <cellStyle name="Note 2 2 2 6 42 3" xfId="22543"/>
    <cellStyle name="Note 2 2 2 6 42 4" xfId="30730"/>
    <cellStyle name="Note 2 2 2 6 42 5" xfId="27643"/>
    <cellStyle name="Note 2 2 2 6 42 6" xfId="44395"/>
    <cellStyle name="Note 2 2 2 6 42 7" xfId="49569"/>
    <cellStyle name="Note 2 2 2 6 43" xfId="5961"/>
    <cellStyle name="Note 2 2 2 6 43 2" xfId="13678"/>
    <cellStyle name="Note 2 2 2 6 43 3" xfId="22671"/>
    <cellStyle name="Note 2 2 2 6 43 4" xfId="30858"/>
    <cellStyle name="Note 2 2 2 6 43 5" xfId="35589"/>
    <cellStyle name="Note 2 2 2 6 43 6" xfId="44523"/>
    <cellStyle name="Note 2 2 2 6 43 7" xfId="51138"/>
    <cellStyle name="Note 2 2 2 6 44" xfId="6074"/>
    <cellStyle name="Note 2 2 2 6 44 2" xfId="13791"/>
    <cellStyle name="Note 2 2 2 6 44 3" xfId="22784"/>
    <cellStyle name="Note 2 2 2 6 44 4" xfId="30971"/>
    <cellStyle name="Note 2 2 2 6 44 5" xfId="28288"/>
    <cellStyle name="Note 2 2 2 6 44 6" xfId="44636"/>
    <cellStyle name="Note 2 2 2 6 44 7" xfId="54212"/>
    <cellStyle name="Note 2 2 2 6 45" xfId="5814"/>
    <cellStyle name="Note 2 2 2 6 45 2" xfId="13531"/>
    <cellStyle name="Note 2 2 2 6 45 3" xfId="22524"/>
    <cellStyle name="Note 2 2 2 6 45 4" xfId="30711"/>
    <cellStyle name="Note 2 2 2 6 45 5" xfId="35749"/>
    <cellStyle name="Note 2 2 2 6 45 6" xfId="44376"/>
    <cellStyle name="Note 2 2 2 6 45 7" xfId="52019"/>
    <cellStyle name="Note 2 2 2 6 46" xfId="6217"/>
    <cellStyle name="Note 2 2 2 6 46 2" xfId="13934"/>
    <cellStyle name="Note 2 2 2 6 46 3" xfId="22927"/>
    <cellStyle name="Note 2 2 2 6 46 4" xfId="31114"/>
    <cellStyle name="Note 2 2 2 6 46 5" xfId="36162"/>
    <cellStyle name="Note 2 2 2 6 46 6" xfId="44779"/>
    <cellStyle name="Note 2 2 2 6 46 7" xfId="53748"/>
    <cellStyle name="Note 2 2 2 6 47" xfId="6334"/>
    <cellStyle name="Note 2 2 2 6 47 2" xfId="14051"/>
    <cellStyle name="Note 2 2 2 6 47 3" xfId="23044"/>
    <cellStyle name="Note 2 2 2 6 47 4" xfId="31231"/>
    <cellStyle name="Note 2 2 2 6 47 5" xfId="27592"/>
    <cellStyle name="Note 2 2 2 6 47 6" xfId="44896"/>
    <cellStyle name="Note 2 2 2 6 47 7" xfId="50550"/>
    <cellStyle name="Note 2 2 2 6 48" xfId="6444"/>
    <cellStyle name="Note 2 2 2 6 48 2" xfId="14161"/>
    <cellStyle name="Note 2 2 2 6 48 3" xfId="23154"/>
    <cellStyle name="Note 2 2 2 6 48 4" xfId="31341"/>
    <cellStyle name="Note 2 2 2 6 48 5" xfId="35465"/>
    <cellStyle name="Note 2 2 2 6 48 6" xfId="45006"/>
    <cellStyle name="Note 2 2 2 6 48 7" xfId="51624"/>
    <cellStyle name="Note 2 2 2 6 49" xfId="6541"/>
    <cellStyle name="Note 2 2 2 6 49 2" xfId="14258"/>
    <cellStyle name="Note 2 2 2 6 49 3" xfId="23251"/>
    <cellStyle name="Note 2 2 2 6 49 4" xfId="31438"/>
    <cellStyle name="Note 2 2 2 6 49 5" xfId="27799"/>
    <cellStyle name="Note 2 2 2 6 49 6" xfId="45103"/>
    <cellStyle name="Note 2 2 2 6 49 7" xfId="49371"/>
    <cellStyle name="Note 2 2 2 6 5" xfId="1333"/>
    <cellStyle name="Note 2 2 2 6 5 2" xfId="9156"/>
    <cellStyle name="Note 2 2 2 6 5 3" xfId="16584"/>
    <cellStyle name="Note 2 2 2 6 5 4" xfId="24977"/>
    <cellStyle name="Note 2 2 2 6 5 5" xfId="33320"/>
    <cellStyle name="Note 2 2 2 6 5 6" xfId="41895"/>
    <cellStyle name="Note 2 2 2 6 5 7" xfId="50739"/>
    <cellStyle name="Note 2 2 2 6 50" xfId="6591"/>
    <cellStyle name="Note 2 2 2 6 50 2" xfId="14308"/>
    <cellStyle name="Note 2 2 2 6 50 3" xfId="23301"/>
    <cellStyle name="Note 2 2 2 6 50 4" xfId="31488"/>
    <cellStyle name="Note 2 2 2 6 50 5" xfId="35766"/>
    <cellStyle name="Note 2 2 2 6 50 6" xfId="45153"/>
    <cellStyle name="Note 2 2 2 6 50 7" xfId="52118"/>
    <cellStyle name="Note 2 2 2 6 51" xfId="6702"/>
    <cellStyle name="Note 2 2 2 6 51 2" xfId="14419"/>
    <cellStyle name="Note 2 2 2 6 51 3" xfId="23412"/>
    <cellStyle name="Note 2 2 2 6 51 4" xfId="31599"/>
    <cellStyle name="Note 2 2 2 6 51 5" xfId="27472"/>
    <cellStyle name="Note 2 2 2 6 51 6" xfId="45264"/>
    <cellStyle name="Note 2 2 2 6 51 7" xfId="49829"/>
    <cellStyle name="Note 2 2 2 6 52" xfId="6817"/>
    <cellStyle name="Note 2 2 2 6 52 2" xfId="14534"/>
    <cellStyle name="Note 2 2 2 6 52 3" xfId="23527"/>
    <cellStyle name="Note 2 2 2 6 52 4" xfId="31714"/>
    <cellStyle name="Note 2 2 2 6 52 5" xfId="34536"/>
    <cellStyle name="Note 2 2 2 6 52 6" xfId="45379"/>
    <cellStyle name="Note 2 2 2 6 52 7" xfId="50265"/>
    <cellStyle name="Note 2 2 2 6 53" xfId="6930"/>
    <cellStyle name="Note 2 2 2 6 53 2" xfId="14647"/>
    <cellStyle name="Note 2 2 2 6 53 3" xfId="23640"/>
    <cellStyle name="Note 2 2 2 6 53 4" xfId="31827"/>
    <cellStyle name="Note 2 2 2 6 53 5" xfId="36230"/>
    <cellStyle name="Note 2 2 2 6 53 6" xfId="45492"/>
    <cellStyle name="Note 2 2 2 6 53 7" xfId="47042"/>
    <cellStyle name="Note 2 2 2 6 54" xfId="7042"/>
    <cellStyle name="Note 2 2 2 6 54 2" xfId="14759"/>
    <cellStyle name="Note 2 2 2 6 54 3" xfId="23752"/>
    <cellStyle name="Note 2 2 2 6 54 4" xfId="31939"/>
    <cellStyle name="Note 2 2 2 6 54 5" xfId="28694"/>
    <cellStyle name="Note 2 2 2 6 54 6" xfId="45604"/>
    <cellStyle name="Note 2 2 2 6 54 7" xfId="47736"/>
    <cellStyle name="Note 2 2 2 6 55" xfId="7311"/>
    <cellStyle name="Note 2 2 2 6 55 2" xfId="15028"/>
    <cellStyle name="Note 2 2 2 6 55 3" xfId="24021"/>
    <cellStyle name="Note 2 2 2 6 55 4" xfId="32208"/>
    <cellStyle name="Note 2 2 2 6 55 5" xfId="27124"/>
    <cellStyle name="Note 2 2 2 6 55 6" xfId="45873"/>
    <cellStyle name="Note 2 2 2 6 55 7" xfId="52965"/>
    <cellStyle name="Note 2 2 2 6 56" xfId="7269"/>
    <cellStyle name="Note 2 2 2 6 56 2" xfId="14986"/>
    <cellStyle name="Note 2 2 2 6 56 3" xfId="23979"/>
    <cellStyle name="Note 2 2 2 6 56 4" xfId="32166"/>
    <cellStyle name="Note 2 2 2 6 56 5" xfId="35932"/>
    <cellStyle name="Note 2 2 2 6 56 6" xfId="45831"/>
    <cellStyle name="Note 2 2 2 6 56 7" xfId="52615"/>
    <cellStyle name="Note 2 2 2 6 57" xfId="7439"/>
    <cellStyle name="Note 2 2 2 6 57 2" xfId="15156"/>
    <cellStyle name="Note 2 2 2 6 57 3" xfId="24149"/>
    <cellStyle name="Note 2 2 2 6 57 4" xfId="32336"/>
    <cellStyle name="Note 2 2 2 6 57 5" xfId="27765"/>
    <cellStyle name="Note 2 2 2 6 57 6" xfId="46001"/>
    <cellStyle name="Note 2 2 2 6 57 7" xfId="49257"/>
    <cellStyle name="Note 2 2 2 6 58" xfId="7560"/>
    <cellStyle name="Note 2 2 2 6 58 2" xfId="15277"/>
    <cellStyle name="Note 2 2 2 6 58 3" xfId="24270"/>
    <cellStyle name="Note 2 2 2 6 58 4" xfId="32457"/>
    <cellStyle name="Note 2 2 2 6 58 5" xfId="35701"/>
    <cellStyle name="Note 2 2 2 6 58 6" xfId="46122"/>
    <cellStyle name="Note 2 2 2 6 58 7" xfId="51200"/>
    <cellStyle name="Note 2 2 2 6 59" xfId="7836"/>
    <cellStyle name="Note 2 2 2 6 59 2" xfId="15553"/>
    <cellStyle name="Note 2 2 2 6 59 3" xfId="24540"/>
    <cellStyle name="Note 2 2 2 6 59 4" xfId="32733"/>
    <cellStyle name="Note 2 2 2 6 59 5" xfId="35928"/>
    <cellStyle name="Note 2 2 2 6 59 6" xfId="46398"/>
    <cellStyle name="Note 2 2 2 6 59 7" xfId="52606"/>
    <cellStyle name="Note 2 2 2 6 6" xfId="1456"/>
    <cellStyle name="Note 2 2 2 6 6 2" xfId="9279"/>
    <cellStyle name="Note 2 2 2 6 6 3" xfId="16707"/>
    <cellStyle name="Note 2 2 2 6 6 4" xfId="19489"/>
    <cellStyle name="Note 2 2 2 6 6 5" xfId="33147"/>
    <cellStyle name="Note 2 2 2 6 6 6" xfId="37795"/>
    <cellStyle name="Note 2 2 2 6 6 7" xfId="50421"/>
    <cellStyle name="Note 2 2 2 6 60" xfId="7674"/>
    <cellStyle name="Note 2 2 2 6 60 2" xfId="15391"/>
    <cellStyle name="Note 2 2 2 6 60 3" xfId="24383"/>
    <cellStyle name="Note 2 2 2 6 60 4" xfId="32571"/>
    <cellStyle name="Note 2 2 2 6 60 5" xfId="35183"/>
    <cellStyle name="Note 2 2 2 6 60 6" xfId="46236"/>
    <cellStyle name="Note 2 2 2 6 60 7" xfId="48442"/>
    <cellStyle name="Note 2 2 2 6 61" xfId="7699"/>
    <cellStyle name="Note 2 2 2 6 61 2" xfId="15416"/>
    <cellStyle name="Note 2 2 2 6 61 3" xfId="24407"/>
    <cellStyle name="Note 2 2 2 6 61 4" xfId="32596"/>
    <cellStyle name="Note 2 2 2 6 61 5" xfId="35861"/>
    <cellStyle name="Note 2 2 2 6 61 6" xfId="46261"/>
    <cellStyle name="Note 2 2 2 6 61 7" xfId="47660"/>
    <cellStyle name="Note 2 2 2 6 62" xfId="7694"/>
    <cellStyle name="Note 2 2 2 6 62 2" xfId="15411"/>
    <cellStyle name="Note 2 2 2 6 62 3" xfId="24402"/>
    <cellStyle name="Note 2 2 2 6 62 4" xfId="32591"/>
    <cellStyle name="Note 2 2 2 6 62 5" xfId="35949"/>
    <cellStyle name="Note 2 2 2 6 62 6" xfId="46256"/>
    <cellStyle name="Note 2 2 2 6 62 7" xfId="52720"/>
    <cellStyle name="Note 2 2 2 6 63" xfId="8112"/>
    <cellStyle name="Note 2 2 2 6 63 2" xfId="15829"/>
    <cellStyle name="Note 2 2 2 6 63 3" xfId="33009"/>
    <cellStyle name="Note 2 2 2 6 63 4" xfId="35983"/>
    <cellStyle name="Note 2 2 2 6 63 5" xfId="46674"/>
    <cellStyle name="Note 2 2 2 6 63 6" xfId="52973"/>
    <cellStyle name="Note 2 2 2 6 64" xfId="25741"/>
    <cellStyle name="Note 2 2 2 6 65" xfId="34291"/>
    <cellStyle name="Note 2 2 2 6 66" xfId="36919"/>
    <cellStyle name="Note 2 2 2 6 67" xfId="52415"/>
    <cellStyle name="Note 2 2 2 6 7" xfId="1569"/>
    <cellStyle name="Note 2 2 2 6 7 2" xfId="9392"/>
    <cellStyle name="Note 2 2 2 6 7 3" xfId="16820"/>
    <cellStyle name="Note 2 2 2 6 7 4" xfId="26158"/>
    <cellStyle name="Note 2 2 2 6 7 5" xfId="34827"/>
    <cellStyle name="Note 2 2 2 6 7 6" xfId="41705"/>
    <cellStyle name="Note 2 2 2 6 7 7" xfId="53335"/>
    <cellStyle name="Note 2 2 2 6 8" xfId="1693"/>
    <cellStyle name="Note 2 2 2 6 8 2" xfId="9516"/>
    <cellStyle name="Note 2 2 2 6 8 3" xfId="16944"/>
    <cellStyle name="Note 2 2 2 6 8 4" xfId="25418"/>
    <cellStyle name="Note 2 2 2 6 8 5" xfId="33874"/>
    <cellStyle name="Note 2 2 2 6 8 6" xfId="37163"/>
    <cellStyle name="Note 2 2 2 6 8 7" xfId="51686"/>
    <cellStyle name="Note 2 2 2 6 9" xfId="1827"/>
    <cellStyle name="Note 2 2 2 6 9 2" xfId="9650"/>
    <cellStyle name="Note 2 2 2 6 9 3" xfId="17078"/>
    <cellStyle name="Note 2 2 2 6 9 4" xfId="19734"/>
    <cellStyle name="Note 2 2 2 6 9 5" xfId="26827"/>
    <cellStyle name="Note 2 2 2 6 9 6" xfId="38268"/>
    <cellStyle name="Note 2 2 2 6 9 7" xfId="49765"/>
    <cellStyle name="Note 2 2 2 60" xfId="7277"/>
    <cellStyle name="Note 2 2 2 60 2" xfId="14994"/>
    <cellStyle name="Note 2 2 2 60 3" xfId="23987"/>
    <cellStyle name="Note 2 2 2 60 4" xfId="32174"/>
    <cellStyle name="Note 2 2 2 60 5" xfId="35753"/>
    <cellStyle name="Note 2 2 2 60 6" xfId="45839"/>
    <cellStyle name="Note 2 2 2 60 7" xfId="51570"/>
    <cellStyle name="Note 2 2 2 61" xfId="7282"/>
    <cellStyle name="Note 2 2 2 61 2" xfId="14999"/>
    <cellStyle name="Note 2 2 2 61 3" xfId="23992"/>
    <cellStyle name="Note 2 2 2 61 4" xfId="32179"/>
    <cellStyle name="Note 2 2 2 61 5" xfId="35616"/>
    <cellStyle name="Note 2 2 2 61 6" xfId="45844"/>
    <cellStyle name="Note 2 2 2 61 7" xfId="51042"/>
    <cellStyle name="Note 2 2 2 62" xfId="7292"/>
    <cellStyle name="Note 2 2 2 62 2" xfId="15009"/>
    <cellStyle name="Note 2 2 2 62 3" xfId="24002"/>
    <cellStyle name="Note 2 2 2 62 4" xfId="32189"/>
    <cellStyle name="Note 2 2 2 62 5" xfId="27915"/>
    <cellStyle name="Note 2 2 2 62 6" xfId="45854"/>
    <cellStyle name="Note 2 2 2 62 7" xfId="50067"/>
    <cellStyle name="Note 2 2 2 63" xfId="7538"/>
    <cellStyle name="Note 2 2 2 63 2" xfId="15255"/>
    <cellStyle name="Note 2 2 2 63 3" xfId="24248"/>
    <cellStyle name="Note 2 2 2 63 4" xfId="32435"/>
    <cellStyle name="Note 2 2 2 63 5" xfId="36189"/>
    <cellStyle name="Note 2 2 2 63 6" xfId="46100"/>
    <cellStyle name="Note 2 2 2 63 7" xfId="53716"/>
    <cellStyle name="Note 2 2 2 64" xfId="7739"/>
    <cellStyle name="Note 2 2 2 64 2" xfId="15456"/>
    <cellStyle name="Note 2 2 2 64 3" xfId="24447"/>
    <cellStyle name="Note 2 2 2 64 4" xfId="32636"/>
    <cellStyle name="Note 2 2 2 64 5" xfId="36069"/>
    <cellStyle name="Note 2 2 2 64 6" xfId="46301"/>
    <cellStyle name="Note 2 2 2 64 7" xfId="48147"/>
    <cellStyle name="Note 2 2 2 65" xfId="7798"/>
    <cellStyle name="Note 2 2 2 65 2" xfId="15515"/>
    <cellStyle name="Note 2 2 2 65 3" xfId="24502"/>
    <cellStyle name="Note 2 2 2 65 4" xfId="32695"/>
    <cellStyle name="Note 2 2 2 65 5" xfId="33801"/>
    <cellStyle name="Note 2 2 2 65 6" xfId="46360"/>
    <cellStyle name="Note 2 2 2 65 7" xfId="52502"/>
    <cellStyle name="Note 2 2 2 66" xfId="7720"/>
    <cellStyle name="Note 2 2 2 66 2" xfId="15437"/>
    <cellStyle name="Note 2 2 2 66 3" xfId="24428"/>
    <cellStyle name="Note 2 2 2 66 4" xfId="32617"/>
    <cellStyle name="Note 2 2 2 66 5" xfId="33136"/>
    <cellStyle name="Note 2 2 2 66 6" xfId="46282"/>
    <cellStyle name="Note 2 2 2 66 7" xfId="49570"/>
    <cellStyle name="Note 2 2 2 67" xfId="7800"/>
    <cellStyle name="Note 2 2 2 67 2" xfId="15517"/>
    <cellStyle name="Note 2 2 2 67 3" xfId="24504"/>
    <cellStyle name="Note 2 2 2 67 4" xfId="32697"/>
    <cellStyle name="Note 2 2 2 67 5" xfId="36049"/>
    <cellStyle name="Note 2 2 2 67 6" xfId="46362"/>
    <cellStyle name="Note 2 2 2 67 7" xfId="51800"/>
    <cellStyle name="Note 2 2 2 68" xfId="8083"/>
    <cellStyle name="Note 2 2 2 68 2" xfId="15800"/>
    <cellStyle name="Note 2 2 2 68 3" xfId="32980"/>
    <cellStyle name="Note 2 2 2 68 4" xfId="33223"/>
    <cellStyle name="Note 2 2 2 68 5" xfId="46645"/>
    <cellStyle name="Note 2 2 2 68 6" xfId="47227"/>
    <cellStyle name="Note 2 2 2 69" xfId="20014"/>
    <cellStyle name="Note 2 2 2 7" xfId="606"/>
    <cellStyle name="Note 2 2 2 7 2" xfId="8430"/>
    <cellStyle name="Note 2 2 2 7 3" xfId="11789"/>
    <cellStyle name="Note 2 2 2 7 4" xfId="19962"/>
    <cellStyle name="Note 2 2 2 7 5" xfId="27940"/>
    <cellStyle name="Note 2 2 2 7 6" xfId="36373"/>
    <cellStyle name="Note 2 2 2 7 7" xfId="48267"/>
    <cellStyle name="Note 2 2 2 70" xfId="28069"/>
    <cellStyle name="Note 2 2 2 71" xfId="37285"/>
    <cellStyle name="Note 2 2 2 72" xfId="48487"/>
    <cellStyle name="Note 2 2 2 8" xfId="613"/>
    <cellStyle name="Note 2 2 2 8 2" xfId="8437"/>
    <cellStyle name="Note 2 2 2 8 3" xfId="11978"/>
    <cellStyle name="Note 2 2 2 8 4" xfId="19741"/>
    <cellStyle name="Note 2 2 2 8 5" xfId="27028"/>
    <cellStyle name="Note 2 2 2 8 6" xfId="36483"/>
    <cellStyle name="Note 2 2 2 8 7" xfId="47780"/>
    <cellStyle name="Note 2 2 2 9" xfId="813"/>
    <cellStyle name="Note 2 2 2 9 2" xfId="8637"/>
    <cellStyle name="Note 2 2 2 9 3" xfId="16065"/>
    <cellStyle name="Note 2 2 2 9 4" xfId="19789"/>
    <cellStyle name="Note 2 2 2 9 5" xfId="27095"/>
    <cellStyle name="Note 2 2 2 9 6" xfId="38103"/>
    <cellStyle name="Note 2 2 2 9 7" xfId="48516"/>
    <cellStyle name="Note 2 2 20" xfId="4232"/>
    <cellStyle name="Note 2 2 20 2" xfId="11968"/>
    <cellStyle name="Note 2 2 20 3" xfId="20942"/>
    <cellStyle name="Note 2 2 20 4" xfId="29129"/>
    <cellStyle name="Note 2 2 20 5" xfId="34022"/>
    <cellStyle name="Note 2 2 20 6" xfId="42794"/>
    <cellStyle name="Note 2 2 20 7" xfId="47299"/>
    <cellStyle name="Note 2 2 21" xfId="3466"/>
    <cellStyle name="Note 2 2 21 2" xfId="11257"/>
    <cellStyle name="Note 2 2 21 3" xfId="20461"/>
    <cellStyle name="Note 2 2 21 4" xfId="28580"/>
    <cellStyle name="Note 2 2 21 5" xfId="28119"/>
    <cellStyle name="Note 2 2 21 6" xfId="42474"/>
    <cellStyle name="Note 2 2 21 7" xfId="50750"/>
    <cellStyle name="Note 2 2 22" xfId="3875"/>
    <cellStyle name="Note 2 2 22 2" xfId="11656"/>
    <cellStyle name="Note 2 2 22 3" xfId="20647"/>
    <cellStyle name="Note 2 2 22 4" xfId="28819"/>
    <cellStyle name="Note 2 2 22 5" xfId="36105"/>
    <cellStyle name="Note 2 2 22 6" xfId="42548"/>
    <cellStyle name="Note 2 2 22 7" xfId="53932"/>
    <cellStyle name="Note 2 2 23" xfId="4061"/>
    <cellStyle name="Note 2 2 23 2" xfId="11827"/>
    <cellStyle name="Note 2 2 23 3" xfId="20771"/>
    <cellStyle name="Note 2 2 23 4" xfId="28958"/>
    <cellStyle name="Note 2 2 23 5" xfId="34601"/>
    <cellStyle name="Note 2 2 23 6" xfId="42623"/>
    <cellStyle name="Note 2 2 23 7" xfId="51040"/>
    <cellStyle name="Note 2 2 24" xfId="5307"/>
    <cellStyle name="Note 2 2 24 2" xfId="13024"/>
    <cellStyle name="Note 2 2 24 3" xfId="22017"/>
    <cellStyle name="Note 2 2 24 4" xfId="30204"/>
    <cellStyle name="Note 2 2 24 5" xfId="35975"/>
    <cellStyle name="Note 2 2 24 6" xfId="43869"/>
    <cellStyle name="Note 2 2 24 7" xfId="53310"/>
    <cellStyle name="Note 2 2 25" xfId="5088"/>
    <cellStyle name="Note 2 2 25 2" xfId="12805"/>
    <cellStyle name="Note 2 2 25 3" xfId="21798"/>
    <cellStyle name="Note 2 2 25 4" xfId="29985"/>
    <cellStyle name="Note 2 2 25 5" xfId="35763"/>
    <cellStyle name="Note 2 2 25 6" xfId="43650"/>
    <cellStyle name="Note 2 2 25 7" xfId="52307"/>
    <cellStyle name="Note 2 2 26" xfId="5158"/>
    <cellStyle name="Note 2 2 26 2" xfId="12875"/>
    <cellStyle name="Note 2 2 26 3" xfId="21868"/>
    <cellStyle name="Note 2 2 26 4" xfId="30055"/>
    <cellStyle name="Note 2 2 26 5" xfId="36044"/>
    <cellStyle name="Note 2 2 26 6" xfId="43720"/>
    <cellStyle name="Note 2 2 26 7" xfId="53635"/>
    <cellStyle name="Note 2 2 27" xfId="5299"/>
    <cellStyle name="Note 2 2 27 2" xfId="13016"/>
    <cellStyle name="Note 2 2 27 3" xfId="22009"/>
    <cellStyle name="Note 2 2 27 4" xfId="30196"/>
    <cellStyle name="Note 2 2 27 5" xfId="36135"/>
    <cellStyle name="Note 2 2 27 6" xfId="43861"/>
    <cellStyle name="Note 2 2 27 7" xfId="54045"/>
    <cellStyle name="Note 2 2 28" xfId="5773"/>
    <cellStyle name="Note 2 2 28 2" xfId="13490"/>
    <cellStyle name="Note 2 2 28 3" xfId="22483"/>
    <cellStyle name="Note 2 2 28 4" xfId="30670"/>
    <cellStyle name="Note 2 2 28 5" xfId="35345"/>
    <cellStyle name="Note 2 2 28 6" xfId="44335"/>
    <cellStyle name="Note 2 2 28 7" xfId="49529"/>
    <cellStyle name="Note 2 2 29" xfId="5267"/>
    <cellStyle name="Note 2 2 29 2" xfId="12984"/>
    <cellStyle name="Note 2 2 29 3" xfId="21977"/>
    <cellStyle name="Note 2 2 29 4" xfId="30164"/>
    <cellStyle name="Note 2 2 29 5" xfId="26805"/>
    <cellStyle name="Note 2 2 29 6" xfId="43829"/>
    <cellStyle name="Note 2 2 29 7" xfId="50096"/>
    <cellStyle name="Note 2 2 3" xfId="520"/>
    <cellStyle name="Note 2 2 3 10" xfId="1967"/>
    <cellStyle name="Note 2 2 3 10 2" xfId="9790"/>
    <cellStyle name="Note 2 2 3 10 3" xfId="17218"/>
    <cellStyle name="Note 2 2 3 10 4" xfId="19026"/>
    <cellStyle name="Note 2 2 3 10 5" xfId="27833"/>
    <cellStyle name="Note 2 2 3 10 6" xfId="38565"/>
    <cellStyle name="Note 2 2 3 10 7" xfId="49891"/>
    <cellStyle name="Note 2 2 3 11" xfId="2085"/>
    <cellStyle name="Note 2 2 3 11 2" xfId="9908"/>
    <cellStyle name="Note 2 2 3 11 3" xfId="17336"/>
    <cellStyle name="Note 2 2 3 11 4" xfId="20072"/>
    <cellStyle name="Note 2 2 3 11 5" xfId="28243"/>
    <cellStyle name="Note 2 2 3 11 6" xfId="41660"/>
    <cellStyle name="Note 2 2 3 11 7" xfId="50191"/>
    <cellStyle name="Note 2 2 3 12" xfId="2198"/>
    <cellStyle name="Note 2 2 3 12 2" xfId="10021"/>
    <cellStyle name="Note 2 2 3 12 3" xfId="17449"/>
    <cellStyle name="Note 2 2 3 12 4" xfId="19714"/>
    <cellStyle name="Note 2 2 3 12 5" xfId="27102"/>
    <cellStyle name="Note 2 2 3 12 6" xfId="37592"/>
    <cellStyle name="Note 2 2 3 12 7" xfId="48114"/>
    <cellStyle name="Note 2 2 3 13" xfId="1179"/>
    <cellStyle name="Note 2 2 3 13 2" xfId="9002"/>
    <cellStyle name="Note 2 2 3 13 3" xfId="16430"/>
    <cellStyle name="Note 2 2 3 13 4" xfId="26568"/>
    <cellStyle name="Note 2 2 3 13 5" xfId="35380"/>
    <cellStyle name="Note 2 2 3 13 6" xfId="37458"/>
    <cellStyle name="Note 2 2 3 13 7" xfId="54208"/>
    <cellStyle name="Note 2 2 3 14" xfId="1618"/>
    <cellStyle name="Note 2 2 3 14 2" xfId="9441"/>
    <cellStyle name="Note 2 2 3 14 3" xfId="16869"/>
    <cellStyle name="Note 2 2 3 14 4" xfId="25929"/>
    <cellStyle name="Note 2 2 3 14 5" xfId="34533"/>
    <cellStyle name="Note 2 2 3 14 6" xfId="36689"/>
    <cellStyle name="Note 2 2 3 14 7" xfId="52847"/>
    <cellStyle name="Note 2 2 3 15" xfId="2496"/>
    <cellStyle name="Note 2 2 3 15 2" xfId="10319"/>
    <cellStyle name="Note 2 2 3 15 3" xfId="17747"/>
    <cellStyle name="Note 2 2 3 15 4" xfId="25196"/>
    <cellStyle name="Note 2 2 3 15 5" xfId="33580"/>
    <cellStyle name="Note 2 2 3 15 6" xfId="37445"/>
    <cellStyle name="Note 2 2 3 15 7" xfId="51207"/>
    <cellStyle name="Note 2 2 3 16" xfId="2609"/>
    <cellStyle name="Note 2 2 3 16 2" xfId="10432"/>
    <cellStyle name="Note 2 2 3 16 3" xfId="17860"/>
    <cellStyle name="Note 2 2 3 16 4" xfId="19656"/>
    <cellStyle name="Note 2 2 3 16 5" xfId="28105"/>
    <cellStyle name="Note 2 2 3 16 6" xfId="41668"/>
    <cellStyle name="Note 2 2 3 16 7" xfId="48769"/>
    <cellStyle name="Note 2 2 3 17" xfId="2444"/>
    <cellStyle name="Note 2 2 3 17 2" xfId="10267"/>
    <cellStyle name="Note 2 2 3 17 3" xfId="17695"/>
    <cellStyle name="Note 2 2 3 17 4" xfId="19795"/>
    <cellStyle name="Note 2 2 3 17 5" xfId="26864"/>
    <cellStyle name="Note 2 2 3 17 6" xfId="42256"/>
    <cellStyle name="Note 2 2 3 17 7" xfId="48304"/>
    <cellStyle name="Note 2 2 3 18" xfId="2407"/>
    <cellStyle name="Note 2 2 3 18 2" xfId="10230"/>
    <cellStyle name="Note 2 2 3 18 3" xfId="17658"/>
    <cellStyle name="Note 2 2 3 18 4" xfId="26129"/>
    <cellStyle name="Note 2 2 3 18 5" xfId="34790"/>
    <cellStyle name="Note 2 2 3 18 6" xfId="38924"/>
    <cellStyle name="Note 2 2 3 18 7" xfId="53270"/>
    <cellStyle name="Note 2 2 3 19" xfId="2803"/>
    <cellStyle name="Note 2 2 3 19 2" xfId="10626"/>
    <cellStyle name="Note 2 2 3 19 3" xfId="18054"/>
    <cellStyle name="Note 2 2 3 19 4" xfId="25070"/>
    <cellStyle name="Note 2 2 3 19 5" xfId="33430"/>
    <cellStyle name="Note 2 2 3 19 6" xfId="36599"/>
    <cellStyle name="Note 2 2 3 19 7" xfId="50950"/>
    <cellStyle name="Note 2 2 3 2" xfId="671"/>
    <cellStyle name="Note 2 2 3 2 2" xfId="8495"/>
    <cellStyle name="Note 2 2 3 2 3" xfId="8263"/>
    <cellStyle name="Note 2 2 3 2 4" xfId="24859"/>
    <cellStyle name="Note 2 2 3 2 5" xfId="33172"/>
    <cellStyle name="Note 2 2 3 2 6" xfId="37859"/>
    <cellStyle name="Note 2 2 3 2 7" xfId="50480"/>
    <cellStyle name="Note 2 2 3 20" xfId="2910"/>
    <cellStyle name="Note 2 2 3 20 2" xfId="10733"/>
    <cellStyle name="Note 2 2 3 20 3" xfId="18161"/>
    <cellStyle name="Note 2 2 3 20 4" xfId="19508"/>
    <cellStyle name="Note 2 2 3 20 5" xfId="33103"/>
    <cellStyle name="Note 2 2 3 20 6" xfId="36668"/>
    <cellStyle name="Note 2 2 3 20 7" xfId="49692"/>
    <cellStyle name="Note 2 2 3 21" xfId="3286"/>
    <cellStyle name="Note 2 2 3 21 2" xfId="11079"/>
    <cellStyle name="Note 2 2 3 21 3" xfId="18408"/>
    <cellStyle name="Note 2 2 3 21 4" xfId="26155"/>
    <cellStyle name="Note 2 2 3 21 5" xfId="34824"/>
    <cellStyle name="Note 2 2 3 21 6" xfId="41042"/>
    <cellStyle name="Note 2 2 3 21 7" xfId="53331"/>
    <cellStyle name="Note 2 2 3 22" xfId="3406"/>
    <cellStyle name="Note 2 2 3 22 2" xfId="11197"/>
    <cellStyle name="Note 2 2 3 22 3" xfId="18519"/>
    <cellStyle name="Note 2 2 3 22 4" xfId="19255"/>
    <cellStyle name="Note 2 2 3 22 5" xfId="28294"/>
    <cellStyle name="Note 2 2 3 22 6" xfId="36355"/>
    <cellStyle name="Note 2 2 3 22 7" xfId="49399"/>
    <cellStyle name="Note 2 2 3 23" xfId="3534"/>
    <cellStyle name="Note 2 2 3 23 2" xfId="11324"/>
    <cellStyle name="Note 2 2 3 23 3" xfId="18615"/>
    <cellStyle name="Note 2 2 3 23 4" xfId="25265"/>
    <cellStyle name="Note 2 2 3 23 5" xfId="33673"/>
    <cellStyle name="Note 2 2 3 23 6" xfId="36558"/>
    <cellStyle name="Note 2 2 3 23 7" xfId="51352"/>
    <cellStyle name="Note 2 2 3 24" xfId="3033"/>
    <cellStyle name="Note 2 2 3 24 2" xfId="10848"/>
    <cellStyle name="Note 2 2 3 24 3" xfId="18259"/>
    <cellStyle name="Note 2 2 3 24 4" xfId="19808"/>
    <cellStyle name="Note 2 2 3 24 5" xfId="28246"/>
    <cellStyle name="Note 2 2 3 24 6" xfId="37289"/>
    <cellStyle name="Note 2 2 3 24 7" xfId="49982"/>
    <cellStyle name="Note 2 2 3 25" xfId="3676"/>
    <cellStyle name="Note 2 2 3 25 2" xfId="11461"/>
    <cellStyle name="Note 2 2 3 25 3" xfId="18734"/>
    <cellStyle name="Note 2 2 3 25 4" xfId="25551"/>
    <cellStyle name="Note 2 2 3 25 5" xfId="34046"/>
    <cellStyle name="Note 2 2 3 25 6" xfId="37668"/>
    <cellStyle name="Note 2 2 3 25 7" xfId="51984"/>
    <cellStyle name="Note 2 2 3 26" xfId="3807"/>
    <cellStyle name="Note 2 2 3 26 2" xfId="11589"/>
    <cellStyle name="Note 2 2 3 26 3" xfId="18846"/>
    <cellStyle name="Note 2 2 3 26 4" xfId="26385"/>
    <cellStyle name="Note 2 2 3 26 5" xfId="35131"/>
    <cellStyle name="Note 2 2 3 26 6" xfId="41470"/>
    <cellStyle name="Note 2 2 3 26 7" xfId="53815"/>
    <cellStyle name="Note 2 2 3 27" xfId="3924"/>
    <cellStyle name="Note 2 2 3 27 2" xfId="11704"/>
    <cellStyle name="Note 2 2 3 27 3" xfId="18955"/>
    <cellStyle name="Note 2 2 3 27 4" xfId="19277"/>
    <cellStyle name="Note 2 2 3 27 5" xfId="28109"/>
    <cellStyle name="Note 2 2 3 27 6" xfId="37362"/>
    <cellStyle name="Note 2 2 3 27 7" xfId="48982"/>
    <cellStyle name="Note 2 2 3 28" xfId="2978"/>
    <cellStyle name="Note 2 2 3 28 2" xfId="10801"/>
    <cellStyle name="Note 2 2 3 28 3" xfId="20168"/>
    <cellStyle name="Note 2 2 3 28 4" xfId="28250"/>
    <cellStyle name="Note 2 2 3 28 5" xfId="27001"/>
    <cellStyle name="Note 2 2 3 28 6" xfId="42339"/>
    <cellStyle name="Note 2 2 3 28 7" xfId="50077"/>
    <cellStyle name="Note 2 2 3 29" xfId="4121"/>
    <cellStyle name="Note 2 2 3 29 2" xfId="11881"/>
    <cellStyle name="Note 2 2 3 29 3" xfId="20831"/>
    <cellStyle name="Note 2 2 3 29 4" xfId="29018"/>
    <cellStyle name="Note 2 2 3 29 5" xfId="35813"/>
    <cellStyle name="Note 2 2 3 29 6" xfId="42683"/>
    <cellStyle name="Note 2 2 3 29 7" xfId="52500"/>
    <cellStyle name="Note 2 2 3 3" xfId="778"/>
    <cellStyle name="Note 2 2 3 3 2" xfId="8602"/>
    <cellStyle name="Note 2 2 3 3 3" xfId="16030"/>
    <cellStyle name="Note 2 2 3 3 4" xfId="25567"/>
    <cellStyle name="Note 2 2 3 3 5" xfId="34065"/>
    <cellStyle name="Note 2 2 3 3 6" xfId="37648"/>
    <cellStyle name="Note 2 2 3 3 7" xfId="52013"/>
    <cellStyle name="Note 2 2 3 30" xfId="3024"/>
    <cellStyle name="Note 2 2 3 30 2" xfId="20196"/>
    <cellStyle name="Note 2 2 3 30 3" xfId="28287"/>
    <cellStyle name="Note 2 2 3 30 4" xfId="33938"/>
    <cellStyle name="Note 2 2 3 30 5" xfId="42361"/>
    <cellStyle name="Note 2 2 3 30 6" xfId="49840"/>
    <cellStyle name="Note 2 2 3 31" xfId="4318"/>
    <cellStyle name="Note 2 2 3 31 2" xfId="12035"/>
    <cellStyle name="Note 2 2 3 31 3" xfId="21028"/>
    <cellStyle name="Note 2 2 3 31 4" xfId="29215"/>
    <cellStyle name="Note 2 2 3 31 5" xfId="33264"/>
    <cellStyle name="Note 2 2 3 31 6" xfId="42880"/>
    <cellStyle name="Note 2 2 3 31 7" xfId="50630"/>
    <cellStyle name="Note 2 2 3 32" xfId="4441"/>
    <cellStyle name="Note 2 2 3 32 2" xfId="12158"/>
    <cellStyle name="Note 2 2 3 32 3" xfId="21151"/>
    <cellStyle name="Note 2 2 3 32 4" xfId="29338"/>
    <cellStyle name="Note 2 2 3 32 5" xfId="34589"/>
    <cellStyle name="Note 2 2 3 32 6" xfId="43003"/>
    <cellStyle name="Note 2 2 3 32 7" xfId="51128"/>
    <cellStyle name="Note 2 2 3 33" xfId="4555"/>
    <cellStyle name="Note 2 2 3 33 2" xfId="12272"/>
    <cellStyle name="Note 2 2 3 33 3" xfId="21265"/>
    <cellStyle name="Note 2 2 3 33 4" xfId="29452"/>
    <cellStyle name="Note 2 2 3 33 5" xfId="36136"/>
    <cellStyle name="Note 2 2 3 33 6" xfId="43117"/>
    <cellStyle name="Note 2 2 3 33 7" xfId="54046"/>
    <cellStyle name="Note 2 2 3 34" xfId="4668"/>
    <cellStyle name="Note 2 2 3 34 2" xfId="12385"/>
    <cellStyle name="Note 2 2 3 34 3" xfId="21378"/>
    <cellStyle name="Note 2 2 3 34 4" xfId="29565"/>
    <cellStyle name="Note 2 2 3 34 5" xfId="27016"/>
    <cellStyle name="Note 2 2 3 34 6" xfId="43230"/>
    <cellStyle name="Note 2 2 3 34 7" xfId="50226"/>
    <cellStyle name="Note 2 2 3 35" xfId="4780"/>
    <cellStyle name="Note 2 2 3 35 2" xfId="12497"/>
    <cellStyle name="Note 2 2 3 35 3" xfId="21490"/>
    <cellStyle name="Note 2 2 3 35 4" xfId="29677"/>
    <cellStyle name="Note 2 2 3 35 5" xfId="36064"/>
    <cellStyle name="Note 2 2 3 35 6" xfId="43342"/>
    <cellStyle name="Note 2 2 3 35 7" xfId="53739"/>
    <cellStyle name="Note 2 2 3 36" xfId="4888"/>
    <cellStyle name="Note 2 2 3 36 2" xfId="12605"/>
    <cellStyle name="Note 2 2 3 36 3" xfId="21598"/>
    <cellStyle name="Note 2 2 3 36 4" xfId="29785"/>
    <cellStyle name="Note 2 2 3 36 5" xfId="34582"/>
    <cellStyle name="Note 2 2 3 36 6" xfId="43450"/>
    <cellStyle name="Note 2 2 3 36 7" xfId="49736"/>
    <cellStyle name="Note 2 2 3 37" xfId="5000"/>
    <cellStyle name="Note 2 2 3 37 2" xfId="12717"/>
    <cellStyle name="Note 2 2 3 37 3" xfId="21710"/>
    <cellStyle name="Note 2 2 3 37 4" xfId="29897"/>
    <cellStyle name="Note 2 2 3 37 5" xfId="34097"/>
    <cellStyle name="Note 2 2 3 37 6" xfId="43562"/>
    <cellStyle name="Note 2 2 3 37 7" xfId="48136"/>
    <cellStyle name="Note 2 2 3 38" xfId="5113"/>
    <cellStyle name="Note 2 2 3 38 2" xfId="12830"/>
    <cellStyle name="Note 2 2 3 38 3" xfId="21823"/>
    <cellStyle name="Note 2 2 3 38 4" xfId="30010"/>
    <cellStyle name="Note 2 2 3 38 5" xfId="27103"/>
    <cellStyle name="Note 2 2 3 38 6" xfId="43675"/>
    <cellStyle name="Note 2 2 3 38 7" xfId="47405"/>
    <cellStyle name="Note 2 2 3 39" xfId="5498"/>
    <cellStyle name="Note 2 2 3 39 2" xfId="13215"/>
    <cellStyle name="Note 2 2 3 39 3" xfId="22208"/>
    <cellStyle name="Note 2 2 3 39 4" xfId="30395"/>
    <cellStyle name="Note 2 2 3 39 5" xfId="33668"/>
    <cellStyle name="Note 2 2 3 39 6" xfId="44060"/>
    <cellStyle name="Note 2 2 3 39 7" xfId="48865"/>
    <cellStyle name="Note 2 2 3 4" xfId="890"/>
    <cellStyle name="Note 2 2 3 4 2" xfId="8714"/>
    <cellStyle name="Note 2 2 3 4 3" xfId="16142"/>
    <cellStyle name="Note 2 2 3 4 4" xfId="26415"/>
    <cellStyle name="Note 2 2 3 4 5" xfId="35175"/>
    <cellStyle name="Note 2 2 3 4 6" xfId="37877"/>
    <cellStyle name="Note 2 2 3 4 7" xfId="53886"/>
    <cellStyle name="Note 2 2 3 40" xfId="5623"/>
    <cellStyle name="Note 2 2 3 40 2" xfId="13340"/>
    <cellStyle name="Note 2 2 3 40 3" xfId="22333"/>
    <cellStyle name="Note 2 2 3 40 4" xfId="30520"/>
    <cellStyle name="Note 2 2 3 40 5" xfId="27224"/>
    <cellStyle name="Note 2 2 3 40 6" xfId="44185"/>
    <cellStyle name="Note 2 2 3 40 7" xfId="47119"/>
    <cellStyle name="Note 2 2 3 41" xfId="5738"/>
    <cellStyle name="Note 2 2 3 41 2" xfId="13455"/>
    <cellStyle name="Note 2 2 3 41 3" xfId="22448"/>
    <cellStyle name="Note 2 2 3 41 4" xfId="30635"/>
    <cellStyle name="Note 2 2 3 41 5" xfId="36084"/>
    <cellStyle name="Note 2 2 3 41 6" xfId="44300"/>
    <cellStyle name="Note 2 2 3 41 7" xfId="53448"/>
    <cellStyle name="Note 2 2 3 42" xfId="5855"/>
    <cellStyle name="Note 2 2 3 42 2" xfId="13572"/>
    <cellStyle name="Note 2 2 3 42 3" xfId="22565"/>
    <cellStyle name="Note 2 2 3 42 4" xfId="30752"/>
    <cellStyle name="Note 2 2 3 42 5" xfId="34131"/>
    <cellStyle name="Note 2 2 3 42 6" xfId="44417"/>
    <cellStyle name="Note 2 2 3 42 7" xfId="54181"/>
    <cellStyle name="Note 2 2 3 43" xfId="5983"/>
    <cellStyle name="Note 2 2 3 43 2" xfId="13700"/>
    <cellStyle name="Note 2 2 3 43 3" xfId="22693"/>
    <cellStyle name="Note 2 2 3 43 4" xfId="30880"/>
    <cellStyle name="Note 2 2 3 43 5" xfId="28108"/>
    <cellStyle name="Note 2 2 3 43 6" xfId="44545"/>
    <cellStyle name="Note 2 2 3 43 7" xfId="48902"/>
    <cellStyle name="Note 2 2 3 44" xfId="6085"/>
    <cellStyle name="Note 2 2 3 44 2" xfId="13802"/>
    <cellStyle name="Note 2 2 3 44 3" xfId="22795"/>
    <cellStyle name="Note 2 2 3 44 4" xfId="30982"/>
    <cellStyle name="Note 2 2 3 44 5" xfId="27241"/>
    <cellStyle name="Note 2 2 3 44 6" xfId="44647"/>
    <cellStyle name="Note 2 2 3 44 7" xfId="52971"/>
    <cellStyle name="Note 2 2 3 45" xfId="5184"/>
    <cellStyle name="Note 2 2 3 45 2" xfId="12901"/>
    <cellStyle name="Note 2 2 3 45 3" xfId="21894"/>
    <cellStyle name="Note 2 2 3 45 4" xfId="30081"/>
    <cellStyle name="Note 2 2 3 45 5" xfId="34083"/>
    <cellStyle name="Note 2 2 3 45 6" xfId="43746"/>
    <cellStyle name="Note 2 2 3 45 7" xfId="50954"/>
    <cellStyle name="Note 2 2 3 46" xfId="6239"/>
    <cellStyle name="Note 2 2 3 46 2" xfId="13956"/>
    <cellStyle name="Note 2 2 3 46 3" xfId="22949"/>
    <cellStyle name="Note 2 2 3 46 4" xfId="31136"/>
    <cellStyle name="Note 2 2 3 46 5" xfId="35686"/>
    <cellStyle name="Note 2 2 3 46 6" xfId="44801"/>
    <cellStyle name="Note 2 2 3 46 7" xfId="51308"/>
    <cellStyle name="Note 2 2 3 47" xfId="6356"/>
    <cellStyle name="Note 2 2 3 47 2" xfId="14073"/>
    <cellStyle name="Note 2 2 3 47 3" xfId="23066"/>
    <cellStyle name="Note 2 2 3 47 4" xfId="31253"/>
    <cellStyle name="Note 2 2 3 47 5" xfId="28458"/>
    <cellStyle name="Note 2 2 3 47 6" xfId="44918"/>
    <cellStyle name="Note 2 2 3 47 7" xfId="54494"/>
    <cellStyle name="Note 2 2 3 48" xfId="6466"/>
    <cellStyle name="Note 2 2 3 48 2" xfId="14183"/>
    <cellStyle name="Note 2 2 3 48 3" xfId="23176"/>
    <cellStyle name="Note 2 2 3 48 4" xfId="31363"/>
    <cellStyle name="Note 2 2 3 48 5" xfId="28501"/>
    <cellStyle name="Note 2 2 3 48 6" xfId="45028"/>
    <cellStyle name="Note 2 2 3 48 7" xfId="48947"/>
    <cellStyle name="Note 2 2 3 49" xfId="5249"/>
    <cellStyle name="Note 2 2 3 49 2" xfId="12966"/>
    <cellStyle name="Note 2 2 3 49 3" xfId="21959"/>
    <cellStyle name="Note 2 2 3 49 4" xfId="30146"/>
    <cellStyle name="Note 2 2 3 49 5" xfId="33703"/>
    <cellStyle name="Note 2 2 3 49 6" xfId="43811"/>
    <cellStyle name="Note 2 2 3 49 7" xfId="47581"/>
    <cellStyle name="Note 2 2 3 5" xfId="1355"/>
    <cellStyle name="Note 2 2 3 5 2" xfId="9178"/>
    <cellStyle name="Note 2 2 3 5 3" xfId="16606"/>
    <cellStyle name="Note 2 2 3 5 4" xfId="20631"/>
    <cellStyle name="Note 2 2 3 5 5" xfId="27450"/>
    <cellStyle name="Note 2 2 3 5 6" xfId="41093"/>
    <cellStyle name="Note 2 2 3 5 7" xfId="48419"/>
    <cellStyle name="Note 2 2 3 50" xfId="6613"/>
    <cellStyle name="Note 2 2 3 50 2" xfId="14330"/>
    <cellStyle name="Note 2 2 3 50 3" xfId="23323"/>
    <cellStyle name="Note 2 2 3 50 4" xfId="31510"/>
    <cellStyle name="Note 2 2 3 50 5" xfId="27616"/>
    <cellStyle name="Note 2 2 3 50 6" xfId="45175"/>
    <cellStyle name="Note 2 2 3 50 7" xfId="49451"/>
    <cellStyle name="Note 2 2 3 51" xfId="6724"/>
    <cellStyle name="Note 2 2 3 51 2" xfId="14441"/>
    <cellStyle name="Note 2 2 3 51 3" xfId="23434"/>
    <cellStyle name="Note 2 2 3 51 4" xfId="31621"/>
    <cellStyle name="Note 2 2 3 51 5" xfId="35911"/>
    <cellStyle name="Note 2 2 3 51 6" xfId="45286"/>
    <cellStyle name="Note 2 2 3 51 7" xfId="52768"/>
    <cellStyle name="Note 2 2 3 52" xfId="6839"/>
    <cellStyle name="Note 2 2 3 52 2" xfId="14556"/>
    <cellStyle name="Note 2 2 3 52 3" xfId="23549"/>
    <cellStyle name="Note 2 2 3 52 4" xfId="31736"/>
    <cellStyle name="Note 2 2 3 52 5" xfId="34798"/>
    <cellStyle name="Note 2 2 3 52 6" xfId="45401"/>
    <cellStyle name="Note 2 2 3 52 7" xfId="48458"/>
    <cellStyle name="Note 2 2 3 53" xfId="6952"/>
    <cellStyle name="Note 2 2 3 53 2" xfId="14669"/>
    <cellStyle name="Note 2 2 3 53 3" xfId="23662"/>
    <cellStyle name="Note 2 2 3 53 4" xfId="31849"/>
    <cellStyle name="Note 2 2 3 53 5" xfId="26848"/>
    <cellStyle name="Note 2 2 3 53 6" xfId="45514"/>
    <cellStyle name="Note 2 2 3 53 7" xfId="46853"/>
    <cellStyle name="Note 2 2 3 54" xfId="7064"/>
    <cellStyle name="Note 2 2 3 54 2" xfId="14781"/>
    <cellStyle name="Note 2 2 3 54 3" xfId="23774"/>
    <cellStyle name="Note 2 2 3 54 4" xfId="31961"/>
    <cellStyle name="Note 2 2 3 54 5" xfId="35988"/>
    <cellStyle name="Note 2 2 3 54 6" xfId="45626"/>
    <cellStyle name="Note 2 2 3 54 7" xfId="51750"/>
    <cellStyle name="Note 2 2 3 55" xfId="7354"/>
    <cellStyle name="Note 2 2 3 55 2" xfId="15071"/>
    <cellStyle name="Note 2 2 3 55 3" xfId="24064"/>
    <cellStyle name="Note 2 2 3 55 4" xfId="32251"/>
    <cellStyle name="Note 2 2 3 55 5" xfId="27686"/>
    <cellStyle name="Note 2 2 3 55 6" xfId="45916"/>
    <cellStyle name="Note 2 2 3 55 7" xfId="47570"/>
    <cellStyle name="Note 2 2 3 56" xfId="7331"/>
    <cellStyle name="Note 2 2 3 56 2" xfId="15048"/>
    <cellStyle name="Note 2 2 3 56 3" xfId="24041"/>
    <cellStyle name="Note 2 2 3 56 4" xfId="32228"/>
    <cellStyle name="Note 2 2 3 56 5" xfId="36094"/>
    <cellStyle name="Note 2 2 3 56 6" xfId="45893"/>
    <cellStyle name="Note 2 2 3 56 7" xfId="53295"/>
    <cellStyle name="Note 2 2 3 57" xfId="7461"/>
    <cellStyle name="Note 2 2 3 57 2" xfId="15178"/>
    <cellStyle name="Note 2 2 3 57 3" xfId="24171"/>
    <cellStyle name="Note 2 2 3 57 4" xfId="32358"/>
    <cellStyle name="Note 2 2 3 57 5" xfId="28028"/>
    <cellStyle name="Note 2 2 3 57 6" xfId="46023"/>
    <cellStyle name="Note 2 2 3 57 7" xfId="48205"/>
    <cellStyle name="Note 2 2 3 58" xfId="7582"/>
    <cellStyle name="Note 2 2 3 58 2" xfId="15299"/>
    <cellStyle name="Note 2 2 3 58 3" xfId="24292"/>
    <cellStyle name="Note 2 2 3 58 4" xfId="32479"/>
    <cellStyle name="Note 2 2 3 58 5" xfId="35417"/>
    <cellStyle name="Note 2 2 3 58 6" xfId="46144"/>
    <cellStyle name="Note 2 2 3 58 7" xfId="48995"/>
    <cellStyle name="Note 2 2 3 59" xfId="7858"/>
    <cellStyle name="Note 2 2 3 59 2" xfId="15575"/>
    <cellStyle name="Note 2 2 3 59 3" xfId="24562"/>
    <cellStyle name="Note 2 2 3 59 4" xfId="32755"/>
    <cellStyle name="Note 2 2 3 59 5" xfId="27384"/>
    <cellStyle name="Note 2 2 3 59 6" xfId="46420"/>
    <cellStyle name="Note 2 2 3 59 7" xfId="50205"/>
    <cellStyle name="Note 2 2 3 6" xfId="1478"/>
    <cellStyle name="Note 2 2 3 6 2" xfId="9301"/>
    <cellStyle name="Note 2 2 3 6 3" xfId="16729"/>
    <cellStyle name="Note 2 2 3 6 4" xfId="19607"/>
    <cellStyle name="Note 2 2 3 6 5" xfId="27065"/>
    <cellStyle name="Note 2 2 3 6 6" xfId="39607"/>
    <cellStyle name="Note 2 2 3 6 7" xfId="48387"/>
    <cellStyle name="Note 2 2 3 60" xfId="7754"/>
    <cellStyle name="Note 2 2 3 60 2" xfId="15471"/>
    <cellStyle name="Note 2 2 3 60 3" xfId="24462"/>
    <cellStyle name="Note 2 2 3 60 4" xfId="32651"/>
    <cellStyle name="Note 2 2 3 60 5" xfId="35958"/>
    <cellStyle name="Note 2 2 3 60 6" xfId="46316"/>
    <cellStyle name="Note 2 2 3 60 7" xfId="52864"/>
    <cellStyle name="Note 2 2 3 61" xfId="7982"/>
    <cellStyle name="Note 2 2 3 61 2" xfId="15699"/>
    <cellStyle name="Note 2 2 3 61 3" xfId="24684"/>
    <cellStyle name="Note 2 2 3 61 4" xfId="32879"/>
    <cellStyle name="Note 2 2 3 61 5" xfId="35794"/>
    <cellStyle name="Note 2 2 3 61 6" xfId="46544"/>
    <cellStyle name="Note 2 2 3 61 7" xfId="51975"/>
    <cellStyle name="Note 2 2 3 62" xfId="7715"/>
    <cellStyle name="Note 2 2 3 62 2" xfId="15432"/>
    <cellStyle name="Note 2 2 3 62 3" xfId="24423"/>
    <cellStyle name="Note 2 2 3 62 4" xfId="32612"/>
    <cellStyle name="Note 2 2 3 62 5" xfId="26990"/>
    <cellStyle name="Note 2 2 3 62 6" xfId="46277"/>
    <cellStyle name="Note 2 2 3 62 7" xfId="50426"/>
    <cellStyle name="Note 2 2 3 63" xfId="8134"/>
    <cellStyle name="Note 2 2 3 63 2" xfId="15851"/>
    <cellStyle name="Note 2 2 3 63 3" xfId="33031"/>
    <cellStyle name="Note 2 2 3 63 4" xfId="26756"/>
    <cellStyle name="Note 2 2 3 63 5" xfId="46696"/>
    <cellStyle name="Note 2 2 3 63 6" xfId="50584"/>
    <cellStyle name="Note 2 2 3 64" xfId="19518"/>
    <cellStyle name="Note 2 2 3 65" xfId="27955"/>
    <cellStyle name="Note 2 2 3 66" xfId="37099"/>
    <cellStyle name="Note 2 2 3 67" xfId="49986"/>
    <cellStyle name="Note 2 2 3 7" xfId="990"/>
    <cellStyle name="Note 2 2 3 7 2" xfId="8814"/>
    <cellStyle name="Note 2 2 3 7 3" xfId="16242"/>
    <cellStyle name="Note 2 2 3 7 4" xfId="25532"/>
    <cellStyle name="Note 2 2 3 7 5" xfId="34018"/>
    <cellStyle name="Note 2 2 3 7 6" xfId="36556"/>
    <cellStyle name="Note 2 2 3 7 7" xfId="51947"/>
    <cellStyle name="Note 2 2 3 8" xfId="1715"/>
    <cellStyle name="Note 2 2 3 8 2" xfId="9538"/>
    <cellStyle name="Note 2 2 3 8 3" xfId="16966"/>
    <cellStyle name="Note 2 2 3 8 4" xfId="25964"/>
    <cellStyle name="Note 2 2 3 8 5" xfId="34573"/>
    <cellStyle name="Note 2 2 3 8 6" xfId="36894"/>
    <cellStyle name="Note 2 2 3 8 7" xfId="52917"/>
    <cellStyle name="Note 2 2 3 9" xfId="1849"/>
    <cellStyle name="Note 2 2 3 9 2" xfId="9672"/>
    <cellStyle name="Note 2 2 3 9 3" xfId="17100"/>
    <cellStyle name="Note 2 2 3 9 4" xfId="26166"/>
    <cellStyle name="Note 2 2 3 9 5" xfId="34837"/>
    <cellStyle name="Note 2 2 3 9 6" xfId="36867"/>
    <cellStyle name="Note 2 2 3 9 7" xfId="53353"/>
    <cellStyle name="Note 2 2 30" xfId="5070"/>
    <cellStyle name="Note 2 2 30 2" xfId="12787"/>
    <cellStyle name="Note 2 2 30 3" xfId="21780"/>
    <cellStyle name="Note 2 2 30 4" xfId="29967"/>
    <cellStyle name="Note 2 2 30 5" xfId="36158"/>
    <cellStyle name="Note 2 2 30 6" xfId="43632"/>
    <cellStyle name="Note 2 2 30 7" xfId="54191"/>
    <cellStyle name="Note 2 2 31" xfId="7360"/>
    <cellStyle name="Note 2 2 31 2" xfId="15077"/>
    <cellStyle name="Note 2 2 31 3" xfId="24070"/>
    <cellStyle name="Note 2 2 31 4" xfId="32257"/>
    <cellStyle name="Note 2 2 31 5" xfId="27487"/>
    <cellStyle name="Note 2 2 31 6" xfId="45922"/>
    <cellStyle name="Note 2 2 31 7" xfId="50319"/>
    <cellStyle name="Note 2 2 32" xfId="7409"/>
    <cellStyle name="Note 2 2 32 2" xfId="15126"/>
    <cellStyle name="Note 2 2 32 3" xfId="24119"/>
    <cellStyle name="Note 2 2 32 4" xfId="32306"/>
    <cellStyle name="Note 2 2 32 5" xfId="35919"/>
    <cellStyle name="Note 2 2 32 6" xfId="45971"/>
    <cellStyle name="Note 2 2 32 7" xfId="51593"/>
    <cellStyle name="Note 2 2 33" xfId="7693"/>
    <cellStyle name="Note 2 2 33 2" xfId="15410"/>
    <cellStyle name="Note 2 2 33 3" xfId="24401"/>
    <cellStyle name="Note 2 2 33 4" xfId="32590"/>
    <cellStyle name="Note 2 2 33 5" xfId="33473"/>
    <cellStyle name="Note 2 2 33 6" xfId="46255"/>
    <cellStyle name="Note 2 2 33 7" xfId="52827"/>
    <cellStyle name="Note 2 2 34" xfId="8005"/>
    <cellStyle name="Note 2 2 34 2" xfId="15722"/>
    <cellStyle name="Note 2 2 34 3" xfId="24707"/>
    <cellStyle name="Note 2 2 34 4" xfId="32902"/>
    <cellStyle name="Note 2 2 34 5" xfId="33539"/>
    <cellStyle name="Note 2 2 34 6" xfId="46567"/>
    <cellStyle name="Note 2 2 34 7" xfId="49027"/>
    <cellStyle name="Note 2 2 35" xfId="7978"/>
    <cellStyle name="Note 2 2 35 2" xfId="15695"/>
    <cellStyle name="Note 2 2 35 3" xfId="24680"/>
    <cellStyle name="Note 2 2 35 4" xfId="32875"/>
    <cellStyle name="Note 2 2 35 5" xfId="35888"/>
    <cellStyle name="Note 2 2 35 6" xfId="46540"/>
    <cellStyle name="Note 2 2 35 7" xfId="52310"/>
    <cellStyle name="Note 2 2 36" xfId="19824"/>
    <cellStyle name="Note 2 2 37" xfId="26787"/>
    <cellStyle name="Note 2 2 38" xfId="36802"/>
    <cellStyle name="Note 2 2 39" xfId="50348"/>
    <cellStyle name="Note 2 2 4" xfId="489"/>
    <cellStyle name="Note 2 2 4 10" xfId="1936"/>
    <cellStyle name="Note 2 2 4 10 2" xfId="9759"/>
    <cellStyle name="Note 2 2 4 10 3" xfId="17187"/>
    <cellStyle name="Note 2 2 4 10 4" xfId="20301"/>
    <cellStyle name="Note 2 2 4 10 5" xfId="27520"/>
    <cellStyle name="Note 2 2 4 10 6" xfId="36815"/>
    <cellStyle name="Note 2 2 4 10 7" xfId="48055"/>
    <cellStyle name="Note 2 2 4 11" xfId="2054"/>
    <cellStyle name="Note 2 2 4 11 2" xfId="9877"/>
    <cellStyle name="Note 2 2 4 11 3" xfId="17305"/>
    <cellStyle name="Note 2 2 4 11 4" xfId="26181"/>
    <cellStyle name="Note 2 2 4 11 5" xfId="34854"/>
    <cellStyle name="Note 2 2 4 11 6" xfId="37572"/>
    <cellStyle name="Note 2 2 4 11 7" xfId="53381"/>
    <cellStyle name="Note 2 2 4 12" xfId="2167"/>
    <cellStyle name="Note 2 2 4 12 2" xfId="9990"/>
    <cellStyle name="Note 2 2 4 12 3" xfId="17418"/>
    <cellStyle name="Note 2 2 4 12 4" xfId="25982"/>
    <cellStyle name="Note 2 2 4 12 5" xfId="34600"/>
    <cellStyle name="Note 2 2 4 12 6" xfId="40394"/>
    <cellStyle name="Note 2 2 4 12 7" xfId="52958"/>
    <cellStyle name="Note 2 2 4 13" xfId="1636"/>
    <cellStyle name="Note 2 2 4 13 2" xfId="9459"/>
    <cellStyle name="Note 2 2 4 13 3" xfId="16887"/>
    <cellStyle name="Note 2 2 4 13 4" xfId="26283"/>
    <cellStyle name="Note 2 2 4 13 5" xfId="34989"/>
    <cellStyle name="Note 2 2 4 13 6" xfId="42269"/>
    <cellStyle name="Note 2 2 4 13 7" xfId="53608"/>
    <cellStyle name="Note 2 2 4 14" xfId="985"/>
    <cellStyle name="Note 2 2 4 14 2" xfId="8809"/>
    <cellStyle name="Note 2 2 4 14 3" xfId="16237"/>
    <cellStyle name="Note 2 2 4 14 4" xfId="25736"/>
    <cellStyle name="Note 2 2 4 14 5" xfId="34285"/>
    <cellStyle name="Note 2 2 4 14 6" xfId="37054"/>
    <cellStyle name="Note 2 2 4 14 7" xfId="52404"/>
    <cellStyle name="Note 2 2 4 15" xfId="2465"/>
    <cellStyle name="Note 2 2 4 15 2" xfId="10288"/>
    <cellStyle name="Note 2 2 4 15 3" xfId="17716"/>
    <cellStyle name="Note 2 2 4 15 4" xfId="19375"/>
    <cellStyle name="Note 2 2 4 15 5" xfId="28455"/>
    <cellStyle name="Note 2 2 4 15 6" xfId="40290"/>
    <cellStyle name="Note 2 2 4 15 7" xfId="48322"/>
    <cellStyle name="Note 2 2 4 16" xfId="2578"/>
    <cellStyle name="Note 2 2 4 16 2" xfId="10401"/>
    <cellStyle name="Note 2 2 4 16 3" xfId="17829"/>
    <cellStyle name="Note 2 2 4 16 4" xfId="19298"/>
    <cellStyle name="Note 2 2 4 16 5" xfId="28237"/>
    <cellStyle name="Note 2 2 4 16 6" xfId="37565"/>
    <cellStyle name="Note 2 2 4 16 7" xfId="47641"/>
    <cellStyle name="Note 2 2 4 17" xfId="2344"/>
    <cellStyle name="Note 2 2 4 17 2" xfId="10167"/>
    <cellStyle name="Note 2 2 4 17 3" xfId="17595"/>
    <cellStyle name="Note 2 2 4 17 4" xfId="25829"/>
    <cellStyle name="Note 2 2 4 17 5" xfId="34412"/>
    <cellStyle name="Note 2 2 4 17 6" xfId="38892"/>
    <cellStyle name="Note 2 2 4 17 7" xfId="52627"/>
    <cellStyle name="Note 2 2 4 18" xfId="2335"/>
    <cellStyle name="Note 2 2 4 18 2" xfId="10158"/>
    <cellStyle name="Note 2 2 4 18 3" xfId="17586"/>
    <cellStyle name="Note 2 2 4 18 4" xfId="26191"/>
    <cellStyle name="Note 2 2 4 18 5" xfId="34869"/>
    <cellStyle name="Note 2 2 4 18 6" xfId="40035"/>
    <cellStyle name="Note 2 2 4 18 7" xfId="53405"/>
    <cellStyle name="Note 2 2 4 19" xfId="2772"/>
    <cellStyle name="Note 2 2 4 19 2" xfId="10595"/>
    <cellStyle name="Note 2 2 4 19 3" xfId="18023"/>
    <cellStyle name="Note 2 2 4 19 4" xfId="26590"/>
    <cellStyle name="Note 2 2 4 19 5" xfId="35411"/>
    <cellStyle name="Note 2 2 4 19 6" xfId="39987"/>
    <cellStyle name="Note 2 2 4 19 7" xfId="54258"/>
    <cellStyle name="Note 2 2 4 2" xfId="640"/>
    <cellStyle name="Note 2 2 4 2 2" xfId="8464"/>
    <cellStyle name="Note 2 2 4 2 3" xfId="8296"/>
    <cellStyle name="Note 2 2 4 2 4" xfId="26337"/>
    <cellStyle name="Note 2 2 4 2 5" xfId="35063"/>
    <cellStyle name="Note 2 2 4 2 6" xfId="38267"/>
    <cellStyle name="Note 2 2 4 2 7" xfId="53714"/>
    <cellStyle name="Note 2 2 4 20" xfId="2879"/>
    <cellStyle name="Note 2 2 4 20 2" xfId="10702"/>
    <cellStyle name="Note 2 2 4 20 3" xfId="18130"/>
    <cellStyle name="Note 2 2 4 20 4" xfId="19839"/>
    <cellStyle name="Note 2 2 4 20 5" xfId="28067"/>
    <cellStyle name="Note 2 2 4 20 6" xfId="37101"/>
    <cellStyle name="Note 2 2 4 20 7" xfId="47488"/>
    <cellStyle name="Note 2 2 4 21" xfId="3255"/>
    <cellStyle name="Note 2 2 4 21 2" xfId="11048"/>
    <cellStyle name="Note 2 2 4 21 3" xfId="18377"/>
    <cellStyle name="Note 2 2 4 21 4" xfId="19454"/>
    <cellStyle name="Note 2 2 4 21 5" xfId="27943"/>
    <cellStyle name="Note 2 2 4 21 6" xfId="37062"/>
    <cellStyle name="Note 2 2 4 21 7" xfId="50194"/>
    <cellStyle name="Note 2 2 4 22" xfId="3375"/>
    <cellStyle name="Note 2 2 4 22 2" xfId="11166"/>
    <cellStyle name="Note 2 2 4 22 3" xfId="18488"/>
    <cellStyle name="Note 2 2 4 22 4" xfId="25887"/>
    <cellStyle name="Note 2 2 4 22 5" xfId="34482"/>
    <cellStyle name="Note 2 2 4 22 6" xfId="39643"/>
    <cellStyle name="Note 2 2 4 22 7" xfId="52758"/>
    <cellStyle name="Note 2 2 4 23" xfId="3509"/>
    <cellStyle name="Note 2 2 4 23 2" xfId="11300"/>
    <cellStyle name="Note 2 2 4 23 3" xfId="18598"/>
    <cellStyle name="Note 2 2 4 23 4" xfId="26460"/>
    <cellStyle name="Note 2 2 4 23 5" xfId="35237"/>
    <cellStyle name="Note 2 2 4 23 6" xfId="42084"/>
    <cellStyle name="Note 2 2 4 23 7" xfId="53981"/>
    <cellStyle name="Note 2 2 4 24" xfId="3007"/>
    <cellStyle name="Note 2 2 4 24 2" xfId="10826"/>
    <cellStyle name="Note 2 2 4 24 3" xfId="18249"/>
    <cellStyle name="Note 2 2 4 24 4" xfId="25840"/>
    <cellStyle name="Note 2 2 4 24 5" xfId="34426"/>
    <cellStyle name="Note 2 2 4 24 6" xfId="39996"/>
    <cellStyle name="Note 2 2 4 24 7" xfId="52654"/>
    <cellStyle name="Note 2 2 4 25" xfId="3645"/>
    <cellStyle name="Note 2 2 4 25 2" xfId="11430"/>
    <cellStyle name="Note 2 2 4 25 3" xfId="18703"/>
    <cellStyle name="Note 2 2 4 25 4" xfId="19333"/>
    <cellStyle name="Note 2 2 4 25 5" xfId="26957"/>
    <cellStyle name="Note 2 2 4 25 6" xfId="41987"/>
    <cellStyle name="Note 2 2 4 25 7" xfId="49066"/>
    <cellStyle name="Note 2 2 4 26" xfId="3776"/>
    <cellStyle name="Note 2 2 4 26 2" xfId="11558"/>
    <cellStyle name="Note 2 2 4 26 3" xfId="18815"/>
    <cellStyle name="Note 2 2 4 26 4" xfId="19720"/>
    <cellStyle name="Note 2 2 4 26 5" xfId="27981"/>
    <cellStyle name="Note 2 2 4 26 6" xfId="37487"/>
    <cellStyle name="Note 2 2 4 26 7" xfId="50120"/>
    <cellStyle name="Note 2 2 4 27" xfId="3893"/>
    <cellStyle name="Note 2 2 4 27 2" xfId="11673"/>
    <cellStyle name="Note 2 2 4 27 3" xfId="18924"/>
    <cellStyle name="Note 2 2 4 27 4" xfId="25653"/>
    <cellStyle name="Note 2 2 4 27 5" xfId="34175"/>
    <cellStyle name="Note 2 2 4 27 6" xfId="40162"/>
    <cellStyle name="Note 2 2 4 27 7" xfId="52203"/>
    <cellStyle name="Note 2 2 4 28" xfId="3187"/>
    <cellStyle name="Note 2 2 4 28 2" xfId="10988"/>
    <cellStyle name="Note 2 2 4 28 3" xfId="20315"/>
    <cellStyle name="Note 2 2 4 28 4" xfId="28407"/>
    <cellStyle name="Note 2 2 4 28 5" xfId="26993"/>
    <cellStyle name="Note 2 2 4 28 6" xfId="42430"/>
    <cellStyle name="Note 2 2 4 28 7" xfId="50699"/>
    <cellStyle name="Note 2 2 4 29" xfId="4090"/>
    <cellStyle name="Note 2 2 4 29 2" xfId="11850"/>
    <cellStyle name="Note 2 2 4 29 3" xfId="20800"/>
    <cellStyle name="Note 2 2 4 29 4" xfId="28987"/>
    <cellStyle name="Note 2 2 4 29 5" xfId="35733"/>
    <cellStyle name="Note 2 2 4 29 6" xfId="42652"/>
    <cellStyle name="Note 2 2 4 29 7" xfId="52150"/>
    <cellStyle name="Note 2 2 4 3" xfId="747"/>
    <cellStyle name="Note 2 2 4 3 2" xfId="8571"/>
    <cellStyle name="Note 2 2 4 3 3" xfId="15999"/>
    <cellStyle name="Note 2 2 4 3 4" xfId="20564"/>
    <cellStyle name="Note 2 2 4 3 5" xfId="28066"/>
    <cellStyle name="Note 2 2 4 3 6" xfId="38258"/>
    <cellStyle name="Note 2 2 4 3 7" xfId="48707"/>
    <cellStyle name="Note 2 2 4 30" xfId="3586"/>
    <cellStyle name="Note 2 2 4 30 2" xfId="20540"/>
    <cellStyle name="Note 2 2 4 30 3" xfId="28665"/>
    <cellStyle name="Note 2 2 4 30 4" xfId="36005"/>
    <cellStyle name="Note 2 2 4 30 5" xfId="42519"/>
    <cellStyle name="Note 2 2 4 30 6" xfId="53431"/>
    <cellStyle name="Note 2 2 4 31" xfId="4287"/>
    <cellStyle name="Note 2 2 4 31 2" xfId="12004"/>
    <cellStyle name="Note 2 2 4 31 3" xfId="20997"/>
    <cellStyle name="Note 2 2 4 31 4" xfId="29184"/>
    <cellStyle name="Note 2 2 4 31 5" xfId="35485"/>
    <cellStyle name="Note 2 2 4 31 6" xfId="42849"/>
    <cellStyle name="Note 2 2 4 31 7" xfId="50401"/>
    <cellStyle name="Note 2 2 4 32" xfId="4410"/>
    <cellStyle name="Note 2 2 4 32 2" xfId="12127"/>
    <cellStyle name="Note 2 2 4 32 3" xfId="21120"/>
    <cellStyle name="Note 2 2 4 32 4" xfId="29307"/>
    <cellStyle name="Note 2 2 4 32 5" xfId="36198"/>
    <cellStyle name="Note 2 2 4 32 6" xfId="42972"/>
    <cellStyle name="Note 2 2 4 32 7" xfId="54355"/>
    <cellStyle name="Note 2 2 4 33" xfId="4524"/>
    <cellStyle name="Note 2 2 4 33 2" xfId="12241"/>
    <cellStyle name="Note 2 2 4 33 3" xfId="21234"/>
    <cellStyle name="Note 2 2 4 33 4" xfId="29421"/>
    <cellStyle name="Note 2 2 4 33 5" xfId="27926"/>
    <cellStyle name="Note 2 2 4 33 6" xfId="43086"/>
    <cellStyle name="Note 2 2 4 33 7" xfId="49125"/>
    <cellStyle name="Note 2 2 4 34" xfId="4637"/>
    <cellStyle name="Note 2 2 4 34 2" xfId="12354"/>
    <cellStyle name="Note 2 2 4 34 3" xfId="21347"/>
    <cellStyle name="Note 2 2 4 34 4" xfId="29534"/>
    <cellStyle name="Note 2 2 4 34 5" xfId="35976"/>
    <cellStyle name="Note 2 2 4 34 6" xfId="43199"/>
    <cellStyle name="Note 2 2 4 34 7" xfId="53312"/>
    <cellStyle name="Note 2 2 4 35" xfId="4749"/>
    <cellStyle name="Note 2 2 4 35 2" xfId="12466"/>
    <cellStyle name="Note 2 2 4 35 3" xfId="21459"/>
    <cellStyle name="Note 2 2 4 35 4" xfId="29646"/>
    <cellStyle name="Note 2 2 4 35 5" xfId="33224"/>
    <cellStyle name="Note 2 2 4 35 6" xfId="43311"/>
    <cellStyle name="Note 2 2 4 35 7" xfId="47815"/>
    <cellStyle name="Note 2 2 4 36" xfId="4857"/>
    <cellStyle name="Note 2 2 4 36 2" xfId="12574"/>
    <cellStyle name="Note 2 2 4 36 3" xfId="21567"/>
    <cellStyle name="Note 2 2 4 36 4" xfId="29754"/>
    <cellStyle name="Note 2 2 4 36 5" xfId="35962"/>
    <cellStyle name="Note 2 2 4 36 6" xfId="43419"/>
    <cellStyle name="Note 2 2 4 36 7" xfId="53247"/>
    <cellStyle name="Note 2 2 4 37" xfId="4969"/>
    <cellStyle name="Note 2 2 4 37 2" xfId="12686"/>
    <cellStyle name="Note 2 2 4 37 3" xfId="21679"/>
    <cellStyle name="Note 2 2 4 37 4" xfId="29866"/>
    <cellStyle name="Note 2 2 4 37 5" xfId="34092"/>
    <cellStyle name="Note 2 2 4 37 6" xfId="43531"/>
    <cellStyle name="Note 2 2 4 37 7" xfId="50780"/>
    <cellStyle name="Note 2 2 4 38" xfId="5142"/>
    <cellStyle name="Note 2 2 4 38 2" xfId="12859"/>
    <cellStyle name="Note 2 2 4 38 3" xfId="21852"/>
    <cellStyle name="Note 2 2 4 38 4" xfId="30039"/>
    <cellStyle name="Note 2 2 4 38 5" xfId="36142"/>
    <cellStyle name="Note 2 2 4 38 6" xfId="43704"/>
    <cellStyle name="Note 2 2 4 38 7" xfId="54078"/>
    <cellStyle name="Note 2 2 4 39" xfId="5467"/>
    <cellStyle name="Note 2 2 4 39 2" xfId="13184"/>
    <cellStyle name="Note 2 2 4 39 3" xfId="22177"/>
    <cellStyle name="Note 2 2 4 39 4" xfId="30364"/>
    <cellStyle name="Note 2 2 4 39 5" xfId="35726"/>
    <cellStyle name="Note 2 2 4 39 6" xfId="44029"/>
    <cellStyle name="Note 2 2 4 39 7" xfId="52107"/>
    <cellStyle name="Note 2 2 4 4" xfId="859"/>
    <cellStyle name="Note 2 2 4 4 2" xfId="8683"/>
    <cellStyle name="Note 2 2 4 4 3" xfId="16111"/>
    <cellStyle name="Note 2 2 4 4 4" xfId="19125"/>
    <cellStyle name="Note 2 2 4 4 5" xfId="27364"/>
    <cellStyle name="Note 2 2 4 4 6" xfId="38241"/>
    <cellStyle name="Note 2 2 4 4 7" xfId="49885"/>
    <cellStyle name="Note 2 2 4 40" xfId="5592"/>
    <cellStyle name="Note 2 2 4 40 2" xfId="13309"/>
    <cellStyle name="Note 2 2 4 40 3" xfId="22302"/>
    <cellStyle name="Note 2 2 4 40 4" xfId="30489"/>
    <cellStyle name="Note 2 2 4 40 5" xfId="34995"/>
    <cellStyle name="Note 2 2 4 40 6" xfId="44154"/>
    <cellStyle name="Note 2 2 4 40 7" xfId="47146"/>
    <cellStyle name="Note 2 2 4 41" xfId="5707"/>
    <cellStyle name="Note 2 2 4 41 2" xfId="13424"/>
    <cellStyle name="Note 2 2 4 41 3" xfId="22417"/>
    <cellStyle name="Note 2 2 4 41 4" xfId="30604"/>
    <cellStyle name="Note 2 2 4 41 5" xfId="33737"/>
    <cellStyle name="Note 2 2 4 41 6" xfId="44269"/>
    <cellStyle name="Note 2 2 4 41 7" xfId="47076"/>
    <cellStyle name="Note 2 2 4 42" xfId="5824"/>
    <cellStyle name="Note 2 2 4 42 2" xfId="13541"/>
    <cellStyle name="Note 2 2 4 42 3" xfId="22534"/>
    <cellStyle name="Note 2 2 4 42 4" xfId="30721"/>
    <cellStyle name="Note 2 2 4 42 5" xfId="28452"/>
    <cellStyle name="Note 2 2 4 42 6" xfId="44386"/>
    <cellStyle name="Note 2 2 4 42 7" xfId="50746"/>
    <cellStyle name="Note 2 2 4 43" xfId="5952"/>
    <cellStyle name="Note 2 2 4 43 2" xfId="13669"/>
    <cellStyle name="Note 2 2 4 43 3" xfId="22662"/>
    <cellStyle name="Note 2 2 4 43 4" xfId="30849"/>
    <cellStyle name="Note 2 2 4 43 5" xfId="35840"/>
    <cellStyle name="Note 2 2 4 43 6" xfId="44514"/>
    <cellStyle name="Note 2 2 4 43 7" xfId="52252"/>
    <cellStyle name="Note 2 2 4 44" xfId="6065"/>
    <cellStyle name="Note 2 2 4 44 2" xfId="13782"/>
    <cellStyle name="Note 2 2 4 44 3" xfId="22775"/>
    <cellStyle name="Note 2 2 4 44 4" xfId="30962"/>
    <cellStyle name="Note 2 2 4 44 5" xfId="35643"/>
    <cellStyle name="Note 2 2 4 44 6" xfId="44627"/>
    <cellStyle name="Note 2 2 4 44 7" xfId="50607"/>
    <cellStyle name="Note 2 2 4 45" xfId="6128"/>
    <cellStyle name="Note 2 2 4 45 2" xfId="13845"/>
    <cellStyle name="Note 2 2 4 45 3" xfId="22838"/>
    <cellStyle name="Note 2 2 4 45 4" xfId="31025"/>
    <cellStyle name="Note 2 2 4 45 5" xfId="28206"/>
    <cellStyle name="Note 2 2 4 45 6" xfId="44690"/>
    <cellStyle name="Note 2 2 4 45 7" xfId="49659"/>
    <cellStyle name="Note 2 2 4 46" xfId="6208"/>
    <cellStyle name="Note 2 2 4 46 2" xfId="13925"/>
    <cellStyle name="Note 2 2 4 46 3" xfId="22918"/>
    <cellStyle name="Note 2 2 4 46 4" xfId="31105"/>
    <cellStyle name="Note 2 2 4 46 5" xfId="27652"/>
    <cellStyle name="Note 2 2 4 46 6" xfId="44770"/>
    <cellStyle name="Note 2 2 4 46 7" xfId="48403"/>
    <cellStyle name="Note 2 2 4 47" xfId="6325"/>
    <cellStyle name="Note 2 2 4 47 2" xfId="14042"/>
    <cellStyle name="Note 2 2 4 47 3" xfId="23035"/>
    <cellStyle name="Note 2 2 4 47 4" xfId="31222"/>
    <cellStyle name="Note 2 2 4 47 5" xfId="35691"/>
    <cellStyle name="Note 2 2 4 47 6" xfId="44887"/>
    <cellStyle name="Note 2 2 4 47 7" xfId="51355"/>
    <cellStyle name="Note 2 2 4 48" xfId="6435"/>
    <cellStyle name="Note 2 2 4 48 2" xfId="14152"/>
    <cellStyle name="Note 2 2 4 48 3" xfId="23145"/>
    <cellStyle name="Note 2 2 4 48 4" xfId="31332"/>
    <cellStyle name="Note 2 2 4 48 5" xfId="35913"/>
    <cellStyle name="Note 2 2 4 48 6" xfId="44997"/>
    <cellStyle name="Note 2 2 4 48 7" xfId="52771"/>
    <cellStyle name="Note 2 2 4 49" xfId="5209"/>
    <cellStyle name="Note 2 2 4 49 2" xfId="12926"/>
    <cellStyle name="Note 2 2 4 49 3" xfId="21919"/>
    <cellStyle name="Note 2 2 4 49 4" xfId="30106"/>
    <cellStyle name="Note 2 2 4 49 5" xfId="27843"/>
    <cellStyle name="Note 2 2 4 49 6" xfId="43771"/>
    <cellStyle name="Note 2 2 4 49 7" xfId="47240"/>
    <cellStyle name="Note 2 2 4 5" xfId="1324"/>
    <cellStyle name="Note 2 2 4 5 2" xfId="9147"/>
    <cellStyle name="Note 2 2 4 5 3" xfId="16575"/>
    <cellStyle name="Note 2 2 4 5 4" xfId="25364"/>
    <cellStyle name="Note 2 2 4 5 5" xfId="33804"/>
    <cellStyle name="Note 2 2 4 5 6" xfId="39537"/>
    <cellStyle name="Note 2 2 4 5 7" xfId="51569"/>
    <cellStyle name="Note 2 2 4 50" xfId="6582"/>
    <cellStyle name="Note 2 2 4 50 2" xfId="14299"/>
    <cellStyle name="Note 2 2 4 50 3" xfId="23292"/>
    <cellStyle name="Note 2 2 4 50 4" xfId="31479"/>
    <cellStyle name="Note 2 2 4 50 5" xfId="28514"/>
    <cellStyle name="Note 2 2 4 50 6" xfId="45144"/>
    <cellStyle name="Note 2 2 4 50 7" xfId="51799"/>
    <cellStyle name="Note 2 2 4 51" xfId="6693"/>
    <cellStyle name="Note 2 2 4 51 2" xfId="14410"/>
    <cellStyle name="Note 2 2 4 51 3" xfId="23403"/>
    <cellStyle name="Note 2 2 4 51 4" xfId="31590"/>
    <cellStyle name="Note 2 2 4 51 5" xfId="34217"/>
    <cellStyle name="Note 2 2 4 51 6" xfId="45255"/>
    <cellStyle name="Note 2 2 4 51 7" xfId="47322"/>
    <cellStyle name="Note 2 2 4 52" xfId="6808"/>
    <cellStyle name="Note 2 2 4 52 2" xfId="14525"/>
    <cellStyle name="Note 2 2 4 52 3" xfId="23518"/>
    <cellStyle name="Note 2 2 4 52 4" xfId="31705"/>
    <cellStyle name="Note 2 2 4 52 5" xfId="35580"/>
    <cellStyle name="Note 2 2 4 52 6" xfId="45370"/>
    <cellStyle name="Note 2 2 4 52 7" xfId="51095"/>
    <cellStyle name="Note 2 2 4 53" xfId="6921"/>
    <cellStyle name="Note 2 2 4 53 2" xfId="14638"/>
    <cellStyle name="Note 2 2 4 53 3" xfId="23631"/>
    <cellStyle name="Note 2 2 4 53 4" xfId="31818"/>
    <cellStyle name="Note 2 2 4 53 5" xfId="34897"/>
    <cellStyle name="Note 2 2 4 53 6" xfId="45483"/>
    <cellStyle name="Note 2 2 4 53 7" xfId="46816"/>
    <cellStyle name="Note 2 2 4 54" xfId="7033"/>
    <cellStyle name="Note 2 2 4 54 2" xfId="14750"/>
    <cellStyle name="Note 2 2 4 54 3" xfId="23743"/>
    <cellStyle name="Note 2 2 4 54 4" xfId="31930"/>
    <cellStyle name="Note 2 2 4 54 5" xfId="27680"/>
    <cellStyle name="Note 2 2 4 54 6" xfId="45595"/>
    <cellStyle name="Note 2 2 4 54 7" xfId="54540"/>
    <cellStyle name="Note 2 2 4 55" xfId="7248"/>
    <cellStyle name="Note 2 2 4 55 2" xfId="14965"/>
    <cellStyle name="Note 2 2 4 55 3" xfId="23958"/>
    <cellStyle name="Note 2 2 4 55 4" xfId="32145"/>
    <cellStyle name="Note 2 2 4 55 5" xfId="36176"/>
    <cellStyle name="Note 2 2 4 55 6" xfId="45810"/>
    <cellStyle name="Note 2 2 4 55 7" xfId="48463"/>
    <cellStyle name="Note 2 2 4 56" xfId="7399"/>
    <cellStyle name="Note 2 2 4 56 2" xfId="15116"/>
    <cellStyle name="Note 2 2 4 56 3" xfId="24109"/>
    <cellStyle name="Note 2 2 4 56 4" xfId="32296"/>
    <cellStyle name="Note 2 2 4 56 5" xfId="36164"/>
    <cellStyle name="Note 2 2 4 56 6" xfId="45961"/>
    <cellStyle name="Note 2 2 4 56 7" xfId="53462"/>
    <cellStyle name="Note 2 2 4 57" xfId="7430"/>
    <cellStyle name="Note 2 2 4 57 2" xfId="15147"/>
    <cellStyle name="Note 2 2 4 57 3" xfId="24140"/>
    <cellStyle name="Note 2 2 4 57 4" xfId="32327"/>
    <cellStyle name="Note 2 2 4 57 5" xfId="34856"/>
    <cellStyle name="Note 2 2 4 57 6" xfId="45992"/>
    <cellStyle name="Note 2 2 4 57 7" xfId="50274"/>
    <cellStyle name="Note 2 2 4 58" xfId="7551"/>
    <cellStyle name="Note 2 2 4 58 2" xfId="15268"/>
    <cellStyle name="Note 2 2 4 58 3" xfId="24261"/>
    <cellStyle name="Note 2 2 4 58 4" xfId="32448"/>
    <cellStyle name="Note 2 2 4 58 5" xfId="35889"/>
    <cellStyle name="Note 2 2 4 58 6" xfId="46113"/>
    <cellStyle name="Note 2 2 4 58 7" xfId="52315"/>
    <cellStyle name="Note 2 2 4 59" xfId="7827"/>
    <cellStyle name="Note 2 2 4 59 2" xfId="15544"/>
    <cellStyle name="Note 2 2 4 59 3" xfId="24531"/>
    <cellStyle name="Note 2 2 4 59 4" xfId="32724"/>
    <cellStyle name="Note 2 2 4 59 5" xfId="36119"/>
    <cellStyle name="Note 2 2 4 59 6" xfId="46389"/>
    <cellStyle name="Note 2 2 4 59 7" xfId="53395"/>
    <cellStyle name="Note 2 2 4 6" xfId="1447"/>
    <cellStyle name="Note 2 2 4 6 2" xfId="9270"/>
    <cellStyle name="Note 2 2 4 6 3" xfId="16698"/>
    <cellStyle name="Note 2 2 4 6 4" xfId="25210"/>
    <cellStyle name="Note 2 2 4 6 5" xfId="33602"/>
    <cellStyle name="Note 2 2 4 6 6" xfId="39115"/>
    <cellStyle name="Note 2 2 4 6 7" xfId="51235"/>
    <cellStyle name="Note 2 2 4 60" xfId="7678"/>
    <cellStyle name="Note 2 2 4 60 2" xfId="15395"/>
    <cellStyle name="Note 2 2 4 60 3" xfId="24386"/>
    <cellStyle name="Note 2 2 4 60 4" xfId="32575"/>
    <cellStyle name="Note 2 2 4 60 5" xfId="27253"/>
    <cellStyle name="Note 2 2 4 60 6" xfId="46240"/>
    <cellStyle name="Note 2 2 4 60 7" xfId="54025"/>
    <cellStyle name="Note 2 2 4 61" xfId="7777"/>
    <cellStyle name="Note 2 2 4 61 2" xfId="15494"/>
    <cellStyle name="Note 2 2 4 61 3" xfId="24483"/>
    <cellStyle name="Note 2 2 4 61 4" xfId="32674"/>
    <cellStyle name="Note 2 2 4 61 5" xfId="35573"/>
    <cellStyle name="Note 2 2 4 61 6" xfId="46339"/>
    <cellStyle name="Note 2 2 4 61 7" xfId="50358"/>
    <cellStyle name="Note 2 2 4 62" xfId="8061"/>
    <cellStyle name="Note 2 2 4 62 2" xfId="15778"/>
    <cellStyle name="Note 2 2 4 62 3" xfId="24763"/>
    <cellStyle name="Note 2 2 4 62 4" xfId="32958"/>
    <cellStyle name="Note 2 2 4 62 5" xfId="34021"/>
    <cellStyle name="Note 2 2 4 62 6" xfId="46623"/>
    <cellStyle name="Note 2 2 4 62 7" xfId="47471"/>
    <cellStyle name="Note 2 2 4 63" xfId="8103"/>
    <cellStyle name="Note 2 2 4 63 2" xfId="15820"/>
    <cellStyle name="Note 2 2 4 63 3" xfId="33000"/>
    <cellStyle name="Note 2 2 4 63 4" xfId="33882"/>
    <cellStyle name="Note 2 2 4 63 5" xfId="46665"/>
    <cellStyle name="Note 2 2 4 63 6" xfId="53822"/>
    <cellStyle name="Note 2 2 4 64" xfId="26105"/>
    <cellStyle name="Note 2 2 4 65" xfId="34760"/>
    <cellStyle name="Note 2 2 4 66" xfId="37736"/>
    <cellStyle name="Note 2 2 4 67" xfId="53220"/>
    <cellStyle name="Note 2 2 4 7" xfId="1205"/>
    <cellStyle name="Note 2 2 4 7 2" xfId="9028"/>
    <cellStyle name="Note 2 2 4 7 3" xfId="16456"/>
    <cellStyle name="Note 2 2 4 7 4" xfId="25198"/>
    <cellStyle name="Note 2 2 4 7 5" xfId="33582"/>
    <cellStyle name="Note 2 2 4 7 6" xfId="36791"/>
    <cellStyle name="Note 2 2 4 7 7" xfId="51209"/>
    <cellStyle name="Note 2 2 4 8" xfId="1684"/>
    <cellStyle name="Note 2 2 4 8 2" xfId="9507"/>
    <cellStyle name="Note 2 2 4 8 3" xfId="16935"/>
    <cellStyle name="Note 2 2 4 8 4" xfId="20154"/>
    <cellStyle name="Note 2 2 4 8 5" xfId="27977"/>
    <cellStyle name="Note 2 2 4 8 6" xfId="36425"/>
    <cellStyle name="Note 2 2 4 8 7" xfId="48628"/>
    <cellStyle name="Note 2 2 4 9" xfId="1818"/>
    <cellStyle name="Note 2 2 4 9 2" xfId="9641"/>
    <cellStyle name="Note 2 2 4 9 3" xfId="17069"/>
    <cellStyle name="Note 2 2 4 9 4" xfId="19171"/>
    <cellStyle name="Note 2 2 4 9 5" xfId="27527"/>
    <cellStyle name="Note 2 2 4 9 6" xfId="39073"/>
    <cellStyle name="Note 2 2 4 9 7" xfId="49222"/>
    <cellStyle name="Note 2 2 5" xfId="578"/>
    <cellStyle name="Note 2 2 5 10" xfId="2025"/>
    <cellStyle name="Note 2 2 5 10 2" xfId="9848"/>
    <cellStyle name="Note 2 2 5 10 3" xfId="17276"/>
    <cellStyle name="Note 2 2 5 10 4" xfId="20427"/>
    <cellStyle name="Note 2 2 5 10 5" xfId="26806"/>
    <cellStyle name="Note 2 2 5 10 6" xfId="40363"/>
    <cellStyle name="Note 2 2 5 10 7" xfId="49712"/>
    <cellStyle name="Note 2 2 5 11" xfId="2141"/>
    <cellStyle name="Note 2 2 5 11 2" xfId="9964"/>
    <cellStyle name="Note 2 2 5 11 3" xfId="17392"/>
    <cellStyle name="Note 2 2 5 11 4" xfId="20546"/>
    <cellStyle name="Note 2 2 5 11 5" xfId="27409"/>
    <cellStyle name="Note 2 2 5 11 6" xfId="38527"/>
    <cellStyle name="Note 2 2 5 11 7" xfId="47502"/>
    <cellStyle name="Note 2 2 5 12" xfId="2255"/>
    <cellStyle name="Note 2 2 5 12 2" xfId="10078"/>
    <cellStyle name="Note 2 2 5 12 3" xfId="17506"/>
    <cellStyle name="Note 2 2 5 12 4" xfId="19972"/>
    <cellStyle name="Note 2 2 5 12 5" xfId="27488"/>
    <cellStyle name="Note 2 2 5 12 6" xfId="39043"/>
    <cellStyle name="Note 2 2 5 12 7" xfId="47967"/>
    <cellStyle name="Note 2 2 5 13" xfId="1654"/>
    <cellStyle name="Note 2 2 5 13 2" xfId="9477"/>
    <cellStyle name="Note 2 2 5 13 3" xfId="16905"/>
    <cellStyle name="Note 2 2 5 13 4" xfId="25546"/>
    <cellStyle name="Note 2 2 5 13 5" xfId="34037"/>
    <cellStyle name="Note 2 2 5 13 6" xfId="40569"/>
    <cellStyle name="Note 2 2 5 13 7" xfId="51971"/>
    <cellStyle name="Note 2 2 5 14" xfId="1623"/>
    <cellStyle name="Note 2 2 5 14 2" xfId="9446"/>
    <cellStyle name="Note 2 2 5 14 3" xfId="16874"/>
    <cellStyle name="Note 2 2 5 14 4" xfId="25470"/>
    <cellStyle name="Note 2 2 5 14 5" xfId="33939"/>
    <cellStyle name="Note 2 2 5 14 6" xfId="37779"/>
    <cellStyle name="Note 2 2 5 14 7" xfId="51807"/>
    <cellStyle name="Note 2 2 5 15" xfId="2553"/>
    <cellStyle name="Note 2 2 5 15 2" xfId="10376"/>
    <cellStyle name="Note 2 2 5 15 3" xfId="17804"/>
    <cellStyle name="Note 2 2 5 15 4" xfId="26466"/>
    <cellStyle name="Note 2 2 5 15 5" xfId="35245"/>
    <cellStyle name="Note 2 2 5 15 6" xfId="39991"/>
    <cellStyle name="Note 2 2 5 15 7" xfId="53997"/>
    <cellStyle name="Note 2 2 5 16" xfId="2667"/>
    <cellStyle name="Note 2 2 5 16 2" xfId="10490"/>
    <cellStyle name="Note 2 2 5 16 3" xfId="17918"/>
    <cellStyle name="Note 2 2 5 16 4" xfId="19148"/>
    <cellStyle name="Note 2 2 5 16 5" xfId="28842"/>
    <cellStyle name="Note 2 2 5 16 6" xfId="39400"/>
    <cellStyle name="Note 2 2 5 16 7" xfId="49277"/>
    <cellStyle name="Note 2 2 5 17" xfId="1660"/>
    <cellStyle name="Note 2 2 5 17 2" xfId="9483"/>
    <cellStyle name="Note 2 2 5 17 3" xfId="16911"/>
    <cellStyle name="Note 2 2 5 17 4" xfId="25136"/>
    <cellStyle name="Note 2 2 5 17 5" xfId="33509"/>
    <cellStyle name="Note 2 2 5 17 6" xfId="39971"/>
    <cellStyle name="Note 2 2 5 17 7" xfId="51082"/>
    <cellStyle name="Note 2 2 5 18" xfId="1042"/>
    <cellStyle name="Note 2 2 5 18 2" xfId="8866"/>
    <cellStyle name="Note 2 2 5 18 3" xfId="16294"/>
    <cellStyle name="Note 2 2 5 18 4" xfId="26244"/>
    <cellStyle name="Note 2 2 5 18 5" xfId="34936"/>
    <cellStyle name="Note 2 2 5 18 6" xfId="36851"/>
    <cellStyle name="Note 2 2 5 18 7" xfId="53523"/>
    <cellStyle name="Note 2 2 5 19" xfId="2857"/>
    <cellStyle name="Note 2 2 5 19 2" xfId="10680"/>
    <cellStyle name="Note 2 2 5 19 3" xfId="18108"/>
    <cellStyle name="Note 2 2 5 19 4" xfId="19598"/>
    <cellStyle name="Note 2 2 5 19 5" xfId="27142"/>
    <cellStyle name="Note 2 2 5 19 6" xfId="38050"/>
    <cellStyle name="Note 2 2 5 19 7" xfId="48032"/>
    <cellStyle name="Note 2 2 5 2" xfId="725"/>
    <cellStyle name="Note 2 2 5 2 2" xfId="8549"/>
    <cellStyle name="Note 2 2 5 2 3" xfId="15977"/>
    <cellStyle name="Note 2 2 5 2 4" xfId="25066"/>
    <cellStyle name="Note 2 2 5 2 5" xfId="33427"/>
    <cellStyle name="Note 2 2 5 2 6" xfId="37928"/>
    <cellStyle name="Note 2 2 5 2 7" xfId="50943"/>
    <cellStyle name="Note 2 2 5 20" xfId="2964"/>
    <cellStyle name="Note 2 2 5 20 2" xfId="10787"/>
    <cellStyle name="Note 2 2 5 20 3" xfId="18215"/>
    <cellStyle name="Note 2 2 5 20 4" xfId="19235"/>
    <cellStyle name="Note 2 2 5 20 5" xfId="27380"/>
    <cellStyle name="Note 2 2 5 20 6" xfId="38021"/>
    <cellStyle name="Note 2 2 5 20 7" xfId="49453"/>
    <cellStyle name="Note 2 2 5 21" xfId="3342"/>
    <cellStyle name="Note 2 2 5 21 2" xfId="11135"/>
    <cellStyle name="Note 2 2 5 21 3" xfId="18462"/>
    <cellStyle name="Note 2 2 5 21 4" xfId="19474"/>
    <cellStyle name="Note 2 2 5 21 5" xfId="27922"/>
    <cellStyle name="Note 2 2 5 21 6" xfId="38023"/>
    <cellStyle name="Note 2 2 5 21 7" xfId="47364"/>
    <cellStyle name="Note 2 2 5 22" xfId="3461"/>
    <cellStyle name="Note 2 2 5 22 2" xfId="11252"/>
    <cellStyle name="Note 2 2 5 22 3" xfId="18573"/>
    <cellStyle name="Note 2 2 5 22 4" xfId="25264"/>
    <cellStyle name="Note 2 2 5 22 5" xfId="33671"/>
    <cellStyle name="Note 2 2 5 22 6" xfId="38180"/>
    <cellStyle name="Note 2 2 5 22 7" xfId="51349"/>
    <cellStyle name="Note 2 2 5 23" xfId="3582"/>
    <cellStyle name="Note 2 2 5 23 2" xfId="11371"/>
    <cellStyle name="Note 2 2 5 23 3" xfId="18647"/>
    <cellStyle name="Note 2 2 5 23 4" xfId="26428"/>
    <cellStyle name="Note 2 2 5 23 5" xfId="35194"/>
    <cellStyle name="Note 2 2 5 23 6" xfId="41090"/>
    <cellStyle name="Note 2 2 5 23 7" xfId="53916"/>
    <cellStyle name="Note 2 2 5 24" xfId="3620"/>
    <cellStyle name="Note 2 2 5 24 2" xfId="11406"/>
    <cellStyle name="Note 2 2 5 24 3" xfId="18680"/>
    <cellStyle name="Note 2 2 5 24 4" xfId="19908"/>
    <cellStyle name="Note 2 2 5 24 5" xfId="28546"/>
    <cellStyle name="Note 2 2 5 24 6" xfId="37524"/>
    <cellStyle name="Note 2 2 5 24 7" xfId="50113"/>
    <cellStyle name="Note 2 2 5 25" xfId="3734"/>
    <cellStyle name="Note 2 2 5 25 2" xfId="11519"/>
    <cellStyle name="Note 2 2 5 25 3" xfId="18790"/>
    <cellStyle name="Note 2 2 5 25 4" xfId="19905"/>
    <cellStyle name="Note 2 2 5 25 5" xfId="27252"/>
    <cellStyle name="Note 2 2 5 25 6" xfId="41464"/>
    <cellStyle name="Note 2 2 5 25 7" xfId="48489"/>
    <cellStyle name="Note 2 2 5 26" xfId="3863"/>
    <cellStyle name="Note 2 2 5 26 2" xfId="11645"/>
    <cellStyle name="Note 2 2 5 26 3" xfId="18900"/>
    <cellStyle name="Note 2 2 5 26 4" xfId="26338"/>
    <cellStyle name="Note 2 2 5 26 5" xfId="35064"/>
    <cellStyle name="Note 2 2 5 26 6" xfId="39609"/>
    <cellStyle name="Note 2 2 5 26 7" xfId="53715"/>
    <cellStyle name="Note 2 2 5 27" xfId="3981"/>
    <cellStyle name="Note 2 2 5 27 2" xfId="11760"/>
    <cellStyle name="Note 2 2 5 27 3" xfId="19009"/>
    <cellStyle name="Note 2 2 5 27 4" xfId="25565"/>
    <cellStyle name="Note 2 2 5 27 5" xfId="34063"/>
    <cellStyle name="Note 2 2 5 27 6" xfId="36461"/>
    <cellStyle name="Note 2 2 5 27 7" xfId="52011"/>
    <cellStyle name="Note 2 2 5 28" xfId="3759"/>
    <cellStyle name="Note 2 2 5 28 2" xfId="11543"/>
    <cellStyle name="Note 2 2 5 28 3" xfId="20609"/>
    <cellStyle name="Note 2 2 5 28 4" xfId="28759"/>
    <cellStyle name="Note 2 2 5 28 5" xfId="35785"/>
    <cellStyle name="Note 2 2 5 28 6" xfId="42535"/>
    <cellStyle name="Note 2 2 5 28 7" xfId="52398"/>
    <cellStyle name="Note 2 2 5 29" xfId="4177"/>
    <cellStyle name="Note 2 2 5 29 2" xfId="11936"/>
    <cellStyle name="Note 2 2 5 29 3" xfId="20887"/>
    <cellStyle name="Note 2 2 5 29 4" xfId="29074"/>
    <cellStyle name="Note 2 2 5 29 5" xfId="35034"/>
    <cellStyle name="Note 2 2 5 29 6" xfId="42739"/>
    <cellStyle name="Note 2 2 5 29 7" xfId="48202"/>
    <cellStyle name="Note 2 2 5 3" xfId="834"/>
    <cellStyle name="Note 2 2 5 3 2" xfId="8658"/>
    <cellStyle name="Note 2 2 5 3 3" xfId="16086"/>
    <cellStyle name="Note 2 2 5 3 4" xfId="25850"/>
    <cellStyle name="Note 2 2 5 3 5" xfId="34437"/>
    <cellStyle name="Note 2 2 5 3 6" xfId="36715"/>
    <cellStyle name="Note 2 2 5 3 7" xfId="52669"/>
    <cellStyle name="Note 2 2 5 30" xfId="4233"/>
    <cellStyle name="Note 2 2 5 30 2" xfId="20943"/>
    <cellStyle name="Note 2 2 5 30 3" xfId="29130"/>
    <cellStyle name="Note 2 2 5 30 4" xfId="33738"/>
    <cellStyle name="Note 2 2 5 30 5" xfId="42795"/>
    <cellStyle name="Note 2 2 5 30 6" xfId="49832"/>
    <cellStyle name="Note 2 2 5 31" xfId="4376"/>
    <cellStyle name="Note 2 2 5 31 2" xfId="12093"/>
    <cellStyle name="Note 2 2 5 31 3" xfId="21086"/>
    <cellStyle name="Note 2 2 5 31 4" xfId="29273"/>
    <cellStyle name="Note 2 2 5 31 5" xfId="28101"/>
    <cellStyle name="Note 2 2 5 31 6" xfId="42938"/>
    <cellStyle name="Note 2 2 5 31 7" xfId="51322"/>
    <cellStyle name="Note 2 2 5 32" xfId="4497"/>
    <cellStyle name="Note 2 2 5 32 2" xfId="12214"/>
    <cellStyle name="Note 2 2 5 32 3" xfId="21207"/>
    <cellStyle name="Note 2 2 5 32 4" xfId="29394"/>
    <cellStyle name="Note 2 2 5 32 5" xfId="34068"/>
    <cellStyle name="Note 2 2 5 32 6" xfId="43059"/>
    <cellStyle name="Note 2 2 5 32 7" xfId="47606"/>
    <cellStyle name="Note 2 2 5 33" xfId="4611"/>
    <cellStyle name="Note 2 2 5 33 2" xfId="12328"/>
    <cellStyle name="Note 2 2 5 33 3" xfId="21321"/>
    <cellStyle name="Note 2 2 5 33 4" xfId="29508"/>
    <cellStyle name="Note 2 2 5 33 5" xfId="27227"/>
    <cellStyle name="Note 2 2 5 33 6" xfId="43173"/>
    <cellStyle name="Note 2 2 5 33 7" xfId="48605"/>
    <cellStyle name="Note 2 2 5 34" xfId="4724"/>
    <cellStyle name="Note 2 2 5 34 2" xfId="12441"/>
    <cellStyle name="Note 2 2 5 34 3" xfId="21434"/>
    <cellStyle name="Note 2 2 5 34 4" xfId="29621"/>
    <cellStyle name="Note 2 2 5 34 5" xfId="35728"/>
    <cellStyle name="Note 2 2 5 34 6" xfId="43286"/>
    <cellStyle name="Note 2 2 5 34 7" xfId="52121"/>
    <cellStyle name="Note 2 2 5 35" xfId="4834"/>
    <cellStyle name="Note 2 2 5 35 2" xfId="12551"/>
    <cellStyle name="Note 2 2 5 35 3" xfId="21544"/>
    <cellStyle name="Note 2 2 5 35 4" xfId="29731"/>
    <cellStyle name="Note 2 2 5 35 5" xfId="35565"/>
    <cellStyle name="Note 2 2 5 35 6" xfId="43396"/>
    <cellStyle name="Note 2 2 5 35 7" xfId="49761"/>
    <cellStyle name="Note 2 2 5 36" xfId="4944"/>
    <cellStyle name="Note 2 2 5 36 2" xfId="12661"/>
    <cellStyle name="Note 2 2 5 36 3" xfId="21654"/>
    <cellStyle name="Note 2 2 5 36 4" xfId="29841"/>
    <cellStyle name="Note 2 2 5 36 5" xfId="35995"/>
    <cellStyle name="Note 2 2 5 36 6" xfId="43506"/>
    <cellStyle name="Note 2 2 5 36 7" xfId="53392"/>
    <cellStyle name="Note 2 2 5 37" xfId="5054"/>
    <cellStyle name="Note 2 2 5 37 2" xfId="12771"/>
    <cellStyle name="Note 2 2 5 37 3" xfId="21764"/>
    <cellStyle name="Note 2 2 5 37 4" xfId="29951"/>
    <cellStyle name="Note 2 2 5 37 5" xfId="28532"/>
    <cellStyle name="Note 2 2 5 37 6" xfId="43616"/>
    <cellStyle name="Note 2 2 5 37 7" xfId="48599"/>
    <cellStyle name="Note 2 2 5 38" xfId="5434"/>
    <cellStyle name="Note 2 2 5 38 2" xfId="13151"/>
    <cellStyle name="Note 2 2 5 38 3" xfId="22144"/>
    <cellStyle name="Note 2 2 5 38 4" xfId="30331"/>
    <cellStyle name="Note 2 2 5 38 5" xfId="27797"/>
    <cellStyle name="Note 2 2 5 38 6" xfId="43996"/>
    <cellStyle name="Note 2 2 5 38 7" xfId="49330"/>
    <cellStyle name="Note 2 2 5 39" xfId="5554"/>
    <cellStyle name="Note 2 2 5 39 2" xfId="13271"/>
    <cellStyle name="Note 2 2 5 39 3" xfId="22264"/>
    <cellStyle name="Note 2 2 5 39 4" xfId="30451"/>
    <cellStyle name="Note 2 2 5 39 5" xfId="28846"/>
    <cellStyle name="Note 2 2 5 39 6" xfId="44116"/>
    <cellStyle name="Note 2 2 5 39 7" xfId="47174"/>
    <cellStyle name="Note 2 2 5 4" xfId="944"/>
    <cellStyle name="Note 2 2 5 4 2" xfId="8768"/>
    <cellStyle name="Note 2 2 5 4 3" xfId="16196"/>
    <cellStyle name="Note 2 2 5 4 4" xfId="19081"/>
    <cellStyle name="Note 2 2 5 4 5" xfId="27908"/>
    <cellStyle name="Note 2 2 5 4 6" xfId="36413"/>
    <cellStyle name="Note 2 2 5 4 7" xfId="49288"/>
    <cellStyle name="Note 2 2 5 40" xfId="5679"/>
    <cellStyle name="Note 2 2 5 40 2" xfId="13396"/>
    <cellStyle name="Note 2 2 5 40 3" xfId="22389"/>
    <cellStyle name="Note 2 2 5 40 4" xfId="30576"/>
    <cellStyle name="Note 2 2 5 40 5" xfId="35318"/>
    <cellStyle name="Note 2 2 5 40 6" xfId="44241"/>
    <cellStyle name="Note 2 2 5 40 7" xfId="46828"/>
    <cellStyle name="Note 2 2 5 41" xfId="5794"/>
    <cellStyle name="Note 2 2 5 41 2" xfId="13511"/>
    <cellStyle name="Note 2 2 5 41 3" xfId="22504"/>
    <cellStyle name="Note 2 2 5 41 4" xfId="30691"/>
    <cellStyle name="Note 2 2 5 41 5" xfId="36127"/>
    <cellStyle name="Note 2 2 5 41 6" xfId="44356"/>
    <cellStyle name="Note 2 2 5 41 7" xfId="53973"/>
    <cellStyle name="Note 2 2 5 42" xfId="5912"/>
    <cellStyle name="Note 2 2 5 42 2" xfId="13629"/>
    <cellStyle name="Note 2 2 5 42 3" xfId="22622"/>
    <cellStyle name="Note 2 2 5 42 4" xfId="30809"/>
    <cellStyle name="Note 2 2 5 42 5" xfId="36051"/>
    <cellStyle name="Note 2 2 5 42 6" xfId="44474"/>
    <cellStyle name="Note 2 2 5 42 7" xfId="51731"/>
    <cellStyle name="Note 2 2 5 43" xfId="6039"/>
    <cellStyle name="Note 2 2 5 43 2" xfId="13756"/>
    <cellStyle name="Note 2 2 5 43 3" xfId="22749"/>
    <cellStyle name="Note 2 2 5 43 4" xfId="30936"/>
    <cellStyle name="Note 2 2 5 43 5" xfId="27753"/>
    <cellStyle name="Note 2 2 5 43 6" xfId="44601"/>
    <cellStyle name="Note 2 2 5 43 7" xfId="50439"/>
    <cellStyle name="Note 2 2 5 44" xfId="6126"/>
    <cellStyle name="Note 2 2 5 44 2" xfId="13843"/>
    <cellStyle name="Note 2 2 5 44 3" xfId="22836"/>
    <cellStyle name="Note 2 2 5 44 4" xfId="31023"/>
    <cellStyle name="Note 2 2 5 44 5" xfId="35078"/>
    <cellStyle name="Note 2 2 5 44 6" xfId="44688"/>
    <cellStyle name="Note 2 2 5 44 7" xfId="47284"/>
    <cellStyle name="Note 2 2 5 45" xfId="6167"/>
    <cellStyle name="Note 2 2 5 45 2" xfId="13884"/>
    <cellStyle name="Note 2 2 5 45 3" xfId="22877"/>
    <cellStyle name="Note 2 2 5 45 4" xfId="31064"/>
    <cellStyle name="Note 2 2 5 45 5" xfId="35719"/>
    <cellStyle name="Note 2 2 5 45 6" xfId="44729"/>
    <cellStyle name="Note 2 2 5 45 7" xfId="51470"/>
    <cellStyle name="Note 2 2 5 46" xfId="6295"/>
    <cellStyle name="Note 2 2 5 46 2" xfId="14012"/>
    <cellStyle name="Note 2 2 5 46 3" xfId="23005"/>
    <cellStyle name="Note 2 2 5 46 4" xfId="31192"/>
    <cellStyle name="Note 2 2 5 46 5" xfId="35355"/>
    <cellStyle name="Note 2 2 5 46 6" xfId="44857"/>
    <cellStyle name="Note 2 2 5 46 7" xfId="48003"/>
    <cellStyle name="Note 2 2 5 47" xfId="6410"/>
    <cellStyle name="Note 2 2 5 47 2" xfId="14127"/>
    <cellStyle name="Note 2 2 5 47 3" xfId="23120"/>
    <cellStyle name="Note 2 2 5 47 4" xfId="31307"/>
    <cellStyle name="Note 2 2 5 47 5" xfId="26942"/>
    <cellStyle name="Note 2 2 5 47 6" xfId="44972"/>
    <cellStyle name="Note 2 2 5 47 7" xfId="48787"/>
    <cellStyle name="Note 2 2 5 48" xfId="6522"/>
    <cellStyle name="Note 2 2 5 48 2" xfId="14239"/>
    <cellStyle name="Note 2 2 5 48 3" xfId="23232"/>
    <cellStyle name="Note 2 2 5 48 4" xfId="31419"/>
    <cellStyle name="Note 2 2 5 48 5" xfId="35639"/>
    <cellStyle name="Note 2 2 5 48 6" xfId="45084"/>
    <cellStyle name="Note 2 2 5 48 7" xfId="51930"/>
    <cellStyle name="Note 2 2 5 49" xfId="5174"/>
    <cellStyle name="Note 2 2 5 49 2" xfId="12891"/>
    <cellStyle name="Note 2 2 5 49 3" xfId="21884"/>
    <cellStyle name="Note 2 2 5 49 4" xfId="30071"/>
    <cellStyle name="Note 2 2 5 49 5" xfId="35739"/>
    <cellStyle name="Note 2 2 5 49 6" xfId="43736"/>
    <cellStyle name="Note 2 2 5 49 7" xfId="52176"/>
    <cellStyle name="Note 2 2 5 5" xfId="1412"/>
    <cellStyle name="Note 2 2 5 5 2" xfId="9235"/>
    <cellStyle name="Note 2 2 5 5 3" xfId="16663"/>
    <cellStyle name="Note 2 2 5 5 4" xfId="20160"/>
    <cellStyle name="Note 2 2 5 5 5" xfId="27692"/>
    <cellStyle name="Note 2 2 5 5 6" xfId="40294"/>
    <cellStyle name="Note 2 2 5 5 7" xfId="48656"/>
    <cellStyle name="Note 2 2 5 50" xfId="6669"/>
    <cellStyle name="Note 2 2 5 50 2" xfId="14386"/>
    <cellStyle name="Note 2 2 5 50 3" xfId="23379"/>
    <cellStyle name="Note 2 2 5 50 4" xfId="31566"/>
    <cellStyle name="Note 2 2 5 50 5" xfId="26742"/>
    <cellStyle name="Note 2 2 5 50 6" xfId="45231"/>
    <cellStyle name="Note 2 2 5 50 7" xfId="51034"/>
    <cellStyle name="Note 2 2 5 51" xfId="6780"/>
    <cellStyle name="Note 2 2 5 51 2" xfId="14497"/>
    <cellStyle name="Note 2 2 5 51 3" xfId="23490"/>
    <cellStyle name="Note 2 2 5 51 4" xfId="31677"/>
    <cellStyle name="Note 2 2 5 51 5" xfId="36214"/>
    <cellStyle name="Note 2 2 5 51 6" xfId="45342"/>
    <cellStyle name="Note 2 2 5 51 7" xfId="54277"/>
    <cellStyle name="Note 2 2 5 52" xfId="6895"/>
    <cellStyle name="Note 2 2 5 52 2" xfId="14612"/>
    <cellStyle name="Note 2 2 5 52 3" xfId="23605"/>
    <cellStyle name="Note 2 2 5 52 4" xfId="31792"/>
    <cellStyle name="Note 2 2 5 52 5" xfId="33606"/>
    <cellStyle name="Note 2 2 5 52 6" xfId="45457"/>
    <cellStyle name="Note 2 2 5 52 7" xfId="46823"/>
    <cellStyle name="Note 2 2 5 53" xfId="7008"/>
    <cellStyle name="Note 2 2 5 53 2" xfId="14725"/>
    <cellStyle name="Note 2 2 5 53 3" xfId="23718"/>
    <cellStyle name="Note 2 2 5 53 4" xfId="31905"/>
    <cellStyle name="Note 2 2 5 53 5" xfId="36237"/>
    <cellStyle name="Note 2 2 5 53 6" xfId="45570"/>
    <cellStyle name="Note 2 2 5 53 7" xfId="47001"/>
    <cellStyle name="Note 2 2 5 54" xfId="7118"/>
    <cellStyle name="Note 2 2 5 54 2" xfId="14835"/>
    <cellStyle name="Note 2 2 5 54 3" xfId="23828"/>
    <cellStyle name="Note 2 2 5 54 4" xfId="32015"/>
    <cellStyle name="Note 2 2 5 54 5" xfId="36169"/>
    <cellStyle name="Note 2 2 5 54 6" xfId="45680"/>
    <cellStyle name="Note 2 2 5 54 7" xfId="53490"/>
    <cellStyle name="Note 2 2 5 55" xfId="7160"/>
    <cellStyle name="Note 2 2 5 55 2" xfId="14877"/>
    <cellStyle name="Note 2 2 5 55 3" xfId="23870"/>
    <cellStyle name="Note 2 2 5 55 4" xfId="32057"/>
    <cellStyle name="Note 2 2 5 55 5" xfId="27733"/>
    <cellStyle name="Note 2 2 5 55 6" xfId="45722"/>
    <cellStyle name="Note 2 2 5 55 7" xfId="47881"/>
    <cellStyle name="Note 2 2 5 56" xfId="7135"/>
    <cellStyle name="Note 2 2 5 56 2" xfId="14852"/>
    <cellStyle name="Note 2 2 5 56 3" xfId="23845"/>
    <cellStyle name="Note 2 2 5 56 4" xfId="32032"/>
    <cellStyle name="Note 2 2 5 56 5" xfId="35774"/>
    <cellStyle name="Note 2 2 5 56 6" xfId="45697"/>
    <cellStyle name="Note 2 2 5 56 7" xfId="51910"/>
    <cellStyle name="Note 2 2 5 57" xfId="7515"/>
    <cellStyle name="Note 2 2 5 57 2" xfId="15232"/>
    <cellStyle name="Note 2 2 5 57 3" xfId="24225"/>
    <cellStyle name="Note 2 2 5 57 4" xfId="32412"/>
    <cellStyle name="Note 2 2 5 57 5" xfId="26879"/>
    <cellStyle name="Note 2 2 5 57 6" xfId="46077"/>
    <cellStyle name="Note 2 2 5 57 7" xfId="48669"/>
    <cellStyle name="Note 2 2 5 58" xfId="7636"/>
    <cellStyle name="Note 2 2 5 58 2" xfId="15353"/>
    <cellStyle name="Note 2 2 5 58 3" xfId="24346"/>
    <cellStyle name="Note 2 2 5 58 4" xfId="32533"/>
    <cellStyle name="Note 2 2 5 58 5" xfId="35906"/>
    <cellStyle name="Note 2 2 5 58 6" xfId="46198"/>
    <cellStyle name="Note 2 2 5 58 7" xfId="52436"/>
    <cellStyle name="Note 2 2 5 59" xfId="7913"/>
    <cellStyle name="Note 2 2 5 59 2" xfId="15630"/>
    <cellStyle name="Note 2 2 5 59 3" xfId="24617"/>
    <cellStyle name="Note 2 2 5 59 4" xfId="32810"/>
    <cellStyle name="Note 2 2 5 59 5" xfId="35767"/>
    <cellStyle name="Note 2 2 5 59 6" xfId="46475"/>
    <cellStyle name="Note 2 2 5 59 7" xfId="51891"/>
    <cellStyle name="Note 2 2 5 6" xfId="1535"/>
    <cellStyle name="Note 2 2 5 6 2" xfId="9358"/>
    <cellStyle name="Note 2 2 5 6 3" xfId="16786"/>
    <cellStyle name="Note 2 2 5 6 4" xfId="20581"/>
    <cellStyle name="Note 2 2 5 6 5" xfId="27083"/>
    <cellStyle name="Note 2 2 5 6 6" xfId="37946"/>
    <cellStyle name="Note 2 2 5 6 7" xfId="48623"/>
    <cellStyle name="Note 2 2 5 60" xfId="7787"/>
    <cellStyle name="Note 2 2 5 60 2" xfId="15504"/>
    <cellStyle name="Note 2 2 5 60 3" xfId="24493"/>
    <cellStyle name="Note 2 2 5 60 4" xfId="32684"/>
    <cellStyle name="Note 2 2 5 60 5" xfId="33341"/>
    <cellStyle name="Note 2 2 5 60 6" xfId="46349"/>
    <cellStyle name="Note 2 2 5 60 7" xfId="49217"/>
    <cellStyle name="Note 2 2 5 61" xfId="8041"/>
    <cellStyle name="Note 2 2 5 61 2" xfId="15758"/>
    <cellStyle name="Note 2 2 5 61 3" xfId="24743"/>
    <cellStyle name="Note 2 2 5 61 4" xfId="32938"/>
    <cellStyle name="Note 2 2 5 61 5" xfId="36000"/>
    <cellStyle name="Note 2 2 5 61 6" xfId="46603"/>
    <cellStyle name="Note 2 2 5 61 7" xfId="52989"/>
    <cellStyle name="Note 2 2 5 62" xfId="7959"/>
    <cellStyle name="Note 2 2 5 62 2" xfId="15676"/>
    <cellStyle name="Note 2 2 5 62 3" xfId="24662"/>
    <cellStyle name="Note 2 2 5 62 4" xfId="32856"/>
    <cellStyle name="Note 2 2 5 62 5" xfId="26973"/>
    <cellStyle name="Note 2 2 5 62 6" xfId="46521"/>
    <cellStyle name="Note 2 2 5 62 7" xfId="54406"/>
    <cellStyle name="Note 2 2 5 63" xfId="8188"/>
    <cellStyle name="Note 2 2 5 63 2" xfId="15905"/>
    <cellStyle name="Note 2 2 5 63 3" xfId="33085"/>
    <cellStyle name="Note 2 2 5 63 4" xfId="27747"/>
    <cellStyle name="Note 2 2 5 63 5" xfId="46750"/>
    <cellStyle name="Note 2 2 5 63 6" xfId="46866"/>
    <cellStyle name="Note 2 2 5 64" xfId="25197"/>
    <cellStyle name="Note 2 2 5 65" xfId="33581"/>
    <cellStyle name="Note 2 2 5 66" xfId="36701"/>
    <cellStyle name="Note 2 2 5 67" xfId="51208"/>
    <cellStyle name="Note 2 2 5 7" xfId="1056"/>
    <cellStyle name="Note 2 2 5 7 2" xfId="8880"/>
    <cellStyle name="Note 2 2 5 7 3" xfId="16308"/>
    <cellStyle name="Note 2 2 5 7 4" xfId="25684"/>
    <cellStyle name="Note 2 2 5 7 5" xfId="34221"/>
    <cellStyle name="Note 2 2 5 7 6" xfId="36903"/>
    <cellStyle name="Note 2 2 5 7 7" xfId="52280"/>
    <cellStyle name="Note 2 2 5 8" xfId="1773"/>
    <cellStyle name="Note 2 2 5 8 2" xfId="9596"/>
    <cellStyle name="Note 2 2 5 8 3" xfId="17024"/>
    <cellStyle name="Note 2 2 5 8 4" xfId="26551"/>
    <cellStyle name="Note 2 2 5 8 5" xfId="35359"/>
    <cellStyle name="Note 2 2 5 8 6" xfId="37555"/>
    <cellStyle name="Note 2 2 5 8 7" xfId="54177"/>
    <cellStyle name="Note 2 2 5 9" xfId="1906"/>
    <cellStyle name="Note 2 2 5 9 2" xfId="9729"/>
    <cellStyle name="Note 2 2 5 9 3" xfId="17157"/>
    <cellStyle name="Note 2 2 5 9 4" xfId="19481"/>
    <cellStyle name="Note 2 2 5 9 5" xfId="27306"/>
    <cellStyle name="Note 2 2 5 9 6" xfId="37206"/>
    <cellStyle name="Note 2 2 5 9 7" xfId="47008"/>
    <cellStyle name="Note 2 2 6" xfId="619"/>
    <cellStyle name="Note 2 2 6 2" xfId="8443"/>
    <cellStyle name="Note 2 2 6 3" xfId="11957"/>
    <cellStyle name="Note 2 2 6 4" xfId="20582"/>
    <cellStyle name="Note 2 2 6 5" xfId="28268"/>
    <cellStyle name="Note 2 2 6 6" xfId="37876"/>
    <cellStyle name="Note 2 2 6 7" xfId="49654"/>
    <cellStyle name="Note 2 2 7" xfId="226"/>
    <cellStyle name="Note 2 2 7 2" xfId="8330"/>
    <cellStyle name="Note 2 2 7 3" xfId="8372"/>
    <cellStyle name="Note 2 2 7 4" xfId="20378"/>
    <cellStyle name="Note 2 2 7 5" xfId="27329"/>
    <cellStyle name="Note 2 2 7 6" xfId="36963"/>
    <cellStyle name="Note 2 2 7 7" xfId="50165"/>
    <cellStyle name="Note 2 2 8" xfId="1213"/>
    <cellStyle name="Note 2 2 8 2" xfId="9036"/>
    <cellStyle name="Note 2 2 8 3" xfId="16464"/>
    <cellStyle name="Note 2 2 8 4" xfId="24875"/>
    <cellStyle name="Note 2 2 8 5" xfId="33189"/>
    <cellStyle name="Note 2 2 8 6" xfId="40106"/>
    <cellStyle name="Note 2 2 8 7" xfId="50507"/>
    <cellStyle name="Note 2 2 9" xfId="1007"/>
    <cellStyle name="Note 2 2 9 2" xfId="8831"/>
    <cellStyle name="Note 2 2 9 3" xfId="16259"/>
    <cellStyle name="Note 2 2 9 4" xfId="19911"/>
    <cellStyle name="Note 2 2 9 5" xfId="27167"/>
    <cellStyle name="Note 2 2 9 6" xfId="37244"/>
    <cellStyle name="Note 2 2 9 7" xfId="49975"/>
    <cellStyle name="Note 2 20" xfId="3579"/>
    <cellStyle name="Note 2 20 2" xfId="11368"/>
    <cellStyle name="Note 2 20 3" xfId="20535"/>
    <cellStyle name="Note 2 20 4" xfId="28661"/>
    <cellStyle name="Note 2 20 5" xfId="36134"/>
    <cellStyle name="Note 2 20 6" xfId="42516"/>
    <cellStyle name="Note 2 20 7" xfId="54043"/>
    <cellStyle name="Note 2 21" xfId="2986"/>
    <cellStyle name="Note 2 21 2" xfId="10808"/>
    <cellStyle name="Note 2 21 3" xfId="20172"/>
    <cellStyle name="Note 2 21 4" xfId="28256"/>
    <cellStyle name="Note 2 21 5" xfId="35569"/>
    <cellStyle name="Note 2 21 6" xfId="42341"/>
    <cellStyle name="Note 2 21 7" xfId="48376"/>
    <cellStyle name="Note 2 22" xfId="3022"/>
    <cellStyle name="Note 2 22 2" xfId="10838"/>
    <cellStyle name="Note 2 22 3" xfId="20194"/>
    <cellStyle name="Note 2 22 4" xfId="28285"/>
    <cellStyle name="Note 2 22 5" xfId="35568"/>
    <cellStyle name="Note 2 22 6" xfId="42359"/>
    <cellStyle name="Note 2 22 7" xfId="50958"/>
    <cellStyle name="Note 2 23" xfId="4247"/>
    <cellStyle name="Note 2 23 2" xfId="11976"/>
    <cellStyle name="Note 2 23 3" xfId="20957"/>
    <cellStyle name="Note 2 23 4" xfId="29144"/>
    <cellStyle name="Note 2 23 5" xfId="36140"/>
    <cellStyle name="Note 2 23 6" xfId="42809"/>
    <cellStyle name="Note 2 23 7" xfId="54065"/>
    <cellStyle name="Note 2 24" xfId="4192"/>
    <cellStyle name="Note 2 24 2" xfId="11951"/>
    <cellStyle name="Note 2 24 3" xfId="20902"/>
    <cellStyle name="Note 2 24 4" xfId="29089"/>
    <cellStyle name="Note 2 24 5" xfId="35858"/>
    <cellStyle name="Note 2 24 6" xfId="42754"/>
    <cellStyle name="Note 2 24 7" xfId="52707"/>
    <cellStyle name="Note 2 25" xfId="5099"/>
    <cellStyle name="Note 2 25 2" xfId="12816"/>
    <cellStyle name="Note 2 25 3" xfId="21809"/>
    <cellStyle name="Note 2 25 4" xfId="29996"/>
    <cellStyle name="Note 2 25 5" xfId="34224"/>
    <cellStyle name="Note 2 25 6" xfId="43661"/>
    <cellStyle name="Note 2 25 7" xfId="50976"/>
    <cellStyle name="Note 2 26" xfId="5092"/>
    <cellStyle name="Note 2 26 2" xfId="12809"/>
    <cellStyle name="Note 2 26 3" xfId="21802"/>
    <cellStyle name="Note 2 26 4" xfId="29989"/>
    <cellStyle name="Note 2 26 5" xfId="35698"/>
    <cellStyle name="Note 2 26 6" xfId="43654"/>
    <cellStyle name="Note 2 26 7" xfId="51972"/>
    <cellStyle name="Note 2 27" xfId="5084"/>
    <cellStyle name="Note 2 27 2" xfId="12801"/>
    <cellStyle name="Note 2 27 3" xfId="21794"/>
    <cellStyle name="Note 2 27 4" xfId="29981"/>
    <cellStyle name="Note 2 27 5" xfId="35848"/>
    <cellStyle name="Note 2 27 6" xfId="43646"/>
    <cellStyle name="Note 2 27 7" xfId="52671"/>
    <cellStyle name="Note 2 28" xfId="5202"/>
    <cellStyle name="Note 2 28 2" xfId="12919"/>
    <cellStyle name="Note 2 28 3" xfId="21912"/>
    <cellStyle name="Note 2 28 4" xfId="30099"/>
    <cellStyle name="Note 2 28 5" xfId="35302"/>
    <cellStyle name="Note 2 28 6" xfId="43764"/>
    <cellStyle name="Note 2 28 7" xfId="49215"/>
    <cellStyle name="Note 2 29" xfId="6550"/>
    <cellStyle name="Note 2 29 2" xfId="14267"/>
    <cellStyle name="Note 2 29 3" xfId="23260"/>
    <cellStyle name="Note 2 29 4" xfId="31447"/>
    <cellStyle name="Note 2 29 5" xfId="27530"/>
    <cellStyle name="Note 2 29 6" xfId="45112"/>
    <cellStyle name="Note 2 29 7" xfId="48478"/>
    <cellStyle name="Note 2 3" xfId="260"/>
    <cellStyle name="Note 2 3 10" xfId="1128"/>
    <cellStyle name="Note 2 3 10 2" xfId="8951"/>
    <cellStyle name="Note 2 3 10 3" xfId="16379"/>
    <cellStyle name="Note 2 3 10 4" xfId="19500"/>
    <cellStyle name="Note 2 3 10 5" xfId="27934"/>
    <cellStyle name="Note 2 3 10 6" xfId="41794"/>
    <cellStyle name="Note 2 3 10 7" xfId="47596"/>
    <cellStyle name="Note 2 3 11" xfId="1185"/>
    <cellStyle name="Note 2 3 11 2" xfId="9008"/>
    <cellStyle name="Note 2 3 11 3" xfId="16436"/>
    <cellStyle name="Note 2 3 11 4" xfId="26169"/>
    <cellStyle name="Note 2 3 11 5" xfId="34840"/>
    <cellStyle name="Note 2 3 11 6" xfId="37105"/>
    <cellStyle name="Note 2 3 11 7" xfId="53356"/>
    <cellStyle name="Note 2 3 12" xfId="1064"/>
    <cellStyle name="Note 2 3 12 2" xfId="8888"/>
    <cellStyle name="Note 2 3 12 3" xfId="16316"/>
    <cellStyle name="Note 2 3 12 4" xfId="25223"/>
    <cellStyle name="Note 2 3 12 5" xfId="33623"/>
    <cellStyle name="Note 2 3 12 6" xfId="36354"/>
    <cellStyle name="Note 2 3 12 7" xfId="51270"/>
    <cellStyle name="Note 2 3 13" xfId="1245"/>
    <cellStyle name="Note 2 3 13 2" xfId="9068"/>
    <cellStyle name="Note 2 3 13 3" xfId="16496"/>
    <cellStyle name="Note 2 3 13 4" xfId="24904"/>
    <cellStyle name="Note 2 3 13 5" xfId="33226"/>
    <cellStyle name="Note 2 3 13 6" xfId="37130"/>
    <cellStyle name="Note 2 3 13 7" xfId="50575"/>
    <cellStyle name="Note 2 3 14" xfId="1673"/>
    <cellStyle name="Note 2 3 14 2" xfId="9496"/>
    <cellStyle name="Note 2 3 14 3" xfId="16924"/>
    <cellStyle name="Note 2 3 14 4" xfId="19488"/>
    <cellStyle name="Note 2 3 14 5" xfId="27261"/>
    <cellStyle name="Note 2 3 14 6" xfId="36479"/>
    <cellStyle name="Note 2 3 14 7" xfId="49522"/>
    <cellStyle name="Note 2 3 15" xfId="1279"/>
    <cellStyle name="Note 2 3 15 2" xfId="9102"/>
    <cellStyle name="Note 2 3 15 3" xfId="16530"/>
    <cellStyle name="Note 2 3 15 4" xfId="19948"/>
    <cellStyle name="Note 2 3 15 5" xfId="27526"/>
    <cellStyle name="Note 2 3 15 6" xfId="39346"/>
    <cellStyle name="Note 2 3 15 7" xfId="46850"/>
    <cellStyle name="Note 2 3 16" xfId="999"/>
    <cellStyle name="Note 2 3 16 2" xfId="8823"/>
    <cellStyle name="Note 2 3 16 3" xfId="16251"/>
    <cellStyle name="Note 2 3 16 4" xfId="20056"/>
    <cellStyle name="Note 2 3 16 5" xfId="28490"/>
    <cellStyle name="Note 2 3 16 6" xfId="36444"/>
    <cellStyle name="Note 2 3 16 7" xfId="47482"/>
    <cellStyle name="Note 2 3 17" xfId="1657"/>
    <cellStyle name="Note 2 3 17 2" xfId="9480"/>
    <cellStyle name="Note 2 3 17 3" xfId="16908"/>
    <cellStyle name="Note 2 3 17 4" xfId="25288"/>
    <cellStyle name="Note 2 3 17 5" xfId="33700"/>
    <cellStyle name="Note 2 3 17 6" xfId="40300"/>
    <cellStyle name="Note 2 3 17 7" xfId="51400"/>
    <cellStyle name="Note 2 3 18" xfId="1223"/>
    <cellStyle name="Note 2 3 18 2" xfId="9046"/>
    <cellStyle name="Note 2 3 18 3" xfId="16474"/>
    <cellStyle name="Note 2 3 18 4" xfId="20668"/>
    <cellStyle name="Note 2 3 18 5" xfId="27144"/>
    <cellStyle name="Note 2 3 18 6" xfId="38853"/>
    <cellStyle name="Note 2 3 18 7" xfId="49353"/>
    <cellStyle name="Note 2 3 19" xfId="987"/>
    <cellStyle name="Note 2 3 19 2" xfId="8811"/>
    <cellStyle name="Note 2 3 19 3" xfId="16239"/>
    <cellStyle name="Note 2 3 19 4" xfId="25635"/>
    <cellStyle name="Note 2 3 19 5" xfId="34154"/>
    <cellStyle name="Note 2 3 19 6" xfId="36723"/>
    <cellStyle name="Note 2 3 19 7" xfId="52173"/>
    <cellStyle name="Note 2 3 2" xfId="534"/>
    <cellStyle name="Note 2 3 2 10" xfId="1981"/>
    <cellStyle name="Note 2 3 2 10 2" xfId="9804"/>
    <cellStyle name="Note 2 3 2 10 3" xfId="17232"/>
    <cellStyle name="Note 2 3 2 10 4" xfId="19859"/>
    <cellStyle name="Note 2 3 2 10 5" xfId="27448"/>
    <cellStyle name="Note 2 3 2 10 6" xfId="37529"/>
    <cellStyle name="Note 2 3 2 10 7" xfId="48546"/>
    <cellStyle name="Note 2 3 2 11" xfId="2099"/>
    <cellStyle name="Note 2 3 2 11 2" xfId="9922"/>
    <cellStyle name="Note 2 3 2 11 3" xfId="17350"/>
    <cellStyle name="Note 2 3 2 11 4" xfId="19604"/>
    <cellStyle name="Note 2 3 2 11 5" xfId="28773"/>
    <cellStyle name="Note 2 3 2 11 6" xfId="40325"/>
    <cellStyle name="Note 2 3 2 11 7" xfId="48673"/>
    <cellStyle name="Note 2 3 2 12" xfId="2212"/>
    <cellStyle name="Note 2 3 2 12 2" xfId="10035"/>
    <cellStyle name="Note 2 3 2 12 3" xfId="17463"/>
    <cellStyle name="Note 2 3 2 12 4" xfId="25522"/>
    <cellStyle name="Note 2 3 2 12 5" xfId="34004"/>
    <cellStyle name="Note 2 3 2 12 6" xfId="37637"/>
    <cellStyle name="Note 2 3 2 12 7" xfId="51922"/>
    <cellStyle name="Note 2 3 2 13" xfId="977"/>
    <cellStyle name="Note 2 3 2 13 2" xfId="8801"/>
    <cellStyle name="Note 2 3 2 13 3" xfId="16229"/>
    <cellStyle name="Note 2 3 2 13 4" xfId="20317"/>
    <cellStyle name="Note 2 3 2 13 5" xfId="27672"/>
    <cellStyle name="Note 2 3 2 13 6" xfId="37479"/>
    <cellStyle name="Note 2 3 2 13 7" xfId="48026"/>
    <cellStyle name="Note 2 3 2 14" xfId="1260"/>
    <cellStyle name="Note 2 3 2 14 2" xfId="9083"/>
    <cellStyle name="Note 2 3 2 14 3" xfId="16511"/>
    <cellStyle name="Note 2 3 2 14 4" xfId="19955"/>
    <cellStyle name="Note 2 3 2 14 5" xfId="26821"/>
    <cellStyle name="Note 2 3 2 14 6" xfId="42125"/>
    <cellStyle name="Note 2 3 2 14 7" xfId="47017"/>
    <cellStyle name="Note 2 3 2 15" xfId="2510"/>
    <cellStyle name="Note 2 3 2 15 2" xfId="10333"/>
    <cellStyle name="Note 2 3 2 15 3" xfId="17761"/>
    <cellStyle name="Note 2 3 2 15 4" xfId="24838"/>
    <cellStyle name="Note 2 3 2 15 5" xfId="28605"/>
    <cellStyle name="Note 2 3 2 15 6" xfId="38775"/>
    <cellStyle name="Note 2 3 2 15 7" xfId="49538"/>
    <cellStyle name="Note 2 3 2 16" xfId="2623"/>
    <cellStyle name="Note 2 3 2 16 2" xfId="10446"/>
    <cellStyle name="Note 2 3 2 16 3" xfId="17874"/>
    <cellStyle name="Note 2 3 2 16 4" xfId="26269"/>
    <cellStyle name="Note 2 3 2 16 5" xfId="34967"/>
    <cellStyle name="Note 2 3 2 16 6" xfId="40332"/>
    <cellStyle name="Note 2 3 2 16 7" xfId="53576"/>
    <cellStyle name="Note 2 3 2 17" xfId="1674"/>
    <cellStyle name="Note 2 3 2 17 2" xfId="9497"/>
    <cellStyle name="Note 2 3 2 17 3" xfId="16925"/>
    <cellStyle name="Note 2 3 2 17 4" xfId="20005"/>
    <cellStyle name="Note 2 3 2 17 5" xfId="28367"/>
    <cellStyle name="Note 2 3 2 17 6" xfId="38414"/>
    <cellStyle name="Note 2 3 2 17 7" xfId="47404"/>
    <cellStyle name="Note 2 3 2 18" xfId="2703"/>
    <cellStyle name="Note 2 3 2 18 2" xfId="10526"/>
    <cellStyle name="Note 2 3 2 18 3" xfId="17954"/>
    <cellStyle name="Note 2 3 2 18 4" xfId="25852"/>
    <cellStyle name="Note 2 3 2 18 5" xfId="34439"/>
    <cellStyle name="Note 2 3 2 18 6" xfId="39384"/>
    <cellStyle name="Note 2 3 2 18 7" xfId="52672"/>
    <cellStyle name="Note 2 3 2 19" xfId="2816"/>
    <cellStyle name="Note 2 3 2 19 2" xfId="10639"/>
    <cellStyle name="Note 2 3 2 19 3" xfId="18067"/>
    <cellStyle name="Note 2 3 2 19 4" xfId="20576"/>
    <cellStyle name="Note 2 3 2 19 5" xfId="27231"/>
    <cellStyle name="Note 2 3 2 19 6" xfId="37413"/>
    <cellStyle name="Note 2 3 2 19 7" xfId="49497"/>
    <cellStyle name="Note 2 3 2 2" xfId="684"/>
    <cellStyle name="Note 2 3 2 2 2" xfId="8508"/>
    <cellStyle name="Note 2 3 2 2 3" xfId="15936"/>
    <cellStyle name="Note 2 3 2 2 4" xfId="19983"/>
    <cellStyle name="Note 2 3 2 2 5" xfId="27624"/>
    <cellStyle name="Note 2 3 2 2 6" xfId="36328"/>
    <cellStyle name="Note 2 3 2 2 7" xfId="48299"/>
    <cellStyle name="Note 2 3 2 20" xfId="2923"/>
    <cellStyle name="Note 2 3 2 20 2" xfId="10746"/>
    <cellStyle name="Note 2 3 2 20 3" xfId="18174"/>
    <cellStyle name="Note 2 3 2 20 4" xfId="26315"/>
    <cellStyle name="Note 2 3 2 20 5" xfId="35036"/>
    <cellStyle name="Note 2 3 2 20 6" xfId="41908"/>
    <cellStyle name="Note 2 3 2 20 7" xfId="53675"/>
    <cellStyle name="Note 2 3 2 21" xfId="3299"/>
    <cellStyle name="Note 2 3 2 21 2" xfId="11092"/>
    <cellStyle name="Note 2 3 2 21 3" xfId="18421"/>
    <cellStyle name="Note 2 3 2 21 4" xfId="25643"/>
    <cellStyle name="Note 2 3 2 21 5" xfId="34163"/>
    <cellStyle name="Note 2 3 2 21 6" xfId="39872"/>
    <cellStyle name="Note 2 3 2 21 7" xfId="52190"/>
    <cellStyle name="Note 2 3 2 22" xfId="3419"/>
    <cellStyle name="Note 2 3 2 22 2" xfId="11210"/>
    <cellStyle name="Note 2 3 2 22 3" xfId="18532"/>
    <cellStyle name="Note 2 3 2 22 4" xfId="25991"/>
    <cellStyle name="Note 2 3 2 22 5" xfId="34613"/>
    <cellStyle name="Note 2 3 2 22 6" xfId="36573"/>
    <cellStyle name="Note 2 3 2 22 7" xfId="52977"/>
    <cellStyle name="Note 2 3 2 23" xfId="3547"/>
    <cellStyle name="Note 2 3 2 23 2" xfId="11336"/>
    <cellStyle name="Note 2 3 2 23 3" xfId="18624"/>
    <cellStyle name="Note 2 3 2 23 4" xfId="20109"/>
    <cellStyle name="Note 2 3 2 23 5" xfId="27969"/>
    <cellStyle name="Note 2 3 2 23 6" xfId="38147"/>
    <cellStyle name="Note 2 3 2 23 7" xfId="50168"/>
    <cellStyle name="Note 2 3 2 24" xfId="3127"/>
    <cellStyle name="Note 2 3 2 24 2" xfId="10932"/>
    <cellStyle name="Note 2 3 2 24 3" xfId="18310"/>
    <cellStyle name="Note 2 3 2 24 4" xfId="20623"/>
    <cellStyle name="Note 2 3 2 24 5" xfId="28065"/>
    <cellStyle name="Note 2 3 2 24 6" xfId="36871"/>
    <cellStyle name="Note 2 3 2 24 7" xfId="47981"/>
    <cellStyle name="Note 2 3 2 25" xfId="3690"/>
    <cellStyle name="Note 2 3 2 25 2" xfId="11475"/>
    <cellStyle name="Note 2 3 2 25 3" xfId="18748"/>
    <cellStyle name="Note 2 3 2 25 4" xfId="19744"/>
    <cellStyle name="Note 2 3 2 25 5" xfId="33130"/>
    <cellStyle name="Note 2 3 2 25 6" xfId="37329"/>
    <cellStyle name="Note 2 3 2 25 7" xfId="50390"/>
    <cellStyle name="Note 2 3 2 26" xfId="3820"/>
    <cellStyle name="Note 2 3 2 26 2" xfId="11602"/>
    <cellStyle name="Note 2 3 2 26 3" xfId="18859"/>
    <cellStyle name="Note 2 3 2 26 4" xfId="25367"/>
    <cellStyle name="Note 2 3 2 26 5" xfId="33808"/>
    <cellStyle name="Note 2 3 2 26 6" xfId="40157"/>
    <cellStyle name="Note 2 3 2 26 7" xfId="51576"/>
    <cellStyle name="Note 2 3 2 27" xfId="3938"/>
    <cellStyle name="Note 2 3 2 27 2" xfId="11718"/>
    <cellStyle name="Note 2 3 2 27 3" xfId="18968"/>
    <cellStyle name="Note 2 3 2 27 4" xfId="19080"/>
    <cellStyle name="Note 2 3 2 27 5" xfId="26874"/>
    <cellStyle name="Note 2 3 2 27 6" xfId="37740"/>
    <cellStyle name="Note 2 3 2 27 7" xfId="49790"/>
    <cellStyle name="Note 2 3 2 28" xfId="3365"/>
    <cellStyle name="Note 2 3 2 28 2" xfId="11156"/>
    <cellStyle name="Note 2 3 2 28 3" xfId="20414"/>
    <cellStyle name="Note 2 3 2 28 4" xfId="28521"/>
    <cellStyle name="Note 2 3 2 28 5" xfId="36058"/>
    <cellStyle name="Note 2 3 2 28 6" xfId="42471"/>
    <cellStyle name="Note 2 3 2 28 7" xfId="53700"/>
    <cellStyle name="Note 2 3 2 29" xfId="4135"/>
    <cellStyle name="Note 2 3 2 29 2" xfId="11894"/>
    <cellStyle name="Note 2 3 2 29 3" xfId="20845"/>
    <cellStyle name="Note 2 3 2 29 4" xfId="29032"/>
    <cellStyle name="Note 2 3 2 29 5" xfId="27895"/>
    <cellStyle name="Note 2 3 2 29 6" xfId="42697"/>
    <cellStyle name="Note 2 3 2 29 7" xfId="50827"/>
    <cellStyle name="Note 2 3 2 3" xfId="792"/>
    <cellStyle name="Note 2 3 2 3 2" xfId="8616"/>
    <cellStyle name="Note 2 3 2 3 3" xfId="16044"/>
    <cellStyle name="Note 2 3 2 3 4" xfId="19428"/>
    <cellStyle name="Note 2 3 2 3 5" xfId="33145"/>
    <cellStyle name="Note 2 3 2 3 6" xfId="37082"/>
    <cellStyle name="Note 2 3 2 3 7" xfId="50419"/>
    <cellStyle name="Note 2 3 2 30" xfId="4051"/>
    <cellStyle name="Note 2 3 2 30 2" xfId="20761"/>
    <cellStyle name="Note 2 3 2 30 3" xfId="28948"/>
    <cellStyle name="Note 2 3 2 30 4" xfId="35752"/>
    <cellStyle name="Note 2 3 2 30 5" xfId="42613"/>
    <cellStyle name="Note 2 3 2 30 6" xfId="52262"/>
    <cellStyle name="Note 2 3 2 31" xfId="4332"/>
    <cellStyle name="Note 2 3 2 31 2" xfId="12049"/>
    <cellStyle name="Note 2 3 2 31 3" xfId="21042"/>
    <cellStyle name="Note 2 3 2 31 4" xfId="29229"/>
    <cellStyle name="Note 2 3 2 31 5" xfId="27058"/>
    <cellStyle name="Note 2 3 2 31 6" xfId="42894"/>
    <cellStyle name="Note 2 3 2 31 7" xfId="49053"/>
    <cellStyle name="Note 2 3 2 32" xfId="4455"/>
    <cellStyle name="Note 2 3 2 32 2" xfId="12172"/>
    <cellStyle name="Note 2 3 2 32 3" xfId="21165"/>
    <cellStyle name="Note 2 3 2 32 4" xfId="29352"/>
    <cellStyle name="Note 2 3 2 32 5" xfId="35026"/>
    <cellStyle name="Note 2 3 2 32 6" xfId="43017"/>
    <cellStyle name="Note 2 3 2 32 7" xfId="49566"/>
    <cellStyle name="Note 2 3 2 33" xfId="4569"/>
    <cellStyle name="Note 2 3 2 33 2" xfId="12286"/>
    <cellStyle name="Note 2 3 2 33 3" xfId="21279"/>
    <cellStyle name="Note 2 3 2 33 4" xfId="29466"/>
    <cellStyle name="Note 2 3 2 33 5" xfId="35844"/>
    <cellStyle name="Note 2 3 2 33 6" xfId="43131"/>
    <cellStyle name="Note 2 3 2 33 7" xfId="52630"/>
    <cellStyle name="Note 2 3 2 34" xfId="4682"/>
    <cellStyle name="Note 2 3 2 34 2" xfId="12399"/>
    <cellStyle name="Note 2 3 2 34 3" xfId="21392"/>
    <cellStyle name="Note 2 3 2 34 4" xfId="29579"/>
    <cellStyle name="Note 2 3 2 34 5" xfId="34836"/>
    <cellStyle name="Note 2 3 2 34 6" xfId="43244"/>
    <cellStyle name="Note 2 3 2 34 7" xfId="48820"/>
    <cellStyle name="Note 2 3 2 35" xfId="4793"/>
    <cellStyle name="Note 2 3 2 35 2" xfId="12510"/>
    <cellStyle name="Note 2 3 2 35 3" xfId="21503"/>
    <cellStyle name="Note 2 3 2 35 4" xfId="29690"/>
    <cellStyle name="Note 2 3 2 35 5" xfId="35829"/>
    <cellStyle name="Note 2 3 2 35 6" xfId="43355"/>
    <cellStyle name="Note 2 3 2 35 7" xfId="52556"/>
    <cellStyle name="Note 2 3 2 36" xfId="4902"/>
    <cellStyle name="Note 2 3 2 36 2" xfId="12619"/>
    <cellStyle name="Note 2 3 2 36 3" xfId="21612"/>
    <cellStyle name="Note 2 3 2 36 4" xfId="29799"/>
    <cellStyle name="Note 2 3 2 36 5" xfId="28451"/>
    <cellStyle name="Note 2 3 2 36 6" xfId="43464"/>
    <cellStyle name="Note 2 3 2 36 7" xfId="48754"/>
    <cellStyle name="Note 2 3 2 37" xfId="5013"/>
    <cellStyle name="Note 2 3 2 37 2" xfId="12730"/>
    <cellStyle name="Note 2 3 2 37 3" xfId="21723"/>
    <cellStyle name="Note 2 3 2 37 4" xfId="29910"/>
    <cellStyle name="Note 2 3 2 37 5" xfId="35881"/>
    <cellStyle name="Note 2 3 2 37 6" xfId="43575"/>
    <cellStyle name="Note 2 3 2 37 7" xfId="52854"/>
    <cellStyle name="Note 2 3 2 38" xfId="5392"/>
    <cellStyle name="Note 2 3 2 38 2" xfId="13109"/>
    <cellStyle name="Note 2 3 2 38 3" xfId="22102"/>
    <cellStyle name="Note 2 3 2 38 4" xfId="30289"/>
    <cellStyle name="Note 2 3 2 38 5" xfId="35761"/>
    <cellStyle name="Note 2 3 2 38 6" xfId="43954"/>
    <cellStyle name="Note 2 3 2 38 7" xfId="52292"/>
    <cellStyle name="Note 2 3 2 39" xfId="5512"/>
    <cellStyle name="Note 2 3 2 39 2" xfId="13229"/>
    <cellStyle name="Note 2 3 2 39 3" xfId="22222"/>
    <cellStyle name="Note 2 3 2 39 4" xfId="30409"/>
    <cellStyle name="Note 2 3 2 39 5" xfId="28796"/>
    <cellStyle name="Note 2 3 2 39 6" xfId="44074"/>
    <cellStyle name="Note 2 3 2 39 7" xfId="47012"/>
    <cellStyle name="Note 2 3 2 4" xfId="903"/>
    <cellStyle name="Note 2 3 2 4 2" xfId="8727"/>
    <cellStyle name="Note 2 3 2 4 3" xfId="16155"/>
    <cellStyle name="Note 2 3 2 4 4" xfId="26248"/>
    <cellStyle name="Note 2 3 2 4 5" xfId="34942"/>
    <cellStyle name="Note 2 3 2 4 6" xfId="36346"/>
    <cellStyle name="Note 2 3 2 4 7" xfId="53534"/>
    <cellStyle name="Note 2 3 2 40" xfId="5636"/>
    <cellStyle name="Note 2 3 2 40 2" xfId="13353"/>
    <cellStyle name="Note 2 3 2 40 3" xfId="22346"/>
    <cellStyle name="Note 2 3 2 40 4" xfId="30533"/>
    <cellStyle name="Note 2 3 2 40 5" xfId="33278"/>
    <cellStyle name="Note 2 3 2 40 6" xfId="44198"/>
    <cellStyle name="Note 2 3 2 40 7" xfId="46778"/>
    <cellStyle name="Note 2 3 2 41" xfId="5752"/>
    <cellStyle name="Note 2 3 2 41 2" xfId="13469"/>
    <cellStyle name="Note 2 3 2 41 3" xfId="22462"/>
    <cellStyle name="Note 2 3 2 41 4" xfId="30649"/>
    <cellStyle name="Note 2 3 2 41 5" xfId="35795"/>
    <cellStyle name="Note 2 3 2 41 6" xfId="44314"/>
    <cellStyle name="Note 2 3 2 41 7" xfId="47619"/>
    <cellStyle name="Note 2 3 2 42" xfId="5868"/>
    <cellStyle name="Note 2 3 2 42 2" xfId="13585"/>
    <cellStyle name="Note 2 3 2 42 3" xfId="22578"/>
    <cellStyle name="Note 2 3 2 42 4" xfId="30765"/>
    <cellStyle name="Note 2 3 2 42 5" xfId="35912"/>
    <cellStyle name="Note 2 3 2 42 6" xfId="44430"/>
    <cellStyle name="Note 2 3 2 42 7" xfId="52770"/>
    <cellStyle name="Note 2 3 2 43" xfId="5997"/>
    <cellStyle name="Note 2 3 2 43 2" xfId="13714"/>
    <cellStyle name="Note 2 3 2 43 3" xfId="22707"/>
    <cellStyle name="Note 2 3 2 43 4" xfId="30894"/>
    <cellStyle name="Note 2 3 2 43 5" xfId="35682"/>
    <cellStyle name="Note 2 3 2 43 6" xfId="44559"/>
    <cellStyle name="Note 2 3 2 43 7" xfId="48580"/>
    <cellStyle name="Note 2 3 2 44" xfId="6096"/>
    <cellStyle name="Note 2 3 2 44 2" xfId="13813"/>
    <cellStyle name="Note 2 3 2 44 3" xfId="22806"/>
    <cellStyle name="Note 2 3 2 44 4" xfId="30993"/>
    <cellStyle name="Note 2 3 2 44 5" xfId="28562"/>
    <cellStyle name="Note 2 3 2 44 6" xfId="44658"/>
    <cellStyle name="Note 2 3 2 44 7" xfId="51882"/>
    <cellStyle name="Note 2 3 2 45" xfId="5324"/>
    <cellStyle name="Note 2 3 2 45 2" xfId="13041"/>
    <cellStyle name="Note 2 3 2 45 3" xfId="22034"/>
    <cellStyle name="Note 2 3 2 45 4" xfId="30221"/>
    <cellStyle name="Note 2 3 2 45 5" xfId="35635"/>
    <cellStyle name="Note 2 3 2 45 6" xfId="43886"/>
    <cellStyle name="Note 2 3 2 45 7" xfId="51641"/>
    <cellStyle name="Note 2 3 2 46" xfId="6253"/>
    <cellStyle name="Note 2 3 2 46 2" xfId="13970"/>
    <cellStyle name="Note 2 3 2 46 3" xfId="22963"/>
    <cellStyle name="Note 2 3 2 46 4" xfId="31150"/>
    <cellStyle name="Note 2 3 2 46 5" xfId="34306"/>
    <cellStyle name="Note 2 3 2 46 6" xfId="44815"/>
    <cellStyle name="Note 2 3 2 46 7" xfId="49897"/>
    <cellStyle name="Note 2 3 2 47" xfId="6369"/>
    <cellStyle name="Note 2 3 2 47 2" xfId="14086"/>
    <cellStyle name="Note 2 3 2 47 3" xfId="23079"/>
    <cellStyle name="Note 2 3 2 47 4" xfId="31266"/>
    <cellStyle name="Note 2 3 2 47 5" xfId="35993"/>
    <cellStyle name="Note 2 3 2 47 6" xfId="44931"/>
    <cellStyle name="Note 2 3 2 47 7" xfId="53174"/>
    <cellStyle name="Note 2 3 2 48" xfId="6480"/>
    <cellStyle name="Note 2 3 2 48 2" xfId="14197"/>
    <cellStyle name="Note 2 3 2 48 3" xfId="23190"/>
    <cellStyle name="Note 2 3 2 48 4" xfId="31377"/>
    <cellStyle name="Note 2 3 2 48 5" xfId="35902"/>
    <cellStyle name="Note 2 3 2 48 6" xfId="45042"/>
    <cellStyle name="Note 2 3 2 48 7" xfId="52386"/>
    <cellStyle name="Note 2 3 2 49" xfId="5106"/>
    <cellStyle name="Note 2 3 2 49 2" xfId="12823"/>
    <cellStyle name="Note 2 3 2 49 3" xfId="21816"/>
    <cellStyle name="Note 2 3 2 49 4" xfId="30003"/>
    <cellStyle name="Note 2 3 2 49 5" xfId="35085"/>
    <cellStyle name="Note 2 3 2 49 6" xfId="43668"/>
    <cellStyle name="Note 2 3 2 49 7" xfId="50378"/>
    <cellStyle name="Note 2 3 2 5" xfId="1369"/>
    <cellStyle name="Note 2 3 2 5 2" xfId="9192"/>
    <cellStyle name="Note 2 3 2 5 3" xfId="16620"/>
    <cellStyle name="Note 2 3 2 5 4" xfId="20515"/>
    <cellStyle name="Note 2 3 2 5 5" xfId="27315"/>
    <cellStyle name="Note 2 3 2 5 6" xfId="39816"/>
    <cellStyle name="Note 2 3 2 5 7" xfId="48077"/>
    <cellStyle name="Note 2 3 2 50" xfId="6626"/>
    <cellStyle name="Note 2 3 2 50 2" xfId="14343"/>
    <cellStyle name="Note 2 3 2 50 3" xfId="23336"/>
    <cellStyle name="Note 2 3 2 50 4" xfId="31523"/>
    <cellStyle name="Note 2 3 2 50 5" xfId="26726"/>
    <cellStyle name="Note 2 3 2 50 6" xfId="45188"/>
    <cellStyle name="Note 2 3 2 50 7" xfId="51577"/>
    <cellStyle name="Note 2 3 2 51" xfId="6738"/>
    <cellStyle name="Note 2 3 2 51 2" xfId="14455"/>
    <cellStyle name="Note 2 3 2 51 3" xfId="23448"/>
    <cellStyle name="Note 2 3 2 51 4" xfId="31635"/>
    <cellStyle name="Note 2 3 2 51 5" xfId="33478"/>
    <cellStyle name="Note 2 3 2 51 6" xfId="45300"/>
    <cellStyle name="Note 2 3 2 51 7" xfId="51070"/>
    <cellStyle name="Note 2 3 2 52" xfId="6853"/>
    <cellStyle name="Note 2 3 2 52 2" xfId="14570"/>
    <cellStyle name="Note 2 3 2 52 3" xfId="23563"/>
    <cellStyle name="Note 2 3 2 52 4" xfId="31750"/>
    <cellStyle name="Note 2 3 2 52 5" xfId="33630"/>
    <cellStyle name="Note 2 3 2 52 6" xfId="45415"/>
    <cellStyle name="Note 2 3 2 52 7" xfId="48086"/>
    <cellStyle name="Note 2 3 2 53" xfId="6966"/>
    <cellStyle name="Note 2 3 2 53 2" xfId="14683"/>
    <cellStyle name="Note 2 3 2 53 3" xfId="23676"/>
    <cellStyle name="Note 2 3 2 53 4" xfId="31863"/>
    <cellStyle name="Note 2 3 2 53 5" xfId="27212"/>
    <cellStyle name="Note 2 3 2 53 6" xfId="45528"/>
    <cellStyle name="Note 2 3 2 53 7" xfId="46809"/>
    <cellStyle name="Note 2 3 2 54" xfId="7077"/>
    <cellStyle name="Note 2 3 2 54 2" xfId="14794"/>
    <cellStyle name="Note 2 3 2 54 3" xfId="23787"/>
    <cellStyle name="Note 2 3 2 54 4" xfId="31974"/>
    <cellStyle name="Note 2 3 2 54 5" xfId="35141"/>
    <cellStyle name="Note 2 3 2 54 6" xfId="45639"/>
    <cellStyle name="Note 2 3 2 54 7" xfId="51424"/>
    <cellStyle name="Note 2 3 2 55" xfId="7202"/>
    <cellStyle name="Note 2 3 2 55 2" xfId="14919"/>
    <cellStyle name="Note 2 3 2 55 3" xfId="23912"/>
    <cellStyle name="Note 2 3 2 55 4" xfId="32099"/>
    <cellStyle name="Note 2 3 2 55 5" xfId="35632"/>
    <cellStyle name="Note 2 3 2 55 6" xfId="45764"/>
    <cellStyle name="Note 2 3 2 55 7" xfId="51062"/>
    <cellStyle name="Note 2 3 2 56" xfId="7136"/>
    <cellStyle name="Note 2 3 2 56 2" xfId="14853"/>
    <cellStyle name="Note 2 3 2 56 3" xfId="23846"/>
    <cellStyle name="Note 2 3 2 56 4" xfId="32033"/>
    <cellStyle name="Note 2 3 2 56 5" xfId="35751"/>
    <cellStyle name="Note 2 3 2 56 6" xfId="45698"/>
    <cellStyle name="Note 2 3 2 56 7" xfId="51555"/>
    <cellStyle name="Note 2 3 2 57" xfId="7474"/>
    <cellStyle name="Note 2 3 2 57 2" xfId="15191"/>
    <cellStyle name="Note 2 3 2 57 3" xfId="24184"/>
    <cellStyle name="Note 2 3 2 57 4" xfId="32371"/>
    <cellStyle name="Note 2 3 2 57 5" xfId="36013"/>
    <cellStyle name="Note 2 3 2 57 6" xfId="46036"/>
    <cellStyle name="Note 2 3 2 57 7" xfId="53062"/>
    <cellStyle name="Note 2 3 2 58" xfId="7595"/>
    <cellStyle name="Note 2 3 2 58 2" xfId="15312"/>
    <cellStyle name="Note 2 3 2 58 3" xfId="24305"/>
    <cellStyle name="Note 2 3 2 58 4" xfId="32492"/>
    <cellStyle name="Note 2 3 2 58 5" xfId="26945"/>
    <cellStyle name="Note 2 3 2 58 6" xfId="46157"/>
    <cellStyle name="Note 2 3 2 58 7" xfId="47783"/>
    <cellStyle name="Note 2 3 2 59" xfId="7871"/>
    <cellStyle name="Note 2 3 2 59 2" xfId="15588"/>
    <cellStyle name="Note 2 3 2 59 3" xfId="24575"/>
    <cellStyle name="Note 2 3 2 59 4" xfId="32768"/>
    <cellStyle name="Note 2 3 2 59 5" xfId="34571"/>
    <cellStyle name="Note 2 3 2 59 6" xfId="46433"/>
    <cellStyle name="Note 2 3 2 59 7" xfId="48797"/>
    <cellStyle name="Note 2 3 2 6" xfId="1492"/>
    <cellStyle name="Note 2 3 2 6 2" xfId="9315"/>
    <cellStyle name="Note 2 3 2 6 3" xfId="16743"/>
    <cellStyle name="Note 2 3 2 6 4" xfId="20100"/>
    <cellStyle name="Note 2 3 2 6 5" xfId="28058"/>
    <cellStyle name="Note 2 3 2 6 6" xfId="42140"/>
    <cellStyle name="Note 2 3 2 6 7" xfId="48045"/>
    <cellStyle name="Note 2 3 2 60" xfId="7993"/>
    <cellStyle name="Note 2 3 2 60 2" xfId="15710"/>
    <cellStyle name="Note 2 3 2 60 3" xfId="24695"/>
    <cellStyle name="Note 2 3 2 60 4" xfId="32890"/>
    <cellStyle name="Note 2 3 2 60 5" xfId="33746"/>
    <cellStyle name="Note 2 3 2 60 6" xfId="46555"/>
    <cellStyle name="Note 2 3 2 60 7" xfId="50677"/>
    <cellStyle name="Note 2 3 2 61" xfId="7991"/>
    <cellStyle name="Note 2 3 2 61 2" xfId="15708"/>
    <cellStyle name="Note 2 3 2 61 3" xfId="24693"/>
    <cellStyle name="Note 2 3 2 61 4" xfId="32888"/>
    <cellStyle name="Note 2 3 2 61 5" xfId="34679"/>
    <cellStyle name="Note 2 3 2 61 6" xfId="46553"/>
    <cellStyle name="Note 2 3 2 61 7" xfId="47511"/>
    <cellStyle name="Note 2 3 2 62" xfId="8086"/>
    <cellStyle name="Note 2 3 2 62 2" xfId="15803"/>
    <cellStyle name="Note 2 3 2 62 3" xfId="24787"/>
    <cellStyle name="Note 2 3 2 62 4" xfId="32983"/>
    <cellStyle name="Note 2 3 2 62 5" xfId="27828"/>
    <cellStyle name="Note 2 3 2 62 6" xfId="46648"/>
    <cellStyle name="Note 2 3 2 62 7" xfId="49710"/>
    <cellStyle name="Note 2 3 2 63" xfId="8147"/>
    <cellStyle name="Note 2 3 2 63 2" xfId="15864"/>
    <cellStyle name="Note 2 3 2 63 3" xfId="33044"/>
    <cellStyle name="Note 2 3 2 63 4" xfId="34725"/>
    <cellStyle name="Note 2 3 2 63 5" xfId="46709"/>
    <cellStyle name="Note 2 3 2 63 6" xfId="49141"/>
    <cellStyle name="Note 2 3 2 64" xfId="19958"/>
    <cellStyle name="Note 2 3 2 65" xfId="28721"/>
    <cellStyle name="Note 2 3 2 66" xfId="37778"/>
    <cellStyle name="Note 2 3 2 67" xfId="47248"/>
    <cellStyle name="Note 2 3 2 7" xfId="967"/>
    <cellStyle name="Note 2 3 2 7 2" xfId="8791"/>
    <cellStyle name="Note 2 3 2 7 3" xfId="16219"/>
    <cellStyle name="Note 2 3 2 7 4" xfId="26527"/>
    <cellStyle name="Note 2 3 2 7 5" xfId="35327"/>
    <cellStyle name="Note 2 3 2 7 6" xfId="38209"/>
    <cellStyle name="Note 2 3 2 7 7" xfId="54130"/>
    <cellStyle name="Note 2 3 2 8" xfId="1729"/>
    <cellStyle name="Note 2 3 2 8 2" xfId="9552"/>
    <cellStyle name="Note 2 3 2 8 3" xfId="16980"/>
    <cellStyle name="Note 2 3 2 8 4" xfId="25204"/>
    <cellStyle name="Note 2 3 2 8 5" xfId="33593"/>
    <cellStyle name="Note 2 3 2 8 6" xfId="42011"/>
    <cellStyle name="Note 2 3 2 8 7" xfId="51225"/>
    <cellStyle name="Note 2 3 2 9" xfId="1863"/>
    <cellStyle name="Note 2 3 2 9 2" xfId="9686"/>
    <cellStyle name="Note 2 3 2 9 3" xfId="17114"/>
    <cellStyle name="Note 2 3 2 9 4" xfId="25605"/>
    <cellStyle name="Note 2 3 2 9 5" xfId="34116"/>
    <cellStyle name="Note 2 3 2 9 6" xfId="40895"/>
    <cellStyle name="Note 2 3 2 9 7" xfId="52103"/>
    <cellStyle name="Note 2 3 20" xfId="2262"/>
    <cellStyle name="Note 2 3 20 2" xfId="10085"/>
    <cellStyle name="Note 2 3 20 3" xfId="17513"/>
    <cellStyle name="Note 2 3 20 4" xfId="26405"/>
    <cellStyle name="Note 2 3 20 5" xfId="35161"/>
    <cellStyle name="Note 2 3 20 6" xfId="38408"/>
    <cellStyle name="Note 2 3 20 7" xfId="53862"/>
    <cellStyle name="Note 2 3 21" xfId="1106"/>
    <cellStyle name="Note 2 3 21 2" xfId="8930"/>
    <cellStyle name="Note 2 3 21 3" xfId="16358"/>
    <cellStyle name="Note 2 3 21 4" xfId="20529"/>
    <cellStyle name="Note 2 3 21 5" xfId="27062"/>
    <cellStyle name="Note 2 3 21 6" xfId="36975"/>
    <cellStyle name="Note 2 3 21 7" xfId="48150"/>
    <cellStyle name="Note 2 3 22" xfId="2399"/>
    <cellStyle name="Note 2 3 22 2" xfId="10222"/>
    <cellStyle name="Note 2 3 22 3" xfId="17650"/>
    <cellStyle name="Note 2 3 22 4" xfId="26630"/>
    <cellStyle name="Note 2 3 22 5" xfId="35464"/>
    <cellStyle name="Note 2 3 22 6" xfId="39954"/>
    <cellStyle name="Note 2 3 22 7" xfId="54347"/>
    <cellStyle name="Note 2 3 23" xfId="2386"/>
    <cellStyle name="Note 2 3 23 2" xfId="10209"/>
    <cellStyle name="Note 2 3 23 3" xfId="17637"/>
    <cellStyle name="Note 2 3 23 4" xfId="25060"/>
    <cellStyle name="Note 2 3 23 5" xfId="33420"/>
    <cellStyle name="Note 2 3 23 6" xfId="41120"/>
    <cellStyle name="Note 2 3 23 7" xfId="50925"/>
    <cellStyle name="Note 2 3 24" xfId="2420"/>
    <cellStyle name="Note 2 3 24 2" xfId="10243"/>
    <cellStyle name="Note 2 3 24 3" xfId="17671"/>
    <cellStyle name="Note 2 3 24 4" xfId="25617"/>
    <cellStyle name="Note 2 3 24 5" xfId="34130"/>
    <cellStyle name="Note 2 3 24 6" xfId="37931"/>
    <cellStyle name="Note 2 3 24 7" xfId="52125"/>
    <cellStyle name="Note 2 3 25" xfId="2120"/>
    <cellStyle name="Note 2 3 25 2" xfId="9943"/>
    <cellStyle name="Note 2 3 25 3" xfId="17371"/>
    <cellStyle name="Note 2 3 25 4" xfId="26059"/>
    <cellStyle name="Note 2 3 25 5" xfId="34703"/>
    <cellStyle name="Note 2 3 25 6" xfId="38132"/>
    <cellStyle name="Note 2 3 25 7" xfId="53123"/>
    <cellStyle name="Note 2 3 26" xfId="3110"/>
    <cellStyle name="Note 2 3 26 2" xfId="10915"/>
    <cellStyle name="Note 2 3 26 3" xfId="18296"/>
    <cellStyle name="Note 2 3 26 4" xfId="20153"/>
    <cellStyle name="Note 2 3 26 5" xfId="27277"/>
    <cellStyle name="Note 2 3 26 6" xfId="41416"/>
    <cellStyle name="Note 2 3 26 7" xfId="49441"/>
    <cellStyle name="Note 2 3 27" xfId="3155"/>
    <cellStyle name="Note 2 3 27 2" xfId="10957"/>
    <cellStyle name="Note 2 3 27 3" xfId="18327"/>
    <cellStyle name="Note 2 3 27 4" xfId="26445"/>
    <cellStyle name="Note 2 3 27 5" xfId="35220"/>
    <cellStyle name="Note 2 3 27 6" xfId="39698"/>
    <cellStyle name="Note 2 3 27 7" xfId="53952"/>
    <cellStyle name="Note 2 3 28" xfId="2989"/>
    <cellStyle name="Note 2 3 28 2" xfId="10811"/>
    <cellStyle name="Note 2 3 28 3" xfId="18237"/>
    <cellStyle name="Note 2 3 28 4" xfId="26649"/>
    <cellStyle name="Note 2 3 28 5" xfId="35493"/>
    <cellStyle name="Note 2 3 28 6" xfId="41764"/>
    <cellStyle name="Note 2 3 28 7" xfId="54389"/>
    <cellStyle name="Note 2 3 29" xfId="2991"/>
    <cellStyle name="Note 2 3 29 2" xfId="10813"/>
    <cellStyle name="Note 2 3 29 3" xfId="18238"/>
    <cellStyle name="Note 2 3 29 4" xfId="26593"/>
    <cellStyle name="Note 2 3 29 5" xfId="35415"/>
    <cellStyle name="Note 2 3 29 6" xfId="41522"/>
    <cellStyle name="Note 2 3 29 7" xfId="54262"/>
    <cellStyle name="Note 2 3 3" xfId="559"/>
    <cellStyle name="Note 2 3 3 10" xfId="2006"/>
    <cellStyle name="Note 2 3 3 10 2" xfId="9829"/>
    <cellStyle name="Note 2 3 3 10 3" xfId="17257"/>
    <cellStyle name="Note 2 3 3 10 4" xfId="25662"/>
    <cellStyle name="Note 2 3 3 10 5" xfId="34189"/>
    <cellStyle name="Note 2 3 3 10 6" xfId="41846"/>
    <cellStyle name="Note 2 3 3 10 7" xfId="52225"/>
    <cellStyle name="Note 2 3 3 11" xfId="2123"/>
    <cellStyle name="Note 2 3 3 11 2" xfId="9946"/>
    <cellStyle name="Note 2 3 3 11 3" xfId="17374"/>
    <cellStyle name="Note 2 3 3 11 4" xfId="25945"/>
    <cellStyle name="Note 2 3 3 11 5" xfId="34550"/>
    <cellStyle name="Note 2 3 3 11 6" xfId="37961"/>
    <cellStyle name="Note 2 3 3 11 7" xfId="52879"/>
    <cellStyle name="Note 2 3 3 12" xfId="2237"/>
    <cellStyle name="Note 2 3 3 12 2" xfId="10060"/>
    <cellStyle name="Note 2 3 3 12 3" xfId="17488"/>
    <cellStyle name="Note 2 3 3 12 4" xfId="19341"/>
    <cellStyle name="Note 2 3 3 12 5" xfId="28472"/>
    <cellStyle name="Note 2 3 3 12 6" xfId="40915"/>
    <cellStyle name="Note 2 3 3 12 7" xfId="47897"/>
    <cellStyle name="Note 2 3 3 13" xfId="1513"/>
    <cellStyle name="Note 2 3 3 13 2" xfId="9336"/>
    <cellStyle name="Note 2 3 3 13 3" xfId="16764"/>
    <cellStyle name="Note 2 3 3 13 4" xfId="25026"/>
    <cellStyle name="Note 2 3 3 13 5" xfId="33381"/>
    <cellStyle name="Note 2 3 3 13 6" xfId="40096"/>
    <cellStyle name="Note 2 3 3 13 7" xfId="50855"/>
    <cellStyle name="Note 2 3 3 14" xfId="1199"/>
    <cellStyle name="Note 2 3 3 14 2" xfId="9022"/>
    <cellStyle name="Note 2 3 3 14 3" xfId="16450"/>
    <cellStyle name="Note 2 3 3 14 4" xfId="25608"/>
    <cellStyle name="Note 2 3 3 14 5" xfId="34119"/>
    <cellStyle name="Note 2 3 3 14 6" xfId="41333"/>
    <cellStyle name="Note 2 3 3 14 7" xfId="52106"/>
    <cellStyle name="Note 2 3 3 15" xfId="2534"/>
    <cellStyle name="Note 2 3 3 15 2" xfId="10357"/>
    <cellStyle name="Note 2 3 3 15 3" xfId="17785"/>
    <cellStyle name="Note 2 3 3 15 4" xfId="19562"/>
    <cellStyle name="Note 2 3 3 15 5" xfId="28777"/>
    <cellStyle name="Note 2 3 3 15 6" xfId="42025"/>
    <cellStyle name="Note 2 3 3 15 7" xfId="50157"/>
    <cellStyle name="Note 2 3 3 16" xfId="2648"/>
    <cellStyle name="Note 2 3 3 16 2" xfId="10471"/>
    <cellStyle name="Note 2 3 3 16 3" xfId="17899"/>
    <cellStyle name="Note 2 3 3 16 4" xfId="25156"/>
    <cellStyle name="Note 2 3 3 16 5" xfId="33533"/>
    <cellStyle name="Note 2 3 3 16 6" xfId="37899"/>
    <cellStyle name="Note 2 3 3 16 7" xfId="51124"/>
    <cellStyle name="Note 2 3 3 17" xfId="2448"/>
    <cellStyle name="Note 2 3 3 17 2" xfId="10271"/>
    <cellStyle name="Note 2 3 3 17 3" xfId="17699"/>
    <cellStyle name="Note 2 3 3 17 4" xfId="19640"/>
    <cellStyle name="Note 2 3 3 17 5" xfId="28478"/>
    <cellStyle name="Note 2 3 3 17 6" xfId="36831"/>
    <cellStyle name="Note 2 3 3 17 7" xfId="48281"/>
    <cellStyle name="Note 2 3 3 18" xfId="2699"/>
    <cellStyle name="Note 2 3 3 18 2" xfId="10522"/>
    <cellStyle name="Note 2 3 3 18 3" xfId="17950"/>
    <cellStyle name="Note 2 3 3 18 4" xfId="19876"/>
    <cellStyle name="Note 2 3 3 18 5" xfId="27018"/>
    <cellStyle name="Note 2 3 3 18 6" xfId="39916"/>
    <cellStyle name="Note 2 3 3 18 7" xfId="48051"/>
    <cellStyle name="Note 2 3 3 19" xfId="2839"/>
    <cellStyle name="Note 2 3 3 19 2" xfId="10662"/>
    <cellStyle name="Note 2 3 3 19 3" xfId="18090"/>
    <cellStyle name="Note 2 3 3 19 4" xfId="20619"/>
    <cellStyle name="Note 2 3 3 19 5" xfId="28019"/>
    <cellStyle name="Note 2 3 3 19 6" xfId="40573"/>
    <cellStyle name="Note 2 3 3 19 7" xfId="48501"/>
    <cellStyle name="Note 2 3 3 2" xfId="707"/>
    <cellStyle name="Note 2 3 3 2 2" xfId="8531"/>
    <cellStyle name="Note 2 3 3 2 3" xfId="15959"/>
    <cellStyle name="Note 2 3 3 2 4" xfId="25998"/>
    <cellStyle name="Note 2 3 3 2 5" xfId="34622"/>
    <cellStyle name="Note 2 3 3 2 6" xfId="37376"/>
    <cellStyle name="Note 2 3 3 2 7" xfId="52991"/>
    <cellStyle name="Note 2 3 3 20" xfId="2946"/>
    <cellStyle name="Note 2 3 3 20 2" xfId="10769"/>
    <cellStyle name="Note 2 3 3 20 3" xfId="18197"/>
    <cellStyle name="Note 2 3 3 20 4" xfId="25253"/>
    <cellStyle name="Note 2 3 3 20 5" xfId="33659"/>
    <cellStyle name="Note 2 3 3 20 6" xfId="36540"/>
    <cellStyle name="Note 2 3 3 20 7" xfId="51329"/>
    <cellStyle name="Note 2 3 3 21" xfId="3323"/>
    <cellStyle name="Note 2 3 3 21 2" xfId="11116"/>
    <cellStyle name="Note 2 3 3 21 3" xfId="18444"/>
    <cellStyle name="Note 2 3 3 21 4" xfId="20393"/>
    <cellStyle name="Note 2 3 3 21 5" xfId="27470"/>
    <cellStyle name="Note 2 3 3 21 6" xfId="37560"/>
    <cellStyle name="Note 2 3 3 21 7" xfId="47398"/>
    <cellStyle name="Note 2 3 3 22" xfId="3442"/>
    <cellStyle name="Note 2 3 3 22 2" xfId="11233"/>
    <cellStyle name="Note 2 3 3 22 3" xfId="18555"/>
    <cellStyle name="Note 2 3 3 22 4" xfId="26138"/>
    <cellStyle name="Note 2 3 3 22 5" xfId="34802"/>
    <cellStyle name="Note 2 3 3 22 6" xfId="40203"/>
    <cellStyle name="Note 2 3 3 22 7" xfId="53286"/>
    <cellStyle name="Note 2 3 3 23" xfId="3565"/>
    <cellStyle name="Note 2 3 3 23 2" xfId="11354"/>
    <cellStyle name="Note 2 3 3 23 3" xfId="18637"/>
    <cellStyle name="Note 2 3 3 23 4" xfId="25047"/>
    <cellStyle name="Note 2 3 3 23 5" xfId="33406"/>
    <cellStyle name="Note 2 3 3 23 6" xfId="37185"/>
    <cellStyle name="Note 2 3 3 23 7" xfId="50896"/>
    <cellStyle name="Note 2 3 3 24" xfId="3602"/>
    <cellStyle name="Note 2 3 3 24 2" xfId="11388"/>
    <cellStyle name="Note 2 3 3 24 3" xfId="18662"/>
    <cellStyle name="Note 2 3 3 24 4" xfId="19669"/>
    <cellStyle name="Note 2 3 3 24 5" xfId="27010"/>
    <cellStyle name="Note 2 3 3 24 6" xfId="39001"/>
    <cellStyle name="Note 2 3 3 24 7" xfId="47601"/>
    <cellStyle name="Note 2 3 3 25" xfId="3715"/>
    <cellStyle name="Note 2 3 3 25 2" xfId="11500"/>
    <cellStyle name="Note 2 3 3 25 3" xfId="18772"/>
    <cellStyle name="Note 2 3 3 25 4" xfId="20679"/>
    <cellStyle name="Note 2 3 3 25 5" xfId="27071"/>
    <cellStyle name="Note 2 3 3 25 6" xfId="41854"/>
    <cellStyle name="Note 2 3 3 25 7" xfId="48324"/>
    <cellStyle name="Note 2 3 3 26" xfId="3844"/>
    <cellStyle name="Note 2 3 3 26 2" xfId="11626"/>
    <cellStyle name="Note 2 3 3 26 3" xfId="18882"/>
    <cellStyle name="Note 2 3 3 26 4" xfId="19575"/>
    <cellStyle name="Note 2 3 3 26 5" xfId="27770"/>
    <cellStyle name="Note 2 3 3 26 6" xfId="37844"/>
    <cellStyle name="Note 2 3 3 26 7" xfId="50124"/>
    <cellStyle name="Note 2 3 3 27" xfId="3963"/>
    <cellStyle name="Note 2 3 3 27 2" xfId="11742"/>
    <cellStyle name="Note 2 3 3 27 3" xfId="18991"/>
    <cellStyle name="Note 2 3 3 27 4" xfId="26254"/>
    <cellStyle name="Note 2 3 3 27 5" xfId="34951"/>
    <cellStyle name="Note 2 3 3 27 6" xfId="40421"/>
    <cellStyle name="Note 2 3 3 27 7" xfId="53546"/>
    <cellStyle name="Note 2 3 3 28" xfId="3169"/>
    <cellStyle name="Note 2 3 3 28 2" xfId="10971"/>
    <cellStyle name="Note 2 3 3 28 3" xfId="20302"/>
    <cellStyle name="Note 2 3 3 28 4" xfId="28392"/>
    <cellStyle name="Note 2 3 3 28 5" xfId="35834"/>
    <cellStyle name="Note 2 3 3 28 6" xfId="42419"/>
    <cellStyle name="Note 2 3 3 28 7" xfId="52574"/>
    <cellStyle name="Note 2 3 3 29" xfId="4159"/>
    <cellStyle name="Note 2 3 3 29 2" xfId="11918"/>
    <cellStyle name="Note 2 3 3 29 3" xfId="20869"/>
    <cellStyle name="Note 2 3 3 29 4" xfId="29056"/>
    <cellStyle name="Note 2 3 3 29 5" xfId="26961"/>
    <cellStyle name="Note 2 3 3 29 6" xfId="42721"/>
    <cellStyle name="Note 2 3 3 29 7" xfId="47228"/>
    <cellStyle name="Note 2 3 3 3" xfId="816"/>
    <cellStyle name="Note 2 3 3 3 2" xfId="8640"/>
    <cellStyle name="Note 2 3 3 3 3" xfId="16068"/>
    <cellStyle name="Note 2 3 3 3 4" xfId="26678"/>
    <cellStyle name="Note 2 3 3 3 5" xfId="35525"/>
    <cellStyle name="Note 2 3 3 3 6" xfId="37869"/>
    <cellStyle name="Note 2 3 3 3 7" xfId="54447"/>
    <cellStyle name="Note 2 3 3 30" xfId="4204"/>
    <cellStyle name="Note 2 3 3 30 2" xfId="20914"/>
    <cellStyle name="Note 2 3 3 30 3" xfId="29101"/>
    <cellStyle name="Note 2 3 3 30 4" xfId="28213"/>
    <cellStyle name="Note 2 3 3 30 5" xfId="42766"/>
    <cellStyle name="Note 2 3 3 30 6" xfId="51332"/>
    <cellStyle name="Note 2 3 3 31" xfId="4357"/>
    <cellStyle name="Note 2 3 3 31 2" xfId="12074"/>
    <cellStyle name="Note 2 3 3 31 3" xfId="21067"/>
    <cellStyle name="Note 2 3 3 31 4" xfId="29254"/>
    <cellStyle name="Note 2 3 3 31 5" xfId="35967"/>
    <cellStyle name="Note 2 3 3 31 6" xfId="42919"/>
    <cellStyle name="Note 2 3 3 31 7" xfId="53258"/>
    <cellStyle name="Note 2 3 3 32" xfId="4479"/>
    <cellStyle name="Note 2 3 3 32 2" xfId="12196"/>
    <cellStyle name="Note 2 3 3 32 3" xfId="21189"/>
    <cellStyle name="Note 2 3 3 32 4" xfId="29376"/>
    <cellStyle name="Note 2 3 3 32 5" xfId="36040"/>
    <cellStyle name="Note 2 3 3 32 6" xfId="43041"/>
    <cellStyle name="Note 2 3 3 32 7" xfId="53609"/>
    <cellStyle name="Note 2 3 3 33" xfId="4593"/>
    <cellStyle name="Note 2 3 3 33 2" xfId="12310"/>
    <cellStyle name="Note 2 3 3 33 3" xfId="21303"/>
    <cellStyle name="Note 2 3 3 33 4" xfId="29490"/>
    <cellStyle name="Note 2 3 3 33 5" xfId="28463"/>
    <cellStyle name="Note 2 3 3 33 6" xfId="43155"/>
    <cellStyle name="Note 2 3 3 33 7" xfId="50465"/>
    <cellStyle name="Note 2 3 3 34" xfId="4706"/>
    <cellStyle name="Note 2 3 3 34 2" xfId="12423"/>
    <cellStyle name="Note 2 3 3 34 3" xfId="21416"/>
    <cellStyle name="Note 2 3 3 34 4" xfId="29603"/>
    <cellStyle name="Note 2 3 3 34 5" xfId="36088"/>
    <cellStyle name="Note 2 3 3 34 6" xfId="43268"/>
    <cellStyle name="Note 2 3 3 34 7" xfId="53845"/>
    <cellStyle name="Note 2 3 3 35" xfId="4816"/>
    <cellStyle name="Note 2 3 3 35 2" xfId="12533"/>
    <cellStyle name="Note 2 3 3 35 3" xfId="21526"/>
    <cellStyle name="Note 2 3 3 35 4" xfId="29713"/>
    <cellStyle name="Note 2 3 3 35 5" xfId="34755"/>
    <cellStyle name="Note 2 3 3 35 6" xfId="43378"/>
    <cellStyle name="Note 2 3 3 35 7" xfId="50149"/>
    <cellStyle name="Note 2 3 3 36" xfId="4926"/>
    <cellStyle name="Note 2 3 3 36 2" xfId="12643"/>
    <cellStyle name="Note 2 3 3 36 3" xfId="21636"/>
    <cellStyle name="Note 2 3 3 36 4" xfId="29823"/>
    <cellStyle name="Note 2 3 3 36 5" xfId="33604"/>
    <cellStyle name="Note 2 3 3 36 6" xfId="43488"/>
    <cellStyle name="Note 2 3 3 36 7" xfId="47724"/>
    <cellStyle name="Note 2 3 3 37" xfId="5036"/>
    <cellStyle name="Note 2 3 3 37 2" xfId="12753"/>
    <cellStyle name="Note 2 3 3 37 3" xfId="21746"/>
    <cellStyle name="Note 2 3 3 37 4" xfId="29933"/>
    <cellStyle name="Note 2 3 3 37 5" xfId="34685"/>
    <cellStyle name="Note 2 3 3 37 6" xfId="43598"/>
    <cellStyle name="Note 2 3 3 37 7" xfId="50459"/>
    <cellStyle name="Note 2 3 3 38" xfId="5416"/>
    <cellStyle name="Note 2 3 3 38 2" xfId="13133"/>
    <cellStyle name="Note 2 3 3 38 3" xfId="22126"/>
    <cellStyle name="Note 2 3 3 38 4" xfId="30313"/>
    <cellStyle name="Note 2 3 3 38 5" xfId="26925"/>
    <cellStyle name="Note 2 3 3 38 6" xfId="43978"/>
    <cellStyle name="Note 2 3 3 38 7" xfId="49507"/>
    <cellStyle name="Note 2 3 3 39" xfId="5536"/>
    <cellStyle name="Note 2 3 3 39 2" xfId="13253"/>
    <cellStyle name="Note 2 3 3 39 3" xfId="22246"/>
    <cellStyle name="Note 2 3 3 39 4" xfId="30433"/>
    <cellStyle name="Note 2 3 3 39 5" xfId="33605"/>
    <cellStyle name="Note 2 3 3 39 6" xfId="44098"/>
    <cellStyle name="Note 2 3 3 39 7" xfId="46792"/>
    <cellStyle name="Note 2 3 3 4" xfId="926"/>
    <cellStyle name="Note 2 3 3 4 2" xfId="8750"/>
    <cellStyle name="Note 2 3 3 4 3" xfId="16178"/>
    <cellStyle name="Note 2 3 3 4 4" xfId="25162"/>
    <cellStyle name="Note 2 3 3 4 5" xfId="33540"/>
    <cellStyle name="Note 2 3 3 4 6" xfId="37240"/>
    <cellStyle name="Note 2 3 3 4 7" xfId="51135"/>
    <cellStyle name="Note 2 3 3 40" xfId="5660"/>
    <cellStyle name="Note 2 3 3 40 2" xfId="13377"/>
    <cellStyle name="Note 2 3 3 40 3" xfId="22370"/>
    <cellStyle name="Note 2 3 3 40 4" xfId="30557"/>
    <cellStyle name="Note 2 3 3 40 5" xfId="27410"/>
    <cellStyle name="Note 2 3 3 40 6" xfId="44222"/>
    <cellStyle name="Note 2 3 3 40 7" xfId="47110"/>
    <cellStyle name="Note 2 3 3 41" xfId="5776"/>
    <cellStyle name="Note 2 3 3 41 2" xfId="13493"/>
    <cellStyle name="Note 2 3 3 41 3" xfId="22486"/>
    <cellStyle name="Note 2 3 3 41 4" xfId="30673"/>
    <cellStyle name="Note 2 3 3 41 5" xfId="27320"/>
    <cellStyle name="Note 2 3 3 41 6" xfId="44338"/>
    <cellStyle name="Note 2 3 3 41 7" xfId="49365"/>
    <cellStyle name="Note 2 3 3 42" xfId="5893"/>
    <cellStyle name="Note 2 3 3 42 2" xfId="13610"/>
    <cellStyle name="Note 2 3 3 42 3" xfId="22603"/>
    <cellStyle name="Note 2 3 3 42 4" xfId="30790"/>
    <cellStyle name="Note 2 3 3 42 5" xfId="34867"/>
    <cellStyle name="Note 2 3 3 42 6" xfId="44455"/>
    <cellStyle name="Note 2 3 3 42 7" xfId="49989"/>
    <cellStyle name="Note 2 3 3 43" xfId="6021"/>
    <cellStyle name="Note 2 3 3 43 2" xfId="13738"/>
    <cellStyle name="Note 2 3 3 43 3" xfId="22731"/>
    <cellStyle name="Note 2 3 3 43 4" xfId="30918"/>
    <cellStyle name="Note 2 3 3 43 5" xfId="35865"/>
    <cellStyle name="Note 2 3 3 43 6" xfId="44583"/>
    <cellStyle name="Note 2 3 3 43 7" xfId="52370"/>
    <cellStyle name="Note 2 3 3 44" xfId="6115"/>
    <cellStyle name="Note 2 3 3 44 2" xfId="13832"/>
    <cellStyle name="Note 2 3 3 44 3" xfId="22825"/>
    <cellStyle name="Note 2 3 3 44 4" xfId="31012"/>
    <cellStyle name="Note 2 3 3 44 5" xfId="28354"/>
    <cellStyle name="Note 2 3 3 44 6" xfId="44677"/>
    <cellStyle name="Note 2 3 3 44 7" xfId="47426"/>
    <cellStyle name="Note 2 3 3 45" xfId="6148"/>
    <cellStyle name="Note 2 3 3 45 2" xfId="13865"/>
    <cellStyle name="Note 2 3 3 45 3" xfId="22858"/>
    <cellStyle name="Note 2 3 3 45 4" xfId="31045"/>
    <cellStyle name="Note 2 3 3 45 5" xfId="36098"/>
    <cellStyle name="Note 2 3 3 45 6" xfId="44710"/>
    <cellStyle name="Note 2 3 3 45 7" xfId="53672"/>
    <cellStyle name="Note 2 3 3 46" xfId="6277"/>
    <cellStyle name="Note 2 3 3 46 2" xfId="13994"/>
    <cellStyle name="Note 2 3 3 46 3" xfId="22987"/>
    <cellStyle name="Note 2 3 3 46 4" xfId="31174"/>
    <cellStyle name="Note 2 3 3 46 5" xfId="27220"/>
    <cellStyle name="Note 2 3 3 46 6" xfId="44839"/>
    <cellStyle name="Note 2 3 3 46 7" xfId="47004"/>
    <cellStyle name="Note 2 3 3 47" xfId="6392"/>
    <cellStyle name="Note 2 3 3 47 2" xfId="14109"/>
    <cellStyle name="Note 2 3 3 47 3" xfId="23102"/>
    <cellStyle name="Note 2 3 3 47 4" xfId="31289"/>
    <cellStyle name="Note 2 3 3 47 5" xfId="34354"/>
    <cellStyle name="Note 2 3 3 47 6" xfId="44954"/>
    <cellStyle name="Note 2 3 3 47 7" xfId="50720"/>
    <cellStyle name="Note 2 3 3 48" xfId="6504"/>
    <cellStyle name="Note 2 3 3 48 2" xfId="14221"/>
    <cellStyle name="Note 2 3 3 48 3" xfId="23214"/>
    <cellStyle name="Note 2 3 3 48 4" xfId="31401"/>
    <cellStyle name="Note 2 3 3 48 5" xfId="36151"/>
    <cellStyle name="Note 2 3 3 48 6" xfId="45066"/>
    <cellStyle name="Note 2 3 3 48 7" xfId="53769"/>
    <cellStyle name="Note 2 3 3 49" xfId="5370"/>
    <cellStyle name="Note 2 3 3 49 2" xfId="13087"/>
    <cellStyle name="Note 2 3 3 49 3" xfId="22080"/>
    <cellStyle name="Note 2 3 3 49 4" xfId="30267"/>
    <cellStyle name="Note 2 3 3 49 5" xfId="36175"/>
    <cellStyle name="Note 2 3 3 49 6" xfId="43932"/>
    <cellStyle name="Note 2 3 3 49 7" xfId="54265"/>
    <cellStyle name="Note 2 3 3 5" xfId="1394"/>
    <cellStyle name="Note 2 3 3 5 2" xfId="9217"/>
    <cellStyle name="Note 2 3 3 5 3" xfId="16645"/>
    <cellStyle name="Note 2 3 3 5 4" xfId="19852"/>
    <cellStyle name="Note 2 3 3 5 5" xfId="28218"/>
    <cellStyle name="Note 2 3 3 5 6" xfId="37286"/>
    <cellStyle name="Note 2 3 3 5 7" xfId="50115"/>
    <cellStyle name="Note 2 3 3 50" xfId="6651"/>
    <cellStyle name="Note 2 3 3 50 2" xfId="14368"/>
    <cellStyle name="Note 2 3 3 50 3" xfId="23361"/>
    <cellStyle name="Note 2 3 3 50 4" xfId="31548"/>
    <cellStyle name="Note 2 3 3 50 5" xfId="35971"/>
    <cellStyle name="Note 2 3 3 50 6" xfId="45213"/>
    <cellStyle name="Note 2 3 3 50 7" xfId="53081"/>
    <cellStyle name="Note 2 3 3 51" xfId="6762"/>
    <cellStyle name="Note 2 3 3 51 2" xfId="14479"/>
    <cellStyle name="Note 2 3 3 51 3" xfId="23472"/>
    <cellStyle name="Note 2 3 3 51 4" xfId="31659"/>
    <cellStyle name="Note 2 3 3 51 5" xfId="33731"/>
    <cellStyle name="Note 2 3 3 51 6" xfId="45324"/>
    <cellStyle name="Note 2 3 3 51 7" xfId="48616"/>
    <cellStyle name="Note 2 3 3 52" xfId="6877"/>
    <cellStyle name="Note 2 3 3 52 2" xfId="14594"/>
    <cellStyle name="Note 2 3 3 52 3" xfId="23587"/>
    <cellStyle name="Note 2 3 3 52 4" xfId="31774"/>
    <cellStyle name="Note 2 3 3 52 5" xfId="35361"/>
    <cellStyle name="Note 2 3 3 52 6" xfId="45439"/>
    <cellStyle name="Note 2 3 3 52 7" xfId="46888"/>
    <cellStyle name="Note 2 3 3 53" xfId="6990"/>
    <cellStyle name="Note 2 3 3 53 2" xfId="14707"/>
    <cellStyle name="Note 2 3 3 53 3" xfId="23700"/>
    <cellStyle name="Note 2 3 3 53 4" xfId="31887"/>
    <cellStyle name="Note 2 3 3 53 5" xfId="36246"/>
    <cellStyle name="Note 2 3 3 53 6" xfId="45552"/>
    <cellStyle name="Note 2 3 3 53 7" xfId="46998"/>
    <cellStyle name="Note 2 3 3 54" xfId="7100"/>
    <cellStyle name="Note 2 3 3 54 2" xfId="14817"/>
    <cellStyle name="Note 2 3 3 54 3" xfId="23810"/>
    <cellStyle name="Note 2 3 3 54 4" xfId="31997"/>
    <cellStyle name="Note 2 3 3 54 5" xfId="33434"/>
    <cellStyle name="Note 2 3 3 54 6" xfId="45662"/>
    <cellStyle name="Note 2 3 3 54 7" xfId="48255"/>
    <cellStyle name="Note 2 3 3 55" xfId="7176"/>
    <cellStyle name="Note 2 3 3 55 2" xfId="14893"/>
    <cellStyle name="Note 2 3 3 55 3" xfId="23886"/>
    <cellStyle name="Note 2 3 3 55 4" xfId="32073"/>
    <cellStyle name="Note 2 3 3 55 5" xfId="36206"/>
    <cellStyle name="Note 2 3 3 55 6" xfId="45738"/>
    <cellStyle name="Note 2 3 3 55 7" xfId="53907"/>
    <cellStyle name="Note 2 3 3 56" xfId="7382"/>
    <cellStyle name="Note 2 3 3 56 2" xfId="15099"/>
    <cellStyle name="Note 2 3 3 56 3" xfId="24092"/>
    <cellStyle name="Note 2 3 3 56 4" xfId="32279"/>
    <cellStyle name="Note 2 3 3 56 5" xfId="35780"/>
    <cellStyle name="Note 2 3 3 56 6" xfId="45944"/>
    <cellStyle name="Note 2 3 3 56 7" xfId="51575"/>
    <cellStyle name="Note 2 3 3 57" xfId="7497"/>
    <cellStyle name="Note 2 3 3 57 2" xfId="15214"/>
    <cellStyle name="Note 2 3 3 57 3" xfId="24207"/>
    <cellStyle name="Note 2 3 3 57 4" xfId="32394"/>
    <cellStyle name="Note 2 3 3 57 5" xfId="27402"/>
    <cellStyle name="Note 2 3 3 57 6" xfId="46059"/>
    <cellStyle name="Note 2 3 3 57 7" xfId="50325"/>
    <cellStyle name="Note 2 3 3 58" xfId="7618"/>
    <cellStyle name="Note 2 3 3 58 2" xfId="15335"/>
    <cellStyle name="Note 2 3 3 58 3" xfId="24328"/>
    <cellStyle name="Note 2 3 3 58 4" xfId="32515"/>
    <cellStyle name="Note 2 3 3 58 5" xfId="34684"/>
    <cellStyle name="Note 2 3 3 58 6" xfId="46180"/>
    <cellStyle name="Note 2 3 3 58 7" xfId="54401"/>
    <cellStyle name="Note 2 3 3 59" xfId="7895"/>
    <cellStyle name="Note 2 3 3 59 2" xfId="15612"/>
    <cellStyle name="Note 2 3 3 59 3" xfId="24599"/>
    <cellStyle name="Note 2 3 3 59 4" xfId="32792"/>
    <cellStyle name="Note 2 3 3 59 5" xfId="36194"/>
    <cellStyle name="Note 2 3 3 59 6" xfId="46457"/>
    <cellStyle name="Note 2 3 3 59 7" xfId="53555"/>
    <cellStyle name="Note 2 3 3 6" xfId="1517"/>
    <cellStyle name="Note 2 3 3 6 2" xfId="9340"/>
    <cellStyle name="Note 2 3 3 6 3" xfId="16768"/>
    <cellStyle name="Note 2 3 3 6 4" xfId="19754"/>
    <cellStyle name="Note 2 3 3 6 5" xfId="33109"/>
    <cellStyle name="Note 2 3 3 6 6" xfId="39751"/>
    <cellStyle name="Note 2 3 3 6 7" xfId="49700"/>
    <cellStyle name="Note 2 3 3 60" xfId="7782"/>
    <cellStyle name="Note 2 3 3 60 2" xfId="15499"/>
    <cellStyle name="Note 2 3 3 60 3" xfId="24488"/>
    <cellStyle name="Note 2 3 3 60 4" xfId="32679"/>
    <cellStyle name="Note 2 3 3 60 5" xfId="34406"/>
    <cellStyle name="Note 2 3 3 60 6" xfId="46344"/>
    <cellStyle name="Note 2 3 3 60 7" xfId="49503"/>
    <cellStyle name="Note 2 3 3 61" xfId="8023"/>
    <cellStyle name="Note 2 3 3 61 2" xfId="15740"/>
    <cellStyle name="Note 2 3 3 61 3" xfId="24725"/>
    <cellStyle name="Note 2 3 3 61 4" xfId="32920"/>
    <cellStyle name="Note 2 3 3 61 5" xfId="35578"/>
    <cellStyle name="Note 2 3 3 61 6" xfId="46585"/>
    <cellStyle name="Note 2 3 3 61 7" xfId="49679"/>
    <cellStyle name="Note 2 3 3 62" xfId="7749"/>
    <cellStyle name="Note 2 3 3 62 2" xfId="15466"/>
    <cellStyle name="Note 2 3 3 62 3" xfId="24457"/>
    <cellStyle name="Note 2 3 3 62 4" xfId="32646"/>
    <cellStyle name="Note 2 3 3 62 5" xfId="36077"/>
    <cellStyle name="Note 2 3 3 62 6" xfId="46311"/>
    <cellStyle name="Note 2 3 3 62 7" xfId="53215"/>
    <cellStyle name="Note 2 3 3 63" xfId="8170"/>
    <cellStyle name="Note 2 3 3 63 2" xfId="15887"/>
    <cellStyle name="Note 2 3 3 63 3" xfId="33067"/>
    <cellStyle name="Note 2 3 3 63 4" xfId="28247"/>
    <cellStyle name="Note 2 3 3 63 5" xfId="46732"/>
    <cellStyle name="Note 2 3 3 63 6" xfId="50099"/>
    <cellStyle name="Note 2 3 3 64" xfId="26120"/>
    <cellStyle name="Note 2 3 3 65" xfId="34779"/>
    <cellStyle name="Note 2 3 3 66" xfId="36252"/>
    <cellStyle name="Note 2 3 3 67" xfId="53250"/>
    <cellStyle name="Note 2 3 3 7" xfId="1115"/>
    <cellStyle name="Note 2 3 3 7 2" xfId="8939"/>
    <cellStyle name="Note 2 3 3 7 3" xfId="16367"/>
    <cellStyle name="Note 2 3 3 7 4" xfId="26151"/>
    <cellStyle name="Note 2 3 3 7 5" xfId="34820"/>
    <cellStyle name="Note 2 3 3 7 6" xfId="36597"/>
    <cellStyle name="Note 2 3 3 7 7" xfId="53322"/>
    <cellStyle name="Note 2 3 3 8" xfId="1754"/>
    <cellStyle name="Note 2 3 3 8 2" xfId="9577"/>
    <cellStyle name="Note 2 3 3 8 3" xfId="17005"/>
    <cellStyle name="Note 2 3 3 8 4" xfId="19412"/>
    <cellStyle name="Note 2 3 3 8 5" xfId="27702"/>
    <cellStyle name="Note 2 3 3 8 6" xfId="39159"/>
    <cellStyle name="Note 2 3 3 8 7" xfId="48663"/>
    <cellStyle name="Note 2 3 3 9" xfId="1887"/>
    <cellStyle name="Note 2 3 3 9 2" xfId="9710"/>
    <cellStyle name="Note 2 3 3 9 3" xfId="17138"/>
    <cellStyle name="Note 2 3 3 9 4" xfId="20396"/>
    <cellStyle name="Note 2 3 3 9 5" xfId="28687"/>
    <cellStyle name="Note 2 3 3 9 6" xfId="36464"/>
    <cellStyle name="Note 2 3 3 9 7" xfId="49331"/>
    <cellStyle name="Note 2 3 30" xfId="3088"/>
    <cellStyle name="Note 2 3 30 2" xfId="10895"/>
    <cellStyle name="Note 2 3 30 3" xfId="18281"/>
    <cellStyle name="Note 2 3 30 4" xfId="25556"/>
    <cellStyle name="Note 2 3 30 5" xfId="34051"/>
    <cellStyle name="Note 2 3 30 6" xfId="38091"/>
    <cellStyle name="Note 2 3 30 7" xfId="51991"/>
    <cellStyle name="Note 2 3 31" xfId="3556"/>
    <cellStyle name="Note 2 3 31 2" xfId="11345"/>
    <cellStyle name="Note 2 3 31 3" xfId="18631"/>
    <cellStyle name="Note 2 3 31 4" xfId="19175"/>
    <cellStyle name="Note 2 3 31 5" xfId="26907"/>
    <cellStyle name="Note 2 3 31 6" xfId="36446"/>
    <cellStyle name="Note 2 3 31 7" xfId="49188"/>
    <cellStyle name="Note 2 3 32" xfId="3512"/>
    <cellStyle name="Note 2 3 32 2" xfId="11303"/>
    <cellStyle name="Note 2 3 32 3" xfId="18601"/>
    <cellStyle name="Note 2 3 32 4" xfId="26247"/>
    <cellStyle name="Note 2 3 32 5" xfId="34940"/>
    <cellStyle name="Note 2 3 32 6" xfId="36861"/>
    <cellStyle name="Note 2 3 32 7" xfId="53532"/>
    <cellStyle name="Note 2 3 33" xfId="3498"/>
    <cellStyle name="Note 2 3 33 2" xfId="11289"/>
    <cellStyle name="Note 2 3 33 3" xfId="20482"/>
    <cellStyle name="Note 2 3 33 4" xfId="28604"/>
    <cellStyle name="Note 2 3 33 5" xfId="27471"/>
    <cellStyle name="Note 2 3 33 6" xfId="42489"/>
    <cellStyle name="Note 2 3 33 7" xfId="50567"/>
    <cellStyle name="Note 2 3 34" xfId="3186"/>
    <cellStyle name="Note 2 3 34 2" xfId="10987"/>
    <cellStyle name="Note 2 3 34 3" xfId="20314"/>
    <cellStyle name="Note 2 3 34 4" xfId="28406"/>
    <cellStyle name="Note 2 3 34 5" xfId="35567"/>
    <cellStyle name="Note 2 3 34 6" xfId="42429"/>
    <cellStyle name="Note 2 3 34 7" xfId="47533"/>
    <cellStyle name="Note 2 3 35" xfId="4246"/>
    <cellStyle name="Note 2 3 35 2" xfId="20956"/>
    <cellStyle name="Note 2 3 35 3" xfId="29143"/>
    <cellStyle name="Note 2 3 35 4" xfId="36218"/>
    <cellStyle name="Note 2 3 35 5" xfId="42808"/>
    <cellStyle name="Note 2 3 35 6" xfId="54472"/>
    <cellStyle name="Note 2 3 36" xfId="4023"/>
    <cellStyle name="Note 2 3 36 2" xfId="11797"/>
    <cellStyle name="Note 2 3 36 3" xfId="20733"/>
    <cellStyle name="Note 2 3 36 4" xfId="28920"/>
    <cellStyle name="Note 2 3 36 5" xfId="35625"/>
    <cellStyle name="Note 2 3 36 6" xfId="42585"/>
    <cellStyle name="Note 2 3 36 7" xfId="51604"/>
    <cellStyle name="Note 2 3 37" xfId="4046"/>
    <cellStyle name="Note 2 3 37 2" xfId="11815"/>
    <cellStyle name="Note 2 3 37 3" xfId="20756"/>
    <cellStyle name="Note 2 3 37 4" xfId="28943"/>
    <cellStyle name="Note 2 3 37 5" xfId="35868"/>
    <cellStyle name="Note 2 3 37 6" xfId="42608"/>
    <cellStyle name="Note 2 3 37 7" xfId="52736"/>
    <cellStyle name="Note 2 3 38" xfId="3884"/>
    <cellStyle name="Note 2 3 38 2" xfId="11664"/>
    <cellStyle name="Note 2 3 38 3" xfId="20654"/>
    <cellStyle name="Note 2 3 38 4" xfId="28825"/>
    <cellStyle name="Note 2 3 38 5" xfId="27403"/>
    <cellStyle name="Note 2 3 38 6" xfId="42552"/>
    <cellStyle name="Note 2 3 38 7" xfId="48056"/>
    <cellStyle name="Note 2 3 39" xfId="4622"/>
    <cellStyle name="Note 2 3 39 2" xfId="12339"/>
    <cellStyle name="Note 2 3 39 3" xfId="21332"/>
    <cellStyle name="Note 2 3 39 4" xfId="29519"/>
    <cellStyle name="Note 2 3 39 5" xfId="35669"/>
    <cellStyle name="Note 2 3 39 6" xfId="43184"/>
    <cellStyle name="Note 2 3 39 7" xfId="51767"/>
    <cellStyle name="Note 2 3 4" xfId="553"/>
    <cellStyle name="Note 2 3 4 10" xfId="2000"/>
    <cellStyle name="Note 2 3 4 10 2" xfId="9823"/>
    <cellStyle name="Note 2 3 4 10 3" xfId="17251"/>
    <cellStyle name="Note 2 3 4 10 4" xfId="25961"/>
    <cellStyle name="Note 2 3 4 10 5" xfId="34569"/>
    <cellStyle name="Note 2 3 4 10 6" xfId="40128"/>
    <cellStyle name="Note 2 3 4 10 7" xfId="52911"/>
    <cellStyle name="Note 2 3 4 11" xfId="2118"/>
    <cellStyle name="Note 2 3 4 11 2" xfId="9941"/>
    <cellStyle name="Note 2 3 4 11 3" xfId="17369"/>
    <cellStyle name="Note 2 3 4 11 4" xfId="26110"/>
    <cellStyle name="Note 2 3 4 11 5" xfId="34766"/>
    <cellStyle name="Note 2 3 4 11 6" xfId="38271"/>
    <cellStyle name="Note 2 3 4 11 7" xfId="53229"/>
    <cellStyle name="Note 2 3 4 12" xfId="2231"/>
    <cellStyle name="Note 2 3 4 12 2" xfId="10054"/>
    <cellStyle name="Note 2 3 4 12 3" xfId="17482"/>
    <cellStyle name="Note 2 3 4 12 4" xfId="19797"/>
    <cellStyle name="Note 2 3 4 12 5" xfId="28045"/>
    <cellStyle name="Note 2 3 4 12 6" xfId="41619"/>
    <cellStyle name="Note 2 3 4 12 7" xfId="47464"/>
    <cellStyle name="Note 2 3 4 13" xfId="1275"/>
    <cellStyle name="Note 2 3 4 13 2" xfId="9098"/>
    <cellStyle name="Note 2 3 4 13 3" xfId="16526"/>
    <cellStyle name="Note 2 3 4 13 4" xfId="19215"/>
    <cellStyle name="Note 2 3 4 13 5" xfId="28524"/>
    <cellStyle name="Note 2 3 4 13 6" xfId="40726"/>
    <cellStyle name="Note 2 3 4 13 7" xfId="47191"/>
    <cellStyle name="Note 2 3 4 14" xfId="2351"/>
    <cellStyle name="Note 2 3 4 14 2" xfId="10174"/>
    <cellStyle name="Note 2 3 4 14 3" xfId="17602"/>
    <cellStyle name="Note 2 3 4 14 4" xfId="25526"/>
    <cellStyle name="Note 2 3 4 14 5" xfId="34008"/>
    <cellStyle name="Note 2 3 4 14 6" xfId="38004"/>
    <cellStyle name="Note 2 3 4 14 7" xfId="51929"/>
    <cellStyle name="Note 2 3 4 15" xfId="2529"/>
    <cellStyle name="Note 2 3 4 15 2" xfId="10352"/>
    <cellStyle name="Note 2 3 4 15 3" xfId="17780"/>
    <cellStyle name="Note 2 3 4 15 4" xfId="20664"/>
    <cellStyle name="Note 2 3 4 15 5" xfId="27935"/>
    <cellStyle name="Note 2 3 4 15 6" xfId="42288"/>
    <cellStyle name="Note 2 3 4 15 7" xfId="47980"/>
    <cellStyle name="Note 2 3 4 16" xfId="2642"/>
    <cellStyle name="Note 2 3 4 16 2" xfId="10465"/>
    <cellStyle name="Note 2 3 4 16 3" xfId="17893"/>
    <cellStyle name="Note 2 3 4 16 4" xfId="25566"/>
    <cellStyle name="Note 2 3 4 16 5" xfId="34064"/>
    <cellStyle name="Note 2 3 4 16 6" xfId="38277"/>
    <cellStyle name="Note 2 3 4 16 7" xfId="52012"/>
    <cellStyle name="Note 2 3 4 17" xfId="1591"/>
    <cellStyle name="Note 2 3 4 17 2" xfId="9414"/>
    <cellStyle name="Note 2 3 4 17 3" xfId="16842"/>
    <cellStyle name="Note 2 3 4 17 4" xfId="25083"/>
    <cellStyle name="Note 2 3 4 17 5" xfId="33444"/>
    <cellStyle name="Note 2 3 4 17 6" xfId="39369"/>
    <cellStyle name="Note 2 3 4 17 7" xfId="50972"/>
    <cellStyle name="Note 2 3 4 18" xfId="1100"/>
    <cellStyle name="Note 2 3 4 18 2" xfId="8924"/>
    <cellStyle name="Note 2 3 4 18 3" xfId="16352"/>
    <cellStyle name="Note 2 3 4 18 4" xfId="19572"/>
    <cellStyle name="Note 2 3 4 18 5" xfId="26828"/>
    <cellStyle name="Note 2 3 4 18 6" xfId="36340"/>
    <cellStyle name="Note 2 3 4 18 7" xfId="49774"/>
    <cellStyle name="Note 2 3 4 19" xfId="2835"/>
    <cellStyle name="Note 2 3 4 19 2" xfId="10658"/>
    <cellStyle name="Note 2 3 4 19 3" xfId="18086"/>
    <cellStyle name="Note 2 3 4 19 4" xfId="25825"/>
    <cellStyle name="Note 2 3 4 19 5" xfId="34408"/>
    <cellStyle name="Note 2 3 4 19 6" xfId="40819"/>
    <cellStyle name="Note 2 3 4 19 7" xfId="52619"/>
    <cellStyle name="Note 2 3 4 2" xfId="703"/>
    <cellStyle name="Note 2 3 4 2 2" xfId="8527"/>
    <cellStyle name="Note 2 3 4 2 3" xfId="15955"/>
    <cellStyle name="Note 2 3 4 2 4" xfId="26144"/>
    <cellStyle name="Note 2 3 4 2 5" xfId="34810"/>
    <cellStyle name="Note 2 3 4 2 6" xfId="37540"/>
    <cellStyle name="Note 2 3 4 2 7" xfId="53306"/>
    <cellStyle name="Note 2 3 4 20" xfId="2942"/>
    <cellStyle name="Note 2 3 4 20 2" xfId="10765"/>
    <cellStyle name="Note 2 3 4 20 3" xfId="18193"/>
    <cellStyle name="Note 2 3 4 20 4" xfId="25561"/>
    <cellStyle name="Note 2 3 4 20 5" xfId="34057"/>
    <cellStyle name="Note 2 3 4 20 6" xfId="40213"/>
    <cellStyle name="Note 2 3 4 20 7" xfId="52003"/>
    <cellStyle name="Note 2 3 4 21" xfId="3318"/>
    <cellStyle name="Note 2 3 4 21 2" xfId="11111"/>
    <cellStyle name="Note 2 3 4 21 3" xfId="18440"/>
    <cellStyle name="Note 2 3 4 21 4" xfId="19564"/>
    <cellStyle name="Note 2 3 4 21 5" xfId="26887"/>
    <cellStyle name="Note 2 3 4 21 6" xfId="38028"/>
    <cellStyle name="Note 2 3 4 21 7" xfId="49740"/>
    <cellStyle name="Note 2 3 4 22" xfId="3438"/>
    <cellStyle name="Note 2 3 4 22 2" xfId="11229"/>
    <cellStyle name="Note 2 3 4 22 3" xfId="18551"/>
    <cellStyle name="Note 2 3 4 22 4" xfId="26246"/>
    <cellStyle name="Note 2 3 4 22 5" xfId="34938"/>
    <cellStyle name="Note 2 3 4 22 6" xfId="40564"/>
    <cellStyle name="Note 2 3 4 22 7" xfId="53526"/>
    <cellStyle name="Note 2 3 4 23" xfId="3561"/>
    <cellStyle name="Note 2 3 4 23 2" xfId="11350"/>
    <cellStyle name="Note 2 3 4 23 3" xfId="18635"/>
    <cellStyle name="Note 2 3 4 23 4" xfId="20026"/>
    <cellStyle name="Note 2 3 4 23 5" xfId="27755"/>
    <cellStyle name="Note 2 3 4 23 6" xfId="37411"/>
    <cellStyle name="Note 2 3 4 23 7" xfId="48687"/>
    <cellStyle name="Note 2 3 4 24" xfId="3597"/>
    <cellStyle name="Note 2 3 4 24 2" xfId="11383"/>
    <cellStyle name="Note 2 3 4 24 3" xfId="18658"/>
    <cellStyle name="Note 2 3 4 24 4" xfId="25785"/>
    <cellStyle name="Note 2 3 4 24 5" xfId="34351"/>
    <cellStyle name="Note 2 3 4 24 6" xfId="36510"/>
    <cellStyle name="Note 2 3 4 24 7" xfId="52521"/>
    <cellStyle name="Note 2 3 4 25" xfId="3709"/>
    <cellStyle name="Note 2 3 4 25 2" xfId="11494"/>
    <cellStyle name="Note 2 3 4 25 3" xfId="18767"/>
    <cellStyle name="Note 2 3 4 25 4" xfId="20671"/>
    <cellStyle name="Note 2 3 4 25 5" xfId="27221"/>
    <cellStyle name="Note 2 3 4 25 6" xfId="38504"/>
    <cellStyle name="Note 2 3 4 25 7" xfId="47685"/>
    <cellStyle name="Note 2 3 4 26" xfId="3839"/>
    <cellStyle name="Note 2 3 4 26 2" xfId="11621"/>
    <cellStyle name="Note 2 3 4 26 3" xfId="18878"/>
    <cellStyle name="Note 2 3 4 26 4" xfId="20260"/>
    <cellStyle name="Note 2 3 4 26 5" xfId="26888"/>
    <cellStyle name="Note 2 3 4 26 6" xfId="38157"/>
    <cellStyle name="Note 2 3 4 26 7" xfId="49729"/>
    <cellStyle name="Note 2 3 4 27" xfId="3957"/>
    <cellStyle name="Note 2 3 4 27 2" xfId="11737"/>
    <cellStyle name="Note 2 3 4 27 3" xfId="18987"/>
    <cellStyle name="Note 2 3 4 27 4" xfId="26523"/>
    <cellStyle name="Note 2 3 4 27 5" xfId="35322"/>
    <cellStyle name="Note 2 3 4 27 6" xfId="40887"/>
    <cellStyle name="Note 2 3 4 27 7" xfId="54121"/>
    <cellStyle name="Note 2 3 4 28" xfId="3099"/>
    <cellStyle name="Note 2 3 4 28 2" xfId="10904"/>
    <cellStyle name="Note 2 3 4 28 3" xfId="20258"/>
    <cellStyle name="Note 2 3 4 28 4" xfId="28347"/>
    <cellStyle name="Note 2 3 4 28 5" xfId="34747"/>
    <cellStyle name="Note 2 3 4 28 6" xfId="42400"/>
    <cellStyle name="Note 2 3 4 28 7" xfId="50693"/>
    <cellStyle name="Note 2 3 4 29" xfId="4154"/>
    <cellStyle name="Note 2 3 4 29 2" xfId="11913"/>
    <cellStyle name="Note 2 3 4 29 3" xfId="20864"/>
    <cellStyle name="Note 2 3 4 29 4" xfId="29051"/>
    <cellStyle name="Note 2 3 4 29 5" xfId="27114"/>
    <cellStyle name="Note 2 3 4 29 6" xfId="42716"/>
    <cellStyle name="Note 2 3 4 29 7" xfId="48319"/>
    <cellStyle name="Note 2 3 4 3" xfId="811"/>
    <cellStyle name="Note 2 3 4 3 2" xfId="8635"/>
    <cellStyle name="Note 2 3 4 3 3" xfId="16063"/>
    <cellStyle name="Note 2 3 4 3 4" xfId="26297"/>
    <cellStyle name="Note 2 3 4 3 5" xfId="35012"/>
    <cellStyle name="Note 2 3 4 3 6" xfId="38245"/>
    <cellStyle name="Note 2 3 4 3 7" xfId="53638"/>
    <cellStyle name="Note 2 3 4 30" xfId="4202"/>
    <cellStyle name="Note 2 3 4 30 2" xfId="20912"/>
    <cellStyle name="Note 2 3 4 30 3" xfId="29099"/>
    <cellStyle name="Note 2 3 4 30 4" xfId="35609"/>
    <cellStyle name="Note 2 3 4 30 5" xfId="42764"/>
    <cellStyle name="Note 2 3 4 30 6" xfId="51541"/>
    <cellStyle name="Note 2 3 4 31" xfId="4351"/>
    <cellStyle name="Note 2 3 4 31 2" xfId="12068"/>
    <cellStyle name="Note 2 3 4 31 3" xfId="21061"/>
    <cellStyle name="Note 2 3 4 31 4" xfId="29248"/>
    <cellStyle name="Note 2 3 4 31 5" xfId="36114"/>
    <cellStyle name="Note 2 3 4 31 6" xfId="42913"/>
    <cellStyle name="Note 2 3 4 31 7" xfId="53951"/>
    <cellStyle name="Note 2 3 4 32" xfId="4474"/>
    <cellStyle name="Note 2 3 4 32 2" xfId="12191"/>
    <cellStyle name="Note 2 3 4 32 3" xfId="21184"/>
    <cellStyle name="Note 2 3 4 32 4" xfId="29371"/>
    <cellStyle name="Note 2 3 4 32 5" xfId="36173"/>
    <cellStyle name="Note 2 3 4 32 6" xfId="43036"/>
    <cellStyle name="Note 2 3 4 32 7" xfId="54263"/>
    <cellStyle name="Note 2 3 4 33" xfId="4588"/>
    <cellStyle name="Note 2 3 4 33 2" xfId="12305"/>
    <cellStyle name="Note 2 3 4 33 3" xfId="21298"/>
    <cellStyle name="Note 2 3 4 33 4" xfId="29485"/>
    <cellStyle name="Note 2 3 4 33 5" xfId="27786"/>
    <cellStyle name="Note 2 3 4 33 6" xfId="43150"/>
    <cellStyle name="Note 2 3 4 33 7" xfId="50837"/>
    <cellStyle name="Note 2 3 4 34" xfId="4701"/>
    <cellStyle name="Note 2 3 4 34 2" xfId="12418"/>
    <cellStyle name="Note 2 3 4 34 3" xfId="21411"/>
    <cellStyle name="Note 2 3 4 34 4" xfId="29598"/>
    <cellStyle name="Note 2 3 4 34 5" xfId="36195"/>
    <cellStyle name="Note 2 3 4 34 6" xfId="43263"/>
    <cellStyle name="Note 2 3 4 34 7" xfId="54343"/>
    <cellStyle name="Note 2 3 4 35" xfId="4812"/>
    <cellStyle name="Note 2 3 4 35 2" xfId="12529"/>
    <cellStyle name="Note 2 3 4 35 3" xfId="21522"/>
    <cellStyle name="Note 2 3 4 35 4" xfId="29709"/>
    <cellStyle name="Note 2 3 4 35 5" xfId="26850"/>
    <cellStyle name="Note 2 3 4 35 6" xfId="43374"/>
    <cellStyle name="Note 2 3 4 35 7" xfId="50528"/>
    <cellStyle name="Note 2 3 4 36" xfId="4921"/>
    <cellStyle name="Note 2 3 4 36 2" xfId="12638"/>
    <cellStyle name="Note 2 3 4 36 3" xfId="21631"/>
    <cellStyle name="Note 2 3 4 36 4" xfId="29818"/>
    <cellStyle name="Note 2 3 4 36 5" xfId="35181"/>
    <cellStyle name="Note 2 3 4 36 6" xfId="43483"/>
    <cellStyle name="Note 2 3 4 36 7" xfId="50741"/>
    <cellStyle name="Note 2 3 4 37" xfId="5032"/>
    <cellStyle name="Note 2 3 4 37 2" xfId="12749"/>
    <cellStyle name="Note 2 3 4 37 3" xfId="21742"/>
    <cellStyle name="Note 2 3 4 37 4" xfId="29929"/>
    <cellStyle name="Note 2 3 4 37 5" xfId="35061"/>
    <cellStyle name="Note 2 3 4 37 6" xfId="43594"/>
    <cellStyle name="Note 2 3 4 37 7" xfId="50170"/>
    <cellStyle name="Note 2 3 4 38" xfId="5411"/>
    <cellStyle name="Note 2 3 4 38 2" xfId="13128"/>
    <cellStyle name="Note 2 3 4 38 3" xfId="22121"/>
    <cellStyle name="Note 2 3 4 38 4" xfId="30308"/>
    <cellStyle name="Note 2 3 4 38 5" xfId="35006"/>
    <cellStyle name="Note 2 3 4 38 6" xfId="43973"/>
    <cellStyle name="Note 2 3 4 38 7" xfId="50237"/>
    <cellStyle name="Note 2 3 4 39" xfId="5531"/>
    <cellStyle name="Note 2 3 4 39 2" xfId="13248"/>
    <cellStyle name="Note 2 3 4 39 3" xfId="22241"/>
    <cellStyle name="Note 2 3 4 39 4" xfId="30428"/>
    <cellStyle name="Note 2 3 4 39 5" xfId="27579"/>
    <cellStyle name="Note 2 3 4 39 6" xfId="44093"/>
    <cellStyle name="Note 2 3 4 39 7" xfId="47804"/>
    <cellStyle name="Note 2 3 4 4" xfId="922"/>
    <cellStyle name="Note 2 3 4 4 2" xfId="8746"/>
    <cellStyle name="Note 2 3 4 4 3" xfId="16174"/>
    <cellStyle name="Note 2 3 4 4 4" xfId="25361"/>
    <cellStyle name="Note 2 3 4 4 5" xfId="33799"/>
    <cellStyle name="Note 2 3 4 4 6" xfId="37469"/>
    <cellStyle name="Note 2 3 4 4 7" xfId="51557"/>
    <cellStyle name="Note 2 3 4 40" xfId="5655"/>
    <cellStyle name="Note 2 3 4 40 2" xfId="13372"/>
    <cellStyle name="Note 2 3 4 40 3" xfId="22365"/>
    <cellStyle name="Note 2 3 4 40 4" xfId="30552"/>
    <cellStyle name="Note 2 3 4 40 5" xfId="35193"/>
    <cellStyle name="Note 2 3 4 40 6" xfId="44217"/>
    <cellStyle name="Note 2 3 4 40 7" xfId="46951"/>
    <cellStyle name="Note 2 3 4 41" xfId="5771"/>
    <cellStyle name="Note 2 3 4 41 2" xfId="13488"/>
    <cellStyle name="Note 2 3 4 41 3" xfId="22481"/>
    <cellStyle name="Note 2 3 4 41 4" xfId="30668"/>
    <cellStyle name="Note 2 3 4 41 5" xfId="34500"/>
    <cellStyle name="Note 2 3 4 41 6" xfId="44333"/>
    <cellStyle name="Note 2 3 4 41 7" xfId="50006"/>
    <cellStyle name="Note 2 3 4 42" xfId="5887"/>
    <cellStyle name="Note 2 3 4 42 2" xfId="13604"/>
    <cellStyle name="Note 2 3 4 42 3" xfId="22597"/>
    <cellStyle name="Note 2 3 4 42 4" xfId="30784"/>
    <cellStyle name="Note 2 3 4 42 5" xfId="35506"/>
    <cellStyle name="Note 2 3 4 42 6" xfId="44449"/>
    <cellStyle name="Note 2 3 4 42 7" xfId="50662"/>
    <cellStyle name="Note 2 3 4 43" xfId="6016"/>
    <cellStyle name="Note 2 3 4 43 2" xfId="13733"/>
    <cellStyle name="Note 2 3 4 43 3" xfId="22726"/>
    <cellStyle name="Note 2 3 4 43 4" xfId="30913"/>
    <cellStyle name="Note 2 3 4 43 5" xfId="35954"/>
    <cellStyle name="Note 2 3 4 43 6" xfId="44578"/>
    <cellStyle name="Note 2 3 4 43 7" xfId="52944"/>
    <cellStyle name="Note 2 3 4 44" xfId="6111"/>
    <cellStyle name="Note 2 3 4 44 2" xfId="13828"/>
    <cellStyle name="Note 2 3 4 44 3" xfId="22821"/>
    <cellStyle name="Note 2 3 4 44 4" xfId="31008"/>
    <cellStyle name="Note 2 3 4 44 5" xfId="34691"/>
    <cellStyle name="Note 2 3 4 44 6" xfId="44673"/>
    <cellStyle name="Note 2 3 4 44 7" xfId="49685"/>
    <cellStyle name="Note 2 3 4 45" xfId="6143"/>
    <cellStyle name="Note 2 3 4 45 2" xfId="13860"/>
    <cellStyle name="Note 2 3 4 45 3" xfId="22853"/>
    <cellStyle name="Note 2 3 4 45 4" xfId="31040"/>
    <cellStyle name="Note 2 3 4 45 5" xfId="36205"/>
    <cellStyle name="Note 2 3 4 45 6" xfId="44705"/>
    <cellStyle name="Note 2 3 4 45 7" xfId="54118"/>
    <cellStyle name="Note 2 3 4 46" xfId="6272"/>
    <cellStyle name="Note 2 3 4 46 2" xfId="13989"/>
    <cellStyle name="Note 2 3 4 46 3" xfId="22982"/>
    <cellStyle name="Note 2 3 4 46 4" xfId="31169"/>
    <cellStyle name="Note 2 3 4 46 5" xfId="27304"/>
    <cellStyle name="Note 2 3 4 46 6" xfId="44834"/>
    <cellStyle name="Note 2 3 4 46 7" xfId="47827"/>
    <cellStyle name="Note 2 3 4 47" xfId="6388"/>
    <cellStyle name="Note 2 3 4 47 2" xfId="14105"/>
    <cellStyle name="Note 2 3 4 47 3" xfId="23098"/>
    <cellStyle name="Note 2 3 4 47 4" xfId="31285"/>
    <cellStyle name="Note 2 3 4 47 5" xfId="28624"/>
    <cellStyle name="Note 2 3 4 47 6" xfId="44950"/>
    <cellStyle name="Note 2 3 4 47 7" xfId="51023"/>
    <cellStyle name="Note 2 3 4 48" xfId="6499"/>
    <cellStyle name="Note 2 3 4 48 2" xfId="14216"/>
    <cellStyle name="Note 2 3 4 48 3" xfId="23209"/>
    <cellStyle name="Note 2 3 4 48 4" xfId="31396"/>
    <cellStyle name="Note 2 3 4 48 5" xfId="33775"/>
    <cellStyle name="Note 2 3 4 48 6" xfId="45061"/>
    <cellStyle name="Note 2 3 4 48 7" xfId="54287"/>
    <cellStyle name="Note 2 3 4 49" xfId="5353"/>
    <cellStyle name="Note 2 3 4 49 2" xfId="13070"/>
    <cellStyle name="Note 2 3 4 49 3" xfId="22063"/>
    <cellStyle name="Note 2 3 4 49 4" xfId="30250"/>
    <cellStyle name="Note 2 3 4 49 5" xfId="35282"/>
    <cellStyle name="Note 2 3 4 49 6" xfId="43915"/>
    <cellStyle name="Note 2 3 4 49 7" xfId="48711"/>
    <cellStyle name="Note 2 3 4 5" xfId="1388"/>
    <cellStyle name="Note 2 3 4 5 2" xfId="9211"/>
    <cellStyle name="Note 2 3 4 5 3" xfId="16639"/>
    <cellStyle name="Note 2 3 4 5 4" xfId="25148"/>
    <cellStyle name="Note 2 3 4 5 5" xfId="33525"/>
    <cellStyle name="Note 2 3 4 5 6" xfId="37991"/>
    <cellStyle name="Note 2 3 4 5 7" xfId="51110"/>
    <cellStyle name="Note 2 3 4 50" xfId="6645"/>
    <cellStyle name="Note 2 3 4 50 2" xfId="14362"/>
    <cellStyle name="Note 2 3 4 50 3" xfId="23355"/>
    <cellStyle name="Note 2 3 4 50 4" xfId="31542"/>
    <cellStyle name="Note 2 3 4 50 5" xfId="36120"/>
    <cellStyle name="Note 2 3 4 50 6" xfId="45207"/>
    <cellStyle name="Note 2 3 4 50 7" xfId="53530"/>
    <cellStyle name="Note 2 3 4 51" xfId="6757"/>
    <cellStyle name="Note 2 3 4 51 2" xfId="14474"/>
    <cellStyle name="Note 2 3 4 51 3" xfId="23467"/>
    <cellStyle name="Note 2 3 4 51 4" xfId="31654"/>
    <cellStyle name="Note 2 3 4 51 5" xfId="28001"/>
    <cellStyle name="Note 2 3 4 51 6" xfId="45319"/>
    <cellStyle name="Note 2 3 4 51 7" xfId="49119"/>
    <cellStyle name="Note 2 3 4 52" xfId="6872"/>
    <cellStyle name="Note 2 3 4 52 2" xfId="14589"/>
    <cellStyle name="Note 2 3 4 52 3" xfId="23582"/>
    <cellStyle name="Note 2 3 4 52 4" xfId="31769"/>
    <cellStyle name="Note 2 3 4 52 5" xfId="33399"/>
    <cellStyle name="Note 2 3 4 52 6" xfId="45434"/>
    <cellStyle name="Note 2 3 4 52 7" xfId="46892"/>
    <cellStyle name="Note 2 3 4 53" xfId="6985"/>
    <cellStyle name="Note 2 3 4 53 2" xfId="14702"/>
    <cellStyle name="Note 2 3 4 53 3" xfId="23695"/>
    <cellStyle name="Note 2 3 4 53 4" xfId="31882"/>
    <cellStyle name="Note 2 3 4 53 5" xfId="35352"/>
    <cellStyle name="Note 2 3 4 53 6" xfId="45547"/>
    <cellStyle name="Note 2 3 4 53 7" xfId="54556"/>
    <cellStyle name="Note 2 3 4 54" xfId="7096"/>
    <cellStyle name="Note 2 3 4 54 2" xfId="14813"/>
    <cellStyle name="Note 2 3 4 54 3" xfId="23806"/>
    <cellStyle name="Note 2 3 4 54 4" xfId="31993"/>
    <cellStyle name="Note 2 3 4 54 5" xfId="33559"/>
    <cellStyle name="Note 2 3 4 54 6" xfId="45658"/>
    <cellStyle name="Note 2 3 4 54 7" xfId="47962"/>
    <cellStyle name="Note 2 3 4 55" xfId="7181"/>
    <cellStyle name="Note 2 3 4 55 2" xfId="14898"/>
    <cellStyle name="Note 2 3 4 55 3" xfId="23891"/>
    <cellStyle name="Note 2 3 4 55 4" xfId="32078"/>
    <cellStyle name="Note 2 3 4 55 5" xfId="36101"/>
    <cellStyle name="Note 2 3 4 55 6" xfId="45743"/>
    <cellStyle name="Note 2 3 4 55 7" xfId="53318"/>
    <cellStyle name="Note 2 3 4 56" xfId="7271"/>
    <cellStyle name="Note 2 3 4 56 2" xfId="14988"/>
    <cellStyle name="Note 2 3 4 56 3" xfId="23981"/>
    <cellStyle name="Note 2 3 4 56 4" xfId="32168"/>
    <cellStyle name="Note 2 3 4 56 5" xfId="35900"/>
    <cellStyle name="Note 2 3 4 56 6" xfId="45833"/>
    <cellStyle name="Note 2 3 4 56 7" xfId="52376"/>
    <cellStyle name="Note 2 3 4 57" xfId="7493"/>
    <cellStyle name="Note 2 3 4 57 2" xfId="15210"/>
    <cellStyle name="Note 2 3 4 57 3" xfId="24203"/>
    <cellStyle name="Note 2 3 4 57 4" xfId="32390"/>
    <cellStyle name="Note 2 3 4 57 5" xfId="35585"/>
    <cellStyle name="Note 2 3 4 57 6" xfId="46055"/>
    <cellStyle name="Note 2 3 4 57 7" xfId="50900"/>
    <cellStyle name="Note 2 3 4 58" xfId="7614"/>
    <cellStyle name="Note 2 3 4 58 2" xfId="15331"/>
    <cellStyle name="Note 2 3 4 58 3" xfId="24324"/>
    <cellStyle name="Note 2 3 4 58 4" xfId="32511"/>
    <cellStyle name="Note 2 3 4 58 5" xfId="27381"/>
    <cellStyle name="Note 2 3 4 58 6" xfId="46176"/>
    <cellStyle name="Note 2 3 4 58 7" xfId="48400"/>
    <cellStyle name="Note 2 3 4 59" xfId="7890"/>
    <cellStyle name="Note 2 3 4 59 2" xfId="15607"/>
    <cellStyle name="Note 2 3 4 59 3" xfId="24594"/>
    <cellStyle name="Note 2 3 4 59 4" xfId="32787"/>
    <cellStyle name="Note 2 3 4 59 5" xfId="35046"/>
    <cellStyle name="Note 2 3 4 59 6" xfId="46452"/>
    <cellStyle name="Note 2 3 4 59 7" xfId="54341"/>
    <cellStyle name="Note 2 3 4 6" xfId="1511"/>
    <cellStyle name="Note 2 3 4 6 2" xfId="9334"/>
    <cellStyle name="Note 2 3 4 6 3" xfId="16762"/>
    <cellStyle name="Note 2 3 4 6 4" xfId="25131"/>
    <cellStyle name="Note 2 3 4 6 5" xfId="33504"/>
    <cellStyle name="Note 2 3 4 6 6" xfId="40309"/>
    <cellStyle name="Note 2 3 4 6 7" xfId="51077"/>
    <cellStyle name="Note 2 3 4 60" xfId="7779"/>
    <cellStyle name="Note 2 3 4 60 2" xfId="15496"/>
    <cellStyle name="Note 2 3 4 60 3" xfId="24485"/>
    <cellStyle name="Note 2 3 4 60 4" xfId="32676"/>
    <cellStyle name="Note 2 3 4 60 5" xfId="35202"/>
    <cellStyle name="Note 2 3 4 60 6" xfId="46341"/>
    <cellStyle name="Note 2 3 4 60 7" xfId="49743"/>
    <cellStyle name="Note 2 3 4 61" xfId="8018"/>
    <cellStyle name="Note 2 3 4 61 2" xfId="15735"/>
    <cellStyle name="Note 2 3 4 61 3" xfId="24720"/>
    <cellStyle name="Note 2 3 4 61 4" xfId="32915"/>
    <cellStyle name="Note 2 3 4 61 5" xfId="35510"/>
    <cellStyle name="Note 2 3 4 61 6" xfId="46580"/>
    <cellStyle name="Note 2 3 4 61 7" xfId="50708"/>
    <cellStyle name="Note 2 3 4 62" xfId="7750"/>
    <cellStyle name="Note 2 3 4 62 2" xfId="15467"/>
    <cellStyle name="Note 2 3 4 62 3" xfId="24458"/>
    <cellStyle name="Note 2 3 4 62 4" xfId="32647"/>
    <cellStyle name="Note 2 3 4 62 5" xfId="36074"/>
    <cellStyle name="Note 2 3 4 62 6" xfId="46312"/>
    <cellStyle name="Note 2 3 4 62 7" xfId="48031"/>
    <cellStyle name="Note 2 3 4 63" xfId="8166"/>
    <cellStyle name="Note 2 3 4 63 2" xfId="15883"/>
    <cellStyle name="Note 2 3 4 63 3" xfId="33063"/>
    <cellStyle name="Note 2 3 4 63 4" xfId="35143"/>
    <cellStyle name="Note 2 3 4 63 5" xfId="46728"/>
    <cellStyle name="Note 2 3 4 63 6" xfId="50589"/>
    <cellStyle name="Note 2 3 4 64" xfId="26442"/>
    <cellStyle name="Note 2 3 4 65" xfId="35215"/>
    <cellStyle name="Note 2 3 4 66" xfId="36273"/>
    <cellStyle name="Note 2 3 4 67" xfId="53943"/>
    <cellStyle name="Note 2 3 4 7" xfId="1077"/>
    <cellStyle name="Note 2 3 4 7 2" xfId="8901"/>
    <cellStyle name="Note 2 3 4 7 3" xfId="16329"/>
    <cellStyle name="Note 2 3 4 7 4" xfId="19296"/>
    <cellStyle name="Note 2 3 4 7 5" xfId="27506"/>
    <cellStyle name="Note 2 3 4 7 6" xfId="36912"/>
    <cellStyle name="Note 2 3 4 7 7" xfId="49972"/>
    <cellStyle name="Note 2 3 4 8" xfId="1748"/>
    <cellStyle name="Note 2 3 4 8 2" xfId="9571"/>
    <cellStyle name="Note 2 3 4 8 3" xfId="16999"/>
    <cellStyle name="Note 2 3 4 8 4" xfId="19150"/>
    <cellStyle name="Note 2 3 4 8 5" xfId="27034"/>
    <cellStyle name="Note 2 3 4 8 6" xfId="39977"/>
    <cellStyle name="Note 2 3 4 8 7" xfId="49270"/>
    <cellStyle name="Note 2 3 4 9" xfId="1882"/>
    <cellStyle name="Note 2 3 4 9 2" xfId="9705"/>
    <cellStyle name="Note 2 3 4 9 3" xfId="17133"/>
    <cellStyle name="Note 2 3 4 9 4" xfId="19025"/>
    <cellStyle name="Note 2 3 4 9 5" xfId="27160"/>
    <cellStyle name="Note 2 3 4 9 6" xfId="38914"/>
    <cellStyle name="Note 2 3 4 9 7" xfId="49901"/>
    <cellStyle name="Note 2 3 40" xfId="3495"/>
    <cellStyle name="Note 2 3 40 2" xfId="11286"/>
    <cellStyle name="Note 2 3 40 3" xfId="20480"/>
    <cellStyle name="Note 2 3 40 4" xfId="28602"/>
    <cellStyle name="Note 2 3 40 5" xfId="35679"/>
    <cellStyle name="Note 2 3 40 6" xfId="42488"/>
    <cellStyle name="Note 2 3 40 7" xfId="51825"/>
    <cellStyle name="Note 2 3 41" xfId="4272"/>
    <cellStyle name="Note 2 3 41 2" xfId="11989"/>
    <cellStyle name="Note 2 3 41 3" xfId="20982"/>
    <cellStyle name="Note 2 3 41 4" xfId="29169"/>
    <cellStyle name="Note 2 3 41 5" xfId="27976"/>
    <cellStyle name="Note 2 3 41 6" xfId="42834"/>
    <cellStyle name="Note 2 3 41 7" xfId="47636"/>
    <cellStyle name="Note 2 3 42" xfId="4275"/>
    <cellStyle name="Note 2 3 42 2" xfId="11992"/>
    <cellStyle name="Note 2 3 42 3" xfId="20985"/>
    <cellStyle name="Note 2 3 42 4" xfId="29172"/>
    <cellStyle name="Note 2 3 42 5" xfId="35606"/>
    <cellStyle name="Note 2 3 42 6" xfId="42837"/>
    <cellStyle name="Note 2 3 42 7" xfId="51530"/>
    <cellStyle name="Note 2 3 43" xfId="5239"/>
    <cellStyle name="Note 2 3 43 2" xfId="12956"/>
    <cellStyle name="Note 2 3 43 3" xfId="21949"/>
    <cellStyle name="Note 2 3 43 4" xfId="30136"/>
    <cellStyle name="Note 2 3 43 5" xfId="35887"/>
    <cellStyle name="Note 2 3 43 6" xfId="43801"/>
    <cellStyle name="Note 2 3 43 7" xfId="52886"/>
    <cellStyle name="Note 2 3 44" xfId="5271"/>
    <cellStyle name="Note 2 3 44 2" xfId="12988"/>
    <cellStyle name="Note 2 3 44 3" xfId="21981"/>
    <cellStyle name="Note 2 3 44 4" xfId="30168"/>
    <cellStyle name="Note 2 3 44 5" xfId="27338"/>
    <cellStyle name="Note 2 3 44 6" xfId="43833"/>
    <cellStyle name="Note 2 3 44 7" xfId="47375"/>
    <cellStyle name="Note 2 3 45" xfId="5565"/>
    <cellStyle name="Note 2 3 45 2" xfId="13282"/>
    <cellStyle name="Note 2 3 45 3" xfId="22275"/>
    <cellStyle name="Note 2 3 45 4" xfId="30462"/>
    <cellStyle name="Note 2 3 45 5" xfId="33598"/>
    <cellStyle name="Note 2 3 45 6" xfId="44127"/>
    <cellStyle name="Note 2 3 45 7" xfId="46952"/>
    <cellStyle name="Note 2 3 46" xfId="5167"/>
    <cellStyle name="Note 2 3 46 2" xfId="12884"/>
    <cellStyle name="Note 2 3 46 3" xfId="21877"/>
    <cellStyle name="Note 2 3 46 4" xfId="30064"/>
    <cellStyle name="Note 2 3 46 5" xfId="35882"/>
    <cellStyle name="Note 2 3 46 6" xfId="43729"/>
    <cellStyle name="Note 2 3 46 7" xfId="52862"/>
    <cellStyle name="Note 2 3 47" xfId="5297"/>
    <cellStyle name="Note 2 3 47 2" xfId="13014"/>
    <cellStyle name="Note 2 3 47 3" xfId="22007"/>
    <cellStyle name="Note 2 3 47 4" xfId="30194"/>
    <cellStyle name="Note 2 3 47 5" xfId="36196"/>
    <cellStyle name="Note 2 3 47 6" xfId="43859"/>
    <cellStyle name="Note 2 3 47 7" xfId="54345"/>
    <cellStyle name="Note 2 3 48" xfId="5220"/>
    <cellStyle name="Note 2 3 48 2" xfId="12937"/>
    <cellStyle name="Note 2 3 48 3" xfId="21930"/>
    <cellStyle name="Note 2 3 48 4" xfId="30117"/>
    <cellStyle name="Note 2 3 48 5" xfId="27920"/>
    <cellStyle name="Note 2 3 48 6" xfId="43782"/>
    <cellStyle name="Note 2 3 48 7" xfId="48488"/>
    <cellStyle name="Note 2 3 49" xfId="5182"/>
    <cellStyle name="Note 2 3 49 2" xfId="12899"/>
    <cellStyle name="Note 2 3 49 3" xfId="21892"/>
    <cellStyle name="Note 2 3 49 4" xfId="30079"/>
    <cellStyle name="Note 2 3 49 5" xfId="33732"/>
    <cellStyle name="Note 2 3 49 6" xfId="43744"/>
    <cellStyle name="Note 2 3 49 7" xfId="51169"/>
    <cellStyle name="Note 2 3 5" xfId="493"/>
    <cellStyle name="Note 2 3 5 10" xfId="1940"/>
    <cellStyle name="Note 2 3 5 10 2" xfId="9763"/>
    <cellStyle name="Note 2 3 5 10 3" xfId="17191"/>
    <cellStyle name="Note 2 3 5 10 4" xfId="25951"/>
    <cellStyle name="Note 2 3 5 10 5" xfId="34556"/>
    <cellStyle name="Note 2 3 5 10 6" xfId="41495"/>
    <cellStyle name="Note 2 3 5 10 7" xfId="52888"/>
    <cellStyle name="Note 2 3 5 11" xfId="2058"/>
    <cellStyle name="Note 2 3 5 11 2" xfId="9881"/>
    <cellStyle name="Note 2 3 5 11 3" xfId="17309"/>
    <cellStyle name="Note 2 3 5 11 4" xfId="26036"/>
    <cellStyle name="Note 2 3 5 11 5" xfId="34668"/>
    <cellStyle name="Note 2 3 5 11 6" xfId="37410"/>
    <cellStyle name="Note 2 3 5 11 7" xfId="53066"/>
    <cellStyle name="Note 2 3 5 12" xfId="2171"/>
    <cellStyle name="Note 2 3 5 12 2" xfId="9994"/>
    <cellStyle name="Note 2 3 5 12 3" xfId="17422"/>
    <cellStyle name="Note 2 3 5 12 4" xfId="25010"/>
    <cellStyle name="Note 2 3 5 12 5" xfId="33362"/>
    <cellStyle name="Note 2 3 5 12 6" xfId="39522"/>
    <cellStyle name="Note 2 3 5 12 7" xfId="50816"/>
    <cellStyle name="Note 2 3 5 13" xfId="959"/>
    <cellStyle name="Note 2 3 5 13 2" xfId="8783"/>
    <cellStyle name="Note 2 3 5 13 3" xfId="16211"/>
    <cellStyle name="Note 2 3 5 13 4" xfId="25722"/>
    <cellStyle name="Note 2 3 5 13 5" xfId="34267"/>
    <cellStyle name="Note 2 3 5 13 6" xfId="37061"/>
    <cellStyle name="Note 2 3 5 13 7" xfId="52367"/>
    <cellStyle name="Note 2 3 5 14" xfId="1916"/>
    <cellStyle name="Note 2 3 5 14 2" xfId="9739"/>
    <cellStyle name="Note 2 3 5 14 3" xfId="17167"/>
    <cellStyle name="Note 2 3 5 14 4" xfId="19884"/>
    <cellStyle name="Note 2 3 5 14 5" xfId="27582"/>
    <cellStyle name="Note 2 3 5 14 6" xfId="39424"/>
    <cellStyle name="Note 2 3 5 14 7" xfId="47941"/>
    <cellStyle name="Note 2 3 5 15" xfId="2469"/>
    <cellStyle name="Note 2 3 5 15 2" xfId="10292"/>
    <cellStyle name="Note 2 3 5 15 3" xfId="17720"/>
    <cellStyle name="Note 2 3 5 15 4" xfId="26516"/>
    <cellStyle name="Note 2 3 5 15 5" xfId="35313"/>
    <cellStyle name="Note 2 3 5 15 6" xfId="39846"/>
    <cellStyle name="Note 2 3 5 15 7" xfId="54104"/>
    <cellStyle name="Note 2 3 5 16" xfId="2582"/>
    <cellStyle name="Note 2 3 5 16 2" xfId="10405"/>
    <cellStyle name="Note 2 3 5 16 3" xfId="17833"/>
    <cellStyle name="Note 2 3 5 16 4" xfId="25302"/>
    <cellStyle name="Note 2 3 5 16 5" xfId="33718"/>
    <cellStyle name="Note 2 3 5 16 6" xfId="37403"/>
    <cellStyle name="Note 2 3 5 16 7" xfId="51430"/>
    <cellStyle name="Note 2 3 5 17" xfId="1621"/>
    <cellStyle name="Note 2 3 5 17 2" xfId="9444"/>
    <cellStyle name="Note 2 3 5 17 3" xfId="16872"/>
    <cellStyle name="Note 2 3 5 17 4" xfId="25990"/>
    <cellStyle name="Note 2 3 5 17 5" xfId="34612"/>
    <cellStyle name="Note 2 3 5 17 6" xfId="37080"/>
    <cellStyle name="Note 2 3 5 17 7" xfId="52975"/>
    <cellStyle name="Note 2 3 5 18" xfId="2431"/>
    <cellStyle name="Note 2 3 5 18 2" xfId="10254"/>
    <cellStyle name="Note 2 3 5 18 3" xfId="17682"/>
    <cellStyle name="Note 2 3 5 18 4" xfId="24993"/>
    <cellStyle name="Note 2 3 5 18 5" xfId="33342"/>
    <cellStyle name="Note 2 3 5 18 6" xfId="37214"/>
    <cellStyle name="Note 2 3 5 18 7" xfId="50781"/>
    <cellStyle name="Note 2 3 5 19" xfId="2776"/>
    <cellStyle name="Note 2 3 5 19 2" xfId="10599"/>
    <cellStyle name="Note 2 3 5 19 3" xfId="18027"/>
    <cellStyle name="Note 2 3 5 19 4" xfId="26371"/>
    <cellStyle name="Note 2 3 5 19 5" xfId="35109"/>
    <cellStyle name="Note 2 3 5 19 6" xfId="39641"/>
    <cellStyle name="Note 2 3 5 19 7" xfId="53788"/>
    <cellStyle name="Note 2 3 5 2" xfId="644"/>
    <cellStyle name="Note 2 3 5 2 2" xfId="8468"/>
    <cellStyle name="Note 2 3 5 2 3" xfId="8292"/>
    <cellStyle name="Note 2 3 5 2 4" xfId="26107"/>
    <cellStyle name="Note 2 3 5 2 5" xfId="34763"/>
    <cellStyle name="Note 2 3 5 2 6" xfId="37955"/>
    <cellStyle name="Note 2 3 5 2 7" xfId="53225"/>
    <cellStyle name="Note 2 3 5 20" xfId="2883"/>
    <cellStyle name="Note 2 3 5 20 2" xfId="10706"/>
    <cellStyle name="Note 2 3 5 20 3" xfId="18134"/>
    <cellStyle name="Note 2 3 5 20 4" xfId="19590"/>
    <cellStyle name="Note 2 3 5 20 5" xfId="26781"/>
    <cellStyle name="Note 2 3 5 20 6" xfId="37154"/>
    <cellStyle name="Note 2 3 5 20 7" xfId="50359"/>
    <cellStyle name="Note 2 3 5 21" xfId="3259"/>
    <cellStyle name="Note 2 3 5 21 2" xfId="11052"/>
    <cellStyle name="Note 2 3 5 21 3" xfId="18381"/>
    <cellStyle name="Note 2 3 5 21 4" xfId="19578"/>
    <cellStyle name="Note 2 3 5 21 5" xfId="28670"/>
    <cellStyle name="Note 2 3 5 21 6" xfId="37075"/>
    <cellStyle name="Note 2 3 5 21 7" xfId="49567"/>
    <cellStyle name="Note 2 3 5 22" xfId="3379"/>
    <cellStyle name="Note 2 3 5 22 2" xfId="11170"/>
    <cellStyle name="Note 2 3 5 22 3" xfId="18492"/>
    <cellStyle name="Note 2 3 5 22 4" xfId="25737"/>
    <cellStyle name="Note 2 3 5 22 5" xfId="34286"/>
    <cellStyle name="Note 2 3 5 22 6" xfId="38959"/>
    <cellStyle name="Note 2 3 5 22 7" xfId="52406"/>
    <cellStyle name="Note 2 3 5 23" xfId="3513"/>
    <cellStyle name="Note 2 3 5 23 2" xfId="11304"/>
    <cellStyle name="Note 2 3 5 23 3" xfId="18602"/>
    <cellStyle name="Note 2 3 5 23 4" xfId="26236"/>
    <cellStyle name="Note 2 3 5 23 5" xfId="34925"/>
    <cellStyle name="Note 2 3 5 23 6" xfId="42041"/>
    <cellStyle name="Note 2 3 5 23 7" xfId="53496"/>
    <cellStyle name="Note 2 3 5 24" xfId="3585"/>
    <cellStyle name="Note 2 3 5 24 2" xfId="11373"/>
    <cellStyle name="Note 2 3 5 24 3" xfId="18649"/>
    <cellStyle name="Note 2 3 5 24 4" xfId="26313"/>
    <cellStyle name="Note 2 3 5 24 5" xfId="35032"/>
    <cellStyle name="Note 2 3 5 24 6" xfId="40767"/>
    <cellStyle name="Note 2 3 5 24 7" xfId="53668"/>
    <cellStyle name="Note 2 3 5 25" xfId="3649"/>
    <cellStyle name="Note 2 3 5 25 2" xfId="11434"/>
    <cellStyle name="Note 2 3 5 25 3" xfId="18707"/>
    <cellStyle name="Note 2 3 5 25 4" xfId="26684"/>
    <cellStyle name="Note 2 3 5 25 5" xfId="35533"/>
    <cellStyle name="Note 2 3 5 25 6" xfId="41507"/>
    <cellStyle name="Note 2 3 5 25 7" xfId="54461"/>
    <cellStyle name="Note 2 3 5 26" xfId="3780"/>
    <cellStyle name="Note 2 3 5 26 2" xfId="11562"/>
    <cellStyle name="Note 2 3 5 26 3" xfId="18819"/>
    <cellStyle name="Note 2 3 5 26 4" xfId="24849"/>
    <cellStyle name="Note 2 3 5 26 5" xfId="26771"/>
    <cellStyle name="Note 2 3 5 26 6" xfId="37255"/>
    <cellStyle name="Note 2 3 5 26 7" xfId="49779"/>
    <cellStyle name="Note 2 3 5 27" xfId="3897"/>
    <cellStyle name="Note 2 3 5 27 2" xfId="11677"/>
    <cellStyle name="Note 2 3 5 27 3" xfId="18928"/>
    <cellStyle name="Note 2 3 5 27 4" xfId="25499"/>
    <cellStyle name="Note 2 3 5 27 5" xfId="33975"/>
    <cellStyle name="Note 2 3 5 27 6" xfId="36511"/>
    <cellStyle name="Note 2 3 5 27 7" xfId="51867"/>
    <cellStyle name="Note 2 3 5 28" xfId="3087"/>
    <cellStyle name="Note 2 3 5 28 2" xfId="10894"/>
    <cellStyle name="Note 2 3 5 28 3" xfId="20248"/>
    <cellStyle name="Note 2 3 5 28 4" xfId="28338"/>
    <cellStyle name="Note 2 3 5 28 5" xfId="33350"/>
    <cellStyle name="Note 2 3 5 28 6" xfId="42394"/>
    <cellStyle name="Note 2 3 5 28 7" xfId="47632"/>
    <cellStyle name="Note 2 3 5 29" xfId="4094"/>
    <cellStyle name="Note 2 3 5 29 2" xfId="11854"/>
    <cellStyle name="Note 2 3 5 29 3" xfId="20804"/>
    <cellStyle name="Note 2 3 5 29 4" xfId="28991"/>
    <cellStyle name="Note 2 3 5 29 5" xfId="28138"/>
    <cellStyle name="Note 2 3 5 29 6" xfId="42656"/>
    <cellStyle name="Note 2 3 5 29 7" xfId="50786"/>
    <cellStyle name="Note 2 3 5 3" xfId="751"/>
    <cellStyle name="Note 2 3 5 3 2" xfId="8575"/>
    <cellStyle name="Note 2 3 5 3 3" xfId="16003"/>
    <cellStyle name="Note 2 3 5 3 4" xfId="19845"/>
    <cellStyle name="Note 2 3 5 3 5" xfId="28023"/>
    <cellStyle name="Note 2 3 5 3 6" xfId="37948"/>
    <cellStyle name="Note 2 3 5 3 7" xfId="48435"/>
    <cellStyle name="Note 2 3 5 30" xfId="3083"/>
    <cellStyle name="Note 2 3 5 30 2" xfId="20244"/>
    <cellStyle name="Note 2 3 5 30 3" xfId="28334"/>
    <cellStyle name="Note 2 3 5 30 4" xfId="35799"/>
    <cellStyle name="Note 2 3 5 30 5" xfId="42391"/>
    <cellStyle name="Note 2 3 5 30 6" xfId="52448"/>
    <cellStyle name="Note 2 3 5 31" xfId="4291"/>
    <cellStyle name="Note 2 3 5 31 2" xfId="12008"/>
    <cellStyle name="Note 2 3 5 31 3" xfId="21001"/>
    <cellStyle name="Note 2 3 5 31 4" xfId="29188"/>
    <cellStyle name="Note 2 3 5 31 5" xfId="34818"/>
    <cellStyle name="Note 2 3 5 31 6" xfId="42853"/>
    <cellStyle name="Note 2 3 5 31 7" xfId="50023"/>
    <cellStyle name="Note 2 3 5 32" xfId="4414"/>
    <cellStyle name="Note 2 3 5 32 2" xfId="12131"/>
    <cellStyle name="Note 2 3 5 32 3" xfId="21124"/>
    <cellStyle name="Note 2 3 5 32 4" xfId="29311"/>
    <cellStyle name="Note 2 3 5 32 5" xfId="36118"/>
    <cellStyle name="Note 2 3 5 32 6" xfId="42976"/>
    <cellStyle name="Note 2 3 5 32 7" xfId="53970"/>
    <cellStyle name="Note 2 3 5 33" xfId="4528"/>
    <cellStyle name="Note 2 3 5 33 2" xfId="12245"/>
    <cellStyle name="Note 2 3 5 33 3" xfId="21238"/>
    <cellStyle name="Note 2 3 5 33 4" xfId="29425"/>
    <cellStyle name="Note 2 3 5 33 5" xfId="28159"/>
    <cellStyle name="Note 2 3 5 33 6" xfId="43090"/>
    <cellStyle name="Note 2 3 5 33 7" xfId="48733"/>
    <cellStyle name="Note 2 3 5 34" xfId="4641"/>
    <cellStyle name="Note 2 3 5 34 2" xfId="12358"/>
    <cellStyle name="Note 2 3 5 34 3" xfId="21351"/>
    <cellStyle name="Note 2 3 5 34 4" xfId="29538"/>
    <cellStyle name="Note 2 3 5 34 5" xfId="26939"/>
    <cellStyle name="Note 2 3 5 34 6" xfId="43203"/>
    <cellStyle name="Note 2 3 5 34 7" xfId="48024"/>
    <cellStyle name="Note 2 3 5 35" xfId="4753"/>
    <cellStyle name="Note 2 3 5 35 2" xfId="12470"/>
    <cellStyle name="Note 2 3 5 35 3" xfId="21463"/>
    <cellStyle name="Note 2 3 5 35 4" xfId="29650"/>
    <cellStyle name="Note 2 3 5 35 5" xfId="35534"/>
    <cellStyle name="Note 2 3 5 35 6" xfId="43315"/>
    <cellStyle name="Note 2 3 5 35 7" xfId="48994"/>
    <cellStyle name="Note 2 3 5 36" xfId="4861"/>
    <cellStyle name="Note 2 3 5 36 2" xfId="12578"/>
    <cellStyle name="Note 2 3 5 36 3" xfId="21571"/>
    <cellStyle name="Note 2 3 5 36 4" xfId="29758"/>
    <cellStyle name="Note 2 3 5 36 5" xfId="35626"/>
    <cellStyle name="Note 2 3 5 36 6" xfId="43423"/>
    <cellStyle name="Note 2 3 5 36 7" xfId="51607"/>
    <cellStyle name="Note 2 3 5 37" xfId="4973"/>
    <cellStyle name="Note 2 3 5 37 2" xfId="12690"/>
    <cellStyle name="Note 2 3 5 37 3" xfId="21683"/>
    <cellStyle name="Note 2 3 5 37 4" xfId="29870"/>
    <cellStyle name="Note 2 3 5 37 5" xfId="35014"/>
    <cellStyle name="Note 2 3 5 37 6" xfId="43535"/>
    <cellStyle name="Note 2 3 5 37 7" xfId="50544"/>
    <cellStyle name="Note 2 3 5 38" xfId="5138"/>
    <cellStyle name="Note 2 3 5 38 2" xfId="12855"/>
    <cellStyle name="Note 2 3 5 38 3" xfId="21848"/>
    <cellStyle name="Note 2 3 5 38 4" xfId="30035"/>
    <cellStyle name="Note 2 3 5 38 5" xfId="36203"/>
    <cellStyle name="Note 2 3 5 38 6" xfId="43700"/>
    <cellStyle name="Note 2 3 5 38 7" xfId="54402"/>
    <cellStyle name="Note 2 3 5 39" xfId="5471"/>
    <cellStyle name="Note 2 3 5 39 2" xfId="13188"/>
    <cellStyle name="Note 2 3 5 39 3" xfId="22181"/>
    <cellStyle name="Note 2 3 5 39 4" xfId="30368"/>
    <cellStyle name="Note 2 3 5 39 5" xfId="35604"/>
    <cellStyle name="Note 2 3 5 39 6" xfId="44033"/>
    <cellStyle name="Note 2 3 5 39 7" xfId="51525"/>
    <cellStyle name="Note 2 3 5 4" xfId="863"/>
    <cellStyle name="Note 2 3 5 4 2" xfId="8687"/>
    <cellStyle name="Note 2 3 5 4 3" xfId="16115"/>
    <cellStyle name="Note 2 3 5 4 4" xfId="19323"/>
    <cellStyle name="Note 2 3 5 4 5" xfId="27201"/>
    <cellStyle name="Note 2 3 5 4 6" xfId="37932"/>
    <cellStyle name="Note 2 3 5 4 7" xfId="49352"/>
    <cellStyle name="Note 2 3 5 40" xfId="5596"/>
    <cellStyle name="Note 2 3 5 40 2" xfId="13313"/>
    <cellStyle name="Note 2 3 5 40 3" xfId="22306"/>
    <cellStyle name="Note 2 3 5 40 4" xfId="30493"/>
    <cellStyle name="Note 2 3 5 40 5" xfId="33714"/>
    <cellStyle name="Note 2 3 5 40 6" xfId="44158"/>
    <cellStyle name="Note 2 3 5 40 7" xfId="47143"/>
    <cellStyle name="Note 2 3 5 41" xfId="5711"/>
    <cellStyle name="Note 2 3 5 41 2" xfId="13428"/>
    <cellStyle name="Note 2 3 5 41 3" xfId="22421"/>
    <cellStyle name="Note 2 3 5 41 4" xfId="30608"/>
    <cellStyle name="Note 2 3 5 41 5" xfId="27751"/>
    <cellStyle name="Note 2 3 5 41 6" xfId="44273"/>
    <cellStyle name="Note 2 3 5 41 7" xfId="46924"/>
    <cellStyle name="Note 2 3 5 42" xfId="5828"/>
    <cellStyle name="Note 2 3 5 42 2" xfId="13545"/>
    <cellStyle name="Note 2 3 5 42 3" xfId="22538"/>
    <cellStyle name="Note 2 3 5 42 4" xfId="30725"/>
    <cellStyle name="Note 2 3 5 42 5" xfId="26906"/>
    <cellStyle name="Note 2 3 5 42 6" xfId="44390"/>
    <cellStyle name="Note 2 3 5 42 7" xfId="50425"/>
    <cellStyle name="Note 2 3 5 43" xfId="5956"/>
    <cellStyle name="Note 2 3 5 43 2" xfId="13673"/>
    <cellStyle name="Note 2 3 5 43 3" xfId="22666"/>
    <cellStyle name="Note 2 3 5 43 4" xfId="30853"/>
    <cellStyle name="Note 2 3 5 43 5" xfId="34341"/>
    <cellStyle name="Note 2 3 5 43 6" xfId="44518"/>
    <cellStyle name="Note 2 3 5 43 7" xfId="51915"/>
    <cellStyle name="Note 2 3 5 44" xfId="6069"/>
    <cellStyle name="Note 2 3 5 44 2" xfId="13786"/>
    <cellStyle name="Note 2 3 5 44 3" xfId="22779"/>
    <cellStyle name="Note 2 3 5 44 4" xfId="30966"/>
    <cellStyle name="Note 2 3 5 44 5" xfId="27367"/>
    <cellStyle name="Note 2 3 5 44 6" xfId="44631"/>
    <cellStyle name="Note 2 3 5 44 7" xfId="48292"/>
    <cellStyle name="Note 2 3 5 45" xfId="6093"/>
    <cellStyle name="Note 2 3 5 45 2" xfId="13810"/>
    <cellStyle name="Note 2 3 5 45 3" xfId="22803"/>
    <cellStyle name="Note 2 3 5 45 4" xfId="30990"/>
    <cellStyle name="Note 2 3 5 45 5" xfId="35800"/>
    <cellStyle name="Note 2 3 5 45 6" xfId="44655"/>
    <cellStyle name="Note 2 3 5 45 7" xfId="47634"/>
    <cellStyle name="Note 2 3 5 46" xfId="6212"/>
    <cellStyle name="Note 2 3 5 46 2" xfId="13929"/>
    <cellStyle name="Note 2 3 5 46 3" xfId="22922"/>
    <cellStyle name="Note 2 3 5 46 4" xfId="31109"/>
    <cellStyle name="Note 2 3 5 46 5" xfId="27420"/>
    <cellStyle name="Note 2 3 5 46 6" xfId="44774"/>
    <cellStyle name="Note 2 3 5 46 7" xfId="54369"/>
    <cellStyle name="Note 2 3 5 47" xfId="6329"/>
    <cellStyle name="Note 2 3 5 47 2" xfId="14046"/>
    <cellStyle name="Note 2 3 5 47 3" xfId="23039"/>
    <cellStyle name="Note 2 3 5 47 4" xfId="31226"/>
    <cellStyle name="Note 2 3 5 47 5" xfId="33680"/>
    <cellStyle name="Note 2 3 5 47 6" xfId="44891"/>
    <cellStyle name="Note 2 3 5 47 7" xfId="50921"/>
    <cellStyle name="Note 2 3 5 48" xfId="6439"/>
    <cellStyle name="Note 2 3 5 48 2" xfId="14156"/>
    <cellStyle name="Note 2 3 5 48 3" xfId="23149"/>
    <cellStyle name="Note 2 3 5 48 4" xfId="31336"/>
    <cellStyle name="Note 2 3 5 48 5" xfId="35847"/>
    <cellStyle name="Note 2 3 5 48 6" xfId="45001"/>
    <cellStyle name="Note 2 3 5 48 7" xfId="52298"/>
    <cellStyle name="Note 2 3 5 49" xfId="5890"/>
    <cellStyle name="Note 2 3 5 49 2" xfId="13607"/>
    <cellStyle name="Note 2 3 5 49 3" xfId="22600"/>
    <cellStyle name="Note 2 3 5 49 4" xfId="30787"/>
    <cellStyle name="Note 2 3 5 49 5" xfId="35438"/>
    <cellStyle name="Note 2 3 5 49 6" xfId="44452"/>
    <cellStyle name="Note 2 3 5 49 7" xfId="50367"/>
    <cellStyle name="Note 2 3 5 5" xfId="1328"/>
    <cellStyle name="Note 2 3 5 5 2" xfId="9151"/>
    <cellStyle name="Note 2 3 5 5 3" xfId="16579"/>
    <cellStyle name="Note 2 3 5 5 4" xfId="25167"/>
    <cellStyle name="Note 2 3 5 5 5" xfId="33547"/>
    <cellStyle name="Note 2 3 5 5 6" xfId="37801"/>
    <cellStyle name="Note 2 3 5 5 7" xfId="51149"/>
    <cellStyle name="Note 2 3 5 50" xfId="6586"/>
    <cellStyle name="Note 2 3 5 50 2" xfId="14303"/>
    <cellStyle name="Note 2 3 5 50 3" xfId="23296"/>
    <cellStyle name="Note 2 3 5 50 4" xfId="31483"/>
    <cellStyle name="Note 2 3 5 50 5" xfId="35893"/>
    <cellStyle name="Note 2 3 5 50 6" xfId="45148"/>
    <cellStyle name="Note 2 3 5 50 7" xfId="52578"/>
    <cellStyle name="Note 2 3 5 51" xfId="6697"/>
    <cellStyle name="Note 2 3 5 51 2" xfId="14414"/>
    <cellStyle name="Note 2 3 5 51 3" xfId="23407"/>
    <cellStyle name="Note 2 3 5 51 4" xfId="31594"/>
    <cellStyle name="Note 2 3 5 51 5" xfId="34864"/>
    <cellStyle name="Note 2 3 5 51 6" xfId="45259"/>
    <cellStyle name="Note 2 3 5 51 7" xfId="50863"/>
    <cellStyle name="Note 2 3 5 52" xfId="6812"/>
    <cellStyle name="Note 2 3 5 52 2" xfId="14529"/>
    <cellStyle name="Note 2 3 5 52 3" xfId="23522"/>
    <cellStyle name="Note 2 3 5 52 4" xfId="31709"/>
    <cellStyle name="Note 2 3 5 52 5" xfId="34803"/>
    <cellStyle name="Note 2 3 5 52 6" xfId="45374"/>
    <cellStyle name="Note 2 3 5 52 7" xfId="49672"/>
    <cellStyle name="Note 2 3 5 53" xfId="6925"/>
    <cellStyle name="Note 2 3 5 53 2" xfId="14642"/>
    <cellStyle name="Note 2 3 5 53 3" xfId="23635"/>
    <cellStyle name="Note 2 3 5 53 4" xfId="31822"/>
    <cellStyle name="Note 2 3 5 53 5" xfId="34646"/>
    <cellStyle name="Note 2 3 5 53 6" xfId="45487"/>
    <cellStyle name="Note 2 3 5 53 7" xfId="54520"/>
    <cellStyle name="Note 2 3 5 54" xfId="7037"/>
    <cellStyle name="Note 2 3 5 54 2" xfId="14754"/>
    <cellStyle name="Note 2 3 5 54 3" xfId="23747"/>
    <cellStyle name="Note 2 3 5 54 4" xfId="31934"/>
    <cellStyle name="Note 2 3 5 54 5" xfId="36239"/>
    <cellStyle name="Note 2 3 5 54 6" xfId="45599"/>
    <cellStyle name="Note 2 3 5 54 7" xfId="47000"/>
    <cellStyle name="Note 2 3 5 55" xfId="7237"/>
    <cellStyle name="Note 2 3 5 55 2" xfId="14954"/>
    <cellStyle name="Note 2 3 5 55 3" xfId="23947"/>
    <cellStyle name="Note 2 3 5 55 4" xfId="32134"/>
    <cellStyle name="Note 2 3 5 55 5" xfId="35664"/>
    <cellStyle name="Note 2 3 5 55 6" xfId="45799"/>
    <cellStyle name="Note 2 3 5 55 7" xfId="50747"/>
    <cellStyle name="Note 2 3 5 56" xfId="7397"/>
    <cellStyle name="Note 2 3 5 56 2" xfId="15114"/>
    <cellStyle name="Note 2 3 5 56 3" xfId="24107"/>
    <cellStyle name="Note 2 3 5 56 4" xfId="32294"/>
    <cellStyle name="Note 2 3 5 56 5" xfId="36192"/>
    <cellStyle name="Note 2 3 5 56 6" xfId="45959"/>
    <cellStyle name="Note 2 3 5 56 7" xfId="53605"/>
    <cellStyle name="Note 2 3 5 57" xfId="7434"/>
    <cellStyle name="Note 2 3 5 57 2" xfId="15151"/>
    <cellStyle name="Note 2 3 5 57 3" xfId="24144"/>
    <cellStyle name="Note 2 3 5 57 4" xfId="32331"/>
    <cellStyle name="Note 2 3 5 57 5" xfId="34073"/>
    <cellStyle name="Note 2 3 5 57 6" xfId="45996"/>
    <cellStyle name="Note 2 3 5 57 7" xfId="49543"/>
    <cellStyle name="Note 2 3 5 58" xfId="7555"/>
    <cellStyle name="Note 2 3 5 58 2" xfId="15272"/>
    <cellStyle name="Note 2 3 5 58 3" xfId="24265"/>
    <cellStyle name="Note 2 3 5 58 4" xfId="32452"/>
    <cellStyle name="Note 2 3 5 58 5" xfId="35796"/>
    <cellStyle name="Note 2 3 5 58 6" xfId="46117"/>
    <cellStyle name="Note 2 3 5 58 7" xfId="51980"/>
    <cellStyle name="Note 2 3 5 59" xfId="7831"/>
    <cellStyle name="Note 2 3 5 59 2" xfId="15548"/>
    <cellStyle name="Note 2 3 5 59 3" xfId="24535"/>
    <cellStyle name="Note 2 3 5 59 4" xfId="32728"/>
    <cellStyle name="Note 2 3 5 59 5" xfId="36016"/>
    <cellStyle name="Note 2 3 5 59 6" xfId="46393"/>
    <cellStyle name="Note 2 3 5 59 7" xfId="53080"/>
    <cellStyle name="Note 2 3 5 6" xfId="1451"/>
    <cellStyle name="Note 2 3 5 6 2" xfId="9274"/>
    <cellStyle name="Note 2 3 5 6 3" xfId="16702"/>
    <cellStyle name="Note 2 3 5 6 4" xfId="19689"/>
    <cellStyle name="Note 2 3 5 6 5" xfId="28110"/>
    <cellStyle name="Note 2 3 5 6 6" xfId="38686"/>
    <cellStyle name="Note 2 3 5 6 7" xfId="47551"/>
    <cellStyle name="Note 2 3 5 60" xfId="7677"/>
    <cellStyle name="Note 2 3 5 60 2" xfId="15394"/>
    <cellStyle name="Note 2 3 5 60 3" xfId="24385"/>
    <cellStyle name="Note 2 3 5 60 4" xfId="32574"/>
    <cellStyle name="Note 2 3 5 60 5" xfId="34218"/>
    <cellStyle name="Note 2 3 5 60 6" xfId="46239"/>
    <cellStyle name="Note 2 3 5 60 7" xfId="48215"/>
    <cellStyle name="Note 2 3 5 61" xfId="7657"/>
    <cellStyle name="Note 2 3 5 61 2" xfId="15374"/>
    <cellStyle name="Note 2 3 5 61 3" xfId="24366"/>
    <cellStyle name="Note 2 3 5 61 4" xfId="32554"/>
    <cellStyle name="Note 2 3 5 61 5" xfId="34088"/>
    <cellStyle name="Note 2 3 5 61 6" xfId="46219"/>
    <cellStyle name="Note 2 3 5 61 7" xfId="49635"/>
    <cellStyle name="Note 2 3 5 62" xfId="8060"/>
    <cellStyle name="Note 2 3 5 62 2" xfId="15777"/>
    <cellStyle name="Note 2 3 5 62 3" xfId="24762"/>
    <cellStyle name="Note 2 3 5 62 4" xfId="32957"/>
    <cellStyle name="Note 2 3 5 62 5" xfId="28446"/>
    <cellStyle name="Note 2 3 5 62 6" xfId="46622"/>
    <cellStyle name="Note 2 3 5 62 7" xfId="50826"/>
    <cellStyle name="Note 2 3 5 63" xfId="8107"/>
    <cellStyle name="Note 2 3 5 63 2" xfId="15824"/>
    <cellStyle name="Note 2 3 5 63 3" xfId="33004"/>
    <cellStyle name="Note 2 3 5 63 4" xfId="36108"/>
    <cellStyle name="Note 2 3 5 63 5" xfId="46669"/>
    <cellStyle name="Note 2 3 5 63 6" xfId="53348"/>
    <cellStyle name="Note 2 3 5 64" xfId="25369"/>
    <cellStyle name="Note 2 3 5 65" xfId="33813"/>
    <cellStyle name="Note 2 3 5 66" xfId="36635"/>
    <cellStyle name="Note 2 3 5 67" xfId="51585"/>
    <cellStyle name="Note 2 3 5 7" xfId="1167"/>
    <cellStyle name="Note 2 3 5 7 2" xfId="8990"/>
    <cellStyle name="Note 2 3 5 7 3" xfId="16418"/>
    <cellStyle name="Note 2 3 5 7 4" xfId="20684"/>
    <cellStyle name="Note 2 3 5 7 5" xfId="26956"/>
    <cellStyle name="Note 2 3 5 7 6" xfId="38255"/>
    <cellStyle name="Note 2 3 5 7 7" xfId="49067"/>
    <cellStyle name="Note 2 3 5 8" xfId="1688"/>
    <cellStyle name="Note 2 3 5 8 2" xfId="9511"/>
    <cellStyle name="Note 2 3 5 8 3" xfId="16939"/>
    <cellStyle name="Note 2 3 5 8 4" xfId="25379"/>
    <cellStyle name="Note 2 3 5 8 5" xfId="33827"/>
    <cellStyle name="Note 2 3 5 8 6" xfId="37452"/>
    <cellStyle name="Note 2 3 5 8 7" xfId="51605"/>
    <cellStyle name="Note 2 3 5 9" xfId="1822"/>
    <cellStyle name="Note 2 3 5 9 2" xfId="9645"/>
    <cellStyle name="Note 2 3 5 9 3" xfId="17073"/>
    <cellStyle name="Note 2 3 5 9 4" xfId="19688"/>
    <cellStyle name="Note 2 3 5 9 5" xfId="27898"/>
    <cellStyle name="Note 2 3 5 9 6" xfId="38632"/>
    <cellStyle name="Note 2 3 5 9 7" xfId="48832"/>
    <cellStyle name="Note 2 3 50" xfId="5273"/>
    <cellStyle name="Note 2 3 50 2" xfId="12990"/>
    <cellStyle name="Note 2 3 50 3" xfId="21983"/>
    <cellStyle name="Note 2 3 50 4" xfId="30170"/>
    <cellStyle name="Note 2 3 50 5" xfId="35373"/>
    <cellStyle name="Note 2 3 50 6" xfId="43835"/>
    <cellStyle name="Note 2 3 50 7" xfId="48273"/>
    <cellStyle name="Note 2 3 51" xfId="5340"/>
    <cellStyle name="Note 2 3 51 2" xfId="13057"/>
    <cellStyle name="Note 2 3 51 3" xfId="22050"/>
    <cellStyle name="Note 2 3 51 4" xfId="30237"/>
    <cellStyle name="Note 2 3 51 5" xfId="33587"/>
    <cellStyle name="Note 2 3 51 6" xfId="43902"/>
    <cellStyle name="Note 2 3 51 7" xfId="50100"/>
    <cellStyle name="Note 2 3 52" xfId="5453"/>
    <cellStyle name="Note 2 3 52 2" xfId="13170"/>
    <cellStyle name="Note 2 3 52 3" xfId="22163"/>
    <cellStyle name="Note 2 3 52 4" xfId="30350"/>
    <cellStyle name="Note 2 3 52 5" xfId="35986"/>
    <cellStyle name="Note 2 3 52 6" xfId="44015"/>
    <cellStyle name="Note 2 3 52 7" xfId="53357"/>
    <cellStyle name="Note 2 3 53" xfId="5675"/>
    <cellStyle name="Note 2 3 53 2" xfId="13392"/>
    <cellStyle name="Note 2 3 53 3" xfId="22385"/>
    <cellStyle name="Note 2 3 53 4" xfId="30572"/>
    <cellStyle name="Note 2 3 53 5" xfId="34523"/>
    <cellStyle name="Note 2 3 53 6" xfId="44237"/>
    <cellStyle name="Note 2 3 53 7" xfId="47098"/>
    <cellStyle name="Note 2 3 54" xfId="5336"/>
    <cellStyle name="Note 2 3 54 2" xfId="13053"/>
    <cellStyle name="Note 2 3 54 3" xfId="22046"/>
    <cellStyle name="Note 2 3 54 4" xfId="30233"/>
    <cellStyle name="Note 2 3 54 5" xfId="33945"/>
    <cellStyle name="Note 2 3 54 6" xfId="43898"/>
    <cellStyle name="Note 2 3 54 7" xfId="50460"/>
    <cellStyle name="Note 2 3 55" xfId="6124"/>
    <cellStyle name="Note 2 3 55 2" xfId="13841"/>
    <cellStyle name="Note 2 3 55 3" xfId="22834"/>
    <cellStyle name="Note 2 3 55 4" xfId="31021"/>
    <cellStyle name="Note 2 3 55 5" xfId="33816"/>
    <cellStyle name="Note 2 3 55 6" xfId="44686"/>
    <cellStyle name="Note 2 3 55 7" xfId="48762"/>
    <cellStyle name="Note 2 3 56" xfId="5931"/>
    <cellStyle name="Note 2 3 56 2" xfId="13648"/>
    <cellStyle name="Note 2 3 56 3" xfId="22641"/>
    <cellStyle name="Note 2 3 56 4" xfId="30828"/>
    <cellStyle name="Note 2 3 56 5" xfId="33653"/>
    <cellStyle name="Note 2 3 56 6" xfId="44493"/>
    <cellStyle name="Note 2 3 56 7" xfId="48221"/>
    <cellStyle name="Note 2 3 57" xfId="6063"/>
    <cellStyle name="Note 2 3 57 2" xfId="13780"/>
    <cellStyle name="Note 2 3 57 3" xfId="22773"/>
    <cellStyle name="Note 2 3 57 4" xfId="30960"/>
    <cellStyle name="Note 2 3 57 5" xfId="35662"/>
    <cellStyle name="Note 2 3 57 6" xfId="44625"/>
    <cellStyle name="Note 2 3 57 7" xfId="51660"/>
    <cellStyle name="Note 2 3 58" xfId="6684"/>
    <cellStyle name="Note 2 3 58 2" xfId="14401"/>
    <cellStyle name="Note 2 3 58 3" xfId="23394"/>
    <cellStyle name="Note 2 3 58 4" xfId="31581"/>
    <cellStyle name="Note 2 3 58 5" xfId="34681"/>
    <cellStyle name="Note 2 3 58 6" xfId="45246"/>
    <cellStyle name="Note 2 3 58 7" xfId="48964"/>
    <cellStyle name="Note 2 3 59" xfId="6799"/>
    <cellStyle name="Note 2 3 59 2" xfId="14516"/>
    <cellStyle name="Note 2 3 59 3" xfId="23509"/>
    <cellStyle name="Note 2 3 59 4" xfId="31696"/>
    <cellStyle name="Note 2 3 59 5" xfId="35717"/>
    <cellStyle name="Note 2 3 59 6" xfId="45361"/>
    <cellStyle name="Note 2 3 59 7" xfId="52209"/>
    <cellStyle name="Note 2 3 6" xfId="496"/>
    <cellStyle name="Note 2 3 6 10" xfId="1943"/>
    <cellStyle name="Note 2 3 6 10 2" xfId="9766"/>
    <cellStyle name="Note 2 3 6 10 3" xfId="17194"/>
    <cellStyle name="Note 2 3 6 10 4" xfId="25407"/>
    <cellStyle name="Note 2 3 6 10 5" xfId="33862"/>
    <cellStyle name="Note 2 3 6 10 6" xfId="41096"/>
    <cellStyle name="Note 2 3 6 10 7" xfId="51664"/>
    <cellStyle name="Note 2 3 6 11" xfId="2061"/>
    <cellStyle name="Note 2 3 6 11 2" xfId="9884"/>
    <cellStyle name="Note 2 3 6 11 3" xfId="17312"/>
    <cellStyle name="Note 2 3 6 11 4" xfId="25920"/>
    <cellStyle name="Note 2 3 6 11 5" xfId="34521"/>
    <cellStyle name="Note 2 3 6 11 6" xfId="37245"/>
    <cellStyle name="Note 2 3 6 11 7" xfId="52821"/>
    <cellStyle name="Note 2 3 6 12" xfId="2174"/>
    <cellStyle name="Note 2 3 6 12 2" xfId="9997"/>
    <cellStyle name="Note 2 3 6 12 3" xfId="17425"/>
    <cellStyle name="Note 2 3 6 12 4" xfId="20439"/>
    <cellStyle name="Note 2 3 6 12 5" xfId="27305"/>
    <cellStyle name="Note 2 3 6 12 6" xfId="40054"/>
    <cellStyle name="Note 2 3 6 12 7" xfId="47567"/>
    <cellStyle name="Note 2 3 6 13" xfId="1431"/>
    <cellStyle name="Note 2 3 6 13 2" xfId="9254"/>
    <cellStyle name="Note 2 3 6 13 3" xfId="16682"/>
    <cellStyle name="Note 2 3 6 13 4" xfId="26037"/>
    <cellStyle name="Note 2 3 6 13 5" xfId="34669"/>
    <cellStyle name="Note 2 3 6 13 6" xfId="40778"/>
    <cellStyle name="Note 2 3 6 13 7" xfId="53067"/>
    <cellStyle name="Note 2 3 6 14" xfId="2360"/>
    <cellStyle name="Note 2 3 6 14 2" xfId="10183"/>
    <cellStyle name="Note 2 3 6 14 3" xfId="17611"/>
    <cellStyle name="Note 2 3 6 14 4" xfId="19982"/>
    <cellStyle name="Note 2 3 6 14 5" xfId="27705"/>
    <cellStyle name="Note 2 3 6 14 6" xfId="36398"/>
    <cellStyle name="Note 2 3 6 14 7" xfId="46963"/>
    <cellStyle name="Note 2 3 6 15" xfId="2472"/>
    <cellStyle name="Note 2 3 6 15 2" xfId="10295"/>
    <cellStyle name="Note 2 3 6 15 3" xfId="17723"/>
    <cellStyle name="Note 2 3 6 15 4" xfId="26390"/>
    <cellStyle name="Note 2 3 6 15 5" xfId="35138"/>
    <cellStyle name="Note 2 3 6 15 6" xfId="39612"/>
    <cellStyle name="Note 2 3 6 15 7" xfId="53828"/>
    <cellStyle name="Note 2 3 6 16" xfId="2585"/>
    <cellStyle name="Note 2 3 6 16 2" xfId="10408"/>
    <cellStyle name="Note 2 3 6 16 3" xfId="17836"/>
    <cellStyle name="Note 2 3 6 16 4" xfId="25150"/>
    <cellStyle name="Note 2 3 6 16 5" xfId="33527"/>
    <cellStyle name="Note 2 3 6 16 6" xfId="37238"/>
    <cellStyle name="Note 2 3 6 16 7" xfId="51112"/>
    <cellStyle name="Note 2 3 6 17" xfId="1911"/>
    <cellStyle name="Note 2 3 6 17 2" xfId="9734"/>
    <cellStyle name="Note 2 3 6 17 3" xfId="17162"/>
    <cellStyle name="Note 2 3 6 17 4" xfId="19073"/>
    <cellStyle name="Note 2 3 6 17 5" xfId="33110"/>
    <cellStyle name="Note 2 3 6 17 6" xfId="42118"/>
    <cellStyle name="Note 2 3 6 17 7" xfId="49830"/>
    <cellStyle name="Note 2 3 6 18" xfId="2705"/>
    <cellStyle name="Note 2 3 6 18 2" xfId="10528"/>
    <cellStyle name="Note 2 3 6 18 3" xfId="17956"/>
    <cellStyle name="Note 2 3 6 18 4" xfId="25787"/>
    <cellStyle name="Note 2 3 6 18 5" xfId="34355"/>
    <cellStyle name="Note 2 3 6 18 6" xfId="39099"/>
    <cellStyle name="Note 2 3 6 18 7" xfId="52527"/>
    <cellStyle name="Note 2 3 6 19" xfId="2779"/>
    <cellStyle name="Note 2 3 6 19 2" xfId="10602"/>
    <cellStyle name="Note 2 3 6 19 3" xfId="18030"/>
    <cellStyle name="Note 2 3 6 19 4" xfId="26195"/>
    <cellStyle name="Note 2 3 6 19 5" xfId="34876"/>
    <cellStyle name="Note 2 3 6 19 6" xfId="39064"/>
    <cellStyle name="Note 2 3 6 19 7" xfId="53417"/>
    <cellStyle name="Note 2 3 6 2" xfId="647"/>
    <cellStyle name="Note 2 3 6 2 2" xfId="8471"/>
    <cellStyle name="Note 2 3 6 2 3" xfId="8287"/>
    <cellStyle name="Note 2 3 6 2 4" xfId="26009"/>
    <cellStyle name="Note 2 3 6 2 5" xfId="34635"/>
    <cellStyle name="Note 2 3 6 2 6" xfId="36441"/>
    <cellStyle name="Note 2 3 6 2 7" xfId="53015"/>
    <cellStyle name="Note 2 3 6 20" xfId="2886"/>
    <cellStyle name="Note 2 3 6 20 2" xfId="10709"/>
    <cellStyle name="Note 2 3 6 20 3" xfId="18137"/>
    <cellStyle name="Note 2 3 6 20 4" xfId="20038"/>
    <cellStyle name="Note 2 3 6 20 5" xfId="28791"/>
    <cellStyle name="Note 2 3 6 20 6" xfId="36714"/>
    <cellStyle name="Note 2 3 6 20 7" xfId="50110"/>
    <cellStyle name="Note 2 3 6 21" xfId="3262"/>
    <cellStyle name="Note 2 3 6 21 2" xfId="11055"/>
    <cellStyle name="Note 2 3 6 21 3" xfId="18384"/>
    <cellStyle name="Note 2 3 6 21 4" xfId="20163"/>
    <cellStyle name="Note 2 3 6 21 5" xfId="27358"/>
    <cellStyle name="Note 2 3 6 21 6" xfId="39452"/>
    <cellStyle name="Note 2 3 6 21 7" xfId="47744"/>
    <cellStyle name="Note 2 3 6 22" xfId="3382"/>
    <cellStyle name="Note 2 3 6 22 2" xfId="11173"/>
    <cellStyle name="Note 2 3 6 22 3" xfId="18495"/>
    <cellStyle name="Note 2 3 6 22 4" xfId="25586"/>
    <cellStyle name="Note 2 3 6 22 5" xfId="34093"/>
    <cellStyle name="Note 2 3 6 22 6" xfId="38624"/>
    <cellStyle name="Note 2 3 6 22 7" xfId="52066"/>
    <cellStyle name="Note 2 3 6 23" xfId="3516"/>
    <cellStyle name="Note 2 3 6 23 2" xfId="11307"/>
    <cellStyle name="Note 2 3 6 23 3" xfId="18604"/>
    <cellStyle name="Note 2 3 6 23 4" xfId="26088"/>
    <cellStyle name="Note 2 3 6 23 5" xfId="34738"/>
    <cellStyle name="Note 2 3 6 23 6" xfId="41294"/>
    <cellStyle name="Note 2 3 6 23 7" xfId="53183"/>
    <cellStyle name="Note 2 3 6 24" xfId="3504"/>
    <cellStyle name="Note 2 3 6 24 2" xfId="11295"/>
    <cellStyle name="Note 2 3 6 24 3" xfId="18594"/>
    <cellStyle name="Note 2 3 6 24 4" xfId="26491"/>
    <cellStyle name="Note 2 3 6 24 5" xfId="35281"/>
    <cellStyle name="Note 2 3 6 24 6" xfId="36388"/>
    <cellStyle name="Note 2 3 6 24 7" xfId="54056"/>
    <cellStyle name="Note 2 3 6 25" xfId="3652"/>
    <cellStyle name="Note 2 3 6 25 2" xfId="11437"/>
    <cellStyle name="Note 2 3 6 25 3" xfId="18710"/>
    <cellStyle name="Note 2 3 6 25 4" xfId="26604"/>
    <cellStyle name="Note 2 3 6 25 5" xfId="35431"/>
    <cellStyle name="Note 2 3 6 25 6" xfId="41010"/>
    <cellStyle name="Note 2 3 6 25 7" xfId="54295"/>
    <cellStyle name="Note 2 3 6 26" xfId="3783"/>
    <cellStyle name="Note 2 3 6 26 2" xfId="11565"/>
    <cellStyle name="Note 2 3 6 26 3" xfId="18822"/>
    <cellStyle name="Note 2 3 6 26 4" xfId="19091"/>
    <cellStyle name="Note 2 3 6 26 5" xfId="33113"/>
    <cellStyle name="Note 2 3 6 26 6" xfId="37078"/>
    <cellStyle name="Note 2 3 6 26 7" xfId="49856"/>
    <cellStyle name="Note 2 3 6 27" xfId="3900"/>
    <cellStyle name="Note 2 3 6 27 2" xfId="11680"/>
    <cellStyle name="Note 2 3 6 27 3" xfId="18931"/>
    <cellStyle name="Note 2 3 6 27 4" xfId="25243"/>
    <cellStyle name="Note 2 3 6 27 5" xfId="33647"/>
    <cellStyle name="Note 2 3 6 27 6" xfId="39215"/>
    <cellStyle name="Note 2 3 6 27 7" xfId="51303"/>
    <cellStyle name="Note 2 3 6 28" xfId="3533"/>
    <cellStyle name="Note 2 3 6 28 2" xfId="11323"/>
    <cellStyle name="Note 2 3 6 28 3" xfId="20504"/>
    <cellStyle name="Note 2 3 6 28 4" xfId="28629"/>
    <cellStyle name="Note 2 3 6 28 5" xfId="35590"/>
    <cellStyle name="Note 2 3 6 28 6" xfId="42501"/>
    <cellStyle name="Note 2 3 6 28 7" xfId="51457"/>
    <cellStyle name="Note 2 3 6 29" xfId="4097"/>
    <cellStyle name="Note 2 3 6 29 2" xfId="11857"/>
    <cellStyle name="Note 2 3 6 29 3" xfId="20807"/>
    <cellStyle name="Note 2 3 6 29 4" xfId="28994"/>
    <cellStyle name="Note 2 3 6 29 5" xfId="33220"/>
    <cellStyle name="Note 2 3 6 29 6" xfId="42659"/>
    <cellStyle name="Note 2 3 6 29 7" xfId="48485"/>
    <cellStyle name="Note 2 3 6 3" xfId="754"/>
    <cellStyle name="Note 2 3 6 3 2" xfId="8578"/>
    <cellStyle name="Note 2 3 6 3 3" xfId="16006"/>
    <cellStyle name="Note 2 3 6 3 4" xfId="20493"/>
    <cellStyle name="Note 2 3 6 3 5" xfId="27501"/>
    <cellStyle name="Note 2 3 6 3 6" xfId="36434"/>
    <cellStyle name="Note 2 3 6 3 7" xfId="48208"/>
    <cellStyle name="Note 2 3 6 30" xfId="3010"/>
    <cellStyle name="Note 2 3 6 30 2" xfId="20184"/>
    <cellStyle name="Note 2 3 6 30 3" xfId="28274"/>
    <cellStyle name="Note 2 3 6 30 4" xfId="35790"/>
    <cellStyle name="Note 2 3 6 30 5" xfId="42349"/>
    <cellStyle name="Note 2 3 6 30 6" xfId="52411"/>
    <cellStyle name="Note 2 3 6 31" xfId="4294"/>
    <cellStyle name="Note 2 3 6 31 2" xfId="12011"/>
    <cellStyle name="Note 2 3 6 31 3" xfId="21004"/>
    <cellStyle name="Note 2 3 6 31 4" xfId="29191"/>
    <cellStyle name="Note 2 3 6 31 5" xfId="34431"/>
    <cellStyle name="Note 2 3 6 31 6" xfId="42856"/>
    <cellStyle name="Note 2 3 6 31 7" xfId="47428"/>
    <cellStyle name="Note 2 3 6 32" xfId="4417"/>
    <cellStyle name="Note 2 3 6 32 2" xfId="12134"/>
    <cellStyle name="Note 2 3 6 32 3" xfId="21127"/>
    <cellStyle name="Note 2 3 6 32 4" xfId="29314"/>
    <cellStyle name="Note 2 3 6 32 5" xfId="36026"/>
    <cellStyle name="Note 2 3 6 32 6" xfId="42979"/>
    <cellStyle name="Note 2 3 6 32 7" xfId="53543"/>
    <cellStyle name="Note 2 3 6 33" xfId="4531"/>
    <cellStyle name="Note 2 3 6 33 2" xfId="12248"/>
    <cellStyle name="Note 2 3 6 33 3" xfId="21241"/>
    <cellStyle name="Note 2 3 6 33 4" xfId="29428"/>
    <cellStyle name="Note 2 3 6 33 5" xfId="36150"/>
    <cellStyle name="Note 2 3 6 33 6" xfId="43093"/>
    <cellStyle name="Note 2 3 6 33 7" xfId="54148"/>
    <cellStyle name="Note 2 3 6 34" xfId="4644"/>
    <cellStyle name="Note 2 3 6 34 2" xfId="12361"/>
    <cellStyle name="Note 2 3 6 34 3" xfId="21354"/>
    <cellStyle name="Note 2 3 6 34 4" xfId="29541"/>
    <cellStyle name="Note 2 3 6 34 5" xfId="35870"/>
    <cellStyle name="Note 2 3 6 34 6" xfId="43206"/>
    <cellStyle name="Note 2 3 6 34 7" xfId="52754"/>
    <cellStyle name="Note 2 3 6 35" xfId="4756"/>
    <cellStyle name="Note 2 3 6 35 2" xfId="12473"/>
    <cellStyle name="Note 2 3 6 35 3" xfId="21466"/>
    <cellStyle name="Note 2 3 6 35 4" xfId="29653"/>
    <cellStyle name="Note 2 3 6 35 5" xfId="33812"/>
    <cellStyle name="Note 2 3 6 35 6" xfId="43318"/>
    <cellStyle name="Note 2 3 6 35 7" xfId="48773"/>
    <cellStyle name="Note 2 3 6 36" xfId="4864"/>
    <cellStyle name="Note 2 3 6 36 2" xfId="12581"/>
    <cellStyle name="Note 2 3 6 36 3" xfId="21574"/>
    <cellStyle name="Note 2 3 6 36 4" xfId="29761"/>
    <cellStyle name="Note 2 3 6 36 5" xfId="35853"/>
    <cellStyle name="Note 2 3 6 36 6" xfId="43426"/>
    <cellStyle name="Note 2 3 6 36 7" xfId="52685"/>
    <cellStyle name="Note 2 3 6 37" xfId="4976"/>
    <cellStyle name="Note 2 3 6 37 2" xfId="12693"/>
    <cellStyle name="Note 2 3 6 37 3" xfId="21686"/>
    <cellStyle name="Note 2 3 6 37 4" xfId="29873"/>
    <cellStyle name="Note 2 3 6 37 5" xfId="27633"/>
    <cellStyle name="Note 2 3 6 37 6" xfId="43538"/>
    <cellStyle name="Note 2 3 6 37 7" xfId="50202"/>
    <cellStyle name="Note 2 3 6 38" xfId="5137"/>
    <cellStyle name="Note 2 3 6 38 2" xfId="12854"/>
    <cellStyle name="Note 2 3 6 38 3" xfId="21847"/>
    <cellStyle name="Note 2 3 6 38 4" xfId="30034"/>
    <cellStyle name="Note 2 3 6 38 5" xfId="27724"/>
    <cellStyle name="Note 2 3 6 38 6" xfId="43699"/>
    <cellStyle name="Note 2 3 6 38 7" xfId="47345"/>
    <cellStyle name="Note 2 3 6 39" xfId="5474"/>
    <cellStyle name="Note 2 3 6 39 2" xfId="13191"/>
    <cellStyle name="Note 2 3 6 39 3" xfId="22184"/>
    <cellStyle name="Note 2 3 6 39 4" xfId="30371"/>
    <cellStyle name="Note 2 3 6 39 5" xfId="34990"/>
    <cellStyle name="Note 2 3 6 39 6" xfId="44036"/>
    <cellStyle name="Note 2 3 6 39 7" xfId="51210"/>
    <cellStyle name="Note 2 3 6 4" xfId="866"/>
    <cellStyle name="Note 2 3 6 4 2" xfId="8690"/>
    <cellStyle name="Note 2 3 6 4 3" xfId="16118"/>
    <cellStyle name="Note 2 3 6 4 4" xfId="19196"/>
    <cellStyle name="Note 2 3 6 4 5" xfId="26926"/>
    <cellStyle name="Note 2 3 6 4 6" xfId="36419"/>
    <cellStyle name="Note 2 3 6 4 7" xfId="49129"/>
    <cellStyle name="Note 2 3 6 40" xfId="5599"/>
    <cellStyle name="Note 2 3 6 40 2" xfId="13316"/>
    <cellStyle name="Note 2 3 6 40 3" xfId="22309"/>
    <cellStyle name="Note 2 3 6 40 4" xfId="30496"/>
    <cellStyle name="Note 2 3 6 40 5" xfId="33999"/>
    <cellStyle name="Note 2 3 6 40 6" xfId="44161"/>
    <cellStyle name="Note 2 3 6 40 7" xfId="47142"/>
    <cellStyle name="Note 2 3 6 41" xfId="5714"/>
    <cellStyle name="Note 2 3 6 41 2" xfId="13431"/>
    <cellStyle name="Note 2 3 6 41 3" xfId="22424"/>
    <cellStyle name="Note 2 3 6 41 4" xfId="30611"/>
    <cellStyle name="Note 2 3 6 41 5" xfId="34339"/>
    <cellStyle name="Note 2 3 6 41 6" xfId="44276"/>
    <cellStyle name="Note 2 3 6 41 7" xfId="47073"/>
    <cellStyle name="Note 2 3 6 42" xfId="5831"/>
    <cellStyle name="Note 2 3 6 42 2" xfId="13548"/>
    <cellStyle name="Note 2 3 6 42 3" xfId="22541"/>
    <cellStyle name="Note 2 3 6 42 4" xfId="30728"/>
    <cellStyle name="Note 2 3 6 42 5" xfId="34817"/>
    <cellStyle name="Note 2 3 6 42 6" xfId="44393"/>
    <cellStyle name="Note 2 3 6 42 7" xfId="50046"/>
    <cellStyle name="Note 2 3 6 43" xfId="5959"/>
    <cellStyle name="Note 2 3 6 43 2" xfId="13676"/>
    <cellStyle name="Note 2 3 6 43 3" xfId="22669"/>
    <cellStyle name="Note 2 3 6 43 4" xfId="30856"/>
    <cellStyle name="Note 2 3 6 43 5" xfId="35690"/>
    <cellStyle name="Note 2 3 6 43 6" xfId="44521"/>
    <cellStyle name="Note 2 3 6 43 7" xfId="51351"/>
    <cellStyle name="Note 2 3 6 44" xfId="6072"/>
    <cellStyle name="Note 2 3 6 44 2" xfId="13789"/>
    <cellStyle name="Note 2 3 6 44 3" xfId="22782"/>
    <cellStyle name="Note 2 3 6 44 4" xfId="30969"/>
    <cellStyle name="Note 2 3 6 44 5" xfId="34147"/>
    <cellStyle name="Note 2 3 6 44 6" xfId="44634"/>
    <cellStyle name="Note 2 3 6 44 7" xfId="54037"/>
    <cellStyle name="Note 2 3 6 45" xfId="5193"/>
    <cellStyle name="Note 2 3 6 45 2" xfId="12910"/>
    <cellStyle name="Note 2 3 6 45 3" xfId="21903"/>
    <cellStyle name="Note 2 3 6 45 4" xfId="30090"/>
    <cellStyle name="Note 2 3 6 45 5" xfId="28536"/>
    <cellStyle name="Note 2 3 6 45 6" xfId="43755"/>
    <cellStyle name="Note 2 3 6 45 7" xfId="49769"/>
    <cellStyle name="Note 2 3 6 46" xfId="6215"/>
    <cellStyle name="Note 2 3 6 46 2" xfId="13932"/>
    <cellStyle name="Note 2 3 6 46 3" xfId="22925"/>
    <cellStyle name="Note 2 3 6 46 4" xfId="31112"/>
    <cellStyle name="Note 2 3 6 46 5" xfId="36199"/>
    <cellStyle name="Note 2 3 6 46 6" xfId="44777"/>
    <cellStyle name="Note 2 3 6 46 7" xfId="53937"/>
    <cellStyle name="Note 2 3 6 47" xfId="6332"/>
    <cellStyle name="Note 2 3 6 47 2" xfId="14049"/>
    <cellStyle name="Note 2 3 6 47 3" xfId="23042"/>
    <cellStyle name="Note 2 3 6 47 4" xfId="31229"/>
    <cellStyle name="Note 2 3 6 47 5" xfId="27255"/>
    <cellStyle name="Note 2 3 6 47 6" xfId="44894"/>
    <cellStyle name="Note 2 3 6 47 7" xfId="50733"/>
    <cellStyle name="Note 2 3 6 48" xfId="6442"/>
    <cellStyle name="Note 2 3 6 48 2" xfId="14159"/>
    <cellStyle name="Note 2 3 6 48 3" xfId="23152"/>
    <cellStyle name="Note 2 3 6 48 4" xfId="31339"/>
    <cellStyle name="Note 2 3 6 48 5" xfId="35762"/>
    <cellStyle name="Note 2 3 6 48 6" xfId="45004"/>
    <cellStyle name="Note 2 3 6 48 7" xfId="52079"/>
    <cellStyle name="Note 2 3 6 49" xfId="6195"/>
    <cellStyle name="Note 2 3 6 49 2" xfId="13912"/>
    <cellStyle name="Note 2 3 6 49 3" xfId="22905"/>
    <cellStyle name="Note 2 3 6 49 4" xfId="31092"/>
    <cellStyle name="Note 2 3 6 49 5" xfId="34977"/>
    <cellStyle name="Note 2 3 6 49 6" xfId="44757"/>
    <cellStyle name="Note 2 3 6 49 7" xfId="48593"/>
    <cellStyle name="Note 2 3 6 5" xfId="1331"/>
    <cellStyle name="Note 2 3 6 5 2" xfId="9154"/>
    <cellStyle name="Note 2 3 6 5 3" xfId="16582"/>
    <cellStyle name="Note 2 3 6 5 4" xfId="20036"/>
    <cellStyle name="Note 2 3 6 5 5" xfId="27385"/>
    <cellStyle name="Note 2 3 6 5 6" xfId="36380"/>
    <cellStyle name="Note 2 3 6 5 7" xfId="47573"/>
    <cellStyle name="Note 2 3 6 50" xfId="6589"/>
    <cellStyle name="Note 2 3 6 50 2" xfId="14306"/>
    <cellStyle name="Note 2 3 6 50 3" xfId="23299"/>
    <cellStyle name="Note 2 3 6 50 4" xfId="31486"/>
    <cellStyle name="Note 2 3 6 50 5" xfId="35835"/>
    <cellStyle name="Note 2 3 6 50 6" xfId="45151"/>
    <cellStyle name="Note 2 3 6 50 7" xfId="52227"/>
    <cellStyle name="Note 2 3 6 51" xfId="6700"/>
    <cellStyle name="Note 2 3 6 51 2" xfId="14417"/>
    <cellStyle name="Note 2 3 6 51 3" xfId="23410"/>
    <cellStyle name="Note 2 3 6 51 4" xfId="31597"/>
    <cellStyle name="Note 2 3 6 51 5" xfId="27848"/>
    <cellStyle name="Note 2 3 6 51 6" xfId="45262"/>
    <cellStyle name="Note 2 3 6 51 7" xfId="49600"/>
    <cellStyle name="Note 2 3 6 52" xfId="6815"/>
    <cellStyle name="Note 2 3 6 52 2" xfId="14532"/>
    <cellStyle name="Note 2 3 6 52 3" xfId="23525"/>
    <cellStyle name="Note 2 3 6 52 4" xfId="31712"/>
    <cellStyle name="Note 2 3 6 52 5" xfId="27655"/>
    <cellStyle name="Note 2 3 6 52 6" xfId="45377"/>
    <cellStyle name="Note 2 3 6 52 7" xfId="50501"/>
    <cellStyle name="Note 2 3 6 53" xfId="6928"/>
    <cellStyle name="Note 2 3 6 53 2" xfId="14645"/>
    <cellStyle name="Note 2 3 6 53 3" xfId="23638"/>
    <cellStyle name="Note 2 3 6 53 4" xfId="31825"/>
    <cellStyle name="Note 2 3 6 53 5" xfId="36227"/>
    <cellStyle name="Note 2 3 6 53 6" xfId="45490"/>
    <cellStyle name="Note 2 3 6 53 7" xfId="46942"/>
    <cellStyle name="Note 2 3 6 54" xfId="7040"/>
    <cellStyle name="Note 2 3 6 54 2" xfId="14757"/>
    <cellStyle name="Note 2 3 6 54 3" xfId="23750"/>
    <cellStyle name="Note 2 3 6 54 4" xfId="31937"/>
    <cellStyle name="Note 2 3 6 54 5" xfId="33854"/>
    <cellStyle name="Note 2 3 6 54 6" xfId="45602"/>
    <cellStyle name="Note 2 3 6 54 7" xfId="46937"/>
    <cellStyle name="Note 2 3 6 55" xfId="7220"/>
    <cellStyle name="Note 2 3 6 55 2" xfId="14937"/>
    <cellStyle name="Note 2 3 6 55 3" xfId="23930"/>
    <cellStyle name="Note 2 3 6 55 4" xfId="32117"/>
    <cellStyle name="Note 2 3 6 55 5" xfId="35294"/>
    <cellStyle name="Note 2 3 6 55 6" xfId="45782"/>
    <cellStyle name="Note 2 3 6 55 7" xfId="49216"/>
    <cellStyle name="Note 2 3 6 56" xfId="7390"/>
    <cellStyle name="Note 2 3 6 56 2" xfId="15107"/>
    <cellStyle name="Note 2 3 6 56 3" xfId="24100"/>
    <cellStyle name="Note 2 3 6 56 4" xfId="32287"/>
    <cellStyle name="Note 2 3 6 56 5" xfId="35472"/>
    <cellStyle name="Note 2 3 6 56 6" xfId="45952"/>
    <cellStyle name="Note 2 3 6 56 7" xfId="54469"/>
    <cellStyle name="Note 2 3 6 57" xfId="7437"/>
    <cellStyle name="Note 2 3 6 57 2" xfId="15154"/>
    <cellStyle name="Note 2 3 6 57 3" xfId="24147"/>
    <cellStyle name="Note 2 3 6 57 4" xfId="32334"/>
    <cellStyle name="Note 2 3 6 57 5" xfId="34196"/>
    <cellStyle name="Note 2 3 6 57 6" xfId="45999"/>
    <cellStyle name="Note 2 3 6 57 7" xfId="49364"/>
    <cellStyle name="Note 2 3 6 58" xfId="7558"/>
    <cellStyle name="Note 2 3 6 58 2" xfId="15275"/>
    <cellStyle name="Note 2 3 6 58 3" xfId="24268"/>
    <cellStyle name="Note 2 3 6 58 4" xfId="32455"/>
    <cellStyle name="Note 2 3 6 58 5" xfId="34894"/>
    <cellStyle name="Note 2 3 6 58 6" xfId="46120"/>
    <cellStyle name="Note 2 3 6 58 7" xfId="51410"/>
    <cellStyle name="Note 2 3 6 59" xfId="7834"/>
    <cellStyle name="Note 2 3 6 59 2" xfId="15551"/>
    <cellStyle name="Note 2 3 6 59 3" xfId="24538"/>
    <cellStyle name="Note 2 3 6 59 4" xfId="32731"/>
    <cellStyle name="Note 2 3 6 59 5" xfId="27078"/>
    <cellStyle name="Note 2 3 6 59 6" xfId="46396"/>
    <cellStyle name="Note 2 3 6 59 7" xfId="52835"/>
    <cellStyle name="Note 2 3 6 6" xfId="1454"/>
    <cellStyle name="Note 2 3 6 6 2" xfId="9277"/>
    <cellStyle name="Note 2 3 6 6 3" xfId="16705"/>
    <cellStyle name="Note 2 3 6 6 4" xfId="19919"/>
    <cellStyle name="Note 2 3 6 6 5" xfId="26882"/>
    <cellStyle name="Note 2 3 6 6 6" xfId="36458"/>
    <cellStyle name="Note 2 3 6 6 7" xfId="49757"/>
    <cellStyle name="Note 2 3 6 60" xfId="7935"/>
    <cellStyle name="Note 2 3 6 60 2" xfId="15652"/>
    <cellStyle name="Note 2 3 6 60 3" xfId="24639"/>
    <cellStyle name="Note 2 3 6 60 4" xfId="32832"/>
    <cellStyle name="Note 2 3 6 60 5" xfId="34800"/>
    <cellStyle name="Note 2 3 6 60 6" xfId="46497"/>
    <cellStyle name="Note 2 3 6 60 7" xfId="47899"/>
    <cellStyle name="Note 2 3 6 61" xfId="7704"/>
    <cellStyle name="Note 2 3 6 61 2" xfId="15421"/>
    <cellStyle name="Note 2 3 6 61 3" xfId="24412"/>
    <cellStyle name="Note 2 3 6 61 4" xfId="32601"/>
    <cellStyle name="Note 2 3 6 61 5" xfId="33467"/>
    <cellStyle name="Note 2 3 6 61 6" xfId="46266"/>
    <cellStyle name="Note 2 3 6 61 7" xfId="51450"/>
    <cellStyle name="Note 2 3 6 62" xfId="8072"/>
    <cellStyle name="Note 2 3 6 62 2" xfId="15789"/>
    <cellStyle name="Note 2 3 6 62 3" xfId="24774"/>
    <cellStyle name="Note 2 3 6 62 4" xfId="32969"/>
    <cellStyle name="Note 2 3 6 62 5" xfId="35257"/>
    <cellStyle name="Note 2 3 6 62 6" xfId="46634"/>
    <cellStyle name="Note 2 3 6 62 7" xfId="47372"/>
    <cellStyle name="Note 2 3 6 63" xfId="8110"/>
    <cellStyle name="Note 2 3 6 63 2" xfId="15827"/>
    <cellStyle name="Note 2 3 6 63 3" xfId="33007"/>
    <cellStyle name="Note 2 3 6 63 4" xfId="36059"/>
    <cellStyle name="Note 2 3 6 63 5" xfId="46672"/>
    <cellStyle name="Note 2 3 6 63 6" xfId="53137"/>
    <cellStyle name="Note 2 3 6 64" xfId="25843"/>
    <cellStyle name="Note 2 3 6 65" xfId="34429"/>
    <cellStyle name="Note 2 3 6 66" xfId="37033"/>
    <cellStyle name="Note 2 3 6 67" xfId="52658"/>
    <cellStyle name="Note 2 3 6 7" xfId="1560"/>
    <cellStyle name="Note 2 3 6 7 2" xfId="9383"/>
    <cellStyle name="Note 2 3 6 7 3" xfId="16811"/>
    <cellStyle name="Note 2 3 6 7 4" xfId="19860"/>
    <cellStyle name="Note 2 3 6 7 5" xfId="28636"/>
    <cellStyle name="Note 2 3 6 7 6" xfId="37013"/>
    <cellStyle name="Note 2 3 6 7 7" xfId="48162"/>
    <cellStyle name="Note 2 3 6 8" xfId="1691"/>
    <cellStyle name="Note 2 3 6 8 2" xfId="9514"/>
    <cellStyle name="Note 2 3 6 8 3" xfId="16942"/>
    <cellStyle name="Note 2 3 6 8 4" xfId="25573"/>
    <cellStyle name="Note 2 3 6 8 5" xfId="34075"/>
    <cellStyle name="Note 2 3 6 8 6" xfId="37273"/>
    <cellStyle name="Note 2 3 6 8 7" xfId="52031"/>
    <cellStyle name="Note 2 3 6 9" xfId="1825"/>
    <cellStyle name="Note 2 3 6 9 2" xfId="9648"/>
    <cellStyle name="Note 2 3 6 9 3" xfId="17076"/>
    <cellStyle name="Note 2 3 6 9 4" xfId="19515"/>
    <cellStyle name="Note 2 3 6 9 5" xfId="28797"/>
    <cellStyle name="Note 2 3 6 9 6" xfId="38440"/>
    <cellStyle name="Note 2 3 6 9 7" xfId="47247"/>
    <cellStyle name="Note 2 3 60" xfId="7314"/>
    <cellStyle name="Note 2 3 60 2" xfId="15031"/>
    <cellStyle name="Note 2 3 60 3" xfId="24024"/>
    <cellStyle name="Note 2 3 60 4" xfId="32211"/>
    <cellStyle name="Note 2 3 60 5" xfId="35811"/>
    <cellStyle name="Note 2 3 60 6" xfId="45876"/>
    <cellStyle name="Note 2 3 60 7" xfId="51709"/>
    <cellStyle name="Note 2 3 61" xfId="7412"/>
    <cellStyle name="Note 2 3 61 2" xfId="15129"/>
    <cellStyle name="Note 2 3 61 3" xfId="24122"/>
    <cellStyle name="Note 2 3 61 4" xfId="32309"/>
    <cellStyle name="Note 2 3 61 5" xfId="35874"/>
    <cellStyle name="Note 2 3 61 6" xfId="45974"/>
    <cellStyle name="Note 2 3 61 7" xfId="52218"/>
    <cellStyle name="Note 2 3 62" xfId="7287"/>
    <cellStyle name="Note 2 3 62 2" xfId="15004"/>
    <cellStyle name="Note 2 3 62 3" xfId="23997"/>
    <cellStyle name="Note 2 3 62 4" xfId="32184"/>
    <cellStyle name="Note 2 3 62 5" xfId="27228"/>
    <cellStyle name="Note 2 3 62 6" xfId="45849"/>
    <cellStyle name="Note 2 3 62 7" xfId="50336"/>
    <cellStyle name="Note 2 3 63" xfId="7533"/>
    <cellStyle name="Note 2 3 63 2" xfId="15250"/>
    <cellStyle name="Note 2 3 63 3" xfId="24243"/>
    <cellStyle name="Note 2 3 63 4" xfId="32430"/>
    <cellStyle name="Note 2 3 63 5" xfId="35094"/>
    <cellStyle name="Note 2 3 63 6" xfId="46095"/>
    <cellStyle name="Note 2 3 63 7" xfId="54322"/>
    <cellStyle name="Note 2 3 64" xfId="7734"/>
    <cellStyle name="Note 2 3 64 2" xfId="15451"/>
    <cellStyle name="Note 2 3 64 3" xfId="24442"/>
    <cellStyle name="Note 2 3 64 4" xfId="32631"/>
    <cellStyle name="Note 2 3 64 5" xfId="34994"/>
    <cellStyle name="Note 2 3 64 6" xfId="46296"/>
    <cellStyle name="Note 2 3 64 7" xfId="53749"/>
    <cellStyle name="Note 2 3 65" xfId="7671"/>
    <cellStyle name="Note 2 3 65 2" xfId="15388"/>
    <cellStyle name="Note 2 3 65 3" xfId="24380"/>
    <cellStyle name="Note 2 3 65 4" xfId="32568"/>
    <cellStyle name="Note 2 3 65 5" xfId="26959"/>
    <cellStyle name="Note 2 3 65 6" xfId="46233"/>
    <cellStyle name="Note 2 3 65 7" xfId="48637"/>
    <cellStyle name="Note 2 3 66" xfId="7965"/>
    <cellStyle name="Note 2 3 66 2" xfId="15682"/>
    <cellStyle name="Note 2 3 66 3" xfId="24668"/>
    <cellStyle name="Note 2 3 66 4" xfId="32862"/>
    <cellStyle name="Note 2 3 66 5" xfId="36182"/>
    <cellStyle name="Note 2 3 66 6" xfId="46527"/>
    <cellStyle name="Note 2 3 66 7" xfId="53572"/>
    <cellStyle name="Note 2 3 67" xfId="7663"/>
    <cellStyle name="Note 2 3 67 2" xfId="15380"/>
    <cellStyle name="Note 2 3 67 3" xfId="24372"/>
    <cellStyle name="Note 2 3 67 4" xfId="32560"/>
    <cellStyle name="Note 2 3 67 5" xfId="33739"/>
    <cellStyle name="Note 2 3 67 6" xfId="46225"/>
    <cellStyle name="Note 2 3 67 7" xfId="49383"/>
    <cellStyle name="Note 2 3 68" xfId="7675"/>
    <cellStyle name="Note 2 3 68 2" xfId="15392"/>
    <cellStyle name="Note 2 3 68 3" xfId="32572"/>
    <cellStyle name="Note 2 3 68 4" xfId="34373"/>
    <cellStyle name="Note 2 3 68 5" xfId="46237"/>
    <cellStyle name="Note 2 3 68 6" xfId="48007"/>
    <cellStyle name="Note 2 3 69" xfId="26536"/>
    <cellStyle name="Note 2 3 7" xfId="601"/>
    <cellStyle name="Note 2 3 7 2" xfId="8425"/>
    <cellStyle name="Note 2 3 7 3" xfId="11334"/>
    <cellStyle name="Note 2 3 7 4" xfId="20696"/>
    <cellStyle name="Note 2 3 7 5" xfId="27330"/>
    <cellStyle name="Note 2 3 7 6" xfId="36578"/>
    <cellStyle name="Note 2 3 7 7" xfId="48863"/>
    <cellStyle name="Note 2 3 70" xfId="35336"/>
    <cellStyle name="Note 2 3 71" xfId="36656"/>
    <cellStyle name="Note 2 3 72" xfId="54143"/>
    <cellStyle name="Note 2 3 8" xfId="212"/>
    <cellStyle name="Note 2 3 8 2" xfId="8317"/>
    <cellStyle name="Note 2 3 8 3" xfId="11962"/>
    <cellStyle name="Note 2 3 8 4" xfId="20341"/>
    <cellStyle name="Note 2 3 8 5" xfId="28803"/>
    <cellStyle name="Note 2 3 8 6" xfId="37144"/>
    <cellStyle name="Note 2 3 8 7" xfId="47610"/>
    <cellStyle name="Note 2 3 9" xfId="231"/>
    <cellStyle name="Note 2 3 9 2" xfId="8335"/>
    <cellStyle name="Note 2 3 9 3" xfId="8369"/>
    <cellStyle name="Note 2 3 9 4" xfId="20397"/>
    <cellStyle name="Note 2 3 9 5" xfId="27519"/>
    <cellStyle name="Note 2 3 9 6" xfId="36477"/>
    <cellStyle name="Note 2 3 9 7" xfId="49997"/>
    <cellStyle name="Note 2 30" xfId="6182"/>
    <cellStyle name="Note 2 30 2" xfId="13899"/>
    <cellStyle name="Note 2 30 3" xfId="22892"/>
    <cellStyle name="Note 2 30 4" xfId="31079"/>
    <cellStyle name="Note 2 30 5" xfId="28032"/>
    <cellStyle name="Note 2 30 6" xfId="44744"/>
    <cellStyle name="Note 2 30 7" xfId="49964"/>
    <cellStyle name="Note 2 31" xfId="6057"/>
    <cellStyle name="Note 2 31 2" xfId="13774"/>
    <cellStyle name="Note 2 31 3" xfId="22767"/>
    <cellStyle name="Note 2 31 4" xfId="30954"/>
    <cellStyle name="Note 2 31 5" xfId="34619"/>
    <cellStyle name="Note 2 31 6" xfId="44619"/>
    <cellStyle name="Note 2 31 7" xfId="52359"/>
    <cellStyle name="Note 2 32" xfId="7263"/>
    <cellStyle name="Note 2 32 2" xfId="14980"/>
    <cellStyle name="Note 2 32 3" xfId="23973"/>
    <cellStyle name="Note 2 32 4" xfId="32160"/>
    <cellStyle name="Note 2 32 5" xfId="36063"/>
    <cellStyle name="Note 2 32 6" xfId="45825"/>
    <cellStyle name="Note 2 32 7" xfId="53194"/>
    <cellStyle name="Note 2 33" xfId="7213"/>
    <cellStyle name="Note 2 33 2" xfId="14930"/>
    <cellStyle name="Note 2 33 3" xfId="23923"/>
    <cellStyle name="Note 2 33 4" xfId="32110"/>
    <cellStyle name="Note 2 33 5" xfId="27773"/>
    <cellStyle name="Note 2 33 6" xfId="45775"/>
    <cellStyle name="Note 2 33 7" xfId="49979"/>
    <cellStyle name="Note 2 34" xfId="7815"/>
    <cellStyle name="Note 2 34 2" xfId="15532"/>
    <cellStyle name="Note 2 34 3" xfId="24519"/>
    <cellStyle name="Note 2 34 4" xfId="32712"/>
    <cellStyle name="Note 2 34 5" xfId="36191"/>
    <cellStyle name="Note 2 34 6" xfId="46377"/>
    <cellStyle name="Note 2 34 7" xfId="48451"/>
    <cellStyle name="Note 2 35" xfId="7664"/>
    <cellStyle name="Note 2 35 2" xfId="15381"/>
    <cellStyle name="Note 2 35 3" xfId="24373"/>
    <cellStyle name="Note 2 35 4" xfId="32561"/>
    <cellStyle name="Note 2 35 5" xfId="26851"/>
    <cellStyle name="Note 2 35 6" xfId="46226"/>
    <cellStyle name="Note 2 35 7" xfId="49359"/>
    <cellStyle name="Note 2 36" xfId="7811"/>
    <cellStyle name="Note 2 36 2" xfId="15528"/>
    <cellStyle name="Note 2 36 3" xfId="24515"/>
    <cellStyle name="Note 2 36 4" xfId="32708"/>
    <cellStyle name="Note 2 36 5" xfId="27911"/>
    <cellStyle name="Note 2 36 6" xfId="46373"/>
    <cellStyle name="Note 2 36 7" xfId="54069"/>
    <cellStyle name="Note 2 37" xfId="25270"/>
    <cellStyle name="Note 2 38" xfId="33679"/>
    <cellStyle name="Note 2 39" xfId="37409"/>
    <cellStyle name="Note 2 4" xfId="513"/>
    <cellStyle name="Note 2 4 10" xfId="1960"/>
    <cellStyle name="Note 2 4 10 2" xfId="9783"/>
    <cellStyle name="Note 2 4 10 3" xfId="17211"/>
    <cellStyle name="Note 2 4 10 4" xfId="24954"/>
    <cellStyle name="Note 2 4 10 5" xfId="33290"/>
    <cellStyle name="Note 2 4 10 6" xfId="39372"/>
    <cellStyle name="Note 2 4 10 7" xfId="50678"/>
    <cellStyle name="Note 2 4 11" xfId="2078"/>
    <cellStyle name="Note 2 4 11 2" xfId="9901"/>
    <cellStyle name="Note 2 4 11 3" xfId="17329"/>
    <cellStyle name="Note 2 4 11 4" xfId="20262"/>
    <cellStyle name="Note 2 4 11 5" xfId="28126"/>
    <cellStyle name="Note 2 4 11 6" xfId="42306"/>
    <cellStyle name="Note 2 4 11 7" xfId="47550"/>
    <cellStyle name="Note 2 4 12" xfId="2191"/>
    <cellStyle name="Note 2 4 12 2" xfId="10014"/>
    <cellStyle name="Note 2 4 12 3" xfId="17442"/>
    <cellStyle name="Note 2 4 12 4" xfId="26461"/>
    <cellStyle name="Note 2 4 12 5" xfId="35239"/>
    <cellStyle name="Note 2 4 12 6" xfId="38230"/>
    <cellStyle name="Note 2 4 12 7" xfId="53986"/>
    <cellStyle name="Note 2 4 13" xfId="1074"/>
    <cellStyle name="Note 2 4 13 2" xfId="8898"/>
    <cellStyle name="Note 2 4 13 3" xfId="16326"/>
    <cellStyle name="Note 2 4 13 4" xfId="19844"/>
    <cellStyle name="Note 2 4 13 5" xfId="26786"/>
    <cellStyle name="Note 2 4 13 6" xfId="36620"/>
    <cellStyle name="Note 2 4 13 7" xfId="50350"/>
    <cellStyle name="Note 2 4 14" xfId="2361"/>
    <cellStyle name="Note 2 4 14 2" xfId="10184"/>
    <cellStyle name="Note 2 4 14 3" xfId="17612"/>
    <cellStyle name="Note 2 4 14 4" xfId="19144"/>
    <cellStyle name="Note 2 4 14 5" xfId="26872"/>
    <cellStyle name="Note 2 4 14 6" xfId="37523"/>
    <cellStyle name="Note 2 4 14 7" xfId="49798"/>
    <cellStyle name="Note 2 4 15" xfId="2489"/>
    <cellStyle name="Note 2 4 15 2" xfId="10312"/>
    <cellStyle name="Note 2 4 15 3" xfId="17740"/>
    <cellStyle name="Note 2 4 15 4" xfId="19404"/>
    <cellStyle name="Note 2 4 15 5" xfId="27685"/>
    <cellStyle name="Note 2 4 15 6" xfId="37933"/>
    <cellStyle name="Note 2 4 15 7" xfId="47628"/>
    <cellStyle name="Note 2 4 16" xfId="2602"/>
    <cellStyle name="Note 2 4 16 2" xfId="10425"/>
    <cellStyle name="Note 2 4 16 3" xfId="17853"/>
    <cellStyle name="Note 2 4 16 4" xfId="19790"/>
    <cellStyle name="Note 2 4 16 5" xfId="27200"/>
    <cellStyle name="Note 2 4 16 6" xfId="42314"/>
    <cellStyle name="Note 2 4 16 7" xfId="48992"/>
    <cellStyle name="Note 2 4 17" xfId="2682"/>
    <cellStyle name="Note 2 4 17 2" xfId="10505"/>
    <cellStyle name="Note 2 4 17 3" xfId="17933"/>
    <cellStyle name="Note 2 4 17 4" xfId="20239"/>
    <cellStyle name="Note 2 4 17 5" xfId="27210"/>
    <cellStyle name="Note 2 4 17 6" xfId="41573"/>
    <cellStyle name="Note 2 4 17 7" xfId="48393"/>
    <cellStyle name="Note 2 4 18" xfId="2695"/>
    <cellStyle name="Note 2 4 18 2" xfId="10518"/>
    <cellStyle name="Note 2 4 18 3" xfId="17946"/>
    <cellStyle name="Note 2 4 18 4" xfId="26161"/>
    <cellStyle name="Note 2 4 18 5" xfId="34830"/>
    <cellStyle name="Note 2 4 18 6" xfId="40293"/>
    <cellStyle name="Note 2 4 18 7" xfId="53339"/>
    <cellStyle name="Note 2 4 19" xfId="2796"/>
    <cellStyle name="Note 2 4 19 2" xfId="10619"/>
    <cellStyle name="Note 2 4 19 3" xfId="18047"/>
    <cellStyle name="Note 2 4 19 4" xfId="25531"/>
    <cellStyle name="Note 2 4 19 5" xfId="34017"/>
    <cellStyle name="Note 2 4 19 6" xfId="36435"/>
    <cellStyle name="Note 2 4 19 7" xfId="51946"/>
    <cellStyle name="Note 2 4 2" xfId="664"/>
    <cellStyle name="Note 2 4 2 2" xfId="8488"/>
    <cellStyle name="Note 2 4 2 3" xfId="8272"/>
    <cellStyle name="Note 2 4 2 4" xfId="25129"/>
    <cellStyle name="Note 2 4 2 5" xfId="33502"/>
    <cellStyle name="Note 2 4 2 6" xfId="36523"/>
    <cellStyle name="Note 2 4 2 7" xfId="51074"/>
    <cellStyle name="Note 2 4 20" xfId="2903"/>
    <cellStyle name="Note 2 4 20 2" xfId="10726"/>
    <cellStyle name="Note 2 4 20 3" xfId="18154"/>
    <cellStyle name="Note 2 4 20 4" xfId="25497"/>
    <cellStyle name="Note 2 4 20 5" xfId="33973"/>
    <cellStyle name="Note 2 4 20 6" xfId="37829"/>
    <cellStyle name="Note 2 4 20 7" xfId="51862"/>
    <cellStyle name="Note 2 4 21" xfId="3279"/>
    <cellStyle name="Note 2 4 21 2" xfId="11072"/>
    <cellStyle name="Note 2 4 21 3" xfId="18401"/>
    <cellStyle name="Note 2 4 21 4" xfId="20006"/>
    <cellStyle name="Note 2 4 21 5" xfId="27122"/>
    <cellStyle name="Note 2 4 21 6" xfId="42018"/>
    <cellStyle name="Note 2 4 21 7" xfId="48158"/>
    <cellStyle name="Note 2 4 22" xfId="3399"/>
    <cellStyle name="Note 2 4 22 2" xfId="11190"/>
    <cellStyle name="Note 2 4 22 3" xfId="18512"/>
    <cellStyle name="Note 2 4 22 4" xfId="20592"/>
    <cellStyle name="Note 2 4 22 5" xfId="28853"/>
    <cellStyle name="Note 2 4 22 6" xfId="37466"/>
    <cellStyle name="Note 2 4 22 7" xfId="50230"/>
    <cellStyle name="Note 2 4 23" xfId="3528"/>
    <cellStyle name="Note 2 4 23 2" xfId="11319"/>
    <cellStyle name="Note 2 4 23 3" xfId="18614"/>
    <cellStyle name="Note 2 4 23 4" xfId="25627"/>
    <cellStyle name="Note 2 4 23 5" xfId="34141"/>
    <cellStyle name="Note 2 4 23 6" xfId="40365"/>
    <cellStyle name="Note 2 4 23 7" xfId="52145"/>
    <cellStyle name="Note 2 4 24" xfId="3018"/>
    <cellStyle name="Note 2 4 24 2" xfId="10834"/>
    <cellStyle name="Note 2 4 24 3" xfId="18251"/>
    <cellStyle name="Note 2 4 24 4" xfId="25276"/>
    <cellStyle name="Note 2 4 24 5" xfId="33688"/>
    <cellStyle name="Note 2 4 24 6" xfId="38631"/>
    <cellStyle name="Note 2 4 24 7" xfId="51383"/>
    <cellStyle name="Note 2 4 25" xfId="3669"/>
    <cellStyle name="Note 2 4 25 2" xfId="11454"/>
    <cellStyle name="Note 2 4 25 3" xfId="18727"/>
    <cellStyle name="Note 2 4 25 4" xfId="25577"/>
    <cellStyle name="Note 2 4 25 5" xfId="34080"/>
    <cellStyle name="Note 2 4 25 6" xfId="39243"/>
    <cellStyle name="Note 2 4 25 7" xfId="52040"/>
    <cellStyle name="Note 2 4 26" xfId="3800"/>
    <cellStyle name="Note 2 4 26 2" xfId="11582"/>
    <cellStyle name="Note 2 4 26 3" xfId="18839"/>
    <cellStyle name="Note 2 4 26 4" xfId="26681"/>
    <cellStyle name="Note 2 4 26 5" xfId="35528"/>
    <cellStyle name="Note 2 4 26 6" xfId="41806"/>
    <cellStyle name="Note 2 4 26 7" xfId="54451"/>
    <cellStyle name="Note 2 4 27" xfId="3917"/>
    <cellStyle name="Note 2 4 27 2" xfId="11697"/>
    <cellStyle name="Note 2 4 27 3" xfId="18948"/>
    <cellStyle name="Note 2 4 27 4" xfId="19248"/>
    <cellStyle name="Note 2 4 27 5" xfId="27946"/>
    <cellStyle name="Note 2 4 27 6" xfId="37847"/>
    <cellStyle name="Note 2 4 27 7" xfId="47410"/>
    <cellStyle name="Note 2 4 28" xfId="3164"/>
    <cellStyle name="Note 2 4 28 2" xfId="10966"/>
    <cellStyle name="Note 2 4 28 3" xfId="20298"/>
    <cellStyle name="Note 2 4 28 4" xfId="28388"/>
    <cellStyle name="Note 2 4 28 5" xfId="35434"/>
    <cellStyle name="Note 2 4 28 6" xfId="42417"/>
    <cellStyle name="Note 2 4 28 7" xfId="48076"/>
    <cellStyle name="Note 2 4 29" xfId="4114"/>
    <cellStyle name="Note 2 4 29 2" xfId="11874"/>
    <cellStyle name="Note 2 4 29 3" xfId="20824"/>
    <cellStyle name="Note 2 4 29 4" xfId="29011"/>
    <cellStyle name="Note 2 4 29 5" xfId="35907"/>
    <cellStyle name="Note 2 4 29 6" xfId="42676"/>
    <cellStyle name="Note 2 4 29 7" xfId="52990"/>
    <cellStyle name="Note 2 4 3" xfId="771"/>
    <cellStyle name="Note 2 4 3 2" xfId="8595"/>
    <cellStyle name="Note 2 4 3 3" xfId="16023"/>
    <cellStyle name="Note 2 4 3 4" xfId="25870"/>
    <cellStyle name="Note 2 4 3 5" xfId="34459"/>
    <cellStyle name="Note 2 4 3 6" xfId="36820"/>
    <cellStyle name="Note 2 4 3 7" xfId="52713"/>
    <cellStyle name="Note 2 4 30" xfId="2979"/>
    <cellStyle name="Note 2 4 30 2" xfId="20169"/>
    <cellStyle name="Note 2 4 30 3" xfId="28251"/>
    <cellStyle name="Note 2 4 30 4" xfId="33575"/>
    <cellStyle name="Note 2 4 30 5" xfId="42340"/>
    <cellStyle name="Note 2 4 30 6" xfId="50770"/>
    <cellStyle name="Note 2 4 31" xfId="4311"/>
    <cellStyle name="Note 2 4 31 2" xfId="12028"/>
    <cellStyle name="Note 2 4 31 3" xfId="21021"/>
    <cellStyle name="Note 2 4 31 4" xfId="29208"/>
    <cellStyle name="Note 2 4 31 5" xfId="34186"/>
    <cellStyle name="Note 2 4 31 6" xfId="42873"/>
    <cellStyle name="Note 2 4 31 7" xfId="47952"/>
    <cellStyle name="Note 2 4 32" xfId="4434"/>
    <cellStyle name="Note 2 4 32 2" xfId="12151"/>
    <cellStyle name="Note 2 4 32 3" xfId="21144"/>
    <cellStyle name="Note 2 4 32 4" xfId="29331"/>
    <cellStyle name="Note 2 4 32 5" xfId="33796"/>
    <cellStyle name="Note 2 4 32 6" xfId="42996"/>
    <cellStyle name="Note 2 4 32 7" xfId="47656"/>
    <cellStyle name="Note 2 4 33" xfId="4548"/>
    <cellStyle name="Note 2 4 33 2" xfId="12265"/>
    <cellStyle name="Note 2 4 33 3" xfId="21258"/>
    <cellStyle name="Note 2 4 33 4" xfId="29445"/>
    <cellStyle name="Note 2 4 33 5" xfId="36072"/>
    <cellStyle name="Note 2 4 33 6" xfId="43110"/>
    <cellStyle name="Note 2 4 33 7" xfId="53767"/>
    <cellStyle name="Note 2 4 34" xfId="4661"/>
    <cellStyle name="Note 2 4 34 2" xfId="12378"/>
    <cellStyle name="Note 2 4 34 3" xfId="21371"/>
    <cellStyle name="Note 2 4 34 4" xfId="29558"/>
    <cellStyle name="Note 2 4 34 5" xfId="35210"/>
    <cellStyle name="Note 2 4 34 6" xfId="43223"/>
    <cellStyle name="Note 2 4 34 7" xfId="50834"/>
    <cellStyle name="Note 2 4 35" xfId="4773"/>
    <cellStyle name="Note 2 4 35 2" xfId="12490"/>
    <cellStyle name="Note 2 4 35 3" xfId="21483"/>
    <cellStyle name="Note 2 4 35 4" xfId="29670"/>
    <cellStyle name="Note 2 4 35 5" xfId="36143"/>
    <cellStyle name="Note 2 4 35 6" xfId="43335"/>
    <cellStyle name="Note 2 4 35 7" xfId="54087"/>
    <cellStyle name="Note 2 4 36" xfId="4881"/>
    <cellStyle name="Note 2 4 36 2" xfId="12598"/>
    <cellStyle name="Note 2 4 36 3" xfId="21591"/>
    <cellStyle name="Note 2 4 36 4" xfId="29778"/>
    <cellStyle name="Note 2 4 36 5" xfId="35348"/>
    <cellStyle name="Note 2 4 36 6" xfId="43443"/>
    <cellStyle name="Note 2 4 36 7" xfId="50610"/>
    <cellStyle name="Note 2 4 37" xfId="4993"/>
    <cellStyle name="Note 2 4 37 2" xfId="12710"/>
    <cellStyle name="Note 2 4 37 3" xfId="21703"/>
    <cellStyle name="Note 2 4 37 4" xfId="29890"/>
    <cellStyle name="Note 2 4 37 5" xfId="35311"/>
    <cellStyle name="Note 2 4 37 6" xfId="43555"/>
    <cellStyle name="Note 2 4 37 7" xfId="48490"/>
    <cellStyle name="Note 2 4 38" xfId="5118"/>
    <cellStyle name="Note 2 4 38 2" xfId="12835"/>
    <cellStyle name="Note 2 4 38 3" xfId="21828"/>
    <cellStyle name="Note 2 4 38 4" xfId="30015"/>
    <cellStyle name="Note 2 4 38 5" xfId="27393"/>
    <cellStyle name="Note 2 4 38 6" xfId="43680"/>
    <cellStyle name="Note 2 4 38 7" xfId="49131"/>
    <cellStyle name="Note 2 4 39" xfId="5491"/>
    <cellStyle name="Note 2 4 39 2" xfId="13208"/>
    <cellStyle name="Note 2 4 39 3" xfId="22201"/>
    <cellStyle name="Note 2 4 39 4" xfId="30388"/>
    <cellStyle name="Note 2 4 39 5" xfId="34038"/>
    <cellStyle name="Note 2 4 39 6" xfId="44053"/>
    <cellStyle name="Note 2 4 39 7" xfId="49440"/>
    <cellStyle name="Note 2 4 4" xfId="883"/>
    <cellStyle name="Note 2 4 4 2" xfId="8707"/>
    <cellStyle name="Note 2 4 4 3" xfId="16135"/>
    <cellStyle name="Note 2 4 4 4" xfId="20041"/>
    <cellStyle name="Note 2 4 4 5" xfId="28464"/>
    <cellStyle name="Note 2 4 4 6" xfId="36543"/>
    <cellStyle name="Note 2 4 4 7" xfId="47510"/>
    <cellStyle name="Note 2 4 40" xfId="5616"/>
    <cellStyle name="Note 2 4 40 2" xfId="13333"/>
    <cellStyle name="Note 2 4 40 3" xfId="22326"/>
    <cellStyle name="Note 2 4 40 4" xfId="30513"/>
    <cellStyle name="Note 2 4 40 5" xfId="34194"/>
    <cellStyle name="Note 2 4 40 6" xfId="44178"/>
    <cellStyle name="Note 2 4 40 7" xfId="54532"/>
    <cellStyle name="Note 2 4 41" xfId="5731"/>
    <cellStyle name="Note 2 4 41 2" xfId="13448"/>
    <cellStyle name="Note 2 4 41 3" xfId="22441"/>
    <cellStyle name="Note 2 4 41 4" xfId="30628"/>
    <cellStyle name="Note 2 4 41 5" xfId="28615"/>
    <cellStyle name="Note 2 4 41 6" xfId="44293"/>
    <cellStyle name="Note 2 4 41 7" xfId="54408"/>
    <cellStyle name="Note 2 4 42" xfId="5848"/>
    <cellStyle name="Note 2 4 42 2" xfId="13565"/>
    <cellStyle name="Note 2 4 42 3" xfId="22558"/>
    <cellStyle name="Note 2 4 42 4" xfId="30745"/>
    <cellStyle name="Note 2 4 42 5" xfId="34293"/>
    <cellStyle name="Note 2 4 42 6" xfId="44410"/>
    <cellStyle name="Note 2 4 42 7" xfId="48508"/>
    <cellStyle name="Note 2 4 43" xfId="5976"/>
    <cellStyle name="Note 2 4 43 2" xfId="13693"/>
    <cellStyle name="Note 2 4 43 3" xfId="22686"/>
    <cellStyle name="Note 2 4 43 4" xfId="30873"/>
    <cellStyle name="Note 2 4 43 5" xfId="27781"/>
    <cellStyle name="Note 2 4 43 6" xfId="44538"/>
    <cellStyle name="Note 2 4 43 7" xfId="49475"/>
    <cellStyle name="Note 2 4 44" xfId="6082"/>
    <cellStyle name="Note 2 4 44 2" xfId="13799"/>
    <cellStyle name="Note 2 4 44 3" xfId="22792"/>
    <cellStyle name="Note 2 4 44 4" xfId="30979"/>
    <cellStyle name="Note 2 4 44 5" xfId="36008"/>
    <cellStyle name="Note 2 4 44 6" xfId="44644"/>
    <cellStyle name="Note 2 4 44 7" xfId="48072"/>
    <cellStyle name="Note 2 4 45" xfId="5332"/>
    <cellStyle name="Note 2 4 45 2" xfId="13049"/>
    <cellStyle name="Note 2 4 45 3" xfId="22042"/>
    <cellStyle name="Note 2 4 45 4" xfId="30229"/>
    <cellStyle name="Note 2 4 45 5" xfId="27995"/>
    <cellStyle name="Note 2 4 45 6" xfId="43894"/>
    <cellStyle name="Note 2 4 45 7" xfId="50167"/>
    <cellStyle name="Note 2 4 46" xfId="6232"/>
    <cellStyle name="Note 2 4 46 2" xfId="13949"/>
    <cellStyle name="Note 2 4 46 3" xfId="22942"/>
    <cellStyle name="Note 2 4 46 4" xfId="31129"/>
    <cellStyle name="Note 2 4 46 5" xfId="35715"/>
    <cellStyle name="Note 2 4 46 6" xfId="44794"/>
    <cellStyle name="Note 2 4 46 7" xfId="52208"/>
    <cellStyle name="Note 2 4 47" xfId="6349"/>
    <cellStyle name="Note 2 4 47 2" xfId="14066"/>
    <cellStyle name="Note 2 4 47 3" xfId="23059"/>
    <cellStyle name="Note 2 4 47 4" xfId="31246"/>
    <cellStyle name="Note 2 4 47 5" xfId="34044"/>
    <cellStyle name="Note 2 4 47 6" xfId="44911"/>
    <cellStyle name="Note 2 4 47 7" xfId="48907"/>
    <cellStyle name="Note 2 4 48" xfId="6459"/>
    <cellStyle name="Note 2 4 48 2" xfId="14176"/>
    <cellStyle name="Note 2 4 48 3" xfId="23169"/>
    <cellStyle name="Note 2 4 48 4" xfId="31356"/>
    <cellStyle name="Note 2 4 48 5" xfId="28610"/>
    <cellStyle name="Note 2 4 48 6" xfId="45021"/>
    <cellStyle name="Note 2 4 48 7" xfId="49767"/>
    <cellStyle name="Note 2 4 49" xfId="5208"/>
    <cellStyle name="Note 2 4 49 2" xfId="12925"/>
    <cellStyle name="Note 2 4 49 3" xfId="21918"/>
    <cellStyle name="Note 2 4 49 4" xfId="30105"/>
    <cellStyle name="Note 2 4 49 5" xfId="33848"/>
    <cellStyle name="Note 2 4 49 6" xfId="43770"/>
    <cellStyle name="Note 2 4 49 7" xfId="48607"/>
    <cellStyle name="Note 2 4 5" xfId="1348"/>
    <cellStyle name="Note 2 4 5 2" xfId="9171"/>
    <cellStyle name="Note 2 4 5 3" xfId="16599"/>
    <cellStyle name="Note 2 4 5 4" xfId="20028"/>
    <cellStyle name="Note 2 4 5 5" xfId="27634"/>
    <cellStyle name="Note 2 4 5 6" xfId="36813"/>
    <cellStyle name="Note 2 4 5 7" xfId="47695"/>
    <cellStyle name="Note 2 4 50" xfId="6606"/>
    <cellStyle name="Note 2 4 50 2" xfId="14323"/>
    <cellStyle name="Note 2 4 50 3" xfId="23316"/>
    <cellStyle name="Note 2 4 50 4" xfId="31503"/>
    <cellStyle name="Note 2 4 50 5" xfId="28745"/>
    <cellStyle name="Note 2 4 50 6" xfId="45168"/>
    <cellStyle name="Note 2 4 50 7" xfId="50407"/>
    <cellStyle name="Note 2 4 51" xfId="6717"/>
    <cellStyle name="Note 2 4 51 2" xfId="14434"/>
    <cellStyle name="Note 2 4 51 3" xfId="23427"/>
    <cellStyle name="Note 2 4 51 4" xfId="31614"/>
    <cellStyle name="Note 2 4 51 5" xfId="36047"/>
    <cellStyle name="Note 2 4 51 6" xfId="45279"/>
    <cellStyle name="Note 2 4 51 7" xfId="53326"/>
    <cellStyle name="Note 2 4 52" xfId="6832"/>
    <cellStyle name="Note 2 4 52 2" xfId="14549"/>
    <cellStyle name="Note 2 4 52 3" xfId="23542"/>
    <cellStyle name="Note 2 4 52 4" xfId="31729"/>
    <cellStyle name="Note 2 4 52 5" xfId="28566"/>
    <cellStyle name="Note 2 4 52 6" xfId="45394"/>
    <cellStyle name="Note 2 4 52 7" xfId="48641"/>
    <cellStyle name="Note 2 4 53" xfId="6945"/>
    <cellStyle name="Note 2 4 53 2" xfId="14662"/>
    <cellStyle name="Note 2 4 53 3" xfId="23655"/>
    <cellStyle name="Note 2 4 53 4" xfId="31842"/>
    <cellStyle name="Note 2 4 53 5" xfId="27631"/>
    <cellStyle name="Note 2 4 53 6" xfId="45507"/>
    <cellStyle name="Note 2 4 53 7" xfId="47015"/>
    <cellStyle name="Note 2 4 54" xfId="7057"/>
    <cellStyle name="Note 2 4 54 2" xfId="14774"/>
    <cellStyle name="Note 2 4 54 3" xfId="23767"/>
    <cellStyle name="Note 2 4 54 4" xfId="31954"/>
    <cellStyle name="Note 2 4 54 5" xfId="36186"/>
    <cellStyle name="Note 2 4 54 6" xfId="45619"/>
    <cellStyle name="Note 2 4 54 7" xfId="53563"/>
    <cellStyle name="Note 2 4 55" xfId="7219"/>
    <cellStyle name="Note 2 4 55 2" xfId="14936"/>
    <cellStyle name="Note 2 4 55 3" xfId="23929"/>
    <cellStyle name="Note 2 4 55 4" xfId="32116"/>
    <cellStyle name="Note 2 4 55 5" xfId="26743"/>
    <cellStyle name="Note 2 4 55 6" xfId="45781"/>
    <cellStyle name="Note 2 4 55 7" xfId="49299"/>
    <cellStyle name="Note 2 4 56" xfId="7242"/>
    <cellStyle name="Note 2 4 56 2" xfId="14959"/>
    <cellStyle name="Note 2 4 56 3" xfId="23952"/>
    <cellStyle name="Note 2 4 56 4" xfId="32139"/>
    <cellStyle name="Note 2 4 56 5" xfId="27622"/>
    <cellStyle name="Note 2 4 56 6" xfId="45804"/>
    <cellStyle name="Note 2 4 56 7" xfId="54054"/>
    <cellStyle name="Note 2 4 57" xfId="7454"/>
    <cellStyle name="Note 2 4 57 2" xfId="15171"/>
    <cellStyle name="Note 2 4 57 3" xfId="24164"/>
    <cellStyle name="Note 2 4 57 4" xfId="32351"/>
    <cellStyle name="Note 2 4 57 5" xfId="26741"/>
    <cellStyle name="Note 2 4 57 6" xfId="46016"/>
    <cellStyle name="Note 2 4 57 7" xfId="49658"/>
    <cellStyle name="Note 2 4 58" xfId="7575"/>
    <cellStyle name="Note 2 4 58 2" xfId="15292"/>
    <cellStyle name="Note 2 4 58 3" xfId="24285"/>
    <cellStyle name="Note 2 4 58 4" xfId="32472"/>
    <cellStyle name="Note 2 4 58 5" xfId="33911"/>
    <cellStyle name="Note 2 4 58 6" xfId="46137"/>
    <cellStyle name="Note 2 4 58 7" xfId="47413"/>
    <cellStyle name="Note 2 4 59" xfId="7851"/>
    <cellStyle name="Note 2 4 59 2" xfId="15568"/>
    <cellStyle name="Note 2 4 59 3" xfId="24555"/>
    <cellStyle name="Note 2 4 59 4" xfId="32748"/>
    <cellStyle name="Note 2 4 59 5" xfId="34576"/>
    <cellStyle name="Note 2 4 59 6" xfId="46413"/>
    <cellStyle name="Note 2 4 59 7" xfId="47564"/>
    <cellStyle name="Note 2 4 6" xfId="1471"/>
    <cellStyle name="Note 2 4 6 2" xfId="9294"/>
    <cellStyle name="Note 2 4 6 3" xfId="16722"/>
    <cellStyle name="Note 2 4 6 4" xfId="24829"/>
    <cellStyle name="Note 2 4 6 5" xfId="27574"/>
    <cellStyle name="Note 2 4 6 6" xfId="37287"/>
    <cellStyle name="Note 2 4 6 7" xfId="48784"/>
    <cellStyle name="Note 2 4 60" xfId="7934"/>
    <cellStyle name="Note 2 4 60 2" xfId="15651"/>
    <cellStyle name="Note 2 4 60 3" xfId="24638"/>
    <cellStyle name="Note 2 4 60 4" xfId="32831"/>
    <cellStyle name="Note 2 4 60 5" xfId="28527"/>
    <cellStyle name="Note 2 4 60 6" xfId="46496"/>
    <cellStyle name="Note 2 4 60 7" xfId="49354"/>
    <cellStyle name="Note 2 4 61" xfId="7976"/>
    <cellStyle name="Note 2 4 61 2" xfId="15693"/>
    <cellStyle name="Note 2 4 61 3" xfId="24678"/>
    <cellStyle name="Note 2 4 61 4" xfId="32873"/>
    <cellStyle name="Note 2 4 61 5" xfId="35914"/>
    <cellStyle name="Note 2 4 61 6" xfId="46538"/>
    <cellStyle name="Note 2 4 61 7" xfId="51716"/>
    <cellStyle name="Note 2 4 62" xfId="8071"/>
    <cellStyle name="Note 2 4 62 2" xfId="15788"/>
    <cellStyle name="Note 2 4 62 3" xfId="24773"/>
    <cellStyle name="Note 2 4 62 4" xfId="32968"/>
    <cellStyle name="Note 2 4 62 5" xfId="34559"/>
    <cellStyle name="Note 2 4 62 6" xfId="46633"/>
    <cellStyle name="Note 2 4 62 7" xfId="49488"/>
    <cellStyle name="Note 2 4 63" xfId="8127"/>
    <cellStyle name="Note 2 4 63 2" xfId="15844"/>
    <cellStyle name="Note 2 4 63 3" xfId="33024"/>
    <cellStyle name="Note 2 4 63 4" xfId="35702"/>
    <cellStyle name="Note 2 4 63 5" xfId="46689"/>
    <cellStyle name="Note 2 4 63 6" xfId="51201"/>
    <cellStyle name="Note 2 4 64" xfId="19346"/>
    <cellStyle name="Note 2 4 65" xfId="27333"/>
    <cellStyle name="Note 2 4 66" xfId="37507"/>
    <cellStyle name="Note 2 4 67" xfId="49678"/>
    <cellStyle name="Note 2 4 7" xfId="1561"/>
    <cellStyle name="Note 2 4 7 2" xfId="9384"/>
    <cellStyle name="Note 2 4 7 3" xfId="16812"/>
    <cellStyle name="Note 2 4 7 4" xfId="26644"/>
    <cellStyle name="Note 2 4 7 5" xfId="35483"/>
    <cellStyle name="Note 2 4 7 6" xfId="36942"/>
    <cellStyle name="Note 2 4 7 7" xfId="54378"/>
    <cellStyle name="Note 2 4 8" xfId="1708"/>
    <cellStyle name="Note 2 4 8 2" xfId="9531"/>
    <cellStyle name="Note 2 4 8 3" xfId="16959"/>
    <cellStyle name="Note 2 4 8 4" xfId="26226"/>
    <cellStyle name="Note 2 4 8 5" xfId="34912"/>
    <cellStyle name="Note 2 4 8 6" xfId="38342"/>
    <cellStyle name="Note 2 4 8 7" xfId="53475"/>
    <cellStyle name="Note 2 4 9" xfId="1842"/>
    <cellStyle name="Note 2 4 9 2" xfId="9665"/>
    <cellStyle name="Note 2 4 9 3" xfId="17093"/>
    <cellStyle name="Note 2 4 9 4" xfId="26588"/>
    <cellStyle name="Note 2 4 9 5" xfId="35409"/>
    <cellStyle name="Note 2 4 9 6" xfId="37129"/>
    <cellStyle name="Note 2 4 9 7" xfId="54254"/>
    <cellStyle name="Note 2 40" xfId="51371"/>
    <cellStyle name="Note 2 5" xfId="566"/>
    <cellStyle name="Note 2 5 10" xfId="2013"/>
    <cellStyle name="Note 2 5 10 2" xfId="9836"/>
    <cellStyle name="Note 2 5 10 3" xfId="17264"/>
    <cellStyle name="Note 2 5 10 4" xfId="25251"/>
    <cellStyle name="Note 2 5 10 5" xfId="33656"/>
    <cellStyle name="Note 2 5 10 6" xfId="41311"/>
    <cellStyle name="Note 2 5 10 7" xfId="51325"/>
    <cellStyle name="Note 2 5 11" xfId="2130"/>
    <cellStyle name="Note 2 5 11 2" xfId="9953"/>
    <cellStyle name="Note 2 5 11 3" xfId="17381"/>
    <cellStyle name="Note 2 5 11 4" xfId="20630"/>
    <cellStyle name="Note 2 5 11 5" xfId="27147"/>
    <cellStyle name="Note 2 5 11 6" xfId="37477"/>
    <cellStyle name="Note 2 5 11 7" xfId="47608"/>
    <cellStyle name="Note 2 5 12" xfId="2244"/>
    <cellStyle name="Note 2 5 12 2" xfId="10067"/>
    <cellStyle name="Note 2 5 12 3" xfId="17495"/>
    <cellStyle name="Note 2 5 12 4" xfId="26312"/>
    <cellStyle name="Note 2 5 12 5" xfId="35031"/>
    <cellStyle name="Note 2 5 12 6" xfId="39790"/>
    <cellStyle name="Note 2 5 12 7" xfId="53667"/>
    <cellStyle name="Note 2 5 13" xfId="1612"/>
    <cellStyle name="Note 2 5 13 2" xfId="9435"/>
    <cellStyle name="Note 2 5 13 3" xfId="16863"/>
    <cellStyle name="Note 2 5 13 4" xfId="19680"/>
    <cellStyle name="Note 2 5 13 5" xfId="27593"/>
    <cellStyle name="Note 2 5 13 6" xfId="37532"/>
    <cellStyle name="Note 2 5 13 7" xfId="48843"/>
    <cellStyle name="Note 2 5 14" xfId="997"/>
    <cellStyle name="Note 2 5 14 2" xfId="8821"/>
    <cellStyle name="Note 2 5 14 3" xfId="16249"/>
    <cellStyle name="Note 2 5 14 4" xfId="25071"/>
    <cellStyle name="Note 2 5 14 5" xfId="33431"/>
    <cellStyle name="Note 2 5 14 6" xfId="37890"/>
    <cellStyle name="Note 2 5 14 7" xfId="50951"/>
    <cellStyle name="Note 2 5 15" xfId="2541"/>
    <cellStyle name="Note 2 5 15 2" xfId="10364"/>
    <cellStyle name="Note 2 5 15 3" xfId="17792"/>
    <cellStyle name="Note 2 5 15 4" xfId="19558"/>
    <cellStyle name="Note 2 5 15 5" xfId="28698"/>
    <cellStyle name="Note 2 5 15 6" xfId="41049"/>
    <cellStyle name="Note 2 5 15 7" xfId="47922"/>
    <cellStyle name="Note 2 5 16" xfId="2655"/>
    <cellStyle name="Note 2 5 16 2" xfId="10478"/>
    <cellStyle name="Note 2 5 16 3" xfId="17906"/>
    <cellStyle name="Note 2 5 16 4" xfId="24885"/>
    <cellStyle name="Note 2 5 16 5" xfId="33199"/>
    <cellStyle name="Note 2 5 16 6" xfId="37415"/>
    <cellStyle name="Note 2 5 16 7" xfId="50531"/>
    <cellStyle name="Note 2 5 17" xfId="2146"/>
    <cellStyle name="Note 2 5 17 2" xfId="9969"/>
    <cellStyle name="Note 2 5 17 3" xfId="17397"/>
    <cellStyle name="Note 2 5 17 4" xfId="19470"/>
    <cellStyle name="Note 2 5 17 5" xfId="26772"/>
    <cellStyle name="Note 2 5 17 6" xfId="37766"/>
    <cellStyle name="Note 2 5 17 7" xfId="50373"/>
    <cellStyle name="Note 2 5 18" xfId="2337"/>
    <cellStyle name="Note 2 5 18 2" xfId="10160"/>
    <cellStyle name="Note 2 5 18 3" xfId="17588"/>
    <cellStyle name="Note 2 5 18 4" xfId="26094"/>
    <cellStyle name="Note 2 5 18 5" xfId="34744"/>
    <cellStyle name="Note 2 5 18 6" xfId="39810"/>
    <cellStyle name="Note 2 5 18 7" xfId="53195"/>
    <cellStyle name="Note 2 5 19" xfId="2846"/>
    <cellStyle name="Note 2 5 19 2" xfId="10669"/>
    <cellStyle name="Note 2 5 19 3" xfId="18097"/>
    <cellStyle name="Note 2 5 19 4" xfId="20590"/>
    <cellStyle name="Note 2 5 19 5" xfId="27708"/>
    <cellStyle name="Note 2 5 19 6" xfId="39863"/>
    <cellStyle name="Note 2 5 19 7" xfId="48148"/>
    <cellStyle name="Note 2 5 2" xfId="714"/>
    <cellStyle name="Note 2 5 2 2" xfId="8538"/>
    <cellStyle name="Note 2 5 2 3" xfId="15966"/>
    <cellStyle name="Note 2 5 2 4" xfId="25683"/>
    <cellStyle name="Note 2 5 2 5" xfId="34219"/>
    <cellStyle name="Note 2 5 2 6" xfId="37021"/>
    <cellStyle name="Note 2 5 2 7" xfId="52275"/>
    <cellStyle name="Note 2 5 20" xfId="2953"/>
    <cellStyle name="Note 2 5 20 2" xfId="10776"/>
    <cellStyle name="Note 2 5 20 3" xfId="18204"/>
    <cellStyle name="Note 2 5 20 4" xfId="24964"/>
    <cellStyle name="Note 2 5 20 5" xfId="33302"/>
    <cellStyle name="Note 2 5 20 6" xfId="38837"/>
    <cellStyle name="Note 2 5 20 7" xfId="50705"/>
    <cellStyle name="Note 2 5 21" xfId="3330"/>
    <cellStyle name="Note 2 5 21 2" xfId="11123"/>
    <cellStyle name="Note 2 5 21 3" xfId="18451"/>
    <cellStyle name="Note 2 5 21 4" xfId="20569"/>
    <cellStyle name="Note 2 5 21 5" xfId="27258"/>
    <cellStyle name="Note 2 5 21 6" xfId="37231"/>
    <cellStyle name="Note 2 5 21 7" xfId="48289"/>
    <cellStyle name="Note 2 5 22" xfId="3449"/>
    <cellStyle name="Note 2 5 22 2" xfId="11240"/>
    <cellStyle name="Note 2 5 22 3" xfId="18562"/>
    <cellStyle name="Note 2 5 22 4" xfId="25875"/>
    <cellStyle name="Note 2 5 22 5" xfId="34464"/>
    <cellStyle name="Note 2 5 22 6" xfId="39256"/>
    <cellStyle name="Note 2 5 22 7" xfId="52724"/>
    <cellStyle name="Note 2 5 23" xfId="3571"/>
    <cellStyle name="Note 2 5 23 2" xfId="11360"/>
    <cellStyle name="Note 2 5 23 3" xfId="18642"/>
    <cellStyle name="Note 2 5 23 4" xfId="19886"/>
    <cellStyle name="Note 2 5 23 5" xfId="26834"/>
    <cellStyle name="Note 2 5 23 6" xfId="42222"/>
    <cellStyle name="Note 2 5 23 7" xfId="49758"/>
    <cellStyle name="Note 2 5 24" xfId="3609"/>
    <cellStyle name="Note 2 5 24 2" xfId="11395"/>
    <cellStyle name="Note 2 5 24 3" xfId="18669"/>
    <cellStyle name="Note 2 5 24 4" xfId="25128"/>
    <cellStyle name="Note 2 5 24 5" xfId="33501"/>
    <cellStyle name="Note 2 5 24 6" xfId="38366"/>
    <cellStyle name="Note 2 5 24 7" xfId="51071"/>
    <cellStyle name="Note 2 5 25" xfId="3722"/>
    <cellStyle name="Note 2 5 25 2" xfId="11507"/>
    <cellStyle name="Note 2 5 25 3" xfId="18779"/>
    <cellStyle name="Note 2 5 25 4" xfId="25483"/>
    <cellStyle name="Note 2 5 25 5" xfId="33957"/>
    <cellStyle name="Note 2 5 25 6" xfId="37011"/>
    <cellStyle name="Note 2 5 25 7" xfId="51838"/>
    <cellStyle name="Note 2 5 26" xfId="3851"/>
    <cellStyle name="Note 2 5 26 2" xfId="11633"/>
    <cellStyle name="Note 2 5 26 3" xfId="18889"/>
    <cellStyle name="Note 2 5 26 4" xfId="19161"/>
    <cellStyle name="Note 2 5 26 5" xfId="27918"/>
    <cellStyle name="Note 2 5 26 6" xfId="37359"/>
    <cellStyle name="Note 2 5 26 7" xfId="49239"/>
    <cellStyle name="Note 2 5 27" xfId="3970"/>
    <cellStyle name="Note 2 5 27 2" xfId="11749"/>
    <cellStyle name="Note 2 5 27 3" xfId="18998"/>
    <cellStyle name="Note 2 5 27 4" xfId="25490"/>
    <cellStyle name="Note 2 5 27 5" xfId="33965"/>
    <cellStyle name="Note 2 5 27 6" xfId="36519"/>
    <cellStyle name="Note 2 5 27 7" xfId="51850"/>
    <cellStyle name="Note 2 5 28" xfId="3468"/>
    <cellStyle name="Note 2 5 28 2" xfId="11259"/>
    <cellStyle name="Note 2 5 28 3" xfId="20462"/>
    <cellStyle name="Note 2 5 28 4" xfId="28581"/>
    <cellStyle name="Note 2 5 28 5" xfId="35490"/>
    <cellStyle name="Note 2 5 28 6" xfId="42475"/>
    <cellStyle name="Note 2 5 28 7" xfId="50726"/>
    <cellStyle name="Note 2 5 29" xfId="4166"/>
    <cellStyle name="Note 2 5 29 2" xfId="11925"/>
    <cellStyle name="Note 2 5 29 3" xfId="20876"/>
    <cellStyle name="Note 2 5 29 4" xfId="29063"/>
    <cellStyle name="Note 2 5 29 5" xfId="33219"/>
    <cellStyle name="Note 2 5 29 6" xfId="42728"/>
    <cellStyle name="Note 2 5 29 7" xfId="49669"/>
    <cellStyle name="Note 2 5 3" xfId="823"/>
    <cellStyle name="Note 2 5 3 2" xfId="8647"/>
    <cellStyle name="Note 2 5 3 3" xfId="16075"/>
    <cellStyle name="Note 2 5 3 4" xfId="26287"/>
    <cellStyle name="Note 2 5 3 5" xfId="34996"/>
    <cellStyle name="Note 2 5 3 6" xfId="37386"/>
    <cellStyle name="Note 2 5 3 7" xfId="53617"/>
    <cellStyle name="Note 2 5 30" xfId="4026"/>
    <cellStyle name="Note 2 5 30 2" xfId="20736"/>
    <cellStyle name="Note 2 5 30 3" xfId="28923"/>
    <cellStyle name="Note 2 5 30 4" xfId="28645"/>
    <cellStyle name="Note 2 5 30 5" xfId="42588"/>
    <cellStyle name="Note 2 5 30 6" xfId="47810"/>
    <cellStyle name="Note 2 5 31" xfId="4364"/>
    <cellStyle name="Note 2 5 31 2" xfId="12081"/>
    <cellStyle name="Note 2 5 31 3" xfId="21074"/>
    <cellStyle name="Note 2 5 31 4" xfId="29261"/>
    <cellStyle name="Note 2 5 31 5" xfId="35857"/>
    <cellStyle name="Note 2 5 31 6" xfId="42926"/>
    <cellStyle name="Note 2 5 31 7" xfId="52696"/>
    <cellStyle name="Note 2 5 32" xfId="4486"/>
    <cellStyle name="Note 2 5 32 2" xfId="12203"/>
    <cellStyle name="Note 2 5 32 3" xfId="21196"/>
    <cellStyle name="Note 2 5 32 4" xfId="29383"/>
    <cellStyle name="Note 2 5 32 5" xfId="27259"/>
    <cellStyle name="Note 2 5 32 6" xfId="43048"/>
    <cellStyle name="Note 2 5 32 7" xfId="48044"/>
    <cellStyle name="Note 2 5 33" xfId="4600"/>
    <cellStyle name="Note 2 5 33 2" xfId="12317"/>
    <cellStyle name="Note 2 5 33 3" xfId="21310"/>
    <cellStyle name="Note 2 5 33 4" xfId="29497"/>
    <cellStyle name="Note 2 5 33 5" xfId="27864"/>
    <cellStyle name="Note 2 5 33 6" xfId="43162"/>
    <cellStyle name="Note 2 5 33 7" xfId="49499"/>
    <cellStyle name="Note 2 5 34" xfId="4713"/>
    <cellStyle name="Note 2 5 34 2" xfId="12430"/>
    <cellStyle name="Note 2 5 34 3" xfId="21423"/>
    <cellStyle name="Note 2 5 34 4" xfId="29610"/>
    <cellStyle name="Note 2 5 34 5" xfId="35923"/>
    <cellStyle name="Note 2 5 34 6" xfId="43275"/>
    <cellStyle name="Note 2 5 34 7" xfId="53055"/>
    <cellStyle name="Note 2 5 35" xfId="4823"/>
    <cellStyle name="Note 2 5 35 2" xfId="12540"/>
    <cellStyle name="Note 2 5 35 3" xfId="21533"/>
    <cellStyle name="Note 2 5 35 4" xfId="29720"/>
    <cellStyle name="Note 2 5 35 5" xfId="27581"/>
    <cellStyle name="Note 2 5 35 6" xfId="43385"/>
    <cellStyle name="Note 2 5 35 7" xfId="49087"/>
    <cellStyle name="Note 2 5 36" xfId="4933"/>
    <cellStyle name="Note 2 5 36 2" xfId="12650"/>
    <cellStyle name="Note 2 5 36 3" xfId="21643"/>
    <cellStyle name="Note 2 5 36 4" xfId="29830"/>
    <cellStyle name="Note 2 5 36 5" xfId="36223"/>
    <cellStyle name="Note 2 5 36 6" xfId="43495"/>
    <cellStyle name="Note 2 5 36 7" xfId="54501"/>
    <cellStyle name="Note 2 5 37" xfId="5043"/>
    <cellStyle name="Note 2 5 37 2" xfId="12760"/>
    <cellStyle name="Note 2 5 37 3" xfId="21753"/>
    <cellStyle name="Note 2 5 37 4" xfId="29940"/>
    <cellStyle name="Note 2 5 37 5" xfId="34634"/>
    <cellStyle name="Note 2 5 37 6" xfId="43605"/>
    <cellStyle name="Note 2 5 37 7" xfId="49493"/>
    <cellStyle name="Note 2 5 38" xfId="5423"/>
    <cellStyle name="Note 2 5 38 2" xfId="13140"/>
    <cellStyle name="Note 2 5 38 3" xfId="22133"/>
    <cellStyle name="Note 2 5 38 4" xfId="30320"/>
    <cellStyle name="Note 2 5 38 5" xfId="27445"/>
    <cellStyle name="Note 2 5 38 6" xfId="43985"/>
    <cellStyle name="Note 2 5 38 7" xfId="49010"/>
    <cellStyle name="Note 2 5 39" xfId="5543"/>
    <cellStyle name="Note 2 5 39 2" xfId="13260"/>
    <cellStyle name="Note 2 5 39 3" xfId="22253"/>
    <cellStyle name="Note 2 5 39 4" xfId="30440"/>
    <cellStyle name="Note 2 5 39 5" xfId="28649"/>
    <cellStyle name="Note 2 5 39 6" xfId="44105"/>
    <cellStyle name="Note 2 5 39 7" xfId="46852"/>
    <cellStyle name="Note 2 5 4" xfId="933"/>
    <cellStyle name="Note 2 5 4 2" xfId="8757"/>
    <cellStyle name="Note 2 5 4 3" xfId="16185"/>
    <cellStyle name="Note 2 5 4 4" xfId="24891"/>
    <cellStyle name="Note 2 5 4 5" xfId="33207"/>
    <cellStyle name="Note 2 5 4 6" xfId="36824"/>
    <cellStyle name="Note 2 5 4 7" xfId="50542"/>
    <cellStyle name="Note 2 5 40" xfId="5667"/>
    <cellStyle name="Note 2 5 40 2" xfId="13384"/>
    <cellStyle name="Note 2 5 40 3" xfId="22377"/>
    <cellStyle name="Note 2 5 40 4" xfId="30564"/>
    <cellStyle name="Note 2 5 40 5" xfId="33809"/>
    <cellStyle name="Note 2 5 40 6" xfId="44229"/>
    <cellStyle name="Note 2 5 40 7" xfId="47104"/>
    <cellStyle name="Note 2 5 41" xfId="5783"/>
    <cellStyle name="Note 2 5 41 2" xfId="13500"/>
    <cellStyle name="Note 2 5 41 3" xfId="22493"/>
    <cellStyle name="Note 2 5 41 4" xfId="30680"/>
    <cellStyle name="Note 2 5 41 5" xfId="35148"/>
    <cellStyle name="Note 2 5 41 6" xfId="44345"/>
    <cellStyle name="Note 2 5 41 7" xfId="48747"/>
    <cellStyle name="Note 2 5 42" xfId="5900"/>
    <cellStyle name="Note 2 5 42 2" xfId="13617"/>
    <cellStyle name="Note 2 5 42 3" xfId="22610"/>
    <cellStyle name="Note 2 5 42 4" xfId="30797"/>
    <cellStyle name="Note 2 5 42 5" xfId="28080"/>
    <cellStyle name="Note 2 5 42 6" xfId="44462"/>
    <cellStyle name="Note 2 5 42 7" xfId="49226"/>
    <cellStyle name="Note 2 5 43" xfId="6028"/>
    <cellStyle name="Note 2 5 43 2" xfId="13745"/>
    <cellStyle name="Note 2 5 43 3" xfId="22738"/>
    <cellStyle name="Note 2 5 43 4" xfId="30925"/>
    <cellStyle name="Note 2 5 43 5" xfId="35714"/>
    <cellStyle name="Note 2 5 43 6" xfId="44590"/>
    <cellStyle name="Note 2 5 43 7" xfId="51461"/>
    <cellStyle name="Note 2 5 44" xfId="6120"/>
    <cellStyle name="Note 2 5 44 2" xfId="13837"/>
    <cellStyle name="Note 2 5 44 3" xfId="22830"/>
    <cellStyle name="Note 2 5 44 4" xfId="31017"/>
    <cellStyle name="Note 2 5 44 5" xfId="33304"/>
    <cellStyle name="Note 2 5 44 6" xfId="44682"/>
    <cellStyle name="Note 2 5 44 7" xfId="49153"/>
    <cellStyle name="Note 2 5 45" xfId="6155"/>
    <cellStyle name="Note 2 5 45 2" xfId="13872"/>
    <cellStyle name="Note 2 5 45 3" xfId="22865"/>
    <cellStyle name="Note 2 5 45 4" xfId="31052"/>
    <cellStyle name="Note 2 5 45 5" xfId="34142"/>
    <cellStyle name="Note 2 5 45 6" xfId="44717"/>
    <cellStyle name="Note 2 5 45 7" xfId="52942"/>
    <cellStyle name="Note 2 5 46" xfId="6284"/>
    <cellStyle name="Note 2 5 46 2" xfId="14001"/>
    <cellStyle name="Note 2 5 46 3" xfId="22994"/>
    <cellStyle name="Note 2 5 46 4" xfId="31181"/>
    <cellStyle name="Note 2 5 46 5" xfId="27679"/>
    <cellStyle name="Note 2 5 46 6" xfId="44846"/>
    <cellStyle name="Note 2 5 46 7" xfId="48262"/>
    <cellStyle name="Note 2 5 47" xfId="6399"/>
    <cellStyle name="Note 2 5 47 2" xfId="14116"/>
    <cellStyle name="Note 2 5 47 3" xfId="23109"/>
    <cellStyle name="Note 2 5 47 4" xfId="31296"/>
    <cellStyle name="Note 2 5 47 5" xfId="27075"/>
    <cellStyle name="Note 2 5 47 6" xfId="44961"/>
    <cellStyle name="Note 2 5 47 7" xfId="49932"/>
    <cellStyle name="Note 2 5 48" xfId="6511"/>
    <cellStyle name="Note 2 5 48 2" xfId="14228"/>
    <cellStyle name="Note 2 5 48 3" xfId="23221"/>
    <cellStyle name="Note 2 5 48 4" xfId="31408"/>
    <cellStyle name="Note 2 5 48 5" xfId="35955"/>
    <cellStyle name="Note 2 5 48 6" xfId="45073"/>
    <cellStyle name="Note 2 5 48 7" xfId="52961"/>
    <cellStyle name="Note 2 5 49" xfId="5276"/>
    <cellStyle name="Note 2 5 49 2" xfId="12993"/>
    <cellStyle name="Note 2 5 49 3" xfId="21986"/>
    <cellStyle name="Note 2 5 49 4" xfId="30173"/>
    <cellStyle name="Note 2 5 49 5" xfId="33685"/>
    <cellStyle name="Note 2 5 49 6" xfId="43838"/>
    <cellStyle name="Note 2 5 49 7" xfId="49100"/>
    <cellStyle name="Note 2 5 5" xfId="1401"/>
    <cellStyle name="Note 2 5 5 2" xfId="9224"/>
    <cellStyle name="Note 2 5 5 3" xfId="16652"/>
    <cellStyle name="Note 2 5 5 4" xfId="20165"/>
    <cellStyle name="Note 2 5 5 5" xfId="27932"/>
    <cellStyle name="Note 2 5 5 6" xfId="37137"/>
    <cellStyle name="Note 2 5 5 7" xfId="49549"/>
    <cellStyle name="Note 2 5 50" xfId="6658"/>
    <cellStyle name="Note 2 5 50 2" xfId="14375"/>
    <cellStyle name="Note 2 5 50 3" xfId="23368"/>
    <cellStyle name="Note 2 5 50 4" xfId="31555"/>
    <cellStyle name="Note 2 5 50 5" xfId="35864"/>
    <cellStyle name="Note 2 5 50 6" xfId="45220"/>
    <cellStyle name="Note 2 5 50 7" xfId="52366"/>
    <cellStyle name="Note 2 5 51" xfId="6769"/>
    <cellStyle name="Note 2 5 51 2" xfId="14486"/>
    <cellStyle name="Note 2 5 51 3" xfId="23479"/>
    <cellStyle name="Note 2 5 51 4" xfId="31666"/>
    <cellStyle name="Note 2 5 51 5" xfId="33844"/>
    <cellStyle name="Note 2 5 51 6" xfId="45331"/>
    <cellStyle name="Note 2 5 51 7" xfId="49380"/>
    <cellStyle name="Note 2 5 52" xfId="6884"/>
    <cellStyle name="Note 2 5 52 2" xfId="14601"/>
    <cellStyle name="Note 2 5 52 3" xfId="23594"/>
    <cellStyle name="Note 2 5 52 4" xfId="31781"/>
    <cellStyle name="Note 2 5 52 5" xfId="26898"/>
    <cellStyle name="Note 2 5 52 6" xfId="45446"/>
    <cellStyle name="Note 2 5 52 7" xfId="47061"/>
    <cellStyle name="Note 2 5 53" xfId="6997"/>
    <cellStyle name="Note 2 5 53 2" xfId="14714"/>
    <cellStyle name="Note 2 5 53 3" xfId="23707"/>
    <cellStyle name="Note 2 5 53 4" xfId="31894"/>
    <cellStyle name="Note 2 5 53 5" xfId="36241"/>
    <cellStyle name="Note 2 5 53 6" xfId="45559"/>
    <cellStyle name="Note 2 5 53 7" xfId="47213"/>
    <cellStyle name="Note 2 5 54" xfId="7107"/>
    <cellStyle name="Note 2 5 54 2" xfId="14824"/>
    <cellStyle name="Note 2 5 54 3" xfId="23817"/>
    <cellStyle name="Note 2 5 54 4" xfId="32004"/>
    <cellStyle name="Note 2 5 54 5" xfId="27357"/>
    <cellStyle name="Note 2 5 54 6" xfId="45669"/>
    <cellStyle name="Note 2 5 54 7" xfId="48443"/>
    <cellStyle name="Note 2 5 55" xfId="7171"/>
    <cellStyle name="Note 2 5 55 2" xfId="14888"/>
    <cellStyle name="Note 2 5 55 3" xfId="23881"/>
    <cellStyle name="Note 2 5 55 4" xfId="32068"/>
    <cellStyle name="Note 2 5 55 5" xfId="36188"/>
    <cellStyle name="Note 2 5 55 6" xfId="45733"/>
    <cellStyle name="Note 2 5 55 7" xfId="54430"/>
    <cellStyle name="Note 2 5 56" xfId="7369"/>
    <cellStyle name="Note 2 5 56 2" xfId="15086"/>
    <cellStyle name="Note 2 5 56 3" xfId="24079"/>
    <cellStyle name="Note 2 5 56 4" xfId="32266"/>
    <cellStyle name="Note 2 5 56 5" xfId="33355"/>
    <cellStyle name="Note 2 5 56 6" xfId="45931"/>
    <cellStyle name="Note 2 5 56 7" xfId="49300"/>
    <cellStyle name="Note 2 5 57" xfId="7504"/>
    <cellStyle name="Note 2 5 57 2" xfId="15221"/>
    <cellStyle name="Note 2 5 57 3" xfId="24214"/>
    <cellStyle name="Note 2 5 57 4" xfId="32401"/>
    <cellStyle name="Note 2 5 57 5" xfId="26962"/>
    <cellStyle name="Note 2 5 57 6" xfId="46066"/>
    <cellStyle name="Note 2 5 57 7" xfId="49560"/>
    <cellStyle name="Note 2 5 58" xfId="7625"/>
    <cellStyle name="Note 2 5 58 2" xfId="15342"/>
    <cellStyle name="Note 2 5 58 3" xfId="24335"/>
    <cellStyle name="Note 2 5 58 4" xfId="32522"/>
    <cellStyle name="Note 2 5 58 5" xfId="36160"/>
    <cellStyle name="Note 2 5 58 6" xfId="46187"/>
    <cellStyle name="Note 2 5 58 7" xfId="53449"/>
    <cellStyle name="Note 2 5 59" xfId="7902"/>
    <cellStyle name="Note 2 5 59 2" xfId="15619"/>
    <cellStyle name="Note 2 5 59 3" xfId="24606"/>
    <cellStyle name="Note 2 5 59 4" xfId="32799"/>
    <cellStyle name="Note 2 5 59 5" xfId="35990"/>
    <cellStyle name="Note 2 5 59 6" xfId="46464"/>
    <cellStyle name="Note 2 5 59 7" xfId="52730"/>
    <cellStyle name="Note 2 5 6" xfId="1524"/>
    <cellStyle name="Note 2 5 6 2" xfId="9347"/>
    <cellStyle name="Note 2 5 6 3" xfId="16775"/>
    <cellStyle name="Note 2 5 6 4" xfId="19740"/>
    <cellStyle name="Note 2 5 6 5" xfId="28153"/>
    <cellStyle name="Note 2 5 6 6" xfId="38735"/>
    <cellStyle name="Note 2 5 6 7" xfId="49517"/>
    <cellStyle name="Note 2 5 60" xfId="7669"/>
    <cellStyle name="Note 2 5 60 2" xfId="15386"/>
    <cellStyle name="Note 2 5 60 3" xfId="24378"/>
    <cellStyle name="Note 2 5 60 4" xfId="32566"/>
    <cellStyle name="Note 2 5 60 5" xfId="28397"/>
    <cellStyle name="Note 2 5 60 6" xfId="46231"/>
    <cellStyle name="Note 2 5 60 7" xfId="48854"/>
    <cellStyle name="Note 2 5 61" xfId="8030"/>
    <cellStyle name="Note 2 5 61 2" xfId="15747"/>
    <cellStyle name="Note 2 5 61 3" xfId="24732"/>
    <cellStyle name="Note 2 5 61 4" xfId="32927"/>
    <cellStyle name="Note 2 5 61 5" xfId="34882"/>
    <cellStyle name="Note 2 5 61 6" xfId="46592"/>
    <cellStyle name="Note 2 5 61 7" xfId="54311"/>
    <cellStyle name="Note 2 5 62" xfId="7708"/>
    <cellStyle name="Note 2 5 62 2" xfId="15425"/>
    <cellStyle name="Note 2 5 62 3" xfId="24416"/>
    <cellStyle name="Note 2 5 62 4" xfId="32605"/>
    <cellStyle name="Note 2 5 62 5" xfId="35611"/>
    <cellStyle name="Note 2 5 62 6" xfId="46270"/>
    <cellStyle name="Note 2 5 62 7" xfId="51025"/>
    <cellStyle name="Note 2 5 63" xfId="8177"/>
    <cellStyle name="Note 2 5 63 2" xfId="15894"/>
    <cellStyle name="Note 2 5 63 3" xfId="33074"/>
    <cellStyle name="Note 2 5 63 4" xfId="27112"/>
    <cellStyle name="Note 2 5 63 5" xfId="46739"/>
    <cellStyle name="Note 2 5 63 6" xfId="46879"/>
    <cellStyle name="Note 2 5 64" xfId="25859"/>
    <cellStyle name="Note 2 5 65" xfId="34447"/>
    <cellStyle name="Note 2 5 66" xfId="36255"/>
    <cellStyle name="Note 2 5 67" xfId="52688"/>
    <cellStyle name="Note 2 5 7" xfId="1312"/>
    <cellStyle name="Note 2 5 7 2" xfId="9135"/>
    <cellStyle name="Note 2 5 7 3" xfId="16563"/>
    <cellStyle name="Note 2 5 7 4" xfId="25792"/>
    <cellStyle name="Note 2 5 7 5" xfId="34362"/>
    <cellStyle name="Note 2 5 7 6" xfId="37379"/>
    <cellStyle name="Note 2 5 7 7" xfId="52538"/>
    <cellStyle name="Note 2 5 8" xfId="1761"/>
    <cellStyle name="Note 2 5 8 2" xfId="9584"/>
    <cellStyle name="Note 2 5 8 3" xfId="17012"/>
    <cellStyle name="Note 2 5 8 4" xfId="24926"/>
    <cellStyle name="Note 2 5 8 5" xfId="33256"/>
    <cellStyle name="Note 2 5 8 6" xfId="36482"/>
    <cellStyle name="Note 2 5 8 7" xfId="50625"/>
    <cellStyle name="Note 2 5 9" xfId="1894"/>
    <cellStyle name="Note 2 5 9 2" xfId="9717"/>
    <cellStyle name="Note 2 5 9 3" xfId="17145"/>
    <cellStyle name="Note 2 5 9 4" xfId="24830"/>
    <cellStyle name="Note 2 5 9 5" xfId="27121"/>
    <cellStyle name="Note 2 5 9 6" xfId="38000"/>
    <cellStyle name="Note 2 5 9 7" xfId="48644"/>
    <cellStyle name="Note 2 6" xfId="545"/>
    <cellStyle name="Note 2 6 10" xfId="1992"/>
    <cellStyle name="Note 2 6 10 2" xfId="9815"/>
    <cellStyle name="Note 2 6 10 3" xfId="17243"/>
    <cellStyle name="Note 2 6 10 4" xfId="26261"/>
    <cellStyle name="Note 2 6 10 5" xfId="34959"/>
    <cellStyle name="Note 2 6 10 6" xfId="40961"/>
    <cellStyle name="Note 2 6 10 7" xfId="53560"/>
    <cellStyle name="Note 2 6 11" xfId="2110"/>
    <cellStyle name="Note 2 6 11 2" xfId="9933"/>
    <cellStyle name="Note 2 6 11 3" xfId="17361"/>
    <cellStyle name="Note 2 6 11 4" xfId="26512"/>
    <cellStyle name="Note 2 6 11 5" xfId="35308"/>
    <cellStyle name="Note 2 6 11 6" xfId="38978"/>
    <cellStyle name="Note 2 6 11 7" xfId="54096"/>
    <cellStyle name="Note 2 6 12" xfId="2223"/>
    <cellStyle name="Note 2 6 12 2" xfId="10046"/>
    <cellStyle name="Note 2 6 12 3" xfId="17474"/>
    <cellStyle name="Note 2 6 12 4" xfId="19614"/>
    <cellStyle name="Note 2 6 12 5" xfId="27566"/>
    <cellStyle name="Note 2 6 12 6" xfId="36734"/>
    <cellStyle name="Note 2 6 12 7" xfId="50095"/>
    <cellStyle name="Note 2 6 13" xfId="972"/>
    <cellStyle name="Note 2 6 13 2" xfId="8796"/>
    <cellStyle name="Note 2 6 13 3" xfId="16224"/>
    <cellStyle name="Note 2 6 13 4" xfId="26308"/>
    <cellStyle name="Note 2 6 13 5" xfId="35027"/>
    <cellStyle name="Note 2 6 13 6" xfId="37631"/>
    <cellStyle name="Note 2 6 13 7" xfId="53660"/>
    <cellStyle name="Note 2 6 14" xfId="1181"/>
    <cellStyle name="Note 2 6 14 2" xfId="9004"/>
    <cellStyle name="Note 2 6 14 3" xfId="16432"/>
    <cellStyle name="Note 2 6 14 4" xfId="26392"/>
    <cellStyle name="Note 2 6 14 5" xfId="35140"/>
    <cellStyle name="Note 2 6 14 6" xfId="37109"/>
    <cellStyle name="Note 2 6 14 7" xfId="53830"/>
    <cellStyle name="Note 2 6 15" xfId="2521"/>
    <cellStyle name="Note 2 6 15 2" xfId="10344"/>
    <cellStyle name="Note 2 6 15 3" xfId="17772"/>
    <cellStyle name="Note 2 6 15 4" xfId="19625"/>
    <cellStyle name="Note 2 6 15 5" xfId="28834"/>
    <cellStyle name="Note 2 6 15 6" xfId="41875"/>
    <cellStyle name="Note 2 6 15 7" xfId="48645"/>
    <cellStyle name="Note 2 6 16" xfId="2634"/>
    <cellStyle name="Note 2 6 16 2" xfId="10457"/>
    <cellStyle name="Note 2 6 16 3" xfId="17885"/>
    <cellStyle name="Note 2 6 16 4" xfId="25869"/>
    <cellStyle name="Note 2 6 16 5" xfId="34458"/>
    <cellStyle name="Note 2 6 16 6" xfId="38988"/>
    <cellStyle name="Note 2 6 16 7" xfId="52712"/>
    <cellStyle name="Note 2 6 17" xfId="1629"/>
    <cellStyle name="Note 2 6 17 2" xfId="9452"/>
    <cellStyle name="Note 2 6 17 3" xfId="16880"/>
    <cellStyle name="Note 2 6 17 4" xfId="26679"/>
    <cellStyle name="Note 2 6 17 5" xfId="35526"/>
    <cellStyle name="Note 2 6 17 6" xfId="36929"/>
    <cellStyle name="Note 2 6 17 7" xfId="54448"/>
    <cellStyle name="Note 2 6 18" xfId="2702"/>
    <cellStyle name="Note 2 6 18 2" xfId="10525"/>
    <cellStyle name="Note 2 6 18 3" xfId="17953"/>
    <cellStyle name="Note 2 6 18 4" xfId="25901"/>
    <cellStyle name="Note 2 6 18 5" xfId="34496"/>
    <cellStyle name="Note 2 6 18 6" xfId="39686"/>
    <cellStyle name="Note 2 6 18 7" xfId="52781"/>
    <cellStyle name="Note 2 6 19" xfId="2827"/>
    <cellStyle name="Note 2 6 19 2" xfId="10650"/>
    <cellStyle name="Note 2 6 19 3" xfId="18078"/>
    <cellStyle name="Note 2 6 19 4" xfId="19950"/>
    <cellStyle name="Note 2 6 19 5" xfId="27544"/>
    <cellStyle name="Note 2 6 19 6" xfId="41744"/>
    <cellStyle name="Note 2 6 19 7" xfId="48603"/>
    <cellStyle name="Note 2 6 2" xfId="695"/>
    <cellStyle name="Note 2 6 2 2" xfId="8519"/>
    <cellStyle name="Note 2 6 2 3" xfId="15947"/>
    <cellStyle name="Note 2 6 2 4" xfId="26619"/>
    <cellStyle name="Note 2 6 2 5" xfId="35451"/>
    <cellStyle name="Note 2 6 2 6" xfId="38235"/>
    <cellStyle name="Note 2 6 2 7" xfId="54326"/>
    <cellStyle name="Note 2 6 20" xfId="2934"/>
    <cellStyle name="Note 2 6 20 2" xfId="10757"/>
    <cellStyle name="Note 2 6 20 3" xfId="18185"/>
    <cellStyle name="Note 2 6 20 4" xfId="25865"/>
    <cellStyle name="Note 2 6 20 5" xfId="34453"/>
    <cellStyle name="Note 2 6 20 6" xfId="40820"/>
    <cellStyle name="Note 2 6 20 7" xfId="52703"/>
    <cellStyle name="Note 2 6 21" xfId="3310"/>
    <cellStyle name="Note 2 6 21 2" xfId="11103"/>
    <cellStyle name="Note 2 6 21 3" xfId="18432"/>
    <cellStyle name="Note 2 6 21 4" xfId="25025"/>
    <cellStyle name="Note 2 6 21 5" xfId="33380"/>
    <cellStyle name="Note 2 6 21 6" xfId="38475"/>
    <cellStyle name="Note 2 6 21 7" xfId="50853"/>
    <cellStyle name="Note 2 6 22" xfId="3430"/>
    <cellStyle name="Note 2 6 22 2" xfId="11221"/>
    <cellStyle name="Note 2 6 22 3" xfId="18543"/>
    <cellStyle name="Note 2 6 22 4" xfId="26703"/>
    <cellStyle name="Note 2 6 22 5" xfId="35556"/>
    <cellStyle name="Note 2 6 22 6" xfId="41237"/>
    <cellStyle name="Note 2 6 22 7" xfId="54500"/>
    <cellStyle name="Note 2 6 23" xfId="3554"/>
    <cellStyle name="Note 2 6 23 2" xfId="11343"/>
    <cellStyle name="Note 2 6 23 3" xfId="18629"/>
    <cellStyle name="Note 2 6 23 4" xfId="20089"/>
    <cellStyle name="Note 2 6 23 5" xfId="26951"/>
    <cellStyle name="Note 2 6 23 6" xfId="37893"/>
    <cellStyle name="Note 2 6 23 7" xfId="49077"/>
    <cellStyle name="Note 2 6 24" xfId="3226"/>
    <cellStyle name="Note 2 6 24 2" xfId="11022"/>
    <cellStyle name="Note 2 6 24 3" xfId="18359"/>
    <cellStyle name="Note 2 6 24 4" xfId="26038"/>
    <cellStyle name="Note 2 6 24 5" xfId="34671"/>
    <cellStyle name="Note 2 6 24 6" xfId="39815"/>
    <cellStyle name="Note 2 6 24 7" xfId="53069"/>
    <cellStyle name="Note 2 6 25" xfId="3701"/>
    <cellStyle name="Note 2 6 25 2" xfId="11486"/>
    <cellStyle name="Note 2 6 25 3" xfId="18759"/>
    <cellStyle name="Note 2 6 25 4" xfId="19046"/>
    <cellStyle name="Note 2 6 25 5" xfId="27437"/>
    <cellStyle name="Note 2 6 25 6" xfId="39986"/>
    <cellStyle name="Note 2 6 25 7" xfId="49249"/>
    <cellStyle name="Note 2 6 26" xfId="3831"/>
    <cellStyle name="Note 2 6 26 2" xfId="11613"/>
    <cellStyle name="Note 2 6 26 3" xfId="18870"/>
    <cellStyle name="Note 2 6 26 4" xfId="25241"/>
    <cellStyle name="Note 2 6 26 5" xfId="33645"/>
    <cellStyle name="Note 2 6 26 6" xfId="38782"/>
    <cellStyle name="Note 2 6 26 7" xfId="51300"/>
    <cellStyle name="Note 2 6 27" xfId="3949"/>
    <cellStyle name="Note 2 6 27 2" xfId="11729"/>
    <cellStyle name="Note 2 6 27 3" xfId="18979"/>
    <cellStyle name="Note 2 6 27 4" xfId="26290"/>
    <cellStyle name="Note 2 6 27 5" xfId="34999"/>
    <cellStyle name="Note 2 6 27 6" xfId="41972"/>
    <cellStyle name="Note 2 6 27 7" xfId="53620"/>
    <cellStyle name="Note 2 6 28" xfId="3138"/>
    <cellStyle name="Note 2 6 28 2" xfId="10943"/>
    <cellStyle name="Note 2 6 28 3" xfId="20276"/>
    <cellStyle name="Note 2 6 28 4" xfId="28371"/>
    <cellStyle name="Note 2 6 28 5" xfId="28257"/>
    <cellStyle name="Note 2 6 28 6" xfId="42407"/>
    <cellStyle name="Note 2 6 28 7" xfId="47731"/>
    <cellStyle name="Note 2 6 29" xfId="4146"/>
    <cellStyle name="Note 2 6 29 2" xfId="11905"/>
    <cellStyle name="Note 2 6 29 3" xfId="20856"/>
    <cellStyle name="Note 2 6 29 4" xfId="29043"/>
    <cellStyle name="Note 2 6 29 5" xfId="27032"/>
    <cellStyle name="Note 2 6 29 6" xfId="42708"/>
    <cellStyle name="Note 2 6 29 7" xfId="49853"/>
    <cellStyle name="Note 2 6 3" xfId="803"/>
    <cellStyle name="Note 2 6 3 2" xfId="8627"/>
    <cellStyle name="Note 2 6 3 3" xfId="16055"/>
    <cellStyle name="Note 2 6 3 4" xfId="19180"/>
    <cellStyle name="Note 2 6 3 5" xfId="26915"/>
    <cellStyle name="Note 2 6 3 6" xfId="36911"/>
    <cellStyle name="Note 2 6 3 7" xfId="49173"/>
    <cellStyle name="Note 2 6 30" xfId="3038"/>
    <cellStyle name="Note 2 6 30 2" xfId="20206"/>
    <cellStyle name="Note 2 6 30 3" xfId="28297"/>
    <cellStyle name="Note 2 6 30 4" xfId="35198"/>
    <cellStyle name="Note 2 6 30 5" xfId="42365"/>
    <cellStyle name="Note 2 6 30 6" xfId="49082"/>
    <cellStyle name="Note 2 6 31" xfId="4343"/>
    <cellStyle name="Note 2 6 31 2" xfId="12060"/>
    <cellStyle name="Note 2 6 31 3" xfId="21053"/>
    <cellStyle name="Note 2 6 31 4" xfId="29240"/>
    <cellStyle name="Note 2 6 31 5" xfId="27464"/>
    <cellStyle name="Note 2 6 31 6" xfId="42905"/>
    <cellStyle name="Note 2 6 31 7" xfId="48417"/>
    <cellStyle name="Note 2 6 32" xfId="4466"/>
    <cellStyle name="Note 2 6 32 2" xfId="12183"/>
    <cellStyle name="Note 2 6 32 3" xfId="21176"/>
    <cellStyle name="Note 2 6 32 4" xfId="29363"/>
    <cellStyle name="Note 2 6 32 5" xfId="33490"/>
    <cellStyle name="Note 2 6 32 6" xfId="43028"/>
    <cellStyle name="Note 2 6 32 7" xfId="48675"/>
    <cellStyle name="Note 2 6 33" xfId="4580"/>
    <cellStyle name="Note 2 6 33 2" xfId="12297"/>
    <cellStyle name="Note 2 6 33 3" xfId="21290"/>
    <cellStyle name="Note 2 6 33 4" xfId="29477"/>
    <cellStyle name="Note 2 6 33 5" xfId="35696"/>
    <cellStyle name="Note 2 6 33 6" xfId="43142"/>
    <cellStyle name="Note 2 6 33 7" xfId="51948"/>
    <cellStyle name="Note 2 6 34" xfId="4693"/>
    <cellStyle name="Note 2 6 34 2" xfId="12410"/>
    <cellStyle name="Note 2 6 34 3" xfId="21403"/>
    <cellStyle name="Note 2 6 34 4" xfId="29590"/>
    <cellStyle name="Note 2 6 34 5" xfId="34775"/>
    <cellStyle name="Note 2 6 34 6" xfId="43255"/>
    <cellStyle name="Note 2 6 34 7" xfId="50821"/>
    <cellStyle name="Note 2 6 35" xfId="4804"/>
    <cellStyle name="Note 2 6 35 2" xfId="12521"/>
    <cellStyle name="Note 2 6 35 3" xfId="21514"/>
    <cellStyle name="Note 2 6 35 4" xfId="29701"/>
    <cellStyle name="Note 2 6 35 5" xfId="33797"/>
    <cellStyle name="Note 2 6 35 6" xfId="43366"/>
    <cellStyle name="Note 2 6 35 7" xfId="51229"/>
    <cellStyle name="Note 2 6 36" xfId="4913"/>
    <cellStyle name="Note 2 6 36 2" xfId="12630"/>
    <cellStyle name="Note 2 6 36 3" xfId="21623"/>
    <cellStyle name="Note 2 6 36 4" xfId="29810"/>
    <cellStyle name="Note 2 6 36 5" xfId="34590"/>
    <cellStyle name="Note 2 6 36 6" xfId="43475"/>
    <cellStyle name="Note 2 6 36 7" xfId="47890"/>
    <cellStyle name="Note 2 6 37" xfId="5024"/>
    <cellStyle name="Note 2 6 37 2" xfId="12741"/>
    <cellStyle name="Note 2 6 37 3" xfId="21734"/>
    <cellStyle name="Note 2 6 37 4" xfId="29921"/>
    <cellStyle name="Note 2 6 37 5" xfId="35636"/>
    <cellStyle name="Note 2 6 37 6" xfId="43586"/>
    <cellStyle name="Note 2 6 37 7" xfId="51643"/>
    <cellStyle name="Note 2 6 38" xfId="5403"/>
    <cellStyle name="Note 2 6 38 2" xfId="13120"/>
    <cellStyle name="Note 2 6 38 3" xfId="22113"/>
    <cellStyle name="Note 2 6 38 4" xfId="30300"/>
    <cellStyle name="Note 2 6 38 5" xfId="33970"/>
    <cellStyle name="Note 2 6 38 6" xfId="43965"/>
    <cellStyle name="Note 2 6 38 7" xfId="50960"/>
    <cellStyle name="Note 2 6 39" xfId="5523"/>
    <cellStyle name="Note 2 6 39 2" xfId="13240"/>
    <cellStyle name="Note 2 6 39 3" xfId="22233"/>
    <cellStyle name="Note 2 6 39 4" xfId="30420"/>
    <cellStyle name="Note 2 6 39 5" xfId="34114"/>
    <cellStyle name="Note 2 6 39 6" xfId="44085"/>
    <cellStyle name="Note 2 6 39 7" xfId="46917"/>
    <cellStyle name="Note 2 6 4" xfId="914"/>
    <cellStyle name="Note 2 6 4 2" xfId="8738"/>
    <cellStyle name="Note 2 6 4 3" xfId="16166"/>
    <cellStyle name="Note 2 6 4 4" xfId="25818"/>
    <cellStyle name="Note 2 6 4 5" xfId="34399"/>
    <cellStyle name="Note 2 6 4 6" xfId="38064"/>
    <cellStyle name="Note 2 6 4 7" xfId="52601"/>
    <cellStyle name="Note 2 6 40" xfId="5647"/>
    <cellStyle name="Note 2 6 40 2" xfId="13364"/>
    <cellStyle name="Note 2 6 40 3" xfId="22357"/>
    <cellStyle name="Note 2 6 40 4" xfId="30544"/>
    <cellStyle name="Note 2 6 40 5" xfId="27082"/>
    <cellStyle name="Note 2 6 40 6" xfId="44209"/>
    <cellStyle name="Note 2 6 40 7" xfId="47199"/>
    <cellStyle name="Note 2 6 41" xfId="5763"/>
    <cellStyle name="Note 2 6 41 2" xfId="13480"/>
    <cellStyle name="Note 2 6 41 3" xfId="22473"/>
    <cellStyle name="Note 2 6 41 4" xfId="30660"/>
    <cellStyle name="Note 2 6 41 5" xfId="35260"/>
    <cellStyle name="Note 2 6 41 6" xfId="44325"/>
    <cellStyle name="Note 2 6 41 7" xfId="47514"/>
    <cellStyle name="Note 2 6 42" xfId="5879"/>
    <cellStyle name="Note 2 6 42 2" xfId="13596"/>
    <cellStyle name="Note 2 6 42 3" xfId="22589"/>
    <cellStyle name="Note 2 6 42 4" xfId="30776"/>
    <cellStyle name="Note 2 6 42 5" xfId="35697"/>
    <cellStyle name="Note 2 6 42 6" xfId="44441"/>
    <cellStyle name="Note 2 6 42 7" xfId="51390"/>
    <cellStyle name="Note 2 6 43" xfId="6008"/>
    <cellStyle name="Note 2 6 43 2" xfId="13725"/>
    <cellStyle name="Note 2 6 43 3" xfId="22718"/>
    <cellStyle name="Note 2 6 43 4" xfId="30905"/>
    <cellStyle name="Note 2 6 43 5" xfId="36121"/>
    <cellStyle name="Note 2 6 43 6" xfId="44570"/>
    <cellStyle name="Note 2 6 43 7" xfId="53732"/>
    <cellStyle name="Note 2 6 44" xfId="6104"/>
    <cellStyle name="Note 2 6 44 2" xfId="13821"/>
    <cellStyle name="Note 2 6 44 3" xfId="22814"/>
    <cellStyle name="Note 2 6 44 4" xfId="31001"/>
    <cellStyle name="Note 2 6 44 5" xfId="28070"/>
    <cellStyle name="Note 2 6 44 6" xfId="44666"/>
    <cellStyle name="Note 2 6 44 7" xfId="47529"/>
    <cellStyle name="Note 2 6 45" xfId="5348"/>
    <cellStyle name="Note 2 6 45 2" xfId="13065"/>
    <cellStyle name="Note 2 6 45 3" xfId="22058"/>
    <cellStyle name="Note 2 6 45 4" xfId="30245"/>
    <cellStyle name="Note 2 6 45 5" xfId="26768"/>
    <cellStyle name="Note 2 6 45 6" xfId="43910"/>
    <cellStyle name="Note 2 6 45 7" xfId="49208"/>
    <cellStyle name="Note 2 6 46" xfId="6264"/>
    <cellStyle name="Note 2 6 46 2" xfId="13981"/>
    <cellStyle name="Note 2 6 46 3" xfId="22974"/>
    <cellStyle name="Note 2 6 46 4" xfId="31161"/>
    <cellStyle name="Note 2 6 46 5" xfId="33597"/>
    <cellStyle name="Note 2 6 46 6" xfId="44826"/>
    <cellStyle name="Note 2 6 46 7" xfId="48751"/>
    <cellStyle name="Note 2 6 47" xfId="6380"/>
    <cellStyle name="Note 2 6 47 2" xfId="14097"/>
    <cellStyle name="Note 2 6 47 3" xfId="23090"/>
    <cellStyle name="Note 2 6 47 4" xfId="31277"/>
    <cellStyle name="Note 2 6 47 5" xfId="35772"/>
    <cellStyle name="Note 2 6 47 6" xfId="44942"/>
    <cellStyle name="Note 2 6 47 7" xfId="52135"/>
    <cellStyle name="Note 2 6 48" xfId="6491"/>
    <cellStyle name="Note 2 6 48 2" xfId="14208"/>
    <cellStyle name="Note 2 6 48 3" xfId="23201"/>
    <cellStyle name="Note 2 6 48 4" xfId="31388"/>
    <cellStyle name="Note 2 6 48 5" xfId="36202"/>
    <cellStyle name="Note 2 6 48 6" xfId="45053"/>
    <cellStyle name="Note 2 6 48 7" xfId="54071"/>
    <cellStyle name="Note 2 6 49" xfId="6083"/>
    <cellStyle name="Note 2 6 49 2" xfId="13800"/>
    <cellStyle name="Note 2 6 49 3" xfId="22793"/>
    <cellStyle name="Note 2 6 49 4" xfId="30980"/>
    <cellStyle name="Note 2 6 49 5" xfId="35987"/>
    <cellStyle name="Note 2 6 49 6" xfId="44645"/>
    <cellStyle name="Note 2 6 49 7" xfId="53149"/>
    <cellStyle name="Note 2 6 5" xfId="1380"/>
    <cellStyle name="Note 2 6 5 2" xfId="9203"/>
    <cellStyle name="Note 2 6 5 3" xfId="16631"/>
    <cellStyle name="Note 2 6 5 4" xfId="20387"/>
    <cellStyle name="Note 2 6 5 5" xfId="28567"/>
    <cellStyle name="Note 2 6 5 6" xfId="37832"/>
    <cellStyle name="Note 2 6 5 7" xfId="47639"/>
    <cellStyle name="Note 2 6 50" xfId="6637"/>
    <cellStyle name="Note 2 6 50 2" xfId="14354"/>
    <cellStyle name="Note 2 6 50 3" xfId="23347"/>
    <cellStyle name="Note 2 6 50 4" xfId="31534"/>
    <cellStyle name="Note 2 6 50 5" xfId="26875"/>
    <cellStyle name="Note 2 6 50 6" xfId="45199"/>
    <cellStyle name="Note 2 6 50 7" xfId="54505"/>
    <cellStyle name="Note 2 6 51" xfId="6749"/>
    <cellStyle name="Note 2 6 51 2" xfId="14466"/>
    <cellStyle name="Note 2 6 51 3" xfId="23459"/>
    <cellStyle name="Note 2 6 51 4" xfId="31646"/>
    <cellStyle name="Note 2 6 51 5" xfId="26832"/>
    <cellStyle name="Note 2 6 51 6" xfId="45311"/>
    <cellStyle name="Note 2 6 51 7" xfId="49987"/>
    <cellStyle name="Note 2 6 52" xfId="6864"/>
    <cellStyle name="Note 2 6 52 2" xfId="14581"/>
    <cellStyle name="Note 2 6 52 3" xfId="23574"/>
    <cellStyle name="Note 2 6 52 4" xfId="31761"/>
    <cellStyle name="Note 2 6 52 5" xfId="36231"/>
    <cellStyle name="Note 2 6 52 6" xfId="45426"/>
    <cellStyle name="Note 2 6 52 7" xfId="47070"/>
    <cellStyle name="Note 2 6 53" xfId="6977"/>
    <cellStyle name="Note 2 6 53 2" xfId="14694"/>
    <cellStyle name="Note 2 6 53 3" xfId="23687"/>
    <cellStyle name="Note 2 6 53 4" xfId="31874"/>
    <cellStyle name="Note 2 6 53 5" xfId="34987"/>
    <cellStyle name="Note 2 6 53 6" xfId="45539"/>
    <cellStyle name="Note 2 6 53 7" xfId="47027"/>
    <cellStyle name="Note 2 6 54" xfId="7088"/>
    <cellStyle name="Note 2 6 54 2" xfId="14805"/>
    <cellStyle name="Note 2 6 54 3" xfId="23798"/>
    <cellStyle name="Note 2 6 54 4" xfId="31985"/>
    <cellStyle name="Note 2 6 54 5" xfId="35060"/>
    <cellStyle name="Note 2 6 54 6" xfId="45650"/>
    <cellStyle name="Note 2 6 54 7" xfId="50400"/>
    <cellStyle name="Note 2 6 55" xfId="7189"/>
    <cellStyle name="Note 2 6 55 2" xfId="14906"/>
    <cellStyle name="Note 2 6 55 3" xfId="23899"/>
    <cellStyle name="Note 2 6 55 4" xfId="32086"/>
    <cellStyle name="Note 2 6 55 5" xfId="35936"/>
    <cellStyle name="Note 2 6 55 6" xfId="45751"/>
    <cellStyle name="Note 2 6 55 7" xfId="52651"/>
    <cellStyle name="Note 2 6 56" xfId="7406"/>
    <cellStyle name="Note 2 6 56 2" xfId="15123"/>
    <cellStyle name="Note 2 6 56 3" xfId="24116"/>
    <cellStyle name="Note 2 6 56 4" xfId="32303"/>
    <cellStyle name="Note 2 6 56 5" xfId="35963"/>
    <cellStyle name="Note 2 6 56 6" xfId="45968"/>
    <cellStyle name="Note 2 6 56 7" xfId="52904"/>
    <cellStyle name="Note 2 6 57" xfId="7485"/>
    <cellStyle name="Note 2 6 57 2" xfId="15202"/>
    <cellStyle name="Note 2 6 57 3" xfId="24195"/>
    <cellStyle name="Note 2 6 57 4" xfId="32382"/>
    <cellStyle name="Note 2 6 57 5" xfId="35802"/>
    <cellStyle name="Note 2 6 57 6" xfId="46047"/>
    <cellStyle name="Note 2 6 57 7" xfId="52010"/>
    <cellStyle name="Note 2 6 58" xfId="7606"/>
    <cellStyle name="Note 2 6 58 2" xfId="15323"/>
    <cellStyle name="Note 2 6 58 3" xfId="24316"/>
    <cellStyle name="Note 2 6 58 4" xfId="32503"/>
    <cellStyle name="Note 2 6 58 5" xfId="35184"/>
    <cellStyle name="Note 2 6 58 6" xfId="46168"/>
    <cellStyle name="Note 2 6 58 7" xfId="48340"/>
    <cellStyle name="Note 2 6 59" xfId="7882"/>
    <cellStyle name="Note 2 6 59 2" xfId="15599"/>
    <cellStyle name="Note 2 6 59 3" xfId="24586"/>
    <cellStyle name="Note 2 6 59 4" xfId="32779"/>
    <cellStyle name="Note 2 6 59 5" xfId="35778"/>
    <cellStyle name="Note 2 6 59 6" xfId="46444"/>
    <cellStyle name="Note 2 6 59 7" xfId="52634"/>
    <cellStyle name="Note 2 6 6" xfId="1503"/>
    <cellStyle name="Note 2 6 6 2" xfId="9326"/>
    <cellStyle name="Note 2 6 6 3" xfId="16754"/>
    <cellStyle name="Note 2 6 6 4" xfId="20676"/>
    <cellStyle name="Note 2 6 6 5" xfId="27204"/>
    <cellStyle name="Note 2 6 6 6" xfId="40933"/>
    <cellStyle name="Note 2 6 6 7" xfId="47607"/>
    <cellStyle name="Note 2 6 60" xfId="7775"/>
    <cellStyle name="Note 2 6 60 2" xfId="15492"/>
    <cellStyle name="Note 2 6 60 3" xfId="24481"/>
    <cellStyle name="Note 2 6 60 4" xfId="32672"/>
    <cellStyle name="Note 2 6 60 5" xfId="33585"/>
    <cellStyle name="Note 2 6 60 6" xfId="46337"/>
    <cellStyle name="Note 2 6 60 7" xfId="49633"/>
    <cellStyle name="Note 2 6 61" xfId="8010"/>
    <cellStyle name="Note 2 6 61 2" xfId="15727"/>
    <cellStyle name="Note 2 6 61 3" xfId="24712"/>
    <cellStyle name="Note 2 6 61 4" xfId="32907"/>
    <cellStyle name="Note 2 6 61 5" xfId="34332"/>
    <cellStyle name="Note 2 6 61 6" xfId="46572"/>
    <cellStyle name="Note 2 6 61 7" xfId="48850"/>
    <cellStyle name="Note 2 6 62" xfId="7691"/>
    <cellStyle name="Note 2 6 62 2" xfId="15408"/>
    <cellStyle name="Note 2 6 62 3" xfId="24399"/>
    <cellStyle name="Note 2 6 62 4" xfId="32588"/>
    <cellStyle name="Note 2 6 62 5" xfId="35994"/>
    <cellStyle name="Note 2 6 62 6" xfId="46253"/>
    <cellStyle name="Note 2 6 62 7" xfId="51747"/>
    <cellStyle name="Note 2 6 63" xfId="8158"/>
    <cellStyle name="Note 2 6 63 2" xfId="15875"/>
    <cellStyle name="Note 2 6 63 3" xfId="33055"/>
    <cellStyle name="Note 2 6 63 4" xfId="28282"/>
    <cellStyle name="Note 2 6 63 5" xfId="46720"/>
    <cellStyle name="Note 2 6 63 6" xfId="47710"/>
    <cellStyle name="Note 2 6 64" xfId="20392"/>
    <cellStyle name="Note 2 6 65" xfId="27362"/>
    <cellStyle name="Note 2 6 66" xfId="36308"/>
    <cellStyle name="Note 2 6 67" xfId="48535"/>
    <cellStyle name="Note 2 6 7" xfId="1147"/>
    <cellStyle name="Note 2 6 7 2" xfId="8970"/>
    <cellStyle name="Note 2 6 7 3" xfId="16398"/>
    <cellStyle name="Note 2 6 7 4" xfId="19236"/>
    <cellStyle name="Note 2 6 7 5" xfId="27110"/>
    <cellStyle name="Note 2 6 7 6" xfId="40337"/>
    <cellStyle name="Note 2 6 7 7" xfId="49983"/>
    <cellStyle name="Note 2 6 8" xfId="1740"/>
    <cellStyle name="Note 2 6 8 2" xfId="9563"/>
    <cellStyle name="Note 2 6 8 3" xfId="16991"/>
    <cellStyle name="Note 2 6 8 4" xfId="19429"/>
    <cellStyle name="Note 2 6 8 5" xfId="27444"/>
    <cellStyle name="Note 2 6 8 6" xfId="40395"/>
    <cellStyle name="Note 2 6 8 7" xfId="50182"/>
    <cellStyle name="Note 2 6 9" xfId="1874"/>
    <cellStyle name="Note 2 6 9 2" xfId="9697"/>
    <cellStyle name="Note 2 6 9 3" xfId="17125"/>
    <cellStyle name="Note 2 6 9 4" xfId="24979"/>
    <cellStyle name="Note 2 6 9 5" xfId="33322"/>
    <cellStyle name="Note 2 6 9 6" xfId="39944"/>
    <cellStyle name="Note 2 6 9 7" xfId="50743"/>
    <cellStyle name="Note 2 7" xfId="623"/>
    <cellStyle name="Note 2 7 2" xfId="8447"/>
    <cellStyle name="Note 2 7 3" xfId="11965"/>
    <cellStyle name="Note 2 7 4" xfId="20516"/>
    <cellStyle name="Note 2 7 5" xfId="28437"/>
    <cellStyle name="Note 2 7 6" xfId="37506"/>
    <cellStyle name="Note 2 7 7" xfId="48570"/>
    <cellStyle name="Note 2 8" xfId="610"/>
    <cellStyle name="Note 2 8 2" xfId="8434"/>
    <cellStyle name="Note 2 8 3" xfId="8305"/>
    <cellStyle name="Note 2 8 4" xfId="19494"/>
    <cellStyle name="Note 2 8 5" xfId="27281"/>
    <cellStyle name="Note 2 8 6" xfId="36842"/>
    <cellStyle name="Note 2 8 7" xfId="47747"/>
    <cellStyle name="Note 2 9" xfId="1072"/>
    <cellStyle name="Note 2 9 2" xfId="8896"/>
    <cellStyle name="Note 2 9 3" xfId="16324"/>
    <cellStyle name="Note 2 9 4" xfId="19384"/>
    <cellStyle name="Note 2 9 5" xfId="27716"/>
    <cellStyle name="Note 2 9 6" xfId="37321"/>
    <cellStyle name="Note 2 9 7" xfId="50125"/>
    <cellStyle name="Note 3" xfId="157"/>
    <cellStyle name="Note 3 10" xfId="1241"/>
    <cellStyle name="Note 3 10 2" xfId="9064"/>
    <cellStyle name="Note 3 10 3" xfId="16492"/>
    <cellStyle name="Note 3 10 4" xfId="19849"/>
    <cellStyle name="Note 3 10 5" xfId="28866"/>
    <cellStyle name="Note 3 10 6" xfId="36628"/>
    <cellStyle name="Note 3 10 7" xfId="47845"/>
    <cellStyle name="Note 3 11" xfId="1151"/>
    <cellStyle name="Note 3 11 2" xfId="8974"/>
    <cellStyle name="Note 3 11 3" xfId="16402"/>
    <cellStyle name="Note 3 11 4" xfId="19584"/>
    <cellStyle name="Note 3 11 5" xfId="28017"/>
    <cellStyle name="Note 3 11 6" xfId="39980"/>
    <cellStyle name="Note 3 11 7" xfId="49405"/>
    <cellStyle name="Note 3 12" xfId="1150"/>
    <cellStyle name="Note 3 12 2" xfId="8973"/>
    <cellStyle name="Note 3 12 3" xfId="16401"/>
    <cellStyle name="Note 3 12 4" xfId="19624"/>
    <cellStyle name="Note 3 12 5" xfId="27230"/>
    <cellStyle name="Note 3 12 6" xfId="40093"/>
    <cellStyle name="Note 3 12 7" xfId="47390"/>
    <cellStyle name="Note 3 13" xfId="2300"/>
    <cellStyle name="Note 3 13 2" xfId="10123"/>
    <cellStyle name="Note 3 13 3" xfId="17551"/>
    <cellStyle name="Note 3 13 4" xfId="20591"/>
    <cellStyle name="Note 3 13 5" xfId="28180"/>
    <cellStyle name="Note 3 13 6" xfId="38340"/>
    <cellStyle name="Note 3 13 7" xfId="49572"/>
    <cellStyle name="Note 3 14" xfId="2416"/>
    <cellStyle name="Note 3 14 2" xfId="10239"/>
    <cellStyle name="Note 3 14 3" xfId="17667"/>
    <cellStyle name="Note 3 14 4" xfId="25765"/>
    <cellStyle name="Note 3 14 5" xfId="34321"/>
    <cellStyle name="Note 3 14 6" xfId="38176"/>
    <cellStyle name="Note 3 14 7" xfId="52465"/>
    <cellStyle name="Note 3 15" xfId="2412"/>
    <cellStyle name="Note 3 15 2" xfId="10235"/>
    <cellStyle name="Note 3 15 3" xfId="17663"/>
    <cellStyle name="Note 3 15 4" xfId="25966"/>
    <cellStyle name="Note 3 15 5" xfId="34575"/>
    <cellStyle name="Note 3 15 6" xfId="36471"/>
    <cellStyle name="Note 3 15 7" xfId="52920"/>
    <cellStyle name="Note 3 16" xfId="3096"/>
    <cellStyle name="Note 3 16 2" xfId="10902"/>
    <cellStyle name="Note 3 16 3" xfId="18285"/>
    <cellStyle name="Note 3 16 4" xfId="25040"/>
    <cellStyle name="Note 3 16 5" xfId="33398"/>
    <cellStyle name="Note 3 16 6" xfId="37490"/>
    <cellStyle name="Note 3 16 7" xfId="50880"/>
    <cellStyle name="Note 3 17" xfId="3492"/>
    <cellStyle name="Note 3 17 2" xfId="11283"/>
    <cellStyle name="Note 3 17 3" xfId="18590"/>
    <cellStyle name="Note 3 17 4" xfId="25425"/>
    <cellStyle name="Note 3 17 5" xfId="33881"/>
    <cellStyle name="Note 3 17 6" xfId="39436"/>
    <cellStyle name="Note 3 17 7" xfId="51696"/>
    <cellStyle name="Note 3 18" xfId="3635"/>
    <cellStyle name="Note 3 18 2" xfId="11420"/>
    <cellStyle name="Note 3 18 3" xfId="18693"/>
    <cellStyle name="Note 3 18 4" xfId="19442"/>
    <cellStyle name="Note 3 18 5" xfId="28554"/>
    <cellStyle name="Note 3 18 6" xfId="41513"/>
    <cellStyle name="Note 3 18 7" xfId="47250"/>
    <cellStyle name="Note 3 19" xfId="3228"/>
    <cellStyle name="Note 3 19 2" xfId="11024"/>
    <cellStyle name="Note 3 19 3" xfId="20348"/>
    <cellStyle name="Note 3 19 4" xfId="28438"/>
    <cellStyle name="Note 3 19 5" xfId="35680"/>
    <cellStyle name="Note 3 19 6" xfId="42453"/>
    <cellStyle name="Note 3 19 7" xfId="51829"/>
    <cellStyle name="Note 3 2" xfId="204"/>
    <cellStyle name="Note 3 2 10" xfId="1423"/>
    <cellStyle name="Note 3 2 10 2" xfId="9246"/>
    <cellStyle name="Note 3 2 10 3" xfId="16674"/>
    <cellStyle name="Note 3 2 10 4" xfId="26404"/>
    <cellStyle name="Note 3 2 10 5" xfId="35156"/>
    <cellStyle name="Note 3 2 10 6" xfId="41704"/>
    <cellStyle name="Note 3 2 10 7" xfId="53855"/>
    <cellStyle name="Note 3 2 11" xfId="1231"/>
    <cellStyle name="Note 3 2 11 2" xfId="9054"/>
    <cellStyle name="Note 3 2 11 3" xfId="16482"/>
    <cellStyle name="Note 3 2 11 4" xfId="19672"/>
    <cellStyle name="Note 3 2 11 5" xfId="27265"/>
    <cellStyle name="Note 3 2 11 6" xfId="38200"/>
    <cellStyle name="Note 3 2 11 7" xfId="47280"/>
    <cellStyle name="Note 3 2 12" xfId="1594"/>
    <cellStyle name="Note 3 2 12 2" xfId="9417"/>
    <cellStyle name="Note 3 2 12 3" xfId="16845"/>
    <cellStyle name="Note 3 2 12 4" xfId="19353"/>
    <cellStyle name="Note 3 2 12 5" xfId="28151"/>
    <cellStyle name="Note 3 2 12 6" xfId="39013"/>
    <cellStyle name="Note 3 2 12 7" xfId="49623"/>
    <cellStyle name="Note 3 2 13" xfId="2358"/>
    <cellStyle name="Note 3 2 13 2" xfId="10181"/>
    <cellStyle name="Note 3 2 13 3" xfId="17609"/>
    <cellStyle name="Note 3 2 13 4" xfId="25063"/>
    <cellStyle name="Note 3 2 13 5" xfId="33423"/>
    <cellStyle name="Note 3 2 13 6" xfId="37845"/>
    <cellStyle name="Note 3 2 13 7" xfId="50934"/>
    <cellStyle name="Note 3 2 14" xfId="2320"/>
    <cellStyle name="Note 3 2 14 2" xfId="10143"/>
    <cellStyle name="Note 3 2 14 3" xfId="17571"/>
    <cellStyle name="Note 3 2 14 4" xfId="25411"/>
    <cellStyle name="Note 3 2 14 5" xfId="33867"/>
    <cellStyle name="Note 3 2 14 6" xfId="41419"/>
    <cellStyle name="Note 3 2 14 7" xfId="51673"/>
    <cellStyle name="Note 3 2 15" xfId="3160"/>
    <cellStyle name="Note 3 2 15 2" xfId="10962"/>
    <cellStyle name="Note 3 2 15 3" xfId="18332"/>
    <cellStyle name="Note 3 2 15 4" xfId="26170"/>
    <cellStyle name="Note 3 2 15 5" xfId="34841"/>
    <cellStyle name="Note 3 2 15 6" xfId="38899"/>
    <cellStyle name="Note 3 2 15 7" xfId="53364"/>
    <cellStyle name="Note 3 2 16" xfId="3588"/>
    <cellStyle name="Note 3 2 16 2" xfId="11374"/>
    <cellStyle name="Note 3 2 16 3" xfId="18650"/>
    <cellStyle name="Note 3 2 16 4" xfId="26106"/>
    <cellStyle name="Note 3 2 16 5" xfId="34761"/>
    <cellStyle name="Note 3 2 16 6" xfId="40627"/>
    <cellStyle name="Note 3 2 16 7" xfId="53222"/>
    <cellStyle name="Note 3 2 17" xfId="3240"/>
    <cellStyle name="Note 3 2 17 2" xfId="11033"/>
    <cellStyle name="Note 3 2 17 3" xfId="18364"/>
    <cellStyle name="Note 3 2 17 4" xfId="25518"/>
    <cellStyle name="Note 3 2 17 5" xfId="33996"/>
    <cellStyle name="Note 3 2 17 6" xfId="37717"/>
    <cellStyle name="Note 3 2 17 7" xfId="51906"/>
    <cellStyle name="Note 3 2 18" xfId="4074"/>
    <cellStyle name="Note 3 2 18 2" xfId="11836"/>
    <cellStyle name="Note 3 2 18 3" xfId="20784"/>
    <cellStyle name="Note 3 2 18 4" xfId="28971"/>
    <cellStyle name="Note 3 2 18 5" xfId="34252"/>
    <cellStyle name="Note 3 2 18 6" xfId="42636"/>
    <cellStyle name="Note 3 2 18 7" xfId="49584"/>
    <cellStyle name="Note 3 2 19" xfId="4011"/>
    <cellStyle name="Note 3 2 19 2" xfId="11790"/>
    <cellStyle name="Note 3 2 19 3" xfId="20721"/>
    <cellStyle name="Note 3 2 19 4" xfId="28908"/>
    <cellStyle name="Note 3 2 19 5" xfId="28046"/>
    <cellStyle name="Note 3 2 19 6" xfId="42573"/>
    <cellStyle name="Note 3 2 19 7" xfId="48780"/>
    <cellStyle name="Note 3 2 2" xfId="274"/>
    <cellStyle name="Note 3 2 2 10" xfId="1142"/>
    <cellStyle name="Note 3 2 2 10 2" xfId="8965"/>
    <cellStyle name="Note 3 2 2 10 3" xfId="16393"/>
    <cellStyle name="Note 3 2 2 10 4" xfId="19134"/>
    <cellStyle name="Note 3 2 2 10 5" xfId="33116"/>
    <cellStyle name="Note 3 2 2 10 6" xfId="36784"/>
    <cellStyle name="Note 3 2 2 10 7" xfId="49848"/>
    <cellStyle name="Note 3 2 2 11" xfId="1313"/>
    <cellStyle name="Note 3 2 2 11 2" xfId="9136"/>
    <cellStyle name="Note 3 2 2 11 3" xfId="16564"/>
    <cellStyle name="Note 3 2 2 11 4" xfId="25979"/>
    <cellStyle name="Note 3 2 2 11 5" xfId="34596"/>
    <cellStyle name="Note 3 2 2 11 6" xfId="37307"/>
    <cellStyle name="Note 3 2 2 11 7" xfId="52950"/>
    <cellStyle name="Note 3 2 2 12" xfId="1255"/>
    <cellStyle name="Note 3 2 2 12 2" xfId="9078"/>
    <cellStyle name="Note 3 2 2 12 3" xfId="16506"/>
    <cellStyle name="Note 3 2 2 12 4" xfId="19423"/>
    <cellStyle name="Note 3 2 2 12 5" xfId="27793"/>
    <cellStyle name="Note 3 2 2 12 6" xfId="40755"/>
    <cellStyle name="Note 3 2 2 12 7" xfId="46913"/>
    <cellStyle name="Note 3 2 2 13" xfId="1288"/>
    <cellStyle name="Note 3 2 2 13 2" xfId="9111"/>
    <cellStyle name="Note 3 2 2 13 3" xfId="16539"/>
    <cellStyle name="Note 3 2 2 13 4" xfId="19937"/>
    <cellStyle name="Note 3 2 2 13 5" xfId="27118"/>
    <cellStyle name="Note 3 2 2 13 6" xfId="39244"/>
    <cellStyle name="Note 3 2 2 13 7" xfId="47186"/>
    <cellStyle name="Note 3 2 2 14" xfId="1251"/>
    <cellStyle name="Note 3 2 2 14 2" xfId="9074"/>
    <cellStyle name="Note 3 2 2 14 3" xfId="16502"/>
    <cellStyle name="Note 3 2 2 14 4" xfId="20289"/>
    <cellStyle name="Note 3 2 2 14 5" xfId="28794"/>
    <cellStyle name="Note 3 2 2 14 6" xfId="41884"/>
    <cellStyle name="Note 3 2 2 14 7" xfId="48276"/>
    <cellStyle name="Note 3 2 2 15" xfId="1808"/>
    <cellStyle name="Note 3 2 2 15 2" xfId="9631"/>
    <cellStyle name="Note 3 2 2 15 3" xfId="17059"/>
    <cellStyle name="Note 3 2 2 15 4" xfId="20656"/>
    <cellStyle name="Note 3 2 2 15 5" xfId="26778"/>
    <cellStyle name="Note 3 2 2 15 6" xfId="40320"/>
    <cellStyle name="Note 3 2 2 15 7" xfId="50363"/>
    <cellStyle name="Note 3 2 2 16" xfId="2031"/>
    <cellStyle name="Note 3 2 2 16 2" xfId="9854"/>
    <cellStyle name="Note 3 2 2 16 3" xfId="17282"/>
    <cellStyle name="Note 3 2 2 16 4" xfId="19912"/>
    <cellStyle name="Note 3 2 2 16 5" xfId="28082"/>
    <cellStyle name="Note 3 2 2 16 6" xfId="36557"/>
    <cellStyle name="Note 3 2 2 16 7" xfId="49313"/>
    <cellStyle name="Note 3 2 2 17" xfId="2088"/>
    <cellStyle name="Note 3 2 2 17 2" xfId="9911"/>
    <cellStyle name="Note 3 2 2 17 3" xfId="17339"/>
    <cellStyle name="Note 3 2 2 17 4" xfId="19459"/>
    <cellStyle name="Note 3 2 2 17 5" xfId="28867"/>
    <cellStyle name="Note 3 2 2 17 6" xfId="41279"/>
    <cellStyle name="Note 3 2 2 17 7" xfId="49564"/>
    <cellStyle name="Note 3 2 2 18" xfId="1923"/>
    <cellStyle name="Note 3 2 2 18 2" xfId="9746"/>
    <cellStyle name="Note 3 2 2 18 3" xfId="17174"/>
    <cellStyle name="Note 3 2 2 18 4" xfId="19880"/>
    <cellStyle name="Note 3 2 2 18 5" xfId="27332"/>
    <cellStyle name="Note 3 2 2 18 6" xfId="41931"/>
    <cellStyle name="Note 3 2 2 18 7" xfId="48302"/>
    <cellStyle name="Note 3 2 2 19" xfId="1435"/>
    <cellStyle name="Note 3 2 2 19 2" xfId="9258"/>
    <cellStyle name="Note 3 2 2 19 3" xfId="16686"/>
    <cellStyle name="Note 3 2 2 19 4" xfId="25872"/>
    <cellStyle name="Note 3 2 2 19 5" xfId="34461"/>
    <cellStyle name="Note 3 2 2 19 6" xfId="40532"/>
    <cellStyle name="Note 3 2 2 19 7" xfId="52715"/>
    <cellStyle name="Note 3 2 2 2" xfId="544"/>
    <cellStyle name="Note 3 2 2 2 10" xfId="1991"/>
    <cellStyle name="Note 3 2 2 2 10 2" xfId="9814"/>
    <cellStyle name="Note 3 2 2 2 10 3" xfId="17242"/>
    <cellStyle name="Note 3 2 2 2 10 4" xfId="26353"/>
    <cellStyle name="Note 3 2 2 2 10 5" xfId="35082"/>
    <cellStyle name="Note 3 2 2 2 10 6" xfId="36318"/>
    <cellStyle name="Note 3 2 2 2 10 7" xfId="53741"/>
    <cellStyle name="Note 3 2 2 2 11" xfId="2109"/>
    <cellStyle name="Note 3 2 2 2 11 2" xfId="9932"/>
    <cellStyle name="Note 3 2 2 2 11 3" xfId="17360"/>
    <cellStyle name="Note 3 2 2 2 11 4" xfId="26540"/>
    <cellStyle name="Note 3 2 2 2 11 5" xfId="35340"/>
    <cellStyle name="Note 3 2 2 2 11 6" xfId="39084"/>
    <cellStyle name="Note 3 2 2 2 11 7" xfId="54147"/>
    <cellStyle name="Note 3 2 2 2 12" xfId="2222"/>
    <cellStyle name="Note 3 2 2 2 12 2" xfId="10045"/>
    <cellStyle name="Note 3 2 2 2 12 3" xfId="17473"/>
    <cellStyle name="Note 3 2 2 2 12 4" xfId="24976"/>
    <cellStyle name="Note 3 2 2 2 12 5" xfId="33319"/>
    <cellStyle name="Note 3 2 2 2 12 6" xfId="36959"/>
    <cellStyle name="Note 3 2 2 2 12 7" xfId="50736"/>
    <cellStyle name="Note 3 2 2 2 13" xfId="1000"/>
    <cellStyle name="Note 3 2 2 2 13 2" xfId="8824"/>
    <cellStyle name="Note 3 2 2 2 13 3" xfId="16252"/>
    <cellStyle name="Note 3 2 2 2 13 4" xfId="19067"/>
    <cellStyle name="Note 3 2 2 2 13 5" xfId="33160"/>
    <cellStyle name="Note 3 2 2 2 13 6" xfId="37571"/>
    <cellStyle name="Note 3 2 2 2 13 7" xfId="50451"/>
    <cellStyle name="Note 3 2 2 2 14" xfId="2348"/>
    <cellStyle name="Note 3 2 2 2 14 2" xfId="10171"/>
    <cellStyle name="Note 3 2 2 2 14 3" xfId="17599"/>
    <cellStyle name="Note 3 2 2 2 14 4" xfId="25496"/>
    <cellStyle name="Note 3 2 2 2 14 5" xfId="33972"/>
    <cellStyle name="Note 3 2 2 2 14 6" xfId="38487"/>
    <cellStyle name="Note 3 2 2 2 14 7" xfId="51861"/>
    <cellStyle name="Note 3 2 2 2 15" xfId="2520"/>
    <cellStyle name="Note 3 2 2 2 15 2" xfId="10343"/>
    <cellStyle name="Note 3 2 2 2 15 3" xfId="17771"/>
    <cellStyle name="Note 3 2 2 2 15 4" xfId="19383"/>
    <cellStyle name="Note 3 2 2 2 15 5" xfId="27424"/>
    <cellStyle name="Note 3 2 2 2 15 6" xfId="41877"/>
    <cellStyle name="Note 3 2 2 2 15 7" xfId="48756"/>
    <cellStyle name="Note 3 2 2 2 16" xfId="2633"/>
    <cellStyle name="Note 3 2 2 2 16 2" xfId="10456"/>
    <cellStyle name="Note 3 2 2 2 16 3" xfId="17884"/>
    <cellStyle name="Note 3 2 2 2 16 4" xfId="25918"/>
    <cellStyle name="Note 3 2 2 2 16 5" xfId="34519"/>
    <cellStyle name="Note 3 2 2 2 16 6" xfId="39093"/>
    <cellStyle name="Note 3 2 2 2 16 7" xfId="52819"/>
    <cellStyle name="Note 3 2 2 2 17" xfId="2429"/>
    <cellStyle name="Note 3 2 2 2 17 2" xfId="10252"/>
    <cellStyle name="Note 3 2 2 2 17 3" xfId="17680"/>
    <cellStyle name="Note 3 2 2 2 17 4" xfId="25048"/>
    <cellStyle name="Note 3 2 2 2 17 5" xfId="33407"/>
    <cellStyle name="Note 3 2 2 2 17 6" xfId="36808"/>
    <cellStyle name="Note 3 2 2 2 17 7" xfId="50898"/>
    <cellStyle name="Note 3 2 2 2 18" xfId="1270"/>
    <cellStyle name="Note 3 2 2 2 18 2" xfId="9093"/>
    <cellStyle name="Note 3 2 2 2 18 3" xfId="16521"/>
    <cellStyle name="Note 3 2 2 2 18 4" xfId="20048"/>
    <cellStyle name="Note 3 2 2 2 18 5" xfId="27563"/>
    <cellStyle name="Note 3 2 2 2 18 6" xfId="41119"/>
    <cellStyle name="Note 3 2 2 2 18 7" xfId="46911"/>
    <cellStyle name="Note 3 2 2 2 19" xfId="2826"/>
    <cellStyle name="Note 3 2 2 2 19 2" xfId="10649"/>
    <cellStyle name="Note 3 2 2 2 19 3" xfId="18077"/>
    <cellStyle name="Note 3 2 2 2 19 4" xfId="20022"/>
    <cellStyle name="Note 3 2 2 2 19 5" xfId="28339"/>
    <cellStyle name="Note 3 2 2 2 19 6" xfId="42009"/>
    <cellStyle name="Note 3 2 2 2 19 7" xfId="48714"/>
    <cellStyle name="Note 3 2 2 2 2" xfId="694"/>
    <cellStyle name="Note 3 2 2 2 2 2" xfId="8518"/>
    <cellStyle name="Note 3 2 2 2 2 3" xfId="15946"/>
    <cellStyle name="Note 3 2 2 2 2 4" xfId="19997"/>
    <cellStyle name="Note 3 2 2 2 2 5" xfId="28784"/>
    <cellStyle name="Note 3 2 2 2 2 6" xfId="36467"/>
    <cellStyle name="Note 3 2 2 2 2 7" xfId="48133"/>
    <cellStyle name="Note 3 2 2 2 20" xfId="2933"/>
    <cellStyle name="Note 3 2 2 2 20 2" xfId="10756"/>
    <cellStyle name="Note 3 2 2 2 20 3" xfId="18184"/>
    <cellStyle name="Note 3 2 2 2 20 4" xfId="25914"/>
    <cellStyle name="Note 3 2 2 2 20 5" xfId="34515"/>
    <cellStyle name="Note 3 2 2 2 20 6" xfId="40926"/>
    <cellStyle name="Note 3 2 2 2 20 7" xfId="52811"/>
    <cellStyle name="Note 3 2 2 2 21" xfId="3309"/>
    <cellStyle name="Note 3 2 2 2 21 2" xfId="11102"/>
    <cellStyle name="Note 3 2 2 2 21 3" xfId="18431"/>
    <cellStyle name="Note 3 2 2 2 21 4" xfId="25080"/>
    <cellStyle name="Note 3 2 2 2 21 5" xfId="33441"/>
    <cellStyle name="Note 3 2 2 2 21 6" xfId="38618"/>
    <cellStyle name="Note 3 2 2 2 21 7" xfId="50968"/>
    <cellStyle name="Note 3 2 2 2 22" xfId="3429"/>
    <cellStyle name="Note 3 2 2 2 22 2" xfId="11220"/>
    <cellStyle name="Note 3 2 2 2 22 3" xfId="18542"/>
    <cellStyle name="Note 3 2 2 2 22 4" xfId="19244"/>
    <cellStyle name="Note 3 2 2 2 22 5" xfId="27899"/>
    <cellStyle name="Note 3 2 2 2 22 6" xfId="41359"/>
    <cellStyle name="Note 3 2 2 2 22 7" xfId="47812"/>
    <cellStyle name="Note 3 2 2 2 23" xfId="3553"/>
    <cellStyle name="Note 3 2 2 2 23 2" xfId="11342"/>
    <cellStyle name="Note 3 2 2 2 23 3" xfId="18628"/>
    <cellStyle name="Note 3 2 2 2 23 4" xfId="20045"/>
    <cellStyle name="Note 3 2 2 2 23 5" xfId="27507"/>
    <cellStyle name="Note 3 2 2 2 23 6" xfId="37960"/>
    <cellStyle name="Note 3 2 2 2 23 7" xfId="49337"/>
    <cellStyle name="Note 3 2 2 2 24" xfId="3213"/>
    <cellStyle name="Note 3 2 2 2 24 2" xfId="11010"/>
    <cellStyle name="Note 3 2 2 2 24 3" xfId="18350"/>
    <cellStyle name="Note 3 2 2 2 24 4" xfId="26592"/>
    <cellStyle name="Note 3 2 2 2 24 5" xfId="35414"/>
    <cellStyle name="Note 3 2 2 2 24 6" xfId="40985"/>
    <cellStyle name="Note 3 2 2 2 24 7" xfId="54261"/>
    <cellStyle name="Note 3 2 2 2 25" xfId="3700"/>
    <cellStyle name="Note 3 2 2 2 25 2" xfId="11485"/>
    <cellStyle name="Note 3 2 2 2 25 3" xfId="18758"/>
    <cellStyle name="Note 3 2 2 2 25 4" xfId="20339"/>
    <cellStyle name="Note 3 2 2 2 25 5" xfId="27736"/>
    <cellStyle name="Note 3 2 2 2 25 6" xfId="39499"/>
    <cellStyle name="Note 3 2 2 2 25 7" xfId="48124"/>
    <cellStyle name="Note 3 2 2 2 26" xfId="3830"/>
    <cellStyle name="Note 3 2 2 2 26 2" xfId="11612"/>
    <cellStyle name="Note 3 2 2 2 26 3" xfId="18869"/>
    <cellStyle name="Note 3 2 2 2 26 4" xfId="25290"/>
    <cellStyle name="Note 3 2 2 2 26 5" xfId="33702"/>
    <cellStyle name="Note 3 2 2 2 26 6" xfId="38890"/>
    <cellStyle name="Note 3 2 2 2 26 7" xfId="51403"/>
    <cellStyle name="Note 3 2 2 2 27" xfId="3948"/>
    <cellStyle name="Note 3 2 2 2 27 2" xfId="11728"/>
    <cellStyle name="Note 3 2 2 2 27 3" xfId="18978"/>
    <cellStyle name="Note 3 2 2 2 27 4" xfId="26359"/>
    <cellStyle name="Note 3 2 2 2 27 5" xfId="35091"/>
    <cellStyle name="Note 3 2 2 2 27 6" xfId="36819"/>
    <cellStyle name="Note 3 2 2 2 27 7" xfId="53755"/>
    <cellStyle name="Note 3 2 2 2 28" xfId="3141"/>
    <cellStyle name="Note 3 2 2 2 28 2" xfId="10946"/>
    <cellStyle name="Note 3 2 2 2 28 3" xfId="20279"/>
    <cellStyle name="Note 3 2 2 2 28 4" xfId="28374"/>
    <cellStyle name="Note 3 2 2 2 28 5" xfId="28362"/>
    <cellStyle name="Note 3 2 2 2 28 6" xfId="42409"/>
    <cellStyle name="Note 3 2 2 2 28 7" xfId="47728"/>
    <cellStyle name="Note 3 2 2 2 29" xfId="4145"/>
    <cellStyle name="Note 3 2 2 2 29 2" xfId="11904"/>
    <cellStyle name="Note 3 2 2 2 29 3" xfId="20855"/>
    <cellStyle name="Note 3 2 2 2 29 4" xfId="29042"/>
    <cellStyle name="Note 3 2 2 2 29 5" xfId="34566"/>
    <cellStyle name="Note 3 2 2 2 29 6" xfId="42707"/>
    <cellStyle name="Note 3 2 2 2 29 7" xfId="49966"/>
    <cellStyle name="Note 3 2 2 2 3" xfId="802"/>
    <cellStyle name="Note 3 2 2 2 3 2" xfId="8626"/>
    <cellStyle name="Note 3 2 2 2 3 3" xfId="16054"/>
    <cellStyle name="Note 3 2 2 2 3 4" xfId="19097"/>
    <cellStyle name="Note 3 2 2 2 3 5" xfId="28783"/>
    <cellStyle name="Note 3 2 2 2 3 6" xfId="36870"/>
    <cellStyle name="Note 3 2 2 2 3 7" xfId="49278"/>
    <cellStyle name="Note 3 2 2 2 30" xfId="3587"/>
    <cellStyle name="Note 3 2 2 2 30 2" xfId="20541"/>
    <cellStyle name="Note 3 2 2 2 30 3" xfId="28666"/>
    <cellStyle name="Note 3 2 2 2 30 4" xfId="35978"/>
    <cellStyle name="Note 3 2 2 2 30 5" xfId="42520"/>
    <cellStyle name="Note 3 2 2 2 30 6" xfId="53327"/>
    <cellStyle name="Note 3 2 2 2 31" xfId="4342"/>
    <cellStyle name="Note 3 2 2 2 31 2" xfId="12059"/>
    <cellStyle name="Note 3 2 2 2 31 3" xfId="21052"/>
    <cellStyle name="Note 3 2 2 2 31 4" xfId="29239"/>
    <cellStyle name="Note 3 2 2 2 31 5" xfId="34084"/>
    <cellStyle name="Note 3 2 2 2 31 6" xfId="42904"/>
    <cellStyle name="Note 3 2 2 2 31 7" xfId="48543"/>
    <cellStyle name="Note 3 2 2 2 32" xfId="4465"/>
    <cellStyle name="Note 3 2 2 2 32 2" xfId="12182"/>
    <cellStyle name="Note 3 2 2 2 32 3" xfId="21175"/>
    <cellStyle name="Note 3 2 2 2 32 4" xfId="29362"/>
    <cellStyle name="Note 3 2 2 2 32 5" xfId="26807"/>
    <cellStyle name="Note 3 2 2 2 32 6" xfId="43027"/>
    <cellStyle name="Note 3 2 2 2 32 7" xfId="48785"/>
    <cellStyle name="Note 3 2 2 2 33" xfId="4579"/>
    <cellStyle name="Note 3 2 2 2 33 2" xfId="12296"/>
    <cellStyle name="Note 3 2 2 2 33 3" xfId="21289"/>
    <cellStyle name="Note 3 2 2 2 33 4" xfId="29476"/>
    <cellStyle name="Note 3 2 2 2 33 5" xfId="28718"/>
    <cellStyle name="Note 3 2 2 2 33 6" xfId="43141"/>
    <cellStyle name="Note 3 2 2 2 33 7" xfId="47589"/>
    <cellStyle name="Note 3 2 2 2 34" xfId="4692"/>
    <cellStyle name="Note 3 2 2 2 34 2" xfId="12409"/>
    <cellStyle name="Note 3 2 2 2 34 3" xfId="21402"/>
    <cellStyle name="Note 3 2 2 2 34 4" xfId="29589"/>
    <cellStyle name="Note 3 2 2 2 34 5" xfId="35655"/>
    <cellStyle name="Note 3 2 2 2 34 6" xfId="43254"/>
    <cellStyle name="Note 3 2 2 2 34 7" xfId="51734"/>
    <cellStyle name="Note 3 2 2 2 35" xfId="4803"/>
    <cellStyle name="Note 3 2 2 2 35 2" xfId="12520"/>
    <cellStyle name="Note 3 2 2 2 35 3" xfId="21513"/>
    <cellStyle name="Note 3 2 2 2 35 4" xfId="29700"/>
    <cellStyle name="Note 3 2 2 2 35 5" xfId="35227"/>
    <cellStyle name="Note 3 2 2 2 35 6" xfId="43365"/>
    <cellStyle name="Note 3 2 2 2 35 7" xfId="51334"/>
    <cellStyle name="Note 3 2 2 2 36" xfId="4912"/>
    <cellStyle name="Note 3 2 2 2 36 2" xfId="12629"/>
    <cellStyle name="Note 3 2 2 2 36 3" xfId="21622"/>
    <cellStyle name="Note 3 2 2 2 36 4" xfId="29809"/>
    <cellStyle name="Note 3 2 2 2 36 5" xfId="28550"/>
    <cellStyle name="Note 3 2 2 2 36 6" xfId="43474"/>
    <cellStyle name="Note 3 2 2 2 36 7" xfId="47779"/>
    <cellStyle name="Note 3 2 2 2 37" xfId="5023"/>
    <cellStyle name="Note 3 2 2 2 37 2" xfId="12740"/>
    <cellStyle name="Note 3 2 2 2 37 3" xfId="21733"/>
    <cellStyle name="Note 3 2 2 2 37 4" xfId="29920"/>
    <cellStyle name="Note 3 2 2 2 37 5" xfId="35695"/>
    <cellStyle name="Note 3 2 2 2 37 6" xfId="43585"/>
    <cellStyle name="Note 3 2 2 2 37 7" xfId="51942"/>
    <cellStyle name="Note 3 2 2 2 38" xfId="5402"/>
    <cellStyle name="Note 3 2 2 2 38 2" xfId="13119"/>
    <cellStyle name="Note 3 2 2 2 38 3" xfId="22112"/>
    <cellStyle name="Note 3 2 2 2 38 4" xfId="30299"/>
    <cellStyle name="Note 3 2 2 2 38 5" xfId="26920"/>
    <cellStyle name="Note 3 2 2 2 38 6" xfId="43964"/>
    <cellStyle name="Note 3 2 2 2 38 7" xfId="51067"/>
    <cellStyle name="Note 3 2 2 2 39" xfId="5522"/>
    <cellStyle name="Note 3 2 2 2 39 2" xfId="13239"/>
    <cellStyle name="Note 3 2 2 2 39 3" xfId="22232"/>
    <cellStyle name="Note 3 2 2 2 39 4" xfId="30419"/>
    <cellStyle name="Note 3 2 2 2 39 5" xfId="34772"/>
    <cellStyle name="Note 3 2 2 2 39 6" xfId="44084"/>
    <cellStyle name="Note 3 2 2 2 39 7" xfId="47701"/>
    <cellStyle name="Note 3 2 2 2 4" xfId="913"/>
    <cellStyle name="Note 3 2 2 2 4 2" xfId="8737"/>
    <cellStyle name="Note 3 2 2 2 4 3" xfId="16165"/>
    <cellStyle name="Note 3 2 2 2 4 4" xfId="25874"/>
    <cellStyle name="Note 3 2 2 2 4 5" xfId="34463"/>
    <cellStyle name="Note 3 2 2 2 4 6" xfId="38123"/>
    <cellStyle name="Note 3 2 2 2 4 7" xfId="52723"/>
    <cellStyle name="Note 3 2 2 2 40" xfId="5646"/>
    <cellStyle name="Note 3 2 2 2 40 2" xfId="13363"/>
    <cellStyle name="Note 3 2 2 2 40 3" xfId="22356"/>
    <cellStyle name="Note 3 2 2 2 40 4" xfId="30543"/>
    <cellStyle name="Note 3 2 2 2 40 5" xfId="36235"/>
    <cellStyle name="Note 3 2 2 2 40 6" xfId="44208"/>
    <cellStyle name="Note 3 2 2 2 40 7" xfId="54527"/>
    <cellStyle name="Note 3 2 2 2 41" xfId="5762"/>
    <cellStyle name="Note 3 2 2 2 41 2" xfId="13479"/>
    <cellStyle name="Note 3 2 2 2 41 3" xfId="22472"/>
    <cellStyle name="Note 3 2 2 2 41 4" xfId="30659"/>
    <cellStyle name="Note 3 2 2 2 41 5" xfId="34683"/>
    <cellStyle name="Note 3 2 2 2 41 6" xfId="44324"/>
    <cellStyle name="Note 3 2 2 2 41 7" xfId="50867"/>
    <cellStyle name="Note 3 2 2 2 42" xfId="5878"/>
    <cellStyle name="Note 3 2 2 2 42 2" xfId="13595"/>
    <cellStyle name="Note 3 2 2 2 42 3" xfId="22588"/>
    <cellStyle name="Note 3 2 2 2 42 4" xfId="30775"/>
    <cellStyle name="Note 3 2 2 2 42 5" xfId="35721"/>
    <cellStyle name="Note 3 2 2 2 42 6" xfId="44440"/>
    <cellStyle name="Note 3 2 2 2 42 7" xfId="51496"/>
    <cellStyle name="Note 3 2 2 2 43" xfId="6007"/>
    <cellStyle name="Note 3 2 2 2 43 2" xfId="13724"/>
    <cellStyle name="Note 3 2 2 2 43 3" xfId="22717"/>
    <cellStyle name="Note 3 2 2 2 43 4" xfId="30904"/>
    <cellStyle name="Note 3 2 2 2 43 5" xfId="36172"/>
    <cellStyle name="Note 3 2 2 2 43 6" xfId="44569"/>
    <cellStyle name="Note 3 2 2 2 43 7" xfId="53711"/>
    <cellStyle name="Note 3 2 2 2 44" xfId="6103"/>
    <cellStyle name="Note 3 2 2 2 44 2" xfId="13820"/>
    <cellStyle name="Note 3 2 2 2 44 3" xfId="22813"/>
    <cellStyle name="Note 3 2 2 2 44 4" xfId="31000"/>
    <cellStyle name="Note 3 2 2 2 44 5" xfId="34748"/>
    <cellStyle name="Note 3 2 2 2 44 6" xfId="44665"/>
    <cellStyle name="Note 3 2 2 2 44 7" xfId="50882"/>
    <cellStyle name="Note 3 2 2 2 45" xfId="5215"/>
    <cellStyle name="Note 3 2 2 2 45 2" xfId="12932"/>
    <cellStyle name="Note 3 2 2 2 45 3" xfId="21925"/>
    <cellStyle name="Note 3 2 2 2 45 4" xfId="30112"/>
    <cellStyle name="Note 3 2 2 2 45 5" xfId="35675"/>
    <cellStyle name="Note 3 2 2 2 45 6" xfId="43777"/>
    <cellStyle name="Note 3 2 2 2 45 7" xfId="51801"/>
    <cellStyle name="Note 3 2 2 2 46" xfId="6263"/>
    <cellStyle name="Note 3 2 2 2 46 2" xfId="13980"/>
    <cellStyle name="Note 3 2 2 2 46 3" xfId="22973"/>
    <cellStyle name="Note 3 2 2 2 46 4" xfId="31160"/>
    <cellStyle name="Note 3 2 2 2 46 5" xfId="35238"/>
    <cellStyle name="Note 3 2 2 2 46 6" xfId="44825"/>
    <cellStyle name="Note 3 2 2 2 46 7" xfId="48857"/>
    <cellStyle name="Note 3 2 2 2 47" xfId="6379"/>
    <cellStyle name="Note 3 2 2 2 47 2" xfId="14096"/>
    <cellStyle name="Note 3 2 2 2 47 3" xfId="23089"/>
    <cellStyle name="Note 3 2 2 2 47 4" xfId="31276"/>
    <cellStyle name="Note 3 2 2 2 47 5" xfId="35803"/>
    <cellStyle name="Note 3 2 2 2 47 6" xfId="44941"/>
    <cellStyle name="Note 3 2 2 2 47 7" xfId="47658"/>
    <cellStyle name="Note 3 2 2 2 48" xfId="6490"/>
    <cellStyle name="Note 3 2 2 2 48 2" xfId="14207"/>
    <cellStyle name="Note 3 2 2 2 48 3" xfId="23200"/>
    <cellStyle name="Note 3 2 2 2 48 4" xfId="31387"/>
    <cellStyle name="Note 3 2 2 2 48 5" xfId="35374"/>
    <cellStyle name="Note 3 2 2 2 48 6" xfId="45052"/>
    <cellStyle name="Note 3 2 2 2 48 7" xfId="54284"/>
    <cellStyle name="Note 3 2 2 2 49" xfId="5180"/>
    <cellStyle name="Note 3 2 2 2 49 2" xfId="12897"/>
    <cellStyle name="Note 3 2 2 2 49 3" xfId="21890"/>
    <cellStyle name="Note 3 2 2 2 49 4" xfId="30077"/>
    <cellStyle name="Note 3 2 2 2 49 5" xfId="27803"/>
    <cellStyle name="Note 3 2 2 2 49 6" xfId="43742"/>
    <cellStyle name="Note 3 2 2 2 49 7" xfId="51379"/>
    <cellStyle name="Note 3 2 2 2 5" xfId="1379"/>
    <cellStyle name="Note 3 2 2 2 5 2" xfId="9202"/>
    <cellStyle name="Note 3 2 2 2 5 3" xfId="16630"/>
    <cellStyle name="Note 3 2 2 2 5 4" xfId="25661"/>
    <cellStyle name="Note 3 2 2 2 5 5" xfId="34188"/>
    <cellStyle name="Note 3 2 2 2 5 6" xfId="38562"/>
    <cellStyle name="Note 3 2 2 2 5 7" xfId="52224"/>
    <cellStyle name="Note 3 2 2 2 50" xfId="6636"/>
    <cellStyle name="Note 3 2 2 2 50 2" xfId="14353"/>
    <cellStyle name="Note 3 2 2 2 50 3" xfId="23346"/>
    <cellStyle name="Note 3 2 2 2 50 4" xfId="31533"/>
    <cellStyle name="Note 3 2 2 2 50 5" xfId="34455"/>
    <cellStyle name="Note 3 2 2 2 50 6" xfId="45198"/>
    <cellStyle name="Note 3 2 2 2 50 7" xfId="47819"/>
    <cellStyle name="Note 3 2 2 2 51" xfId="6748"/>
    <cellStyle name="Note 3 2 2 2 51 2" xfId="14465"/>
    <cellStyle name="Note 3 2 2 2 51 3" xfId="23458"/>
    <cellStyle name="Note 3 2 2 2 51 4" xfId="31645"/>
    <cellStyle name="Note 3 2 2 2 51 5" xfId="35159"/>
    <cellStyle name="Note 3 2 2 2 51 6" xfId="45310"/>
    <cellStyle name="Note 3 2 2 2 51 7" xfId="49615"/>
    <cellStyle name="Note 3 2 2 2 52" xfId="6863"/>
    <cellStyle name="Note 3 2 2 2 52 2" xfId="14580"/>
    <cellStyle name="Note 3 2 2 2 52 3" xfId="23573"/>
    <cellStyle name="Note 3 2 2 2 52 4" xfId="31760"/>
    <cellStyle name="Note 3 2 2 2 52 5" xfId="36234"/>
    <cellStyle name="Note 3 2 2 2 52 6" xfId="45425"/>
    <cellStyle name="Note 3 2 2 2 52 7" xfId="47071"/>
    <cellStyle name="Note 3 2 2 2 53" xfId="6976"/>
    <cellStyle name="Note 3 2 2 2 53 2" xfId="14693"/>
    <cellStyle name="Note 3 2 2 2 53 3" xfId="23686"/>
    <cellStyle name="Note 3 2 2 2 53 4" xfId="31873"/>
    <cellStyle name="Note 3 2 2 2 53 5" xfId="27889"/>
    <cellStyle name="Note 3 2 2 2 53 6" xfId="45538"/>
    <cellStyle name="Note 3 2 2 2 53 7" xfId="54519"/>
    <cellStyle name="Note 3 2 2 2 54" xfId="7087"/>
    <cellStyle name="Note 3 2 2 2 54 2" xfId="14804"/>
    <cellStyle name="Note 3 2 2 2 54 3" xfId="23797"/>
    <cellStyle name="Note 3 2 2 2 54 4" xfId="31984"/>
    <cellStyle name="Note 3 2 2 2 54 5" xfId="34862"/>
    <cellStyle name="Note 3 2 2 2 54 6" xfId="45649"/>
    <cellStyle name="Note 3 2 2 2 54 7" xfId="50512"/>
    <cellStyle name="Note 3 2 2 2 55" xfId="7192"/>
    <cellStyle name="Note 3 2 2 2 55 2" xfId="14909"/>
    <cellStyle name="Note 3 2 2 2 55 3" xfId="23902"/>
    <cellStyle name="Note 3 2 2 2 55 4" xfId="32089"/>
    <cellStyle name="Note 3 2 2 2 55 5" xfId="35883"/>
    <cellStyle name="Note 3 2 2 2 55 6" xfId="45754"/>
    <cellStyle name="Note 3 2 2 2 55 7" xfId="52287"/>
    <cellStyle name="Note 3 2 2 2 56" xfId="7343"/>
    <cellStyle name="Note 3 2 2 2 56 2" xfId="15060"/>
    <cellStyle name="Note 3 2 2 2 56 3" xfId="24053"/>
    <cellStyle name="Note 3 2 2 2 56 4" xfId="32240"/>
    <cellStyle name="Note 3 2 2 2 56 5" xfId="35867"/>
    <cellStyle name="Note 3 2 2 2 56 6" xfId="45905"/>
    <cellStyle name="Note 3 2 2 2 56 7" xfId="47673"/>
    <cellStyle name="Note 3 2 2 2 57" xfId="7484"/>
    <cellStyle name="Note 3 2 2 2 57 2" xfId="15201"/>
    <cellStyle name="Note 3 2 2 2 57 3" xfId="24194"/>
    <cellStyle name="Note 3 2 2 2 57 4" xfId="32381"/>
    <cellStyle name="Note 3 2 2 2 57 5" xfId="35838"/>
    <cellStyle name="Note 3 2 2 2 57 6" xfId="46046"/>
    <cellStyle name="Note 3 2 2 2 57 7" xfId="52127"/>
    <cellStyle name="Note 3 2 2 2 58" xfId="7605"/>
    <cellStyle name="Note 3 2 2 2 58 2" xfId="15322"/>
    <cellStyle name="Note 3 2 2 2 58 3" xfId="24315"/>
    <cellStyle name="Note 3 2 2 2 58 4" xfId="32502"/>
    <cellStyle name="Note 3 2 2 2 58 5" xfId="33921"/>
    <cellStyle name="Note 3 2 2 2 58 6" xfId="46167"/>
    <cellStyle name="Note 3 2 2 2 58 7" xfId="47863"/>
    <cellStyle name="Note 3 2 2 2 59" xfId="7881"/>
    <cellStyle name="Note 3 2 2 2 59 2" xfId="15598"/>
    <cellStyle name="Note 3 2 2 2 59 3" xfId="24585"/>
    <cellStyle name="Note 3 2 2 2 59 4" xfId="32778"/>
    <cellStyle name="Note 3 2 2 2 59 5" xfId="35833"/>
    <cellStyle name="Note 3 2 2 2 59 6" xfId="46443"/>
    <cellStyle name="Note 3 2 2 2 59 7" xfId="51831"/>
    <cellStyle name="Note 3 2 2 2 6" xfId="1502"/>
    <cellStyle name="Note 3 2 2 2 6 2" xfId="9325"/>
    <cellStyle name="Note 3 2 2 2 6 3" xfId="16753"/>
    <cellStyle name="Note 3 2 2 2 6 4" xfId="25644"/>
    <cellStyle name="Note 3 2 2 2 6 5" xfId="34165"/>
    <cellStyle name="Note 3 2 2 2 6 6" xfId="41041"/>
    <cellStyle name="Note 3 2 2 2 6 7" xfId="52192"/>
    <cellStyle name="Note 3 2 2 2 60" xfId="7773"/>
    <cellStyle name="Note 3 2 2 2 60 2" xfId="15490"/>
    <cellStyle name="Note 3 2 2 2 60 3" xfId="24479"/>
    <cellStyle name="Note 3 2 2 2 60 4" xfId="32670"/>
    <cellStyle name="Note 3 2 2 2 60 5" xfId="28111"/>
    <cellStyle name="Note 3 2 2 2 60 6" xfId="46335"/>
    <cellStyle name="Note 3 2 2 2 60 7" xfId="49789"/>
    <cellStyle name="Note 3 2 2 2 61" xfId="7986"/>
    <cellStyle name="Note 3 2 2 2 61 2" xfId="15703"/>
    <cellStyle name="Note 3 2 2 2 61 3" xfId="24688"/>
    <cellStyle name="Note 3 2 2 2 61 4" xfId="32883"/>
    <cellStyle name="Note 3 2 2 2 61 5" xfId="35722"/>
    <cellStyle name="Note 3 2 2 2 61 6" xfId="46548"/>
    <cellStyle name="Note 3 2 2 2 61 7" xfId="51301"/>
    <cellStyle name="Note 3 2 2 2 62" xfId="7726"/>
    <cellStyle name="Note 3 2 2 2 62 2" xfId="15443"/>
    <cellStyle name="Note 3 2 2 2 62 3" xfId="24434"/>
    <cellStyle name="Note 3 2 2 2 62 4" xfId="32623"/>
    <cellStyle name="Note 3 2 2 2 62 5" xfId="35284"/>
    <cellStyle name="Note 3 2 2 2 62 6" xfId="46288"/>
    <cellStyle name="Note 3 2 2 2 62 7" xfId="49180"/>
    <cellStyle name="Note 3 2 2 2 63" xfId="8157"/>
    <cellStyle name="Note 3 2 2 2 63 2" xfId="15874"/>
    <cellStyle name="Note 3 2 2 2 63 3" xfId="33054"/>
    <cellStyle name="Note 3 2 2 2 63 4" xfId="34383"/>
    <cellStyle name="Note 3 2 2 2 63 5" xfId="46719"/>
    <cellStyle name="Note 3 2 2 2 63 6" xfId="47808"/>
    <cellStyle name="Note 3 2 2 2 64" xfId="20634"/>
    <cellStyle name="Note 3 2 2 2 65" xfId="28140"/>
    <cellStyle name="Note 3 2 2 2 66" xfId="36306"/>
    <cellStyle name="Note 3 2 2 2 67" xfId="48325"/>
    <cellStyle name="Note 3 2 2 2 7" xfId="979"/>
    <cellStyle name="Note 3 2 2 2 7 2" xfId="8803"/>
    <cellStyle name="Note 3 2 2 2 7 3" xfId="16231"/>
    <cellStyle name="Note 3 2 2 2 7 4" xfId="26001"/>
    <cellStyle name="Note 3 2 2 2 7 5" xfId="34625"/>
    <cellStyle name="Note 3 2 2 2 7 6" xfId="36686"/>
    <cellStyle name="Note 3 2 2 2 7 7" xfId="52999"/>
    <cellStyle name="Note 3 2 2 2 8" xfId="1739"/>
    <cellStyle name="Note 3 2 2 2 8 2" xfId="9562"/>
    <cellStyle name="Note 3 2 2 2 8 3" xfId="16990"/>
    <cellStyle name="Note 3 2 2 2 8 4" xfId="20644"/>
    <cellStyle name="Note 3 2 2 2 8 5" xfId="27663"/>
    <cellStyle name="Note 3 2 2 2 8 6" xfId="36781"/>
    <cellStyle name="Note 3 2 2 2 8 7" xfId="50287"/>
    <cellStyle name="Note 3 2 2 2 9" xfId="1873"/>
    <cellStyle name="Note 3 2 2 2 9 2" xfId="9696"/>
    <cellStyle name="Note 3 2 2 2 9 3" xfId="17124"/>
    <cellStyle name="Note 3 2 2 2 9 4" xfId="19394"/>
    <cellStyle name="Note 3 2 2 2 9 5" xfId="27704"/>
    <cellStyle name="Note 3 2 2 2 9 6" xfId="40058"/>
    <cellStyle name="Note 3 2 2 2 9 7" xfId="47522"/>
    <cellStyle name="Note 3 2 2 20" xfId="1283"/>
    <cellStyle name="Note 3 2 2 20 2" xfId="9106"/>
    <cellStyle name="Note 3 2 2 20 3" xfId="16534"/>
    <cellStyle name="Note 3 2 2 20 4" xfId="20094"/>
    <cellStyle name="Note 3 2 2 20 5" xfId="28454"/>
    <cellStyle name="Note 3 2 2 20 6" xfId="39953"/>
    <cellStyle name="Note 3 2 2 20 7" xfId="46794"/>
    <cellStyle name="Note 3 2 2 21" xfId="2560"/>
    <cellStyle name="Note 3 2 2 21 2" xfId="10383"/>
    <cellStyle name="Note 3 2 2 21 3" xfId="17811"/>
    <cellStyle name="Note 3 2 2 21 4" xfId="26354"/>
    <cellStyle name="Note 3 2 2 21 5" xfId="35083"/>
    <cellStyle name="Note 3 2 2 21 6" xfId="39068"/>
    <cellStyle name="Note 3 2 2 21 7" xfId="53742"/>
    <cellStyle name="Note 3 2 2 22" xfId="1798"/>
    <cellStyle name="Note 3 2 2 22 2" xfId="9621"/>
    <cellStyle name="Note 3 2 2 22 3" xfId="17049"/>
    <cellStyle name="Note 3 2 2 22 4" xfId="25229"/>
    <cellStyle name="Note 3 2 2 22 5" xfId="33631"/>
    <cellStyle name="Note 3 2 2 22 6" xfId="41162"/>
    <cellStyle name="Note 3 2 2 22 7" xfId="51283"/>
    <cellStyle name="Note 3 2 2 23" xfId="2706"/>
    <cellStyle name="Note 3 2 2 23 2" xfId="10529"/>
    <cellStyle name="Note 3 2 2 23 3" xfId="17957"/>
    <cellStyle name="Note 3 2 2 23 4" xfId="25750"/>
    <cellStyle name="Note 3 2 2 23 5" xfId="34301"/>
    <cellStyle name="Note 3 2 2 23 6" xfId="38995"/>
    <cellStyle name="Note 3 2 2 23 7" xfId="52429"/>
    <cellStyle name="Note 3 2 2 24" xfId="2693"/>
    <cellStyle name="Note 3 2 2 24 2" xfId="10516"/>
    <cellStyle name="Note 3 2 2 24 3" xfId="17944"/>
    <cellStyle name="Note 3 2 2 24 4" xfId="26340"/>
    <cellStyle name="Note 3 2 2 24 5" xfId="35066"/>
    <cellStyle name="Note 3 2 2 24 6" xfId="40516"/>
    <cellStyle name="Note 3 2 2 24 7" xfId="53719"/>
    <cellStyle name="Note 3 2 2 25" xfId="2863"/>
    <cellStyle name="Note 3 2 2 25 2" xfId="10686"/>
    <cellStyle name="Note 3 2 2 25 3" xfId="18114"/>
    <cellStyle name="Note 3 2 2 25 4" xfId="25784"/>
    <cellStyle name="Note 3 2 2 25 5" xfId="34348"/>
    <cellStyle name="Note 3 2 2 25 6" xfId="38107"/>
    <cellStyle name="Note 3 2 2 25 7" xfId="52517"/>
    <cellStyle name="Note 3 2 2 26" xfId="3121"/>
    <cellStyle name="Note 3 2 2 26 2" xfId="10926"/>
    <cellStyle name="Note 3 2 2 26 3" xfId="18304"/>
    <cellStyle name="Note 3 2 2 26 4" xfId="20422"/>
    <cellStyle name="Note 3 2 2 26 5" xfId="27584"/>
    <cellStyle name="Note 3 2 2 26 6" xfId="41676"/>
    <cellStyle name="Note 3 2 2 26 7" xfId="48951"/>
    <cellStyle name="Note 3 2 2 27" xfId="3347"/>
    <cellStyle name="Note 3 2 2 27 2" xfId="11140"/>
    <cellStyle name="Note 3 2 2 27 3" xfId="18467"/>
    <cellStyle name="Note 3 2 2 27 4" xfId="26616"/>
    <cellStyle name="Note 3 2 2 27 5" xfId="35446"/>
    <cellStyle name="Note 3 2 2 27 6" xfId="42286"/>
    <cellStyle name="Note 3 2 2 27 7" xfId="54319"/>
    <cellStyle name="Note 3 2 2 28" xfId="3147"/>
    <cellStyle name="Note 3 2 2 28 2" xfId="10951"/>
    <cellStyle name="Note 3 2 2 28 3" xfId="18323"/>
    <cellStyle name="Note 3 2 2 28 4" xfId="20677"/>
    <cellStyle name="Note 3 2 2 28 5" xfId="27508"/>
    <cellStyle name="Note 3 2 2 28 6" xfId="40413"/>
    <cellStyle name="Note 3 2 2 28 7" xfId="48418"/>
    <cellStyle name="Note 3 2 2 29" xfId="3227"/>
    <cellStyle name="Note 3 2 2 29 2" xfId="11023"/>
    <cellStyle name="Note 3 2 2 29 3" xfId="18360"/>
    <cellStyle name="Note 3 2 2 29 4" xfId="19532"/>
    <cellStyle name="Note 3 2 2 29 5" xfId="27524"/>
    <cellStyle name="Note 3 2 2 29 6" xfId="36512"/>
    <cellStyle name="Note 3 2 2 29 7" xfId="48097"/>
    <cellStyle name="Note 3 2 2 3" xfId="557"/>
    <cellStyle name="Note 3 2 2 3 10" xfId="2004"/>
    <cellStyle name="Note 3 2 2 3 10 2" xfId="9827"/>
    <cellStyle name="Note 3 2 2 3 10 3" xfId="17255"/>
    <cellStyle name="Note 3 2 2 3 10 4" xfId="25761"/>
    <cellStyle name="Note 3 2 2 3 10 5" xfId="34315"/>
    <cellStyle name="Note 3 2 2 3 10 6" xfId="36645"/>
    <cellStyle name="Note 3 2 2 3 10 7" xfId="52456"/>
    <cellStyle name="Note 3 2 2 3 11" xfId="2121"/>
    <cellStyle name="Note 3 2 2 3 11 2" xfId="9944"/>
    <cellStyle name="Note 3 2 2 3 11 3" xfId="17372"/>
    <cellStyle name="Note 3 2 2 3 11 4" xfId="26012"/>
    <cellStyle name="Note 3 2 2 3 11 5" xfId="34639"/>
    <cellStyle name="Note 3 2 2 3 11 6" xfId="38072"/>
    <cellStyle name="Note 3 2 2 3 11 7" xfId="53019"/>
    <cellStyle name="Note 3 2 2 3 12" xfId="2235"/>
    <cellStyle name="Note 3 2 2 3 12 2" xfId="10058"/>
    <cellStyle name="Note 3 2 2 3 12 3" xfId="17486"/>
    <cellStyle name="Note 3 2 2 3 12 4" xfId="19330"/>
    <cellStyle name="Note 3 2 2 3 12 5" xfId="27500"/>
    <cellStyle name="Note 3 2 2 3 12 6" xfId="41131"/>
    <cellStyle name="Note 3 2 2 3 12 7" xfId="49298"/>
    <cellStyle name="Note 3 2 2 3 13" xfId="1012"/>
    <cellStyle name="Note 3 2 2 3 13 2" xfId="8836"/>
    <cellStyle name="Note 3 2 2 3 13 3" xfId="16264"/>
    <cellStyle name="Note 3 2 2 3 13 4" xfId="24808"/>
    <cellStyle name="Note 3 2 2 3 13 5" xfId="27604"/>
    <cellStyle name="Note 3 2 2 3 13 6" xfId="36923"/>
    <cellStyle name="Note 3 2 2 3 13 7" xfId="49348"/>
    <cellStyle name="Note 3 2 2 3 14" xfId="2328"/>
    <cellStyle name="Note 3 2 2 3 14 2" xfId="10151"/>
    <cellStyle name="Note 3 2 2 3 14 3" xfId="17579"/>
    <cellStyle name="Note 3 2 2 3 14 4" xfId="26534"/>
    <cellStyle name="Note 3 2 2 3 14 5" xfId="35334"/>
    <cellStyle name="Note 3 2 2 3 14 6" xfId="40691"/>
    <cellStyle name="Note 3 2 2 3 14 7" xfId="54141"/>
    <cellStyle name="Note 3 2 2 3 15" xfId="2532"/>
    <cellStyle name="Note 3 2 2 3 15 2" xfId="10355"/>
    <cellStyle name="Note 3 2 2 3 15 3" xfId="17783"/>
    <cellStyle name="Note 3 2 2 3 15 4" xfId="19929"/>
    <cellStyle name="Note 3 2 2 3 15 5" xfId="27205"/>
    <cellStyle name="Note 3 2 2 3 15 6" xfId="41916"/>
    <cellStyle name="Note 3 2 2 3 15 7" xfId="47843"/>
    <cellStyle name="Note 3 2 2 3 16" xfId="2646"/>
    <cellStyle name="Note 3 2 2 3 16 2" xfId="10469"/>
    <cellStyle name="Note 3 2 2 3 16 3" xfId="17897"/>
    <cellStyle name="Note 3 2 2 3 16 4" xfId="25257"/>
    <cellStyle name="Note 3 2 2 3 16 5" xfId="33663"/>
    <cellStyle name="Note 3 2 2 3 16 6" xfId="38053"/>
    <cellStyle name="Note 3 2 2 3 16 7" xfId="51337"/>
    <cellStyle name="Note 3 2 2 3 17" xfId="1048"/>
    <cellStyle name="Note 3 2 2 3 17 2" xfId="8872"/>
    <cellStyle name="Note 3 2 2 3 17 3" xfId="16300"/>
    <cellStyle name="Note 3 2 2 3 17 4" xfId="26047"/>
    <cellStyle name="Note 3 2 2 3 17 5" xfId="34687"/>
    <cellStyle name="Note 3 2 2 3 17 6" xfId="38119"/>
    <cellStyle name="Note 3 2 2 3 17 7" xfId="53100"/>
    <cellStyle name="Note 3 2 2 3 18" xfId="2393"/>
    <cellStyle name="Note 3 2 2 3 18 2" xfId="10216"/>
    <cellStyle name="Note 3 2 2 3 18 3" xfId="17644"/>
    <cellStyle name="Note 3 2 2 3 18 4" xfId="20069"/>
    <cellStyle name="Note 3 2 2 3 18 5" xfId="27318"/>
    <cellStyle name="Note 3 2 2 3 18 6" xfId="40553"/>
    <cellStyle name="Note 3 2 2 3 18 7" xfId="48555"/>
    <cellStyle name="Note 3 2 2 3 19" xfId="2837"/>
    <cellStyle name="Note 3 2 2 3 19 2" xfId="10660"/>
    <cellStyle name="Note 3 2 2 3 19 3" xfId="18088"/>
    <cellStyle name="Note 3 2 2 3 19 4" xfId="25790"/>
    <cellStyle name="Note 3 2 2 3 19 5" xfId="34360"/>
    <cellStyle name="Note 3 2 2 3 19 6" xfId="39416"/>
    <cellStyle name="Note 3 2 2 3 19 7" xfId="52535"/>
    <cellStyle name="Note 3 2 2 3 2" xfId="705"/>
    <cellStyle name="Note 3 2 2 3 2 2" xfId="8529"/>
    <cellStyle name="Note 3 2 2 3 2 3" xfId="15957"/>
    <cellStyle name="Note 3 2 2 3 2 4" xfId="19941"/>
    <cellStyle name="Note 3 2 2 3 2 5" xfId="26998"/>
    <cellStyle name="Note 3 2 2 3 2 6" xfId="37259"/>
    <cellStyle name="Note 3 2 2 3 2 7" xfId="48018"/>
    <cellStyle name="Note 3 2 2 3 20" xfId="2944"/>
    <cellStyle name="Note 3 2 2 3 20 2" xfId="10767"/>
    <cellStyle name="Note 3 2 2 3 20 3" xfId="18195"/>
    <cellStyle name="Note 3 2 2 3 20 4" xfId="25352"/>
    <cellStyle name="Note 3 2 2 3 20 5" xfId="33787"/>
    <cellStyle name="Note 3 2 2 3 20 6" xfId="39976"/>
    <cellStyle name="Note 3 2 2 3 20 7" xfId="51538"/>
    <cellStyle name="Note 3 2 2 3 21" xfId="3321"/>
    <cellStyle name="Note 3 2 2 3 21 2" xfId="11114"/>
    <cellStyle name="Note 3 2 2 3 21 3" xfId="18442"/>
    <cellStyle name="Note 3 2 2 3 21 4" xfId="19031"/>
    <cellStyle name="Note 3 2 2 3 21 5" xfId="28340"/>
    <cellStyle name="Note 3 2 2 3 21 6" xfId="37616"/>
    <cellStyle name="Note 3 2 2 3 21 7" xfId="49879"/>
    <cellStyle name="Note 3 2 2 3 22" xfId="3440"/>
    <cellStyle name="Note 3 2 2 3 22 2" xfId="11231"/>
    <cellStyle name="Note 3 2 2 3 22 3" xfId="18553"/>
    <cellStyle name="Note 3 2 2 3 22 4" xfId="26235"/>
    <cellStyle name="Note 3 2 2 3 22 5" xfId="34923"/>
    <cellStyle name="Note 3 2 2 3 22 6" xfId="39555"/>
    <cellStyle name="Note 3 2 2 3 22 7" xfId="53493"/>
    <cellStyle name="Note 3 2 2 3 23" xfId="3564"/>
    <cellStyle name="Note 3 2 2 3 23 2" xfId="11353"/>
    <cellStyle name="Note 3 2 2 3 23 3" xfId="18636"/>
    <cellStyle name="Note 3 2 2 3 23 4" xfId="20632"/>
    <cellStyle name="Note 3 2 2 3 23 5" xfId="28461"/>
    <cellStyle name="Note 3 2 2 3 23 6" xfId="37246"/>
    <cellStyle name="Note 3 2 2 3 23 7" xfId="50161"/>
    <cellStyle name="Note 3 2 2 3 24" xfId="3600"/>
    <cellStyle name="Note 3 2 2 3 24 2" xfId="11386"/>
    <cellStyle name="Note 3 2 2 3 24 3" xfId="18660"/>
    <cellStyle name="Note 3 2 2 3 24 4" xfId="25641"/>
    <cellStyle name="Note 3 2 2 3 24 5" xfId="34160"/>
    <cellStyle name="Note 3 2 2 3 24 6" xfId="39213"/>
    <cellStyle name="Note 3 2 2 3 24 7" xfId="52186"/>
    <cellStyle name="Note 3 2 2 3 25" xfId="3713"/>
    <cellStyle name="Note 3 2 2 3 25 2" xfId="11498"/>
    <cellStyle name="Note 3 2 2 3 25 3" xfId="18770"/>
    <cellStyle name="Note 3 2 2 3 25 4" xfId="19544"/>
    <cellStyle name="Note 3 2 2 3 25 5" xfId="27851"/>
    <cellStyle name="Note 3 2 2 3 25 6" xfId="42202"/>
    <cellStyle name="Note 3 2 2 3 25 7" xfId="48201"/>
    <cellStyle name="Note 3 2 2 3 26" xfId="3842"/>
    <cellStyle name="Note 3 2 2 3 26 2" xfId="11624"/>
    <cellStyle name="Note 3 2 2 3 26 3" xfId="18880"/>
    <cellStyle name="Note 3 2 2 3 26 4" xfId="20663"/>
    <cellStyle name="Note 3 2 2 3 26 5" xfId="27395"/>
    <cellStyle name="Note 3 2 2 3 26 6" xfId="37985"/>
    <cellStyle name="Note 3 2 2 3 26 7" xfId="50255"/>
    <cellStyle name="Note 3 2 2 3 27" xfId="3961"/>
    <cellStyle name="Note 3 2 2 3 27 2" xfId="11740"/>
    <cellStyle name="Note 3 2 2 3 27 3" xfId="18989"/>
    <cellStyle name="Note 3 2 2 3 27 4" xfId="26400"/>
    <cellStyle name="Note 3 2 2 3 27 5" xfId="35152"/>
    <cellStyle name="Note 3 2 2 3 27 6" xfId="40641"/>
    <cellStyle name="Note 3 2 2 3 27 7" xfId="53851"/>
    <cellStyle name="Note 3 2 2 3 28" xfId="3057"/>
    <cellStyle name="Note 3 2 2 3 28 2" xfId="10867"/>
    <cellStyle name="Note 3 2 2 3 28 3" xfId="20223"/>
    <cellStyle name="Note 3 2 2 3 28 4" xfId="28315"/>
    <cellStyle name="Note 3 2 2 3 28 5" xfId="27539"/>
    <cellStyle name="Note 3 2 2 3 28 6" xfId="42380"/>
    <cellStyle name="Note 3 2 2 3 28 7" xfId="48945"/>
    <cellStyle name="Note 3 2 2 3 29" xfId="4157"/>
    <cellStyle name="Note 3 2 2 3 29 2" xfId="11916"/>
    <cellStyle name="Note 3 2 2 3 29 3" xfId="20867"/>
    <cellStyle name="Note 3 2 2 3 29 4" xfId="29054"/>
    <cellStyle name="Note 3 2 2 3 29 5" xfId="34058"/>
    <cellStyle name="Note 3 2 2 3 29 6" xfId="42719"/>
    <cellStyle name="Note 3 2 2 3 29 7" xfId="48706"/>
    <cellStyle name="Note 3 2 2 3 3" xfId="814"/>
    <cellStyle name="Note 3 2 2 3 3 2" xfId="8638"/>
    <cellStyle name="Note 3 2 2 3 3 3" xfId="16066"/>
    <cellStyle name="Note 3 2 2 3 3 4" xfId="20673"/>
    <cellStyle name="Note 3 2 2 3 3 5" xfId="27389"/>
    <cellStyle name="Note 3 2 2 3 3 6" xfId="37643"/>
    <cellStyle name="Note 3 2 2 3 3 7" xfId="48390"/>
    <cellStyle name="Note 3 2 2 3 30" xfId="4250"/>
    <cellStyle name="Note 3 2 2 3 30 2" xfId="20960"/>
    <cellStyle name="Note 3 2 2 3 30 3" xfId="29147"/>
    <cellStyle name="Note 3 2 2 3 30 4" xfId="35531"/>
    <cellStyle name="Note 3 2 2 3 30 5" xfId="42812"/>
    <cellStyle name="Note 3 2 2 3 30 6" xfId="48189"/>
    <cellStyle name="Note 3 2 2 3 31" xfId="4355"/>
    <cellStyle name="Note 3 2 2 3 31 2" xfId="12072"/>
    <cellStyle name="Note 3 2 2 3 31 3" xfId="21065"/>
    <cellStyle name="Note 3 2 2 3 31 4" xfId="29252"/>
    <cellStyle name="Note 3 2 2 3 31 5" xfId="36009"/>
    <cellStyle name="Note 3 2 2 3 31 6" xfId="42917"/>
    <cellStyle name="Note 3 2 2 3 31 7" xfId="53466"/>
    <cellStyle name="Note 3 2 2 3 32" xfId="4477"/>
    <cellStyle name="Note 3 2 2 3 32 2" xfId="12194"/>
    <cellStyle name="Note 3 2 2 3 32 3" xfId="21187"/>
    <cellStyle name="Note 3 2 2 3 32 4" xfId="29374"/>
    <cellStyle name="Note 3 2 2 3 32 5" xfId="36104"/>
    <cellStyle name="Note 3 2 2 3 32 6" xfId="43039"/>
    <cellStyle name="Note 3 2 2 3 32 7" xfId="53921"/>
    <cellStyle name="Note 3 2 2 3 33" xfId="4591"/>
    <cellStyle name="Note 3 2 2 3 33 2" xfId="12308"/>
    <cellStyle name="Note 3 2 2 3 33 3" xfId="21301"/>
    <cellStyle name="Note 3 2 2 3 33 4" xfId="29488"/>
    <cellStyle name="Note 3 2 2 3 33 5" xfId="34974"/>
    <cellStyle name="Note 3 2 2 3 33 6" xfId="43153"/>
    <cellStyle name="Note 3 2 2 3 33 7" xfId="50649"/>
    <cellStyle name="Note 3 2 2 3 34" xfId="4704"/>
    <cellStyle name="Note 3 2 2 3 34 2" xfId="12421"/>
    <cellStyle name="Note 3 2 2 3 34 3" xfId="21414"/>
    <cellStyle name="Note 3 2 2 3 34 4" xfId="29601"/>
    <cellStyle name="Note 3 2 2 3 34 5" xfId="36167"/>
    <cellStyle name="Note 3 2 2 3 34 6" xfId="43266"/>
    <cellStyle name="Note 3 2 2 3 34 7" xfId="54223"/>
    <cellStyle name="Note 3 2 2 3 35" xfId="4814"/>
    <cellStyle name="Note 3 2 2 3 35 2" xfId="12531"/>
    <cellStyle name="Note 3 2 2 3 35 3" xfId="21524"/>
    <cellStyle name="Note 3 2 2 3 35 4" xfId="29711"/>
    <cellStyle name="Note 3 2 2 3 35 5" xfId="34913"/>
    <cellStyle name="Note 3 2 2 3 35 6" xfId="43376"/>
    <cellStyle name="Note 3 2 2 3 35 7" xfId="50292"/>
    <cellStyle name="Note 3 2 2 3 36" xfId="4924"/>
    <cellStyle name="Note 3 2 2 3 36 2" xfId="12641"/>
    <cellStyle name="Note 3 2 2 3 36 3" xfId="21634"/>
    <cellStyle name="Note 3 2 2 3 36 4" xfId="29821"/>
    <cellStyle name="Note 3 2 2 3 36 5" xfId="28795"/>
    <cellStyle name="Note 3 2 2 3 36 6" xfId="43486"/>
    <cellStyle name="Note 3 2 2 3 36 7" xfId="49596"/>
    <cellStyle name="Note 3 2 2 3 37" xfId="5034"/>
    <cellStyle name="Note 3 2 2 3 37 2" xfId="12751"/>
    <cellStyle name="Note 3 2 2 3 37 3" xfId="21744"/>
    <cellStyle name="Note 3 2 2 3 37 4" xfId="29931"/>
    <cellStyle name="Note 3 2 2 3 37 5" xfId="33488"/>
    <cellStyle name="Note 3 2 2 3 37 6" xfId="43596"/>
    <cellStyle name="Note 3 2 2 3 37 7" xfId="50643"/>
    <cellStyle name="Note 3 2 2 3 38" xfId="5414"/>
    <cellStyle name="Note 3 2 2 3 38 2" xfId="13131"/>
    <cellStyle name="Note 3 2 2 3 38 3" xfId="22124"/>
    <cellStyle name="Note 3 2 2 3 38 4" xfId="30311"/>
    <cellStyle name="Note 3 2 2 3 38 5" xfId="33203"/>
    <cellStyle name="Note 3 2 2 3 38 6" xfId="43976"/>
    <cellStyle name="Note 3 2 2 3 38 7" xfId="49984"/>
    <cellStyle name="Note 3 2 2 3 39" xfId="5534"/>
    <cellStyle name="Note 3 2 2 3 39 2" xfId="13251"/>
    <cellStyle name="Note 3 2 2 3 39 3" xfId="22244"/>
    <cellStyle name="Note 3 2 2 3 39 4" xfId="30431"/>
    <cellStyle name="Note 3 2 2 3 39 5" xfId="33947"/>
    <cellStyle name="Note 3 2 2 3 39 6" xfId="44096"/>
    <cellStyle name="Note 3 2 2 3 39 7" xfId="46908"/>
    <cellStyle name="Note 3 2 2 3 4" xfId="924"/>
    <cellStyle name="Note 3 2 2 3 4 2" xfId="8748"/>
    <cellStyle name="Note 3 2 2 3 4 3" xfId="16176"/>
    <cellStyle name="Note 3 2 2 3 4 4" xfId="25263"/>
    <cellStyle name="Note 3 2 2 3 4 5" xfId="33670"/>
    <cellStyle name="Note 3 2 2 3 4 6" xfId="36728"/>
    <cellStyle name="Note 3 2 2 3 4 7" xfId="51348"/>
    <cellStyle name="Note 3 2 2 3 40" xfId="5658"/>
    <cellStyle name="Note 3 2 2 3 40 2" xfId="13375"/>
    <cellStyle name="Note 3 2 2 3 40 3" xfId="22368"/>
    <cellStyle name="Note 3 2 2 3 40 4" xfId="30555"/>
    <cellStyle name="Note 3 2 2 3 40 5" xfId="34514"/>
    <cellStyle name="Note 3 2 2 3 40 6" xfId="44220"/>
    <cellStyle name="Note 3 2 2 3 40 7" xfId="47106"/>
    <cellStyle name="Note 3 2 2 3 41" xfId="5774"/>
    <cellStyle name="Note 3 2 2 3 41 2" xfId="13491"/>
    <cellStyle name="Note 3 2 2 3 41 3" xfId="22484"/>
    <cellStyle name="Note 3 2 2 3 41 4" xfId="30671"/>
    <cellStyle name="Note 3 2 2 3 41 5" xfId="34591"/>
    <cellStyle name="Note 3 2 2 3 41 6" xfId="44336"/>
    <cellStyle name="Note 3 2 2 3 41 7" xfId="47411"/>
    <cellStyle name="Note 3 2 2 3 42" xfId="5891"/>
    <cellStyle name="Note 3 2 2 3 42 2" xfId="13608"/>
    <cellStyle name="Note 3 2 2 3 42 3" xfId="22601"/>
    <cellStyle name="Note 3 2 2 3 42 4" xfId="30788"/>
    <cellStyle name="Note 3 2 2 3 42 5" xfId="34648"/>
    <cellStyle name="Note 3 2 2 3 42 6" xfId="44453"/>
    <cellStyle name="Note 3 2 2 3 42 7" xfId="50242"/>
    <cellStyle name="Note 3 2 2 3 43" xfId="6019"/>
    <cellStyle name="Note 3 2 2 3 43 2" xfId="13736"/>
    <cellStyle name="Note 3 2 2 3 43 3" xfId="22729"/>
    <cellStyle name="Note 3 2 2 3 43 4" xfId="30916"/>
    <cellStyle name="Note 3 2 2 3 43 5" xfId="35899"/>
    <cellStyle name="Note 3 2 2 3 43 6" xfId="44581"/>
    <cellStyle name="Note 3 2 2 3 43 7" xfId="52609"/>
    <cellStyle name="Note 3 2 2 3 44" xfId="6114"/>
    <cellStyle name="Note 3 2 2 3 44 2" xfId="13831"/>
    <cellStyle name="Note 3 2 2 3 44 3" xfId="22824"/>
    <cellStyle name="Note 3 2 2 3 44 4" xfId="31011"/>
    <cellStyle name="Note 3 2 2 3 44 5" xfId="28510"/>
    <cellStyle name="Note 3 2 2 3 44 6" xfId="44676"/>
    <cellStyle name="Note 3 2 2 3 44 7" xfId="49544"/>
    <cellStyle name="Note 3 2 2 3 45" xfId="6146"/>
    <cellStyle name="Note 3 2 2 3 45 2" xfId="13863"/>
    <cellStyle name="Note 3 2 2 3 45 3" xfId="22856"/>
    <cellStyle name="Note 3 2 2 3 45 4" xfId="31043"/>
    <cellStyle name="Note 3 2 2 3 45 5" xfId="36148"/>
    <cellStyle name="Note 3 2 2 3 45 6" xfId="44708"/>
    <cellStyle name="Note 3 2 2 3 45 7" xfId="53777"/>
    <cellStyle name="Note 3 2 2 3 46" xfId="6275"/>
    <cellStyle name="Note 3 2 2 3 46 2" xfId="13992"/>
    <cellStyle name="Note 3 2 2 3 46 3" xfId="22985"/>
    <cellStyle name="Note 3 2 2 3 46 4" xfId="31172"/>
    <cellStyle name="Note 3 2 2 3 46 5" xfId="34211"/>
    <cellStyle name="Note 3 2 2 3 46 6" xfId="44837"/>
    <cellStyle name="Note 3 2 2 3 46 7" xfId="47893"/>
    <cellStyle name="Note 3 2 2 3 47" xfId="6390"/>
    <cellStyle name="Note 3 2 2 3 47 2" xfId="14107"/>
    <cellStyle name="Note 3 2 2 3 47 3" xfId="23100"/>
    <cellStyle name="Note 3 2 2 3 47 4" xfId="31287"/>
    <cellStyle name="Note 3 2 2 3 47 5" xfId="27334"/>
    <cellStyle name="Note 3 2 2 3 47 6" xfId="44952"/>
    <cellStyle name="Note 3 2 2 3 47 7" xfId="47554"/>
    <cellStyle name="Note 3 2 2 3 48" xfId="6502"/>
    <cellStyle name="Note 3 2 2 3 48 2" xfId="14219"/>
    <cellStyle name="Note 3 2 2 3 48 3" xfId="23212"/>
    <cellStyle name="Note 3 2 2 3 48 4" xfId="31399"/>
    <cellStyle name="Note 3 2 2 3 48 5" xfId="36180"/>
    <cellStyle name="Note 3 2 2 3 48 6" xfId="45064"/>
    <cellStyle name="Note 3 2 2 3 48 7" xfId="53891"/>
    <cellStyle name="Note 3 2 2 3 49" xfId="6106"/>
    <cellStyle name="Note 3 2 2 3 49 2" xfId="13823"/>
    <cellStyle name="Note 3 2 2 3 49 3" xfId="22816"/>
    <cellStyle name="Note 3 2 2 3 49 4" xfId="31003"/>
    <cellStyle name="Note 3 2 2 3 49 5" xfId="35484"/>
    <cellStyle name="Note 3 2 2 3 49 6" xfId="44668"/>
    <cellStyle name="Note 3 2 2 3 49 7" xfId="50695"/>
    <cellStyle name="Note 3 2 2 3 5" xfId="1392"/>
    <cellStyle name="Note 3 2 2 3 5 2" xfId="9215"/>
    <cellStyle name="Note 3 2 2 3 5 3" xfId="16643"/>
    <cellStyle name="Note 3 2 2 3 5 4" xfId="24996"/>
    <cellStyle name="Note 3 2 2 3 5 5" xfId="33345"/>
    <cellStyle name="Note 3 2 2 3 5 6" xfId="36402"/>
    <cellStyle name="Note 3 2 2 3 5 7" xfId="50784"/>
    <cellStyle name="Note 3 2 2 3 50" xfId="6649"/>
    <cellStyle name="Note 3 2 2 3 50 2" xfId="14366"/>
    <cellStyle name="Note 3 2 2 3 50 3" xfId="23359"/>
    <cellStyle name="Note 3 2 2 3 50 4" xfId="31546"/>
    <cellStyle name="Note 3 2 2 3 50 5" xfId="36017"/>
    <cellStyle name="Note 3 2 2 3 50 6" xfId="45211"/>
    <cellStyle name="Note 3 2 2 3 50 7" xfId="48109"/>
    <cellStyle name="Note 3 2 2 3 51" xfId="6760"/>
    <cellStyle name="Note 3 2 2 3 51 2" xfId="14477"/>
    <cellStyle name="Note 3 2 2 3 51 3" xfId="23470"/>
    <cellStyle name="Note 3 2 2 3 51 4" xfId="31657"/>
    <cellStyle name="Note 3 2 2 3 51 5" xfId="27036"/>
    <cellStyle name="Note 3 2 2 3 51 6" xfId="45322"/>
    <cellStyle name="Note 3 2 2 3 51 7" xfId="48834"/>
    <cellStyle name="Note 3 2 2 3 52" xfId="6875"/>
    <cellStyle name="Note 3 2 2 3 52 2" xfId="14592"/>
    <cellStyle name="Note 3 2 2 3 52 3" xfId="23585"/>
    <cellStyle name="Note 3 2 2 3 52 4" xfId="31772"/>
    <cellStyle name="Note 3 2 2 3 52 5" xfId="36243"/>
    <cellStyle name="Note 3 2 2 3 52 6" xfId="45437"/>
    <cellStyle name="Note 3 2 2 3 52 7" xfId="46891"/>
    <cellStyle name="Note 3 2 2 3 53" xfId="6988"/>
    <cellStyle name="Note 3 2 2 3 53 2" xfId="14705"/>
    <cellStyle name="Note 3 2 2 3 53 3" xfId="23698"/>
    <cellStyle name="Note 3 2 2 3 53 4" xfId="31885"/>
    <cellStyle name="Note 3 2 2 3 53 5" xfId="35477"/>
    <cellStyle name="Note 3 2 2 3 53 6" xfId="45550"/>
    <cellStyle name="Note 3 2 2 3 53 7" xfId="47207"/>
    <cellStyle name="Note 3 2 2 3 54" xfId="7098"/>
    <cellStyle name="Note 3 2 2 3 54 2" xfId="14815"/>
    <cellStyle name="Note 3 2 2 3 54 3" xfId="23808"/>
    <cellStyle name="Note 3 2 2 3 54 4" xfId="31995"/>
    <cellStyle name="Note 3 2 2 3 54 5" xfId="28467"/>
    <cellStyle name="Note 3 2 2 3 54 6" xfId="45660"/>
    <cellStyle name="Note 3 2 2 3 54 7" xfId="49259"/>
    <cellStyle name="Note 3 2 2 3 55" xfId="7178"/>
    <cellStyle name="Note 3 2 2 3 55 2" xfId="14895"/>
    <cellStyle name="Note 3 2 2 3 55 3" xfId="23888"/>
    <cellStyle name="Note 3 2 2 3 55 4" xfId="32075"/>
    <cellStyle name="Note 3 2 2 3 55 5" xfId="36200"/>
    <cellStyle name="Note 3 2 2 3 55 6" xfId="45740"/>
    <cellStyle name="Note 3 2 2 3 55 7" xfId="53633"/>
    <cellStyle name="Note 3 2 2 3 56" xfId="7244"/>
    <cellStyle name="Note 3 2 2 3 56 2" xfId="14961"/>
    <cellStyle name="Note 3 2 2 3 56 3" xfId="23954"/>
    <cellStyle name="Note 3 2 2 3 56 4" xfId="32141"/>
    <cellStyle name="Note 3 2 2 3 56 5" xfId="28428"/>
    <cellStyle name="Note 3 2 2 3 56 6" xfId="45806"/>
    <cellStyle name="Note 3 2 2 3 56 7" xfId="54068"/>
    <cellStyle name="Note 3 2 2 3 57" xfId="7495"/>
    <cellStyle name="Note 3 2 2 3 57 2" xfId="15212"/>
    <cellStyle name="Note 3 2 2 3 57 3" xfId="24205"/>
    <cellStyle name="Note 3 2 2 3 57 4" xfId="32392"/>
    <cellStyle name="Note 3 2 2 3 57 5" xfId="27905"/>
    <cellStyle name="Note 3 2 2 3 57 6" xfId="46057"/>
    <cellStyle name="Note 3 2 2 3 57 7" xfId="50791"/>
    <cellStyle name="Note 3 2 2 3 58" xfId="7616"/>
    <cellStyle name="Note 3 2 2 3 58 2" xfId="15333"/>
    <cellStyle name="Note 3 2 2 3 58 3" xfId="24326"/>
    <cellStyle name="Note 3 2 2 3 58 4" xfId="32513"/>
    <cellStyle name="Note 3 2 2 3 58 5" xfId="33515"/>
    <cellStyle name="Note 3 2 2 3 58 6" xfId="46178"/>
    <cellStyle name="Note 3 2 2 3 58 7" xfId="54456"/>
    <cellStyle name="Note 3 2 2 3 59" xfId="7893"/>
    <cellStyle name="Note 3 2 2 3 59 2" xfId="15610"/>
    <cellStyle name="Note 3 2 2 3 59 3" xfId="24597"/>
    <cellStyle name="Note 3 2 2 3 59 4" xfId="32790"/>
    <cellStyle name="Note 3 2 2 3 59 5" xfId="28785"/>
    <cellStyle name="Note 3 2 2 3 59 6" xfId="46455"/>
    <cellStyle name="Note 3 2 2 3 59 7" xfId="53843"/>
    <cellStyle name="Note 3 2 2 3 6" xfId="1515"/>
    <cellStyle name="Note 3 2 2 3 6 2" xfId="9338"/>
    <cellStyle name="Note 3 2 2 3 6 3" xfId="16766"/>
    <cellStyle name="Note 3 2 2 3 6 4" xfId="20434"/>
    <cellStyle name="Note 3 2 2 3 6 5" xfId="26793"/>
    <cellStyle name="Note 3 2 2 3 6 6" xfId="39871"/>
    <cellStyle name="Note 3 2 2 3 6 7" xfId="50340"/>
    <cellStyle name="Note 3 2 2 3 60" xfId="7780"/>
    <cellStyle name="Note 3 2 2 3 60 2" xfId="15497"/>
    <cellStyle name="Note 3 2 2 3 60 3" xfId="24486"/>
    <cellStyle name="Note 3 2 2 3 60 4" xfId="32677"/>
    <cellStyle name="Note 3 2 2 3 60 5" xfId="28044"/>
    <cellStyle name="Note 3 2 2 3 60 6" xfId="46342"/>
    <cellStyle name="Note 3 2 2 3 60 7" xfId="49980"/>
    <cellStyle name="Note 3 2 2 3 61" xfId="8021"/>
    <cellStyle name="Note 3 2 2 3 61 2" xfId="15738"/>
    <cellStyle name="Note 3 2 2 3 61 3" xfId="24723"/>
    <cellStyle name="Note 3 2 2 3 61 4" xfId="32918"/>
    <cellStyle name="Note 3 2 2 3 61 5" xfId="28061"/>
    <cellStyle name="Note 3 2 2 3 61 6" xfId="46583"/>
    <cellStyle name="Note 3 2 2 3 61 7" xfId="49771"/>
    <cellStyle name="Note 3 2 2 3 62" xfId="7721"/>
    <cellStyle name="Note 3 2 2 3 62 2" xfId="15438"/>
    <cellStyle name="Note 3 2 2 3 62 3" xfId="24429"/>
    <cellStyle name="Note 3 2 2 3 62 4" xfId="32618"/>
    <cellStyle name="Note 3 2 2 3 62 5" xfId="35574"/>
    <cellStyle name="Note 3 2 2 3 62 6" xfId="46283"/>
    <cellStyle name="Note 3 2 2 3 62 7" xfId="47452"/>
    <cellStyle name="Note 3 2 2 3 63" xfId="8168"/>
    <cellStyle name="Note 3 2 2 3 63 2" xfId="15885"/>
    <cellStyle name="Note 3 2 2 3 63 3" xfId="33065"/>
    <cellStyle name="Note 3 2 2 3 63 4" xfId="35195"/>
    <cellStyle name="Note 3 2 2 3 63 5" xfId="46730"/>
    <cellStyle name="Note 3 2 2 3 63 6" xfId="50574"/>
    <cellStyle name="Note 3 2 2 3 64" xfId="26217"/>
    <cellStyle name="Note 3 2 2 3 65" xfId="34902"/>
    <cellStyle name="Note 3 2 2 3 66" xfId="36262"/>
    <cellStyle name="Note 3 2 2 3 67" xfId="53458"/>
    <cellStyle name="Note 3 2 2 3 7" xfId="1268"/>
    <cellStyle name="Note 3 2 2 3 7 2" xfId="9091"/>
    <cellStyle name="Note 3 2 2 3 7 3" xfId="16519"/>
    <cellStyle name="Note 3 2 2 3 7 4" xfId="19251"/>
    <cellStyle name="Note 3 2 2 3 7 5" xfId="27303"/>
    <cellStyle name="Note 3 2 2 3 7 6" xfId="41514"/>
    <cellStyle name="Note 3 2 2 3 7 7" xfId="46916"/>
    <cellStyle name="Note 3 2 2 3 8" xfId="1752"/>
    <cellStyle name="Note 3 2 2 3 8 2" xfId="9575"/>
    <cellStyle name="Note 3 2 2 3 8 3" xfId="17003"/>
    <cellStyle name="Note 3 2 2 3 8 4" xfId="19864"/>
    <cellStyle name="Note 3 2 2 3 8 5" xfId="28701"/>
    <cellStyle name="Note 3 2 2 3 8 6" xfId="39631"/>
    <cellStyle name="Note 3 2 2 3 8 7" xfId="48880"/>
    <cellStyle name="Note 3 2 2 3 9" xfId="1885"/>
    <cellStyle name="Note 3 2 2 3 9 2" xfId="9708"/>
    <cellStyle name="Note 3 2 2 3 9 3" xfId="17136"/>
    <cellStyle name="Note 3 2 2 3 9 4" xfId="20637"/>
    <cellStyle name="Note 3 2 2 3 9 5" xfId="27327"/>
    <cellStyle name="Note 3 2 2 3 9 6" xfId="38579"/>
    <cellStyle name="Note 3 2 2 3 9 7" xfId="49436"/>
    <cellStyle name="Note 3 2 2 30" xfId="3027"/>
    <cellStyle name="Note 3 2 2 30 2" xfId="10842"/>
    <cellStyle name="Note 3 2 2 30 3" xfId="18255"/>
    <cellStyle name="Note 3 2 2 30 4" xfId="24899"/>
    <cellStyle name="Note 3 2 2 30 5" xfId="33215"/>
    <cellStyle name="Note 3 2 2 30 6" xfId="38037"/>
    <cellStyle name="Note 3 2 2 30 7" xfId="50559"/>
    <cellStyle name="Note 3 2 2 31" xfId="3570"/>
    <cellStyle name="Note 3 2 2 31 2" xfId="11359"/>
    <cellStyle name="Note 3 2 2 31 3" xfId="18641"/>
    <cellStyle name="Note 3 2 2 31 4" xfId="19229"/>
    <cellStyle name="Note 3 2 2 31 5" xfId="26881"/>
    <cellStyle name="Note 3 2 2 31 6" xfId="36695"/>
    <cellStyle name="Note 3 2 2 31 7" xfId="49759"/>
    <cellStyle name="Note 3 2 2 32" xfId="3869"/>
    <cellStyle name="Note 3 2 2 32 2" xfId="11651"/>
    <cellStyle name="Note 3 2 2 32 3" xfId="18906"/>
    <cellStyle name="Note 3 2 2 32 4" xfId="26683"/>
    <cellStyle name="Note 3 2 2 32 5" xfId="35530"/>
    <cellStyle name="Note 3 2 2 32 6" xfId="36936"/>
    <cellStyle name="Note 3 2 2 32 7" xfId="54454"/>
    <cellStyle name="Note 3 2 2 33" xfId="3059"/>
    <cellStyle name="Note 3 2 2 33 2" xfId="10869"/>
    <cellStyle name="Note 3 2 2 33 3" xfId="20225"/>
    <cellStyle name="Note 3 2 2 33 4" xfId="28317"/>
    <cellStyle name="Note 3 2 2 33 5" xfId="28016"/>
    <cellStyle name="Note 3 2 2 33 6" xfId="42382"/>
    <cellStyle name="Note 3 2 2 33 7" xfId="48412"/>
    <cellStyle name="Note 3 2 2 34" xfId="3525"/>
    <cellStyle name="Note 3 2 2 34 2" xfId="11316"/>
    <cellStyle name="Note 3 2 2 34 3" xfId="20497"/>
    <cellStyle name="Note 3 2 2 34 4" xfId="28622"/>
    <cellStyle name="Note 3 2 2 34 5" xfId="35806"/>
    <cellStyle name="Note 3 2 2 34 6" xfId="42495"/>
    <cellStyle name="Note 3 2 2 34 7" xfId="52484"/>
    <cellStyle name="Note 3 2 2 35" xfId="2992"/>
    <cellStyle name="Note 3 2 2 35 2" xfId="20175"/>
    <cellStyle name="Note 3 2 2 35 3" xfId="28261"/>
    <cellStyle name="Note 3 2 2 35 4" xfId="28107"/>
    <cellStyle name="Note 3 2 2 35 5" xfId="42343"/>
    <cellStyle name="Note 3 2 2 35 6" xfId="48149"/>
    <cellStyle name="Note 3 2 2 36" xfId="3012"/>
    <cellStyle name="Note 3 2 2 36 2" xfId="10830"/>
    <cellStyle name="Note 3 2 2 36 3" xfId="20186"/>
    <cellStyle name="Note 3 2 2 36 4" xfId="28276"/>
    <cellStyle name="Note 3 2 2 36 5" xfId="35740"/>
    <cellStyle name="Note 3 2 2 36 6" xfId="42351"/>
    <cellStyle name="Note 3 2 2 36 7" xfId="52180"/>
    <cellStyle name="Note 3 2 2 37" xfId="3223"/>
    <cellStyle name="Note 3 2 2 37 2" xfId="11019"/>
    <cellStyle name="Note 3 2 2 37 3" xfId="20346"/>
    <cellStyle name="Note 3 2 2 37 4" xfId="28434"/>
    <cellStyle name="Note 3 2 2 37 5" xfId="35992"/>
    <cellStyle name="Note 3 2 2 37 6" xfId="42452"/>
    <cellStyle name="Note 3 2 2 37 7" xfId="53384"/>
    <cellStyle name="Note 3 2 2 38" xfId="3205"/>
    <cellStyle name="Note 3 2 2 38 2" xfId="11005"/>
    <cellStyle name="Note 3 2 2 38 3" xfId="20331"/>
    <cellStyle name="Note 3 2 2 38 4" xfId="28422"/>
    <cellStyle name="Note 3 2 2 38 5" xfId="26919"/>
    <cellStyle name="Note 3 2 2 38 6" xfId="42442"/>
    <cellStyle name="Note 3 2 2 38 7" xfId="48872"/>
    <cellStyle name="Note 3 2 2 39" xfId="3491"/>
    <cellStyle name="Note 3 2 2 39 2" xfId="11282"/>
    <cellStyle name="Note 3 2 2 39 3" xfId="20477"/>
    <cellStyle name="Note 3 2 2 39 4" xfId="28599"/>
    <cellStyle name="Note 3 2 2 39 5" xfId="35621"/>
    <cellStyle name="Note 3 2 2 39 6" xfId="42486"/>
    <cellStyle name="Note 3 2 2 39 7" xfId="51590"/>
    <cellStyle name="Note 3 2 2 4" xfId="483"/>
    <cellStyle name="Note 3 2 2 4 10" xfId="1930"/>
    <cellStyle name="Note 3 2 2 4 10 2" xfId="9753"/>
    <cellStyle name="Note 3 2 2 4 10 3" xfId="17181"/>
    <cellStyle name="Note 3 2 2 4 10 4" xfId="26386"/>
    <cellStyle name="Note 3 2 2 4 10 5" xfId="35132"/>
    <cellStyle name="Note 3 2 2 4 10 6" xfId="36939"/>
    <cellStyle name="Note 3 2 2 4 10 7" xfId="53817"/>
    <cellStyle name="Note 3 2 2 4 11" xfId="2048"/>
    <cellStyle name="Note 3 2 2 4 11 2" xfId="9871"/>
    <cellStyle name="Note 3 2 2 4 11 3" xfId="17299"/>
    <cellStyle name="Note 3 2 2 4 11 4" xfId="26579"/>
    <cellStyle name="Note 3 2 2 4 11 5" xfId="35398"/>
    <cellStyle name="Note 3 2 2 4 11 6" xfId="38070"/>
    <cellStyle name="Note 3 2 2 4 11 7" xfId="54233"/>
    <cellStyle name="Note 3 2 2 4 12" xfId="2161"/>
    <cellStyle name="Note 3 2 2 4 12 2" xfId="9984"/>
    <cellStyle name="Note 3 2 2 4 12 3" xfId="17412"/>
    <cellStyle name="Note 3 2 2 4 12 4" xfId="20419"/>
    <cellStyle name="Note 3 2 2 4 12 5" xfId="28003"/>
    <cellStyle name="Note 3 2 2 4 12 6" xfId="41213"/>
    <cellStyle name="Note 3 2 2 4 12 7" xfId="48735"/>
    <cellStyle name="Note 3 2 2 4 13" xfId="1091"/>
    <cellStyle name="Note 3 2 2 4 13 2" xfId="8915"/>
    <cellStyle name="Note 3 2 2 4 13 3" xfId="16343"/>
    <cellStyle name="Note 3 2 2 4 13 4" xfId="19945"/>
    <cellStyle name="Note 3 2 2 4 13 5" xfId="27941"/>
    <cellStyle name="Note 3 2 2 4 13 6" xfId="37516"/>
    <cellStyle name="Note 3 2 2 4 13 7" xfId="47234"/>
    <cellStyle name="Note 3 2 2 4 14" xfId="1637"/>
    <cellStyle name="Note 3 2 2 4 14 2" xfId="9460"/>
    <cellStyle name="Note 3 2 2 4 14 3" xfId="16888"/>
    <cellStyle name="Note 3 2 2 4 14 4" xfId="26347"/>
    <cellStyle name="Note 3 2 2 4 14 5" xfId="35073"/>
    <cellStyle name="Note 3 2 2 4 14 6" xfId="42199"/>
    <cellStyle name="Note 3 2 2 4 14 7" xfId="53729"/>
    <cellStyle name="Note 3 2 2 4 15" xfId="2459"/>
    <cellStyle name="Note 3 2 2 4 15 2" xfId="10282"/>
    <cellStyle name="Note 3 2 2 4 15 3" xfId="17710"/>
    <cellStyle name="Note 3 2 2 4 15 4" xfId="20140"/>
    <cellStyle name="Note 3 2 2 4 15 5" xfId="27284"/>
    <cellStyle name="Note 3 2 2 4 15 6" xfId="36771"/>
    <cellStyle name="Note 3 2 2 4 15 7" xfId="49039"/>
    <cellStyle name="Note 3 2 2 4 16" xfId="2572"/>
    <cellStyle name="Note 3 2 2 4 16 2" xfId="10395"/>
    <cellStyle name="Note 3 2 2 4 16 3" xfId="17823"/>
    <cellStyle name="Note 3 2 2 4 16 4" xfId="25805"/>
    <cellStyle name="Note 3 2 2 4 16 5" xfId="34382"/>
    <cellStyle name="Note 3 2 2 4 16 6" xfId="38062"/>
    <cellStyle name="Note 3 2 2 4 16 7" xfId="52577"/>
    <cellStyle name="Note 3 2 2 4 17" xfId="1672"/>
    <cellStyle name="Note 3 2 2 4 17 2" xfId="9495"/>
    <cellStyle name="Note 3 2 2 4 17 3" xfId="16923"/>
    <cellStyle name="Note 3 2 2 4 17 4" xfId="19035"/>
    <cellStyle name="Note 3 2 2 4 17 5" xfId="27870"/>
    <cellStyle name="Note 3 2 2 4 17 6" xfId="38313"/>
    <cellStyle name="Note 3 2 2 4 17 7" xfId="49886"/>
    <cellStyle name="Note 3 2 2 4 18" xfId="1027"/>
    <cellStyle name="Note 3 2 2 4 18 2" xfId="8851"/>
    <cellStyle name="Note 3 2 2 4 18 3" xfId="16279"/>
    <cellStyle name="Note 3 2 2 4 18 4" xfId="25563"/>
    <cellStyle name="Note 3 2 2 4 18 5" xfId="34060"/>
    <cellStyle name="Note 3 2 2 4 18 6" xfId="37257"/>
    <cellStyle name="Note 3 2 2 4 18 7" xfId="52006"/>
    <cellStyle name="Note 3 2 2 4 19" xfId="2766"/>
    <cellStyle name="Note 3 2 2 4 19 2" xfId="10589"/>
    <cellStyle name="Note 3 2 2 4 19 3" xfId="18017"/>
    <cellStyle name="Note 3 2 2 4 19 4" xfId="19413"/>
    <cellStyle name="Note 3 2 2 4 19 5" xfId="28377"/>
    <cellStyle name="Note 3 2 2 4 19 6" xfId="40584"/>
    <cellStyle name="Note 3 2 2 4 19 7" xfId="48494"/>
    <cellStyle name="Note 3 2 2 4 2" xfId="634"/>
    <cellStyle name="Note 3 2 2 4 2 2" xfId="8458"/>
    <cellStyle name="Note 3 2 2 4 2 3" xfId="8302"/>
    <cellStyle name="Note 3 2 2 4 2 4" xfId="20044"/>
    <cellStyle name="Note 3 2 2 4 2 5" xfId="27182"/>
    <cellStyle name="Note 3 2 2 4 2 6" xfId="36982"/>
    <cellStyle name="Note 3 2 2 4 2 7" xfId="48157"/>
    <cellStyle name="Note 3 2 2 4 20" xfId="2873"/>
    <cellStyle name="Note 3 2 2 4 20 2" xfId="10696"/>
    <cellStyle name="Note 3 2 2 4 20 3" xfId="18124"/>
    <cellStyle name="Note 3 2 2 4 20 4" xfId="25227"/>
    <cellStyle name="Note 3 2 2 4 20 5" xfId="33628"/>
    <cellStyle name="Note 3 2 2 4 20 6" xfId="37453"/>
    <cellStyle name="Note 3 2 2 4 20 7" xfId="51279"/>
    <cellStyle name="Note 3 2 2 4 21" xfId="3249"/>
    <cellStyle name="Note 3 2 2 4 21 2" xfId="11042"/>
    <cellStyle name="Note 3 2 2 4 21 3" xfId="18371"/>
    <cellStyle name="Note 3 2 2 4 21 4" xfId="19536"/>
    <cellStyle name="Note 3 2 2 4 21 5" xfId="27985"/>
    <cellStyle name="Note 3 2 2 4 21 6" xfId="36401"/>
    <cellStyle name="Note 3 2 2 4 21 7" xfId="47553"/>
    <cellStyle name="Note 3 2 2 4 22" xfId="3369"/>
    <cellStyle name="Note 3 2 2 4 22 2" xfId="11160"/>
    <cellStyle name="Note 3 2 2 4 22 3" xfId="18482"/>
    <cellStyle name="Note 3 2 2 4 22 4" xfId="26101"/>
    <cellStyle name="Note 3 2 2 4 22 5" xfId="34754"/>
    <cellStyle name="Note 3 2 2 4 22 6" xfId="40226"/>
    <cellStyle name="Note 3 2 2 4 22 7" xfId="53212"/>
    <cellStyle name="Note 3 2 2 4 23" xfId="3505"/>
    <cellStyle name="Note 3 2 2 4 23 2" xfId="11296"/>
    <cellStyle name="Note 3 2 2 4 23 3" xfId="18595"/>
    <cellStyle name="Note 3 2 2 4 23 4" xfId="26640"/>
    <cellStyle name="Note 3 2 2 4 23 5" xfId="35476"/>
    <cellStyle name="Note 3 2 2 4 23 6" xfId="37057"/>
    <cellStyle name="Note 3 2 2 4 23 7" xfId="54366"/>
    <cellStyle name="Note 3 2 2 4 24" xfId="3593"/>
    <cellStyle name="Note 3 2 2 4 24 2" xfId="11379"/>
    <cellStyle name="Note 3 2 2 4 24 3" xfId="18654"/>
    <cellStyle name="Note 3 2 2 4 24 4" xfId="25941"/>
    <cellStyle name="Note 3 2 2 4 24 5" xfId="34546"/>
    <cellStyle name="Note 3 2 2 4 24 6" xfId="40160"/>
    <cellStyle name="Note 3 2 2 4 24 7" xfId="52872"/>
    <cellStyle name="Note 3 2 2 4 25" xfId="3639"/>
    <cellStyle name="Note 3 2 2 4 25 2" xfId="11424"/>
    <cellStyle name="Note 3 2 2 4 25 3" xfId="18697"/>
    <cellStyle name="Note 3 2 2 4 25 4" xfId="20025"/>
    <cellStyle name="Note 3 2 2 4 25 5" xfId="26836"/>
    <cellStyle name="Note 3 2 2 4 25 6" xfId="36586"/>
    <cellStyle name="Note 3 2 2 4 25 7" xfId="49719"/>
    <cellStyle name="Note 3 2 2 4 26" xfId="3770"/>
    <cellStyle name="Note 3 2 2 4 26 2" xfId="11552"/>
    <cellStyle name="Note 3 2 2 4 26 3" xfId="18809"/>
    <cellStyle name="Note 3 2 2 4 26 4" xfId="25118"/>
    <cellStyle name="Note 3 2 2 4 26 5" xfId="33489"/>
    <cellStyle name="Note 3 2 2 4 26 6" xfId="37917"/>
    <cellStyle name="Note 3 2 2 4 26 7" xfId="51052"/>
    <cellStyle name="Note 3 2 2 4 27" xfId="3887"/>
    <cellStyle name="Note 3 2 2 4 27 2" xfId="11667"/>
    <cellStyle name="Note 3 2 2 4 27 3" xfId="18918"/>
    <cellStyle name="Note 3 2 2 4 27 4" xfId="25904"/>
    <cellStyle name="Note 3 2 2 4 27 5" xfId="34499"/>
    <cellStyle name="Note 3 2 2 4 27 6" xfId="40022"/>
    <cellStyle name="Note 3 2 2 4 27 7" xfId="52785"/>
    <cellStyle name="Note 3 2 2 4 28" xfId="3558"/>
    <cellStyle name="Note 3 2 2 4 28 2" xfId="11347"/>
    <cellStyle name="Note 3 2 2 4 28 3" xfId="20519"/>
    <cellStyle name="Note 3 2 2 4 28 4" xfId="28646"/>
    <cellStyle name="Note 3 2 2 4 28 5" xfId="33245"/>
    <cellStyle name="Note 3 2 2 4 28 6" xfId="42508"/>
    <cellStyle name="Note 3 2 2 4 28 7" xfId="48349"/>
    <cellStyle name="Note 3 2 2 4 29" xfId="4084"/>
    <cellStyle name="Note 3 2 2 4 29 2" xfId="11844"/>
    <cellStyle name="Note 3 2 2 4 29 3" xfId="20794"/>
    <cellStyle name="Note 3 2 2 4 29 4" xfId="28981"/>
    <cellStyle name="Note 3 2 2 4 29 5" xfId="28380"/>
    <cellStyle name="Note 3 2 2 4 29 6" xfId="42646"/>
    <cellStyle name="Note 3 2 2 4 29 7" xfId="48804"/>
    <cellStyle name="Note 3 2 2 4 3" xfId="741"/>
    <cellStyle name="Note 3 2 2 4 3 2" xfId="8565"/>
    <cellStyle name="Note 3 2 2 4 3 3" xfId="15993"/>
    <cellStyle name="Note 3 2 2 4 3 4" xfId="19573"/>
    <cellStyle name="Note 3 2 2 4 3 5" xfId="27668"/>
    <cellStyle name="Note 3 2 2 4 3 6" xfId="36974"/>
    <cellStyle name="Note 3 2 2 4 3 7" xfId="47791"/>
    <cellStyle name="Note 3 2 2 4 30" xfId="4012"/>
    <cellStyle name="Note 3 2 2 4 30 2" xfId="20722"/>
    <cellStyle name="Note 3 2 2 4 30 3" xfId="28909"/>
    <cellStyle name="Note 3 2 2 4 30 4" xfId="26908"/>
    <cellStyle name="Note 3 2 2 4 30 5" xfId="42574"/>
    <cellStyle name="Note 3 2 2 4 30 6" xfId="48670"/>
    <cellStyle name="Note 3 2 2 4 31" xfId="4281"/>
    <cellStyle name="Note 3 2 2 4 31 2" xfId="11998"/>
    <cellStyle name="Note 3 2 2 4 31 3" xfId="20991"/>
    <cellStyle name="Note 3 2 2 4 31 4" xfId="29178"/>
    <cellStyle name="Note 3 2 2 4 31 5" xfId="33159"/>
    <cellStyle name="Note 3 2 2 4 31 6" xfId="42843"/>
    <cellStyle name="Note 3 2 2 4 31 7" xfId="50884"/>
    <cellStyle name="Note 3 2 2 4 32" xfId="4404"/>
    <cellStyle name="Note 3 2 2 4 32 2" xfId="12121"/>
    <cellStyle name="Note 3 2 2 4 32 3" xfId="21114"/>
    <cellStyle name="Note 3 2 2 4 32 4" xfId="29301"/>
    <cellStyle name="Note 3 2 2 4 32 5" xfId="34077"/>
    <cellStyle name="Note 3 2 2 4 32 6" xfId="42966"/>
    <cellStyle name="Note 3 2 2 4 32 7" xfId="47287"/>
    <cellStyle name="Note 3 2 2 4 33" xfId="4518"/>
    <cellStyle name="Note 3 2 2 4 33 2" xfId="12235"/>
    <cellStyle name="Note 3 2 2 4 33 3" xfId="21228"/>
    <cellStyle name="Note 3 2 2 4 33 4" xfId="29415"/>
    <cellStyle name="Note 3 2 2 4 33 5" xfId="34654"/>
    <cellStyle name="Note 3 2 2 4 33 6" xfId="43080"/>
    <cellStyle name="Note 3 2 2 4 33 7" xfId="49516"/>
    <cellStyle name="Note 3 2 2 4 34" xfId="4631"/>
    <cellStyle name="Note 3 2 2 4 34 2" xfId="12348"/>
    <cellStyle name="Note 3 2 2 4 34 3" xfId="21341"/>
    <cellStyle name="Note 3 2 2 4 34 4" xfId="29528"/>
    <cellStyle name="Note 3 2 2 4 34 5" xfId="36156"/>
    <cellStyle name="Note 3 2 2 4 34 6" xfId="43193"/>
    <cellStyle name="Note 3 2 2 4 34 7" xfId="54165"/>
    <cellStyle name="Note 3 2 2 4 35" xfId="4743"/>
    <cellStyle name="Note 3 2 2 4 35 2" xfId="12460"/>
    <cellStyle name="Note 3 2 2 4 35 3" xfId="21453"/>
    <cellStyle name="Note 3 2 2 4 35 4" xfId="29640"/>
    <cellStyle name="Note 3 2 2 4 35 5" xfId="33863"/>
    <cellStyle name="Note 3 2 2 4 35 6" xfId="43305"/>
    <cellStyle name="Note 3 2 2 4 35 7" xfId="50145"/>
    <cellStyle name="Note 3 2 2 4 36" xfId="4851"/>
    <cellStyle name="Note 3 2 2 4 36 2" xfId="12568"/>
    <cellStyle name="Note 3 2 2 4 36 3" xfId="21561"/>
    <cellStyle name="Note 3 2 2 4 36 4" xfId="29748"/>
    <cellStyle name="Note 3 2 2 4 36 5" xfId="36110"/>
    <cellStyle name="Note 3 2 2 4 36 6" xfId="43413"/>
    <cellStyle name="Note 3 2 2 4 36 7" xfId="53940"/>
    <cellStyle name="Note 3 2 2 4 37" xfId="4963"/>
    <cellStyle name="Note 3 2 2 4 37 2" xfId="12680"/>
    <cellStyle name="Note 3 2 2 4 37 3" xfId="21673"/>
    <cellStyle name="Note 3 2 2 4 37 4" xfId="29860"/>
    <cellStyle name="Note 3 2 2 4 37 5" xfId="35588"/>
    <cellStyle name="Note 3 2 2 4 37 6" xfId="43525"/>
    <cellStyle name="Note 3 2 2 4 37 7" xfId="51455"/>
    <cellStyle name="Note 3 2 2 4 38" xfId="5148"/>
    <cellStyle name="Note 3 2 2 4 38 2" xfId="12865"/>
    <cellStyle name="Note 3 2 2 4 38 3" xfId="21858"/>
    <cellStyle name="Note 3 2 2 4 38 4" xfId="30045"/>
    <cellStyle name="Note 3 2 2 4 38 5" xfId="34605"/>
    <cellStyle name="Note 3 2 2 4 38 6" xfId="43710"/>
    <cellStyle name="Note 3 2 2 4 38 7" xfId="48372"/>
    <cellStyle name="Note 3 2 2 4 39" xfId="5461"/>
    <cellStyle name="Note 3 2 2 4 39 2" xfId="13178"/>
    <cellStyle name="Note 3 2 2 4 39 3" xfId="22171"/>
    <cellStyle name="Note 3 2 2 4 39 4" xfId="30358"/>
    <cellStyle name="Note 3 2 2 4 39 5" xfId="35854"/>
    <cellStyle name="Note 3 2 2 4 39 6" xfId="44023"/>
    <cellStyle name="Note 3 2 2 4 39 7" xfId="52690"/>
    <cellStyle name="Note 3 2 2 4 4" xfId="853"/>
    <cellStyle name="Note 3 2 2 4 4 2" xfId="8677"/>
    <cellStyle name="Note 3 2 2 4 4 3" xfId="16105"/>
    <cellStyle name="Note 3 2 2 4 4 4" xfId="20040"/>
    <cellStyle name="Note 3 2 2 4 4 5" xfId="27983"/>
    <cellStyle name="Note 3 2 2 4 4 6" xfId="36957"/>
    <cellStyle name="Note 3 2 2 4 4 7" xfId="49663"/>
    <cellStyle name="Note 3 2 2 4 40" xfId="5586"/>
    <cellStyle name="Note 3 2 2 4 40 2" xfId="13303"/>
    <cellStyle name="Note 3 2 2 4 40 3" xfId="22296"/>
    <cellStyle name="Note 3 2 2 4 40 4" xfId="30483"/>
    <cellStyle name="Note 3 2 2 4 40 5" xfId="33770"/>
    <cellStyle name="Note 3 2 2 4 40 6" xfId="44148"/>
    <cellStyle name="Note 3 2 2 4 40 7" xfId="47152"/>
    <cellStyle name="Note 3 2 2 4 41" xfId="5701"/>
    <cellStyle name="Note 3 2 2 4 41 2" xfId="13418"/>
    <cellStyle name="Note 3 2 2 4 41 3" xfId="22411"/>
    <cellStyle name="Note 3 2 2 4 41 4" xfId="30598"/>
    <cellStyle name="Note 3 2 2 4 41 5" xfId="34732"/>
    <cellStyle name="Note 3 2 2 4 41 6" xfId="44263"/>
    <cellStyle name="Note 3 2 2 4 41 7" xfId="47079"/>
    <cellStyle name="Note 3 2 2 4 42" xfId="5818"/>
    <cellStyle name="Note 3 2 2 4 42 2" xfId="13535"/>
    <cellStyle name="Note 3 2 2 4 42 3" xfId="22528"/>
    <cellStyle name="Note 3 2 2 4 42 4" xfId="30715"/>
    <cellStyle name="Note 3 2 2 4 42 5" xfId="35689"/>
    <cellStyle name="Note 3 2 2 4 42 6" xfId="44380"/>
    <cellStyle name="Note 3 2 2 4 42 7" xfId="51344"/>
    <cellStyle name="Note 3 2 2 4 43" xfId="5946"/>
    <cellStyle name="Note 3 2 2 4 43 2" xfId="13663"/>
    <cellStyle name="Note 3 2 2 4 43 3" xfId="22656"/>
    <cellStyle name="Note 3 2 2 4 43 4" xfId="30843"/>
    <cellStyle name="Note 3 2 2 4 43 5" xfId="35951"/>
    <cellStyle name="Note 3 2 2 4 43 6" xfId="44508"/>
    <cellStyle name="Note 3 2 2 4 43 7" xfId="52938"/>
    <cellStyle name="Note 3 2 2 4 44" xfId="6059"/>
    <cellStyle name="Note 3 2 2 4 44 2" xfId="13776"/>
    <cellStyle name="Note 3 2 2 4 44 3" xfId="22769"/>
    <cellStyle name="Note 3 2 2 4 44 4" xfId="30956"/>
    <cellStyle name="Note 3 2 2 4 44 5" xfId="33241"/>
    <cellStyle name="Note 3 2 2 4 44 6" xfId="44621"/>
    <cellStyle name="Note 3 2 2 4 44 7" xfId="51708"/>
    <cellStyle name="Note 3 2 2 4 45" xfId="6092"/>
    <cellStyle name="Note 3 2 2 4 45 2" xfId="13809"/>
    <cellStyle name="Note 3 2 2 4 45 3" xfId="22802"/>
    <cellStyle name="Note 3 2 2 4 45 4" xfId="30989"/>
    <cellStyle name="Note 3 2 2 4 45 5" xfId="35617"/>
    <cellStyle name="Note 3 2 2 4 45 6" xfId="44654"/>
    <cellStyle name="Note 3 2 2 4 45 7" xfId="52219"/>
    <cellStyle name="Note 3 2 2 4 46" xfId="6202"/>
    <cellStyle name="Note 3 2 2 4 46 2" xfId="13919"/>
    <cellStyle name="Note 3 2 2 4 46 3" xfId="22912"/>
    <cellStyle name="Note 3 2 2 4 46 4" xfId="31099"/>
    <cellStyle name="Note 3 2 2 4 46 5" xfId="34282"/>
    <cellStyle name="Note 3 2 2 4 46 6" xfId="44764"/>
    <cellStyle name="Note 3 2 2 4 46 7" xfId="48941"/>
    <cellStyle name="Note 3 2 2 4 47" xfId="6319"/>
    <cellStyle name="Note 3 2 2 4 47 2" xfId="14036"/>
    <cellStyle name="Note 3 2 2 4 47 3" xfId="23029"/>
    <cellStyle name="Note 3 2 2 4 47 4" xfId="31216"/>
    <cellStyle name="Note 3 2 2 4 47 5" xfId="35808"/>
    <cellStyle name="Note 3 2 2 4 47 6" xfId="44881"/>
    <cellStyle name="Note 3 2 2 4 47 7" xfId="47670"/>
    <cellStyle name="Note 3 2 2 4 48" xfId="6429"/>
    <cellStyle name="Note 3 2 2 4 48 2" xfId="14146"/>
    <cellStyle name="Note 3 2 2 4 48 3" xfId="23139"/>
    <cellStyle name="Note 3 2 2 4 48 4" xfId="31326"/>
    <cellStyle name="Note 3 2 2 4 48 5" xfId="36039"/>
    <cellStyle name="Note 3 2 2 4 48 6" xfId="44991"/>
    <cellStyle name="Note 3 2 2 4 48 7" xfId="53224"/>
    <cellStyle name="Note 3 2 2 4 49" xfId="5939"/>
    <cellStyle name="Note 3 2 2 4 49 2" xfId="13656"/>
    <cellStyle name="Note 3 2 2 4 49 3" xfId="22649"/>
    <cellStyle name="Note 3 2 2 4 49 4" xfId="30836"/>
    <cellStyle name="Note 3 2 2 4 49 5" xfId="36092"/>
    <cellStyle name="Note 3 2 2 4 49 6" xfId="44501"/>
    <cellStyle name="Note 3 2 2 4 49 7" xfId="53495"/>
    <cellStyle name="Note 3 2 2 4 5" xfId="1318"/>
    <cellStyle name="Note 3 2 2 4 5 2" xfId="9141"/>
    <cellStyle name="Note 3 2 2 4 5 3" xfId="16569"/>
    <cellStyle name="Note 3 2 2 4 5 4" xfId="25725"/>
    <cellStyle name="Note 3 2 2 4 5 5" xfId="34271"/>
    <cellStyle name="Note 3 2 2 4 5 6" xfId="36333"/>
    <cellStyle name="Note 3 2 2 4 5 7" xfId="52375"/>
    <cellStyle name="Note 3 2 2 4 50" xfId="6576"/>
    <cellStyle name="Note 3 2 2 4 50 2" xfId="14293"/>
    <cellStyle name="Note 3 2 2 4 50 3" xfId="23286"/>
    <cellStyle name="Note 3 2 2 4 50 4" xfId="31473"/>
    <cellStyle name="Note 3 2 2 4 50 5" xfId="36086"/>
    <cellStyle name="Note 3 2 2 4 50 6" xfId="45138"/>
    <cellStyle name="Note 3 2 2 4 50 7" xfId="53471"/>
    <cellStyle name="Note 3 2 2 4 51" xfId="6687"/>
    <cellStyle name="Note 3 2 2 4 51 2" xfId="14404"/>
    <cellStyle name="Note 3 2 2 4 51 3" xfId="23397"/>
    <cellStyle name="Note 3 2 2 4 51 4" xfId="31584"/>
    <cellStyle name="Note 3 2 2 4 51 5" xfId="26976"/>
    <cellStyle name="Note 3 2 2 4 51 6" xfId="45249"/>
    <cellStyle name="Note 3 2 2 4 51 7" xfId="49190"/>
    <cellStyle name="Note 3 2 2 4 52" xfId="6802"/>
    <cellStyle name="Note 3 2 2 4 52 2" xfId="14519"/>
    <cellStyle name="Note 3 2 2 4 52 3" xfId="23512"/>
    <cellStyle name="Note 3 2 2 4 52 4" xfId="31699"/>
    <cellStyle name="Note 3 2 2 4 52 5" xfId="35743"/>
    <cellStyle name="Note 3 2 2 4 52 6" xfId="45364"/>
    <cellStyle name="Note 3 2 2 4 52 7" xfId="51983"/>
    <cellStyle name="Note 3 2 2 4 53" xfId="6915"/>
    <cellStyle name="Note 3 2 2 4 53 2" xfId="14632"/>
    <cellStyle name="Note 3 2 2 4 53 3" xfId="23625"/>
    <cellStyle name="Note 3 2 2 4 53 4" xfId="31812"/>
    <cellStyle name="Note 3 2 2 4 53 5" xfId="28574"/>
    <cellStyle name="Note 3 2 2 4 53 6" xfId="45477"/>
    <cellStyle name="Note 3 2 2 4 53 7" xfId="46819"/>
    <cellStyle name="Note 3 2 2 4 54" xfId="7027"/>
    <cellStyle name="Note 3 2 2 4 54 2" xfId="14744"/>
    <cellStyle name="Note 3 2 2 4 54 3" xfId="23737"/>
    <cellStyle name="Note 3 2 2 4 54 4" xfId="31924"/>
    <cellStyle name="Note 3 2 2 4 54 5" xfId="36242"/>
    <cellStyle name="Note 3 2 2 4 54 6" xfId="45589"/>
    <cellStyle name="Note 3 2 2 4 54 7" xfId="46997"/>
    <cellStyle name="Note 3 2 2 4 55" xfId="7234"/>
    <cellStyle name="Note 3 2 2 4 55 2" xfId="14951"/>
    <cellStyle name="Note 3 2 2 4 55 3" xfId="23944"/>
    <cellStyle name="Note 3 2 2 4 55 4" xfId="32131"/>
    <cellStyle name="Note 3 2 2 4 55 5" xfId="36020"/>
    <cellStyle name="Note 3 2 2 4 55 6" xfId="45796"/>
    <cellStyle name="Note 3 2 2 4 55 7" xfId="51714"/>
    <cellStyle name="Note 3 2 2 4 56" xfId="7352"/>
    <cellStyle name="Note 3 2 2 4 56 2" xfId="15069"/>
    <cellStyle name="Note 3 2 2 4 56 3" xfId="24062"/>
    <cellStyle name="Note 3 2 2 4 56 4" xfId="32249"/>
    <cellStyle name="Note 3 2 2 4 56 5" xfId="35615"/>
    <cellStyle name="Note 3 2 2 4 56 6" xfId="45914"/>
    <cellStyle name="Note 3 2 2 4 56 7" xfId="51038"/>
    <cellStyle name="Note 3 2 2 4 57" xfId="7424"/>
    <cellStyle name="Note 3 2 2 4 57 2" xfId="15141"/>
    <cellStyle name="Note 3 2 2 4 57 3" xfId="24134"/>
    <cellStyle name="Note 3 2 2 4 57 4" xfId="32321"/>
    <cellStyle name="Note 3 2 2 4 57 5" xfId="35266"/>
    <cellStyle name="Note 3 2 2 4 57 6" xfId="45986"/>
    <cellStyle name="Note 3 2 2 4 57 7" xfId="47528"/>
    <cellStyle name="Note 3 2 2 4 58" xfId="7545"/>
    <cellStyle name="Note 3 2 2 4 58 2" xfId="15262"/>
    <cellStyle name="Note 3 2 2 4 58 3" xfId="24255"/>
    <cellStyle name="Note 3 2 2 4 58 4" xfId="32442"/>
    <cellStyle name="Note 3 2 2 4 58 5" xfId="35982"/>
    <cellStyle name="Note 3 2 2 4 58 6" xfId="46107"/>
    <cellStyle name="Note 3 2 2 4 58 7" xfId="52985"/>
    <cellStyle name="Note 3 2 2 4 59" xfId="7821"/>
    <cellStyle name="Note 3 2 2 4 59 2" xfId="15538"/>
    <cellStyle name="Note 3 2 2 4 59 3" xfId="24525"/>
    <cellStyle name="Note 3 2 2 4 59 4" xfId="32718"/>
    <cellStyle name="Note 3 2 2 4 59 5" xfId="28253"/>
    <cellStyle name="Note 3 2 2 4 59 6" xfId="46383"/>
    <cellStyle name="Note 3 2 2 4 59 7" xfId="54247"/>
    <cellStyle name="Note 3 2 2 4 6" xfId="1441"/>
    <cellStyle name="Note 3 2 2 4 6 2" xfId="9264"/>
    <cellStyle name="Note 3 2 2 4 6 3" xfId="16692"/>
    <cellStyle name="Note 3 2 2 4 6 4" xfId="25622"/>
    <cellStyle name="Note 3 2 2 4 6 5" xfId="34136"/>
    <cellStyle name="Note 3 2 2 4 6 6" xfId="39933"/>
    <cellStyle name="Note 3 2 2 4 6 7" xfId="52132"/>
    <cellStyle name="Note 3 2 2 4 60" xfId="7697"/>
    <cellStyle name="Note 3 2 2 4 60 2" xfId="15414"/>
    <cellStyle name="Note 3 2 2 4 60 3" xfId="24405"/>
    <cellStyle name="Note 3 2 2 4 60 4" xfId="32594"/>
    <cellStyle name="Note 3 2 2 4 60 5" xfId="35897"/>
    <cellStyle name="Note 3 2 2 4 60 6" xfId="46259"/>
    <cellStyle name="Note 3 2 2 4 60 7" xfId="52356"/>
    <cellStyle name="Note 3 2 2 4 61" xfId="7651"/>
    <cellStyle name="Note 3 2 2 4 61 2" xfId="15368"/>
    <cellStyle name="Note 3 2 2 4 61 3" xfId="24361"/>
    <cellStyle name="Note 3 2 2 4 61 4" xfId="32548"/>
    <cellStyle name="Note 3 2 2 4 61 5" xfId="33763"/>
    <cellStyle name="Note 3 2 2 4 61 6" xfId="46213"/>
    <cellStyle name="Note 3 2 2 4 61 7" xfId="49661"/>
    <cellStyle name="Note 3 2 2 4 62" xfId="7817"/>
    <cellStyle name="Note 3 2 2 4 62 2" xfId="15534"/>
    <cellStyle name="Note 3 2 2 4 62 3" xfId="24521"/>
    <cellStyle name="Note 3 2 2 4 62 4" xfId="32714"/>
    <cellStyle name="Note 3 2 2 4 62 5" xfId="36096"/>
    <cellStyle name="Note 3 2 2 4 62 6" xfId="46379"/>
    <cellStyle name="Note 3 2 2 4 62 7" xfId="54504"/>
    <cellStyle name="Note 3 2 2 4 63" xfId="8097"/>
    <cellStyle name="Note 3 2 2 4 63 2" xfId="15814"/>
    <cellStyle name="Note 3 2 2 4 63 3" xfId="32994"/>
    <cellStyle name="Note 3 2 2 4 63 4" xfId="33810"/>
    <cellStyle name="Note 3 2 2 4 63 5" xfId="46659"/>
    <cellStyle name="Note 3 2 2 4 63 6" xfId="54458"/>
    <cellStyle name="Note 3 2 2 4 64" xfId="26427"/>
    <cellStyle name="Note 3 2 2 4 65" xfId="35192"/>
    <cellStyle name="Note 3 2 2 4 66" xfId="37142"/>
    <cellStyle name="Note 3 2 2 4 67" xfId="53914"/>
    <cellStyle name="Note 3 2 2 4 7" xfId="1001"/>
    <cellStyle name="Note 3 2 2 4 7 2" xfId="8825"/>
    <cellStyle name="Note 3 2 2 4 7 3" xfId="16253"/>
    <cellStyle name="Note 3 2 2 4 7 4" xfId="24935"/>
    <cellStyle name="Note 3 2 2 4 7 5" xfId="33268"/>
    <cellStyle name="Note 3 2 2 4 7 6" xfId="36693"/>
    <cellStyle name="Note 3 2 2 4 7 7" xfId="50648"/>
    <cellStyle name="Note 3 2 2 4 8" xfId="1678"/>
    <cellStyle name="Note 3 2 2 4 8 2" xfId="9501"/>
    <cellStyle name="Note 3 2 2 4 8 3" xfId="16929"/>
    <cellStyle name="Note 3 2 2 4 8 4" xfId="19164"/>
    <cellStyle name="Note 3 2 2 4 8 5" xfId="28124"/>
    <cellStyle name="Note 3 2 2 4 8 6" xfId="38106"/>
    <cellStyle name="Note 3 2 2 4 8 7" xfId="49235"/>
    <cellStyle name="Note 3 2 2 4 9" xfId="1812"/>
    <cellStyle name="Note 3 2 2 4 9 2" xfId="9635"/>
    <cellStyle name="Note 3 2 2 4 9 3" xfId="17063"/>
    <cellStyle name="Note 3 2 2 4 9 4" xfId="19039"/>
    <cellStyle name="Note 3 2 2 4 9 5" xfId="27483"/>
    <cellStyle name="Note 3 2 2 4 9 6" xfId="39885"/>
    <cellStyle name="Note 3 2 2 4 9 7" xfId="49872"/>
    <cellStyle name="Note 3 2 2 40" xfId="4042"/>
    <cellStyle name="Note 3 2 2 40 2" xfId="11813"/>
    <cellStyle name="Note 3 2 2 40 3" xfId="20752"/>
    <cellStyle name="Note 3 2 2 40 4" xfId="28939"/>
    <cellStyle name="Note 3 2 2 40 5" xfId="34094"/>
    <cellStyle name="Note 3 2 2 40 6" xfId="42604"/>
    <cellStyle name="Note 3 2 2 40 7" xfId="48118"/>
    <cellStyle name="Note 3 2 2 41" xfId="4840"/>
    <cellStyle name="Note 3 2 2 41 2" xfId="12557"/>
    <cellStyle name="Note 3 2 2 41 3" xfId="21550"/>
    <cellStyle name="Note 3 2 2 41 4" xfId="29737"/>
    <cellStyle name="Note 3 2 2 41 5" xfId="28024"/>
    <cellStyle name="Note 3 2 2 41 6" xfId="43402"/>
    <cellStyle name="Note 3 2 2 41 7" xfId="47821"/>
    <cellStyle name="Note 3 2 2 42" xfId="4239"/>
    <cellStyle name="Note 3 2 2 42 2" xfId="11971"/>
    <cellStyle name="Note 3 2 2 42 3" xfId="20949"/>
    <cellStyle name="Note 3 2 2 42 4" xfId="29136"/>
    <cellStyle name="Note 3 2 2 42 5" xfId="33271"/>
    <cellStyle name="Note 3 2 2 42 6" xfId="42801"/>
    <cellStyle name="Note 3 2 2 42 7" xfId="49328"/>
    <cellStyle name="Note 3 2 2 43" xfId="5343"/>
    <cellStyle name="Note 3 2 2 43 2" xfId="13060"/>
    <cellStyle name="Note 3 2 2 43 3" xfId="22053"/>
    <cellStyle name="Note 3 2 2 43 4" xfId="30240"/>
    <cellStyle name="Note 3 2 2 43 5" xfId="27841"/>
    <cellStyle name="Note 3 2 2 43 6" xfId="43905"/>
    <cellStyle name="Note 3 2 2 43 7" xfId="49494"/>
    <cellStyle name="Note 3 2 2 44" xfId="5164"/>
    <cellStyle name="Note 3 2 2 44 2" xfId="12881"/>
    <cellStyle name="Note 3 2 2 44 3" xfId="21874"/>
    <cellStyle name="Note 3 2 2 44 4" xfId="30061"/>
    <cellStyle name="Note 3 2 2 44 5" xfId="35909"/>
    <cellStyle name="Note 3 2 2 44 6" xfId="43726"/>
    <cellStyle name="Note 3 2 2 44 7" xfId="53002"/>
    <cellStyle name="Note 3 2 2 45" xfId="5328"/>
    <cellStyle name="Note 3 2 2 45 2" xfId="13045"/>
    <cellStyle name="Note 3 2 2 45 3" xfId="22038"/>
    <cellStyle name="Note 3 2 2 45 4" xfId="30225"/>
    <cellStyle name="Note 3 2 2 45 5" xfId="28176"/>
    <cellStyle name="Note 3 2 2 45 6" xfId="43890"/>
    <cellStyle name="Note 3 2 2 45 7" xfId="51162"/>
    <cellStyle name="Note 3 2 2 46" xfId="5686"/>
    <cellStyle name="Note 3 2 2 46 2" xfId="13403"/>
    <cellStyle name="Note 3 2 2 46 3" xfId="22396"/>
    <cellStyle name="Note 3 2 2 46 4" xfId="30583"/>
    <cellStyle name="Note 3 2 2 46 5" xfId="27660"/>
    <cellStyle name="Note 3 2 2 46 6" xfId="44248"/>
    <cellStyle name="Note 3 2 2 46 7" xfId="47090"/>
    <cellStyle name="Note 3 2 2 47" xfId="5272"/>
    <cellStyle name="Note 3 2 2 47 2" xfId="12989"/>
    <cellStyle name="Note 3 2 2 47 3" xfId="21982"/>
    <cellStyle name="Note 3 2 2 47 4" xfId="30169"/>
    <cellStyle name="Note 3 2 2 47 5" xfId="28212"/>
    <cellStyle name="Note 3 2 2 47 6" xfId="43834"/>
    <cellStyle name="Note 3 2 2 47 7" xfId="49390"/>
    <cellStyle name="Note 3 2 2 48" xfId="5301"/>
    <cellStyle name="Note 3 2 2 48 2" xfId="13018"/>
    <cellStyle name="Note 3 2 2 48 3" xfId="22011"/>
    <cellStyle name="Note 3 2 2 48 4" xfId="30198"/>
    <cellStyle name="Note 3 2 2 48 5" xfId="36155"/>
    <cellStyle name="Note 3 2 2 48 6" xfId="43863"/>
    <cellStyle name="Note 3 2 2 48 7" xfId="54163"/>
    <cellStyle name="Note 3 2 2 49" xfId="6045"/>
    <cellStyle name="Note 3 2 2 49 2" xfId="13762"/>
    <cellStyle name="Note 3 2 2 49 3" xfId="22755"/>
    <cellStyle name="Note 3 2 2 49 4" xfId="30942"/>
    <cellStyle name="Note 3 2 2 49 5" xfId="35267"/>
    <cellStyle name="Note 3 2 2 49 6" xfId="44607"/>
    <cellStyle name="Note 3 2 2 49 7" xfId="47463"/>
    <cellStyle name="Note 3 2 2 5" xfId="592"/>
    <cellStyle name="Note 3 2 2 5 10" xfId="2038"/>
    <cellStyle name="Note 3 2 2 5 10 2" xfId="9861"/>
    <cellStyle name="Note 3 2 2 5 10 3" xfId="17289"/>
    <cellStyle name="Note 3 2 2 5 10 4" xfId="19452"/>
    <cellStyle name="Note 3 2 2 5 10 5" xfId="28168"/>
    <cellStyle name="Note 3 2 2 5 10 6" xfId="38865"/>
    <cellStyle name="Note 3 2 2 5 10 7" xfId="48768"/>
    <cellStyle name="Note 3 2 2 5 11" xfId="2152"/>
    <cellStyle name="Note 3 2 2 5 11 2" xfId="9975"/>
    <cellStyle name="Note 3 2 2 5 11 3" xfId="17403"/>
    <cellStyle name="Note 3 2 2 5 11 4" xfId="20121"/>
    <cellStyle name="Note 3 2 2 5 11 5" xfId="27133"/>
    <cellStyle name="Note 3 2 2 5 11 6" xfId="41851"/>
    <cellStyle name="Note 3 2 2 5 11 7" xfId="47401"/>
    <cellStyle name="Note 3 2 2 5 12" xfId="2269"/>
    <cellStyle name="Note 3 2 2 5 12 2" xfId="10092"/>
    <cellStyle name="Note 3 2 2 5 12 3" xfId="17520"/>
    <cellStyle name="Note 3 2 2 5 12 4" xfId="26085"/>
    <cellStyle name="Note 3 2 2 5 12 5" xfId="34733"/>
    <cellStyle name="Note 3 2 2 5 12 6" xfId="37934"/>
    <cellStyle name="Note 3 2 2 5 12 7" xfId="53178"/>
    <cellStyle name="Note 3 2 2 5 13" xfId="1574"/>
    <cellStyle name="Note 3 2 2 5 13 2" xfId="9397"/>
    <cellStyle name="Note 3 2 2 5 13 3" xfId="16825"/>
    <cellStyle name="Note 3 2 2 5 13 4" xfId="25978"/>
    <cellStyle name="Note 3 2 2 5 13 5" xfId="34595"/>
    <cellStyle name="Note 3 2 2 5 13 6" xfId="41101"/>
    <cellStyle name="Note 3 2 2 5 13 7" xfId="52948"/>
    <cellStyle name="Note 3 2 2 5 14" xfId="1263"/>
    <cellStyle name="Note 3 2 2 5 14 2" xfId="9086"/>
    <cellStyle name="Note 3 2 2 5 14 3" xfId="16514"/>
    <cellStyle name="Note 3 2 2 5 14 4" xfId="19693"/>
    <cellStyle name="Note 3 2 2 5 14 5" xfId="28195"/>
    <cellStyle name="Note 3 2 2 5 14 6" xfId="36828"/>
    <cellStyle name="Note 3 2 2 5 14 7" xfId="47193"/>
    <cellStyle name="Note 3 2 2 5 15" xfId="2565"/>
    <cellStyle name="Note 3 2 2 5 15 2" xfId="10388"/>
    <cellStyle name="Note 3 2 2 5 15 3" xfId="17816"/>
    <cellStyle name="Note 3 2 2 5 15 4" xfId="26074"/>
    <cellStyle name="Note 3 2 2 5 15 5" xfId="34720"/>
    <cellStyle name="Note 3 2 2 5 15 6" xfId="38491"/>
    <cellStyle name="Note 3 2 2 5 15 7" xfId="53156"/>
    <cellStyle name="Note 3 2 2 5 16" xfId="2679"/>
    <cellStyle name="Note 3 2 2 5 16 2" xfId="10502"/>
    <cellStyle name="Note 3 2 2 5 16 3" xfId="17930"/>
    <cellStyle name="Note 3 2 2 5 16 4" xfId="26363"/>
    <cellStyle name="Note 3 2 2 5 16 5" xfId="35098"/>
    <cellStyle name="Note 3 2 2 5 16 6" xfId="36809"/>
    <cellStyle name="Note 3 2 2 5 16 7" xfId="53768"/>
    <cellStyle name="Note 3 2 2 5 17" xfId="1596"/>
    <cellStyle name="Note 3 2 2 5 17 2" xfId="9419"/>
    <cellStyle name="Note 3 2 2 5 17 3" xfId="16847"/>
    <cellStyle name="Note 3 2 2 5 17 4" xfId="24895"/>
    <cellStyle name="Note 3 2 2 5 17 5" xfId="33211"/>
    <cellStyle name="Note 3 2 2 5 17 6" xfId="38796"/>
    <cellStyle name="Note 3 2 2 5 17 7" xfId="50551"/>
    <cellStyle name="Note 3 2 2 5 18" xfId="2287"/>
    <cellStyle name="Note 3 2 2 5 18 2" xfId="10110"/>
    <cellStyle name="Note 3 2 2 5 18 3" xfId="17538"/>
    <cellStyle name="Note 3 2 2 5 18 4" xfId="25161"/>
    <cellStyle name="Note 3 2 2 5 18 5" xfId="33538"/>
    <cellStyle name="Note 3 2 2 5 18 6" xfId="36907"/>
    <cellStyle name="Note 3 2 2 5 18 7" xfId="51134"/>
    <cellStyle name="Note 3 2 2 5 19" xfId="2868"/>
    <cellStyle name="Note 3 2 2 5 19 2" xfId="10691"/>
    <cellStyle name="Note 3 2 2 5 19 3" xfId="18119"/>
    <cellStyle name="Note 3 2 2 5 19 4" xfId="19510"/>
    <cellStyle name="Note 3 2 2 5 19 5" xfId="28048"/>
    <cellStyle name="Note 3 2 2 5 19 6" xfId="37609"/>
    <cellStyle name="Note 3 2 2 5 19 7" xfId="47594"/>
    <cellStyle name="Note 3 2 2 5 2" xfId="735"/>
    <cellStyle name="Note 3 2 2 5 2 2" xfId="8559"/>
    <cellStyle name="Note 3 2 2 5 2 3" xfId="15987"/>
    <cellStyle name="Note 3 2 2 5 2 4" xfId="19335"/>
    <cellStyle name="Note 3 2 2 5 2 5" xfId="27522"/>
    <cellStyle name="Note 3 2 2 5 2 6" xfId="37066"/>
    <cellStyle name="Note 3 2 2 5 2 7" xfId="49967"/>
    <cellStyle name="Note 3 2 2 5 20" xfId="2974"/>
    <cellStyle name="Note 3 2 2 5 20 2" xfId="10797"/>
    <cellStyle name="Note 3 2 2 5 20 3" xfId="18225"/>
    <cellStyle name="Note 3 2 2 5 20 4" xfId="19434"/>
    <cellStyle name="Note 3 2 2 5 20 5" xfId="26840"/>
    <cellStyle name="Note 3 2 2 5 20 6" xfId="36680"/>
    <cellStyle name="Note 3 2 2 5 20 7" xfId="47294"/>
    <cellStyle name="Note 3 2 2 5 21" xfId="3355"/>
    <cellStyle name="Note 3 2 2 5 21 2" xfId="11148"/>
    <cellStyle name="Note 3 2 2 5 21 3" xfId="18474"/>
    <cellStyle name="Note 3 2 2 5 21 4" xfId="20134"/>
    <cellStyle name="Note 3 2 2 5 21 5" xfId="28634"/>
    <cellStyle name="Note 3 2 2 5 21 6" xfId="41535"/>
    <cellStyle name="Note 3 2 2 5 21 7" xfId="48371"/>
    <cellStyle name="Note 3 2 2 5 22" xfId="3474"/>
    <cellStyle name="Note 3 2 2 5 22 2" xfId="11265"/>
    <cellStyle name="Note 3 2 2 5 22 3" xfId="18584"/>
    <cellStyle name="Note 3 2 2 5 22 4" xfId="20436"/>
    <cellStyle name="Note 3 2 2 5 22 5" xfId="28145"/>
    <cellStyle name="Note 3 2 2 5 22 6" xfId="36721"/>
    <cellStyle name="Note 3 2 2 5 22 7" xfId="50164"/>
    <cellStyle name="Note 3 2 2 5 23" xfId="3591"/>
    <cellStyle name="Note 3 2 2 5 23 2" xfId="11377"/>
    <cellStyle name="Note 3 2 2 5 23 3" xfId="18652"/>
    <cellStyle name="Note 3 2 2 5 23 4" xfId="20182"/>
    <cellStyle name="Note 3 2 2 5 23 5" xfId="28481"/>
    <cellStyle name="Note 3 2 2 5 23 6" xfId="40326"/>
    <cellStyle name="Note 3 2 2 5 23 7" xfId="48039"/>
    <cellStyle name="Note 3 2 2 5 24" xfId="3632"/>
    <cellStyle name="Note 3 2 2 5 24 2" xfId="11417"/>
    <cellStyle name="Note 3 2 2 5 24 3" xfId="18690"/>
    <cellStyle name="Note 3 2 2 5 24 4" xfId="19516"/>
    <cellStyle name="Note 3 2 2 5 24 5" xfId="27962"/>
    <cellStyle name="Note 3 2 2 5 24 6" xfId="42128"/>
    <cellStyle name="Note 3 2 2 5 24 7" xfId="48835"/>
    <cellStyle name="Note 3 2 2 5 25" xfId="3747"/>
    <cellStyle name="Note 3 2 2 5 25 2" xfId="11532"/>
    <cellStyle name="Note 3 2 2 5 25 3" xfId="18802"/>
    <cellStyle name="Note 3 2 2 5 25 4" xfId="26193"/>
    <cellStyle name="Note 3 2 2 5 25 5" xfId="34872"/>
    <cellStyle name="Note 3 2 2 5 25 6" xfId="40168"/>
    <cellStyle name="Note 3 2 2 5 25 7" xfId="53412"/>
    <cellStyle name="Note 3 2 2 5 26" xfId="3876"/>
    <cellStyle name="Note 3 2 2 5 26 2" xfId="11657"/>
    <cellStyle name="Note 3 2 2 5 26 3" xfId="18911"/>
    <cellStyle name="Note 3 2 2 5 26 4" xfId="26387"/>
    <cellStyle name="Note 3 2 2 5 26 5" xfId="35133"/>
    <cellStyle name="Note 3 2 2 5 26 6" xfId="41961"/>
    <cellStyle name="Note 3 2 2 5 26 7" xfId="53818"/>
    <cellStyle name="Note 3 2 2 5 27" xfId="3995"/>
    <cellStyle name="Note 3 2 2 5 27 2" xfId="11774"/>
    <cellStyle name="Note 3 2 2 5 27 3" xfId="19019"/>
    <cellStyle name="Note 3 2 2 5 27 4" xfId="19803"/>
    <cellStyle name="Note 3 2 2 5 27 5" xfId="33143"/>
    <cellStyle name="Note 3 2 2 5 27 6" xfId="37485"/>
    <cellStyle name="Note 3 2 2 5 27 7" xfId="50417"/>
    <cellStyle name="Note 3 2 2 5 28" xfId="3589"/>
    <cellStyle name="Note 3 2 2 5 28 2" xfId="11375"/>
    <cellStyle name="Note 3 2 2 5 28 3" xfId="20542"/>
    <cellStyle name="Note 3 2 2 5 28 4" xfId="28667"/>
    <cellStyle name="Note 3 2 2 5 28 5" xfId="35937"/>
    <cellStyle name="Note 3 2 2 5 28 6" xfId="42521"/>
    <cellStyle name="Note 3 2 2 5 28 7" xfId="53116"/>
    <cellStyle name="Note 3 2 2 5 29" xfId="4189"/>
    <cellStyle name="Note 3 2 2 5 29 2" xfId="11948"/>
    <cellStyle name="Note 3 2 2 5 29 3" xfId="20899"/>
    <cellStyle name="Note 3 2 2 5 29 4" xfId="29086"/>
    <cellStyle name="Note 3 2 2 5 29 5" xfId="35827"/>
    <cellStyle name="Note 3 2 2 5 29 6" xfId="42751"/>
    <cellStyle name="Note 3 2 2 5 29 7" xfId="52547"/>
    <cellStyle name="Note 3 2 2 5 3" xfId="846"/>
    <cellStyle name="Note 3 2 2 5 3 2" xfId="8670"/>
    <cellStyle name="Note 3 2 2 5 3 3" xfId="16098"/>
    <cellStyle name="Note 3 2 2 5 3 4" xfId="25188"/>
    <cellStyle name="Note 3 2 2 5 3 5" xfId="33571"/>
    <cellStyle name="Note 3 2 2 5 3 6" xfId="36740"/>
    <cellStyle name="Note 3 2 2 5 3 7" xfId="51189"/>
    <cellStyle name="Note 3 2 2 5 30" xfId="4205"/>
    <cellStyle name="Note 3 2 2 5 30 2" xfId="20915"/>
    <cellStyle name="Note 3 2 2 5 30 3" xfId="29102"/>
    <cellStyle name="Note 3 2 2 5 30 4" xfId="27853"/>
    <cellStyle name="Note 3 2 2 5 30 5" xfId="42767"/>
    <cellStyle name="Note 3 2 2 5 30 6" xfId="51227"/>
    <cellStyle name="Note 3 2 2 5 31" xfId="4390"/>
    <cellStyle name="Note 3 2 2 5 31 2" xfId="12107"/>
    <cellStyle name="Note 3 2 2 5 31 3" xfId="21100"/>
    <cellStyle name="Note 3 2 2 5 31 4" xfId="29287"/>
    <cellStyle name="Note 3 2 2 5 31 5" xfId="34599"/>
    <cellStyle name="Note 3 2 2 5 31 6" xfId="42952"/>
    <cellStyle name="Note 3 2 2 5 31 7" xfId="50024"/>
    <cellStyle name="Note 3 2 2 5 32" xfId="4509"/>
    <cellStyle name="Note 3 2 2 5 32 2" xfId="12226"/>
    <cellStyle name="Note 3 2 2 5 32 3" xfId="21219"/>
    <cellStyle name="Note 3 2 2 5 32 4" xfId="29406"/>
    <cellStyle name="Note 3 2 2 5 32 5" xfId="34220"/>
    <cellStyle name="Note 3 2 2 5 32 6" xfId="43071"/>
    <cellStyle name="Note 3 2 2 5 32 7" xfId="50666"/>
    <cellStyle name="Note 3 2 2 5 33" xfId="4623"/>
    <cellStyle name="Note 3 2 2 5 33 2" xfId="12340"/>
    <cellStyle name="Note 3 2 2 5 33 3" xfId="21333"/>
    <cellStyle name="Note 3 2 2 5 33 4" xfId="29520"/>
    <cellStyle name="Note 3 2 2 5 33 5" xfId="33458"/>
    <cellStyle name="Note 3 2 2 5 33 6" xfId="43185"/>
    <cellStyle name="Note 3 2 2 5 33 7" xfId="48493"/>
    <cellStyle name="Note 3 2 2 5 34" xfId="4736"/>
    <cellStyle name="Note 3 2 2 5 34 2" xfId="12453"/>
    <cellStyle name="Note 3 2 2 5 34 3" xfId="21446"/>
    <cellStyle name="Note 3 2 2 5 34 4" xfId="29633"/>
    <cellStyle name="Note 3 2 2 5 34 5" xfId="33753"/>
    <cellStyle name="Note 3 2 2 5 34 6" xfId="43298"/>
    <cellStyle name="Note 3 2 2 5 34 7" xfId="47540"/>
    <cellStyle name="Note 3 2 2 5 35" xfId="4845"/>
    <cellStyle name="Note 3 2 2 5 35 2" xfId="12562"/>
    <cellStyle name="Note 3 2 2 5 35 3" xfId="21555"/>
    <cellStyle name="Note 3 2 2 5 35 4" xfId="29742"/>
    <cellStyle name="Note 3 2 2 5 35 5" xfId="36215"/>
    <cellStyle name="Note 3 2 2 5 35 6" xfId="43407"/>
    <cellStyle name="Note 3 2 2 5 35 7" xfId="54462"/>
    <cellStyle name="Note 3 2 2 5 36" xfId="4956"/>
    <cellStyle name="Note 3 2 2 5 36 2" xfId="12673"/>
    <cellStyle name="Note 3 2 2 5 36 3" xfId="21666"/>
    <cellStyle name="Note 3 2 2 5 36 4" xfId="29853"/>
    <cellStyle name="Note 3 2 2 5 36 5" xfId="35775"/>
    <cellStyle name="Note 3 2 2 5 36 6" xfId="43518"/>
    <cellStyle name="Note 3 2 2 5 36 7" xfId="52362"/>
    <cellStyle name="Note 3 2 2 5 37" xfId="5064"/>
    <cellStyle name="Note 3 2 2 5 37 2" xfId="12781"/>
    <cellStyle name="Note 3 2 2 5 37 3" xfId="21774"/>
    <cellStyle name="Note 3 2 2 5 37 4" xfId="29961"/>
    <cellStyle name="Note 3 2 2 5 37 5" xfId="35353"/>
    <cellStyle name="Note 3 2 2 5 37 6" xfId="43626"/>
    <cellStyle name="Note 3 2 2 5 37 7" xfId="47709"/>
    <cellStyle name="Note 3 2 2 5 38" xfId="5447"/>
    <cellStyle name="Note 3 2 2 5 38 2" xfId="13164"/>
    <cellStyle name="Note 3 2 2 5 38 3" xfId="22157"/>
    <cellStyle name="Note 3 2 2 5 38 4" xfId="30344"/>
    <cellStyle name="Note 3 2 2 5 38 5" xfId="36163"/>
    <cellStyle name="Note 3 2 2 5 38 6" xfId="44009"/>
    <cellStyle name="Note 3 2 2 5 38 7" xfId="54209"/>
    <cellStyle name="Note 3 2 2 5 39" xfId="5566"/>
    <cellStyle name="Note 3 2 2 5 39 2" xfId="13283"/>
    <cellStyle name="Note 3 2 2 5 39 3" xfId="22276"/>
    <cellStyle name="Note 3 2 2 5 39 4" xfId="30463"/>
    <cellStyle name="Note 3 2 2 5 39 5" xfId="28805"/>
    <cellStyle name="Note 3 2 2 5 39 6" xfId="44128"/>
    <cellStyle name="Note 3 2 2 5 39 7" xfId="47167"/>
    <cellStyle name="Note 3 2 2 5 4" xfId="954"/>
    <cellStyle name="Note 3 2 2 5 4 2" xfId="8778"/>
    <cellStyle name="Note 3 2 2 5 4 3" xfId="16206"/>
    <cellStyle name="Note 3 2 2 5 4 4" xfId="26143"/>
    <cellStyle name="Note 3 2 2 5 4 5" xfId="34808"/>
    <cellStyle name="Note 3 2 2 5 4 6" xfId="37088"/>
    <cellStyle name="Note 3 2 2 5 4 7" xfId="53302"/>
    <cellStyle name="Note 3 2 2 5 40" xfId="5692"/>
    <cellStyle name="Note 3 2 2 5 40 2" xfId="13409"/>
    <cellStyle name="Note 3 2 2 5 40 3" xfId="22402"/>
    <cellStyle name="Note 3 2 2 5 40 4" xfId="30589"/>
    <cellStyle name="Note 3 2 2 5 40 5" xfId="27887"/>
    <cellStyle name="Note 3 2 2 5 40 6" xfId="44254"/>
    <cellStyle name="Note 3 2 2 5 40 7" xfId="47087"/>
    <cellStyle name="Note 3 2 2 5 41" xfId="5806"/>
    <cellStyle name="Note 3 2 2 5 41 2" xfId="13523"/>
    <cellStyle name="Note 3 2 2 5 41 3" xfId="22516"/>
    <cellStyle name="Note 3 2 2 5 41 4" xfId="30703"/>
    <cellStyle name="Note 3 2 2 5 41 5" xfId="35926"/>
    <cellStyle name="Note 3 2 2 5 41 6" xfId="44368"/>
    <cellStyle name="Note 3 2 2 5 41 7" xfId="52826"/>
    <cellStyle name="Note 3 2 2 5 42" xfId="5925"/>
    <cellStyle name="Note 3 2 2 5 42 2" xfId="13642"/>
    <cellStyle name="Note 3 2 2 5 42 3" xfId="22635"/>
    <cellStyle name="Note 3 2 2 5 42 4" xfId="30822"/>
    <cellStyle name="Note 3 2 2 5 42 5" xfId="36145"/>
    <cellStyle name="Note 3 2 2 5 42 6" xfId="44487"/>
    <cellStyle name="Note 3 2 2 5 42 7" xfId="53879"/>
    <cellStyle name="Note 3 2 2 5 43" xfId="6051"/>
    <cellStyle name="Note 3 2 2 5 43 2" xfId="13768"/>
    <cellStyle name="Note 3 2 2 5 43 3" xfId="22761"/>
    <cellStyle name="Note 3 2 2 5 43 4" xfId="30948"/>
    <cellStyle name="Note 3 2 2 5 43 5" xfId="34834"/>
    <cellStyle name="Note 3 2 2 5 43 6" xfId="44613"/>
    <cellStyle name="Note 3 2 2 5 43 7" xfId="48958"/>
    <cellStyle name="Note 3 2 2 5 44" xfId="6134"/>
    <cellStyle name="Note 3 2 2 5 44 2" xfId="13851"/>
    <cellStyle name="Note 3 2 2 5 44 3" xfId="22844"/>
    <cellStyle name="Note 3 2 2 5 44 4" xfId="31031"/>
    <cellStyle name="Note 3 2 2 5 44 5" xfId="27743"/>
    <cellStyle name="Note 3 2 2 5 44 6" xfId="44696"/>
    <cellStyle name="Note 3 2 2 5 44 7" xfId="50429"/>
    <cellStyle name="Note 3 2 2 5 45" xfId="6178"/>
    <cellStyle name="Note 3 2 2 5 45 2" xfId="13895"/>
    <cellStyle name="Note 3 2 2 5 45 3" xfId="22888"/>
    <cellStyle name="Note 3 2 2 5 45 4" xfId="31075"/>
    <cellStyle name="Note 3 2 2 5 45 5" xfId="35478"/>
    <cellStyle name="Note 3 2 2 5 45 6" xfId="44740"/>
    <cellStyle name="Note 3 2 2 5 45 7" xfId="50453"/>
    <cellStyle name="Note 3 2 2 5 46" xfId="6307"/>
    <cellStyle name="Note 3 2 2 5 46 2" xfId="14024"/>
    <cellStyle name="Note 3 2 2 5 46 3" xfId="23017"/>
    <cellStyle name="Note 3 2 2 5 46 4" xfId="31204"/>
    <cellStyle name="Note 3 2 2 5 46 5" xfId="36023"/>
    <cellStyle name="Note 3 2 2 5 46 6" xfId="44869"/>
    <cellStyle name="Note 3 2 2 5 46 7" xfId="53292"/>
    <cellStyle name="Note 3 2 2 5 47" xfId="6421"/>
    <cellStyle name="Note 3 2 2 5 47 2" xfId="14138"/>
    <cellStyle name="Note 3 2 2 5 47 3" xfId="23131"/>
    <cellStyle name="Note 3 2 2 5 47 4" xfId="31318"/>
    <cellStyle name="Note 3 2 2 5 47 5" xfId="36209"/>
    <cellStyle name="Note 3 2 2 5 47 6" xfId="44983"/>
    <cellStyle name="Note 3 2 2 5 47 7" xfId="54308"/>
    <cellStyle name="Note 3 2 2 5 48" xfId="6535"/>
    <cellStyle name="Note 3 2 2 5 48 2" xfId="14252"/>
    <cellStyle name="Note 3 2 2 5 48 3" xfId="23245"/>
    <cellStyle name="Note 3 2 2 5 48 4" xfId="31432"/>
    <cellStyle name="Note 3 2 2 5 48 5" xfId="26835"/>
    <cellStyle name="Note 3 2 2 5 48 6" xfId="45097"/>
    <cellStyle name="Note 3 2 2 5 48 7" xfId="50088"/>
    <cellStyle name="Note 3 2 2 5 49" xfId="6112"/>
    <cellStyle name="Note 3 2 2 5 49 2" xfId="13829"/>
    <cellStyle name="Note 3 2 2 5 49 3" xfId="22822"/>
    <cellStyle name="Note 3 2 2 5 49 4" xfId="31009"/>
    <cellStyle name="Note 3 2 2 5 49 5" xfId="34183"/>
    <cellStyle name="Note 3 2 2 5 49 6" xfId="44674"/>
    <cellStyle name="Note 3 2 2 5 49 7" xfId="50021"/>
    <cellStyle name="Note 3 2 2 5 5" xfId="1426"/>
    <cellStyle name="Note 3 2 2 5 5 2" xfId="9249"/>
    <cellStyle name="Note 3 2 2 5 5 3" xfId="16677"/>
    <cellStyle name="Note 3 2 2 5 5 4" xfId="26232"/>
    <cellStyle name="Note 3 2 2 5 5 5" xfId="34919"/>
    <cellStyle name="Note 3 2 2 5 5 6" xfId="41380"/>
    <cellStyle name="Note 3 2 2 5 5 7" xfId="53484"/>
    <cellStyle name="Note 3 2 2 5 50" xfId="6680"/>
    <cellStyle name="Note 3 2 2 5 50 2" xfId="14397"/>
    <cellStyle name="Note 3 2 2 5 50 3" xfId="23390"/>
    <cellStyle name="Note 3 2 2 5 50 4" xfId="31577"/>
    <cellStyle name="Note 3 2 2 5 50 5" xfId="27741"/>
    <cellStyle name="Note 3 2 2 5 50 6" xfId="45242"/>
    <cellStyle name="Note 3 2 2 5 50 7" xfId="49944"/>
    <cellStyle name="Note 3 2 2 5 51" xfId="6793"/>
    <cellStyle name="Note 3 2 2 5 51 2" xfId="14510"/>
    <cellStyle name="Note 3 2 2 5 51 3" xfId="23503"/>
    <cellStyle name="Note 3 2 2 5 51 4" xfId="31690"/>
    <cellStyle name="Note 3 2 2 5 51 5" xfId="35943"/>
    <cellStyle name="Note 3 2 2 5 51 6" xfId="45355"/>
    <cellStyle name="Note 3 2 2 5 51 7" xfId="52895"/>
    <cellStyle name="Note 3 2 2 5 52" xfId="6907"/>
    <cellStyle name="Note 3 2 2 5 52 2" xfId="14624"/>
    <cellStyle name="Note 3 2 2 5 52 3" xfId="23617"/>
    <cellStyle name="Note 3 2 2 5 52 4" xfId="31804"/>
    <cellStyle name="Note 3 2 2 5 52 5" xfId="35571"/>
    <cellStyle name="Note 3 2 2 5 52 6" xfId="45469"/>
    <cellStyle name="Note 3 2 2 5 52 7" xfId="46945"/>
    <cellStyle name="Note 3 2 2 5 53" xfId="7020"/>
    <cellStyle name="Note 3 2 2 5 53 2" xfId="14737"/>
    <cellStyle name="Note 3 2 2 5 53 3" xfId="23730"/>
    <cellStyle name="Note 3 2 2 5 53 4" xfId="31917"/>
    <cellStyle name="Note 3 2 2 5 53 5" xfId="36240"/>
    <cellStyle name="Note 3 2 2 5 53 6" xfId="45582"/>
    <cellStyle name="Note 3 2 2 5 53 7" xfId="46948"/>
    <cellStyle name="Note 3 2 2 5 54" xfId="7128"/>
    <cellStyle name="Note 3 2 2 5 54 2" xfId="14845"/>
    <cellStyle name="Note 3 2 2 5 54 3" xfId="23838"/>
    <cellStyle name="Note 3 2 2 5 54 4" xfId="32025"/>
    <cellStyle name="Note 3 2 2 5 54 5" xfId="35927"/>
    <cellStyle name="Note 3 2 2 5 54 6" xfId="45690"/>
    <cellStyle name="Note 3 2 2 5 54 7" xfId="52598"/>
    <cellStyle name="Note 3 2 2 5 55" xfId="7378"/>
    <cellStyle name="Note 3 2 2 5 55 2" xfId="15095"/>
    <cellStyle name="Note 3 2 2 5 55 3" xfId="24088"/>
    <cellStyle name="Note 3 2 2 5 55 4" xfId="32275"/>
    <cellStyle name="Note 3 2 2 5 55 5" xfId="27040"/>
    <cellStyle name="Note 3 2 2 5 55 6" xfId="45940"/>
    <cellStyle name="Note 3 2 2 5 55 7" xfId="51820"/>
    <cellStyle name="Note 3 2 2 5 56" xfId="7216"/>
    <cellStyle name="Note 3 2 2 5 56 2" xfId="14933"/>
    <cellStyle name="Note 3 2 2 5 56 3" xfId="23926"/>
    <cellStyle name="Note 3 2 2 5 56 4" xfId="32113"/>
    <cellStyle name="Note 3 2 2 5 56 5" xfId="28106"/>
    <cellStyle name="Note 3 2 2 5 56 6" xfId="45778"/>
    <cellStyle name="Note 3 2 2 5 56 7" xfId="47386"/>
    <cellStyle name="Note 3 2 2 5 57" xfId="7525"/>
    <cellStyle name="Note 3 2 2 5 57 2" xfId="15242"/>
    <cellStyle name="Note 3 2 2 5 57 3" xfId="24235"/>
    <cellStyle name="Note 3 2 2 5 57 4" xfId="32422"/>
    <cellStyle name="Note 3 2 2 5 57 5" xfId="27923"/>
    <cellStyle name="Note 3 2 2 5 57 6" xfId="46087"/>
    <cellStyle name="Note 3 2 2 5 57 7" xfId="49075"/>
    <cellStyle name="Note 3 2 2 5 58" xfId="7646"/>
    <cellStyle name="Note 3 2 2 5 58 2" xfId="15363"/>
    <cellStyle name="Note 3 2 2 5 58 3" xfId="24356"/>
    <cellStyle name="Note 3 2 2 5 58 4" xfId="32543"/>
    <cellStyle name="Note 3 2 2 5 58 5" xfId="35700"/>
    <cellStyle name="Note 3 2 2 5 58 6" xfId="46208"/>
    <cellStyle name="Note 3 2 2 5 58 7" xfId="51199"/>
    <cellStyle name="Note 3 2 2 5 59" xfId="7925"/>
    <cellStyle name="Note 3 2 2 5 59 2" xfId="15642"/>
    <cellStyle name="Note 3 2 2 5 59 3" xfId="24629"/>
    <cellStyle name="Note 3 2 2 5 59 4" xfId="32822"/>
    <cellStyle name="Note 3 2 2 5 59 5" xfId="35280"/>
    <cellStyle name="Note 3 2 2 5 59 6" xfId="46487"/>
    <cellStyle name="Note 3 2 2 5 59 7" xfId="50520"/>
    <cellStyle name="Note 3 2 2 5 6" xfId="1548"/>
    <cellStyle name="Note 3 2 2 5 6 2" xfId="9371"/>
    <cellStyle name="Note 3 2 2 5 6 3" xfId="16799"/>
    <cellStyle name="Note 3 2 2 5 6 4" xfId="20084"/>
    <cellStyle name="Note 3 2 2 5 6 5" xfId="27829"/>
    <cellStyle name="Note 3 2 2 5 6 6" xfId="37106"/>
    <cellStyle name="Note 3 2 2 5 6 7" xfId="46995"/>
    <cellStyle name="Note 3 2 2 5 60" xfId="7794"/>
    <cellStyle name="Note 3 2 2 5 60 2" xfId="15511"/>
    <cellStyle name="Note 3 2 2 5 60 3" xfId="24499"/>
    <cellStyle name="Note 3 2 2 5 60 4" xfId="32691"/>
    <cellStyle name="Note 3 2 2 5 60 5" xfId="33246"/>
    <cellStyle name="Note 3 2 2 5 60 6" xfId="46356"/>
    <cellStyle name="Note 3 2 2 5 60 7" xfId="47242"/>
    <cellStyle name="Note 3 2 2 5 61" xfId="8053"/>
    <cellStyle name="Note 3 2 2 5 61 2" xfId="15770"/>
    <cellStyle name="Note 3 2 2 5 61 3" xfId="24755"/>
    <cellStyle name="Note 3 2 2 5 61 4" xfId="32950"/>
    <cellStyle name="Note 3 2 2 5 61 5" xfId="35755"/>
    <cellStyle name="Note 3 2 2 5 61 6" xfId="46615"/>
    <cellStyle name="Note 3 2 2 5 61 7" xfId="51649"/>
    <cellStyle name="Note 3 2 2 5 62" xfId="7727"/>
    <cellStyle name="Note 3 2 2 5 62 2" xfId="15444"/>
    <cellStyle name="Note 3 2 2 5 62 3" xfId="24435"/>
    <cellStyle name="Note 3 2 2 5 62 4" xfId="32624"/>
    <cellStyle name="Note 3 2 2 5 62 5" xfId="35258"/>
    <cellStyle name="Note 3 2 2 5 62 6" xfId="46289"/>
    <cellStyle name="Note 3 2 2 5 62 7" xfId="48939"/>
    <cellStyle name="Note 3 2 2 5 63" xfId="8198"/>
    <cellStyle name="Note 3 2 2 5 63 2" xfId="15915"/>
    <cellStyle name="Note 3 2 2 5 63 3" xfId="33095"/>
    <cellStyle name="Note 3 2 2 5 63 4" xfId="27637"/>
    <cellStyle name="Note 3 2 2 5 63 5" xfId="46760"/>
    <cellStyle name="Note 3 2 2 5 63 6" xfId="46856"/>
    <cellStyle name="Note 3 2 2 5 64" xfId="19633"/>
    <cellStyle name="Note 3 2 2 5 65" xfId="28754"/>
    <cellStyle name="Note 3 2 2 5 66" xfId="37965"/>
    <cellStyle name="Note 3 2 2 5 67" xfId="49539"/>
    <cellStyle name="Note 3 2 2 5 7" xfId="1095"/>
    <cellStyle name="Note 3 2 2 5 7 2" xfId="8919"/>
    <cellStyle name="Note 3 2 2 5 7 3" xfId="16347"/>
    <cellStyle name="Note 3 2 2 5 7 4" xfId="25012"/>
    <cellStyle name="Note 3 2 2 5 7 5" xfId="33364"/>
    <cellStyle name="Note 3 2 2 5 7 6" xfId="37338"/>
    <cellStyle name="Note 3 2 2 5 7 7" xfId="50822"/>
    <cellStyle name="Note 3 2 2 5 8" xfId="1787"/>
    <cellStyle name="Note 3 2 2 5 8 2" xfId="9610"/>
    <cellStyle name="Note 3 2 2 5 8 3" xfId="17038"/>
    <cellStyle name="Note 3 2 2 5 8 4" xfId="25842"/>
    <cellStyle name="Note 3 2 2 5 8 5" xfId="34428"/>
    <cellStyle name="Note 3 2 2 5 8 6" xfId="42294"/>
    <cellStyle name="Note 3 2 2 5 8 7" xfId="52657"/>
    <cellStyle name="Note 3 2 2 5 9" xfId="1919"/>
    <cellStyle name="Note 3 2 2 5 9 2" xfId="9742"/>
    <cellStyle name="Note 3 2 2 5 9 3" xfId="17170"/>
    <cellStyle name="Note 3 2 2 5 9 4" xfId="19835"/>
    <cellStyle name="Note 3 2 2 5 9 5" xfId="28254"/>
    <cellStyle name="Note 3 2 2 5 9 6" xfId="36375"/>
    <cellStyle name="Note 3 2 2 5 9 7" xfId="46967"/>
    <cellStyle name="Note 3 2 2 50" xfId="5103"/>
    <cellStyle name="Note 3 2 2 50 2" xfId="12820"/>
    <cellStyle name="Note 3 2 2 50 3" xfId="21813"/>
    <cellStyle name="Note 3 2 2 50 4" xfId="30000"/>
    <cellStyle name="Note 3 2 2 50 5" xfId="34749"/>
    <cellStyle name="Note 3 2 2 50 6" xfId="43665"/>
    <cellStyle name="Note 3 2 2 50 7" xfId="50673"/>
    <cellStyle name="Note 3 2 2 51" xfId="6108"/>
    <cellStyle name="Note 3 2 2 51 2" xfId="13825"/>
    <cellStyle name="Note 3 2 2 51 3" xfId="22818"/>
    <cellStyle name="Note 3 2 2 51 4" xfId="31005"/>
    <cellStyle name="Note 3 2 2 51 5" xfId="35076"/>
    <cellStyle name="Note 3 2 2 51 6" xfId="44670"/>
    <cellStyle name="Note 3 2 2 51 7" xfId="50511"/>
    <cellStyle name="Note 3 2 2 52" xfId="5322"/>
    <cellStyle name="Note 3 2 2 52 2" xfId="13039"/>
    <cellStyle name="Note 3 2 2 52 3" xfId="22032"/>
    <cellStyle name="Note 3 2 2 52 4" xfId="30219"/>
    <cellStyle name="Note 3 2 2 52 5" xfId="33686"/>
    <cellStyle name="Note 3 2 2 52 6" xfId="43884"/>
    <cellStyle name="Note 3 2 2 52 7" xfId="47584"/>
    <cellStyle name="Note 3 2 2 53" xfId="6018"/>
    <cellStyle name="Note 3 2 2 53 2" xfId="13735"/>
    <cellStyle name="Note 3 2 2 53 3" xfId="22728"/>
    <cellStyle name="Note 3 2 2 53 4" xfId="30915"/>
    <cellStyle name="Note 3 2 2 53 5" xfId="35618"/>
    <cellStyle name="Note 3 2 2 53 6" xfId="44580"/>
    <cellStyle name="Note 3 2 2 53 7" xfId="52732"/>
    <cellStyle name="Note 3 2 2 54" xfId="5316"/>
    <cellStyle name="Note 3 2 2 54 2" xfId="13033"/>
    <cellStyle name="Note 3 2 2 54 3" xfId="22026"/>
    <cellStyle name="Note 3 2 2 54 4" xfId="30213"/>
    <cellStyle name="Note 3 2 2 54 5" xfId="35818"/>
    <cellStyle name="Note 3 2 2 54 6" xfId="43878"/>
    <cellStyle name="Note 3 2 2 54 7" xfId="52529"/>
    <cellStyle name="Note 3 2 2 55" xfId="6313"/>
    <cellStyle name="Note 3 2 2 55 2" xfId="14030"/>
    <cellStyle name="Note 3 2 2 55 3" xfId="23023"/>
    <cellStyle name="Note 3 2 2 55 4" xfId="31210"/>
    <cellStyle name="Note 3 2 2 55 5" xfId="35930"/>
    <cellStyle name="Note 3 2 2 55 6" xfId="44875"/>
    <cellStyle name="Note 3 2 2 55 7" xfId="52838"/>
    <cellStyle name="Note 3 2 2 56" xfId="6675"/>
    <cellStyle name="Note 3 2 2 56 2" xfId="14392"/>
    <cellStyle name="Note 3 2 2 56 3" xfId="23385"/>
    <cellStyle name="Note 3 2 2 56 4" xfId="31572"/>
    <cellStyle name="Note 3 2 2 56 5" xfId="34935"/>
    <cellStyle name="Note 3 2 2 56 6" xfId="45237"/>
    <cellStyle name="Note 3 2 2 56 7" xfId="50548"/>
    <cellStyle name="Note 3 2 2 57" xfId="5456"/>
    <cellStyle name="Note 3 2 2 57 2" xfId="13173"/>
    <cellStyle name="Note 3 2 2 57 3" xfId="22166"/>
    <cellStyle name="Note 3 2 2 57 4" xfId="30353"/>
    <cellStyle name="Note 3 2 2 57 5" xfId="35918"/>
    <cellStyle name="Note 3 2 2 57 6" xfId="44018"/>
    <cellStyle name="Note 3 2 2 57 7" xfId="53041"/>
    <cellStyle name="Note 3 2 2 58" xfId="5351"/>
    <cellStyle name="Note 3 2 2 58 2" xfId="13068"/>
    <cellStyle name="Note 3 2 2 58 3" xfId="22061"/>
    <cellStyle name="Note 3 2 2 58 4" xfId="30248"/>
    <cellStyle name="Note 3 2 2 58 5" xfId="26855"/>
    <cellStyle name="Note 3 2 2 58 6" xfId="43913"/>
    <cellStyle name="Note 3 2 2 58 7" xfId="47799"/>
    <cellStyle name="Note 3 2 2 59" xfId="6424"/>
    <cellStyle name="Note 3 2 2 59 2" xfId="14141"/>
    <cellStyle name="Note 3 2 2 59 3" xfId="23134"/>
    <cellStyle name="Note 3 2 2 59 4" xfId="31321"/>
    <cellStyle name="Note 3 2 2 59 5" xfId="36187"/>
    <cellStyle name="Note 3 2 2 59 6" xfId="44986"/>
    <cellStyle name="Note 3 2 2 59 7" xfId="53804"/>
    <cellStyle name="Note 3 2 2 6" xfId="561"/>
    <cellStyle name="Note 3 2 2 6 10" xfId="2008"/>
    <cellStyle name="Note 3 2 2 6 10 2" xfId="9831"/>
    <cellStyle name="Note 3 2 2 6 10 3" xfId="17259"/>
    <cellStyle name="Note 3 2 2 6 10 4" xfId="25612"/>
    <cellStyle name="Note 3 2 2 6 10 5" xfId="34124"/>
    <cellStyle name="Note 3 2 2 6 10 6" xfId="41920"/>
    <cellStyle name="Note 3 2 2 6 10 7" xfId="52116"/>
    <cellStyle name="Note 3 2 2 6 11" xfId="2125"/>
    <cellStyle name="Note 3 2 2 6 11 2" xfId="9948"/>
    <cellStyle name="Note 3 2 2 6 11 3" xfId="17376"/>
    <cellStyle name="Note 3 2 2 6 11 4" xfId="25848"/>
    <cellStyle name="Note 3 2 2 6 11 5" xfId="34435"/>
    <cellStyle name="Note 3 2 2 6 11 6" xfId="37630"/>
    <cellStyle name="Note 3 2 2 6 11 7" xfId="52667"/>
    <cellStyle name="Note 3 2 2 6 12" xfId="2239"/>
    <cellStyle name="Note 3 2 2 6 12 2" xfId="10062"/>
    <cellStyle name="Note 3 2 2 6 12 3" xfId="17490"/>
    <cellStyle name="Note 3 2 2 6 12 4" xfId="19408"/>
    <cellStyle name="Note 3 2 2 6 12 5" xfId="27069"/>
    <cellStyle name="Note 3 2 2 6 12 6" xfId="36772"/>
    <cellStyle name="Note 3 2 2 6 12 7" xfId="48910"/>
    <cellStyle name="Note 3 2 2 6 13" xfId="1927"/>
    <cellStyle name="Note 3 2 2 6 13 2" xfId="9750"/>
    <cellStyle name="Note 3 2 2 6 13 3" xfId="17178"/>
    <cellStyle name="Note 3 2 2 6 13 4" xfId="26510"/>
    <cellStyle name="Note 3 2 2 6 13 5" xfId="35306"/>
    <cellStyle name="Note 3 2 2 6 13 6" xfId="41488"/>
    <cellStyle name="Note 3 2 2 6 13 7" xfId="54093"/>
    <cellStyle name="Note 3 2 2 6 14" xfId="2021"/>
    <cellStyle name="Note 3 2 2 6 14 2" xfId="9844"/>
    <cellStyle name="Note 3 2 2 6 14 3" xfId="17272"/>
    <cellStyle name="Note 3 2 2 6 14 4" xfId="20077"/>
    <cellStyle name="Note 3 2 2 6 14 5" xfId="28741"/>
    <cellStyle name="Note 3 2 2 6 14 6" xfId="39575"/>
    <cellStyle name="Note 3 2 2 6 14 7" xfId="50134"/>
    <cellStyle name="Note 3 2 2 6 15" xfId="2536"/>
    <cellStyle name="Note 3 2 2 6 15 2" xfId="10359"/>
    <cellStyle name="Note 3 2 2 6 15 3" xfId="17787"/>
    <cellStyle name="Note 3 2 2 6 15 4" xfId="19040"/>
    <cellStyle name="Note 3 2 2 6 15 5" xfId="33121"/>
    <cellStyle name="Note 3 2 2 6 15 6" xfId="41644"/>
    <cellStyle name="Note 3 2 2 6 15 7" xfId="49812"/>
    <cellStyle name="Note 3 2 2 6 16" xfId="2650"/>
    <cellStyle name="Note 3 2 2 6 16 2" xfId="10473"/>
    <cellStyle name="Note 3 2 2 6 16 3" xfId="17901"/>
    <cellStyle name="Note 3 2 2 6 16 4" xfId="25050"/>
    <cellStyle name="Note 3 2 2 6 16 5" xfId="33410"/>
    <cellStyle name="Note 3 2 2 6 16 6" xfId="36449"/>
    <cellStyle name="Note 3 2 2 6 16 7" xfId="50902"/>
    <cellStyle name="Note 3 2 2 6 17" xfId="2299"/>
    <cellStyle name="Note 3 2 2 6 17 2" xfId="10122"/>
    <cellStyle name="Note 3 2 2 6 17 3" xfId="17550"/>
    <cellStyle name="Note 3 2 2 6 17 4" xfId="19112"/>
    <cellStyle name="Note 3 2 2 6 17 5" xfId="27546"/>
    <cellStyle name="Note 3 2 2 6 17 6" xfId="39498"/>
    <cellStyle name="Note 3 2 2 6 17 7" xfId="49936"/>
    <cellStyle name="Note 3 2 2 6 18" xfId="1201"/>
    <cellStyle name="Note 3 2 2 6 18 2" xfId="9024"/>
    <cellStyle name="Note 3 2 2 6 18 3" xfId="16452"/>
    <cellStyle name="Note 3 2 2 6 18 4" xfId="25503"/>
    <cellStyle name="Note 3 2 2 6 18 5" xfId="33981"/>
    <cellStyle name="Note 3 2 2 6 18 6" xfId="41158"/>
    <cellStyle name="Note 3 2 2 6 18 7" xfId="51878"/>
    <cellStyle name="Note 3 2 2 6 19" xfId="2841"/>
    <cellStyle name="Note 3 2 2 6 19 2" xfId="10664"/>
    <cellStyle name="Note 3 2 2 6 19 3" xfId="18092"/>
    <cellStyle name="Note 3 2 2 6 19 4" xfId="20400"/>
    <cellStyle name="Note 3 2 2 6 19 5" xfId="27465"/>
    <cellStyle name="Note 3 2 2 6 19 6" xfId="39447"/>
    <cellStyle name="Note 3 2 2 6 19 7" xfId="48235"/>
    <cellStyle name="Note 3 2 2 6 2" xfId="709"/>
    <cellStyle name="Note 3 2 2 6 2 2" xfId="8533"/>
    <cellStyle name="Note 3 2 2 6 2 3" xfId="15961"/>
    <cellStyle name="Note 3 2 2 6 2 4" xfId="25930"/>
    <cellStyle name="Note 3 2 2 6 2 5" xfId="34534"/>
    <cellStyle name="Note 3 2 2 6 2 6" xfId="37250"/>
    <cellStyle name="Note 3 2 2 6 2 7" xfId="52851"/>
    <cellStyle name="Note 3 2 2 6 20" xfId="2948"/>
    <cellStyle name="Note 3 2 2 6 20 2" xfId="10771"/>
    <cellStyle name="Note 3 2 2 6 20 3" xfId="18199"/>
    <cellStyle name="Note 3 2 2 6 20 4" xfId="25151"/>
    <cellStyle name="Note 3 2 2 6 20 5" xfId="33528"/>
    <cellStyle name="Note 3 2 2 6 20 6" xfId="39630"/>
    <cellStyle name="Note 3 2 2 6 20 7" xfId="51115"/>
    <cellStyle name="Note 3 2 2 6 21" xfId="3325"/>
    <cellStyle name="Note 3 2 2 6 21 2" xfId="11118"/>
    <cellStyle name="Note 3 2 2 6 21 3" xfId="18446"/>
    <cellStyle name="Note 3 2 2 6 21 4" xfId="19776"/>
    <cellStyle name="Note 3 2 2 6 21 5" xfId="27794"/>
    <cellStyle name="Note 3 2 2 6 21 6" xfId="36885"/>
    <cellStyle name="Note 3 2 2 6 21 7" xfId="49318"/>
    <cellStyle name="Note 3 2 2 6 22" xfId="3444"/>
    <cellStyle name="Note 3 2 2 6 22 2" xfId="11235"/>
    <cellStyle name="Note 3 2 2 6 22 3" xfId="18557"/>
    <cellStyle name="Note 3 2 2 6 22 4" xfId="26041"/>
    <cellStyle name="Note 3 2 2 6 22 5" xfId="34675"/>
    <cellStyle name="Note 3 2 2 6 22 6" xfId="39966"/>
    <cellStyle name="Note 3 2 2 6 22 7" xfId="53076"/>
    <cellStyle name="Note 3 2 2 6 23" xfId="3567"/>
    <cellStyle name="Note 3 2 2 6 23 2" xfId="11356"/>
    <cellStyle name="Note 3 2 2 6 23 3" xfId="18639"/>
    <cellStyle name="Note 3 2 2 6 23 4" xfId="25000"/>
    <cellStyle name="Note 3 2 2 6 23 5" xfId="33351"/>
    <cellStyle name="Note 3 2 2 6 23 6" xfId="36365"/>
    <cellStyle name="Note 3 2 2 6 23 7" xfId="50798"/>
    <cellStyle name="Note 3 2 2 6 24" xfId="3604"/>
    <cellStyle name="Note 3 2 2 6 24 2" xfId="11390"/>
    <cellStyle name="Note 3 2 2 6 24 3" xfId="18664"/>
    <cellStyle name="Note 3 2 2 6 24 4" xfId="25392"/>
    <cellStyle name="Note 3 2 2 6 24 5" xfId="33840"/>
    <cellStyle name="Note 3 2 2 6 24 6" xfId="38785"/>
    <cellStyle name="Note 3 2 2 6 24 7" xfId="51626"/>
    <cellStyle name="Note 3 2 2 6 25" xfId="3717"/>
    <cellStyle name="Note 3 2 2 6 25 2" xfId="11502"/>
    <cellStyle name="Note 3 2 2 6 25 3" xfId="18774"/>
    <cellStyle name="Note 3 2 2 6 25 4" xfId="19721"/>
    <cellStyle name="Note 3 2 2 6 25 5" xfId="28850"/>
    <cellStyle name="Note 3 2 2 6 25 6" xfId="41872"/>
    <cellStyle name="Note 3 2 2 6 25 7" xfId="47891"/>
    <cellStyle name="Note 3 2 2 6 26" xfId="3846"/>
    <cellStyle name="Note 3 2 2 6 26 2" xfId="11628"/>
    <cellStyle name="Note 3 2 2 6 26 3" xfId="18884"/>
    <cellStyle name="Note 3 2 2 6 26 4" xfId="19124"/>
    <cellStyle name="Note 3 2 2 6 26 5" xfId="27518"/>
    <cellStyle name="Note 3 2 2 6 26 6" xfId="36397"/>
    <cellStyle name="Note 3 2 2 6 26 7" xfId="49889"/>
    <cellStyle name="Note 3 2 2 6 27" xfId="3965"/>
    <cellStyle name="Note 3 2 2 6 27 2" xfId="11744"/>
    <cellStyle name="Note 3 2 2 6 27 3" xfId="18993"/>
    <cellStyle name="Note 3 2 2 6 27 4" xfId="26178"/>
    <cellStyle name="Note 3 2 2 6 27 5" xfId="34851"/>
    <cellStyle name="Note 3 2 2 6 27 6" xfId="40279"/>
    <cellStyle name="Note 3 2 2 6 27 7" xfId="53378"/>
    <cellStyle name="Note 3 2 2 6 28" xfId="3756"/>
    <cellStyle name="Note 3 2 2 6 28 2" xfId="11541"/>
    <cellStyle name="Note 3 2 2 6 28 3" xfId="20606"/>
    <cellStyle name="Note 3 2 2 6 28 4" xfId="28756"/>
    <cellStyle name="Note 3 2 2 6 28 5" xfId="35845"/>
    <cellStyle name="Note 3 2 2 6 28 6" xfId="42532"/>
    <cellStyle name="Note 3 2 2 6 28 7" xfId="52640"/>
    <cellStyle name="Note 3 2 2 6 29" xfId="4161"/>
    <cellStyle name="Note 3 2 2 6 29 2" xfId="11920"/>
    <cellStyle name="Note 3 2 2 6 29 3" xfId="20871"/>
    <cellStyle name="Note 3 2 2 6 29 4" xfId="29058"/>
    <cellStyle name="Note 3 2 2 6 29 5" xfId="28498"/>
    <cellStyle name="Note 3 2 2 6 29 6" xfId="42723"/>
    <cellStyle name="Note 3 2 2 6 29 7" xfId="49810"/>
    <cellStyle name="Note 3 2 2 6 3" xfId="818"/>
    <cellStyle name="Note 3 2 2 6 3 2" xfId="8642"/>
    <cellStyle name="Note 3 2 2 6 3 3" xfId="16070"/>
    <cellStyle name="Note 3 2 2 6 3 4" xfId="26492"/>
    <cellStyle name="Note 3 2 2 6 3 5" xfId="35283"/>
    <cellStyle name="Note 3 2 2 6 3 6" xfId="36422"/>
    <cellStyle name="Note 3 2 2 6 3 7" xfId="54058"/>
    <cellStyle name="Note 3 2 2 6 30" xfId="4218"/>
    <cellStyle name="Note 3 2 2 6 30 2" xfId="20928"/>
    <cellStyle name="Note 3 2 2 6 30 3" xfId="29115"/>
    <cellStyle name="Note 3 2 2 6 30 4" xfId="27186"/>
    <cellStyle name="Note 3 2 2 6 30 5" xfId="42780"/>
    <cellStyle name="Note 3 2 2 6 30 6" xfId="50034"/>
    <cellStyle name="Note 3 2 2 6 31" xfId="4359"/>
    <cellStyle name="Note 3 2 2 6 31 2" xfId="12076"/>
    <cellStyle name="Note 3 2 2 6 31 3" xfId="21069"/>
    <cellStyle name="Note 3 2 2 6 31 4" xfId="29256"/>
    <cellStyle name="Note 3 2 2 6 31 5" xfId="35921"/>
    <cellStyle name="Note 3 2 2 6 31 6" xfId="42921"/>
    <cellStyle name="Note 3 2 2 6 31 7" xfId="53047"/>
    <cellStyle name="Note 3 2 2 6 32" xfId="4481"/>
    <cellStyle name="Note 3 2 2 6 32 2" xfId="12198"/>
    <cellStyle name="Note 3 2 2 6 32 3" xfId="21191"/>
    <cellStyle name="Note 3 2 2 6 32 4" xfId="29378"/>
    <cellStyle name="Note 3 2 2 6 32 5" xfId="36006"/>
    <cellStyle name="Note 3 2 2 6 32 6" xfId="43043"/>
    <cellStyle name="Note 3 2 2 6 32 7" xfId="53436"/>
    <cellStyle name="Note 3 2 2 6 33" xfId="4595"/>
    <cellStyle name="Note 3 2 2 6 33 2" xfId="12312"/>
    <cellStyle name="Note 3 2 2 6 33 3" xfId="21305"/>
    <cellStyle name="Note 3 2 2 6 33 4" xfId="29492"/>
    <cellStyle name="Note 3 2 2 6 33 5" xfId="35481"/>
    <cellStyle name="Note 3 2 2 6 33 6" xfId="43157"/>
    <cellStyle name="Note 3 2 2 6 33 7" xfId="50229"/>
    <cellStyle name="Note 3 2 2 6 34" xfId="4708"/>
    <cellStyle name="Note 3 2 2 6 34 2" xfId="12425"/>
    <cellStyle name="Note 3 2 2 6 34 3" xfId="21418"/>
    <cellStyle name="Note 3 2 2 6 34 4" xfId="29605"/>
    <cellStyle name="Note 3 2 2 6 34 5" xfId="36030"/>
    <cellStyle name="Note 3 2 2 6 34 6" xfId="43270"/>
    <cellStyle name="Note 3 2 2 6 34 7" xfId="53553"/>
    <cellStyle name="Note 3 2 2 6 35" xfId="4818"/>
    <cellStyle name="Note 3 2 2 6 35 2" xfId="12535"/>
    <cellStyle name="Note 3 2 2 6 35 3" xfId="21528"/>
    <cellStyle name="Note 3 2 2 6 35 4" xfId="29715"/>
    <cellStyle name="Note 3 2 2 6 35 5" xfId="34984"/>
    <cellStyle name="Note 3 2 2 6 35 6" xfId="43380"/>
    <cellStyle name="Note 3 2 2 6 35 7" xfId="49923"/>
    <cellStyle name="Note 3 2 2 6 36" xfId="4928"/>
    <cellStyle name="Note 3 2 2 6 36 2" xfId="12645"/>
    <cellStyle name="Note 3 2 2 6 36 3" xfId="21638"/>
    <cellStyle name="Note 3 2 2 6 36 4" xfId="29825"/>
    <cellStyle name="Note 3 2 2 6 36 5" xfId="34367"/>
    <cellStyle name="Note 3 2 2 6 36 6" xfId="43490"/>
    <cellStyle name="Note 3 2 2 6 36 7" xfId="46975"/>
    <cellStyle name="Note 3 2 2 6 37" xfId="5038"/>
    <cellStyle name="Note 3 2 2 6 37 2" xfId="12755"/>
    <cellStyle name="Note 3 2 2 6 37 3" xfId="21748"/>
    <cellStyle name="Note 3 2 2 6 37 4" xfId="29935"/>
    <cellStyle name="Note 3 2 2 6 37 5" xfId="27093"/>
    <cellStyle name="Note 3 2 2 6 37 6" xfId="43600"/>
    <cellStyle name="Note 3 2 2 6 37 7" xfId="50222"/>
    <cellStyle name="Note 3 2 2 6 38" xfId="5418"/>
    <cellStyle name="Note 3 2 2 6 38 2" xfId="13135"/>
    <cellStyle name="Note 3 2 2 6 38 3" xfId="22128"/>
    <cellStyle name="Note 3 2 2 6 38 4" xfId="30315"/>
    <cellStyle name="Note 3 2 2 6 38 5" xfId="27682"/>
    <cellStyle name="Note 3 2 2 6 38 6" xfId="43980"/>
    <cellStyle name="Note 3 2 2 6 38 7" xfId="49406"/>
    <cellStyle name="Note 3 2 2 6 39" xfId="5538"/>
    <cellStyle name="Note 3 2 2 6 39 2" xfId="13255"/>
    <cellStyle name="Note 3 2 2 6 39 3" xfId="22248"/>
    <cellStyle name="Note 3 2 2 6 39 4" xfId="30435"/>
    <cellStyle name="Note 3 2 2 6 39 5" xfId="35457"/>
    <cellStyle name="Note 3 2 2 6 39 6" xfId="44100"/>
    <cellStyle name="Note 3 2 2 6 39 7" xfId="46906"/>
    <cellStyle name="Note 3 2 2 6 4" xfId="928"/>
    <cellStyle name="Note 3 2 2 6 4 2" xfId="8752"/>
    <cellStyle name="Note 3 2 2 6 4 3" xfId="16180"/>
    <cellStyle name="Note 3 2 2 6 4 4" xfId="25056"/>
    <cellStyle name="Note 3 2 2 6 4 5" xfId="33416"/>
    <cellStyle name="Note 3 2 2 6 4 6" xfId="37116"/>
    <cellStyle name="Note 3 2 2 6 4 7" xfId="50914"/>
    <cellStyle name="Note 3 2 2 6 40" xfId="5662"/>
    <cellStyle name="Note 3 2 2 6 40 2" xfId="13379"/>
    <cellStyle name="Note 3 2 2 6 40 3" xfId="22372"/>
    <cellStyle name="Note 3 2 2 6 40 4" xfId="30559"/>
    <cellStyle name="Note 3 2 2 6 40 5" xfId="28681"/>
    <cellStyle name="Note 3 2 2 6 40 6" xfId="44224"/>
    <cellStyle name="Note 3 2 2 6 40 7" xfId="47108"/>
    <cellStyle name="Note 3 2 2 6 41" xfId="5778"/>
    <cellStyle name="Note 3 2 2 6 41 2" xfId="13495"/>
    <cellStyle name="Note 3 2 2 6 41 3" xfId="22488"/>
    <cellStyle name="Note 3 2 2 6 41 4" xfId="30675"/>
    <cellStyle name="Note 3 2 2 6 41 5" xfId="27229"/>
    <cellStyle name="Note 3 2 2 6 41 6" xfId="44340"/>
    <cellStyle name="Note 3 2 2 6 41 7" xfId="49243"/>
    <cellStyle name="Note 3 2 2 6 42" xfId="5895"/>
    <cellStyle name="Note 3 2 2 6 42 2" xfId="13612"/>
    <cellStyle name="Note 3 2 2 6 42 3" xfId="22605"/>
    <cellStyle name="Note 3 2 2 6 42 4" xfId="30792"/>
    <cellStyle name="Note 3 2 2 6 42 5" xfId="33963"/>
    <cellStyle name="Note 3 2 2 6 42 6" xfId="44457"/>
    <cellStyle name="Note 3 2 2 6 42 7" xfId="49512"/>
    <cellStyle name="Note 3 2 2 6 43" xfId="6023"/>
    <cellStyle name="Note 3 2 2 6 43 2" xfId="13740"/>
    <cellStyle name="Note 3 2 2 6 43 3" xfId="22733"/>
    <cellStyle name="Note 3 2 2 6 43 4" xfId="30920"/>
    <cellStyle name="Note 3 2 2 6 43 5" xfId="35810"/>
    <cellStyle name="Note 3 2 2 6 43 6" xfId="44585"/>
    <cellStyle name="Note 3 2 2 6 43 7" xfId="47671"/>
    <cellStyle name="Note 3 2 2 6 44" xfId="6117"/>
    <cellStyle name="Note 3 2 2 6 44 2" xfId="13834"/>
    <cellStyle name="Note 3 2 2 6 44 3" xfId="22827"/>
    <cellStyle name="Note 3 2 2 6 44 4" xfId="31014"/>
    <cellStyle name="Note 3 2 2 6 44 5" xfId="28539"/>
    <cellStyle name="Note 3 2 2 6 44 6" xfId="44679"/>
    <cellStyle name="Note 3 2 2 6 44 7" xfId="49370"/>
    <cellStyle name="Note 3 2 2 6 45" xfId="6150"/>
    <cellStyle name="Note 3 2 2 6 45 2" xfId="13867"/>
    <cellStyle name="Note 3 2 2 6 45 3" xfId="22860"/>
    <cellStyle name="Note 3 2 2 6 45 4" xfId="31047"/>
    <cellStyle name="Note 3 2 2 6 45 5" xfId="36060"/>
    <cellStyle name="Note 3 2 2 6 45 6" xfId="44712"/>
    <cellStyle name="Note 3 2 2 6 45 7" xfId="53303"/>
    <cellStyle name="Note 3 2 2 6 46" xfId="6279"/>
    <cellStyle name="Note 3 2 2 6 46 2" xfId="13996"/>
    <cellStyle name="Note 3 2 2 6 46 3" xfId="22989"/>
    <cellStyle name="Note 3 2 2 6 46 4" xfId="31176"/>
    <cellStyle name="Note 3 2 2 6 46 5" xfId="34774"/>
    <cellStyle name="Note 3 2 2 6 46 6" xfId="44841"/>
    <cellStyle name="Note 3 2 2 6 46 7" xfId="49756"/>
    <cellStyle name="Note 3 2 2 6 47" xfId="6394"/>
    <cellStyle name="Note 3 2 2 6 47 2" xfId="14111"/>
    <cellStyle name="Note 3 2 2 6 47 3" xfId="23104"/>
    <cellStyle name="Note 3 2 2 6 47 4" xfId="31291"/>
    <cellStyle name="Note 3 2 2 6 47 5" xfId="28551"/>
    <cellStyle name="Note 3 2 2 6 47 6" xfId="44956"/>
    <cellStyle name="Note 3 2 2 6 47 7" xfId="50537"/>
    <cellStyle name="Note 3 2 2 6 48" xfId="6506"/>
    <cellStyle name="Note 3 2 2 6 48 2" xfId="14223"/>
    <cellStyle name="Note 3 2 2 6 48 3" xfId="23216"/>
    <cellStyle name="Note 3 2 2 6 48 4" xfId="31403"/>
    <cellStyle name="Note 3 2 2 6 48 5" xfId="36075"/>
    <cellStyle name="Note 3 2 2 6 48 6" xfId="45068"/>
    <cellStyle name="Note 3 2 2 6 48 7" xfId="53406"/>
    <cellStyle name="Note 3 2 2 6 49" xfId="5366"/>
    <cellStyle name="Note 3 2 2 6 49 2" xfId="13083"/>
    <cellStyle name="Note 3 2 2 6 49 3" xfId="22076"/>
    <cellStyle name="Note 3 2 2 6 49 4" xfId="30263"/>
    <cellStyle name="Note 3 2 2 6 49 5" xfId="33850"/>
    <cellStyle name="Note 3 2 2 6 49 6" xfId="43928"/>
    <cellStyle name="Note 3 2 2 6 49 7" xfId="48504"/>
    <cellStyle name="Note 3 2 2 6 5" xfId="1396"/>
    <cellStyle name="Note 3 2 2 6 5 2" xfId="9219"/>
    <cellStyle name="Note 3 2 2 6 5 3" xfId="16647"/>
    <cellStyle name="Note 3 2 2 6 5 4" xfId="20437"/>
    <cellStyle name="Note 3 2 2 6 5 5" xfId="33137"/>
    <cellStyle name="Note 3 2 2 6 5 6" xfId="37425"/>
    <cellStyle name="Note 3 2 2 6 5 7" xfId="50404"/>
    <cellStyle name="Note 3 2 2 6 50" xfId="6653"/>
    <cellStyle name="Note 3 2 2 6 50 2" xfId="14370"/>
    <cellStyle name="Note 3 2 2 6 50 3" xfId="23363"/>
    <cellStyle name="Note 3 2 2 6 50 4" xfId="31550"/>
    <cellStyle name="Note 3 2 2 6 50 5" xfId="35953"/>
    <cellStyle name="Note 3 2 2 6 50 6" xfId="45215"/>
    <cellStyle name="Note 3 2 2 6 50 7" xfId="52941"/>
    <cellStyle name="Note 3 2 2 6 51" xfId="6764"/>
    <cellStyle name="Note 3 2 2 6 51 2" xfId="14481"/>
    <cellStyle name="Note 3 2 2 6 51 3" xfId="23474"/>
    <cellStyle name="Note 3 2 2 6 51 4" xfId="31661"/>
    <cellStyle name="Note 3 2 2 6 51 5" xfId="27547"/>
    <cellStyle name="Note 3 2 2 6 51 6" xfId="45326"/>
    <cellStyle name="Note 3 2 2 6 51 7" xfId="49816"/>
    <cellStyle name="Note 3 2 2 6 52" xfId="6879"/>
    <cellStyle name="Note 3 2 2 6 52 2" xfId="14596"/>
    <cellStyle name="Note 3 2 2 6 52 3" xfId="23589"/>
    <cellStyle name="Note 3 2 2 6 52 4" xfId="31776"/>
    <cellStyle name="Note 3 2 2 6 52 5" xfId="33237"/>
    <cellStyle name="Note 3 2 2 6 52 6" xfId="45441"/>
    <cellStyle name="Note 3 2 2 6 52 7" xfId="46886"/>
    <cellStyle name="Note 3 2 2 6 53" xfId="6992"/>
    <cellStyle name="Note 3 2 2 6 53 2" xfId="14709"/>
    <cellStyle name="Note 3 2 2 6 53 3" xfId="23702"/>
    <cellStyle name="Note 3 2 2 6 53 4" xfId="31889"/>
    <cellStyle name="Note 3 2 2 6 53 5" xfId="36244"/>
    <cellStyle name="Note 3 2 2 6 53 6" xfId="45554"/>
    <cellStyle name="Note 3 2 2 6 53 7" xfId="54547"/>
    <cellStyle name="Note 3 2 2 6 54" xfId="7102"/>
    <cellStyle name="Note 3 2 2 6 54 2" xfId="14819"/>
    <cellStyle name="Note 3 2 2 6 54 3" xfId="23812"/>
    <cellStyle name="Note 3 2 2 6 54 4" xfId="31999"/>
    <cellStyle name="Note 3 2 2 6 54 5" xfId="28565"/>
    <cellStyle name="Note 3 2 2 6 54 6" xfId="45664"/>
    <cellStyle name="Note 3 2 2 6 54 7" xfId="48869"/>
    <cellStyle name="Note 3 2 2 6 55" xfId="7174"/>
    <cellStyle name="Note 3 2 2 6 55 2" xfId="14891"/>
    <cellStyle name="Note 3 2 2 6 55 3" xfId="23884"/>
    <cellStyle name="Note 3 2 2 6 55 4" xfId="32071"/>
    <cellStyle name="Note 3 2 2 6 55 5" xfId="35039"/>
    <cellStyle name="Note 3 2 2 6 55 6" xfId="45736"/>
    <cellStyle name="Note 3 2 2 6 55 7" xfId="54273"/>
    <cellStyle name="Note 3 2 2 6 56" xfId="7367"/>
    <cellStyle name="Note 3 2 2 6 56 2" xfId="15084"/>
    <cellStyle name="Note 3 2 2 6 56 3" xfId="24077"/>
    <cellStyle name="Note 3 2 2 6 56 4" xfId="32264"/>
    <cellStyle name="Note 3 2 2 6 56 5" xfId="34945"/>
    <cellStyle name="Note 3 2 2 6 56 6" xfId="45929"/>
    <cellStyle name="Note 3 2 2 6 56 7" xfId="48938"/>
    <cellStyle name="Note 3 2 2 6 57" xfId="7499"/>
    <cellStyle name="Note 3 2 2 6 57 2" xfId="15216"/>
    <cellStyle name="Note 3 2 2 6 57 3" xfId="24209"/>
    <cellStyle name="Note 3 2 2 6 57 4" xfId="32396"/>
    <cellStyle name="Note 3 2 2 6 57 5" xfId="27164"/>
    <cellStyle name="Note 3 2 2 6 57 6" xfId="46061"/>
    <cellStyle name="Note 3 2 2 6 57 7" xfId="50416"/>
    <cellStyle name="Note 3 2 2 6 58" xfId="7620"/>
    <cellStyle name="Note 3 2 2 6 58 2" xfId="15337"/>
    <cellStyle name="Note 3 2 2 6 58 3" xfId="24330"/>
    <cellStyle name="Note 3 2 2 6 58 4" xfId="32517"/>
    <cellStyle name="Note 3 2 2 6 58 5" xfId="33627"/>
    <cellStyle name="Note 3 2 2 6 58 6" xfId="46182"/>
    <cellStyle name="Note 3 2 2 6 58 7" xfId="54198"/>
    <cellStyle name="Note 3 2 2 6 59" xfId="7897"/>
    <cellStyle name="Note 3 2 2 6 59 2" xfId="15614"/>
    <cellStyle name="Note 3 2 2 6 59 3" xfId="24601"/>
    <cellStyle name="Note 3 2 2 6 59 4" xfId="32794"/>
    <cellStyle name="Note 3 2 2 6 59 5" xfId="36115"/>
    <cellStyle name="Note 3 2 2 6 59 6" xfId="46459"/>
    <cellStyle name="Note 3 2 2 6 59 7" xfId="53369"/>
    <cellStyle name="Note 3 2 2 6 6" xfId="1519"/>
    <cellStyle name="Note 3 2 2 6 6 2" xfId="9342"/>
    <cellStyle name="Note 3 2 2 6 6 3" xfId="16770"/>
    <cellStyle name="Note 3 2 2 6 6 4" xfId="19662"/>
    <cellStyle name="Note 3 2 2 6 6 5" xfId="26774"/>
    <cellStyle name="Note 3 2 2 6 6 6" xfId="39273"/>
    <cellStyle name="Note 3 2 2 6 6 7" xfId="50372"/>
    <cellStyle name="Note 3 2 2 6 60" xfId="7784"/>
    <cellStyle name="Note 3 2 2 6 60 2" xfId="15501"/>
    <cellStyle name="Note 3 2 2 6 60 3" xfId="24490"/>
    <cellStyle name="Note 3 2 2 6 60 4" xfId="32681"/>
    <cellStyle name="Note 3 2 2 6 60 5" xfId="27250"/>
    <cellStyle name="Note 3 2 2 6 60 6" xfId="46346"/>
    <cellStyle name="Note 3 2 2 6 60 7" xfId="49402"/>
    <cellStyle name="Note 3 2 2 6 61" xfId="8025"/>
    <cellStyle name="Note 3 2 2 6 61 2" xfId="15742"/>
    <cellStyle name="Note 3 2 2 6 61 3" xfId="24727"/>
    <cellStyle name="Note 3 2 2 6 61 4" xfId="32922"/>
    <cellStyle name="Note 3 2 2 6 61 5" xfId="27199"/>
    <cellStyle name="Note 3 2 2 6 61 6" xfId="46587"/>
    <cellStyle name="Note 3 2 2 6 61 7" xfId="48358"/>
    <cellStyle name="Note 3 2 2 6 62" xfId="7741"/>
    <cellStyle name="Note 3 2 2 6 62 2" xfId="15458"/>
    <cellStyle name="Note 3 2 2 6 62 3" xfId="24449"/>
    <cellStyle name="Note 3 2 2 6 62 4" xfId="32638"/>
    <cellStyle name="Note 3 2 2 6 62 5" xfId="26730"/>
    <cellStyle name="Note 3 2 2 6 62 6" xfId="46303"/>
    <cellStyle name="Note 3 2 2 6 62 7" xfId="54282"/>
    <cellStyle name="Note 3 2 2 6 63" xfId="8172"/>
    <cellStyle name="Note 3 2 2 6 63 2" xfId="15889"/>
    <cellStyle name="Note 3 2 2 6 63 3" xfId="33069"/>
    <cellStyle name="Note 3 2 2 6 63 4" xfId="35575"/>
    <cellStyle name="Note 3 2 2 6 63 5" xfId="46734"/>
    <cellStyle name="Note 3 2 2 6 63 6" xfId="48225"/>
    <cellStyle name="Note 3 2 2 6 64" xfId="26069"/>
    <cellStyle name="Note 3 2 2 6 65" xfId="34714"/>
    <cellStyle name="Note 3 2 2 6 66" xfId="36303"/>
    <cellStyle name="Note 3 2 2 6 67" xfId="53144"/>
    <cellStyle name="Note 3 2 2 6 7" xfId="1303"/>
    <cellStyle name="Note 3 2 2 6 7 2" xfId="9126"/>
    <cellStyle name="Note 3 2 2 6 7 3" xfId="16554"/>
    <cellStyle name="Note 3 2 2 6 7 4" xfId="26410"/>
    <cellStyle name="Note 3 2 2 6 7 5" xfId="35169"/>
    <cellStyle name="Note 3 2 2 6 7 6" xfId="38007"/>
    <cellStyle name="Note 3 2 2 6 7 7" xfId="53875"/>
    <cellStyle name="Note 3 2 2 6 8" xfId="1756"/>
    <cellStyle name="Note 3 2 2 6 8 2" xfId="9579"/>
    <cellStyle name="Note 3 2 2 6 8 3" xfId="17007"/>
    <cellStyle name="Note 3 2 2 6 8 4" xfId="24916"/>
    <cellStyle name="Note 3 2 2 6 8 5" xfId="33240"/>
    <cellStyle name="Note 3 2 2 6 8 6" xfId="38947"/>
    <cellStyle name="Note 3 2 2 6 8 7" xfId="50600"/>
    <cellStyle name="Note 3 2 2 6 9" xfId="1889"/>
    <cellStyle name="Note 3 2 2 6 9 2" xfId="9712"/>
    <cellStyle name="Note 3 2 2 6 9 3" xfId="17140"/>
    <cellStyle name="Note 3 2 2 6 9 4" xfId="19191"/>
    <cellStyle name="Note 3 2 2 6 9 5" xfId="26971"/>
    <cellStyle name="Note 3 2 2 6 9 6" xfId="37753"/>
    <cellStyle name="Note 3 2 2 6 9 7" xfId="49146"/>
    <cellStyle name="Note 3 2 2 60" xfId="7273"/>
    <cellStyle name="Note 3 2 2 60 2" xfId="14990"/>
    <cellStyle name="Note 3 2 2 60 3" xfId="23983"/>
    <cellStyle name="Note 3 2 2 60 4" xfId="32170"/>
    <cellStyle name="Note 3 2 2 60 5" xfId="35869"/>
    <cellStyle name="Note 3 2 2 60 6" xfId="45835"/>
    <cellStyle name="Note 3 2 2 60 7" xfId="47676"/>
    <cellStyle name="Note 3 2 2 61" xfId="7253"/>
    <cellStyle name="Note 3 2 2 61 2" xfId="14970"/>
    <cellStyle name="Note 3 2 2 61 3" xfId="23963"/>
    <cellStyle name="Note 3 2 2 61 4" xfId="32150"/>
    <cellStyle name="Note 3 2 2 61 5" xfId="27894"/>
    <cellStyle name="Note 3 2 2 61 6" xfId="45815"/>
    <cellStyle name="Note 3 2 2 61 7" xfId="54377"/>
    <cellStyle name="Note 3 2 2 62" xfId="7400"/>
    <cellStyle name="Note 3 2 2 62 2" xfId="15117"/>
    <cellStyle name="Note 3 2 2 62 3" xfId="24110"/>
    <cellStyle name="Note 3 2 2 62 4" xfId="32297"/>
    <cellStyle name="Note 3 2 2 62 5" xfId="36111"/>
    <cellStyle name="Note 3 2 2 62 6" xfId="45962"/>
    <cellStyle name="Note 3 2 2 62 7" xfId="53359"/>
    <cellStyle name="Note 3 2 2 63" xfId="7540"/>
    <cellStyle name="Note 3 2 2 63 2" xfId="15257"/>
    <cellStyle name="Note 3 2 2 63 3" xfId="24250"/>
    <cellStyle name="Note 3 2 2 63 4" xfId="32437"/>
    <cellStyle name="Note 3 2 2 63 5" xfId="36107"/>
    <cellStyle name="Note 3 2 2 63 6" xfId="46102"/>
    <cellStyle name="Note 3 2 2 63 7" xfId="53347"/>
    <cellStyle name="Note 3 2 2 64" xfId="7742"/>
    <cellStyle name="Note 3 2 2 64 2" xfId="15459"/>
    <cellStyle name="Note 3 2 2 64 3" xfId="24450"/>
    <cellStyle name="Note 3 2 2 64 4" xfId="32639"/>
    <cellStyle name="Note 3 2 2 64 5" xfId="27324"/>
    <cellStyle name="Note 3 2 2 64 6" xfId="46304"/>
    <cellStyle name="Note 3 2 2 64 7" xfId="54172"/>
    <cellStyle name="Note 3 2 2 65" xfId="7744"/>
    <cellStyle name="Note 3 2 2 65 2" xfId="15461"/>
    <cellStyle name="Note 3 2 2 65 3" xfId="24452"/>
    <cellStyle name="Note 3 2 2 65 4" xfId="32641"/>
    <cellStyle name="Note 3 2 2 65 5" xfId="27202"/>
    <cellStyle name="Note 3 2 2 65 6" xfId="46306"/>
    <cellStyle name="Note 3 2 2 65 7" xfId="53794"/>
    <cellStyle name="Note 3 2 2 66" xfId="7766"/>
    <cellStyle name="Note 3 2 2 66 2" xfId="15483"/>
    <cellStyle name="Note 3 2 2 66 3" xfId="24472"/>
    <cellStyle name="Note 3 2 2 66 4" xfId="32663"/>
    <cellStyle name="Note 3 2 2 66 5" xfId="34307"/>
    <cellStyle name="Note 3 2 2 66 6" xfId="46328"/>
    <cellStyle name="Note 3 2 2 66 7" xfId="51381"/>
    <cellStyle name="Note 3 2 2 67" xfId="7687"/>
    <cellStyle name="Note 3 2 2 67 2" xfId="15404"/>
    <cellStyle name="Note 3 2 2 67 3" xfId="24395"/>
    <cellStyle name="Note 3 2 2 67 4" xfId="32584"/>
    <cellStyle name="Note 3 2 2 67 5" xfId="36090"/>
    <cellStyle name="Note 3 2 2 67 6" xfId="46249"/>
    <cellStyle name="Note 3 2 2 67 7" xfId="53282"/>
    <cellStyle name="Note 3 2 2 68" xfId="7652"/>
    <cellStyle name="Note 3 2 2 68 2" xfId="15369"/>
    <cellStyle name="Note 3 2 2 68 3" xfId="32549"/>
    <cellStyle name="Note 3 2 2 68 4" xfId="35413"/>
    <cellStyle name="Note 3 2 2 68 5" xfId="46214"/>
    <cellStyle name="Note 3 2 2 68 6" xfId="50681"/>
    <cellStyle name="Note 3 2 2 69" xfId="26368"/>
    <cellStyle name="Note 3 2 2 7" xfId="608"/>
    <cellStyle name="Note 3 2 2 7 2" xfId="8432"/>
    <cellStyle name="Note 3 2 2 7 3" xfId="8355"/>
    <cellStyle name="Note 3 2 2 7 4" xfId="20687"/>
    <cellStyle name="Note 3 2 2 7 5" xfId="28495"/>
    <cellStyle name="Note 3 2 2 7 6" xfId="36969"/>
    <cellStyle name="Note 3 2 2 7 7" xfId="47871"/>
    <cellStyle name="Note 3 2 2 70" xfId="35103"/>
    <cellStyle name="Note 3 2 2 71" xfId="36946"/>
    <cellStyle name="Note 3 2 2 72" xfId="53781"/>
    <cellStyle name="Note 3 2 2 8" xfId="631"/>
    <cellStyle name="Note 3 2 2 8 2" xfId="8455"/>
    <cellStyle name="Note 3 2 2 8 3" xfId="8303"/>
    <cellStyle name="Note 3 2 2 8 4" xfId="19703"/>
    <cellStyle name="Note 3 2 2 8 5" xfId="27715"/>
    <cellStyle name="Note 3 2 2 8 6" xfId="37103"/>
    <cellStyle name="Note 3 2 2 8 7" xfId="48384"/>
    <cellStyle name="Note 3 2 2 9" xfId="217"/>
    <cellStyle name="Note 3 2 2 9 2" xfId="8322"/>
    <cellStyle name="Note 3 2 2 9 3" xfId="8357"/>
    <cellStyle name="Note 3 2 2 9 4" xfId="25286"/>
    <cellStyle name="Note 3 2 2 9 5" xfId="33698"/>
    <cellStyle name="Note 3 2 2 9 6" xfId="37638"/>
    <cellStyle name="Note 3 2 2 9 7" xfId="51398"/>
    <cellStyle name="Note 3 2 20" xfId="3185"/>
    <cellStyle name="Note 3 2 20 2" xfId="10986"/>
    <cellStyle name="Note 3 2 20 3" xfId="20313"/>
    <cellStyle name="Note 3 2 20 4" xfId="28405"/>
    <cellStyle name="Note 3 2 20 5" xfId="28187"/>
    <cellStyle name="Note 3 2 20 6" xfId="42428"/>
    <cellStyle name="Note 3 2 20 7" xfId="49605"/>
    <cellStyle name="Note 3 2 21" xfId="3117"/>
    <cellStyle name="Note 3 2 21 2" xfId="10922"/>
    <cellStyle name="Note 3 2 21 3" xfId="20264"/>
    <cellStyle name="Note 3 2 21 4" xfId="28359"/>
    <cellStyle name="Note 3 2 21 5" xfId="28230"/>
    <cellStyle name="Note 3 2 21 6" xfId="42402"/>
    <cellStyle name="Note 3 2 21 7" xfId="48866"/>
    <cellStyle name="Note 3 2 22" xfId="3016"/>
    <cellStyle name="Note 3 2 22 2" xfId="10832"/>
    <cellStyle name="Note 3 2 22 3" xfId="20190"/>
    <cellStyle name="Note 3 2 22 4" xfId="28280"/>
    <cellStyle name="Note 3 2 22 5" xfId="35631"/>
    <cellStyle name="Note 3 2 22 6" xfId="42355"/>
    <cellStyle name="Note 3 2 22 7" xfId="51632"/>
    <cellStyle name="Note 3 2 23" xfId="4514"/>
    <cellStyle name="Note 3 2 23 2" xfId="12231"/>
    <cellStyle name="Note 3 2 23 3" xfId="21224"/>
    <cellStyle name="Note 3 2 23 4" xfId="29411"/>
    <cellStyle name="Note 3 2 23 5" xfId="34045"/>
    <cellStyle name="Note 3 2 23 6" xfId="43076"/>
    <cellStyle name="Note 3 2 23 7" xfId="49628"/>
    <cellStyle name="Note 3 2 24" xfId="5245"/>
    <cellStyle name="Note 3 2 24 2" xfId="12962"/>
    <cellStyle name="Note 3 2 24 3" xfId="21955"/>
    <cellStyle name="Note 3 2 24 4" xfId="30142"/>
    <cellStyle name="Note 3 2 24 5" xfId="35784"/>
    <cellStyle name="Note 3 2 24 6" xfId="43807"/>
    <cellStyle name="Note 3 2 24 7" xfId="52397"/>
    <cellStyle name="Note 3 2 25" xfId="5247"/>
    <cellStyle name="Note 3 2 25 2" xfId="12964"/>
    <cellStyle name="Note 3 2 25 3" xfId="21957"/>
    <cellStyle name="Note 3 2 25 4" xfId="30144"/>
    <cellStyle name="Note 3 2 25 5" xfId="35736"/>
    <cellStyle name="Note 3 2 25 6" xfId="43809"/>
    <cellStyle name="Note 3 2 25 7" xfId="52166"/>
    <cellStyle name="Note 3 2 26" xfId="5360"/>
    <cellStyle name="Note 3 2 26 2" xfId="13077"/>
    <cellStyle name="Note 3 2 26 3" xfId="22070"/>
    <cellStyle name="Note 3 2 26 4" xfId="30257"/>
    <cellStyle name="Note 3 2 26 5" xfId="27478"/>
    <cellStyle name="Note 3 2 26 6" xfId="43922"/>
    <cellStyle name="Note 3 2 26 7" xfId="50767"/>
    <cellStyle name="Note 3 2 27" xfId="5377"/>
    <cellStyle name="Note 3 2 27 2" xfId="13094"/>
    <cellStyle name="Note 3 2 27 3" xfId="22087"/>
    <cellStyle name="Note 3 2 27 4" xfId="30274"/>
    <cellStyle name="Note 3 2 27 5" xfId="36036"/>
    <cellStyle name="Note 3 2 27 6" xfId="43939"/>
    <cellStyle name="Note 3 2 27 7" xfId="53588"/>
    <cellStyle name="Note 3 2 28" xfId="5170"/>
    <cellStyle name="Note 3 2 28 2" xfId="12887"/>
    <cellStyle name="Note 3 2 28 3" xfId="21880"/>
    <cellStyle name="Note 3 2 28 4" xfId="30067"/>
    <cellStyle name="Note 3 2 28 5" xfId="35754"/>
    <cellStyle name="Note 3 2 28 6" xfId="43732"/>
    <cellStyle name="Note 3 2 28 7" xfId="52270"/>
    <cellStyle name="Note 3 2 29" xfId="6066"/>
    <cellStyle name="Note 3 2 29 2" xfId="13783"/>
    <cellStyle name="Note 3 2 29 3" xfId="22776"/>
    <cellStyle name="Note 3 2 29 4" xfId="30963"/>
    <cellStyle name="Note 3 2 29 5" xfId="35640"/>
    <cellStyle name="Note 3 2 29 6" xfId="44628"/>
    <cellStyle name="Note 3 2 29 7" xfId="50801"/>
    <cellStyle name="Note 3 2 3" xfId="526"/>
    <cellStyle name="Note 3 2 3 10" xfId="1973"/>
    <cellStyle name="Note 3 2 3 10 2" xfId="9796"/>
    <cellStyle name="Note 3 2 3 10 3" xfId="17224"/>
    <cellStyle name="Note 3 2 3 10 4" xfId="19047"/>
    <cellStyle name="Note 3 2 3 10 5" xfId="27825"/>
    <cellStyle name="Note 3 2 3 10 6" xfId="38163"/>
    <cellStyle name="Note 3 2 3 10 7" xfId="49241"/>
    <cellStyle name="Note 3 2 3 11" xfId="2091"/>
    <cellStyle name="Note 3 2 3 11 2" xfId="9914"/>
    <cellStyle name="Note 3 2 3 11 3" xfId="17342"/>
    <cellStyle name="Note 3 2 3 11 4" xfId="24784"/>
    <cellStyle name="Note 3 2 3 11 5" xfId="27800"/>
    <cellStyle name="Note 3 2 3 11 6" xfId="40958"/>
    <cellStyle name="Note 3 2 3 11 7" xfId="48937"/>
    <cellStyle name="Note 3 2 3 12" xfId="2204"/>
    <cellStyle name="Note 3 2 3 12 2" xfId="10027"/>
    <cellStyle name="Note 3 2 3 12 3" xfId="17455"/>
    <cellStyle name="Note 3 2 3 12 4" xfId="25877"/>
    <cellStyle name="Note 3 2 3 12 5" xfId="34467"/>
    <cellStyle name="Note 3 2 3 12 6" xfId="37372"/>
    <cellStyle name="Note 3 2 3 12 7" xfId="52733"/>
    <cellStyle name="Note 3 2 3 13" xfId="2339"/>
    <cellStyle name="Note 3 2 3 13 2" xfId="10162"/>
    <cellStyle name="Note 3 2 3 13 3" xfId="17590"/>
    <cellStyle name="Note 3 2 3 13 4" xfId="25824"/>
    <cellStyle name="Note 3 2 3 13 5" xfId="34407"/>
    <cellStyle name="Note 3 2 3 13 6" xfId="39691"/>
    <cellStyle name="Note 3 2 3 13 7" xfId="52616"/>
    <cellStyle name="Note 3 2 3 14" xfId="2426"/>
    <cellStyle name="Note 3 2 3 14 2" xfId="10249"/>
    <cellStyle name="Note 3 2 3 14 3" xfId="17677"/>
    <cellStyle name="Note 3 2 3 14 4" xfId="25206"/>
    <cellStyle name="Note 3 2 3 14 5" xfId="33596"/>
    <cellStyle name="Note 3 2 3 14 6" xfId="37443"/>
    <cellStyle name="Note 3 2 3 14 7" xfId="51228"/>
    <cellStyle name="Note 3 2 3 15" xfId="2502"/>
    <cellStyle name="Note 3 2 3 15 2" xfId="10325"/>
    <cellStyle name="Note 3 2 3 15 3" xfId="17753"/>
    <cellStyle name="Note 3 2 3 15 4" xfId="24958"/>
    <cellStyle name="Note 3 2 3 15 5" xfId="33296"/>
    <cellStyle name="Note 3 2 3 15 6" xfId="37095"/>
    <cellStyle name="Note 3 2 3 15 7" xfId="50689"/>
    <cellStyle name="Note 3 2 3 16" xfId="2615"/>
    <cellStyle name="Note 3 2 3 16 2" xfId="10438"/>
    <cellStyle name="Note 3 2 3 16 3" xfId="17866"/>
    <cellStyle name="Note 3 2 3 16 4" xfId="26697"/>
    <cellStyle name="Note 3 2 3 16 5" xfId="35549"/>
    <cellStyle name="Note 3 2 3 16 6" xfId="40969"/>
    <cellStyle name="Note 3 2 3 16 7" xfId="54488"/>
    <cellStyle name="Note 3 2 3 17" xfId="2728"/>
    <cellStyle name="Note 3 2 3 17 2" xfId="10551"/>
    <cellStyle name="Note 3 2 3 17 3" xfId="17979"/>
    <cellStyle name="Note 3 2 3 17 4" xfId="19622"/>
    <cellStyle name="Note 3 2 3 17 5" xfId="27826"/>
    <cellStyle name="Note 3 2 3 17 6" xfId="37358"/>
    <cellStyle name="Note 3 2 3 17 7" xfId="50123"/>
    <cellStyle name="Note 3 2 3 18" xfId="2755"/>
    <cellStyle name="Note 3 2 3 18 2" xfId="10578"/>
    <cellStyle name="Note 3 2 3 18 3" xfId="18006"/>
    <cellStyle name="Note 3 2 3 18 4" xfId="20131"/>
    <cellStyle name="Note 3 2 3 18 5" xfId="27430"/>
    <cellStyle name="Note 3 2 3 18 6" xfId="41640"/>
    <cellStyle name="Note 3 2 3 18 7" xfId="47351"/>
    <cellStyle name="Note 3 2 3 19" xfId="2808"/>
    <cellStyle name="Note 3 2 3 19 2" xfId="10631"/>
    <cellStyle name="Note 3 2 3 19 3" xfId="18059"/>
    <cellStyle name="Note 3 2 3 19 4" xfId="20203"/>
    <cellStyle name="Note 3 2 3 19 5" xfId="27528"/>
    <cellStyle name="Note 3 2 3 19 6" xfId="37828"/>
    <cellStyle name="Note 3 2 3 19 7" xfId="49629"/>
    <cellStyle name="Note 3 2 3 2" xfId="676"/>
    <cellStyle name="Note 3 2 3 2 2" xfId="8500"/>
    <cellStyle name="Note 3 2 3 2 3" xfId="8260"/>
    <cellStyle name="Note 3 2 3 2 4" xfId="19037"/>
    <cellStyle name="Note 3 2 3 2 5" xfId="28724"/>
    <cellStyle name="Note 3 2 3 2 6" xfId="36672"/>
    <cellStyle name="Note 3 2 3 2 7" xfId="49878"/>
    <cellStyle name="Note 3 2 3 20" xfId="2915"/>
    <cellStyle name="Note 3 2 3 20 2" xfId="10738"/>
    <cellStyle name="Note 3 2 3 20 3" xfId="18166"/>
    <cellStyle name="Note 3 2 3 20 4" xfId="26693"/>
    <cellStyle name="Note 3 2 3 20 5" xfId="35545"/>
    <cellStyle name="Note 3 2 3 20 6" xfId="36382"/>
    <cellStyle name="Note 3 2 3 20 7" xfId="54480"/>
    <cellStyle name="Note 3 2 3 21" xfId="3291"/>
    <cellStyle name="Note 3 2 3 21 2" xfId="11084"/>
    <cellStyle name="Note 3 2 3 21 3" xfId="18413"/>
    <cellStyle name="Note 3 2 3 21 4" xfId="25828"/>
    <cellStyle name="Note 3 2 3 21 5" xfId="34411"/>
    <cellStyle name="Note 3 2 3 21 6" xfId="40689"/>
    <cellStyle name="Note 3 2 3 21 7" xfId="52623"/>
    <cellStyle name="Note 3 2 3 22" xfId="3411"/>
    <cellStyle name="Note 3 2 3 22 2" xfId="11202"/>
    <cellStyle name="Note 3 2 3 22 3" xfId="18524"/>
    <cellStyle name="Note 3 2 3 22 4" xfId="20129"/>
    <cellStyle name="Note 3 2 3 22 5" xfId="27876"/>
    <cellStyle name="Note 3 2 3 22 6" xfId="37173"/>
    <cellStyle name="Note 3 2 3 22 7" xfId="48553"/>
    <cellStyle name="Note 3 2 3 23" xfId="3540"/>
    <cellStyle name="Note 3 2 3 23 2" xfId="11329"/>
    <cellStyle name="Note 3 2 3 23 3" xfId="18619"/>
    <cellStyle name="Note 3 2 3 23 4" xfId="20681"/>
    <cellStyle name="Note 3 2 3 23 5" xfId="27619"/>
    <cellStyle name="Note 3 2 3 23 6" xfId="38976"/>
    <cellStyle name="Note 3 2 3 23 7" xfId="47563"/>
    <cellStyle name="Note 3 2 3 24" xfId="3215"/>
    <cellStyle name="Note 3 2 3 24 2" xfId="11012"/>
    <cellStyle name="Note 3 2 3 24 3" xfId="18352"/>
    <cellStyle name="Note 3 2 3 24 4" xfId="26524"/>
    <cellStyle name="Note 3 2 3 24 5" xfId="35323"/>
    <cellStyle name="Note 3 2 3 24 6" xfId="40771"/>
    <cellStyle name="Note 3 2 3 24 7" xfId="54123"/>
    <cellStyle name="Note 3 2 3 25" xfId="3682"/>
    <cellStyle name="Note 3 2 3 25 2" xfId="11467"/>
    <cellStyle name="Note 3 2 3 25 3" xfId="18740"/>
    <cellStyle name="Note 3 2 3 25 4" xfId="25142"/>
    <cellStyle name="Note 3 2 3 25 5" xfId="33516"/>
    <cellStyle name="Note 3 2 3 25 6" xfId="38096"/>
    <cellStyle name="Note 3 2 3 25 7" xfId="51096"/>
    <cellStyle name="Note 3 2 3 26" xfId="3812"/>
    <cellStyle name="Note 3 2 3 26 2" xfId="11594"/>
    <cellStyle name="Note 3 2 3 26 3" xfId="18851"/>
    <cellStyle name="Note 3 2 3 26 4" xfId="26115"/>
    <cellStyle name="Note 3 2 3 26 5" xfId="34771"/>
    <cellStyle name="Note 3 2 3 26 6" xfId="40764"/>
    <cellStyle name="Note 3 2 3 26 7" xfId="53235"/>
    <cellStyle name="Note 3 2 3 27" xfId="3930"/>
    <cellStyle name="Note 3 2 3 27 2" xfId="11710"/>
    <cellStyle name="Note 3 2 3 27 3" xfId="18960"/>
    <cellStyle name="Note 3 2 3 27 4" xfId="25408"/>
    <cellStyle name="Note 3 2 3 27 5" xfId="33864"/>
    <cellStyle name="Note 3 2 3 27 6" xfId="36315"/>
    <cellStyle name="Note 3 2 3 27 7" xfId="51668"/>
    <cellStyle name="Note 3 2 3 28" xfId="4034"/>
    <cellStyle name="Note 3 2 3 28 2" xfId="11805"/>
    <cellStyle name="Note 3 2 3 28 3" xfId="20744"/>
    <cellStyle name="Note 3 2 3 28 4" xfId="28931"/>
    <cellStyle name="Note 3 2 3 28 5" xfId="36095"/>
    <cellStyle name="Note 3 2 3 28 6" xfId="42596"/>
    <cellStyle name="Note 3 2 3 28 7" xfId="53874"/>
    <cellStyle name="Note 3 2 3 29" xfId="4127"/>
    <cellStyle name="Note 3 2 3 29 2" xfId="11886"/>
    <cellStyle name="Note 3 2 3 29 3" xfId="20837"/>
    <cellStyle name="Note 3 2 3 29 4" xfId="29024"/>
    <cellStyle name="Note 3 2 3 29 5" xfId="35694"/>
    <cellStyle name="Note 3 2 3 29 6" xfId="42689"/>
    <cellStyle name="Note 3 2 3 29 7" xfId="51938"/>
    <cellStyle name="Note 3 2 3 3" xfId="784"/>
    <cellStyle name="Note 3 2 3 3 2" xfId="8608"/>
    <cellStyle name="Note 3 2 3 3 3" xfId="16036"/>
    <cellStyle name="Note 3 2 3 3 4" xfId="25157"/>
    <cellStyle name="Note 3 2 3 3 5" xfId="33534"/>
    <cellStyle name="Note 3 2 3 3 6" xfId="37354"/>
    <cellStyle name="Note 3 2 3 3 7" xfId="51125"/>
    <cellStyle name="Note 3 2 3 30" xfId="4267"/>
    <cellStyle name="Note 3 2 3 30 2" xfId="20977"/>
    <cellStyle name="Note 3 2 3 30 3" xfId="29164"/>
    <cellStyle name="Note 3 2 3 30 4" xfId="35826"/>
    <cellStyle name="Note 3 2 3 30 5" xfId="42829"/>
    <cellStyle name="Note 3 2 3 30 6" xfId="52544"/>
    <cellStyle name="Note 3 2 3 31" xfId="4324"/>
    <cellStyle name="Note 3 2 3 31 2" xfId="12041"/>
    <cellStyle name="Note 3 2 3 31 3" xfId="21034"/>
    <cellStyle name="Note 3 2 3 31 4" xfId="29221"/>
    <cellStyle name="Note 3 2 3 31 5" xfId="35134"/>
    <cellStyle name="Note 3 2 3 31 6" xfId="42886"/>
    <cellStyle name="Note 3 2 3 31 7" xfId="48277"/>
    <cellStyle name="Note 3 2 3 32" xfId="4447"/>
    <cellStyle name="Note 3 2 3 32 2" xfId="12164"/>
    <cellStyle name="Note 3 2 3 32 3" xfId="21157"/>
    <cellStyle name="Note 3 2 3 32 4" xfId="29344"/>
    <cellStyle name="Note 3 2 3 32 5" xfId="34508"/>
    <cellStyle name="Note 3 2 3 32 6" xfId="43009"/>
    <cellStyle name="Note 3 2 3 32 7" xfId="50060"/>
    <cellStyle name="Note 3 2 3 33" xfId="4561"/>
    <cellStyle name="Note 3 2 3 33 2" xfId="12278"/>
    <cellStyle name="Note 3 2 3 33 3" xfId="21271"/>
    <cellStyle name="Note 3 2 3 33 4" xfId="29458"/>
    <cellStyle name="Note 3 2 3 33 5" xfId="36067"/>
    <cellStyle name="Note 3 2 3 33 6" xfId="43123"/>
    <cellStyle name="Note 3 2 3 33 7" xfId="53746"/>
    <cellStyle name="Note 3 2 3 34" xfId="4674"/>
    <cellStyle name="Note 3 2 3 34 2" xfId="12391"/>
    <cellStyle name="Note 3 2 3 34 3" xfId="21384"/>
    <cellStyle name="Note 3 2 3 34 4" xfId="29571"/>
    <cellStyle name="Note 3 2 3 34 5" xfId="34402"/>
    <cellStyle name="Note 3 2 3 34 6" xfId="43236"/>
    <cellStyle name="Note 3 2 3 34 7" xfId="47380"/>
    <cellStyle name="Note 3 2 3 35" xfId="4785"/>
    <cellStyle name="Note 3 2 3 35 2" xfId="12502"/>
    <cellStyle name="Note 3 2 3 35 3" xfId="21495"/>
    <cellStyle name="Note 3 2 3 35 4" xfId="29682"/>
    <cellStyle name="Note 3 2 3 35 5" xfId="35948"/>
    <cellStyle name="Note 3 2 3 35 6" xfId="43347"/>
    <cellStyle name="Note 3 2 3 35 7" xfId="53165"/>
    <cellStyle name="Note 3 2 3 36" xfId="4894"/>
    <cellStyle name="Note 3 2 3 36 2" xfId="12611"/>
    <cellStyle name="Note 3 2 3 36 3" xfId="21604"/>
    <cellStyle name="Note 3 2 3 36 4" xfId="29791"/>
    <cellStyle name="Note 3 2 3 36 5" xfId="33365"/>
    <cellStyle name="Note 3 2 3 36 6" xfId="43456"/>
    <cellStyle name="Note 3 2 3 36 7" xfId="49435"/>
    <cellStyle name="Note 3 2 3 37" xfId="5005"/>
    <cellStyle name="Note 3 2 3 37 2" xfId="12722"/>
    <cellStyle name="Note 3 2 3 37 3" xfId="21715"/>
    <cellStyle name="Note 3 2 3 37 4" xfId="29902"/>
    <cellStyle name="Note 3 2 3 37 5" xfId="36041"/>
    <cellStyle name="Note 3 2 3 37 6" xfId="43567"/>
    <cellStyle name="Note 3 2 3 37 7" xfId="53615"/>
    <cellStyle name="Note 3 2 3 38" xfId="5384"/>
    <cellStyle name="Note 3 2 3 38 2" xfId="13101"/>
    <cellStyle name="Note 3 2 3 38 3" xfId="22094"/>
    <cellStyle name="Note 3 2 3 38 4" xfId="30281"/>
    <cellStyle name="Note 3 2 3 38 5" xfId="28841"/>
    <cellStyle name="Note 3 2 3 38 6" xfId="43946"/>
    <cellStyle name="Note 3 2 3 38 7" xfId="48035"/>
    <cellStyle name="Note 3 2 3 39" xfId="5504"/>
    <cellStyle name="Note 3 2 3 39 2" xfId="13221"/>
    <cellStyle name="Note 3 2 3 39 3" xfId="22214"/>
    <cellStyle name="Note 3 2 3 39 4" xfId="30401"/>
    <cellStyle name="Note 3 2 3 39 5" xfId="35142"/>
    <cellStyle name="Note 3 2 3 39 6" xfId="44066"/>
    <cellStyle name="Note 3 2 3 39 7" xfId="47909"/>
    <cellStyle name="Note 3 2 3 4" xfId="895"/>
    <cellStyle name="Note 3 2 3 4 2" xfId="8719"/>
    <cellStyle name="Note 3 2 3 4 3" xfId="16147"/>
    <cellStyle name="Note 3 2 3 4 4" xfId="26702"/>
    <cellStyle name="Note 3 2 3 4 5" xfId="35555"/>
    <cellStyle name="Note 3 2 3 4 6" xfId="37345"/>
    <cellStyle name="Note 3 2 3 4 7" xfId="54499"/>
    <cellStyle name="Note 3 2 3 40" xfId="5628"/>
    <cellStyle name="Note 3 2 3 40 2" xfId="13345"/>
    <cellStyle name="Note 3 2 3 40 3" xfId="22338"/>
    <cellStyle name="Note 3 2 3 40 4" xfId="30525"/>
    <cellStyle name="Note 3 2 3 40 5" xfId="27777"/>
    <cellStyle name="Note 3 2 3 40 6" xfId="44190"/>
    <cellStyle name="Note 3 2 3 40 7" xfId="47120"/>
    <cellStyle name="Note 3 2 3 41" xfId="5744"/>
    <cellStyle name="Note 3 2 3 41 2" xfId="13461"/>
    <cellStyle name="Note 3 2 3 41 3" xfId="22454"/>
    <cellStyle name="Note 3 2 3 41 4" xfId="30641"/>
    <cellStyle name="Note 3 2 3 41 5" xfId="33755"/>
    <cellStyle name="Note 3 2 3 41 6" xfId="44306"/>
    <cellStyle name="Note 3 2 3 41 7" xfId="52959"/>
    <cellStyle name="Note 3 2 3 42" xfId="5860"/>
    <cellStyle name="Note 3 2 3 42 2" xfId="13577"/>
    <cellStyle name="Note 3 2 3 42 3" xfId="22570"/>
    <cellStyle name="Note 3 2 3 42 4" xfId="30757"/>
    <cellStyle name="Note 3 2 3 42 5" xfId="36081"/>
    <cellStyle name="Note 3 2 3 42 6" xfId="44422"/>
    <cellStyle name="Note 3 2 3 42 7" xfId="53432"/>
    <cellStyle name="Note 3 2 3 43" xfId="5989"/>
    <cellStyle name="Note 3 2 3 43 2" xfId="13706"/>
    <cellStyle name="Note 3 2 3 43 3" xfId="22699"/>
    <cellStyle name="Note 3 2 3 43 4" xfId="30886"/>
    <cellStyle name="Note 3 2 3 43 5" xfId="27717"/>
    <cellStyle name="Note 3 2 3 43 6" xfId="44551"/>
    <cellStyle name="Note 3 2 3 43 7" xfId="52383"/>
    <cellStyle name="Note 3 2 3 44" xfId="6089"/>
    <cellStyle name="Note 3 2 3 44 2" xfId="13806"/>
    <cellStyle name="Note 3 2 3 44 3" xfId="22799"/>
    <cellStyle name="Note 3 2 3 44 4" xfId="30986"/>
    <cellStyle name="Note 3 2 3 44 5" xfId="35892"/>
    <cellStyle name="Note 3 2 3 44 6" xfId="44651"/>
    <cellStyle name="Note 3 2 3 44 7" xfId="51578"/>
    <cellStyle name="Note 3 2 3 45" xfId="5325"/>
    <cellStyle name="Note 3 2 3 45 2" xfId="13042"/>
    <cellStyle name="Note 3 2 3 45 3" xfId="22035"/>
    <cellStyle name="Note 3 2 3 45 4" xfId="30222"/>
    <cellStyle name="Note 3 2 3 45 5" xfId="35596"/>
    <cellStyle name="Note 3 2 3 45 6" xfId="43887"/>
    <cellStyle name="Note 3 2 3 45 7" xfId="51478"/>
    <cellStyle name="Note 3 2 3 46" xfId="6245"/>
    <cellStyle name="Note 3 2 3 46 2" xfId="13962"/>
    <cellStyle name="Note 3 2 3 46 3" xfId="22955"/>
    <cellStyle name="Note 3 2 3 46 4" xfId="31142"/>
    <cellStyle name="Note 3 2 3 46 5" xfId="35442"/>
    <cellStyle name="Note 3 2 3 46 6" xfId="44807"/>
    <cellStyle name="Note 3 2 3 46 7" xfId="49666"/>
    <cellStyle name="Note 3 2 3 47" xfId="6361"/>
    <cellStyle name="Note 3 2 3 47 2" xfId="14078"/>
    <cellStyle name="Note 3 2 3 47 3" xfId="23071"/>
    <cellStyle name="Note 3 2 3 47 4" xfId="31258"/>
    <cellStyle name="Note 3 2 3 47 5" xfId="36131"/>
    <cellStyle name="Note 3 2 3 47 6" xfId="44923"/>
    <cellStyle name="Note 3 2 3 47 7" xfId="53972"/>
    <cellStyle name="Note 3 2 3 48" xfId="6472"/>
    <cellStyle name="Note 3 2 3 48 2" xfId="14189"/>
    <cellStyle name="Note 3 2 3 48 3" xfId="23182"/>
    <cellStyle name="Note 3 2 3 48 4" xfId="31369"/>
    <cellStyle name="Note 3 2 3 48 5" xfId="35561"/>
    <cellStyle name="Note 3 2 3 48 6" xfId="45034"/>
    <cellStyle name="Note 3 2 3 48 7" xfId="48730"/>
    <cellStyle name="Note 3 2 3 49" xfId="6567"/>
    <cellStyle name="Note 3 2 3 49 2" xfId="14284"/>
    <cellStyle name="Note 3 2 3 49 3" xfId="23277"/>
    <cellStyle name="Note 3 2 3 49 4" xfId="31464"/>
    <cellStyle name="Note 3 2 3 49 5" xfId="33736"/>
    <cellStyle name="Note 3 2 3 49 6" xfId="45129"/>
    <cellStyle name="Note 3 2 3 49 7" xfId="54478"/>
    <cellStyle name="Note 3 2 3 5" xfId="1361"/>
    <cellStyle name="Note 3 2 3 5 2" xfId="9184"/>
    <cellStyle name="Note 3 2 3 5 3" xfId="16612"/>
    <cellStyle name="Note 3 2 3 5 4" xfId="26571"/>
    <cellStyle name="Note 3 2 3 5 5" xfId="35386"/>
    <cellStyle name="Note 3 2 3 5 6" xfId="40632"/>
    <cellStyle name="Note 3 2 3 5 7" xfId="54217"/>
    <cellStyle name="Note 3 2 3 50" xfId="6618"/>
    <cellStyle name="Note 3 2 3 50 2" xfId="14335"/>
    <cellStyle name="Note 3 2 3 50 3" xfId="23328"/>
    <cellStyle name="Note 3 2 3 50 4" xfId="31515"/>
    <cellStyle name="Note 3 2 3 50 5" xfId="34121"/>
    <cellStyle name="Note 3 2 3 50 6" xfId="45180"/>
    <cellStyle name="Note 3 2 3 50 7" xfId="47753"/>
    <cellStyle name="Note 3 2 3 51" xfId="6730"/>
    <cellStyle name="Note 3 2 3 51 2" xfId="14447"/>
    <cellStyle name="Note 3 2 3 51 3" xfId="23440"/>
    <cellStyle name="Note 3 2 3 51 4" xfId="31627"/>
    <cellStyle name="Note 3 2 3 51 5" xfId="35792"/>
    <cellStyle name="Note 3 2 3 51 6" xfId="45292"/>
    <cellStyle name="Note 3 2 3 51 7" xfId="47600"/>
    <cellStyle name="Note 3 2 3 52" xfId="6845"/>
    <cellStyle name="Note 3 2 3 52 2" xfId="14562"/>
    <cellStyle name="Note 3 2 3 52 3" xfId="23555"/>
    <cellStyle name="Note 3 2 3 52 4" xfId="31742"/>
    <cellStyle name="Note 3 2 3 52 5" xfId="34870"/>
    <cellStyle name="Note 3 2 3 52 6" xfId="45407"/>
    <cellStyle name="Note 3 2 3 52 7" xfId="49920"/>
    <cellStyle name="Note 3 2 3 53" xfId="6958"/>
    <cellStyle name="Note 3 2 3 53 2" xfId="14675"/>
    <cellStyle name="Note 3 2 3 53 3" xfId="23668"/>
    <cellStyle name="Note 3 2 3 53 4" xfId="31855"/>
    <cellStyle name="Note 3 2 3 53 5" xfId="28769"/>
    <cellStyle name="Note 3 2 3 53 6" xfId="45520"/>
    <cellStyle name="Note 3 2 3 53 7" xfId="46796"/>
    <cellStyle name="Note 3 2 3 54" xfId="7069"/>
    <cellStyle name="Note 3 2 3 54 2" xfId="14786"/>
    <cellStyle name="Note 3 2 3 54 3" xfId="23779"/>
    <cellStyle name="Note 3 2 3 54 4" xfId="31966"/>
    <cellStyle name="Note 3 2 3 54 5" xfId="35661"/>
    <cellStyle name="Note 3 2 3 54 6" xfId="45631"/>
    <cellStyle name="Note 3 2 3 54 7" xfId="52451"/>
    <cellStyle name="Note 3 2 3 55" xfId="7365"/>
    <cellStyle name="Note 3 2 3 55 2" xfId="15082"/>
    <cellStyle name="Note 3 2 3 55 3" xfId="24075"/>
    <cellStyle name="Note 3 2 3 55 4" xfId="32262"/>
    <cellStyle name="Note 3 2 3 55 5" xfId="28412"/>
    <cellStyle name="Note 3 2 3 55 6" xfId="45927"/>
    <cellStyle name="Note 3 2 3 55 7" xfId="47465"/>
    <cellStyle name="Note 3 2 3 56" xfId="7396"/>
    <cellStyle name="Note 3 2 3 56 2" xfId="15113"/>
    <cellStyle name="Note 3 2 3 56 3" xfId="24106"/>
    <cellStyle name="Note 3 2 3 56 4" xfId="32293"/>
    <cellStyle name="Note 3 2 3 56 5" xfId="26878"/>
    <cellStyle name="Note 3 2 3 56 6" xfId="45958"/>
    <cellStyle name="Note 3 2 3 56 7" xfId="53833"/>
    <cellStyle name="Note 3 2 3 57" xfId="7466"/>
    <cellStyle name="Note 3 2 3 57 2" xfId="15183"/>
    <cellStyle name="Note 3 2 3 57 3" xfId="24176"/>
    <cellStyle name="Note 3 2 3 57 4" xfId="32363"/>
    <cellStyle name="Note 3 2 3 57 5" xfId="27533"/>
    <cellStyle name="Note 3 2 3 57 6" xfId="46028"/>
    <cellStyle name="Note 3 2 3 57 7" xfId="53850"/>
    <cellStyle name="Note 3 2 3 58" xfId="7587"/>
    <cellStyle name="Note 3 2 3 58 2" xfId="15304"/>
    <cellStyle name="Note 3 2 3 58 3" xfId="24297"/>
    <cellStyle name="Note 3 2 3 58 4" xfId="32484"/>
    <cellStyle name="Note 3 2 3 58 5" xfId="27140"/>
    <cellStyle name="Note 3 2 3 58 6" xfId="46149"/>
    <cellStyle name="Note 3 2 3 58 7" xfId="47816"/>
    <cellStyle name="Note 3 2 3 59" xfId="7863"/>
    <cellStyle name="Note 3 2 3 59 2" xfId="15580"/>
    <cellStyle name="Note 3 2 3 59 3" xfId="24567"/>
    <cellStyle name="Note 3 2 3 59 4" xfId="32760"/>
    <cellStyle name="Note 3 2 3 59 5" xfId="35389"/>
    <cellStyle name="Note 3 2 3 59 6" xfId="46425"/>
    <cellStyle name="Note 3 2 3 59 7" xfId="49477"/>
    <cellStyle name="Note 3 2 3 6" xfId="1484"/>
    <cellStyle name="Note 3 2 3 6 2" xfId="9307"/>
    <cellStyle name="Note 3 2 3 6 3" xfId="16735"/>
    <cellStyle name="Note 3 2 3 6 4" xfId="26555"/>
    <cellStyle name="Note 3 2 3 6 5" xfId="35364"/>
    <cellStyle name="Note 3 2 3 6 6" xfId="39168"/>
    <cellStyle name="Note 3 2 3 6 7" xfId="54186"/>
    <cellStyle name="Note 3 2 3 60" xfId="8007"/>
    <cellStyle name="Note 3 2 3 60 2" xfId="15724"/>
    <cellStyle name="Note 3 2 3 60 3" xfId="24709"/>
    <cellStyle name="Note 3 2 3 60 4" xfId="32904"/>
    <cellStyle name="Note 3 2 3 60 5" xfId="33603"/>
    <cellStyle name="Note 3 2 3 60 6" xfId="46569"/>
    <cellStyle name="Note 3 2 3 60 7" xfId="49135"/>
    <cellStyle name="Note 3 2 3 61" xfId="7942"/>
    <cellStyle name="Note 3 2 3 61 2" xfId="15659"/>
    <cellStyle name="Note 3 2 3 61 3" xfId="24645"/>
    <cellStyle name="Note 3 2 3 61 4" xfId="32839"/>
    <cellStyle name="Note 3 2 3 61 5" xfId="34845"/>
    <cellStyle name="Note 3 2 3 61 6" xfId="46504"/>
    <cellStyle name="Note 3 2 3 61 7" xfId="48660"/>
    <cellStyle name="Note 3 2 3 62" xfId="8090"/>
    <cellStyle name="Note 3 2 3 62 2" xfId="15807"/>
    <cellStyle name="Note 3 2 3 62 3" xfId="24791"/>
    <cellStyle name="Note 3 2 3 62 4" xfId="32987"/>
    <cellStyle name="Note 3 2 3 62 5" xfId="28854"/>
    <cellStyle name="Note 3 2 3 62 6" xfId="46652"/>
    <cellStyle name="Note 3 2 3 62 7" xfId="49078"/>
    <cellStyle name="Note 3 2 3 63" xfId="8139"/>
    <cellStyle name="Note 3 2 3 63 2" xfId="15856"/>
    <cellStyle name="Note 3 2 3 63 3" xfId="33036"/>
    <cellStyle name="Note 3 2 3 63 4" xfId="27788"/>
    <cellStyle name="Note 3 2 3 63 5" xfId="46701"/>
    <cellStyle name="Note 3 2 3 63 6" xfId="50009"/>
    <cellStyle name="Note 3 2 3 64" xfId="19370"/>
    <cellStyle name="Note 3 2 3 65" xfId="28647"/>
    <cellStyle name="Note 3 2 3 66" xfId="36603"/>
    <cellStyle name="Note 3 2 3 67" xfId="47923"/>
    <cellStyle name="Note 3 2 3 7" xfId="1641"/>
    <cellStyle name="Note 3 2 3 7 2" xfId="9464"/>
    <cellStyle name="Note 3 2 3 7 3" xfId="16892"/>
    <cellStyle name="Note 3 2 3 7 4" xfId="19940"/>
    <cellStyle name="Note 3 2 3 7 5" xfId="27775"/>
    <cellStyle name="Note 3 2 3 7 6" xfId="42005"/>
    <cellStyle name="Note 3 2 3 7 7" xfId="48049"/>
    <cellStyle name="Note 3 2 3 8" xfId="1721"/>
    <cellStyle name="Note 3 2 3 8 2" xfId="9544"/>
    <cellStyle name="Note 3 2 3 8 3" xfId="16972"/>
    <cellStyle name="Note 3 2 3 8 4" xfId="25665"/>
    <cellStyle name="Note 3 2 3 8 5" xfId="34195"/>
    <cellStyle name="Note 3 2 3 8 6" xfId="37037"/>
    <cellStyle name="Note 3 2 3 8 7" xfId="52231"/>
    <cellStyle name="Note 3 2 3 9" xfId="1855"/>
    <cellStyle name="Note 3 2 3 9 2" xfId="9678"/>
    <cellStyle name="Note 3 2 3 9 3" xfId="17106"/>
    <cellStyle name="Note 3 2 3 9 4" xfId="25954"/>
    <cellStyle name="Note 3 2 3 9 5" xfId="34561"/>
    <cellStyle name="Note 3 2 3 9 6" xfId="41980"/>
    <cellStyle name="Note 3 2 3 9 7" xfId="52898"/>
    <cellStyle name="Note 3 2 30" xfId="5579"/>
    <cellStyle name="Note 3 2 30 2" xfId="13296"/>
    <cellStyle name="Note 3 2 30 3" xfId="22289"/>
    <cellStyle name="Note 3 2 30 4" xfId="30476"/>
    <cellStyle name="Note 3 2 30 5" xfId="35021"/>
    <cellStyle name="Note 3 2 30 6" xfId="44141"/>
    <cellStyle name="Note 3 2 30 7" xfId="47158"/>
    <cellStyle name="Note 3 2 31" xfId="7333"/>
    <cellStyle name="Note 3 2 31 2" xfId="15050"/>
    <cellStyle name="Note 3 2 31 3" xfId="24043"/>
    <cellStyle name="Note 3 2 31 4" xfId="32230"/>
    <cellStyle name="Note 3 2 31 5" xfId="36061"/>
    <cellStyle name="Note 3 2 31 6" xfId="45895"/>
    <cellStyle name="Note 3 2 31 7" xfId="53190"/>
    <cellStyle name="Note 3 2 32" xfId="7357"/>
    <cellStyle name="Note 3 2 32 2" xfId="15074"/>
    <cellStyle name="Note 3 2 32 3" xfId="24067"/>
    <cellStyle name="Note 3 2 32 4" xfId="32254"/>
    <cellStyle name="Note 3 2 32 5" xfId="34276"/>
    <cellStyle name="Note 3 2 32 6" xfId="45919"/>
    <cellStyle name="Note 3 2 32 7" xfId="50334"/>
    <cellStyle name="Note 3 2 33" xfId="7725"/>
    <cellStyle name="Note 3 2 33 2" xfId="15442"/>
    <cellStyle name="Note 3 2 33 3" xfId="24433"/>
    <cellStyle name="Note 3 2 33 4" xfId="32622"/>
    <cellStyle name="Note 3 2 33 5" xfId="35449"/>
    <cellStyle name="Note 3 2 33 6" xfId="46287"/>
    <cellStyle name="Note 3 2 33 7" xfId="49285"/>
    <cellStyle name="Note 3 2 34" xfId="7710"/>
    <cellStyle name="Note 3 2 34 2" xfId="15427"/>
    <cellStyle name="Note 3 2 34 3" xfId="24418"/>
    <cellStyle name="Note 3 2 34 4" xfId="32607"/>
    <cellStyle name="Note 3 2 34 5" xfId="33292"/>
    <cellStyle name="Note 3 2 34 6" xfId="46272"/>
    <cellStyle name="Note 3 2 34 7" xfId="47556"/>
    <cellStyle name="Note 3 2 35" xfId="7672"/>
    <cellStyle name="Note 3 2 35 2" xfId="15389"/>
    <cellStyle name="Note 3 2 35 3" xfId="24381"/>
    <cellStyle name="Note 3 2 35 4" xfId="32569"/>
    <cellStyle name="Note 3 2 35 5" xfId="27194"/>
    <cellStyle name="Note 3 2 35 6" xfId="46234"/>
    <cellStyle name="Note 3 2 35 7" xfId="47270"/>
    <cellStyle name="Note 3 2 36" xfId="25371"/>
    <cellStyle name="Note 3 2 37" xfId="33815"/>
    <cellStyle name="Note 3 2 38" xfId="37535"/>
    <cellStyle name="Note 3 2 39" xfId="51589"/>
    <cellStyle name="Note 3 2 4" xfId="522"/>
    <cellStyle name="Note 3 2 4 10" xfId="1969"/>
    <cellStyle name="Note 3 2 4 10 2" xfId="9792"/>
    <cellStyle name="Note 3 2 4 10 3" xfId="17220"/>
    <cellStyle name="Note 3 2 4 10 4" xfId="19819"/>
    <cellStyle name="Note 3 2 4 10 5" xfId="28156"/>
    <cellStyle name="Note 3 2 4 10 6" xfId="36457"/>
    <cellStyle name="Note 3 2 4 10 7" xfId="47409"/>
    <cellStyle name="Note 3 2 4 11" xfId="2087"/>
    <cellStyle name="Note 3 2 4 11 2" xfId="9910"/>
    <cellStyle name="Note 3 2 4 11 3" xfId="17338"/>
    <cellStyle name="Note 3 2 4 11 4" xfId="19095"/>
    <cellStyle name="Note 3 2 4 11 5" xfId="28776"/>
    <cellStyle name="Note 3 2 4 11 6" xfId="41317"/>
    <cellStyle name="Note 3 2 4 11 7" xfId="49928"/>
    <cellStyle name="Note 3 2 4 12" xfId="2200"/>
    <cellStyle name="Note 3 2 4 12 2" xfId="10023"/>
    <cellStyle name="Note 3 2 4 12 3" xfId="17451"/>
    <cellStyle name="Note 3 2 4 12 4" xfId="26043"/>
    <cellStyle name="Note 3 2 4 12 5" xfId="34678"/>
    <cellStyle name="Note 3 2 4 12 6" xfId="37536"/>
    <cellStyle name="Note 3 2 4 12 7" xfId="53085"/>
    <cellStyle name="Note 3 2 4 13" xfId="1016"/>
    <cellStyle name="Note 3 2 4 13 2" xfId="8840"/>
    <cellStyle name="Note 3 2 4 13 3" xfId="16268"/>
    <cellStyle name="Note 3 2 4 13 4" xfId="19592"/>
    <cellStyle name="Note 3 2 4 13 5" xfId="28641"/>
    <cellStyle name="Note 3 2 4 13 6" xfId="36506"/>
    <cellStyle name="Note 3 2 4 13 7" xfId="48998"/>
    <cellStyle name="Note 3 2 4 14" xfId="1436"/>
    <cellStyle name="Note 3 2 4 14 2" xfId="9259"/>
    <cellStyle name="Note 3 2 4 14 3" xfId="16687"/>
    <cellStyle name="Note 3 2 4 14 4" xfId="25814"/>
    <cellStyle name="Note 3 2 4 14 5" xfId="34393"/>
    <cellStyle name="Note 3 2 4 14 6" xfId="40418"/>
    <cellStyle name="Note 3 2 4 14 7" xfId="52592"/>
    <cellStyle name="Note 3 2 4 15" xfId="2498"/>
    <cellStyle name="Note 3 2 4 15 2" xfId="10321"/>
    <cellStyle name="Note 3 2 4 15 3" xfId="17749"/>
    <cellStyle name="Note 3 2 4 15 4" xfId="25093"/>
    <cellStyle name="Note 3 2 4 15 5" xfId="33455"/>
    <cellStyle name="Note 3 2 4 15 6" xfId="37339"/>
    <cellStyle name="Note 3 2 4 15 7" xfId="50992"/>
    <cellStyle name="Note 3 2 4 16" xfId="2611"/>
    <cellStyle name="Note 3 2 4 16 2" xfId="10434"/>
    <cellStyle name="Note 3 2 4 16 3" xfId="17862"/>
    <cellStyle name="Note 3 2 4 16 4" xfId="20300"/>
    <cellStyle name="Note 3 2 4 16 5" xfId="26830"/>
    <cellStyle name="Note 3 2 4 16 6" xfId="41531"/>
    <cellStyle name="Note 3 2 4 16 7" xfId="47291"/>
    <cellStyle name="Note 3 2 4 17" xfId="2612"/>
    <cellStyle name="Note 3 2 4 17 2" xfId="10435"/>
    <cellStyle name="Note 3 2 4 17 3" xfId="17863"/>
    <cellStyle name="Note 3 2 4 17 4" xfId="19768"/>
    <cellStyle name="Note 3 2 4 17 5" xfId="27056"/>
    <cellStyle name="Note 3 2 4 17 6" xfId="41287"/>
    <cellStyle name="Note 3 2 4 17 7" xfId="48559"/>
    <cellStyle name="Note 3 2 4 18" xfId="2305"/>
    <cellStyle name="Note 3 2 4 18 2" xfId="10128"/>
    <cellStyle name="Note 3 2 4 18 3" xfId="17556"/>
    <cellStyle name="Note 3 2 4 18 4" xfId="19082"/>
    <cellStyle name="Note 3 2 4 18 5" xfId="28093"/>
    <cellStyle name="Note 3 2 4 18 6" xfId="36631"/>
    <cellStyle name="Note 3 2 4 18 7" xfId="49287"/>
    <cellStyle name="Note 3 2 4 19" xfId="2805"/>
    <cellStyle name="Note 3 2 4 19 2" xfId="10628"/>
    <cellStyle name="Note 3 2 4 19 3" xfId="18056"/>
    <cellStyle name="Note 3 2 4 19 4" xfId="19137"/>
    <cellStyle name="Note 3 2 4 19 5" xfId="26983"/>
    <cellStyle name="Note 3 2 4 19 6" xfId="37174"/>
    <cellStyle name="Note 3 2 4 19 7" xfId="49836"/>
    <cellStyle name="Note 3 2 4 2" xfId="673"/>
    <cellStyle name="Note 3 2 4 2 2" xfId="8497"/>
    <cellStyle name="Note 3 2 4 2 3" xfId="8261"/>
    <cellStyle name="Note 3 2 4 2 4" xfId="19862"/>
    <cellStyle name="Note 3 2 4 2 5" xfId="27746"/>
    <cellStyle name="Note 3 2 4 2 6" xfId="36412"/>
    <cellStyle name="Note 3 2 4 2 7" xfId="50244"/>
    <cellStyle name="Note 3 2 4 20" xfId="2912"/>
    <cellStyle name="Note 3 2 4 20 2" xfId="10735"/>
    <cellStyle name="Note 3 2 4 20 3" xfId="18163"/>
    <cellStyle name="Note 3 2 4 20 4" xfId="20284"/>
    <cellStyle name="Note 3 2 4 20 5" xfId="28345"/>
    <cellStyle name="Note 3 2 4 20 6" xfId="36709"/>
    <cellStyle name="Note 3 2 4 20 7" xfId="48550"/>
    <cellStyle name="Note 3 2 4 21" xfId="3288"/>
    <cellStyle name="Note 3 2 4 21 2" xfId="11081"/>
    <cellStyle name="Note 3 2 4 21 3" xfId="18410"/>
    <cellStyle name="Note 3 2 4 21 4" xfId="26057"/>
    <cellStyle name="Note 3 2 4 21 5" xfId="34701"/>
    <cellStyle name="Note 3 2 4 21 6" xfId="40828"/>
    <cellStyle name="Note 3 2 4 21 7" xfId="53120"/>
    <cellStyle name="Note 3 2 4 22" xfId="3408"/>
    <cellStyle name="Note 3 2 4 22 2" xfId="11199"/>
    <cellStyle name="Note 3 2 4 22 3" xfId="18521"/>
    <cellStyle name="Note 3 2 4 22 4" xfId="20266"/>
    <cellStyle name="Note 3 2 4 22 5" xfId="27449"/>
    <cellStyle name="Note 3 2 4 22 6" xfId="37644"/>
    <cellStyle name="Note 3 2 4 22 7" xfId="49021"/>
    <cellStyle name="Note 3 2 4 23" xfId="3536"/>
    <cellStyle name="Note 3 2 4 23 2" xfId="11326"/>
    <cellStyle name="Note 3 2 4 23 3" xfId="18617"/>
    <cellStyle name="Note 3 2 4 23 4" xfId="25164"/>
    <cellStyle name="Note 3 2 4 23 5" xfId="33544"/>
    <cellStyle name="Note 3 2 4 23 6" xfId="39660"/>
    <cellStyle name="Note 3 2 4 23 7" xfId="51139"/>
    <cellStyle name="Note 3 2 4 24" xfId="3078"/>
    <cellStyle name="Note 3 2 4 24 2" xfId="10886"/>
    <cellStyle name="Note 3 2 4 24 3" xfId="18279"/>
    <cellStyle name="Note 3 2 4 24 4" xfId="25958"/>
    <cellStyle name="Note 3 2 4 24 5" xfId="34565"/>
    <cellStyle name="Note 3 2 4 24 6" xfId="38915"/>
    <cellStyle name="Note 3 2 4 24 7" xfId="52903"/>
    <cellStyle name="Note 3 2 4 25" xfId="3678"/>
    <cellStyle name="Note 3 2 4 25 2" xfId="11463"/>
    <cellStyle name="Note 3 2 4 25 3" xfId="18736"/>
    <cellStyle name="Note 3 2 4 25 4" xfId="25343"/>
    <cellStyle name="Note 3 2 4 25 5" xfId="33777"/>
    <cellStyle name="Note 3 2 4 25 6" xfId="38395"/>
    <cellStyle name="Note 3 2 4 25 7" xfId="51519"/>
    <cellStyle name="Note 3 2 4 26" xfId="3809"/>
    <cellStyle name="Note 3 2 4 26 2" xfId="11591"/>
    <cellStyle name="Note 3 2 4 26 3" xfId="18848"/>
    <cellStyle name="Note 3 2 4 26 4" xfId="26334"/>
    <cellStyle name="Note 3 2 4 26 5" xfId="35058"/>
    <cellStyle name="Note 3 2 4 26 6" xfId="41087"/>
    <cellStyle name="Note 3 2 4 26 7" xfId="53706"/>
    <cellStyle name="Note 3 2 4 27" xfId="3926"/>
    <cellStyle name="Note 3 2 4 27 2" xfId="11706"/>
    <cellStyle name="Note 3 2 4 27 3" xfId="18957"/>
    <cellStyle name="Note 3 2 4 27 4" xfId="19871"/>
    <cellStyle name="Note 3 2 4 27 5" xfId="27783"/>
    <cellStyle name="Note 3 2 4 27 6" xfId="36637"/>
    <cellStyle name="Note 3 2 4 27 7" xfId="48746"/>
    <cellStyle name="Note 3 2 4 28" xfId="3120"/>
    <cellStyle name="Note 3 2 4 28 2" xfId="10925"/>
    <cellStyle name="Note 3 2 4 28 3" xfId="20267"/>
    <cellStyle name="Note 3 2 4 28 4" xfId="28361"/>
    <cellStyle name="Note 3 2 4 28 5" xfId="34232"/>
    <cellStyle name="Note 3 2 4 28 6" xfId="42404"/>
    <cellStyle name="Note 3 2 4 28 7" xfId="47282"/>
    <cellStyle name="Note 3 2 4 29" xfId="4123"/>
    <cellStyle name="Note 3 2 4 29 2" xfId="11883"/>
    <cellStyle name="Note 3 2 4 29 3" xfId="20833"/>
    <cellStyle name="Note 3 2 4 29 4" xfId="29020"/>
    <cellStyle name="Note 3 2 4 29 5" xfId="35756"/>
    <cellStyle name="Note 3 2 4 29 6" xfId="42685"/>
    <cellStyle name="Note 3 2 4 29 7" xfId="52274"/>
    <cellStyle name="Note 3 2 4 3" xfId="780"/>
    <cellStyle name="Note 3 2 4 3 2" xfId="8604"/>
    <cellStyle name="Note 3 2 4 3 3" xfId="16032"/>
    <cellStyle name="Note 3 2 4 3 4" xfId="25357"/>
    <cellStyle name="Note 3 2 4 3 5" xfId="33793"/>
    <cellStyle name="Note 3 2 4 3 6" xfId="37856"/>
    <cellStyle name="Note 3 2 4 3 7" xfId="51547"/>
    <cellStyle name="Note 3 2 4 30" xfId="4021"/>
    <cellStyle name="Note 3 2 4 30 2" xfId="20731"/>
    <cellStyle name="Note 3 2 4 30 3" xfId="28918"/>
    <cellStyle name="Note 3 2 4 30 4" xfId="35676"/>
    <cellStyle name="Note 3 2 4 30 5" xfId="42583"/>
    <cellStyle name="Note 3 2 4 30 6" xfId="51811"/>
    <cellStyle name="Note 3 2 4 31" xfId="4320"/>
    <cellStyle name="Note 3 2 4 31 2" xfId="12037"/>
    <cellStyle name="Note 3 2 4 31 3" xfId="21030"/>
    <cellStyle name="Note 3 2 4 31 4" xfId="29217"/>
    <cellStyle name="Note 3 2 4 31 5" xfId="34161"/>
    <cellStyle name="Note 3 2 4 31 6" xfId="42882"/>
    <cellStyle name="Note 3 2 4 31 7" xfId="50172"/>
    <cellStyle name="Note 3 2 4 32" xfId="4443"/>
    <cellStyle name="Note 3 2 4 32 2" xfId="12160"/>
    <cellStyle name="Note 3 2 4 32 3" xfId="21153"/>
    <cellStyle name="Note 3 2 4 32 4" xfId="29340"/>
    <cellStyle name="Note 3 2 4 32 5" xfId="28892"/>
    <cellStyle name="Note 3 2 4 32 6" xfId="43005"/>
    <cellStyle name="Note 3 2 4 32 7" xfId="50906"/>
    <cellStyle name="Note 3 2 4 33" xfId="4557"/>
    <cellStyle name="Note 3 2 4 33 2" xfId="12274"/>
    <cellStyle name="Note 3 2 4 33 3" xfId="21267"/>
    <cellStyle name="Note 3 2 4 33 4" xfId="29454"/>
    <cellStyle name="Note 3 2 4 33 5" xfId="27807"/>
    <cellStyle name="Note 3 2 4 33 6" xfId="43119"/>
    <cellStyle name="Note 3 2 4 33 7" xfId="48143"/>
    <cellStyle name="Note 3 2 4 34" xfId="4670"/>
    <cellStyle name="Note 3 2 4 34 2" xfId="12387"/>
    <cellStyle name="Note 3 2 4 34 3" xfId="21380"/>
    <cellStyle name="Note 3 2 4 34 4" xfId="29567"/>
    <cellStyle name="Note 3 2 4 34 5" xfId="35393"/>
    <cellStyle name="Note 3 2 4 34 6" xfId="43232"/>
    <cellStyle name="Note 3 2 4 34 7" xfId="50102"/>
    <cellStyle name="Note 3 2 4 35" xfId="4782"/>
    <cellStyle name="Note 3 2 4 35 2" xfId="12499"/>
    <cellStyle name="Note 3 2 4 35 3" xfId="21492"/>
    <cellStyle name="Note 3 2 4 35 4" xfId="29679"/>
    <cellStyle name="Note 3 2 4 35 5" xfId="36012"/>
    <cellStyle name="Note 3 2 4 35 6" xfId="43344"/>
    <cellStyle name="Note 3 2 4 35 7" xfId="53478"/>
    <cellStyle name="Note 3 2 4 36" xfId="4890"/>
    <cellStyle name="Note 3 2 4 36 2" xfId="12607"/>
    <cellStyle name="Note 3 2 4 36 3" xfId="21600"/>
    <cellStyle name="Note 3 2 4 36 4" xfId="29787"/>
    <cellStyle name="Note 3 2 4 36 5" xfId="28328"/>
    <cellStyle name="Note 3 2 4 36 6" xfId="43452"/>
    <cellStyle name="Note 3 2 4 36 7" xfId="50013"/>
    <cellStyle name="Note 3 2 4 37" xfId="5002"/>
    <cellStyle name="Note 3 2 4 37 2" xfId="12719"/>
    <cellStyle name="Note 3 2 4 37 3" xfId="21712"/>
    <cellStyle name="Note 3 2 4 37 4" xfId="29899"/>
    <cellStyle name="Note 3 2 4 37 5" xfId="36100"/>
    <cellStyle name="Note 3 2 4 37 6" xfId="43564"/>
    <cellStyle name="Note 3 2 4 37 7" xfId="53898"/>
    <cellStyle name="Note 3 2 4 38" xfId="5111"/>
    <cellStyle name="Note 3 2 4 38 2" xfId="12828"/>
    <cellStyle name="Note 3 2 4 38 3" xfId="21821"/>
    <cellStyle name="Note 3 2 4 38 4" xfId="30008"/>
    <cellStyle name="Note 3 2 4 38 5" xfId="27617"/>
    <cellStyle name="Note 3 2 4 38 6" xfId="43673"/>
    <cellStyle name="Note 3 2 4 38 7" xfId="49887"/>
    <cellStyle name="Note 3 2 4 39" xfId="5500"/>
    <cellStyle name="Note 3 2 4 39 2" xfId="13217"/>
    <cellStyle name="Note 3 2 4 39 3" xfId="22210"/>
    <cellStyle name="Note 3 2 4 39 4" xfId="30397"/>
    <cellStyle name="Note 3 2 4 39 5" xfId="33802"/>
    <cellStyle name="Note 3 2 4 39 6" xfId="44062"/>
    <cellStyle name="Note 3 2 4 39 7" xfId="48648"/>
    <cellStyle name="Note 3 2 4 4" xfId="892"/>
    <cellStyle name="Note 3 2 4 4 2" xfId="8716"/>
    <cellStyle name="Note 3 2 4 4 3" xfId="16144"/>
    <cellStyle name="Note 3 2 4 4 4" xfId="20445"/>
    <cellStyle name="Note 3 2 4 4 5" xfId="28644"/>
    <cellStyle name="Note 3 2 4 4 6" xfId="36430"/>
    <cellStyle name="Note 3 2 4 4 7" xfId="48571"/>
    <cellStyle name="Note 3 2 4 40" xfId="5625"/>
    <cellStyle name="Note 3 2 4 40 2" xfId="13342"/>
    <cellStyle name="Note 3 2 4 40 3" xfId="22335"/>
    <cellStyle name="Note 3 2 4 40 4" xfId="30522"/>
    <cellStyle name="Note 3 2 4 40 5" xfId="28583"/>
    <cellStyle name="Note 3 2 4 40 6" xfId="44187"/>
    <cellStyle name="Note 3 2 4 40 7" xfId="47123"/>
    <cellStyle name="Note 3 2 4 41" xfId="5740"/>
    <cellStyle name="Note 3 2 4 41 2" xfId="13457"/>
    <cellStyle name="Note 3 2 4 41 3" xfId="22450"/>
    <cellStyle name="Note 3 2 4 41 4" xfId="30637"/>
    <cellStyle name="Note 3 2 4 41 5" xfId="36056"/>
    <cellStyle name="Note 3 2 4 41 6" xfId="44302"/>
    <cellStyle name="Note 3 2 4 41 7" xfId="53240"/>
    <cellStyle name="Note 3 2 4 42" xfId="5857"/>
    <cellStyle name="Note 3 2 4 42 2" xfId="13574"/>
    <cellStyle name="Note 3 2 4 42 3" xfId="22567"/>
    <cellStyle name="Note 3 2 4 42 4" xfId="30754"/>
    <cellStyle name="Note 3 2 4 42 5" xfId="36177"/>
    <cellStyle name="Note 3 2 4 42 6" xfId="44419"/>
    <cellStyle name="Note 3 2 4 42 7" xfId="53803"/>
    <cellStyle name="Note 3 2 4 43" xfId="5985"/>
    <cellStyle name="Note 3 2 4 43 2" xfId="13702"/>
    <cellStyle name="Note 3 2 4 43 3" xfId="22695"/>
    <cellStyle name="Note 3 2 4 43 4" xfId="30882"/>
    <cellStyle name="Note 3 2 4 43 5" xfId="28062"/>
    <cellStyle name="Note 3 2 4 43 6" xfId="44547"/>
    <cellStyle name="Note 3 2 4 43 7" xfId="48686"/>
    <cellStyle name="Note 3 2 4 44" xfId="6087"/>
    <cellStyle name="Note 3 2 4 44 2" xfId="13804"/>
    <cellStyle name="Note 3 2 4 44 3" xfId="22797"/>
    <cellStyle name="Note 3 2 4 44 4" xfId="30984"/>
    <cellStyle name="Note 3 2 4 44 5" xfId="35920"/>
    <cellStyle name="Note 3 2 4 44 6" xfId="44649"/>
    <cellStyle name="Note 3 2 4 44 7" xfId="52801"/>
    <cellStyle name="Note 3 2 4 45" xfId="5072"/>
    <cellStyle name="Note 3 2 4 45 2" xfId="12789"/>
    <cellStyle name="Note 3 2 4 45 3" xfId="21782"/>
    <cellStyle name="Note 3 2 4 45 4" xfId="29969"/>
    <cellStyle name="Note 3 2 4 45 5" xfId="36082"/>
    <cellStyle name="Note 3 2 4 45 6" xfId="43634"/>
    <cellStyle name="Note 3 2 4 45 7" xfId="53813"/>
    <cellStyle name="Note 3 2 4 46" xfId="6241"/>
    <cellStyle name="Note 3 2 4 46 2" xfId="13958"/>
    <cellStyle name="Note 3 2 4 46 3" xfId="22951"/>
    <cellStyle name="Note 3 2 4 46 4" xfId="31138"/>
    <cellStyle name="Note 3 2 4 46 5" xfId="35579"/>
    <cellStyle name="Note 3 2 4 46 6" xfId="44803"/>
    <cellStyle name="Note 3 2 4 46 7" xfId="51094"/>
    <cellStyle name="Note 3 2 4 47" xfId="6358"/>
    <cellStyle name="Note 3 2 4 47 2" xfId="14075"/>
    <cellStyle name="Note 3 2 4 47 3" xfId="23068"/>
    <cellStyle name="Note 3 2 4 47 4" xfId="31255"/>
    <cellStyle name="Note 3 2 4 47 5" xfId="27963"/>
    <cellStyle name="Note 3 2 4 47 6" xfId="44920"/>
    <cellStyle name="Note 3 2 4 47 7" xfId="54032"/>
    <cellStyle name="Note 3 2 4 48" xfId="6468"/>
    <cellStyle name="Note 3 2 4 48 2" xfId="14185"/>
    <cellStyle name="Note 3 2 4 48 3" xfId="23178"/>
    <cellStyle name="Note 3 2 4 48 4" xfId="31365"/>
    <cellStyle name="Note 3 2 4 48 5" xfId="27246"/>
    <cellStyle name="Note 3 2 4 48 6" xfId="45030"/>
    <cellStyle name="Note 3 2 4 48 7" xfId="49122"/>
    <cellStyle name="Note 3 2 4 49" xfId="5252"/>
    <cellStyle name="Note 3 2 4 49 2" xfId="12969"/>
    <cellStyle name="Note 3 2 4 49 3" xfId="21962"/>
    <cellStyle name="Note 3 2 4 49 4" xfId="30149"/>
    <cellStyle name="Note 3 2 4 49 5" xfId="35593"/>
    <cellStyle name="Note 3 2 4 49 6" xfId="43814"/>
    <cellStyle name="Note 3 2 4 49 7" xfId="51474"/>
    <cellStyle name="Note 3 2 4 5" xfId="1357"/>
    <cellStyle name="Note 3 2 4 5 2" xfId="9180"/>
    <cellStyle name="Note 3 2 4 5 3" xfId="16608"/>
    <cellStyle name="Note 3 2 4 5 4" xfId="26690"/>
    <cellStyle name="Note 3 2 4 5 5" xfId="35542"/>
    <cellStyle name="Note 3 2 4 5 6" xfId="40878"/>
    <cellStyle name="Note 3 2 4 5 7" xfId="54475"/>
    <cellStyle name="Note 3 2 4 50" xfId="6615"/>
    <cellStyle name="Note 3 2 4 50 2" xfId="14332"/>
    <cellStyle name="Note 3 2 4 50 3" xfId="23325"/>
    <cellStyle name="Note 3 2 4 50 4" xfId="31512"/>
    <cellStyle name="Note 3 2 4 50 5" xfId="28197"/>
    <cellStyle name="Note 3 2 4 50 6" xfId="45177"/>
    <cellStyle name="Note 3 2 4 50 7" xfId="48122"/>
    <cellStyle name="Note 3 2 4 51" xfId="6726"/>
    <cellStyle name="Note 3 2 4 51 2" xfId="14443"/>
    <cellStyle name="Note 3 2 4 51 3" xfId="23436"/>
    <cellStyle name="Note 3 2 4 51 4" xfId="31623"/>
    <cellStyle name="Note 3 2 4 51 5" xfId="35884"/>
    <cellStyle name="Note 3 2 4 51 6" xfId="45288"/>
    <cellStyle name="Note 3 2 4 51 7" xfId="52269"/>
    <cellStyle name="Note 3 2 4 52" xfId="6841"/>
    <cellStyle name="Note 3 2 4 52 2" xfId="14558"/>
    <cellStyle name="Note 3 2 4 52 3" xfId="23551"/>
    <cellStyle name="Note 3 2 4 52 4" xfId="31738"/>
    <cellStyle name="Note 3 2 4 52 5" xfId="27017"/>
    <cellStyle name="Note 3 2 4 52 6" xfId="45403"/>
    <cellStyle name="Note 3 2 4 52 7" xfId="47905"/>
    <cellStyle name="Note 3 2 4 53" xfId="6954"/>
    <cellStyle name="Note 3 2 4 53 2" xfId="14671"/>
    <cellStyle name="Note 3 2 4 53 3" xfId="23664"/>
    <cellStyle name="Note 3 2 4 53 4" xfId="31851"/>
    <cellStyle name="Note 3 2 4 53 5" xfId="34899"/>
    <cellStyle name="Note 3 2 4 53 6" xfId="45516"/>
    <cellStyle name="Note 3 2 4 53 7" xfId="46812"/>
    <cellStyle name="Note 3 2 4 54" xfId="7066"/>
    <cellStyle name="Note 3 2 4 54 2" xfId="14783"/>
    <cellStyle name="Note 3 2 4 54 3" xfId="23776"/>
    <cellStyle name="Note 3 2 4 54 4" xfId="31963"/>
    <cellStyle name="Note 3 2 4 54 5" xfId="34052"/>
    <cellStyle name="Note 3 2 4 54 6" xfId="45628"/>
    <cellStyle name="Note 3 2 4 54 7" xfId="52802"/>
    <cellStyle name="Note 3 2 4 55" xfId="7348"/>
    <cellStyle name="Note 3 2 4 55 2" xfId="15065"/>
    <cellStyle name="Note 3 2 4 55 3" xfId="24058"/>
    <cellStyle name="Note 3 2 4 55 4" xfId="32245"/>
    <cellStyle name="Note 3 2 4 55 5" xfId="26837"/>
    <cellStyle name="Note 3 2 4 55 6" xfId="45910"/>
    <cellStyle name="Note 3 2 4 55 7" xfId="51463"/>
    <cellStyle name="Note 3 2 4 56" xfId="7340"/>
    <cellStyle name="Note 3 2 4 56 2" xfId="15057"/>
    <cellStyle name="Note 3 2 4 56 3" xfId="24050"/>
    <cellStyle name="Note 3 2 4 56 4" xfId="32237"/>
    <cellStyle name="Note 3 2 4 56 5" xfId="35645"/>
    <cellStyle name="Note 3 2 4 56 6" xfId="45902"/>
    <cellStyle name="Note 3 2 4 56 7" xfId="52491"/>
    <cellStyle name="Note 3 2 4 57" xfId="7463"/>
    <cellStyle name="Note 3 2 4 57 2" xfId="15180"/>
    <cellStyle name="Note 3 2 4 57 3" xfId="24173"/>
    <cellStyle name="Note 3 2 4 57 4" xfId="32360"/>
    <cellStyle name="Note 3 2 4 57 5" xfId="27249"/>
    <cellStyle name="Note 3 2 4 57 6" xfId="46025"/>
    <cellStyle name="Note 3 2 4 57 7" xfId="54349"/>
    <cellStyle name="Note 3 2 4 58" xfId="7584"/>
    <cellStyle name="Note 3 2 4 58 2" xfId="15301"/>
    <cellStyle name="Note 3 2 4 58 3" xfId="24294"/>
    <cellStyle name="Note 3 2 4 58 4" xfId="32481"/>
    <cellStyle name="Note 3 2 4 58 5" xfId="33347"/>
    <cellStyle name="Note 3 2 4 58 6" xfId="46146"/>
    <cellStyle name="Note 3 2 4 58 7" xfId="48749"/>
    <cellStyle name="Note 3 2 4 59" xfId="7860"/>
    <cellStyle name="Note 3 2 4 59 2" xfId="15577"/>
    <cellStyle name="Note 3 2 4 59 3" xfId="24564"/>
    <cellStyle name="Note 3 2 4 59 4" xfId="32757"/>
    <cellStyle name="Note 3 2 4 59 5" xfId="27180"/>
    <cellStyle name="Note 3 2 4 59 6" xfId="46422"/>
    <cellStyle name="Note 3 2 4 59 7" xfId="49943"/>
    <cellStyle name="Note 3 2 4 6" xfId="1480"/>
    <cellStyle name="Note 3 2 4 6 2" xfId="9303"/>
    <cellStyle name="Note 3 2 4 6 3" xfId="16731"/>
    <cellStyle name="Note 3 2 4 6 4" xfId="26675"/>
    <cellStyle name="Note 3 2 4 6 5" xfId="35522"/>
    <cellStyle name="Note 3 2 4 6 6" xfId="39579"/>
    <cellStyle name="Note 3 2 4 6 7" xfId="54444"/>
    <cellStyle name="Note 3 2 4 60" xfId="7772"/>
    <cellStyle name="Note 3 2 4 60 2" xfId="15489"/>
    <cellStyle name="Note 3 2 4 60 3" xfId="24478"/>
    <cellStyle name="Note 3 2 4 60 4" xfId="32669"/>
    <cellStyle name="Note 3 2 4 60 5" xfId="27173"/>
    <cellStyle name="Note 3 2 4 60 6" xfId="46334"/>
    <cellStyle name="Note 3 2 4 60 7" xfId="47487"/>
    <cellStyle name="Note 3 2 4 61" xfId="8006"/>
    <cellStyle name="Note 3 2 4 61 2" xfId="15723"/>
    <cellStyle name="Note 3 2 4 61 3" xfId="24708"/>
    <cellStyle name="Note 3 2 4 61 4" xfId="32903"/>
    <cellStyle name="Note 3 2 4 61 5" xfId="35168"/>
    <cellStyle name="Note 3 2 4 61 6" xfId="46568"/>
    <cellStyle name="Note 3 2 4 61 7" xfId="49240"/>
    <cellStyle name="Note 3 2 4 62" xfId="7748"/>
    <cellStyle name="Note 3 2 4 62 2" xfId="15465"/>
    <cellStyle name="Note 3 2 4 62 3" xfId="24456"/>
    <cellStyle name="Note 3 2 4 62 4" xfId="32645"/>
    <cellStyle name="Note 3 2 4 62 5" xfId="36102"/>
    <cellStyle name="Note 3 2 4 62 6" xfId="46310"/>
    <cellStyle name="Note 3 2 4 62 7" xfId="53319"/>
    <cellStyle name="Note 3 2 4 63" xfId="8136"/>
    <cellStyle name="Note 3 2 4 63 2" xfId="15853"/>
    <cellStyle name="Note 3 2 4 63 3" xfId="33033"/>
    <cellStyle name="Note 3 2 4 63 4" xfId="34198"/>
    <cellStyle name="Note 3 2 4 63 5" xfId="46698"/>
    <cellStyle name="Note 3 2 4 63 6" xfId="50387"/>
    <cellStyle name="Note 3 2 4 64" xfId="19927"/>
    <cellStyle name="Note 3 2 4 65" xfId="28843"/>
    <cellStyle name="Note 3 2 4 66" xfId="36905"/>
    <cellStyle name="Note 3 2 4 67" xfId="49509"/>
    <cellStyle name="Note 3 2 4 7" xfId="1170"/>
    <cellStyle name="Note 3 2 4 7 2" xfId="8993"/>
    <cellStyle name="Note 3 2 4 7 3" xfId="16421"/>
    <cellStyle name="Note 3 2 4 7 4" xfId="19645"/>
    <cellStyle name="Note 3 2 4 7 5" xfId="27964"/>
    <cellStyle name="Note 3 2 4 7 6" xfId="37838"/>
    <cellStyle name="Note 3 2 4 7 7" xfId="48940"/>
    <cellStyle name="Note 3 2 4 8" xfId="1717"/>
    <cellStyle name="Note 3 2 4 8 2" xfId="9540"/>
    <cellStyle name="Note 3 2 4 8 3" xfId="16968"/>
    <cellStyle name="Note 3 2 4 8 4" xfId="25866"/>
    <cellStyle name="Note 3 2 4 8 5" xfId="34454"/>
    <cellStyle name="Note 3 2 4 8 6" xfId="36266"/>
    <cellStyle name="Note 3 2 4 8 7" xfId="52705"/>
    <cellStyle name="Note 3 2 4 9" xfId="1851"/>
    <cellStyle name="Note 3 2 4 9 2" xfId="9674"/>
    <cellStyle name="Note 3 2 4 9 3" xfId="17102"/>
    <cellStyle name="Note 3 2 4 9 4" xfId="19765"/>
    <cellStyle name="Note 3 2 4 9 5" xfId="28399"/>
    <cellStyle name="Note 3 2 4 9 6" xfId="42087"/>
    <cellStyle name="Note 3 2 4 9 7" xfId="48065"/>
    <cellStyle name="Note 3 2 5" xfId="488"/>
    <cellStyle name="Note 3 2 5 10" xfId="1935"/>
    <cellStyle name="Note 3 2 5 10 2" xfId="9758"/>
    <cellStyle name="Note 3 2 5 10 3" xfId="17186"/>
    <cellStyle name="Note 3 2 5 10 4" xfId="26116"/>
    <cellStyle name="Note 3 2 5 10 5" xfId="34773"/>
    <cellStyle name="Note 3 2 5 10 6" xfId="41950"/>
    <cellStyle name="Note 3 2 5 10 7" xfId="53238"/>
    <cellStyle name="Note 3 2 5 11" xfId="2053"/>
    <cellStyle name="Note 3 2 5 11 2" xfId="9876"/>
    <cellStyle name="Note 3 2 5 11 3" xfId="17304"/>
    <cellStyle name="Note 3 2 5 11 4" xfId="26231"/>
    <cellStyle name="Note 3 2 5 11 5" xfId="34918"/>
    <cellStyle name="Note 3 2 5 11 6" xfId="36445"/>
    <cellStyle name="Note 3 2 5 11 7" xfId="53483"/>
    <cellStyle name="Note 3 2 5 12" xfId="2166"/>
    <cellStyle name="Note 3 2 5 12 2" xfId="9989"/>
    <cellStyle name="Note 3 2 5 12 3" xfId="17417"/>
    <cellStyle name="Note 3 2 5 12 4" xfId="25926"/>
    <cellStyle name="Note 3 2 5 12 5" xfId="34528"/>
    <cellStyle name="Note 3 2 5 12 6" xfId="36760"/>
    <cellStyle name="Note 3 2 5 12 7" xfId="52837"/>
    <cellStyle name="Note 3 2 5 13" xfId="2234"/>
    <cellStyle name="Note 3 2 5 13 2" xfId="10057"/>
    <cellStyle name="Note 3 2 5 13 3" xfId="17485"/>
    <cellStyle name="Note 3 2 5 13 4" xfId="19891"/>
    <cellStyle name="Note 3 2 5 13 5" xfId="27699"/>
    <cellStyle name="Note 3 2 5 13 6" xfId="41236"/>
    <cellStyle name="Note 3 2 5 13 7" xfId="48333"/>
    <cellStyle name="Note 3 2 5 14" xfId="1644"/>
    <cellStyle name="Note 3 2 5 14 2" xfId="9467"/>
    <cellStyle name="Note 3 2 5 14 3" xfId="16895"/>
    <cellStyle name="Note 3 2 5 14 4" xfId="25485"/>
    <cellStyle name="Note 3 2 5 14 5" xfId="33959"/>
    <cellStyle name="Note 3 2 5 14 6" xfId="41405"/>
    <cellStyle name="Note 3 2 5 14 7" xfId="51842"/>
    <cellStyle name="Note 3 2 5 15" xfId="2464"/>
    <cellStyle name="Note 3 2 5 15 2" xfId="10287"/>
    <cellStyle name="Note 3 2 5 15 3" xfId="17715"/>
    <cellStyle name="Note 3 2 5 15 4" xfId="19800"/>
    <cellStyle name="Note 3 2 5 15 5" xfId="28005"/>
    <cellStyle name="Note 3 2 5 15 6" xfId="39556"/>
    <cellStyle name="Note 3 2 5 15 7" xfId="48408"/>
    <cellStyle name="Note 3 2 5 16" xfId="2577"/>
    <cellStyle name="Note 3 2 5 16 2" xfId="10400"/>
    <cellStyle name="Note 3 2 5 16 3" xfId="17828"/>
    <cellStyle name="Note 3 2 5 16 4" xfId="25613"/>
    <cellStyle name="Note 3 2 5 16 5" xfId="34125"/>
    <cellStyle name="Note 3 2 5 16 6" xfId="36438"/>
    <cellStyle name="Note 3 2 5 16 7" xfId="52117"/>
    <cellStyle name="Note 3 2 5 17" xfId="2568"/>
    <cellStyle name="Note 3 2 5 17 2" xfId="10391"/>
    <cellStyle name="Note 3 2 5 17 3" xfId="17819"/>
    <cellStyle name="Note 3 2 5 17 4" xfId="25879"/>
    <cellStyle name="Note 3 2 5 17 5" xfId="34469"/>
    <cellStyle name="Note 3 2 5 17 6" xfId="38144"/>
    <cellStyle name="Note 3 2 5 17 7" xfId="52739"/>
    <cellStyle name="Note 3 2 5 18" xfId="1249"/>
    <cellStyle name="Note 3 2 5 18 2" xfId="9072"/>
    <cellStyle name="Note 3 2 5 18 3" xfId="16500"/>
    <cellStyle name="Note 3 2 5 18 4" xfId="20019"/>
    <cellStyle name="Note 3 2 5 18 5" xfId="27559"/>
    <cellStyle name="Note 3 2 5 18 6" xfId="36357"/>
    <cellStyle name="Note 3 2 5 18 7" xfId="48986"/>
    <cellStyle name="Note 3 2 5 19" xfId="2771"/>
    <cellStyle name="Note 3 2 5 19 2" xfId="10594"/>
    <cellStyle name="Note 3 2 5 19 3" xfId="18022"/>
    <cellStyle name="Note 3 2 5 19 4" xfId="26465"/>
    <cellStyle name="Note 3 2 5 19 5" xfId="35244"/>
    <cellStyle name="Note 3 2 5 19 6" xfId="40101"/>
    <cellStyle name="Note 3 2 5 19 7" xfId="53995"/>
    <cellStyle name="Note 3 2 5 2" xfId="639"/>
    <cellStyle name="Note 3 2 5 2 2" xfId="8463"/>
    <cellStyle name="Note 3 2 5 2 3" xfId="8295"/>
    <cellStyle name="Note 3 2 5 2 4" xfId="26377"/>
    <cellStyle name="Note 3 2 5 2 5" xfId="35121"/>
    <cellStyle name="Note 3 2 5 2 6" xfId="36496"/>
    <cellStyle name="Note 3 2 5 2 7" xfId="53805"/>
    <cellStyle name="Note 3 2 5 20" xfId="2878"/>
    <cellStyle name="Note 3 2 5 20 2" xfId="10701"/>
    <cellStyle name="Note 3 2 5 20 3" xfId="18129"/>
    <cellStyle name="Note 3 2 5 20 4" xfId="20197"/>
    <cellStyle name="Note 3 2 5 20 5" xfId="26792"/>
    <cellStyle name="Note 3 2 5 20 6" xfId="37164"/>
    <cellStyle name="Note 3 2 5 20 7" xfId="50339"/>
    <cellStyle name="Note 3 2 5 21" xfId="3254"/>
    <cellStyle name="Note 3 2 5 21 2" xfId="11047"/>
    <cellStyle name="Note 3 2 5 21 3" xfId="18376"/>
    <cellStyle name="Note 3 2 5 21 4" xfId="19654"/>
    <cellStyle name="Note 3 2 5 21 5" xfId="28220"/>
    <cellStyle name="Note 3 2 5 21 6" xfId="37363"/>
    <cellStyle name="Note 3 2 5 21 7" xfId="50300"/>
    <cellStyle name="Note 3 2 5 22" xfId="3374"/>
    <cellStyle name="Note 3 2 5 22 2" xfId="11165"/>
    <cellStyle name="Note 3 2 5 22 3" xfId="18487"/>
    <cellStyle name="Note 3 2 5 22 4" xfId="25935"/>
    <cellStyle name="Note 3 2 5 22 5" xfId="34540"/>
    <cellStyle name="Note 3 2 5 22 6" xfId="39757"/>
    <cellStyle name="Note 3 2 5 22 7" xfId="52861"/>
    <cellStyle name="Note 3 2 5 23" xfId="3508"/>
    <cellStyle name="Note 3 2 5 23 2" xfId="11299"/>
    <cellStyle name="Note 3 2 5 23 3" xfId="18597"/>
    <cellStyle name="Note 3 2 5 23 4" xfId="26585"/>
    <cellStyle name="Note 3 2 5 23 5" xfId="35405"/>
    <cellStyle name="Note 3 2 5 23 6" xfId="42304"/>
    <cellStyle name="Note 3 2 5 23 7" xfId="54246"/>
    <cellStyle name="Note 3 2 5 24" xfId="3174"/>
    <cellStyle name="Note 3 2 5 24 2" xfId="10975"/>
    <cellStyle name="Note 3 2 5 24 3" xfId="18338"/>
    <cellStyle name="Note 3 2 5 24 4" xfId="25610"/>
    <cellStyle name="Note 3 2 5 24 5" xfId="34122"/>
    <cellStyle name="Note 3 2 5 24 6" xfId="37850"/>
    <cellStyle name="Note 3 2 5 24 7" xfId="52114"/>
    <cellStyle name="Note 3 2 5 25" xfId="3644"/>
    <cellStyle name="Note 3 2 5 25 2" xfId="11429"/>
    <cellStyle name="Note 3 2 5 25 3" xfId="18702"/>
    <cellStyle name="Note 3 2 5 25 4" xfId="20520"/>
    <cellStyle name="Note 3 2 5 25 5" xfId="27970"/>
    <cellStyle name="Note 3 2 5 25 6" xfId="36827"/>
    <cellStyle name="Note 3 2 5 25 7" xfId="47957"/>
    <cellStyle name="Note 3 2 5 26" xfId="3775"/>
    <cellStyle name="Note 3 2 5 26 2" xfId="11557"/>
    <cellStyle name="Note 3 2 5 26 3" xfId="18814"/>
    <cellStyle name="Note 3 2 5 26 4" xfId="24932"/>
    <cellStyle name="Note 3 2 5 26 5" xfId="33265"/>
    <cellStyle name="Note 3 2 5 26 6" xfId="37512"/>
    <cellStyle name="Note 3 2 5 26 7" xfId="50642"/>
    <cellStyle name="Note 3 2 5 27" xfId="3892"/>
    <cellStyle name="Note 3 2 5 27 2" xfId="11672"/>
    <cellStyle name="Note 3 2 5 27 3" xfId="18923"/>
    <cellStyle name="Note 3 2 5 27 4" xfId="25702"/>
    <cellStyle name="Note 3 2 5 27 5" xfId="34242"/>
    <cellStyle name="Note 3 2 5 27 6" xfId="40270"/>
    <cellStyle name="Note 3 2 5 27 7" xfId="52312"/>
    <cellStyle name="Note 3 2 5 28" xfId="3532"/>
    <cellStyle name="Note 3 2 5 28 2" xfId="11322"/>
    <cellStyle name="Note 3 2 5 28 3" xfId="20503"/>
    <cellStyle name="Note 3 2 5 28 4" xfId="28628"/>
    <cellStyle name="Note 3 2 5 28 5" xfId="35613"/>
    <cellStyle name="Note 3 2 5 28 6" xfId="42500"/>
    <cellStyle name="Note 3 2 5 28 7" xfId="51561"/>
    <cellStyle name="Note 3 2 5 29" xfId="4089"/>
    <cellStyle name="Note 3 2 5 29 2" xfId="11849"/>
    <cellStyle name="Note 3 2 5 29 3" xfId="20799"/>
    <cellStyle name="Note 3 2 5 29 4" xfId="28986"/>
    <cellStyle name="Note 3 2 5 29 5" xfId="35668"/>
    <cellStyle name="Note 3 2 5 29 6" xfId="42651"/>
    <cellStyle name="Note 3 2 5 29 7" xfId="51766"/>
    <cellStyle name="Note 3 2 5 3" xfId="746"/>
    <cellStyle name="Note 3 2 5 3 2" xfId="8570"/>
    <cellStyle name="Note 3 2 5 3 3" xfId="15998"/>
    <cellStyle name="Note 3 2 5 3 4" xfId="19455"/>
    <cellStyle name="Note 3 2 5 3 5" xfId="27852"/>
    <cellStyle name="Note 3 2 5 3 6" xfId="36488"/>
    <cellStyle name="Note 3 2 5 3 7" xfId="48814"/>
    <cellStyle name="Note 3 2 5 30" xfId="4214"/>
    <cellStyle name="Note 3 2 5 30 2" xfId="20924"/>
    <cellStyle name="Note 3 2 5 30 3" xfId="29111"/>
    <cellStyle name="Note 3 2 5 30 4" xfId="34015"/>
    <cellStyle name="Note 3 2 5 30 5" xfId="42776"/>
    <cellStyle name="Note 3 2 5 30 6" xfId="50413"/>
    <cellStyle name="Note 3 2 5 31" xfId="4286"/>
    <cellStyle name="Note 3 2 5 31 2" xfId="12003"/>
    <cellStyle name="Note 3 2 5 31 3" xfId="20996"/>
    <cellStyle name="Note 3 2 5 31 4" xfId="29183"/>
    <cellStyle name="Note 3 2 5 31 5" xfId="27023"/>
    <cellStyle name="Note 3 2 5 31 6" xfId="42848"/>
    <cellStyle name="Note 3 2 5 31 7" xfId="50513"/>
    <cellStyle name="Note 3 2 5 32" xfId="4409"/>
    <cellStyle name="Note 3 2 5 32 2" xfId="12126"/>
    <cellStyle name="Note 3 2 5 32 3" xfId="21119"/>
    <cellStyle name="Note 3 2 5 32 4" xfId="29306"/>
    <cellStyle name="Note 3 2 5 32 5" xfId="36137"/>
    <cellStyle name="Note 3 2 5 32 6" xfId="42971"/>
    <cellStyle name="Note 3 2 5 32 7" xfId="54049"/>
    <cellStyle name="Note 3 2 5 33" xfId="4523"/>
    <cellStyle name="Note 3 2 5 33 2" xfId="12240"/>
    <cellStyle name="Note 3 2 5 33 3" xfId="21233"/>
    <cellStyle name="Note 3 2 5 33 4" xfId="29420"/>
    <cellStyle name="Note 3 2 5 33 5" xfId="27921"/>
    <cellStyle name="Note 3 2 5 33 6" xfId="43085"/>
    <cellStyle name="Note 3 2 5 33 7" xfId="49230"/>
    <cellStyle name="Note 3 2 5 34" xfId="4636"/>
    <cellStyle name="Note 3 2 5 34 2" xfId="12353"/>
    <cellStyle name="Note 3 2 5 34 3" xfId="21346"/>
    <cellStyle name="Note 3 2 5 34 4" xfId="29533"/>
    <cellStyle name="Note 3 2 5 34 5" xfId="36002"/>
    <cellStyle name="Note 3 2 5 34 6" xfId="43198"/>
    <cellStyle name="Note 3 2 5 34 7" xfId="53416"/>
    <cellStyle name="Note 3 2 5 35" xfId="4748"/>
    <cellStyle name="Note 3 2 5 35 2" xfId="12465"/>
    <cellStyle name="Note 3 2 5 35 3" xfId="21458"/>
    <cellStyle name="Note 3 2 5 35 4" xfId="29645"/>
    <cellStyle name="Note 3 2 5 35 5" xfId="34261"/>
    <cellStyle name="Note 3 2 5 35 6" xfId="43310"/>
    <cellStyle name="Note 3 2 5 35 7" xfId="49454"/>
    <cellStyle name="Note 3 2 5 36" xfId="4856"/>
    <cellStyle name="Note 3 2 5 36 2" xfId="12573"/>
    <cellStyle name="Note 3 2 5 36 3" xfId="21566"/>
    <cellStyle name="Note 3 2 5 36 4" xfId="29753"/>
    <cellStyle name="Note 3 2 5 36 5" xfId="35985"/>
    <cellStyle name="Note 3 2 5 36 6" xfId="43418"/>
    <cellStyle name="Note 3 2 5 36 7" xfId="53352"/>
    <cellStyle name="Note 3 2 5 37" xfId="4968"/>
    <cellStyle name="Note 3 2 5 37 2" xfId="12685"/>
    <cellStyle name="Note 3 2 5 37 3" xfId="21678"/>
    <cellStyle name="Note 3 2 5 37 4" xfId="29865"/>
    <cellStyle name="Note 3 2 5 37 5" xfId="28869"/>
    <cellStyle name="Note 3 2 5 37 6" xfId="43530"/>
    <cellStyle name="Note 3 2 5 37 7" xfId="50916"/>
    <cellStyle name="Note 3 2 5 38" xfId="5145"/>
    <cellStyle name="Note 3 2 5 38 2" xfId="12862"/>
    <cellStyle name="Note 3 2 5 38 3" xfId="21855"/>
    <cellStyle name="Note 3 2 5 38 4" xfId="30042"/>
    <cellStyle name="Note 3 2 5 38 5" xfId="36046"/>
    <cellStyle name="Note 3 2 5 38 6" xfId="43707"/>
    <cellStyle name="Note 3 2 5 38 7" xfId="53646"/>
    <cellStyle name="Note 3 2 5 39" xfId="5466"/>
    <cellStyle name="Note 3 2 5 39 2" xfId="13183"/>
    <cellStyle name="Note 3 2 5 39 3" xfId="22176"/>
    <cellStyle name="Note 3 2 5 39 4" xfId="30363"/>
    <cellStyle name="Note 3 2 5 39 5" xfId="35745"/>
    <cellStyle name="Note 3 2 5 39 6" xfId="44028"/>
    <cellStyle name="Note 3 2 5 39 7" xfId="52216"/>
    <cellStyle name="Note 3 2 5 4" xfId="858"/>
    <cellStyle name="Note 3 2 5 4 2" xfId="8682"/>
    <cellStyle name="Note 3 2 5 4 3" xfId="16110"/>
    <cellStyle name="Note 3 2 5 4 4" xfId="20162"/>
    <cellStyle name="Note 3 2 5 4 5" xfId="27481"/>
    <cellStyle name="Note 3 2 5 4 6" xfId="36472"/>
    <cellStyle name="Note 3 2 5 4 7" xfId="49998"/>
    <cellStyle name="Note 3 2 5 40" xfId="5591"/>
    <cellStyle name="Note 3 2 5 40 2" xfId="13308"/>
    <cellStyle name="Note 3 2 5 40 3" xfId="22301"/>
    <cellStyle name="Note 3 2 5 40 4" xfId="30488"/>
    <cellStyle name="Note 3 2 5 40 5" xfId="33424"/>
    <cellStyle name="Note 3 2 5 40 6" xfId="44153"/>
    <cellStyle name="Note 3 2 5 40 7" xfId="46838"/>
    <cellStyle name="Note 3 2 5 41" xfId="5706"/>
    <cellStyle name="Note 3 2 5 41 2" xfId="13423"/>
    <cellStyle name="Note 3 2 5 41 3" xfId="22416"/>
    <cellStyle name="Note 3 2 5 41 4" xfId="30603"/>
    <cellStyle name="Note 3 2 5 41 5" xfId="34592"/>
    <cellStyle name="Note 3 2 5 41 6" xfId="44268"/>
    <cellStyle name="Note 3 2 5 41 7" xfId="46926"/>
    <cellStyle name="Note 3 2 5 42" xfId="5823"/>
    <cellStyle name="Note 3 2 5 42 2" xfId="13540"/>
    <cellStyle name="Note 3 2 5 42 3" xfId="22533"/>
    <cellStyle name="Note 3 2 5 42 4" xfId="30720"/>
    <cellStyle name="Note 3 2 5 42 5" xfId="34184"/>
    <cellStyle name="Note 3 2 5 42 6" xfId="44385"/>
    <cellStyle name="Note 3 2 5 42 7" xfId="47555"/>
    <cellStyle name="Note 3 2 5 43" xfId="5951"/>
    <cellStyle name="Note 3 2 5 43 2" xfId="13668"/>
    <cellStyle name="Note 3 2 5 43 3" xfId="22661"/>
    <cellStyle name="Note 3 2 5 43 4" xfId="30848"/>
    <cellStyle name="Note 3 2 5 43 5" xfId="35862"/>
    <cellStyle name="Note 3 2 5 43 6" xfId="44513"/>
    <cellStyle name="Note 3 2 5 43 7" xfId="52363"/>
    <cellStyle name="Note 3 2 5 44" xfId="6064"/>
    <cellStyle name="Note 3 2 5 44 2" xfId="13781"/>
    <cellStyle name="Note 3 2 5 44 3" xfId="22774"/>
    <cellStyle name="Note 3 2 5 44 4" xfId="30961"/>
    <cellStyle name="Note 3 2 5 44 5" xfId="35644"/>
    <cellStyle name="Note 3 2 5 44 6" xfId="44626"/>
    <cellStyle name="Note 3 2 5 44 7" xfId="51736"/>
    <cellStyle name="Note 3 2 5 45" xfId="6075"/>
    <cellStyle name="Note 3 2 5 45 2" xfId="13792"/>
    <cellStyle name="Note 3 2 5 45 3" xfId="22785"/>
    <cellStyle name="Note 3 2 5 45 4" xfId="30972"/>
    <cellStyle name="Note 3 2 5 45 5" xfId="36132"/>
    <cellStyle name="Note 3 2 5 45 6" xfId="44637"/>
    <cellStyle name="Note 3 2 5 45 7" xfId="53948"/>
    <cellStyle name="Note 3 2 5 46" xfId="6207"/>
    <cellStyle name="Note 3 2 5 46 2" xfId="13924"/>
    <cellStyle name="Note 3 2 5 46 3" xfId="22917"/>
    <cellStyle name="Note 3 2 5 46 4" xfId="31104"/>
    <cellStyle name="Note 3 2 5 46 5" xfId="33315"/>
    <cellStyle name="Note 3 2 5 46 6" xfId="44769"/>
    <cellStyle name="Note 3 2 5 46 7" xfId="48529"/>
    <cellStyle name="Note 3 2 5 47" xfId="6324"/>
    <cellStyle name="Note 3 2 5 47 2" xfId="14041"/>
    <cellStyle name="Note 3 2 5 47 3" xfId="23034"/>
    <cellStyle name="Note 3 2 5 47 4" xfId="31221"/>
    <cellStyle name="Note 3 2 5 47 5" xfId="35713"/>
    <cellStyle name="Note 3 2 5 47 6" xfId="44886"/>
    <cellStyle name="Note 3 2 5 47 7" xfId="51460"/>
    <cellStyle name="Note 3 2 5 48" xfId="6434"/>
    <cellStyle name="Note 3 2 5 48 2" xfId="14151"/>
    <cellStyle name="Note 3 2 5 48 3" xfId="23144"/>
    <cellStyle name="Note 3 2 5 48 4" xfId="31331"/>
    <cellStyle name="Note 3 2 5 48 5" xfId="35939"/>
    <cellStyle name="Note 3 2 5 48 6" xfId="44996"/>
    <cellStyle name="Note 3 2 5 48 7" xfId="52874"/>
    <cellStyle name="Note 3 2 5 49" xfId="6501"/>
    <cellStyle name="Note 3 2 5 49 2" xfId="14218"/>
    <cellStyle name="Note 3 2 5 49 3" xfId="23211"/>
    <cellStyle name="Note 3 2 5 49 4" xfId="31398"/>
    <cellStyle name="Note 3 2 5 49 5" xfId="34791"/>
    <cellStyle name="Note 3 2 5 49 6" xfId="45063"/>
    <cellStyle name="Note 3 2 5 49 7" xfId="54151"/>
    <cellStyle name="Note 3 2 5 5" xfId="1323"/>
    <cellStyle name="Note 3 2 5 5 2" xfId="9146"/>
    <cellStyle name="Note 3 2 5 5 3" xfId="16574"/>
    <cellStyle name="Note 3 2 5 5 4" xfId="25524"/>
    <cellStyle name="Note 3 2 5 5 5" xfId="34006"/>
    <cellStyle name="Note 3 2 5 5 6" xfId="39598"/>
    <cellStyle name="Note 3 2 5 5 7" xfId="51926"/>
    <cellStyle name="Note 3 2 5 50" xfId="6581"/>
    <cellStyle name="Note 3 2 5 50 2" xfId="14298"/>
    <cellStyle name="Note 3 2 5 50 3" xfId="23291"/>
    <cellStyle name="Note 3 2 5 50 4" xfId="31478"/>
    <cellStyle name="Note 3 2 5 50 5" xfId="35968"/>
    <cellStyle name="Note 3 2 5 50 6" xfId="45143"/>
    <cellStyle name="Note 3 2 5 50 7" xfId="53052"/>
    <cellStyle name="Note 3 2 5 51" xfId="6692"/>
    <cellStyle name="Note 3 2 5 51 2" xfId="14409"/>
    <cellStyle name="Note 3 2 5 51 3" xfId="23402"/>
    <cellStyle name="Note 3 2 5 51 4" xfId="31589"/>
    <cellStyle name="Note 3 2 5 51 5" xfId="27538"/>
    <cellStyle name="Note 3 2 5 51 6" xfId="45254"/>
    <cellStyle name="Note 3 2 5 51 7" xfId="48689"/>
    <cellStyle name="Note 3 2 5 52" xfId="6807"/>
    <cellStyle name="Note 3 2 5 52 2" xfId="14524"/>
    <cellStyle name="Note 3 2 5 52 3" xfId="23517"/>
    <cellStyle name="Note 3 2 5 52 4" xfId="31704"/>
    <cellStyle name="Note 3 2 5 52 5" xfId="35603"/>
    <cellStyle name="Note 3 2 5 52 6" xfId="45369"/>
    <cellStyle name="Note 3 2 5 52 7" xfId="51203"/>
    <cellStyle name="Note 3 2 5 53" xfId="6920"/>
    <cellStyle name="Note 3 2 5 53 2" xfId="14637"/>
    <cellStyle name="Note 3 2 5 53 3" xfId="23630"/>
    <cellStyle name="Note 3 2 5 53 4" xfId="31817"/>
    <cellStyle name="Note 3 2 5 53 5" xfId="35170"/>
    <cellStyle name="Note 3 2 5 53 6" xfId="45482"/>
    <cellStyle name="Note 3 2 5 53 7" xfId="46817"/>
    <cellStyle name="Note 3 2 5 54" xfId="7032"/>
    <cellStyle name="Note 3 2 5 54 2" xfId="14749"/>
    <cellStyle name="Note 3 2 5 54 3" xfId="23742"/>
    <cellStyle name="Note 3 2 5 54 4" xfId="31929"/>
    <cellStyle name="Note 3 2 5 54 5" xfId="27216"/>
    <cellStyle name="Note 3 2 5 54 6" xfId="45594"/>
    <cellStyle name="Note 3 2 5 54 7" xfId="54543"/>
    <cellStyle name="Note 3 2 5 55" xfId="7326"/>
    <cellStyle name="Note 3 2 5 55 2" xfId="15043"/>
    <cellStyle name="Note 3 2 5 55 3" xfId="24036"/>
    <cellStyle name="Note 3 2 5 55 4" xfId="32223"/>
    <cellStyle name="Note 3 2 5 55 5" xfId="35240"/>
    <cellStyle name="Note 3 2 5 55 6" xfId="45888"/>
    <cellStyle name="Note 3 2 5 55 7" xfId="53873"/>
    <cellStyle name="Note 3 2 5 56" xfId="7266"/>
    <cellStyle name="Note 3 2 5 56 2" xfId="14983"/>
    <cellStyle name="Note 3 2 5 56 3" xfId="23976"/>
    <cellStyle name="Note 3 2 5 56 4" xfId="32163"/>
    <cellStyle name="Note 3 2 5 56 5" xfId="35974"/>
    <cellStyle name="Note 3 2 5 56 6" xfId="45828"/>
    <cellStyle name="Note 3 2 5 56 7" xfId="52951"/>
    <cellStyle name="Note 3 2 5 57" xfId="7429"/>
    <cellStyle name="Note 3 2 5 57 2" xfId="15146"/>
    <cellStyle name="Note 3 2 5 57 3" xfId="24139"/>
    <cellStyle name="Note 3 2 5 57 4" xfId="32326"/>
    <cellStyle name="Note 3 2 5 57 5" xfId="28160"/>
    <cellStyle name="Note 3 2 5 57 6" xfId="45991"/>
    <cellStyle name="Note 3 2 5 57 7" xfId="50398"/>
    <cellStyle name="Note 3 2 5 58" xfId="7550"/>
    <cellStyle name="Note 3 2 5 58 2" xfId="15267"/>
    <cellStyle name="Note 3 2 5 58 3" xfId="24260"/>
    <cellStyle name="Note 3 2 5 58 4" xfId="32447"/>
    <cellStyle name="Note 3 2 5 58 5" xfId="35905"/>
    <cellStyle name="Note 3 2 5 58 6" xfId="46112"/>
    <cellStyle name="Note 3 2 5 58 7" xfId="52437"/>
    <cellStyle name="Note 3 2 5 59" xfId="7826"/>
    <cellStyle name="Note 3 2 5 59 2" xfId="15543"/>
    <cellStyle name="Note 3 2 5 59 3" xfId="24530"/>
    <cellStyle name="Note 3 2 5 59 4" xfId="32723"/>
    <cellStyle name="Note 3 2 5 59 5" xfId="36170"/>
    <cellStyle name="Note 3 2 5 59 6" xfId="46388"/>
    <cellStyle name="Note 3 2 5 59 7" xfId="53497"/>
    <cellStyle name="Note 3 2 5 6" xfId="1446"/>
    <cellStyle name="Note 3 2 5 6 2" xfId="9269"/>
    <cellStyle name="Note 3 2 5 6 3" xfId="16697"/>
    <cellStyle name="Note 3 2 5 6 4" xfId="25260"/>
    <cellStyle name="Note 3 2 5 6 5" xfId="33666"/>
    <cellStyle name="Note 3 2 5 6 6" xfId="39224"/>
    <cellStyle name="Note 3 2 5 6 7" xfId="51340"/>
    <cellStyle name="Note 3 2 5 60" xfId="7706"/>
    <cellStyle name="Note 3 2 5 60 2" xfId="15423"/>
    <cellStyle name="Note 3 2 5 60 3" xfId="24414"/>
    <cellStyle name="Note 3 2 5 60 4" xfId="32603"/>
    <cellStyle name="Note 3 2 5 60 5" xfId="35711"/>
    <cellStyle name="Note 3 2 5 60 6" xfId="46268"/>
    <cellStyle name="Note 3 2 5 60 7" xfId="51240"/>
    <cellStyle name="Note 3 2 5 61" xfId="7791"/>
    <cellStyle name="Note 3 2 5 61 2" xfId="15508"/>
    <cellStyle name="Note 3 2 5 61 3" xfId="24496"/>
    <cellStyle name="Note 3 2 5 61 4" xfId="32688"/>
    <cellStyle name="Note 3 2 5 61 5" xfId="35572"/>
    <cellStyle name="Note 3 2 5 61 6" xfId="46353"/>
    <cellStyle name="Note 3 2 5 61 7" xfId="48827"/>
    <cellStyle name="Note 3 2 5 62" xfId="7666"/>
    <cellStyle name="Note 3 2 5 62 2" xfId="15383"/>
    <cellStyle name="Note 3 2 5 62 3" xfId="24375"/>
    <cellStyle name="Note 3 2 5 62 4" xfId="32563"/>
    <cellStyle name="Note 3 2 5 62 5" xfId="28770"/>
    <cellStyle name="Note 3 2 5 62 6" xfId="46228"/>
    <cellStyle name="Note 3 2 5 62 7" xfId="49139"/>
    <cellStyle name="Note 3 2 5 63" xfId="8102"/>
    <cellStyle name="Note 3 2 5 63 2" xfId="15819"/>
    <cellStyle name="Note 3 2 5 63 3" xfId="32999"/>
    <cellStyle name="Note 3 2 5 63 4" xfId="36212"/>
    <cellStyle name="Note 3 2 5 63 5" xfId="46664"/>
    <cellStyle name="Note 3 2 5 63 6" xfId="53936"/>
    <cellStyle name="Note 3 2 5 64" xfId="26153"/>
    <cellStyle name="Note 3 2 5 65" xfId="34822"/>
    <cellStyle name="Note 3 2 5 66" xfId="37701"/>
    <cellStyle name="Note 3 2 5 67" xfId="53325"/>
    <cellStyle name="Note 3 2 5 7" xfId="992"/>
    <cellStyle name="Note 3 2 5 7 2" xfId="8816"/>
    <cellStyle name="Note 3 2 5 7 3" xfId="16244"/>
    <cellStyle name="Note 3 2 5 7 4" xfId="25324"/>
    <cellStyle name="Note 3 2 5 7 5" xfId="33752"/>
    <cellStyle name="Note 3 2 5 7 6" xfId="38269"/>
    <cellStyle name="Note 3 2 5 7 7" xfId="51482"/>
    <cellStyle name="Note 3 2 5 8" xfId="1683"/>
    <cellStyle name="Note 3 2 5 8 2" xfId="9506"/>
    <cellStyle name="Note 3 2 5 8 3" xfId="16934"/>
    <cellStyle name="Note 3 2 5 8 4" xfId="20097"/>
    <cellStyle name="Note 3 2 5 8 5" xfId="27785"/>
    <cellStyle name="Note 3 2 5 8 6" xfId="37608"/>
    <cellStyle name="Note 3 2 5 8 7" xfId="48739"/>
    <cellStyle name="Note 3 2 5 9" xfId="1817"/>
    <cellStyle name="Note 3 2 5 9 2" xfId="9640"/>
    <cellStyle name="Note 3 2 5 9 3" xfId="17068"/>
    <cellStyle name="Note 3 2 5 9 4" xfId="19149"/>
    <cellStyle name="Note 3 2 5 9 5" xfId="27589"/>
    <cellStyle name="Note 3 2 5 9 6" xfId="39178"/>
    <cellStyle name="Note 3 2 5 9 7" xfId="49271"/>
    <cellStyle name="Note 3 2 6" xfId="616"/>
    <cellStyle name="Note 3 2 6 2" xfId="8440"/>
    <cellStyle name="Note 3 2 6 3" xfId="8396"/>
    <cellStyle name="Note 3 2 6 4" xfId="19857"/>
    <cellStyle name="Note 3 2 6 5" xfId="27564"/>
    <cellStyle name="Note 3 2 6 6" xfId="38110"/>
    <cellStyle name="Note 3 2 6 7" xfId="50326"/>
    <cellStyle name="Note 3 2 7" xfId="617"/>
    <cellStyle name="Note 3 2 7 2" xfId="8441"/>
    <cellStyle name="Note 3 2 7 3" xfId="11961"/>
    <cellStyle name="Note 3 2 7 4" xfId="19041"/>
    <cellStyle name="Note 3 2 7 5" xfId="26861"/>
    <cellStyle name="Note 3 2 7 6" xfId="37636"/>
    <cellStyle name="Note 3 2 7 7" xfId="49835"/>
    <cellStyle name="Note 3 2 8" xfId="1193"/>
    <cellStyle name="Note 3 2 8 2" xfId="9016"/>
    <cellStyle name="Note 3 2 8 3" xfId="16444"/>
    <cellStyle name="Note 3 2 8 4" xfId="25860"/>
    <cellStyle name="Note 3 2 8 5" xfId="34448"/>
    <cellStyle name="Note 3 2 8 6" xfId="41915"/>
    <cellStyle name="Note 3 2 8 7" xfId="52689"/>
    <cellStyle name="Note 3 2 9" xfId="1067"/>
    <cellStyle name="Note 3 2 9 2" xfId="8891"/>
    <cellStyle name="Note 3 2 9 3" xfId="16319"/>
    <cellStyle name="Note 3 2 9 4" xfId="25069"/>
    <cellStyle name="Note 3 2 9 5" xfId="33429"/>
    <cellStyle name="Note 3 2 9 6" xfId="37639"/>
    <cellStyle name="Note 3 2 9 7" xfId="50948"/>
    <cellStyle name="Note 3 20" xfId="4236"/>
    <cellStyle name="Note 3 20 2" xfId="11970"/>
    <cellStyle name="Note 3 20 3" xfId="20946"/>
    <cellStyle name="Note 3 20 4" xfId="29133"/>
    <cellStyle name="Note 3 20 5" xfId="33818"/>
    <cellStyle name="Note 3 20 6" xfId="42798"/>
    <cellStyle name="Note 3 20 7" xfId="49730"/>
    <cellStyle name="Note 3 21" xfId="4059"/>
    <cellStyle name="Note 3 21 2" xfId="11825"/>
    <cellStyle name="Note 3 21 3" xfId="20769"/>
    <cellStyle name="Note 3 21 4" xfId="28956"/>
    <cellStyle name="Note 3 21 5" xfId="28677"/>
    <cellStyle name="Note 3 21 6" xfId="42621"/>
    <cellStyle name="Note 3 21 7" xfId="51256"/>
    <cellStyle name="Note 3 22" xfId="3457"/>
    <cellStyle name="Note 3 22 2" xfId="11248"/>
    <cellStyle name="Note 3 22 3" xfId="20460"/>
    <cellStyle name="Note 3 22 4" xfId="28575"/>
    <cellStyle name="Note 3 22 5" xfId="35712"/>
    <cellStyle name="Note 3 22 6" xfId="42473"/>
    <cellStyle name="Note 3 22 7" xfId="52024"/>
    <cellStyle name="Note 3 23" xfId="4182"/>
    <cellStyle name="Note 3 23 2" xfId="11941"/>
    <cellStyle name="Note 3 23 3" xfId="20892"/>
    <cellStyle name="Note 3 23 4" xfId="29079"/>
    <cellStyle name="Note 3 23 5" xfId="36029"/>
    <cellStyle name="Note 3 23 6" xfId="42744"/>
    <cellStyle name="Note 3 23 7" xfId="53550"/>
    <cellStyle name="Note 3 24" xfId="4064"/>
    <cellStyle name="Note 3 24 2" xfId="11830"/>
    <cellStyle name="Note 3 24 3" xfId="20774"/>
    <cellStyle name="Note 3 24 4" xfId="28961"/>
    <cellStyle name="Note 3 24 5" xfId="34637"/>
    <cellStyle name="Note 3 24 6" xfId="42626"/>
    <cellStyle name="Note 3 24 7" xfId="47572"/>
    <cellStyle name="Note 3 25" xfId="5266"/>
    <cellStyle name="Note 3 25 2" xfId="12983"/>
    <cellStyle name="Note 3 25 3" xfId="21976"/>
    <cellStyle name="Note 3 25 4" xfId="30163"/>
    <cellStyle name="Note 3 25 5" xfId="34476"/>
    <cellStyle name="Note 3 25 6" xfId="43828"/>
    <cellStyle name="Note 3 25 7" xfId="50150"/>
    <cellStyle name="Note 3 26" xfId="5222"/>
    <cellStyle name="Note 3 26 2" xfId="12939"/>
    <cellStyle name="Note 3 26 3" xfId="21932"/>
    <cellStyle name="Note 3 26 4" xfId="30119"/>
    <cellStyle name="Note 3 26 5" xfId="35165"/>
    <cellStyle name="Note 3 26 6" xfId="43784"/>
    <cellStyle name="Note 3 26 7" xfId="47722"/>
    <cellStyle name="Note 3 27" xfId="5352"/>
    <cellStyle name="Note 3 27 2" xfId="13069"/>
    <cellStyle name="Note 3 27 3" xfId="22062"/>
    <cellStyle name="Note 3 27 4" xfId="30249"/>
    <cellStyle name="Note 3 27 5" xfId="35017"/>
    <cellStyle name="Note 3 27 6" xfId="43914"/>
    <cellStyle name="Note 3 27 7" xfId="48818"/>
    <cellStyle name="Note 3 28" xfId="5243"/>
    <cellStyle name="Note 3 28 2" xfId="12960"/>
    <cellStyle name="Note 3 28 3" xfId="21953"/>
    <cellStyle name="Note 3 28 4" xfId="30140"/>
    <cellStyle name="Note 3 28 5" xfId="35820"/>
    <cellStyle name="Note 3 28 6" xfId="43805"/>
    <cellStyle name="Note 3 28 7" xfId="52532"/>
    <cellStyle name="Note 3 29" xfId="6548"/>
    <cellStyle name="Note 3 29 2" xfId="14265"/>
    <cellStyle name="Note 3 29 3" xfId="23258"/>
    <cellStyle name="Note 3 29 4" xfId="31445"/>
    <cellStyle name="Note 3 29 5" xfId="27695"/>
    <cellStyle name="Note 3 29 6" xfId="45110"/>
    <cellStyle name="Note 3 29 7" xfId="48001"/>
    <cellStyle name="Note 3 3" xfId="259"/>
    <cellStyle name="Note 3 3 10" xfId="1127"/>
    <cellStyle name="Note 3 3 10 2" xfId="8950"/>
    <cellStyle name="Note 3 3 10 3" xfId="16378"/>
    <cellStyle name="Note 3 3 10 4" xfId="25638"/>
    <cellStyle name="Note 3 3 10 5" xfId="34157"/>
    <cellStyle name="Note 3 3 10 6" xfId="42278"/>
    <cellStyle name="Note 3 3 10 7" xfId="52181"/>
    <cellStyle name="Note 3 3 11" xfId="1186"/>
    <cellStyle name="Note 3 3 11 2" xfId="9009"/>
    <cellStyle name="Note 3 3 11 3" xfId="16437"/>
    <cellStyle name="Note 3 3 11 4" xfId="26121"/>
    <cellStyle name="Note 3 3 11 5" xfId="34780"/>
    <cellStyle name="Note 3 3 11 6" xfId="36347"/>
    <cellStyle name="Note 3 3 11 7" xfId="53251"/>
    <cellStyle name="Note 3 3 12" xfId="1183"/>
    <cellStyle name="Note 3 3 12 2" xfId="9006"/>
    <cellStyle name="Note 3 3 12 3" xfId="16434"/>
    <cellStyle name="Note 3 3 12 4" xfId="26264"/>
    <cellStyle name="Note 3 3 12 5" xfId="34962"/>
    <cellStyle name="Note 3 3 12 6" xfId="37229"/>
    <cellStyle name="Note 3 3 12 7" xfId="53569"/>
    <cellStyle name="Note 3 3 13" xfId="1642"/>
    <cellStyle name="Note 3 3 13 2" xfId="9465"/>
    <cellStyle name="Note 3 3 13 3" xfId="16893"/>
    <cellStyle name="Note 3 3 13 4" xfId="26062"/>
    <cellStyle name="Note 3 3 13 5" xfId="34706"/>
    <cellStyle name="Note 3 3 13 6" xfId="41740"/>
    <cellStyle name="Note 3 3 13 7" xfId="53126"/>
    <cellStyle name="Note 3 3 14" xfId="1778"/>
    <cellStyle name="Note 3 3 14 2" xfId="9601"/>
    <cellStyle name="Note 3 3 14 3" xfId="17029"/>
    <cellStyle name="Note 3 3 14 4" xfId="26201"/>
    <cellStyle name="Note 3 3 14 5" xfId="34883"/>
    <cellStyle name="Note 3 3 14 6" xfId="37256"/>
    <cellStyle name="Note 3 3 14 7" xfId="53428"/>
    <cellStyle name="Note 3 3 15" xfId="1514"/>
    <cellStyle name="Note 3 3 15 2" xfId="9337"/>
    <cellStyle name="Note 3 3 15 3" xfId="16765"/>
    <cellStyle name="Note 3 3 15 4" xfId="20584"/>
    <cellStyle name="Note 3 3 15 5" xfId="27463"/>
    <cellStyle name="Note 3 3 15 6" xfId="39983"/>
    <cellStyle name="Note 3 3 15 7" xfId="47501"/>
    <cellStyle name="Note 3 3 16" xfId="1631"/>
    <cellStyle name="Note 3 3 16 2" xfId="9454"/>
    <cellStyle name="Note 3 3 16 3" xfId="16882"/>
    <cellStyle name="Note 3 3 16 4" xfId="26648"/>
    <cellStyle name="Note 3 3 16 5" xfId="35492"/>
    <cellStyle name="Note 3 3 16 6" xfId="37284"/>
    <cellStyle name="Note 3 3 16 7" xfId="54388"/>
    <cellStyle name="Note 3 3 17" xfId="1138"/>
    <cellStyle name="Note 3 3 17 2" xfId="8961"/>
    <cellStyle name="Note 3 3 17 3" xfId="16389"/>
    <cellStyle name="Note 3 3 17 4" xfId="25020"/>
    <cellStyle name="Note 3 3 17 5" xfId="33375"/>
    <cellStyle name="Note 3 3 17 6" xfId="41146"/>
    <cellStyle name="Note 3 3 17 7" xfId="50844"/>
    <cellStyle name="Note 3 3 18" xfId="1110"/>
    <cellStyle name="Note 3 3 18 2" xfId="8934"/>
    <cellStyle name="Note 3 3 18 3" xfId="16362"/>
    <cellStyle name="Note 3 3 18 4" xfId="26425"/>
    <cellStyle name="Note 3 3 18 5" xfId="35190"/>
    <cellStyle name="Note 3 3 18 6" xfId="36655"/>
    <cellStyle name="Note 3 3 18 7" xfId="53911"/>
    <cellStyle name="Note 3 3 19" xfId="965"/>
    <cellStyle name="Note 3 3 19 2" xfId="8789"/>
    <cellStyle name="Note 3 3 19 3" xfId="16217"/>
    <cellStyle name="Note 3 3 19 4" xfId="26666"/>
    <cellStyle name="Note 3 3 19 5" xfId="35513"/>
    <cellStyle name="Note 3 3 19 6" xfId="36502"/>
    <cellStyle name="Note 3 3 19 7" xfId="54426"/>
    <cellStyle name="Note 3 3 2" xfId="533"/>
    <cellStyle name="Note 3 3 2 10" xfId="1980"/>
    <cellStyle name="Note 3 3 2 10 2" xfId="9803"/>
    <cellStyle name="Note 3 3 2 10 3" xfId="17231"/>
    <cellStyle name="Note 3 3 2 10 4" xfId="20152"/>
    <cellStyle name="Note 3 3 2 10 5" xfId="27571"/>
    <cellStyle name="Note 3 3 2 10 6" xfId="36404"/>
    <cellStyle name="Note 3 3 2 10 7" xfId="47267"/>
    <cellStyle name="Note 3 3 2 11" xfId="2098"/>
    <cellStyle name="Note 3 3 2 11 2" xfId="9921"/>
    <cellStyle name="Note 3 3 2 11 3" xfId="17349"/>
    <cellStyle name="Note 3 3 2 11 4" xfId="19460"/>
    <cellStyle name="Note 3 3 2 11 5" xfId="27374"/>
    <cellStyle name="Note 3 3 2 11 6" xfId="40367"/>
    <cellStyle name="Note 3 3 2 11 7" xfId="48783"/>
    <cellStyle name="Note 3 3 2 12" xfId="2211"/>
    <cellStyle name="Note 3 3 2 12 2" xfId="10034"/>
    <cellStyle name="Note 3 3 2 12 3" xfId="17462"/>
    <cellStyle name="Note 3 3 2 12 4" xfId="25574"/>
    <cellStyle name="Note 3 3 2 12 5" xfId="34076"/>
    <cellStyle name="Note 3 3 2 12 6" xfId="37841"/>
    <cellStyle name="Note 3 3 2 12 7" xfId="52033"/>
    <cellStyle name="Note 3 3 2 13" xfId="981"/>
    <cellStyle name="Note 3 3 2 13 2" xfId="8805"/>
    <cellStyle name="Note 3 3 2 13 3" xfId="16233"/>
    <cellStyle name="Note 3 3 2 13 4" xfId="25934"/>
    <cellStyle name="Note 3 3 2 13 5" xfId="34539"/>
    <cellStyle name="Note 3 3 2 13 6" xfId="37249"/>
    <cellStyle name="Note 3 3 2 13 7" xfId="52859"/>
    <cellStyle name="Note 3 3 2 14" xfId="1031"/>
    <cellStyle name="Note 3 3 2 14 2" xfId="8855"/>
    <cellStyle name="Note 3 3 2 14 3" xfId="16283"/>
    <cellStyle name="Note 3 3 2 14 4" xfId="24902"/>
    <cellStyle name="Note 3 3 2 14 5" xfId="33221"/>
    <cellStyle name="Note 3 3 2 14 6" xfId="36638"/>
    <cellStyle name="Note 3 3 2 14 7" xfId="50568"/>
    <cellStyle name="Note 3 3 2 15" xfId="2509"/>
    <cellStyle name="Note 3 3 2 15 2" xfId="10332"/>
    <cellStyle name="Note 3 3 2 15 3" xfId="17760"/>
    <cellStyle name="Note 3 3 2 15 4" xfId="24851"/>
    <cellStyle name="Note 3 3 2 15 5" xfId="28881"/>
    <cellStyle name="Note 3 3 2 15 6" xfId="39477"/>
    <cellStyle name="Note 3 3 2 15 7" xfId="49902"/>
    <cellStyle name="Note 3 3 2 16" xfId="2622"/>
    <cellStyle name="Note 3 3 2 16 2" xfId="10445"/>
    <cellStyle name="Note 3 3 2 16 3" xfId="17873"/>
    <cellStyle name="Note 3 3 2 16 4" xfId="26401"/>
    <cellStyle name="Note 3 3 2 16 5" xfId="35153"/>
    <cellStyle name="Note 3 3 2 16 6" xfId="40376"/>
    <cellStyle name="Note 3 3 2 16 7" xfId="53852"/>
    <cellStyle name="Note 3 3 2 17" xfId="1432"/>
    <cellStyle name="Note 3 3 2 17 2" xfId="9255"/>
    <cellStyle name="Note 3 3 2 17 3" xfId="16683"/>
    <cellStyle name="Note 3 3 2 17 4" xfId="25616"/>
    <cellStyle name="Note 3 3 2 17 5" xfId="34129"/>
    <cellStyle name="Note 3 3 2 17 6" xfId="36757"/>
    <cellStyle name="Note 3 3 2 17 7" xfId="52123"/>
    <cellStyle name="Note 3 3 2 18" xfId="2233"/>
    <cellStyle name="Note 3 3 2 18 2" xfId="10056"/>
    <cellStyle name="Note 3 3 2 18 3" xfId="17484"/>
    <cellStyle name="Note 3 3 2 18 4" xfId="19736"/>
    <cellStyle name="Note 3 3 2 18 5" xfId="28289"/>
    <cellStyle name="Note 3 3 2 18 6" xfId="41393"/>
    <cellStyle name="Note 3 3 2 18 7" xfId="48467"/>
    <cellStyle name="Note 3 3 2 19" xfId="2815"/>
    <cellStyle name="Note 3 3 2 19 2" xfId="10638"/>
    <cellStyle name="Note 3 3 2 19 3" xfId="18066"/>
    <cellStyle name="Note 3 3 2 19 4" xfId="19132"/>
    <cellStyle name="Note 3 3 2 19 5" xfId="26982"/>
    <cellStyle name="Note 3 3 2 19 6" xfId="36997"/>
    <cellStyle name="Note 3 3 2 19 7" xfId="49861"/>
    <cellStyle name="Note 3 3 2 2" xfId="683"/>
    <cellStyle name="Note 3 3 2 2 2" xfId="8507"/>
    <cellStyle name="Note 3 3 2 2 3" xfId="15935"/>
    <cellStyle name="Note 3 3 2 2 4" xfId="19053"/>
    <cellStyle name="Note 3 3 2 2 5" xfId="26816"/>
    <cellStyle name="Note 3 3 2 2 6" xfId="37087"/>
    <cellStyle name="Note 3 3 2 2 7" xfId="49123"/>
    <cellStyle name="Note 3 3 2 20" xfId="2922"/>
    <cellStyle name="Note 3 3 2 20 2" xfId="10745"/>
    <cellStyle name="Note 3 3 2 20 3" xfId="18173"/>
    <cellStyle name="Note 3 3 2 20 4" xfId="26397"/>
    <cellStyle name="Note 3 3 2 20 5" xfId="35149"/>
    <cellStyle name="Note 3 3 2 20 6" xfId="42133"/>
    <cellStyle name="Note 3 3 2 20 7" xfId="53844"/>
    <cellStyle name="Note 3 3 2 21" xfId="3298"/>
    <cellStyle name="Note 3 3 2 21 2" xfId="11091"/>
    <cellStyle name="Note 3 3 2 21 3" xfId="18420"/>
    <cellStyle name="Note 3 3 2 21 4" xfId="25693"/>
    <cellStyle name="Note 3 3 2 21 5" xfId="34231"/>
    <cellStyle name="Note 3 3 2 21 6" xfId="39984"/>
    <cellStyle name="Note 3 3 2 21 7" xfId="52300"/>
    <cellStyle name="Note 3 3 2 22" xfId="3418"/>
    <cellStyle name="Note 3 3 2 22 2" xfId="11209"/>
    <cellStyle name="Note 3 3 2 22 3" xfId="18531"/>
    <cellStyle name="Note 3 3 2 22 4" xfId="25466"/>
    <cellStyle name="Note 3 3 2 22 5" xfId="33931"/>
    <cellStyle name="Note 3 3 2 22 6" xfId="36960"/>
    <cellStyle name="Note 3 3 2 22 7" xfId="51794"/>
    <cellStyle name="Note 3 3 2 23" xfId="3546"/>
    <cellStyle name="Note 3 3 2 23 2" xfId="11335"/>
    <cellStyle name="Note 3 3 2 23 3" xfId="18623"/>
    <cellStyle name="Note 3 3 2 23 4" xfId="19373"/>
    <cellStyle name="Note 3 3 2 23 5" xfId="27290"/>
    <cellStyle name="Note 3 3 2 23 6" xfId="38450"/>
    <cellStyle name="Note 3 3 2 23 7" xfId="50204"/>
    <cellStyle name="Note 3 3 2 24" xfId="3128"/>
    <cellStyle name="Note 3 3 2 24 2" xfId="10933"/>
    <cellStyle name="Note 3 3 2 24 3" xfId="18311"/>
    <cellStyle name="Note 3 3 2 24 4" xfId="19528"/>
    <cellStyle name="Note 3 3 2 24 5" xfId="28873"/>
    <cellStyle name="Note 3 3 2 24 6" xfId="42228"/>
    <cellStyle name="Note 3 3 2 24 7" xfId="47762"/>
    <cellStyle name="Note 3 3 2 25" xfId="3689"/>
    <cellStyle name="Note 3 3 2 25 2" xfId="11474"/>
    <cellStyle name="Note 3 3 2 25 3" xfId="18747"/>
    <cellStyle name="Note 3 3 2 25 4" xfId="24871"/>
    <cellStyle name="Note 3 3 2 25 5" xfId="33184"/>
    <cellStyle name="Note 3 3 2 25 6" xfId="37542"/>
    <cellStyle name="Note 3 3 2 25 7" xfId="50502"/>
    <cellStyle name="Note 3 3 2 26" xfId="3819"/>
    <cellStyle name="Note 3 3 2 26 2" xfId="11601"/>
    <cellStyle name="Note 3 3 2 26 3" xfId="18858"/>
    <cellStyle name="Note 3 3 2 26 4" xfId="25853"/>
    <cellStyle name="Note 3 3 2 26 5" xfId="34440"/>
    <cellStyle name="Note 3 3 2 26 6" xfId="40266"/>
    <cellStyle name="Note 3 3 2 26 7" xfId="52673"/>
    <cellStyle name="Note 3 3 2 27" xfId="3937"/>
    <cellStyle name="Note 3 3 2 27 2" xfId="11717"/>
    <cellStyle name="Note 3 3 2 27 3" xfId="18967"/>
    <cellStyle name="Note 3 3 2 27 4" xfId="20337"/>
    <cellStyle name="Note 3 3 2 27 5" xfId="26752"/>
    <cellStyle name="Note 3 3 2 27 6" xfId="37775"/>
    <cellStyle name="Note 3 3 2 27 7" xfId="49727"/>
    <cellStyle name="Note 3 3 2 28" xfId="3009"/>
    <cellStyle name="Note 3 3 2 28 2" xfId="10828"/>
    <cellStyle name="Note 3 3 2 28 3" xfId="20183"/>
    <cellStyle name="Note 3 3 2 28 4" xfId="28273"/>
    <cellStyle name="Note 3 3 2 28 5" xfId="35816"/>
    <cellStyle name="Note 3 3 2 28 6" xfId="42348"/>
    <cellStyle name="Note 3 3 2 28 7" xfId="52518"/>
    <cellStyle name="Note 3 3 2 29" xfId="4134"/>
    <cellStyle name="Note 3 3 2 29 2" xfId="11893"/>
    <cellStyle name="Note 3 3 2 29 3" xfId="20844"/>
    <cellStyle name="Note 3 3 2 29 4" xfId="29031"/>
    <cellStyle name="Note 3 3 2 29 5" xfId="33368"/>
    <cellStyle name="Note 3 3 2 29 6" xfId="42696"/>
    <cellStyle name="Note 3 3 2 29 7" xfId="50942"/>
    <cellStyle name="Note 3 3 2 3" xfId="791"/>
    <cellStyle name="Note 3 3 2 3 2" xfId="8615"/>
    <cellStyle name="Note 3 3 2 3 3" xfId="16043"/>
    <cellStyle name="Note 3 3 2 3 4" xfId="24886"/>
    <cellStyle name="Note 3 3 2 3 5" xfId="33200"/>
    <cellStyle name="Note 3 3 2 3 6" xfId="37143"/>
    <cellStyle name="Note 3 3 2 3 7" xfId="50532"/>
    <cellStyle name="Note 3 3 2 30" xfId="4231"/>
    <cellStyle name="Note 3 3 2 30 2" xfId="20941"/>
    <cellStyle name="Note 3 3 2 30 3" xfId="29128"/>
    <cellStyle name="Note 3 3 2 30 4" xfId="34164"/>
    <cellStyle name="Note 3 3 2 30 5" xfId="42793"/>
    <cellStyle name="Note 3 3 2 30 6" xfId="48666"/>
    <cellStyle name="Note 3 3 2 31" xfId="4331"/>
    <cellStyle name="Note 3 3 2 31 2" xfId="12048"/>
    <cellStyle name="Note 3 3 2 31 3" xfId="21041"/>
    <cellStyle name="Note 3 3 2 31 4" xfId="29228"/>
    <cellStyle name="Note 3 3 2 31 5" xfId="34558"/>
    <cellStyle name="Note 3 3 2 31 6" xfId="42893"/>
    <cellStyle name="Note 3 3 2 31 7" xfId="49706"/>
    <cellStyle name="Note 3 3 2 32" xfId="4454"/>
    <cellStyle name="Note 3 3 2 32 2" xfId="12171"/>
    <cellStyle name="Note 3 3 2 32 3" xfId="21164"/>
    <cellStyle name="Note 3 3 2 32 4" xfId="29351"/>
    <cellStyle name="Note 3 3 2 32 5" xfId="35304"/>
    <cellStyle name="Note 3 3 2 32 6" xfId="43016"/>
    <cellStyle name="Note 3 3 2 32 7" xfId="49930"/>
    <cellStyle name="Note 3 3 2 33" xfId="4568"/>
    <cellStyle name="Note 3 3 2 33 2" xfId="12285"/>
    <cellStyle name="Note 3 3 2 33 3" xfId="21278"/>
    <cellStyle name="Note 3 3 2 33 4" xfId="29465"/>
    <cellStyle name="Note 3 3 2 33 5" xfId="34385"/>
    <cellStyle name="Note 3 3 2 33 6" xfId="43130"/>
    <cellStyle name="Note 3 3 2 33 7" xfId="48027"/>
    <cellStyle name="Note 3 3 2 34" xfId="4681"/>
    <cellStyle name="Note 3 3 2 34 2" xfId="12398"/>
    <cellStyle name="Note 3 3 2 34 3" xfId="21391"/>
    <cellStyle name="Note 3 3 2 34 4" xfId="29578"/>
    <cellStyle name="Note 3 3 2 34 5" xfId="34698"/>
    <cellStyle name="Note 3 3 2 34 6" xfId="43243"/>
    <cellStyle name="Note 3 3 2 34 7" xfId="47679"/>
    <cellStyle name="Note 3 3 2 35" xfId="4792"/>
    <cellStyle name="Note 3 3 2 35 2" xfId="12509"/>
    <cellStyle name="Note 3 3 2 35 3" xfId="21502"/>
    <cellStyle name="Note 3 3 2 35 4" xfId="29689"/>
    <cellStyle name="Note 3 3 2 35 5" xfId="35837"/>
    <cellStyle name="Note 3 3 2 35 6" xfId="43354"/>
    <cellStyle name="Note 3 3 2 35 7" xfId="52586"/>
    <cellStyle name="Note 3 3 2 36" xfId="4901"/>
    <cellStyle name="Note 3 3 2 36 2" xfId="12618"/>
    <cellStyle name="Note 3 3 2 36 3" xfId="21611"/>
    <cellStyle name="Note 3 3 2 36 4" xfId="29798"/>
    <cellStyle name="Note 3 3 2 36 5" xfId="27756"/>
    <cellStyle name="Note 3 3 2 36 6" xfId="43463"/>
    <cellStyle name="Note 3 3 2 36 7" xfId="48860"/>
    <cellStyle name="Note 3 3 2 37" xfId="5012"/>
    <cellStyle name="Note 3 3 2 37 2" xfId="12729"/>
    <cellStyle name="Note 3 3 2 37 3" xfId="21722"/>
    <cellStyle name="Note 3 3 2 37 4" xfId="29909"/>
    <cellStyle name="Note 3 3 2 37 5" xfId="35648"/>
    <cellStyle name="Note 3 3 2 37 6" xfId="43574"/>
    <cellStyle name="Note 3 3 2 37 7" xfId="51704"/>
    <cellStyle name="Note 3 3 2 38" xfId="5391"/>
    <cellStyle name="Note 3 3 2 38 2" xfId="13108"/>
    <cellStyle name="Note 3 3 2 38 3" xfId="22101"/>
    <cellStyle name="Note 3 3 2 38 4" xfId="30288"/>
    <cellStyle name="Note 3 3 2 38 5" xfId="35791"/>
    <cellStyle name="Note 3 3 2 38 6" xfId="43953"/>
    <cellStyle name="Note 3 3 2 38 7" xfId="52413"/>
    <cellStyle name="Note 3 3 2 39" xfId="5511"/>
    <cellStyle name="Note 3 3 2 39 2" xfId="13228"/>
    <cellStyle name="Note 3 3 2 39 3" xfId="22221"/>
    <cellStyle name="Note 3 3 2 39 4" xfId="30408"/>
    <cellStyle name="Note 3 3 2 39 5" xfId="35111"/>
    <cellStyle name="Note 3 3 2 39 6" xfId="44073"/>
    <cellStyle name="Note 3 3 2 39 7" xfId="47846"/>
    <cellStyle name="Note 3 3 2 4" xfId="902"/>
    <cellStyle name="Note 3 3 2 4 2" xfId="8726"/>
    <cellStyle name="Note 3 3 2 4 3" xfId="16154"/>
    <cellStyle name="Note 3 3 2 4 4" xfId="26339"/>
    <cellStyle name="Note 3 3 2 4 5" xfId="35065"/>
    <cellStyle name="Note 3 3 2 4 6" xfId="37104"/>
    <cellStyle name="Note 3 3 2 4 7" xfId="53717"/>
    <cellStyle name="Note 3 3 2 40" xfId="5635"/>
    <cellStyle name="Note 3 3 2 40 2" xfId="13352"/>
    <cellStyle name="Note 3 3 2 40 3" xfId="22345"/>
    <cellStyle name="Note 3 3 2 40 4" xfId="30532"/>
    <cellStyle name="Note 3 3 2 40 5" xfId="28851"/>
    <cellStyle name="Note 3 3 2 40 6" xfId="44197"/>
    <cellStyle name="Note 3 3 2 40 7" xfId="46834"/>
    <cellStyle name="Note 3 3 2 41" xfId="5751"/>
    <cellStyle name="Note 3 3 2 41 2" xfId="13468"/>
    <cellStyle name="Note 3 3 2 41 3" xfId="22461"/>
    <cellStyle name="Note 3 3 2 41 4" xfId="30648"/>
    <cellStyle name="Note 3 3 2 41 5" xfId="35660"/>
    <cellStyle name="Note 3 3 2 41 6" xfId="44313"/>
    <cellStyle name="Note 3 3 2 41 7" xfId="52204"/>
    <cellStyle name="Note 3 3 2 42" xfId="5867"/>
    <cellStyle name="Note 3 3 2 42 2" xfId="13584"/>
    <cellStyle name="Note 3 3 2 42 3" xfId="22577"/>
    <cellStyle name="Note 3 3 2 42 4" xfId="30764"/>
    <cellStyle name="Note 3 3 2 42 5" xfId="35938"/>
    <cellStyle name="Note 3 3 2 42 6" xfId="44429"/>
    <cellStyle name="Note 3 3 2 42 7" xfId="52873"/>
    <cellStyle name="Note 3 3 2 43" xfId="5996"/>
    <cellStyle name="Note 3 3 2 43 2" xfId="13713"/>
    <cellStyle name="Note 3 3 2 43 3" xfId="22706"/>
    <cellStyle name="Note 3 3 2 43 4" xfId="30893"/>
    <cellStyle name="Note 3 3 2 43 5" xfId="35620"/>
    <cellStyle name="Note 3 3 2 43 6" xfId="44558"/>
    <cellStyle name="Note 3 3 2 43 7" xfId="52573"/>
    <cellStyle name="Note 3 3 2 44" xfId="6095"/>
    <cellStyle name="Note 3 3 2 44 2" xfId="13812"/>
    <cellStyle name="Note 3 3 2 44 3" xfId="22805"/>
    <cellStyle name="Note 3 3 2 44 4" xfId="30992"/>
    <cellStyle name="Note 3 3 2 44 5" xfId="35746"/>
    <cellStyle name="Note 3 3 2 44 6" xfId="44657"/>
    <cellStyle name="Note 3 3 2 44 7" xfId="51993"/>
    <cellStyle name="Note 3 3 2 45" xfId="5570"/>
    <cellStyle name="Note 3 3 2 45 2" xfId="13287"/>
    <cellStyle name="Note 3 3 2 45 3" xfId="22280"/>
    <cellStyle name="Note 3 3 2 45 4" xfId="30467"/>
    <cellStyle name="Note 3 3 2 45 5" xfId="33672"/>
    <cellStyle name="Note 3 3 2 45 6" xfId="44132"/>
    <cellStyle name="Note 3 3 2 45 7" xfId="47164"/>
    <cellStyle name="Note 3 3 2 46" xfId="6252"/>
    <cellStyle name="Note 3 3 2 46 2" xfId="13969"/>
    <cellStyle name="Note 3 3 2 46 3" xfId="22962"/>
    <cellStyle name="Note 3 3 2 46 4" xfId="31149"/>
    <cellStyle name="Note 3 3 2 46 5" xfId="27490"/>
    <cellStyle name="Note 3 3 2 46 6" xfId="44814"/>
    <cellStyle name="Note 3 3 2 46 7" xfId="50010"/>
    <cellStyle name="Note 3 3 2 47" xfId="6368"/>
    <cellStyle name="Note 3 3 2 47 2" xfId="14085"/>
    <cellStyle name="Note 3 3 2 47 3" xfId="23078"/>
    <cellStyle name="Note 3 3 2 47 4" xfId="31265"/>
    <cellStyle name="Note 3 3 2 47 5" xfId="36015"/>
    <cellStyle name="Note 3 3 2 47 6" xfId="44930"/>
    <cellStyle name="Note 3 3 2 47 7" xfId="48098"/>
    <cellStyle name="Note 3 3 2 48" xfId="6479"/>
    <cellStyle name="Note 3 3 2 48 2" xfId="14196"/>
    <cellStyle name="Note 3 3 2 48 3" xfId="23189"/>
    <cellStyle name="Note 3 3 2 48 4" xfId="31376"/>
    <cellStyle name="Note 3 3 2 48 5" xfId="36050"/>
    <cellStyle name="Note 3 3 2 48 6" xfId="45041"/>
    <cellStyle name="Note 3 3 2 48 7" xfId="51725"/>
    <cellStyle name="Note 3 3 2 49" xfId="6186"/>
    <cellStyle name="Note 3 3 2 49 2" xfId="13903"/>
    <cellStyle name="Note 3 3 2 49 3" xfId="22896"/>
    <cellStyle name="Note 3 3 2 49 4" xfId="31083"/>
    <cellStyle name="Note 3 3 2 49 5" xfId="28040"/>
    <cellStyle name="Note 3 3 2 49 6" xfId="44748"/>
    <cellStyle name="Note 3 3 2 49 7" xfId="49386"/>
    <cellStyle name="Note 3 3 2 5" xfId="1368"/>
    <cellStyle name="Note 3 3 2 5 2" xfId="9191"/>
    <cellStyle name="Note 3 3 2 5 3" xfId="16619"/>
    <cellStyle name="Note 3 3 2 5 4" xfId="26123"/>
    <cellStyle name="Note 3 3 2 5 5" xfId="34784"/>
    <cellStyle name="Note 3 3 2 5 6" xfId="39927"/>
    <cellStyle name="Note 3 3 2 5 7" xfId="53260"/>
    <cellStyle name="Note 3 3 2 50" xfId="6625"/>
    <cellStyle name="Note 3 3 2 50 2" xfId="14342"/>
    <cellStyle name="Note 3 3 2 50 3" xfId="23335"/>
    <cellStyle name="Note 3 3 2 50 4" xfId="31522"/>
    <cellStyle name="Note 3 3 2 50 5" xfId="27701"/>
    <cellStyle name="Note 3 3 2 50 6" xfId="45187"/>
    <cellStyle name="Note 3 3 2 50 7" xfId="52161"/>
    <cellStyle name="Note 3 3 2 51" xfId="6737"/>
    <cellStyle name="Note 3 3 2 51 2" xfId="14454"/>
    <cellStyle name="Note 3 3 2 51 3" xfId="23447"/>
    <cellStyle name="Note 3 3 2 51 4" xfId="31634"/>
    <cellStyle name="Note 3 3 2 51 5" xfId="35600"/>
    <cellStyle name="Note 3 3 2 51 6" xfId="45299"/>
    <cellStyle name="Note 3 3 2 51 7" xfId="51178"/>
    <cellStyle name="Note 3 3 2 52" xfId="6852"/>
    <cellStyle name="Note 3 3 2 52 2" xfId="14569"/>
    <cellStyle name="Note 3 3 2 52 3" xfId="23562"/>
    <cellStyle name="Note 3 3 2 52 4" xfId="31749"/>
    <cellStyle name="Note 3 3 2 52 5" xfId="34192"/>
    <cellStyle name="Note 3 3 2 52 6" xfId="45414"/>
    <cellStyle name="Note 3 3 2 52 7" xfId="48962"/>
    <cellStyle name="Note 3 3 2 53" xfId="6965"/>
    <cellStyle name="Note 3 3 2 53 2" xfId="14682"/>
    <cellStyle name="Note 3 3 2 53 3" xfId="23675"/>
    <cellStyle name="Note 3 3 2 53 4" xfId="31862"/>
    <cellStyle name="Note 3 3 2 53 5" xfId="28488"/>
    <cellStyle name="Note 3 3 2 53 6" xfId="45527"/>
    <cellStyle name="Note 3 3 2 53 7" xfId="47031"/>
    <cellStyle name="Note 3 3 2 54" xfId="7076"/>
    <cellStyle name="Note 3 3 2 54 2" xfId="14793"/>
    <cellStyle name="Note 3 3 2 54 3" xfId="23786"/>
    <cellStyle name="Note 3 3 2 54 4" xfId="31973"/>
    <cellStyle name="Note 3 3 2 54 5" xfId="35747"/>
    <cellStyle name="Note 3 3 2 54 6" xfId="45638"/>
    <cellStyle name="Note 3 3 2 54 7" xfId="51529"/>
    <cellStyle name="Note 3 3 2 55" xfId="7239"/>
    <cellStyle name="Note 3 3 2 55 2" xfId="14956"/>
    <cellStyle name="Note 3 3 2 55 3" xfId="23949"/>
    <cellStyle name="Note 3 3 2 55 4" xfId="32136"/>
    <cellStyle name="Note 3 3 2 55 5" xfId="35651"/>
    <cellStyle name="Note 3 3 2 55 6" xfId="45801"/>
    <cellStyle name="Note 3 3 2 55 7" xfId="46982"/>
    <cellStyle name="Note 3 3 2 56" xfId="7286"/>
    <cellStyle name="Note 3 3 2 56 2" xfId="15003"/>
    <cellStyle name="Note 3 3 2 56 3" xfId="23996"/>
    <cellStyle name="Note 3 3 2 56 4" xfId="32183"/>
    <cellStyle name="Note 3 3 2 56 5" xfId="35007"/>
    <cellStyle name="Note 3 3 2 56 6" xfId="45848"/>
    <cellStyle name="Note 3 3 2 56 7" xfId="50740"/>
    <cellStyle name="Note 3 3 2 57" xfId="7473"/>
    <cellStyle name="Note 3 3 2 57 2" xfId="15190"/>
    <cellStyle name="Note 3 3 2 57 3" xfId="24183"/>
    <cellStyle name="Note 3 3 2 57 4" xfId="32370"/>
    <cellStyle name="Note 3 3 2 57 5" xfId="36028"/>
    <cellStyle name="Note 3 3 2 57 6" xfId="46035"/>
    <cellStyle name="Note 3 3 2 57 7" xfId="53166"/>
    <cellStyle name="Note 3 3 2 58" xfId="7594"/>
    <cellStyle name="Note 3 3 2 58 2" xfId="15311"/>
    <cellStyle name="Note 3 3 2 58 3" xfId="24304"/>
    <cellStyle name="Note 3 3 2 58 4" xfId="32491"/>
    <cellStyle name="Note 3 3 2 58 5" xfId="27586"/>
    <cellStyle name="Note 3 3 2 58 6" xfId="46156"/>
    <cellStyle name="Note 3 3 2 58 7" xfId="48085"/>
    <cellStyle name="Note 3 3 2 59" xfId="7870"/>
    <cellStyle name="Note 3 3 2 59 2" xfId="15587"/>
    <cellStyle name="Note 3 3 2 59 3" xfId="24574"/>
    <cellStyle name="Note 3 3 2 59 4" xfId="32767"/>
    <cellStyle name="Note 3 3 2 59 5" xfId="34939"/>
    <cellStyle name="Note 3 3 2 59 6" xfId="46432"/>
    <cellStyle name="Note 3 3 2 59 7" xfId="48904"/>
    <cellStyle name="Note 3 3 2 6" xfId="1491"/>
    <cellStyle name="Note 3 3 2 6 2" xfId="9314"/>
    <cellStyle name="Note 3 3 2 6 3" xfId="16742"/>
    <cellStyle name="Note 3 3 2 6 4" xfId="26109"/>
    <cellStyle name="Note 3 3 2 6 5" xfId="34765"/>
    <cellStyle name="Note 3 3 2 6 6" xfId="41832"/>
    <cellStyle name="Note 3 3 2 6 7" xfId="53228"/>
    <cellStyle name="Note 3 3 2 60" xfId="7966"/>
    <cellStyle name="Note 3 3 2 60 2" xfId="15683"/>
    <cellStyle name="Note 3 3 2 60 3" xfId="24669"/>
    <cellStyle name="Note 3 3 2 60 4" xfId="32863"/>
    <cellStyle name="Note 3 3 2 60 5" xfId="36159"/>
    <cellStyle name="Note 3 3 2 60 6" xfId="46528"/>
    <cellStyle name="Note 3 3 2 60 7" xfId="53445"/>
    <cellStyle name="Note 3 3 2 61" xfId="7977"/>
    <cellStyle name="Note 3 3 2 61 2" xfId="15694"/>
    <cellStyle name="Note 3 3 2 61 3" xfId="24679"/>
    <cellStyle name="Note 3 3 2 61 4" xfId="32874"/>
    <cellStyle name="Note 3 3 2 61 5" xfId="35866"/>
    <cellStyle name="Note 3 3 2 61 6" xfId="46539"/>
    <cellStyle name="Note 3 3 2 61 7" xfId="52432"/>
    <cellStyle name="Note 3 3 2 62" xfId="8078"/>
    <cellStyle name="Note 3 3 2 62 2" xfId="15795"/>
    <cellStyle name="Note 3 3 2 62 3" xfId="24779"/>
    <cellStyle name="Note 3 3 2 62 4" xfId="32975"/>
    <cellStyle name="Note 3 3 2 62 5" xfId="28448"/>
    <cellStyle name="Note 3 3 2 62 6" xfId="46640"/>
    <cellStyle name="Note 3 3 2 62 7" xfId="47697"/>
    <cellStyle name="Note 3 3 2 63" xfId="8146"/>
    <cellStyle name="Note 3 3 2 63 2" xfId="15863"/>
    <cellStyle name="Note 3 3 2 63 3" xfId="33043"/>
    <cellStyle name="Note 3 3 2 63 4" xfId="27280"/>
    <cellStyle name="Note 3 3 2 63 5" xfId="46708"/>
    <cellStyle name="Note 3 3 2 63 6" xfId="49246"/>
    <cellStyle name="Note 3 3 2 64" xfId="19476"/>
    <cellStyle name="Note 3 3 2 65" xfId="28844"/>
    <cellStyle name="Note 3 3 2 66" xfId="37787"/>
    <cellStyle name="Note 3 3 2 67" xfId="48615"/>
    <cellStyle name="Note 3 3 2 7" xfId="1286"/>
    <cellStyle name="Note 3 3 2 7 2" xfId="9109"/>
    <cellStyle name="Note 3 3 2 7 3" xfId="16537"/>
    <cellStyle name="Note 3 3 2 7 4" xfId="26708"/>
    <cellStyle name="Note 3 3 2 7 5" xfId="35564"/>
    <cellStyle name="Note 3 3 2 7 6" xfId="39721"/>
    <cellStyle name="Note 3 3 2 7 7" xfId="54522"/>
    <cellStyle name="Note 3 3 2 8" xfId="1728"/>
    <cellStyle name="Note 3 3 2 8 2" xfId="9551"/>
    <cellStyle name="Note 3 3 2 8 3" xfId="16979"/>
    <cellStyle name="Note 3 3 2 8 4" xfId="25254"/>
    <cellStyle name="Note 3 3 2 8 5" xfId="33660"/>
    <cellStyle name="Note 3 3 2 8 6" xfId="36841"/>
    <cellStyle name="Note 3 3 2 8 7" xfId="51331"/>
    <cellStyle name="Note 3 3 2 9" xfId="1862"/>
    <cellStyle name="Note 3 3 2 9 2" xfId="9685"/>
    <cellStyle name="Note 3 3 2 9 3" xfId="17113"/>
    <cellStyle name="Note 3 3 2 9 4" xfId="19715"/>
    <cellStyle name="Note 3 3 2 9 5" xfId="27022"/>
    <cellStyle name="Note 3 3 2 9 6" xfId="41003"/>
    <cellStyle name="Note 3 3 2 9 7" xfId="47627"/>
    <cellStyle name="Note 3 3 20" xfId="2427"/>
    <cellStyle name="Note 3 3 20 2" xfId="10250"/>
    <cellStyle name="Note 3 3 20 3" xfId="17678"/>
    <cellStyle name="Note 3 3 20 4" xfId="25154"/>
    <cellStyle name="Note 3 3 20 5" xfId="33531"/>
    <cellStyle name="Note 3 3 20 6" xfId="37442"/>
    <cellStyle name="Note 3 3 20 7" xfId="51120"/>
    <cellStyle name="Note 3 3 21" xfId="1256"/>
    <cellStyle name="Note 3 3 21 2" xfId="9079"/>
    <cellStyle name="Note 3 3 21 3" xfId="16507"/>
    <cellStyle name="Note 3 3 21 4" xfId="20682"/>
    <cellStyle name="Note 3 3 21 5" xfId="28225"/>
    <cellStyle name="Note 3 3 21 6" xfId="37023"/>
    <cellStyle name="Note 3 3 21 7" xfId="46986"/>
    <cellStyle name="Note 3 3 22" xfId="2455"/>
    <cellStyle name="Note 3 3 22 2" xfId="10278"/>
    <cellStyle name="Note 3 3 22 3" xfId="17706"/>
    <cellStyle name="Note 3 3 22 4" xfId="20669"/>
    <cellStyle name="Note 3 3 22 5" xfId="27108"/>
    <cellStyle name="Note 3 3 22 6" xfId="41124"/>
    <cellStyle name="Note 3 3 22 7" xfId="49594"/>
    <cellStyle name="Note 3 3 23" xfId="2325"/>
    <cellStyle name="Note 3 3 23 2" xfId="10148"/>
    <cellStyle name="Note 3 3 23 3" xfId="17576"/>
    <cellStyle name="Note 3 3 23 4" xfId="20589"/>
    <cellStyle name="Note 3 3 23 5" xfId="28161"/>
    <cellStyle name="Note 3 3 23 6" xfId="40873"/>
    <cellStyle name="Note 3 3 23 7" xfId="47900"/>
    <cellStyle name="Note 3 3 24" xfId="2756"/>
    <cellStyle name="Note 3 3 24 2" xfId="10579"/>
    <cellStyle name="Note 3 3 24 3" xfId="18007"/>
    <cellStyle name="Note 3 3 24 4" xfId="20556"/>
    <cellStyle name="Note 3 3 24 5" xfId="27048"/>
    <cellStyle name="Note 3 3 24 6" xfId="41397"/>
    <cellStyle name="Note 3 3 24 7" xfId="47346"/>
    <cellStyle name="Note 3 3 25" xfId="960"/>
    <cellStyle name="Note 3 3 25 2" xfId="8784"/>
    <cellStyle name="Note 3 3 25 3" xfId="16212"/>
    <cellStyle name="Note 3 3 25 4" xfId="25799"/>
    <cellStyle name="Note 3 3 25 5" xfId="34374"/>
    <cellStyle name="Note 3 3 25 6" xfId="36990"/>
    <cellStyle name="Note 3 3 25 7" xfId="52563"/>
    <cellStyle name="Note 3 3 26" xfId="3109"/>
    <cellStyle name="Note 3 3 26 2" xfId="10914"/>
    <cellStyle name="Note 3 3 26 3" xfId="18295"/>
    <cellStyle name="Note 3 3 26 4" xfId="20372"/>
    <cellStyle name="Note 3 3 26 5" xfId="27591"/>
    <cellStyle name="Note 3 3 26 6" xfId="41370"/>
    <cellStyle name="Note 3 3 26 7" xfId="47424"/>
    <cellStyle name="Note 3 3 27" xfId="3156"/>
    <cellStyle name="Note 3 3 27 2" xfId="10958"/>
    <cellStyle name="Note 3 3 27 3" xfId="18328"/>
    <cellStyle name="Note 3 3 27 4" xfId="26393"/>
    <cellStyle name="Note 3 3 27 5" xfId="35144"/>
    <cellStyle name="Note 3 3 27 6" xfId="39375"/>
    <cellStyle name="Note 3 3 27 7" xfId="53838"/>
    <cellStyle name="Note 3 3 28" xfId="2982"/>
    <cellStyle name="Note 3 3 28 2" xfId="10804"/>
    <cellStyle name="Note 3 3 28 3" xfId="18231"/>
    <cellStyle name="Note 3 3 28 4" xfId="19391"/>
    <cellStyle name="Note 3 3 28 5" xfId="27340"/>
    <cellStyle name="Note 3 3 28 6" xfId="36746"/>
    <cellStyle name="Note 3 3 28 7" xfId="49677"/>
    <cellStyle name="Note 3 3 29" xfId="3243"/>
    <cellStyle name="Note 3 3 29 2" xfId="11036"/>
    <cellStyle name="Note 3 3 29 3" xfId="18366"/>
    <cellStyle name="Note 3 3 29 4" xfId="25261"/>
    <cellStyle name="Note 3 3 29 5" xfId="33667"/>
    <cellStyle name="Note 3 3 29 6" xfId="38083"/>
    <cellStyle name="Note 3 3 29 7" xfId="51342"/>
    <cellStyle name="Note 3 3 3" xfId="508"/>
    <cellStyle name="Note 3 3 3 10" xfId="1955"/>
    <cellStyle name="Note 3 3 3 10 2" xfId="9778"/>
    <cellStyle name="Note 3 3 3 10 3" xfId="17206"/>
    <cellStyle name="Note 3 3 3 10 4" xfId="25140"/>
    <cellStyle name="Note 3 3 3 10 5" xfId="33513"/>
    <cellStyle name="Note 3 3 3 10 6" xfId="40043"/>
    <cellStyle name="Note 3 3 3 10 7" xfId="51088"/>
    <cellStyle name="Note 3 3 3 11" xfId="2073"/>
    <cellStyle name="Note 3 3 3 11 2" xfId="9896"/>
    <cellStyle name="Note 3 3 3 11 3" xfId="17324"/>
    <cellStyle name="Note 3 3 3 11 4" xfId="25259"/>
    <cellStyle name="Note 3 3 3 11 5" xfId="33665"/>
    <cellStyle name="Note 3 3 3 11 6" xfId="38286"/>
    <cellStyle name="Note 3 3 3 11 7" xfId="51339"/>
    <cellStyle name="Note 3 3 3 12" xfId="2186"/>
    <cellStyle name="Note 3 3 3 12 2" xfId="10009"/>
    <cellStyle name="Note 3 3 3 12 3" xfId="17437"/>
    <cellStyle name="Note 3 3 3 12 4" xfId="26705"/>
    <cellStyle name="Note 3 3 3 12 5" xfId="35560"/>
    <cellStyle name="Note 3 3 3 12 6" xfId="38575"/>
    <cellStyle name="Note 3 3 3 12 7" xfId="54508"/>
    <cellStyle name="Note 3 3 3 13" xfId="1071"/>
    <cellStyle name="Note 3 3 3 13 2" xfId="8895"/>
    <cellStyle name="Note 3 3 3 13 3" xfId="16323"/>
    <cellStyle name="Note 3 3 3 13 4" xfId="24933"/>
    <cellStyle name="Note 3 3 3 13 5" xfId="33266"/>
    <cellStyle name="Note 3 3 3 13 6" xfId="37325"/>
    <cellStyle name="Note 3 3 3 13 7" xfId="50645"/>
    <cellStyle name="Note 3 3 3 14" xfId="1211"/>
    <cellStyle name="Note 3 3 3 14 2" xfId="9034"/>
    <cellStyle name="Note 3 3 3 14 3" xfId="16462"/>
    <cellStyle name="Note 3 3 3 14 4" xfId="24960"/>
    <cellStyle name="Note 3 3 3 14 5" xfId="33298"/>
    <cellStyle name="Note 3 3 3 14 6" xfId="40317"/>
    <cellStyle name="Note 3 3 3 14 7" xfId="50691"/>
    <cellStyle name="Note 3 3 3 15" xfId="2484"/>
    <cellStyle name="Note 3 3 3 15 2" xfId="10307"/>
    <cellStyle name="Note 3 3 3 15 3" xfId="17735"/>
    <cellStyle name="Note 3 3 3 15 4" xfId="25858"/>
    <cellStyle name="Note 3 3 3 15 5" xfId="34446"/>
    <cellStyle name="Note 3 3 3 15 6" xfId="38242"/>
    <cellStyle name="Note 3 3 3 15 7" xfId="52687"/>
    <cellStyle name="Note 3 3 3 16" xfId="2597"/>
    <cellStyle name="Note 3 3 3 16 2" xfId="10420"/>
    <cellStyle name="Note 3 3 3 16 3" xfId="17848"/>
    <cellStyle name="Note 3 3 3 16 4" xfId="19666"/>
    <cellStyle name="Note 3 3 3 16 5" xfId="27209"/>
    <cellStyle name="Note 3 3 3 16 6" xfId="40307"/>
    <cellStyle name="Note 3 3 3 16 7" xfId="50028"/>
    <cellStyle name="Note 3 3 3 17" xfId="2377"/>
    <cellStyle name="Note 3 3 3 17 2" xfId="10200"/>
    <cellStyle name="Note 3 3 3 17 3" xfId="17628"/>
    <cellStyle name="Note 3 3 3 17 4" xfId="20159"/>
    <cellStyle name="Note 3 3 3 17 5" xfId="28719"/>
    <cellStyle name="Note 3 3 3 17 6" xfId="42129"/>
    <cellStyle name="Note 3 3 3 17 7" xfId="47800"/>
    <cellStyle name="Note 3 3 3 18" xfId="2719"/>
    <cellStyle name="Note 3 3 3 18 2" xfId="10542"/>
    <cellStyle name="Note 3 3 3 18 3" xfId="17970"/>
    <cellStyle name="Note 3 3 3 18 4" xfId="25031"/>
    <cellStyle name="Note 3 3 3 18 5" xfId="33387"/>
    <cellStyle name="Note 3 3 3 18 6" xfId="37983"/>
    <cellStyle name="Note 3 3 3 18 7" xfId="50861"/>
    <cellStyle name="Note 3 3 3 19" xfId="2791"/>
    <cellStyle name="Note 3 3 3 19 2" xfId="10614"/>
    <cellStyle name="Note 3 3 3 19 3" xfId="18042"/>
    <cellStyle name="Note 3 3 3 19 4" xfId="25735"/>
    <cellStyle name="Note 3 3 3 19 5" xfId="34284"/>
    <cellStyle name="Note 3 3 3 19 6" xfId="38059"/>
    <cellStyle name="Note 3 3 3 19 7" xfId="52403"/>
    <cellStyle name="Note 3 3 3 2" xfId="659"/>
    <cellStyle name="Note 3 3 3 2 2" xfId="8483"/>
    <cellStyle name="Note 3 3 3 2 3" xfId="8275"/>
    <cellStyle name="Note 3 3 3 2 4" xfId="25390"/>
    <cellStyle name="Note 3 3 3 2 5" xfId="33838"/>
    <cellStyle name="Note 3 3 3 2 6" xfId="37018"/>
    <cellStyle name="Note 3 3 3 2 7" xfId="51621"/>
    <cellStyle name="Note 3 3 3 20" xfId="2898"/>
    <cellStyle name="Note 3 3 3 20 2" xfId="10721"/>
    <cellStyle name="Note 3 3 3 20 3" xfId="18149"/>
    <cellStyle name="Note 3 3 3 20 4" xfId="20151"/>
    <cellStyle name="Note 3 3 3 20 5" xfId="28456"/>
    <cellStyle name="Note 3 3 3 20 6" xfId="37303"/>
    <cellStyle name="Note 3 3 3 20 7" xfId="48828"/>
    <cellStyle name="Note 3 3 3 21" xfId="3274"/>
    <cellStyle name="Note 3 3 3 21 2" xfId="11067"/>
    <cellStyle name="Note 3 3 3 21 3" xfId="18396"/>
    <cellStyle name="Note 3 3 3 21 4" xfId="20164"/>
    <cellStyle name="Note 3 3 3 21 5" xfId="27411"/>
    <cellStyle name="Note 3 3 3 21 6" xfId="42282"/>
    <cellStyle name="Note 3 3 3 21 7" xfId="48236"/>
    <cellStyle name="Note 3 3 3 22" xfId="3394"/>
    <cellStyle name="Note 3 3 3 22 2" xfId="11185"/>
    <cellStyle name="Note 3 3 3 22 3" xfId="18507"/>
    <cellStyle name="Note 3 3 3 22 4" xfId="19988"/>
    <cellStyle name="Note 3 3 3 22 5" xfId="27099"/>
    <cellStyle name="Note 3 3 3 22 6" xfId="37620"/>
    <cellStyle name="Note 3 3 3 22 7" xfId="47484"/>
    <cellStyle name="Note 3 3 3 23" xfId="3524"/>
    <cellStyle name="Note 3 3 3 23 2" xfId="11315"/>
    <cellStyle name="Note 3 3 3 23 3" xfId="18612"/>
    <cellStyle name="Note 3 3 3 23 4" xfId="25801"/>
    <cellStyle name="Note 3 3 3 23 5" xfId="34377"/>
    <cellStyle name="Note 3 3 3 23 6" xfId="39410"/>
    <cellStyle name="Note 3 3 3 23 7" xfId="52567"/>
    <cellStyle name="Note 3 3 3 24" xfId="2987"/>
    <cellStyle name="Note 3 3 3 24 2" xfId="10809"/>
    <cellStyle name="Note 3 3 3 24 3" xfId="18235"/>
    <cellStyle name="Note 3 3 3 24 4" xfId="19780"/>
    <cellStyle name="Note 3 3 3 24 5" xfId="28114"/>
    <cellStyle name="Note 3 3 3 24 6" xfId="36857"/>
    <cellStyle name="Note 3 3 3 24 7" xfId="48249"/>
    <cellStyle name="Note 3 3 3 25" xfId="3664"/>
    <cellStyle name="Note 3 3 3 25 2" xfId="11449"/>
    <cellStyle name="Note 3 3 3 25 3" xfId="18722"/>
    <cellStyle name="Note 3 3 3 25 4" xfId="19926"/>
    <cellStyle name="Note 3 3 3 25 5" xfId="28821"/>
    <cellStyle name="Note 3 3 3 25 6" xfId="39952"/>
    <cellStyle name="Note 3 3 3 25 7" xfId="48063"/>
    <cellStyle name="Note 3 3 3 26" xfId="3795"/>
    <cellStyle name="Note 3 3 3 26 2" xfId="11577"/>
    <cellStyle name="Note 3 3 3 26 3" xfId="18834"/>
    <cellStyle name="Note 3 3 3 26 4" xfId="19507"/>
    <cellStyle name="Note 3 3 3 26 5" xfId="28184"/>
    <cellStyle name="Note 3 3 3 26 6" xfId="37003"/>
    <cellStyle name="Note 3 3 3 26 7" xfId="48598"/>
    <cellStyle name="Note 3 3 3 27" xfId="3912"/>
    <cellStyle name="Note 3 3 3 27 2" xfId="11692"/>
    <cellStyle name="Note 3 3 3 27 3" xfId="18943"/>
    <cellStyle name="Note 3 3 3 27 4" xfId="19140"/>
    <cellStyle name="Note 3 3 3 27 5" xfId="33120"/>
    <cellStyle name="Note 3 3 3 27 6" xfId="38160"/>
    <cellStyle name="Note 3 3 3 27 7" xfId="49820"/>
    <cellStyle name="Note 3 3 3 28" xfId="3229"/>
    <cellStyle name="Note 3 3 3 28 2" xfId="11025"/>
    <cellStyle name="Note 3 3 3 28 3" xfId="20349"/>
    <cellStyle name="Note 3 3 3 28 4" xfId="28439"/>
    <cellStyle name="Note 3 3 3 28 5" xfId="35895"/>
    <cellStyle name="Note 3 3 3 28 6" xfId="42454"/>
    <cellStyle name="Note 3 3 3 28 7" xfId="52929"/>
    <cellStyle name="Note 3 3 3 29" xfId="4109"/>
    <cellStyle name="Note 3 3 3 29 2" xfId="11869"/>
    <cellStyle name="Note 3 3 3 29 3" xfId="20819"/>
    <cellStyle name="Note 3 3 3 29 4" xfId="29006"/>
    <cellStyle name="Note 3 3 3 29 5" xfId="36037"/>
    <cellStyle name="Note 3 3 3 29 6" xfId="42671"/>
    <cellStyle name="Note 3 3 3 29 7" xfId="53601"/>
    <cellStyle name="Note 3 3 3 3" xfId="766"/>
    <cellStyle name="Note 3 3 3 3 2" xfId="8590"/>
    <cellStyle name="Note 3 3 3 3 3" xfId="16018"/>
    <cellStyle name="Note 3 3 3 3 4" xfId="26081"/>
    <cellStyle name="Note 3 3 3 3 5" xfId="34728"/>
    <cellStyle name="Note 3 3 3 3 6" xfId="37743"/>
    <cellStyle name="Note 3 3 3 3 7" xfId="53169"/>
    <cellStyle name="Note 3 3 3 30" xfId="3054"/>
    <cellStyle name="Note 3 3 3 30 2" xfId="20220"/>
    <cellStyle name="Note 3 3 3 30 3" xfId="28312"/>
    <cellStyle name="Note 3 3 3 30 4" xfId="34670"/>
    <cellStyle name="Note 3 3 3 30 5" xfId="42377"/>
    <cellStyle name="Note 3 3 3 30 6" xfId="48352"/>
    <cellStyle name="Note 3 3 3 31" xfId="4306"/>
    <cellStyle name="Note 3 3 3 31 2" xfId="12023"/>
    <cellStyle name="Note 3 3 3 31 3" xfId="21016"/>
    <cellStyle name="Note 3 3 3 31 4" xfId="29203"/>
    <cellStyle name="Note 3 3 3 31 5" xfId="33563"/>
    <cellStyle name="Note 3 3 3 31 6" xfId="42868"/>
    <cellStyle name="Note 3 3 3 31 7" xfId="48126"/>
    <cellStyle name="Note 3 3 3 32" xfId="4429"/>
    <cellStyle name="Note 3 3 3 32 2" xfId="12146"/>
    <cellStyle name="Note 3 3 3 32 3" xfId="21139"/>
    <cellStyle name="Note 3 3 3 32 4" xfId="29326"/>
    <cellStyle name="Note 3 3 3 32 5" xfId="35831"/>
    <cellStyle name="Note 3 3 3 32 6" xfId="42991"/>
    <cellStyle name="Note 3 3 3 32 7" xfId="52561"/>
    <cellStyle name="Note 3 3 3 33" xfId="4543"/>
    <cellStyle name="Note 3 3 3 33 2" xfId="12260"/>
    <cellStyle name="Note 3 3 3 33 3" xfId="21253"/>
    <cellStyle name="Note 3 3 3 33 4" xfId="29440"/>
    <cellStyle name="Note 3 3 3 33 5" xfId="36183"/>
    <cellStyle name="Note 3 3 3 33 6" xfId="43105"/>
    <cellStyle name="Note 3 3 3 33 7" xfId="54294"/>
    <cellStyle name="Note 3 3 3 34" xfId="4656"/>
    <cellStyle name="Note 3 3 3 34 2" xfId="12373"/>
    <cellStyle name="Note 3 3 3 34 3" xfId="21366"/>
    <cellStyle name="Note 3 3 3 34 4" xfId="29553"/>
    <cellStyle name="Note 3 3 3 34 5" xfId="28018"/>
    <cellStyle name="Note 3 3 3 34 6" xfId="43218"/>
    <cellStyle name="Note 3 3 3 34 7" xfId="51374"/>
    <cellStyle name="Note 3 3 3 35" xfId="4768"/>
    <cellStyle name="Note 3 3 3 35 2" xfId="12485"/>
    <cellStyle name="Note 3 3 3 35 3" xfId="21478"/>
    <cellStyle name="Note 3 3 3 35 4" xfId="29665"/>
    <cellStyle name="Note 3 3 3 35 5" xfId="27647"/>
    <cellStyle name="Note 3 3 3 35 6" xfId="43330"/>
    <cellStyle name="Note 3 3 3 35 7" xfId="49698"/>
    <cellStyle name="Note 3 3 3 36" xfId="4876"/>
    <cellStyle name="Note 3 3 3 36 2" xfId="12593"/>
    <cellStyle name="Note 3 3 3 36 3" xfId="21586"/>
    <cellStyle name="Note 3 3 3 36 4" xfId="29773"/>
    <cellStyle name="Note 3 3 3 36 5" xfId="27665"/>
    <cellStyle name="Note 3 3 3 36 6" xfId="43438"/>
    <cellStyle name="Note 3 3 3 36 7" xfId="51311"/>
    <cellStyle name="Note 3 3 3 37" xfId="4988"/>
    <cellStyle name="Note 3 3 3 37 2" xfId="12705"/>
    <cellStyle name="Note 3 3 3 37 3" xfId="21698"/>
    <cellStyle name="Note 3 3 3 37 4" xfId="29885"/>
    <cellStyle name="Note 3 3 3 37 5" xfId="28130"/>
    <cellStyle name="Note 3 3 3 37 6" xfId="43550"/>
    <cellStyle name="Note 3 3 3 37 7" xfId="48335"/>
    <cellStyle name="Note 3 3 3 38" xfId="5125"/>
    <cellStyle name="Note 3 3 3 38 2" xfId="12842"/>
    <cellStyle name="Note 3 3 3 38 3" xfId="21835"/>
    <cellStyle name="Note 3 3 3 38 4" xfId="30022"/>
    <cellStyle name="Note 3 3 3 38 5" xfId="35666"/>
    <cellStyle name="Note 3 3 3 38 6" xfId="43687"/>
    <cellStyle name="Note 3 3 3 38 7" xfId="51761"/>
    <cellStyle name="Note 3 3 3 39" xfId="5486"/>
    <cellStyle name="Note 3 3 3 39 2" xfId="13203"/>
    <cellStyle name="Note 3 3 3 39 3" xfId="22196"/>
    <cellStyle name="Note 3 3 3 39 4" xfId="30383"/>
    <cellStyle name="Note 3 3 3 39 5" xfId="34465"/>
    <cellStyle name="Note 3 3 3 39 6" xfId="44048"/>
    <cellStyle name="Note 3 3 3 39 7" xfId="50135"/>
    <cellStyle name="Note 3 3 3 4" xfId="878"/>
    <cellStyle name="Note 3 3 3 4 2" xfId="8702"/>
    <cellStyle name="Note 3 3 3 4 3" xfId="16130"/>
    <cellStyle name="Note 3 3 3 4 4" xfId="25436"/>
    <cellStyle name="Note 3 3 3 4 5" xfId="33896"/>
    <cellStyle name="Note 3 3 3 4 6" xfId="37039"/>
    <cellStyle name="Note 3 3 3 4 7" xfId="51720"/>
    <cellStyle name="Note 3 3 3 40" xfId="5611"/>
    <cellStyle name="Note 3 3 3 40 2" xfId="13328"/>
    <cellStyle name="Note 3 3 3 40 3" xfId="22321"/>
    <cellStyle name="Note 3 3 3 40 4" xfId="30508"/>
    <cellStyle name="Note 3 3 3 40 5" xfId="35395"/>
    <cellStyle name="Note 3 3 3 40 6" xfId="44173"/>
    <cellStyle name="Note 3 3 3 40 7" xfId="46839"/>
    <cellStyle name="Note 3 3 3 41" xfId="5726"/>
    <cellStyle name="Note 3 3 3 41 2" xfId="13443"/>
    <cellStyle name="Note 3 3 3 41 3" xfId="22436"/>
    <cellStyle name="Note 3 3 3 41 4" xfId="30623"/>
    <cellStyle name="Note 3 3 3 41 5" xfId="27612"/>
    <cellStyle name="Note 3 3 3 41 6" xfId="44288"/>
    <cellStyle name="Note 3 3 3 41 7" xfId="48525"/>
    <cellStyle name="Note 3 3 3 42" xfId="5843"/>
    <cellStyle name="Note 3 3 3 42 2" xfId="13560"/>
    <cellStyle name="Note 3 3 3 42 3" xfId="22553"/>
    <cellStyle name="Note 3 3 3 42 4" xfId="30740"/>
    <cellStyle name="Note 3 3 3 42 5" xfId="28186"/>
    <cellStyle name="Note 3 3 3 42 6" xfId="44405"/>
    <cellStyle name="Note 3 3 3 42 7" xfId="48788"/>
    <cellStyle name="Note 3 3 3 43" xfId="5971"/>
    <cellStyle name="Note 3 3 3 43 2" xfId="13688"/>
    <cellStyle name="Note 3 3 3 43 3" xfId="22681"/>
    <cellStyle name="Note 3 3 3 43 4" xfId="30868"/>
    <cellStyle name="Note 3 3 3 43 5" xfId="34946"/>
    <cellStyle name="Note 3 3 3 43 6" xfId="44533"/>
    <cellStyle name="Note 3 3 3 43 7" xfId="50203"/>
    <cellStyle name="Note 3 3 3 44" xfId="6080"/>
    <cellStyle name="Note 3 3 3 44 2" xfId="13797"/>
    <cellStyle name="Note 3 3 3 44 3" xfId="22790"/>
    <cellStyle name="Note 3 3 3 44 4" xfId="30977"/>
    <cellStyle name="Note 3 3 3 44 5" xfId="36065"/>
    <cellStyle name="Note 3 3 3 44 6" xfId="44642"/>
    <cellStyle name="Note 3 3 3 44 7" xfId="53360"/>
    <cellStyle name="Note 3 3 3 45" xfId="5291"/>
    <cellStyle name="Note 3 3 3 45 2" xfId="13008"/>
    <cellStyle name="Note 3 3 3 45 3" xfId="22001"/>
    <cellStyle name="Note 3 3 3 45 4" xfId="30188"/>
    <cellStyle name="Note 3 3 3 45 5" xfId="27363"/>
    <cellStyle name="Note 3 3 3 45 6" xfId="43853"/>
    <cellStyle name="Note 3 3 3 45 7" xfId="49947"/>
    <cellStyle name="Note 3 3 3 46" xfId="6227"/>
    <cellStyle name="Note 3 3 3 46 2" xfId="13944"/>
    <cellStyle name="Note 3 3 3 46 3" xfId="22937"/>
    <cellStyle name="Note 3 3 3 46 4" xfId="31124"/>
    <cellStyle name="Note 3 3 3 46 5" xfId="35916"/>
    <cellStyle name="Note 3 3 3 46 6" xfId="44789"/>
    <cellStyle name="Note 3 3 3 46 7" xfId="52790"/>
    <cellStyle name="Note 3 3 3 47" xfId="6344"/>
    <cellStyle name="Note 3 3 3 47 2" xfId="14061"/>
    <cellStyle name="Note 3 3 3 47 3" xfId="23054"/>
    <cellStyle name="Note 3 3 3 47 4" xfId="31241"/>
    <cellStyle name="Note 3 3 3 47 5" xfId="34986"/>
    <cellStyle name="Note 3 3 3 47 6" xfId="44906"/>
    <cellStyle name="Note 3 3 3 47 7" xfId="47866"/>
    <cellStyle name="Note 3 3 3 48" xfId="6454"/>
    <cellStyle name="Note 3 3 3 48 2" xfId="14171"/>
    <cellStyle name="Note 3 3 3 48 3" xfId="23164"/>
    <cellStyle name="Note 3 3 3 48 4" xfId="31351"/>
    <cellStyle name="Note 3 3 3 48 5" xfId="26847"/>
    <cellStyle name="Note 3 3 3 48 6" xfId="45016"/>
    <cellStyle name="Note 3 3 3 48 7" xfId="50663"/>
    <cellStyle name="Note 3 3 3 49" xfId="6196"/>
    <cellStyle name="Note 3 3 3 49 2" xfId="13913"/>
    <cellStyle name="Note 3 3 3 49 3" xfId="22906"/>
    <cellStyle name="Note 3 3 3 49 4" xfId="31093"/>
    <cellStyle name="Note 3 3 3 49 5" xfId="34699"/>
    <cellStyle name="Note 3 3 3 49 6" xfId="44758"/>
    <cellStyle name="Note 3 3 3 49 7" xfId="47226"/>
    <cellStyle name="Note 3 3 3 5" xfId="1343"/>
    <cellStyle name="Note 3 3 3 5 2" xfId="9166"/>
    <cellStyle name="Note 3 3 3 5 3" xfId="16594"/>
    <cellStyle name="Note 3 3 3 5 4" xfId="19915"/>
    <cellStyle name="Note 3 3 3 5 5" xfId="27158"/>
    <cellStyle name="Note 3 3 3 5 6" xfId="36702"/>
    <cellStyle name="Note 3 3 3 5 7" xfId="49485"/>
    <cellStyle name="Note 3 3 3 50" xfId="6601"/>
    <cellStyle name="Note 3 3 3 50 2" xfId="14318"/>
    <cellStyle name="Note 3 3 3 50 3" xfId="23311"/>
    <cellStyle name="Note 3 3 3 50 4" xfId="31498"/>
    <cellStyle name="Note 3 3 3 50 5" xfId="27671"/>
    <cellStyle name="Note 3 3 3 50 6" xfId="45163"/>
    <cellStyle name="Note 3 3 3 50 7" xfId="47537"/>
    <cellStyle name="Note 3 3 3 51" xfId="6712"/>
    <cellStyle name="Note 3 3 3 51 2" xfId="14429"/>
    <cellStyle name="Note 3 3 3 51 3" xfId="23422"/>
    <cellStyle name="Note 3 3 3 51 4" xfId="31609"/>
    <cellStyle name="Note 3 3 3 51 5" xfId="36201"/>
    <cellStyle name="Note 3 3 3 51 6" xfId="45274"/>
    <cellStyle name="Note 3 3 3 51 7" xfId="53915"/>
    <cellStyle name="Note 3 3 3 52" xfId="6827"/>
    <cellStyle name="Note 3 3 3 52 2" xfId="14544"/>
    <cellStyle name="Note 3 3 3 52 3" xfId="23537"/>
    <cellStyle name="Note 3 3 3 52 4" xfId="31724"/>
    <cellStyle name="Note 3 3 3 52 5" xfId="35114"/>
    <cellStyle name="Note 3 3 3 52 6" xfId="45389"/>
    <cellStyle name="Note 3 3 3 52 7" xfId="49143"/>
    <cellStyle name="Note 3 3 3 53" xfId="6940"/>
    <cellStyle name="Note 3 3 3 53 2" xfId="14657"/>
    <cellStyle name="Note 3 3 3 53 3" xfId="23650"/>
    <cellStyle name="Note 3 3 3 53 4" xfId="31837"/>
    <cellStyle name="Note 3 3 3 53 5" xfId="27356"/>
    <cellStyle name="Note 3 3 3 53 6" xfId="45502"/>
    <cellStyle name="Note 3 3 3 53 7" xfId="46776"/>
    <cellStyle name="Note 3 3 3 54" xfId="7052"/>
    <cellStyle name="Note 3 3 3 54 2" xfId="14769"/>
    <cellStyle name="Note 3 3 3 54 3" xfId="23762"/>
    <cellStyle name="Note 3 3 3 54 4" xfId="31949"/>
    <cellStyle name="Note 3 3 3 54 5" xfId="27960"/>
    <cellStyle name="Note 3 3 3 54 6" xfId="45614"/>
    <cellStyle name="Note 3 3 3 54 7" xfId="54306"/>
    <cellStyle name="Note 3 3 3 55" xfId="7308"/>
    <cellStyle name="Note 3 3 3 55 2" xfId="15025"/>
    <cellStyle name="Note 3 3 3 55 3" xfId="24018"/>
    <cellStyle name="Note 3 3 3 55 4" xfId="32205"/>
    <cellStyle name="Note 3 3 3 55 5" xfId="27761"/>
    <cellStyle name="Note 3 3 3 55 6" xfId="45870"/>
    <cellStyle name="Note 3 3 3 55 7" xfId="53643"/>
    <cellStyle name="Note 3 3 3 56" xfId="7227"/>
    <cellStyle name="Note 3 3 3 56 2" xfId="14944"/>
    <cellStyle name="Note 3 3 3 56 3" xfId="23937"/>
    <cellStyle name="Note 3 3 3 56 4" xfId="32124"/>
    <cellStyle name="Note 3 3 3 56 5" xfId="26732"/>
    <cellStyle name="Note 3 3 3 56 6" xfId="45789"/>
    <cellStyle name="Note 3 3 3 56 7" xfId="47241"/>
    <cellStyle name="Note 3 3 3 57" xfId="7449"/>
    <cellStyle name="Note 3 3 3 57 2" xfId="15166"/>
    <cellStyle name="Note 3 3 3 57 3" xfId="24159"/>
    <cellStyle name="Note 3 3 3 57 4" xfId="32346"/>
    <cellStyle name="Note 3 3 3 57 5" xfId="33892"/>
    <cellStyle name="Note 3 3 3 57 6" xfId="46011"/>
    <cellStyle name="Note 3 3 3 57 7" xfId="50764"/>
    <cellStyle name="Note 3 3 3 58" xfId="7570"/>
    <cellStyle name="Note 3 3 3 58 2" xfId="15287"/>
    <cellStyle name="Note 3 3 3 58 3" xfId="24280"/>
    <cellStyle name="Note 3 3 3 58 4" xfId="32467"/>
    <cellStyle name="Note 3 3 3 58 5" xfId="28158"/>
    <cellStyle name="Note 3 3 3 58 6" xfId="46132"/>
    <cellStyle name="Note 3 3 3 58 7" xfId="50262"/>
    <cellStyle name="Note 3 3 3 59" xfId="7846"/>
    <cellStyle name="Note 3 3 3 59 2" xfId="15563"/>
    <cellStyle name="Note 3 3 3 59 3" xfId="24550"/>
    <cellStyle name="Note 3 3 3 59 4" xfId="32743"/>
    <cellStyle name="Note 3 3 3 59 5" xfId="35732"/>
    <cellStyle name="Note 3 3 3 59 6" xfId="46408"/>
    <cellStyle name="Note 3 3 3 59 7" xfId="51353"/>
    <cellStyle name="Note 3 3 3 6" xfId="1466"/>
    <cellStyle name="Note 3 3 3 6 2" xfId="9289"/>
    <cellStyle name="Note 3 3 3 6 3" xfId="16717"/>
    <cellStyle name="Note 3 3 3 6 4" xfId="19089"/>
    <cellStyle name="Note 3 3 3 6 5" xfId="28368"/>
    <cellStyle name="Note 3 3 3 6 6" xfId="37531"/>
    <cellStyle name="Note 3 3 3 6 7" xfId="49280"/>
    <cellStyle name="Note 3 3 3 60" xfId="7701"/>
    <cellStyle name="Note 3 3 3 60 2" xfId="15418"/>
    <cellStyle name="Note 3 3 3 60 3" xfId="24409"/>
    <cellStyle name="Note 3 3 3 60 4" xfId="32598"/>
    <cellStyle name="Note 3 3 3 60 5" xfId="35805"/>
    <cellStyle name="Note 3 3 3 60 6" xfId="46263"/>
    <cellStyle name="Note 3 3 3 60 7" xfId="52020"/>
    <cellStyle name="Note 3 3 3 61" xfId="7970"/>
    <cellStyle name="Note 3 3 3 61 2" xfId="15687"/>
    <cellStyle name="Note 3 3 3 61 3" xfId="24673"/>
    <cellStyle name="Note 3 3 3 61 4" xfId="32867"/>
    <cellStyle name="Note 3 3 3 61 5" xfId="36033"/>
    <cellStyle name="Note 3 3 3 61 6" xfId="46532"/>
    <cellStyle name="Note 3 3 3 61 7" xfId="53131"/>
    <cellStyle name="Note 3 3 3 62" xfId="7717"/>
    <cellStyle name="Note 3 3 3 62 2" xfId="15434"/>
    <cellStyle name="Note 3 3 3 62 3" xfId="24425"/>
    <cellStyle name="Note 3 3 3 62 4" xfId="32614"/>
    <cellStyle name="Note 3 3 3 62 5" xfId="27610"/>
    <cellStyle name="Note 3 3 3 62 6" xfId="46279"/>
    <cellStyle name="Note 3 3 3 62 7" xfId="50197"/>
    <cellStyle name="Note 3 3 3 63" xfId="8122"/>
    <cellStyle name="Note 3 3 3 63 2" xfId="15839"/>
    <cellStyle name="Note 3 3 3 63 3" xfId="33019"/>
    <cellStyle name="Note 3 3 3 63 4" xfId="35797"/>
    <cellStyle name="Note 3 3 3 63 5" xfId="46684"/>
    <cellStyle name="Note 3 3 3 63 6" xfId="51981"/>
    <cellStyle name="Note 3 3 3 64" xfId="25180"/>
    <cellStyle name="Note 3 3 3 65" xfId="33562"/>
    <cellStyle name="Note 3 3 3 66" xfId="37871"/>
    <cellStyle name="Note 3 3 3 67" xfId="51177"/>
    <cellStyle name="Note 3 3 3 7" xfId="1553"/>
    <cellStyle name="Note 3 3 3 7 2" xfId="9376"/>
    <cellStyle name="Note 3 3 3 7 3" xfId="16804"/>
    <cellStyle name="Note 3 3 3 7 4" xfId="26497"/>
    <cellStyle name="Note 3 3 3 7 5" xfId="35290"/>
    <cellStyle name="Note 3 3 3 7 6" xfId="37972"/>
    <cellStyle name="Note 3 3 3 7 7" xfId="54074"/>
    <cellStyle name="Note 3 3 3 8" xfId="1703"/>
    <cellStyle name="Note 3 3 3 8 2" xfId="9526"/>
    <cellStyle name="Note 3 3 3 8 3" xfId="16954"/>
    <cellStyle name="Note 3 3 3 8 4" xfId="26575"/>
    <cellStyle name="Note 3 3 3 8 5" xfId="35391"/>
    <cellStyle name="Note 3 3 3 8 6" xfId="36617"/>
    <cellStyle name="Note 3 3 3 8 7" xfId="54224"/>
    <cellStyle name="Note 3 3 3 9" xfId="1837"/>
    <cellStyle name="Note 3 3 3 9 2" xfId="9660"/>
    <cellStyle name="Note 3 3 3 9 3" xfId="17088"/>
    <cellStyle name="Note 3 3 3 9 4" xfId="19842"/>
    <cellStyle name="Note 3 3 3 9 5" xfId="28073"/>
    <cellStyle name="Note 3 3 3 9 6" xfId="36610"/>
    <cellStyle name="Note 3 3 3 9 7" xfId="48407"/>
    <cellStyle name="Note 3 3 30" xfId="3197"/>
    <cellStyle name="Note 3 3 30 2" xfId="10997"/>
    <cellStyle name="Note 3 3 30 3" xfId="18346"/>
    <cellStyle name="Note 3 3 30 4" xfId="20027"/>
    <cellStyle name="Note 3 3 30 5" xfId="28847"/>
    <cellStyle name="Note 3 3 30 6" xfId="39505"/>
    <cellStyle name="Note 3 3 30 7" xfId="47430"/>
    <cellStyle name="Note 3 3 31" xfId="3150"/>
    <cellStyle name="Note 3 3 31 2" xfId="10954"/>
    <cellStyle name="Note 3 3 31 3" xfId="18324"/>
    <cellStyle name="Note 3 3 31 4" xfId="26504"/>
    <cellStyle name="Note 3 3 31 5" xfId="35298"/>
    <cellStyle name="Note 3 3 31 6" xfId="40166"/>
    <cellStyle name="Note 3 3 31 7" xfId="54082"/>
    <cellStyle name="Note 3 3 32" xfId="3153"/>
    <cellStyle name="Note 3 3 32 2" xfId="10955"/>
    <cellStyle name="Note 3 3 32 3" xfId="18325"/>
    <cellStyle name="Note 3 3 32 4" xfId="19219"/>
    <cellStyle name="Note 3 3 32 5" xfId="28504"/>
    <cellStyle name="Note 3 3 32 6" xfId="39818"/>
    <cellStyle name="Note 3 3 32 7" xfId="48191"/>
    <cellStyle name="Note 3 3 33" xfId="3841"/>
    <cellStyle name="Note 3 3 33 2" xfId="11623"/>
    <cellStyle name="Note 3 3 33 3" xfId="20638"/>
    <cellStyle name="Note 3 3 33 4" xfId="28806"/>
    <cellStyle name="Note 3 3 33 5" xfId="33819"/>
    <cellStyle name="Note 3 3 33 6" xfId="42544"/>
    <cellStyle name="Note 3 3 33 7" xfId="50380"/>
    <cellStyle name="Note 3 3 34" xfId="3881"/>
    <cellStyle name="Note 3 3 34 2" xfId="11662"/>
    <cellStyle name="Note 3 3 34 3" xfId="20651"/>
    <cellStyle name="Note 3 3 34 4" xfId="28822"/>
    <cellStyle name="Note 3 3 34 5" xfId="35961"/>
    <cellStyle name="Note 3 3 34 6" xfId="42549"/>
    <cellStyle name="Note 3 3 34 7" xfId="53239"/>
    <cellStyle name="Note 3 3 35" xfId="4252"/>
    <cellStyle name="Note 3 3 35 2" xfId="20962"/>
    <cellStyle name="Note 3 3 35 3" xfId="29149"/>
    <cellStyle name="Note 3 3 35 4" xfId="36113"/>
    <cellStyle name="Note 3 3 35 5" xfId="42814"/>
    <cellStyle name="Note 3 3 35 6" xfId="53950"/>
    <cellStyle name="Note 3 3 36" xfId="4257"/>
    <cellStyle name="Note 3 3 36 2" xfId="11980"/>
    <cellStyle name="Note 3 3 36 3" xfId="20967"/>
    <cellStyle name="Note 3 3 36 4" xfId="29154"/>
    <cellStyle name="Note 3 3 36 5" xfId="35989"/>
    <cellStyle name="Note 3 3 36 6" xfId="42819"/>
    <cellStyle name="Note 3 3 36 7" xfId="53362"/>
    <cellStyle name="Note 3 3 37" xfId="4354"/>
    <cellStyle name="Note 3 3 37 2" xfId="12071"/>
    <cellStyle name="Note 3 3 37 3" xfId="21064"/>
    <cellStyle name="Note 3 3 37 4" xfId="29251"/>
    <cellStyle name="Note 3 3 37 5" xfId="36031"/>
    <cellStyle name="Note 3 3 37 6" xfId="42916"/>
    <cellStyle name="Note 3 3 37 7" xfId="53561"/>
    <cellStyle name="Note 3 3 38" xfId="3577"/>
    <cellStyle name="Note 3 3 38 2" xfId="11366"/>
    <cellStyle name="Note 3 3 38 3" xfId="20533"/>
    <cellStyle name="Note 3 3 38 4" xfId="28659"/>
    <cellStyle name="Note 3 3 38 5" xfId="36138"/>
    <cellStyle name="Note 3 3 38 6" xfId="42514"/>
    <cellStyle name="Note 3 3 38 7" xfId="54057"/>
    <cellStyle name="Note 3 3 39" xfId="4394"/>
    <cellStyle name="Note 3 3 39 2" xfId="12111"/>
    <cellStyle name="Note 3 3 39 3" xfId="21104"/>
    <cellStyle name="Note 3 3 39 4" xfId="29291"/>
    <cellStyle name="Note 3 3 39 5" xfId="35271"/>
    <cellStyle name="Note 3 3 39 6" xfId="42956"/>
    <cellStyle name="Note 3 3 39 7" xfId="49446"/>
    <cellStyle name="Note 3 3 4" xfId="580"/>
    <cellStyle name="Note 3 3 4 10" xfId="2027"/>
    <cellStyle name="Note 3 3 4 10 2" xfId="9850"/>
    <cellStyle name="Note 3 3 4 10 3" xfId="17278"/>
    <cellStyle name="Note 3 3 4 10 4" xfId="19206"/>
    <cellStyle name="Note 3 3 4 10 5" xfId="28012"/>
    <cellStyle name="Note 3 3 4 10 6" xfId="40242"/>
    <cellStyle name="Note 3 3 4 10 7" xfId="49913"/>
    <cellStyle name="Note 3 3 4 11" xfId="2143"/>
    <cellStyle name="Note 3 3 4 11 2" xfId="9966"/>
    <cellStyle name="Note 3 3 4 11 3" xfId="17394"/>
    <cellStyle name="Note 3 3 4 11 4" xfId="24946"/>
    <cellStyle name="Note 3 3 4 11 5" xfId="33282"/>
    <cellStyle name="Note 3 3 4 11 6" xfId="38214"/>
    <cellStyle name="Note 3 3 4 11 7" xfId="50668"/>
    <cellStyle name="Note 3 3 4 12" xfId="2257"/>
    <cellStyle name="Note 3 3 4 12 2" xfId="10080"/>
    <cellStyle name="Note 3 3 4 12 3" xfId="17508"/>
    <cellStyle name="Note 3 3 4 12 4" xfId="19975"/>
    <cellStyle name="Note 3 3 4 12 5" xfId="28577"/>
    <cellStyle name="Note 3 3 4 12 6" xfId="38826"/>
    <cellStyle name="Note 3 3 4 12 7" xfId="48217"/>
    <cellStyle name="Note 3 3 4 13" xfId="1668"/>
    <cellStyle name="Note 3 3 4 13 2" xfId="9491"/>
    <cellStyle name="Note 3 3 4 13 3" xfId="16919"/>
    <cellStyle name="Note 3 3 4 13 4" xfId="19743"/>
    <cellStyle name="Note 3 3 4 13 5" xfId="33124"/>
    <cellStyle name="Note 3 3 4 13 6" xfId="38941"/>
    <cellStyle name="Note 3 3 4 13 7" xfId="50377"/>
    <cellStyle name="Note 3 3 4 14" xfId="1244"/>
    <cellStyle name="Note 3 3 4 14 2" xfId="9067"/>
    <cellStyle name="Note 3 3 4 14 3" xfId="16495"/>
    <cellStyle name="Note 3 3 4 14 4" xfId="24920"/>
    <cellStyle name="Note 3 3 4 14 5" xfId="33249"/>
    <cellStyle name="Note 3 3 4 14 6" xfId="37297"/>
    <cellStyle name="Note 3 3 4 14 7" xfId="50614"/>
    <cellStyle name="Note 3 3 4 15" xfId="2555"/>
    <cellStyle name="Note 3 3 4 15 2" xfId="10378"/>
    <cellStyle name="Note 3 3 4 15 3" xfId="17806"/>
    <cellStyle name="Note 3 3 4 15 4" xfId="26521"/>
    <cellStyle name="Note 3 3 4 15 5" xfId="35319"/>
    <cellStyle name="Note 3 3 4 15 6" xfId="36551"/>
    <cellStyle name="Note 3 3 4 15 7" xfId="54113"/>
    <cellStyle name="Note 3 3 4 16" xfId="2669"/>
    <cellStyle name="Note 3 3 4 16 2" xfId="10492"/>
    <cellStyle name="Note 3 3 4 16 3" xfId="17920"/>
    <cellStyle name="Note 3 3 4 16 4" xfId="19870"/>
    <cellStyle name="Note 3 3 4 16 5" xfId="27480"/>
    <cellStyle name="Note 3 3 4 16 6" xfId="38510"/>
    <cellStyle name="Note 3 3 4 16 7" xfId="48990"/>
    <cellStyle name="Note 3 3 4 17" xfId="2438"/>
    <cellStyle name="Note 3 3 4 17 2" xfId="10261"/>
    <cellStyle name="Note 3 3 4 17 3" xfId="17689"/>
    <cellStyle name="Note 3 3 4 17 4" xfId="19830"/>
    <cellStyle name="Note 3 3 4 17 5" xfId="28494"/>
    <cellStyle name="Note 3 3 4 17 6" xfId="41510"/>
    <cellStyle name="Note 3 3 4 17 7" xfId="50035"/>
    <cellStyle name="Note 3 3 4 18" xfId="2715"/>
    <cellStyle name="Note 3 3 4 18 2" xfId="10538"/>
    <cellStyle name="Note 3 3 4 18 3" xfId="17966"/>
    <cellStyle name="Note 3 3 4 18 4" xfId="25240"/>
    <cellStyle name="Note 3 3 4 18 5" xfId="33644"/>
    <cellStyle name="Note 3 3 4 18 6" xfId="38218"/>
    <cellStyle name="Note 3 3 4 18 7" xfId="51299"/>
    <cellStyle name="Note 3 3 4 19" xfId="2859"/>
    <cellStyle name="Note 3 3 4 19 2" xfId="10682"/>
    <cellStyle name="Note 3 3 4 19 3" xfId="18110"/>
    <cellStyle name="Note 3 3 4 19 4" xfId="25936"/>
    <cellStyle name="Note 3 3 4 19 5" xfId="34541"/>
    <cellStyle name="Note 3 3 4 19 6" xfId="38418"/>
    <cellStyle name="Note 3 3 4 19 7" xfId="52865"/>
    <cellStyle name="Note 3 3 4 2" xfId="727"/>
    <cellStyle name="Note 3 3 4 2 2" xfId="8551"/>
    <cellStyle name="Note 3 3 4 2 3" xfId="15979"/>
    <cellStyle name="Note 3 3 4 2 4" xfId="19328"/>
    <cellStyle name="Note 3 3 4 2 5" xfId="27609"/>
    <cellStyle name="Note 3 3 4 2 6" xfId="37597"/>
    <cellStyle name="Note 3 3 4 2 7" xfId="47473"/>
    <cellStyle name="Note 3 3 4 20" xfId="2966"/>
    <cellStyle name="Note 3 3 4 20 2" xfId="10789"/>
    <cellStyle name="Note 3 3 4 20 3" xfId="18217"/>
    <cellStyle name="Note 3 3 4 20 4" xfId="20238"/>
    <cellStyle name="Note 3 3 4 20 5" xfId="26963"/>
    <cellStyle name="Note 3 3 4 20 6" xfId="37874"/>
    <cellStyle name="Note 3 3 4 20 7" xfId="49052"/>
    <cellStyle name="Note 3 3 4 21" xfId="3344"/>
    <cellStyle name="Note 3 3 4 21 2" xfId="11137"/>
    <cellStyle name="Note 3 3 4 21 3" xfId="18464"/>
    <cellStyle name="Note 3 3 4 21 4" xfId="19638"/>
    <cellStyle name="Note 3 3 4 21 5" xfId="28090"/>
    <cellStyle name="Note 3 3 4 21 6" xfId="37047"/>
    <cellStyle name="Note 3 3 4 21 7" xfId="47339"/>
    <cellStyle name="Note 3 3 4 22" xfId="3463"/>
    <cellStyle name="Note 3 3 4 22 2" xfId="11254"/>
    <cellStyle name="Note 3 3 4 22 3" xfId="18575"/>
    <cellStyle name="Note 3 3 4 22 4" xfId="25163"/>
    <cellStyle name="Note 3 3 4 22 5" xfId="33541"/>
    <cellStyle name="Note 3 3 4 22 6" xfId="37747"/>
    <cellStyle name="Note 3 3 4 22 7" xfId="51136"/>
    <cellStyle name="Note 3 3 4 23" xfId="3584"/>
    <cellStyle name="Note 3 3 4 23 2" xfId="11372"/>
    <cellStyle name="Note 3 3 4 23 3" xfId="18648"/>
    <cellStyle name="Note 3 3 4 23 4" xfId="26279"/>
    <cellStyle name="Note 3 3 4 23 5" xfId="34982"/>
    <cellStyle name="Note 3 3 4 23 6" xfId="40874"/>
    <cellStyle name="Note 3 3 4 23 7" xfId="53597"/>
    <cellStyle name="Note 3 3 4 24" xfId="3622"/>
    <cellStyle name="Note 3 3 4 24 2" xfId="11408"/>
    <cellStyle name="Note 3 3 4 24 3" xfId="18682"/>
    <cellStyle name="Note 3 3 4 24 4" xfId="19038"/>
    <cellStyle name="Note 3 3 4 24 5" xfId="27145"/>
    <cellStyle name="Note 3 3 4 24 6" xfId="37294"/>
    <cellStyle name="Note 3 3 4 24 7" xfId="49875"/>
    <cellStyle name="Note 3 3 4 25" xfId="3736"/>
    <cellStyle name="Note 3 3 4 25 2" xfId="11521"/>
    <cellStyle name="Note 3 3 4 25 3" xfId="18792"/>
    <cellStyle name="Note 3 3 4 25 4" xfId="19635"/>
    <cellStyle name="Note 3 3 4 25 5" xfId="27161"/>
    <cellStyle name="Note 3 3 4 25 6" xfId="41097"/>
    <cellStyle name="Note 3 3 4 25 7" xfId="47711"/>
    <cellStyle name="Note 3 3 4 26" xfId="3865"/>
    <cellStyle name="Note 3 3 4 26 2" xfId="11647"/>
    <cellStyle name="Note 3 3 4 26 3" xfId="18902"/>
    <cellStyle name="Note 3 3 4 26 4" xfId="25579"/>
    <cellStyle name="Note 3 3 4 26 5" xfId="34082"/>
    <cellStyle name="Note 3 3 4 26 6" xfId="39137"/>
    <cellStyle name="Note 3 3 4 26 7" xfId="52048"/>
    <cellStyle name="Note 3 3 4 27" xfId="3983"/>
    <cellStyle name="Note 3 3 4 27 2" xfId="11762"/>
    <cellStyle name="Note 3 3 4 27 3" xfId="19011"/>
    <cellStyle name="Note 3 3 4 27 4" xfId="25355"/>
    <cellStyle name="Note 3 3 4 27 5" xfId="33791"/>
    <cellStyle name="Note 3 3 4 27 6" xfId="38281"/>
    <cellStyle name="Note 3 3 4 27 7" xfId="51545"/>
    <cellStyle name="Note 3 3 4 28" xfId="3574"/>
    <cellStyle name="Note 3 3 4 28 2" xfId="11363"/>
    <cellStyle name="Note 3 3 4 28 3" xfId="20531"/>
    <cellStyle name="Note 3 3 4 28 4" xfId="28657"/>
    <cellStyle name="Note 3 3 4 28 5" xfId="28631"/>
    <cellStyle name="Note 3 3 4 28 6" xfId="42513"/>
    <cellStyle name="Note 3 3 4 28 7" xfId="48381"/>
    <cellStyle name="Note 3 3 4 29" xfId="4179"/>
    <cellStyle name="Note 3 3 4 29 2" xfId="11938"/>
    <cellStyle name="Note 3 3 4 29 3" xfId="20889"/>
    <cellStyle name="Note 3 3 4 29 4" xfId="29076"/>
    <cellStyle name="Note 3 3 4 29 5" xfId="36116"/>
    <cellStyle name="Note 3 3 4 29 6" xfId="42741"/>
    <cellStyle name="Note 3 3 4 29 7" xfId="53961"/>
    <cellStyle name="Note 3 3 4 3" xfId="836"/>
    <cellStyle name="Note 3 3 4 3 2" xfId="8660"/>
    <cellStyle name="Note 3 3 4 3 3" xfId="16088"/>
    <cellStyle name="Note 3 3 4 3 4" xfId="25748"/>
    <cellStyle name="Note 3 3 4 3 5" xfId="34299"/>
    <cellStyle name="Note 3 3 4 3 6" xfId="36625"/>
    <cellStyle name="Note 3 3 4 3 7" xfId="52426"/>
    <cellStyle name="Note 3 3 4 30" xfId="4258"/>
    <cellStyle name="Note 3 3 4 30 2" xfId="20968"/>
    <cellStyle name="Note 3 3 4 30 3" xfId="29155"/>
    <cellStyle name="Note 3 3 4 30 4" xfId="35966"/>
    <cellStyle name="Note 3 3 4 30 5" xfId="42820"/>
    <cellStyle name="Note 3 3 4 30 6" xfId="53257"/>
    <cellStyle name="Note 3 3 4 31" xfId="4378"/>
    <cellStyle name="Note 3 3 4 31 2" xfId="12095"/>
    <cellStyle name="Note 3 3 4 31 3" xfId="21088"/>
    <cellStyle name="Note 3 3 4 31 4" xfId="29275"/>
    <cellStyle name="Note 3 3 4 31 5" xfId="26931"/>
    <cellStyle name="Note 3 3 4 31 6" xfId="42940"/>
    <cellStyle name="Note 3 3 4 31 7" xfId="51108"/>
    <cellStyle name="Note 3 3 4 32" xfId="4499"/>
    <cellStyle name="Note 3 3 4 32 2" xfId="12216"/>
    <cellStyle name="Note 3 3 4 32 3" xfId="21209"/>
    <cellStyle name="Note 3 3 4 32 4" xfId="29396"/>
    <cellStyle name="Note 3 3 4 32 5" xfId="35627"/>
    <cellStyle name="Note 3 3 4 32 6" xfId="43061"/>
    <cellStyle name="Note 3 3 4 32 7" xfId="51619"/>
    <cellStyle name="Note 3 3 4 33" xfId="4613"/>
    <cellStyle name="Note 3 3 4 33 2" xfId="12330"/>
    <cellStyle name="Note 3 3 4 33 3" xfId="21323"/>
    <cellStyle name="Note 3 3 4 33 4" xfId="29510"/>
    <cellStyle name="Note 3 3 4 33 5" xfId="35956"/>
    <cellStyle name="Note 3 3 4 33 6" xfId="43175"/>
    <cellStyle name="Note 3 3 4 33 7" xfId="53198"/>
    <cellStyle name="Note 3 3 4 34" xfId="4726"/>
    <cellStyle name="Note 3 3 4 34 2" xfId="12443"/>
    <cellStyle name="Note 3 3 4 34 3" xfId="21436"/>
    <cellStyle name="Note 3 3 4 34 4" xfId="29623"/>
    <cellStyle name="Note 3 3 4 34 5" xfId="35708"/>
    <cellStyle name="Note 3 3 4 34 6" xfId="43288"/>
    <cellStyle name="Note 3 3 4 34 7" xfId="52004"/>
    <cellStyle name="Note 3 3 4 35" xfId="4836"/>
    <cellStyle name="Note 3 3 4 35 2" xfId="12553"/>
    <cellStyle name="Note 3 3 4 35 3" xfId="21546"/>
    <cellStyle name="Note 3 3 4 35 4" xfId="29733"/>
    <cellStyle name="Note 3 3 4 35 5" xfId="33910"/>
    <cellStyle name="Note 3 3 4 35 6" xfId="43398"/>
    <cellStyle name="Note 3 3 4 35 7" xfId="48775"/>
    <cellStyle name="Note 3 3 4 36" xfId="4946"/>
    <cellStyle name="Note 3 3 4 36 2" xfId="12663"/>
    <cellStyle name="Note 3 3 4 36 3" xfId="21656"/>
    <cellStyle name="Note 3 3 4 36 4" xfId="29843"/>
    <cellStyle name="Note 3 3 4 36 5" xfId="35950"/>
    <cellStyle name="Note 3 3 4 36 6" xfId="43508"/>
    <cellStyle name="Note 3 3 4 36 7" xfId="53181"/>
    <cellStyle name="Note 3 3 4 37" xfId="5056"/>
    <cellStyle name="Note 3 3 4 37 2" xfId="12773"/>
    <cellStyle name="Note 3 3 4 37 3" xfId="21766"/>
    <cellStyle name="Note 3 3 4 37 4" xfId="29953"/>
    <cellStyle name="Note 3 3 4 37 5" xfId="36185"/>
    <cellStyle name="Note 3 3 4 37 6" xfId="43618"/>
    <cellStyle name="Note 3 3 4 37 7" xfId="54305"/>
    <cellStyle name="Note 3 3 4 38" xfId="5436"/>
    <cellStyle name="Note 3 3 4 38 2" xfId="13153"/>
    <cellStyle name="Note 3 3 4 38 3" xfId="22146"/>
    <cellStyle name="Note 3 3 4 38 4" xfId="30333"/>
    <cellStyle name="Note 3 3 4 38 5" xfId="35444"/>
    <cellStyle name="Note 3 3 4 38 6" xfId="43998"/>
    <cellStyle name="Note 3 3 4 38 7" xfId="49166"/>
    <cellStyle name="Note 3 3 4 39" xfId="5556"/>
    <cellStyle name="Note 3 3 4 39 2" xfId="13273"/>
    <cellStyle name="Note 3 3 4 39 3" xfId="22266"/>
    <cellStyle name="Note 3 3 4 39 4" xfId="30453"/>
    <cellStyle name="Note 3 3 4 39 5" xfId="27632"/>
    <cellStyle name="Note 3 3 4 39 6" xfId="44118"/>
    <cellStyle name="Note 3 3 4 39 7" xfId="46845"/>
    <cellStyle name="Note 3 3 4 4" xfId="946"/>
    <cellStyle name="Note 3 3 4 4 2" xfId="8770"/>
    <cellStyle name="Note 3 3 4 4 3" xfId="16198"/>
    <cellStyle name="Note 3 3 4 4 4" xfId="19658"/>
    <cellStyle name="Note 3 3 4 4 5" xfId="27283"/>
    <cellStyle name="Note 3 3 4 4 6" xfId="37511"/>
    <cellStyle name="Note 3 3 4 4 7" xfId="47751"/>
    <cellStyle name="Note 3 3 4 40" xfId="5681"/>
    <cellStyle name="Note 3 3 4 40 2" xfId="13398"/>
    <cellStyle name="Note 3 3 4 40 3" xfId="22391"/>
    <cellStyle name="Note 3 3 4 40 4" xfId="30578"/>
    <cellStyle name="Note 3 3 4 40 5" xfId="28121"/>
    <cellStyle name="Note 3 3 4 40 6" xfId="44243"/>
    <cellStyle name="Note 3 3 4 40 7" xfId="47095"/>
    <cellStyle name="Note 3 3 4 41" xfId="5796"/>
    <cellStyle name="Note 3 3 4 41 2" xfId="13513"/>
    <cellStyle name="Note 3 3 4 41 3" xfId="22506"/>
    <cellStyle name="Note 3 3 4 41 4" xfId="30693"/>
    <cellStyle name="Note 3 3 4 41 5" xfId="36168"/>
    <cellStyle name="Note 3 3 4 41 6" xfId="44358"/>
    <cellStyle name="Note 3 3 4 41 7" xfId="53594"/>
    <cellStyle name="Note 3 3 4 42" xfId="5914"/>
    <cellStyle name="Note 3 3 4 42 2" xfId="13631"/>
    <cellStyle name="Note 3 3 4 42 3" xfId="22624"/>
    <cellStyle name="Note 3 3 4 42 4" xfId="30811"/>
    <cellStyle name="Note 3 3 4 42 5" xfId="35819"/>
    <cellStyle name="Note 3 3 4 42 6" xfId="44476"/>
    <cellStyle name="Note 3 3 4 42 7" xfId="51849"/>
    <cellStyle name="Note 3 3 4 43" xfId="6041"/>
    <cellStyle name="Note 3 3 4 43 2" xfId="13758"/>
    <cellStyle name="Note 3 3 4 43 3" xfId="22751"/>
    <cellStyle name="Note 3 3 4 43 4" xfId="30938"/>
    <cellStyle name="Note 3 3 4 43 5" xfId="34349"/>
    <cellStyle name="Note 3 3 4 43 6" xfId="44603"/>
    <cellStyle name="Note 3 3 4 43 7" xfId="50209"/>
    <cellStyle name="Note 3 3 4 44" xfId="6127"/>
    <cellStyle name="Note 3 3 4 44 2" xfId="13844"/>
    <cellStyle name="Note 3 3 4 44 3" xfId="22837"/>
    <cellStyle name="Note 3 3 4 44 4" xfId="31024"/>
    <cellStyle name="Note 3 3 4 44 5" xfId="34185"/>
    <cellStyle name="Note 3 3 4 44 6" xfId="44689"/>
    <cellStyle name="Note 3 3 4 44 7" xfId="50609"/>
    <cellStyle name="Note 3 3 4 45" xfId="6169"/>
    <cellStyle name="Note 3 3 4 45 2" xfId="13886"/>
    <cellStyle name="Note 3 3 4 45 3" xfId="22879"/>
    <cellStyle name="Note 3 3 4 45 4" xfId="31066"/>
    <cellStyle name="Note 3 3 4 45 5" xfId="35637"/>
    <cellStyle name="Note 3 3 4 45 6" xfId="44731"/>
    <cellStyle name="Note 3 3 4 45 7" xfId="51261"/>
    <cellStyle name="Note 3 3 4 46" xfId="6297"/>
    <cellStyle name="Note 3 3 4 46 2" xfId="14014"/>
    <cellStyle name="Note 3 3 4 46 3" xfId="23007"/>
    <cellStyle name="Note 3 3 4 46 4" xfId="31194"/>
    <cellStyle name="Note 3 3 4 46 5" xfId="27651"/>
    <cellStyle name="Note 3 3 4 46 6" xfId="44859"/>
    <cellStyle name="Note 3 3 4 46 7" xfId="48226"/>
    <cellStyle name="Note 3 3 4 47" xfId="6412"/>
    <cellStyle name="Note 3 3 4 47 2" xfId="14129"/>
    <cellStyle name="Note 3 3 4 47 3" xfId="23122"/>
    <cellStyle name="Note 3 3 4 47 4" xfId="31309"/>
    <cellStyle name="Note 3 3 4 47 5" xfId="27711"/>
    <cellStyle name="Note 3 3 4 47 6" xfId="44974"/>
    <cellStyle name="Note 3 3 4 47 7" xfId="47310"/>
    <cellStyle name="Note 3 3 4 48" xfId="6524"/>
    <cellStyle name="Note 3 3 4 48 2" xfId="14241"/>
    <cellStyle name="Note 3 3 4 48 3" xfId="23234"/>
    <cellStyle name="Note 3 3 4 48 4" xfId="31421"/>
    <cellStyle name="Note 3 3 4 48 5" xfId="35716"/>
    <cellStyle name="Note 3 3 4 48 6" xfId="45086"/>
    <cellStyle name="Note 3 3 4 48 7" xfId="51469"/>
    <cellStyle name="Note 3 3 4 49" xfId="5450"/>
    <cellStyle name="Note 3 3 4 49 2" xfId="13167"/>
    <cellStyle name="Note 3 3 4 49 3" xfId="22160"/>
    <cellStyle name="Note 3 3 4 49 4" xfId="30347"/>
    <cellStyle name="Note 3 3 4 49 5" xfId="36066"/>
    <cellStyle name="Note 3 3 4 49 6" xfId="44012"/>
    <cellStyle name="Note 3 3 4 49 7" xfId="53745"/>
    <cellStyle name="Note 3 3 4 5" xfId="1414"/>
    <cellStyle name="Note 3 3 4 5 2" xfId="9237"/>
    <cellStyle name="Note 3 3 4 5 3" xfId="16665"/>
    <cellStyle name="Note 3 3 4 5 4" xfId="24822"/>
    <cellStyle name="Note 3 3 4 5 5" xfId="27607"/>
    <cellStyle name="Note 3 3 4 5 6" xfId="37012"/>
    <cellStyle name="Note 3 3 4 5 7" xfId="48562"/>
    <cellStyle name="Note 3 3 4 50" xfId="6671"/>
    <cellStyle name="Note 3 3 4 50 2" xfId="14388"/>
    <cellStyle name="Note 3 3 4 50 3" xfId="23381"/>
    <cellStyle name="Note 3 3 4 50 4" xfId="31568"/>
    <cellStyle name="Note 3 3 4 50 5" xfId="33610"/>
    <cellStyle name="Note 3 3 4 50 6" xfId="45233"/>
    <cellStyle name="Note 3 3 4 50 7" xfId="47565"/>
    <cellStyle name="Note 3 3 4 51" xfId="6782"/>
    <cellStyle name="Note 3 3 4 51 2" xfId="14499"/>
    <cellStyle name="Note 3 3 4 51 3" xfId="23492"/>
    <cellStyle name="Note 3 3 4 51 4" xfId="31679"/>
    <cellStyle name="Note 3 3 4 51 5" xfId="36128"/>
    <cellStyle name="Note 3 3 4 51 6" xfId="45344"/>
    <cellStyle name="Note 3 3 4 51 7" xfId="53938"/>
    <cellStyle name="Note 3 3 4 52" xfId="6897"/>
    <cellStyle name="Note 3 3 4 52 2" xfId="14614"/>
    <cellStyle name="Note 3 3 4 52 3" xfId="23607"/>
    <cellStyle name="Note 3 3 4 52 4" xfId="31794"/>
    <cellStyle name="Note 3 3 4 52 5" xfId="26854"/>
    <cellStyle name="Note 3 3 4 52 6" xfId="45459"/>
    <cellStyle name="Note 3 3 4 52 7" xfId="47056"/>
    <cellStyle name="Note 3 3 4 53" xfId="7010"/>
    <cellStyle name="Note 3 3 4 53 2" xfId="14727"/>
    <cellStyle name="Note 3 3 4 53 3" xfId="23720"/>
    <cellStyle name="Note 3 3 4 53 4" xfId="31907"/>
    <cellStyle name="Note 3 3 4 53 5" xfId="34587"/>
    <cellStyle name="Note 3 3 4 53 6" xfId="45572"/>
    <cellStyle name="Note 3 3 4 53 7" xfId="47019"/>
    <cellStyle name="Note 3 3 4 54" xfId="7120"/>
    <cellStyle name="Note 3 3 4 54 2" xfId="14837"/>
    <cellStyle name="Note 3 3 4 54 3" xfId="23830"/>
    <cellStyle name="Note 3 3 4 54 4" xfId="32017"/>
    <cellStyle name="Note 3 3 4 54 5" xfId="36091"/>
    <cellStyle name="Note 3 3 4 54 6" xfId="45682"/>
    <cellStyle name="Note 3 3 4 54 7" xfId="53283"/>
    <cellStyle name="Note 3 3 4 55" xfId="7158"/>
    <cellStyle name="Note 3 3 4 55 2" xfId="14875"/>
    <cellStyle name="Note 3 3 4 55 3" xfId="23868"/>
    <cellStyle name="Note 3 3 4 55 4" xfId="32055"/>
    <cellStyle name="Note 3 3 4 55 5" xfId="26795"/>
    <cellStyle name="Note 3 3 4 55 6" xfId="45720"/>
    <cellStyle name="Note 3 3 4 55 7" xfId="49286"/>
    <cellStyle name="Note 3 3 4 56" xfId="7226"/>
    <cellStyle name="Note 3 3 4 56 2" xfId="14943"/>
    <cellStyle name="Note 3 3 4 56 3" xfId="23936"/>
    <cellStyle name="Note 3 3 4 56 4" xfId="32123"/>
    <cellStyle name="Note 3 3 4 56 5" xfId="27731"/>
    <cellStyle name="Note 3 3 4 56 6" xfId="45788"/>
    <cellStyle name="Note 3 3 4 56 7" xfId="48608"/>
    <cellStyle name="Note 3 3 4 57" xfId="7517"/>
    <cellStyle name="Note 3 3 4 57 2" xfId="15234"/>
    <cellStyle name="Note 3 3 4 57 3" xfId="24227"/>
    <cellStyle name="Note 3 3 4 57 4" xfId="32414"/>
    <cellStyle name="Note 3 3 4 57 5" xfId="34178"/>
    <cellStyle name="Note 3 3 4 57 6" xfId="46079"/>
    <cellStyle name="Note 3 3 4 57 7" xfId="50076"/>
    <cellStyle name="Note 3 3 4 58" xfId="7638"/>
    <cellStyle name="Note 3 3 4 58 2" xfId="15355"/>
    <cellStyle name="Note 3 3 4 58 3" xfId="24348"/>
    <cellStyle name="Note 3 3 4 58 4" xfId="32535"/>
    <cellStyle name="Note 3 3 4 58 5" xfId="35873"/>
    <cellStyle name="Note 3 3 4 58 6" xfId="46200"/>
    <cellStyle name="Note 3 3 4 58 7" xfId="52205"/>
    <cellStyle name="Note 3 3 4 59" xfId="7915"/>
    <cellStyle name="Note 3 3 4 59 2" xfId="15632"/>
    <cellStyle name="Note 3 3 4 59 3" xfId="24619"/>
    <cellStyle name="Note 3 3 4 59 4" xfId="32812"/>
    <cellStyle name="Note 3 3 4 59 5" xfId="34176"/>
    <cellStyle name="Note 3 3 4 59 6" xfId="46477"/>
    <cellStyle name="Note 3 3 4 59 7" xfId="51432"/>
    <cellStyle name="Note 3 3 4 6" xfId="1537"/>
    <cellStyle name="Note 3 3 4 6 2" xfId="9360"/>
    <cellStyle name="Note 3 3 4 6 3" xfId="16788"/>
    <cellStyle name="Note 3 3 4 6 4" xfId="26307"/>
    <cellStyle name="Note 3 3 4 6 5" xfId="35025"/>
    <cellStyle name="Note 3 3 4 6 6" xfId="37615"/>
    <cellStyle name="Note 3 3 4 6 7" xfId="53658"/>
    <cellStyle name="Note 3 3 4 60" xfId="7789"/>
    <cellStyle name="Note 3 3 4 60 2" xfId="15506"/>
    <cellStyle name="Note 3 3 4 60 3" xfId="24495"/>
    <cellStyle name="Note 3 3 4 60 4" xfId="32686"/>
    <cellStyle name="Note 3 3 4 60 5" xfId="27291"/>
    <cellStyle name="Note 3 3 4 60 6" xfId="46351"/>
    <cellStyle name="Note 3 3 4 60 7" xfId="48455"/>
    <cellStyle name="Note 3 3 4 61" xfId="8043"/>
    <cellStyle name="Note 3 3 4 61 2" xfId="15760"/>
    <cellStyle name="Note 3 3 4 61 3" xfId="24745"/>
    <cellStyle name="Note 3 3 4 61 4" xfId="32940"/>
    <cellStyle name="Note 3 3 4 61 5" xfId="35957"/>
    <cellStyle name="Note 3 3 4 61 6" xfId="46605"/>
    <cellStyle name="Note 3 3 4 61 7" xfId="52849"/>
    <cellStyle name="Note 3 3 4 62" xfId="7716"/>
    <cellStyle name="Note 3 3 4 62 2" xfId="15433"/>
    <cellStyle name="Note 3 3 4 62 3" xfId="24424"/>
    <cellStyle name="Note 3 3 4 62 4" xfId="32613"/>
    <cellStyle name="Note 3 3 4 62 5" xfId="27068"/>
    <cellStyle name="Note 3 3 4 62 6" xfId="46278"/>
    <cellStyle name="Note 3 3 4 62 7" xfId="50303"/>
    <cellStyle name="Note 3 3 4 63" xfId="8190"/>
    <cellStyle name="Note 3 3 4 63 2" xfId="15907"/>
    <cellStyle name="Note 3 3 4 63 3" xfId="33087"/>
    <cellStyle name="Note 3 3 4 63 4" xfId="27948"/>
    <cellStyle name="Note 3 3 4 63 5" xfId="46752"/>
    <cellStyle name="Note 3 3 4 63 6" xfId="46864"/>
    <cellStyle name="Note 3 3 4 64" xfId="25094"/>
    <cellStyle name="Note 3 3 4 65" xfId="33456"/>
    <cellStyle name="Note 3 3 4 66" xfId="36390"/>
    <cellStyle name="Note 3 3 4 67" xfId="50993"/>
    <cellStyle name="Note 3 3 4 7" xfId="1306"/>
    <cellStyle name="Note 3 3 4 7 2" xfId="9129"/>
    <cellStyle name="Note 3 3 4 7 3" xfId="16557"/>
    <cellStyle name="Note 3 3 4 7 4" xfId="26238"/>
    <cellStyle name="Note 3 3 4 7 5" xfId="34928"/>
    <cellStyle name="Note 3 3 4 7 6" xfId="37599"/>
    <cellStyle name="Note 3 3 4 7 7" xfId="53504"/>
    <cellStyle name="Note 3 3 4 8" xfId="1775"/>
    <cellStyle name="Note 3 3 4 8 2" xfId="9598"/>
    <cellStyle name="Note 3 3 4 8 3" xfId="17026"/>
    <cellStyle name="Note 3 3 4 8 4" xfId="26375"/>
    <cellStyle name="Note 3 3 4 8 5" xfId="35118"/>
    <cellStyle name="Note 3 3 4 8 6" xfId="36626"/>
    <cellStyle name="Note 3 3 4 8 7" xfId="53799"/>
    <cellStyle name="Note 3 3 4 9" xfId="1908"/>
    <cellStyle name="Note 3 3 4 9 2" xfId="9731"/>
    <cellStyle name="Note 3 3 4 9 3" xfId="17159"/>
    <cellStyle name="Note 3 3 4 9 4" xfId="24994"/>
    <cellStyle name="Note 3 3 4 9 5" xfId="33343"/>
    <cellStyle name="Note 3 3 4 9 6" xfId="37085"/>
    <cellStyle name="Note 3 3 4 9 7" xfId="50782"/>
    <cellStyle name="Note 3 3 40" xfId="4259"/>
    <cellStyle name="Note 3 3 40 2" xfId="11981"/>
    <cellStyle name="Note 3 3 40 3" xfId="20969"/>
    <cellStyle name="Note 3 3 40 4" xfId="29156"/>
    <cellStyle name="Note 3 3 40 5" xfId="35946"/>
    <cellStyle name="Note 3 3 40 6" xfId="42821"/>
    <cellStyle name="Note 3 3 40 7" xfId="53151"/>
    <cellStyle name="Note 3 3 41" xfId="4006"/>
    <cellStyle name="Note 3 3 41 2" xfId="11785"/>
    <cellStyle name="Note 3 3 41 3" xfId="20716"/>
    <cellStyle name="Note 3 3 41 4" xfId="28903"/>
    <cellStyle name="Note 3 3 41 5" xfId="28693"/>
    <cellStyle name="Note 3 3 41 6" xfId="42568"/>
    <cellStyle name="Note 3 3 41 7" xfId="49276"/>
    <cellStyle name="Note 3 3 42" xfId="4212"/>
    <cellStyle name="Note 3 3 42 2" xfId="11959"/>
    <cellStyle name="Note 3 3 42 3" xfId="20922"/>
    <cellStyle name="Note 3 3 42 4" xfId="29109"/>
    <cellStyle name="Note 3 3 42 5" xfId="34971"/>
    <cellStyle name="Note 3 3 42 6" xfId="42774"/>
    <cellStyle name="Note 3 3 42 7" xfId="49667"/>
    <cellStyle name="Note 3 3 43" xfId="5240"/>
    <cellStyle name="Note 3 3 43 2" xfId="12957"/>
    <cellStyle name="Note 3 3 43 3" xfId="21950"/>
    <cellStyle name="Note 3 3 43 4" xfId="30137"/>
    <cellStyle name="Note 3 3 43 5" xfId="35880"/>
    <cellStyle name="Note 3 3 43 6" xfId="43802"/>
    <cellStyle name="Note 3 3 43 7" xfId="52852"/>
    <cellStyle name="Note 3 3 44" xfId="5337"/>
    <cellStyle name="Note 3 3 44 2" xfId="13054"/>
    <cellStyle name="Note 3 3 44 3" xfId="22047"/>
    <cellStyle name="Note 3 3 44 4" xfId="30234"/>
    <cellStyle name="Note 3 3 44 5" xfId="33517"/>
    <cellStyle name="Note 3 3 44 6" xfId="43899"/>
    <cellStyle name="Note 3 3 44 7" xfId="50349"/>
    <cellStyle name="Note 3 3 45" xfId="5329"/>
    <cellStyle name="Note 3 3 45 2" xfId="13046"/>
    <cellStyle name="Note 3 3 45 3" xfId="22039"/>
    <cellStyle name="Note 3 3 45 4" xfId="30226"/>
    <cellStyle name="Note 3 3 45 5" xfId="26844"/>
    <cellStyle name="Note 3 3 45 6" xfId="43891"/>
    <cellStyle name="Note 3 3 45 7" xfId="51054"/>
    <cellStyle name="Note 3 3 46" xfId="5335"/>
    <cellStyle name="Note 3 3 46 2" xfId="13052"/>
    <cellStyle name="Note 3 3 46 3" xfId="22045"/>
    <cellStyle name="Note 3 3 46 4" xfId="30232"/>
    <cellStyle name="Note 3 3 46 5" xfId="34740"/>
    <cellStyle name="Note 3 3 46 6" xfId="43897"/>
    <cellStyle name="Note 3 3 46 7" xfId="49808"/>
    <cellStyle name="Note 3 3 47" xfId="5201"/>
    <cellStyle name="Note 3 3 47 2" xfId="12918"/>
    <cellStyle name="Note 3 3 47 3" xfId="21911"/>
    <cellStyle name="Note 3 3 47 4" xfId="30098"/>
    <cellStyle name="Note 3 3 47 5" xfId="34313"/>
    <cellStyle name="Note 3 3 47 6" xfId="43763"/>
    <cellStyle name="Note 3 3 47 7" xfId="49312"/>
    <cellStyle name="Note 3 3 48" xfId="5086"/>
    <cellStyle name="Note 3 3 48 2" xfId="12803"/>
    <cellStyle name="Note 3 3 48 3" xfId="21796"/>
    <cellStyle name="Note 3 3 48 4" xfId="29983"/>
    <cellStyle name="Note 3 3 48 5" xfId="35817"/>
    <cellStyle name="Note 3 3 48 6" xfId="43648"/>
    <cellStyle name="Note 3 3 48 7" xfId="52526"/>
    <cellStyle name="Note 3 3 49" xfId="5107"/>
    <cellStyle name="Note 3 3 49 2" xfId="12824"/>
    <cellStyle name="Note 3 3 49 3" xfId="21817"/>
    <cellStyle name="Note 3 3 49 4" xfId="30004"/>
    <cellStyle name="Note 3 3 49 5" xfId="27814"/>
    <cellStyle name="Note 3 3 49 6" xfId="43669"/>
    <cellStyle name="Note 3 3 49 7" xfId="50253"/>
    <cellStyle name="Note 3 3 5" xfId="576"/>
    <cellStyle name="Note 3 3 5 10" xfId="2023"/>
    <cellStyle name="Note 3 3 5 10 2" xfId="9846"/>
    <cellStyle name="Note 3 3 5 10 3" xfId="17274"/>
    <cellStyle name="Note 3 3 5 10 4" xfId="20379"/>
    <cellStyle name="Note 3 3 5 10 5" xfId="33138"/>
    <cellStyle name="Note 3 3 5 10 6" xfId="40601"/>
    <cellStyle name="Note 3 3 5 10 7" xfId="50405"/>
    <cellStyle name="Note 3 3 5 11" xfId="2139"/>
    <cellStyle name="Note 3 3 5 11 2" xfId="9962"/>
    <cellStyle name="Note 3 3 5 11 3" xfId="17390"/>
    <cellStyle name="Note 3 3 5 11 4" xfId="25082"/>
    <cellStyle name="Note 3 3 5 11 5" xfId="33443"/>
    <cellStyle name="Note 3 3 5 11 6" xfId="38042"/>
    <cellStyle name="Note 3 3 5 11 7" xfId="50971"/>
    <cellStyle name="Note 3 3 5 12" xfId="2253"/>
    <cellStyle name="Note 3 3 5 12 2" xfId="10076"/>
    <cellStyle name="Note 3 3 5 12 3" xfId="17504"/>
    <cellStyle name="Note 3 3 5 12 4" xfId="20580"/>
    <cellStyle name="Note 3 3 5 12 5" xfId="28801"/>
    <cellStyle name="Note 3 3 5 12 6" xfId="39255"/>
    <cellStyle name="Note 3 3 5 12 7" xfId="48569"/>
    <cellStyle name="Note 3 3 5 13" xfId="1103"/>
    <cellStyle name="Note 3 3 5 13 2" xfId="8927"/>
    <cellStyle name="Note 3 3 5 13 3" xfId="16355"/>
    <cellStyle name="Note 3 3 5 13 4" xfId="19969"/>
    <cellStyle name="Note 3 3 5 13 5" xfId="28129"/>
    <cellStyle name="Note 3 3 5 13 6" xfId="36917"/>
    <cellStyle name="Note 3 3 5 13 7" xfId="48377"/>
    <cellStyle name="Note 3 3 5 14" xfId="2301"/>
    <cellStyle name="Note 3 3 5 14 2" xfId="10124"/>
    <cellStyle name="Note 3 3 5 14 3" xfId="17552"/>
    <cellStyle name="Note 3 3 5 14 4" xfId="20430"/>
    <cellStyle name="Note 3 3 5 14 5" xfId="27190"/>
    <cellStyle name="Note 3 3 5 14 6" xfId="38455"/>
    <cellStyle name="Note 3 3 5 14 7" xfId="47454"/>
    <cellStyle name="Note 3 3 5 15" xfId="2551"/>
    <cellStyle name="Note 3 3 5 15 2" xfId="10374"/>
    <cellStyle name="Note 3 3 5 15 3" xfId="17802"/>
    <cellStyle name="Note 3 3 5 15 4" xfId="19116"/>
    <cellStyle name="Note 3 3 5 15 5" xfId="27996"/>
    <cellStyle name="Note 3 3 5 15 6" xfId="40228"/>
    <cellStyle name="Note 3 3 5 15 7" xfId="47856"/>
    <cellStyle name="Note 3 3 5 16" xfId="2665"/>
    <cellStyle name="Note 3 3 5 16 2" xfId="10488"/>
    <cellStyle name="Note 3 3 5 16 3" xfId="17916"/>
    <cellStyle name="Note 3 3 5 16 4" xfId="19495"/>
    <cellStyle name="Note 3 3 5 16 5" xfId="27766"/>
    <cellStyle name="Note 3 3 5 16 6" xfId="39901"/>
    <cellStyle name="Note 3 3 5 16 7" xfId="47908"/>
    <cellStyle name="Note 3 3 5 17" xfId="2452"/>
    <cellStyle name="Note 3 3 5 17 2" xfId="10275"/>
    <cellStyle name="Note 3 3 5 17 3" xfId="17703"/>
    <cellStyle name="Note 3 3 5 17 4" xfId="19106"/>
    <cellStyle name="Note 3 3 5 17 5" xfId="26819"/>
    <cellStyle name="Note 3 3 5 17 6" xfId="41547"/>
    <cellStyle name="Note 3 3 5 17 7" xfId="47300"/>
    <cellStyle name="Note 3 3 5 18" xfId="2390"/>
    <cellStyle name="Note 3 3 5 18 2" xfId="10213"/>
    <cellStyle name="Note 3 3 5 18 3" xfId="17641"/>
    <cellStyle name="Note 3 3 5 18 4" xfId="20092"/>
    <cellStyle name="Note 3 3 5 18 5" xfId="27790"/>
    <cellStyle name="Note 3 3 5 18 6" xfId="36769"/>
    <cellStyle name="Note 3 3 5 18 7" xfId="50146"/>
    <cellStyle name="Note 3 3 5 19" xfId="2855"/>
    <cellStyle name="Note 3 3 5 19 2" xfId="10678"/>
    <cellStyle name="Note 3 3 5 19 3" xfId="18106"/>
    <cellStyle name="Note 3 3 5 19 4" xfId="26051"/>
    <cellStyle name="Note 3 3 5 19 5" xfId="34692"/>
    <cellStyle name="Note 3 3 5 19 6" xfId="38727"/>
    <cellStyle name="Note 3 3 5 19 7" xfId="53109"/>
    <cellStyle name="Note 3 3 5 2" xfId="723"/>
    <cellStyle name="Note 3 3 5 2 2" xfId="8547"/>
    <cellStyle name="Note 3 3 5 2 3" xfId="15975"/>
    <cellStyle name="Note 3 3 5 2 4" xfId="25170"/>
    <cellStyle name="Note 3 3 5 2 5" xfId="33551"/>
    <cellStyle name="Note 3 3 5 2 6" xfId="38095"/>
    <cellStyle name="Note 3 3 5 2 7" xfId="51157"/>
    <cellStyle name="Note 3 3 5 20" xfId="2962"/>
    <cellStyle name="Note 3 3 5 20 2" xfId="10785"/>
    <cellStyle name="Note 3 3 5 20 3" xfId="18213"/>
    <cellStyle name="Note 3 3 5 20 4" xfId="20052"/>
    <cellStyle name="Note 3 3 5 20 5" xfId="27294"/>
    <cellStyle name="Note 3 3 5 20 6" xfId="38108"/>
    <cellStyle name="Note 3 3 5 20 7" xfId="49554"/>
    <cellStyle name="Note 3 3 5 21" xfId="3340"/>
    <cellStyle name="Note 3 3 5 21 2" xfId="11133"/>
    <cellStyle name="Note 3 3 5 21 3" xfId="18460"/>
    <cellStyle name="Note 3 3 5 21 4" xfId="25439"/>
    <cellStyle name="Note 3 3 5 21 5" xfId="33899"/>
    <cellStyle name="Note 3 3 5 21 6" xfId="37979"/>
    <cellStyle name="Note 3 3 5 21 7" xfId="51724"/>
    <cellStyle name="Note 3 3 5 22" xfId="3459"/>
    <cellStyle name="Note 3 3 5 22 2" xfId="11250"/>
    <cellStyle name="Note 3 3 5 22 3" xfId="18571"/>
    <cellStyle name="Note 3 3 5 22 4" xfId="25362"/>
    <cellStyle name="Note 3 3 5 22 5" xfId="33800"/>
    <cellStyle name="Note 3 3 5 22 6" xfId="37907"/>
    <cellStyle name="Note 3 3 5 22 7" xfId="51558"/>
    <cellStyle name="Note 3 3 5 23" xfId="3580"/>
    <cellStyle name="Note 3 3 5 23 2" xfId="11369"/>
    <cellStyle name="Note 3 3 5 23 3" xfId="18646"/>
    <cellStyle name="Note 3 3 5 23 4" xfId="20123"/>
    <cellStyle name="Note 3 3 5 23 5" xfId="27336"/>
    <cellStyle name="Note 3 3 5 23 6" xfId="41401"/>
    <cellStyle name="Note 3 3 5 23 7" xfId="48154"/>
    <cellStyle name="Note 3 3 5 24" xfId="3618"/>
    <cellStyle name="Note 3 3 5 24 2" xfId="11404"/>
    <cellStyle name="Note 3 3 5 24 3" xfId="18678"/>
    <cellStyle name="Note 3 3 5 24 4" xfId="19914"/>
    <cellStyle name="Note 3 3 5 24 5" xfId="28047"/>
    <cellStyle name="Note 3 3 5 24 6" xfId="37582"/>
    <cellStyle name="Note 3 3 5 24 7" xfId="50241"/>
    <cellStyle name="Note 3 3 5 25" xfId="3732"/>
    <cellStyle name="Note 3 3 5 25 2" xfId="11517"/>
    <cellStyle name="Note 3 3 5 25 3" xfId="18788"/>
    <cellStyle name="Note 3 3 5 25 4" xfId="19401"/>
    <cellStyle name="Note 3 3 5 25 5" xfId="28727"/>
    <cellStyle name="Note 3 3 5 25 6" xfId="41586"/>
    <cellStyle name="Note 3 3 5 25 7" xfId="47356"/>
    <cellStyle name="Note 3 3 5 26" xfId="3861"/>
    <cellStyle name="Note 3 3 5 26 2" xfId="11643"/>
    <cellStyle name="Note 3 3 5 26 3" xfId="18898"/>
    <cellStyle name="Note 3 3 5 26 4" xfId="26488"/>
    <cellStyle name="Note 3 3 5 26 5" xfId="35277"/>
    <cellStyle name="Note 3 3 5 26 6" xfId="39490"/>
    <cellStyle name="Note 3 3 5 26 7" xfId="54051"/>
    <cellStyle name="Note 3 3 5 27" xfId="3979"/>
    <cellStyle name="Note 3 3 5 27 2" xfId="11758"/>
    <cellStyle name="Note 3 3 5 27 3" xfId="19007"/>
    <cellStyle name="Note 3 3 5 27 4" xfId="25618"/>
    <cellStyle name="Note 3 3 5 27 5" xfId="34132"/>
    <cellStyle name="Note 3 3 5 27 6" xfId="38571"/>
    <cellStyle name="Note 3 3 5 27 7" xfId="52128"/>
    <cellStyle name="Note 3 3 5 28" xfId="3483"/>
    <cellStyle name="Note 3 3 5 28 2" xfId="11274"/>
    <cellStyle name="Note 3 3 5 28 3" xfId="20470"/>
    <cellStyle name="Note 3 3 5 28 4" xfId="28592"/>
    <cellStyle name="Note 3 3 5 28 5" xfId="26946"/>
    <cellStyle name="Note 3 3 5 28 6" xfId="42481"/>
    <cellStyle name="Note 3 3 5 28 7" xfId="49185"/>
    <cellStyle name="Note 3 3 5 29" xfId="4175"/>
    <cellStyle name="Note 3 3 5 29 2" xfId="11934"/>
    <cellStyle name="Note 3 3 5 29 3" xfId="20885"/>
    <cellStyle name="Note 3 3 5 29 4" xfId="29072"/>
    <cellStyle name="Note 3 3 5 29 5" xfId="36197"/>
    <cellStyle name="Note 3 3 5 29 6" xfId="42737"/>
    <cellStyle name="Note 3 3 5 29 7" xfId="54346"/>
    <cellStyle name="Note 3 3 5 3" xfId="832"/>
    <cellStyle name="Note 3 3 5 3 2" xfId="8656"/>
    <cellStyle name="Note 3 3 5 3 3" xfId="16084"/>
    <cellStyle name="Note 3 3 5 3 4" xfId="25947"/>
    <cellStyle name="Note 3 3 5 3 5" xfId="34552"/>
    <cellStyle name="Note 3 3 5 3 6" xfId="36679"/>
    <cellStyle name="Note 3 3 5 3 7" xfId="52881"/>
    <cellStyle name="Note 3 3 5 30" xfId="4201"/>
    <cellStyle name="Note 3 3 5 30 2" xfId="20911"/>
    <cellStyle name="Note 3 3 5 30 3" xfId="29098"/>
    <cellStyle name="Note 3 3 5 30 4" xfId="35688"/>
    <cellStyle name="Note 3 3 5 30 5" xfId="42763"/>
    <cellStyle name="Note 3 3 5 30 6" xfId="51896"/>
    <cellStyle name="Note 3 3 5 31" xfId="4374"/>
    <cellStyle name="Note 3 3 5 31 2" xfId="12091"/>
    <cellStyle name="Note 3 3 5 31 3" xfId="21084"/>
    <cellStyle name="Note 3 3 5 31 4" xfId="29271"/>
    <cellStyle name="Note 3 3 5 31 5" xfId="35607"/>
    <cellStyle name="Note 3 3 5 31 6" xfId="42936"/>
    <cellStyle name="Note 3 3 5 31 7" xfId="51531"/>
    <cellStyle name="Note 3 3 5 32" xfId="4495"/>
    <cellStyle name="Note 3 3 5 32 2" xfId="12212"/>
    <cellStyle name="Note 3 3 5 32 3" xfId="21205"/>
    <cellStyle name="Note 3 3 5 32 4" xfId="29392"/>
    <cellStyle name="Note 3 3 5 32 5" xfId="35742"/>
    <cellStyle name="Note 3 3 5 32 6" xfId="43057"/>
    <cellStyle name="Note 3 3 5 32 7" xfId="52191"/>
    <cellStyle name="Note 3 3 5 33" xfId="4609"/>
    <cellStyle name="Note 3 3 5 33 2" xfId="12326"/>
    <cellStyle name="Note 3 3 5 33 3" xfId="21319"/>
    <cellStyle name="Note 3 3 5 33 4" xfId="29506"/>
    <cellStyle name="Note 3 3 5 33 5" xfId="28366"/>
    <cellStyle name="Note 3 3 5 33 6" xfId="43171"/>
    <cellStyle name="Note 3 3 5 33 7" xfId="48823"/>
    <cellStyle name="Note 3 3 5 34" xfId="4722"/>
    <cellStyle name="Note 3 3 5 34 2" xfId="12439"/>
    <cellStyle name="Note 3 3 5 34 3" xfId="21432"/>
    <cellStyle name="Note 3 3 5 34 4" xfId="29619"/>
    <cellStyle name="Note 3 3 5 34 5" xfId="35768"/>
    <cellStyle name="Note 3 3 5 34 6" xfId="43284"/>
    <cellStyle name="Note 3 3 5 34 7" xfId="52339"/>
    <cellStyle name="Note 3 3 5 35" xfId="4832"/>
    <cellStyle name="Note 3 3 5 35 2" xfId="12549"/>
    <cellStyle name="Note 3 3 5 35 3" xfId="21542"/>
    <cellStyle name="Note 3 3 5 35 4" xfId="29729"/>
    <cellStyle name="Note 3 3 5 35 5" xfId="35342"/>
    <cellStyle name="Note 3 3 5 35 6" xfId="43394"/>
    <cellStyle name="Note 3 3 5 35 7" xfId="49601"/>
    <cellStyle name="Note 3 3 5 36" xfId="4942"/>
    <cellStyle name="Note 3 3 5 36 2" xfId="12659"/>
    <cellStyle name="Note 3 3 5 36 3" xfId="21652"/>
    <cellStyle name="Note 3 3 5 36 4" xfId="29839"/>
    <cellStyle name="Note 3 3 5 36 5" xfId="36024"/>
    <cellStyle name="Note 3 3 5 36 6" xfId="43504"/>
    <cellStyle name="Note 3 3 5 36 7" xfId="53533"/>
    <cellStyle name="Note 3 3 5 37" xfId="5052"/>
    <cellStyle name="Note 3 3 5 37 2" xfId="12769"/>
    <cellStyle name="Note 3 3 5 37 3" xfId="21762"/>
    <cellStyle name="Note 3 3 5 37 4" xfId="29949"/>
    <cellStyle name="Note 3 3 5 37 5" xfId="27850"/>
    <cellStyle name="Note 3 3 5 37 6" xfId="43614"/>
    <cellStyle name="Note 3 3 5 37 7" xfId="48817"/>
    <cellStyle name="Note 3 3 5 38" xfId="5432"/>
    <cellStyle name="Note 3 3 5 38 2" xfId="13149"/>
    <cellStyle name="Note 3 3 5 38 3" xfId="22142"/>
    <cellStyle name="Note 3 3 5 38 4" xfId="30329"/>
    <cellStyle name="Note 3 3 5 38 5" xfId="35218"/>
    <cellStyle name="Note 3 3 5 38 6" xfId="43994"/>
    <cellStyle name="Note 3 3 5 38 7" xfId="49725"/>
    <cellStyle name="Note 3 3 5 39" xfId="5552"/>
    <cellStyle name="Note 3 3 5 39 2" xfId="13269"/>
    <cellStyle name="Note 3 3 5 39 3" xfId="22262"/>
    <cellStyle name="Note 3 3 5 39 4" xfId="30449"/>
    <cellStyle name="Note 3 3 5 39 5" xfId="35004"/>
    <cellStyle name="Note 3 3 5 39 6" xfId="44114"/>
    <cellStyle name="Note 3 3 5 39 7" xfId="47176"/>
    <cellStyle name="Note 3 3 5 4" xfId="942"/>
    <cellStyle name="Note 3 3 5 4 2" xfId="8766"/>
    <cellStyle name="Note 3 3 5 4 3" xfId="16194"/>
    <cellStyle name="Note 3 3 5 4 4" xfId="19364"/>
    <cellStyle name="Note 3 3 5 4 5" xfId="27638"/>
    <cellStyle name="Note 3 3 5 4 6" xfId="37860"/>
    <cellStyle name="Note 3 3 5 4 7" xfId="49030"/>
    <cellStyle name="Note 3 3 5 40" xfId="5677"/>
    <cellStyle name="Note 3 3 5 40 2" xfId="13394"/>
    <cellStyle name="Note 3 3 5 40 3" xfId="22387"/>
    <cellStyle name="Note 3 3 5 40 4" xfId="30574"/>
    <cellStyle name="Note 3 3 5 40 5" xfId="28810"/>
    <cellStyle name="Note 3 3 5 40 6" xfId="44239"/>
    <cellStyle name="Note 3 3 5 40 7" xfId="47096"/>
    <cellStyle name="Note 3 3 5 41" xfId="5792"/>
    <cellStyle name="Note 3 3 5 41 2" xfId="13509"/>
    <cellStyle name="Note 3 3 5 41 3" xfId="22502"/>
    <cellStyle name="Note 3 3 5 41 4" xfId="30689"/>
    <cellStyle name="Note 3 3 5 41 5" xfId="36222"/>
    <cellStyle name="Note 3 3 5 41 6" xfId="44354"/>
    <cellStyle name="Note 3 3 5 41 7" xfId="54358"/>
    <cellStyle name="Note 3 3 5 42" xfId="5910"/>
    <cellStyle name="Note 3 3 5 42 2" xfId="13627"/>
    <cellStyle name="Note 3 3 5 42 3" xfId="22620"/>
    <cellStyle name="Note 3 3 5 42 4" xfId="30807"/>
    <cellStyle name="Note 3 3 5 42 5" xfId="35500"/>
    <cellStyle name="Note 3 3 5 42 6" xfId="44472"/>
    <cellStyle name="Note 3 3 5 42 7" xfId="51573"/>
    <cellStyle name="Note 3 3 5 43" xfId="6037"/>
    <cellStyle name="Note 3 3 5 43 2" xfId="13754"/>
    <cellStyle name="Note 3 3 5 43 3" xfId="22747"/>
    <cellStyle name="Note 3 3 5 43 4" xfId="30934"/>
    <cellStyle name="Note 3 3 5 43 5" xfId="27925"/>
    <cellStyle name="Note 3 3 5 43 6" xfId="44599"/>
    <cellStyle name="Note 3 3 5 43 7" xfId="49839"/>
    <cellStyle name="Note 3 3 5 44" xfId="6125"/>
    <cellStyle name="Note 3 3 5 44 2" xfId="13842"/>
    <cellStyle name="Note 3 3 5 44 3" xfId="22835"/>
    <cellStyle name="Note 3 3 5 44 4" xfId="31022"/>
    <cellStyle name="Note 3 3 5 44 5" xfId="26729"/>
    <cellStyle name="Note 3 3 5 44 6" xfId="44687"/>
    <cellStyle name="Note 3 3 5 44 7" xfId="48651"/>
    <cellStyle name="Note 3 3 5 45" xfId="6165"/>
    <cellStyle name="Note 3 3 5 45 2" xfId="13882"/>
    <cellStyle name="Note 3 3 5 45 3" xfId="22875"/>
    <cellStyle name="Note 3 3 5 45 4" xfId="31062"/>
    <cellStyle name="Note 3 3 5 45 5" xfId="35735"/>
    <cellStyle name="Note 3 3 5 45 6" xfId="44727"/>
    <cellStyle name="Note 3 3 5 45 7" xfId="51936"/>
    <cellStyle name="Note 3 3 5 46" xfId="6293"/>
    <cellStyle name="Note 3 3 5 46 2" xfId="14010"/>
    <cellStyle name="Note 3 3 5 46 3" xfId="23003"/>
    <cellStyle name="Note 3 3 5 46 4" xfId="31190"/>
    <cellStyle name="Note 3 3 5 46 5" xfId="34663"/>
    <cellStyle name="Note 3 3 5 46 6" xfId="44855"/>
    <cellStyle name="Note 3 3 5 46 7" xfId="48579"/>
    <cellStyle name="Note 3 3 5 47" xfId="6408"/>
    <cellStyle name="Note 3 3 5 47 2" xfId="14125"/>
    <cellStyle name="Note 3 3 5 47 3" xfId="23118"/>
    <cellStyle name="Note 3 3 5 47 4" xfId="31305"/>
    <cellStyle name="Note 3 3 5 47 5" xfId="35209"/>
    <cellStyle name="Note 3 3 5 47 6" xfId="44970"/>
    <cellStyle name="Note 3 3 5 47 7" xfId="47693"/>
    <cellStyle name="Note 3 3 5 48" xfId="6520"/>
    <cellStyle name="Note 3 3 5 48 2" xfId="14237"/>
    <cellStyle name="Note 3 3 5 48 3" xfId="23230"/>
    <cellStyle name="Note 3 3 5 48 4" xfId="31417"/>
    <cellStyle name="Note 3 3 5 48 5" xfId="35781"/>
    <cellStyle name="Note 3 3 5 48 6" xfId="45082"/>
    <cellStyle name="Note 3 3 5 48 7" xfId="47576"/>
    <cellStyle name="Note 3 3 5 49" xfId="5346"/>
    <cellStyle name="Note 3 3 5 49 2" xfId="13063"/>
    <cellStyle name="Note 3 3 5 49 3" xfId="22056"/>
    <cellStyle name="Note 3 3 5 49 4" xfId="30243"/>
    <cellStyle name="Note 3 3 5 49 5" xfId="33776"/>
    <cellStyle name="Note 3 3 5 49 6" xfId="43908"/>
    <cellStyle name="Note 3 3 5 49 7" xfId="48807"/>
    <cellStyle name="Note 3 3 5 5" xfId="1410"/>
    <cellStyle name="Note 3 3 5 5 2" xfId="9233"/>
    <cellStyle name="Note 3 3 5 5 3" xfId="16661"/>
    <cellStyle name="Note 3 3 5 5 4" xfId="19431"/>
    <cellStyle name="Note 3 3 5 5 5" xfId="27517"/>
    <cellStyle name="Note 3 3 5 5 6" xfId="40382"/>
    <cellStyle name="Note 3 3 5 5 7" xfId="48873"/>
    <cellStyle name="Note 3 3 5 50" xfId="6667"/>
    <cellStyle name="Note 3 3 5 50 2" xfId="14384"/>
    <cellStyle name="Note 3 3 5 50 3" xfId="23377"/>
    <cellStyle name="Note 3 3 5 50 4" xfId="31564"/>
    <cellStyle name="Note 3 3 5 50 5" xfId="35614"/>
    <cellStyle name="Note 3 3 5 50 6" xfId="45229"/>
    <cellStyle name="Note 3 3 5 50 7" xfId="51249"/>
    <cellStyle name="Note 3 3 5 51" xfId="6778"/>
    <cellStyle name="Note 3 3 5 51 2" xfId="14495"/>
    <cellStyle name="Note 3 3 5 51 3" xfId="23488"/>
    <cellStyle name="Note 3 3 5 51 4" xfId="31675"/>
    <cellStyle name="Note 3 3 5 51 5" xfId="35033"/>
    <cellStyle name="Note 3 3 5 51 6" xfId="45340"/>
    <cellStyle name="Note 3 3 5 51 7" xfId="48177"/>
    <cellStyle name="Note 3 3 5 52" xfId="6893"/>
    <cellStyle name="Note 3 3 5 52 2" xfId="14610"/>
    <cellStyle name="Note 3 3 5 52 3" xfId="23603"/>
    <cellStyle name="Note 3 3 5 52 4" xfId="31790"/>
    <cellStyle name="Note 3 3 5 52 5" xfId="33185"/>
    <cellStyle name="Note 3 3 5 52 6" xfId="45455"/>
    <cellStyle name="Note 3 3 5 52 7" xfId="47057"/>
    <cellStyle name="Note 3 3 5 53" xfId="7006"/>
    <cellStyle name="Note 3 3 5 53 2" xfId="14723"/>
    <cellStyle name="Note 3 3 5 53 3" xfId="23716"/>
    <cellStyle name="Note 3 3 5 53 4" xfId="31903"/>
    <cellStyle name="Note 3 3 5 53 5" xfId="26952"/>
    <cellStyle name="Note 3 3 5 53 6" xfId="45568"/>
    <cellStyle name="Note 3 3 5 53 7" xfId="47203"/>
    <cellStyle name="Note 3 3 5 54" xfId="7116"/>
    <cellStyle name="Note 3 3 5 54 2" xfId="14833"/>
    <cellStyle name="Note 3 3 5 54 3" xfId="23826"/>
    <cellStyle name="Note 3 3 5 54 4" xfId="32013"/>
    <cellStyle name="Note 3 3 5 54 5" xfId="36129"/>
    <cellStyle name="Note 3 3 5 54 6" xfId="45678"/>
    <cellStyle name="Note 3 3 5 54 7" xfId="53552"/>
    <cellStyle name="Note 3 3 5 55" xfId="7162"/>
    <cellStyle name="Note 3 3 5 55 2" xfId="14879"/>
    <cellStyle name="Note 3 3 5 55 3" xfId="23872"/>
    <cellStyle name="Note 3 3 5 55 4" xfId="32059"/>
    <cellStyle name="Note 3 3 5 55 5" xfId="28720"/>
    <cellStyle name="Note 3 3 5 55 6" xfId="45724"/>
    <cellStyle name="Note 3 3 5 55 7" xfId="48897"/>
    <cellStyle name="Note 3 3 5 56" xfId="7152"/>
    <cellStyle name="Note 3 3 5 56 2" xfId="14869"/>
    <cellStyle name="Note 3 3 5 56 3" xfId="23862"/>
    <cellStyle name="Note 3 3 5 56 4" xfId="32049"/>
    <cellStyle name="Note 3 3 5 56 5" xfId="34248"/>
    <cellStyle name="Note 3 3 5 56 6" xfId="45714"/>
    <cellStyle name="Note 3 3 5 56 7" xfId="49935"/>
    <cellStyle name="Note 3 3 5 57" xfId="7513"/>
    <cellStyle name="Note 3 3 5 57 2" xfId="15230"/>
    <cellStyle name="Note 3 3 5 57 3" xfId="24223"/>
    <cellStyle name="Note 3 3 5 57 4" xfId="32410"/>
    <cellStyle name="Note 3 3 5 57 5" xfId="33269"/>
    <cellStyle name="Note 3 3 5 57 6" xfId="46075"/>
    <cellStyle name="Note 3 3 5 57 7" xfId="48886"/>
    <cellStyle name="Note 3 3 5 58" xfId="7634"/>
    <cellStyle name="Note 3 3 5 58 2" xfId="15351"/>
    <cellStyle name="Note 3 3 5 58 3" xfId="24344"/>
    <cellStyle name="Note 3 3 5 58 4" xfId="32531"/>
    <cellStyle name="Note 3 3 5 58 5" xfId="35940"/>
    <cellStyle name="Note 3 3 5 58 6" xfId="46196"/>
    <cellStyle name="Note 3 3 5 58 7" xfId="52679"/>
    <cellStyle name="Note 3 3 5 59" xfId="7911"/>
    <cellStyle name="Note 3 3 5 59 2" xfId="15628"/>
    <cellStyle name="Note 3 3 5 59 3" xfId="24615"/>
    <cellStyle name="Note 3 3 5 59 4" xfId="32808"/>
    <cellStyle name="Note 3 3 5 59 5" xfId="35836"/>
    <cellStyle name="Note 3 3 5 59 6" xfId="46473"/>
    <cellStyle name="Note 3 3 5 59 7" xfId="52119"/>
    <cellStyle name="Note 3 3 5 6" xfId="1533"/>
    <cellStyle name="Note 3 3 5 6 2" xfId="9356"/>
    <cellStyle name="Note 3 3 5 6 3" xfId="16784"/>
    <cellStyle name="Note 3 3 5 6 4" xfId="19406"/>
    <cellStyle name="Note 3 3 5 6 5" xfId="26992"/>
    <cellStyle name="Note 3 3 5 6 6" xfId="38055"/>
    <cellStyle name="Note 3 3 5 6 7" xfId="48841"/>
    <cellStyle name="Note 3 3 5 60" xfId="7788"/>
    <cellStyle name="Note 3 3 5 60 2" xfId="15505"/>
    <cellStyle name="Note 3 3 5 60 3" xfId="24494"/>
    <cellStyle name="Note 3 3 5 60 4" xfId="32685"/>
    <cellStyle name="Note 3 3 5 60 5" xfId="28123"/>
    <cellStyle name="Note 3 3 5 60 6" xfId="46350"/>
    <cellStyle name="Note 3 3 5 60 7" xfId="49112"/>
    <cellStyle name="Note 3 3 5 61" xfId="8039"/>
    <cellStyle name="Note 3 3 5 61 2" xfId="15756"/>
    <cellStyle name="Note 3 3 5 61 3" xfId="24741"/>
    <cellStyle name="Note 3 3 5 61 4" xfId="32936"/>
    <cellStyle name="Note 3 3 5 61 5" xfId="36057"/>
    <cellStyle name="Note 3 3 5 61 6" xfId="46601"/>
    <cellStyle name="Note 3 3 5 61 7" xfId="48016"/>
    <cellStyle name="Note 3 3 5 62" xfId="7712"/>
    <cellStyle name="Note 3 3 5 62 2" xfId="15429"/>
    <cellStyle name="Note 3 3 5 62 3" xfId="24420"/>
    <cellStyle name="Note 3 3 5 62 4" xfId="32609"/>
    <cellStyle name="Note 3 3 5 62 5" xfId="33936"/>
    <cellStyle name="Note 3 3 5 62 6" xfId="46274"/>
    <cellStyle name="Note 3 3 5 62 7" xfId="50722"/>
    <cellStyle name="Note 3 3 5 63" xfId="8186"/>
    <cellStyle name="Note 3 3 5 63 2" xfId="15903"/>
    <cellStyle name="Note 3 3 5 63 3" xfId="33083"/>
    <cellStyle name="Note 3 3 5 63 4" xfId="27260"/>
    <cellStyle name="Note 3 3 5 63 5" xfId="46748"/>
    <cellStyle name="Note 3 3 5 63 6" xfId="46868"/>
    <cellStyle name="Note 3 3 5 64" xfId="25296"/>
    <cellStyle name="Note 3 3 5 65" xfId="33710"/>
    <cellStyle name="Note 3 3 5 66" xfId="36271"/>
    <cellStyle name="Note 3 3 5 67" xfId="51418"/>
    <cellStyle name="Note 3 3 5 7" xfId="1097"/>
    <cellStyle name="Note 3 3 5 7 2" xfId="8921"/>
    <cellStyle name="Note 3 3 5 7 3" xfId="16349"/>
    <cellStyle name="Note 3 3 5 7 4" xfId="24989"/>
    <cellStyle name="Note 3 3 5 7 5" xfId="33335"/>
    <cellStyle name="Note 3 3 5 7 6" xfId="37221"/>
    <cellStyle name="Note 3 3 5 7 7" xfId="50769"/>
    <cellStyle name="Note 3 3 5 8" xfId="1771"/>
    <cellStyle name="Note 3 3 5 8 2" xfId="9594"/>
    <cellStyle name="Note 3 3 5 8 3" xfId="17022"/>
    <cellStyle name="Note 3 3 5 8 4" xfId="26537"/>
    <cellStyle name="Note 3 3 5 8 5" xfId="35337"/>
    <cellStyle name="Note 3 3 5 8 6" xfId="37611"/>
    <cellStyle name="Note 3 3 5 8 7" xfId="54144"/>
    <cellStyle name="Note 3 3 5 9" xfId="1904"/>
    <cellStyle name="Note 3 3 5 9 2" xfId="9727"/>
    <cellStyle name="Note 3 3 5 9 3" xfId="17155"/>
    <cellStyle name="Note 3 3 5 9 4" xfId="19369"/>
    <cellStyle name="Note 3 3 5 9 5" xfId="27505"/>
    <cellStyle name="Note 3 3 5 9 6" xfId="36670"/>
    <cellStyle name="Note 3 3 5 9 7" xfId="47683"/>
    <cellStyle name="Note 3 3 50" xfId="5192"/>
    <cellStyle name="Note 3 3 50 2" xfId="12909"/>
    <cellStyle name="Note 3 3 50 3" xfId="21902"/>
    <cellStyle name="Note 3 3 50 4" xfId="30089"/>
    <cellStyle name="Note 3 3 50 5" xfId="27070"/>
    <cellStyle name="Note 3 3 50 6" xfId="43754"/>
    <cellStyle name="Note 3 3 50 7" xfId="50231"/>
    <cellStyle name="Note 3 3 51" xfId="5919"/>
    <cellStyle name="Note 3 3 51 2" xfId="13636"/>
    <cellStyle name="Note 3 3 51 3" xfId="22629"/>
    <cellStyle name="Note 3 3 51 4" xfId="30816"/>
    <cellStyle name="Note 3 3 51 5" xfId="35559"/>
    <cellStyle name="Note 3 3 51 6" xfId="44481"/>
    <cellStyle name="Note 3 3 51 7" xfId="46976"/>
    <cellStyle name="Note 3 3 52" xfId="6176"/>
    <cellStyle name="Note 3 3 52 2" xfId="13893"/>
    <cellStyle name="Note 3 3 52 3" xfId="22886"/>
    <cellStyle name="Note 3 3 52 4" xfId="31073"/>
    <cellStyle name="Note 3 3 52 5" xfId="33976"/>
    <cellStyle name="Note 3 3 52 6" xfId="44738"/>
    <cellStyle name="Note 3 3 52 7" xfId="50637"/>
    <cellStyle name="Note 3 3 53" xfId="5354"/>
    <cellStyle name="Note 3 3 53 2" xfId="13071"/>
    <cellStyle name="Note 3 3 53 3" xfId="22064"/>
    <cellStyle name="Note 3 3 53 4" xfId="30251"/>
    <cellStyle name="Note 3 3 53 5" xfId="33293"/>
    <cellStyle name="Note 3 3 53 6" xfId="43916"/>
    <cellStyle name="Note 3 3 53 7" xfId="48600"/>
    <cellStyle name="Note 3 3 54" xfId="6068"/>
    <cellStyle name="Note 3 3 54 2" xfId="13785"/>
    <cellStyle name="Note 3 3 54 3" xfId="22778"/>
    <cellStyle name="Note 3 3 54 4" xfId="30965"/>
    <cellStyle name="Note 3 3 54 5" xfId="27312"/>
    <cellStyle name="Note 3 3 54 6" xfId="44630"/>
    <cellStyle name="Note 3 3 54 7" xfId="48414"/>
    <cellStyle name="Note 3 3 55" xfId="5248"/>
    <cellStyle name="Note 3 3 55 2" xfId="12965"/>
    <cellStyle name="Note 3 3 55 3" xfId="21958"/>
    <cellStyle name="Note 3 3 55 4" xfId="30145"/>
    <cellStyle name="Note 3 3 55 5" xfId="35720"/>
    <cellStyle name="Note 3 3 55 6" xfId="43810"/>
    <cellStyle name="Note 3 3 55 7" xfId="52057"/>
    <cellStyle name="Note 3 3 56" xfId="6572"/>
    <cellStyle name="Note 3 3 56 2" xfId="14289"/>
    <cellStyle name="Note 3 3 56 3" xfId="23282"/>
    <cellStyle name="Note 3 3 56 4" xfId="31469"/>
    <cellStyle name="Note 3 3 56 5" xfId="36130"/>
    <cellStyle name="Note 3 3 56 6" xfId="45134"/>
    <cellStyle name="Note 3 3 56 7" xfId="53956"/>
    <cellStyle name="Note 3 3 57" xfId="6563"/>
    <cellStyle name="Note 3 3 57 2" xfId="14280"/>
    <cellStyle name="Note 3 3 57 3" xfId="23273"/>
    <cellStyle name="Note 3 3 57 4" xfId="31460"/>
    <cellStyle name="Note 3 3 57 5" xfId="35673"/>
    <cellStyle name="Note 3 3 57 6" xfId="45125"/>
    <cellStyle name="Note 3 3 57 7" xfId="52377"/>
    <cellStyle name="Note 3 3 58" xfId="5303"/>
    <cellStyle name="Note 3 3 58 2" xfId="13020"/>
    <cellStyle name="Note 3 3 58 3" xfId="22013"/>
    <cellStyle name="Note 3 3 58 4" xfId="30200"/>
    <cellStyle name="Note 3 3 58 5" xfId="36076"/>
    <cellStyle name="Note 3 3 58 6" xfId="43865"/>
    <cellStyle name="Note 3 3 58 7" xfId="53785"/>
    <cellStyle name="Note 3 3 59" xfId="6785"/>
    <cellStyle name="Note 3 3 59 2" xfId="14502"/>
    <cellStyle name="Note 3 3 59 3" xfId="23495"/>
    <cellStyle name="Note 3 3 59 4" xfId="31682"/>
    <cellStyle name="Note 3 3 59 5" xfId="36109"/>
    <cellStyle name="Note 3 3 59 6" xfId="45347"/>
    <cellStyle name="Note 3 3 59 7" xfId="53707"/>
    <cellStyle name="Note 3 3 6" xfId="497"/>
    <cellStyle name="Note 3 3 6 10" xfId="1944"/>
    <cellStyle name="Note 3 3 6 10 2" xfId="9767"/>
    <cellStyle name="Note 3 3 6 10 3" xfId="17195"/>
    <cellStyle name="Note 3 3 6 10 4" xfId="25753"/>
    <cellStyle name="Note 3 3 6 10 5" xfId="34304"/>
    <cellStyle name="Note 3 3 6 10 6" xfId="40988"/>
    <cellStyle name="Note 3 3 6 10 7" xfId="52433"/>
    <cellStyle name="Note 3 3 6 11" xfId="2062"/>
    <cellStyle name="Note 3 3 6 11 2" xfId="9885"/>
    <cellStyle name="Note 3 3 6 11 3" xfId="17313"/>
    <cellStyle name="Note 3 3 6 11 4" xfId="25871"/>
    <cellStyle name="Note 3 3 6 11 5" xfId="34460"/>
    <cellStyle name="Note 3 3 6 11 6" xfId="37184"/>
    <cellStyle name="Note 3 3 6 11 7" xfId="52714"/>
    <cellStyle name="Note 3 3 6 12" xfId="2175"/>
    <cellStyle name="Note 3 3 6 12 2" xfId="9998"/>
    <cellStyle name="Note 3 3 6 12 3" xfId="17426"/>
    <cellStyle name="Note 3 3 6 12 4" xfId="19271"/>
    <cellStyle name="Note 3 3 6 12 5" xfId="28248"/>
    <cellStyle name="Note 3 3 6 12 6" xfId="39940"/>
    <cellStyle name="Note 3 3 6 12 7" xfId="47334"/>
    <cellStyle name="Note 3 3 6 13" xfId="1791"/>
    <cellStyle name="Note 3 3 6 13 2" xfId="9614"/>
    <cellStyle name="Note 3 3 6 13 3" xfId="17042"/>
    <cellStyle name="Note 3 3 6 13 4" xfId="25639"/>
    <cellStyle name="Note 3 3 6 13 5" xfId="34158"/>
    <cellStyle name="Note 3 3 6 13 6" xfId="36858"/>
    <cellStyle name="Note 3 3 6 13 7" xfId="52183"/>
    <cellStyle name="Note 3 3 6 14" xfId="1884"/>
    <cellStyle name="Note 3 3 6 14 2" xfId="9707"/>
    <cellStyle name="Note 3 3 6 14 3" xfId="17135"/>
    <cellStyle name="Note 3 3 6 14 4" xfId="20670"/>
    <cellStyle name="Note 3 3 6 14 5" xfId="27006"/>
    <cellStyle name="Note 3 3 6 14 6" xfId="38697"/>
    <cellStyle name="Note 3 3 6 14 7" xfId="47419"/>
    <cellStyle name="Note 3 3 6 15" xfId="2473"/>
    <cellStyle name="Note 3 3 6 15 2" xfId="10296"/>
    <cellStyle name="Note 3 3 6 15 3" xfId="17724"/>
    <cellStyle name="Note 3 3 6 15 4" xfId="26365"/>
    <cellStyle name="Note 3 3 6 15 5" xfId="35100"/>
    <cellStyle name="Note 3 3 6 15 6" xfId="39248"/>
    <cellStyle name="Note 3 3 6 15 7" xfId="53774"/>
    <cellStyle name="Note 3 3 6 16" xfId="2586"/>
    <cellStyle name="Note 3 3 6 16 2" xfId="10409"/>
    <cellStyle name="Note 3 3 6 16 3" xfId="17837"/>
    <cellStyle name="Note 3 3 6 16 4" xfId="25098"/>
    <cellStyle name="Note 3 3 6 16 5" xfId="33462"/>
    <cellStyle name="Note 3 3 6 16 6" xfId="37177"/>
    <cellStyle name="Note 3 3 6 16 7" xfId="51005"/>
    <cellStyle name="Note 3 3 6 17" xfId="2379"/>
    <cellStyle name="Note 3 3 6 17 2" xfId="10202"/>
    <cellStyle name="Note 3 3 6 17 3" xfId="17630"/>
    <cellStyle name="Note 3 3 6 17 4" xfId="20555"/>
    <cellStyle name="Note 3 3 6 17 5" xfId="28736"/>
    <cellStyle name="Note 3 3 6 17 6" xfId="36829"/>
    <cellStyle name="Note 3 3 6 17 7" xfId="48477"/>
    <cellStyle name="Note 3 3 6 18" xfId="2156"/>
    <cellStyle name="Note 3 3 6 18 2" xfId="9979"/>
    <cellStyle name="Note 3 3 6 18 3" xfId="17407"/>
    <cellStyle name="Note 3 3 6 18 4" xfId="19167"/>
    <cellStyle name="Note 3 3 6 18 5" xfId="28475"/>
    <cellStyle name="Note 3 3 6 18 6" xfId="41976"/>
    <cellStyle name="Note 3 3 6 18 7" xfId="49232"/>
    <cellStyle name="Note 3 3 6 19" xfId="2780"/>
    <cellStyle name="Note 3 3 6 19 2" xfId="10603"/>
    <cellStyle name="Note 3 3 6 19 3" xfId="18031"/>
    <cellStyle name="Note 3 3 6 19 4" xfId="26147"/>
    <cellStyle name="Note 3 3 6 19 5" xfId="34813"/>
    <cellStyle name="Note 3 3 6 19 6" xfId="38957"/>
    <cellStyle name="Note 3 3 6 19 7" xfId="53313"/>
    <cellStyle name="Note 3 3 6 2" xfId="648"/>
    <cellStyle name="Note 3 3 6 2 2" xfId="8472"/>
    <cellStyle name="Note 3 3 6 2 3" xfId="8288"/>
    <cellStyle name="Note 3 3 6 2 4" xfId="25420"/>
    <cellStyle name="Note 3 3 6 2 5" xfId="33876"/>
    <cellStyle name="Note 3 3 6 2 6" xfId="37568"/>
    <cellStyle name="Note 3 3 6 2 7" xfId="51690"/>
    <cellStyle name="Note 3 3 6 20" xfId="2887"/>
    <cellStyle name="Note 3 3 6 20 2" xfId="10710"/>
    <cellStyle name="Note 3 3 6 20 3" xfId="18138"/>
    <cellStyle name="Note 3 3 6 20 4" xfId="19853"/>
    <cellStyle name="Note 3 3 6 20 5" xfId="28512"/>
    <cellStyle name="Note 3 3 6 20 6" xfId="36735"/>
    <cellStyle name="Note 3 3 6 20 7" xfId="49981"/>
    <cellStyle name="Note 3 3 6 21" xfId="3263"/>
    <cellStyle name="Note 3 3 6 21 2" xfId="11056"/>
    <cellStyle name="Note 3 3 6 21 3" xfId="18385"/>
    <cellStyle name="Note 3 3 6 21 4" xfId="19471"/>
    <cellStyle name="Note 3 3 6 21 5" xfId="26944"/>
    <cellStyle name="Note 3 3 6 21 6" xfId="39528"/>
    <cellStyle name="Note 3 3 6 21 7" xfId="49093"/>
    <cellStyle name="Note 3 3 6 22" xfId="3383"/>
    <cellStyle name="Note 3 3 6 22 2" xfId="11174"/>
    <cellStyle name="Note 3 3 6 22 3" xfId="18496"/>
    <cellStyle name="Note 3 3 6 22 4" xfId="19427"/>
    <cellStyle name="Note 3 3 6 22 5" xfId="27085"/>
    <cellStyle name="Note 3 3 6 22 6" xfId="38477"/>
    <cellStyle name="Note 3 3 6 22 7" xfId="47590"/>
    <cellStyle name="Note 3 3 6 23" xfId="3517"/>
    <cellStyle name="Note 3 3 6 23 2" xfId="11308"/>
    <cellStyle name="Note 3 3 6 23 3" xfId="18605"/>
    <cellStyle name="Note 3 3 6 23 4" xfId="26042"/>
    <cellStyle name="Note 3 3 6 23 5" xfId="34677"/>
    <cellStyle name="Note 3 3 6 23 6" xfId="41319"/>
    <cellStyle name="Note 3 3 6 23 7" xfId="53079"/>
    <cellStyle name="Note 3 3 6 24" xfId="3543"/>
    <cellStyle name="Note 3 3 6 24 2" xfId="11332"/>
    <cellStyle name="Note 3 3 6 24 3" xfId="18622"/>
    <cellStyle name="Note 3 3 6 24 4" xfId="24893"/>
    <cellStyle name="Note 3 3 6 24 5" xfId="33209"/>
    <cellStyle name="Note 3 3 6 24 6" xfId="38643"/>
    <cellStyle name="Note 3 3 6 24 7" xfId="50546"/>
    <cellStyle name="Note 3 3 6 25" xfId="3653"/>
    <cellStyle name="Note 3 3 6 25 2" xfId="11438"/>
    <cellStyle name="Note 3 3 6 25 3" xfId="18711"/>
    <cellStyle name="Note 3 3 6 25 4" xfId="20371"/>
    <cellStyle name="Note 3 3 6 25 5" xfId="27689"/>
    <cellStyle name="Note 3 3 6 25 6" xfId="40902"/>
    <cellStyle name="Note 3 3 6 25 7" xfId="48178"/>
    <cellStyle name="Note 3 3 6 26" xfId="3784"/>
    <cellStyle name="Note 3 3 6 26 2" xfId="11566"/>
    <cellStyle name="Note 3 3 6 26 3" xfId="18823"/>
    <cellStyle name="Note 3 3 6 26 4" xfId="19609"/>
    <cellStyle name="Note 3 3 6 26 5" xfId="28185"/>
    <cellStyle name="Note 3 3 6 26 6" xfId="36319"/>
    <cellStyle name="Note 3 3 6 26 7" xfId="49492"/>
    <cellStyle name="Note 3 3 6 27" xfId="3901"/>
    <cellStyle name="Note 3 3 6 27 2" xfId="11681"/>
    <cellStyle name="Note 3 3 6 27 3" xfId="18932"/>
    <cellStyle name="Note 3 3 6 27 4" xfId="25193"/>
    <cellStyle name="Note 3 3 6 27 5" xfId="33577"/>
    <cellStyle name="Note 3 3 6 27 6" xfId="39107"/>
    <cellStyle name="Note 3 3 6 27 7" xfId="51197"/>
    <cellStyle name="Note 3 3 6 28" xfId="3199"/>
    <cellStyle name="Note 3 3 6 28 2" xfId="10999"/>
    <cellStyle name="Note 3 3 6 28 3" xfId="20325"/>
    <cellStyle name="Note 3 3 6 28 4" xfId="28417"/>
    <cellStyle name="Note 3 3 6 28 5" xfId="35416"/>
    <cellStyle name="Note 3 3 6 28 6" xfId="42438"/>
    <cellStyle name="Note 3 3 6 28 7" xfId="49356"/>
    <cellStyle name="Note 3 3 6 29" xfId="4098"/>
    <cellStyle name="Note 3 3 6 29 2" xfId="11858"/>
    <cellStyle name="Note 3 3 6 29 3" xfId="20808"/>
    <cellStyle name="Note 3 3 6 29 4" xfId="28995"/>
    <cellStyle name="Note 3 3 6 29 5" xfId="33887"/>
    <cellStyle name="Note 3 3 6 29 6" xfId="42660"/>
    <cellStyle name="Note 3 3 6 29 7" xfId="48359"/>
    <cellStyle name="Note 3 3 6 3" xfId="755"/>
    <cellStyle name="Note 3 3 6 3 2" xfId="8579"/>
    <cellStyle name="Note 3 3 6 3 3" xfId="16007"/>
    <cellStyle name="Note 3 3 6 3 4" xfId="26477"/>
    <cellStyle name="Note 3 3 6 3 5" xfId="35261"/>
    <cellStyle name="Note 3 3 6 3 6" xfId="37561"/>
    <cellStyle name="Note 3 3 6 3 7" xfId="54028"/>
    <cellStyle name="Note 3 3 6 30" xfId="4016"/>
    <cellStyle name="Note 3 3 6 30 2" xfId="20726"/>
    <cellStyle name="Note 3 3 6 30 3" xfId="28913"/>
    <cellStyle name="Note 3 3 6 30 4" xfId="35693"/>
    <cellStyle name="Note 3 3 6 30 5" xfId="42578"/>
    <cellStyle name="Note 3 3 6 30 6" xfId="51933"/>
    <cellStyle name="Note 3 3 6 31" xfId="4295"/>
    <cellStyle name="Note 3 3 6 31 2" xfId="12012"/>
    <cellStyle name="Note 3 3 6 31 3" xfId="21005"/>
    <cellStyle name="Note 3 3 6 31 4" xfId="29192"/>
    <cellStyle name="Note 3 3 6 31 5" xfId="28164"/>
    <cellStyle name="Note 3 3 6 31 6" xfId="42857"/>
    <cellStyle name="Note 3 3 6 31 7" xfId="49445"/>
    <cellStyle name="Note 3 3 6 32" xfId="4418"/>
    <cellStyle name="Note 3 3 6 32 2" xfId="12135"/>
    <cellStyle name="Note 3 3 6 32 3" xfId="21128"/>
    <cellStyle name="Note 3 3 6 32 4" xfId="29315"/>
    <cellStyle name="Note 3 3 6 32 5" xfId="36014"/>
    <cellStyle name="Note 3 3 6 32 6" xfId="42980"/>
    <cellStyle name="Note 3 3 6 32 7" xfId="53485"/>
    <cellStyle name="Note 3 3 6 33" xfId="4532"/>
    <cellStyle name="Note 3 3 6 33 2" xfId="12249"/>
    <cellStyle name="Note 3 3 6 33 3" xfId="21242"/>
    <cellStyle name="Note 3 3 6 33 4" xfId="29429"/>
    <cellStyle name="Note 3 3 6 33 5" xfId="36126"/>
    <cellStyle name="Note 3 3 6 33 6" xfId="43094"/>
    <cellStyle name="Note 3 3 6 33 7" xfId="54006"/>
    <cellStyle name="Note 3 3 6 34" xfId="4645"/>
    <cellStyle name="Note 3 3 6 34 2" xfId="12362"/>
    <cellStyle name="Note 3 3 6 34 3" xfId="21355"/>
    <cellStyle name="Note 3 3 6 34 4" xfId="29542"/>
    <cellStyle name="Note 3 3 6 34 5" xfId="35846"/>
    <cellStyle name="Note 3 3 6 34 6" xfId="43207"/>
    <cellStyle name="Note 3 3 6 34 7" xfId="52645"/>
    <cellStyle name="Note 3 3 6 35" xfId="4757"/>
    <cellStyle name="Note 3 3 6 35 2" xfId="12474"/>
    <cellStyle name="Note 3 3 6 35 3" xfId="21467"/>
    <cellStyle name="Note 3 3 6 35 4" xfId="29654"/>
    <cellStyle name="Note 3 3 6 35 5" xfId="34941"/>
    <cellStyle name="Note 3 3 6 35 6" xfId="43319"/>
    <cellStyle name="Note 3 3 6 35 7" xfId="48662"/>
    <cellStyle name="Note 3 3 6 36" xfId="4865"/>
    <cellStyle name="Note 3 3 6 36 2" xfId="12582"/>
    <cellStyle name="Note 3 3 6 36 3" xfId="21575"/>
    <cellStyle name="Note 3 3 6 36 4" xfId="29762"/>
    <cellStyle name="Note 3 3 6 36 5" xfId="35678"/>
    <cellStyle name="Note 3 3 6 36 6" xfId="43427"/>
    <cellStyle name="Note 3 3 6 36 7" xfId="51813"/>
    <cellStyle name="Note 3 3 6 37" xfId="4977"/>
    <cellStyle name="Note 3 3 6 37 2" xfId="12694"/>
    <cellStyle name="Note 3 3 6 37 3" xfId="21687"/>
    <cellStyle name="Note 3 3 6 37 4" xfId="29874"/>
    <cellStyle name="Note 3 3 6 37 5" xfId="35002"/>
    <cellStyle name="Note 3 3 6 37 6" xfId="43539"/>
    <cellStyle name="Note 3 3 6 37 7" xfId="50166"/>
    <cellStyle name="Note 3 3 6 38" xfId="5134"/>
    <cellStyle name="Note 3 3 6 38 2" xfId="12851"/>
    <cellStyle name="Note 3 3 6 38 3" xfId="21844"/>
    <cellStyle name="Note 3 3 6 38 4" xfId="30031"/>
    <cellStyle name="Note 3 3 6 38 5" xfId="33917"/>
    <cellStyle name="Note 3 3 6 38 6" xfId="43696"/>
    <cellStyle name="Note 3 3 6 38 7" xfId="50779"/>
    <cellStyle name="Note 3 3 6 39" xfId="5475"/>
    <cellStyle name="Note 3 3 6 39 2" xfId="13192"/>
    <cellStyle name="Note 3 3 6 39 3" xfId="22185"/>
    <cellStyle name="Note 3 3 6 39 4" xfId="30372"/>
    <cellStyle name="Note 3 3 6 39 5" xfId="33678"/>
    <cellStyle name="Note 3 3 6 39 6" xfId="44037"/>
    <cellStyle name="Note 3 3 6 39 7" xfId="51102"/>
    <cellStyle name="Note 3 3 6 4" xfId="867"/>
    <cellStyle name="Note 3 3 6 4 2" xfId="8691"/>
    <cellStyle name="Note 3 3 6 4 3" xfId="16119"/>
    <cellStyle name="Note 3 3 6 4 4" xfId="19748"/>
    <cellStyle name="Note 3 3 6 4 5" xfId="28148"/>
    <cellStyle name="Note 3 3 6 4 6" xfId="37545"/>
    <cellStyle name="Note 3 3 6 4 7" xfId="48966"/>
    <cellStyle name="Note 3 3 6 40" xfId="5600"/>
    <cellStyle name="Note 3 3 6 40 2" xfId="13317"/>
    <cellStyle name="Note 3 3 6 40 3" xfId="22310"/>
    <cellStyle name="Note 3 3 6 40 4" xfId="30497"/>
    <cellStyle name="Note 3 3 6 40 5" xfId="34103"/>
    <cellStyle name="Note 3 3 6 40 6" xfId="44162"/>
    <cellStyle name="Note 3 3 6 40 7" xfId="47141"/>
    <cellStyle name="Note 3 3 6 41" xfId="5715"/>
    <cellStyle name="Note 3 3 6 41 2" xfId="13432"/>
    <cellStyle name="Note 3 3 6 41 3" xfId="22425"/>
    <cellStyle name="Note 3 3 6 41 4" xfId="30612"/>
    <cellStyle name="Note 3 3 6 41 5" xfId="33998"/>
    <cellStyle name="Note 3 3 6 41 6" xfId="44277"/>
    <cellStyle name="Note 3 3 6 41 7" xfId="47074"/>
    <cellStyle name="Note 3 3 6 42" xfId="5832"/>
    <cellStyle name="Note 3 3 6 42 2" xfId="13549"/>
    <cellStyle name="Note 3 3 6 42 3" xfId="22542"/>
    <cellStyle name="Note 3 3 6 42 4" xfId="30729"/>
    <cellStyle name="Note 3 3 6 42 5" xfId="28198"/>
    <cellStyle name="Note 3 3 6 42 6" xfId="44394"/>
    <cellStyle name="Note 3 3 6 42 7" xfId="49933"/>
    <cellStyle name="Note 3 3 6 43" xfId="5960"/>
    <cellStyle name="Note 3 3 6 43 2" xfId="13677"/>
    <cellStyle name="Note 3 3 6 43 3" xfId="22670"/>
    <cellStyle name="Note 3 3 6 43 4" xfId="30857"/>
    <cellStyle name="Note 3 3 6 43 5" xfId="35612"/>
    <cellStyle name="Note 3 3 6 43 6" xfId="44522"/>
    <cellStyle name="Note 3 3 6 43 7" xfId="51246"/>
    <cellStyle name="Note 3 3 6 44" xfId="6073"/>
    <cellStyle name="Note 3 3 6 44 2" xfId="13790"/>
    <cellStyle name="Note 3 3 6 44 3" xfId="22783"/>
    <cellStyle name="Note 3 3 6 44 4" xfId="30970"/>
    <cellStyle name="Note 3 3 6 44 5" xfId="36217"/>
    <cellStyle name="Note 3 3 6 44 6" xfId="44635"/>
    <cellStyle name="Note 3 3 6 44 7" xfId="54275"/>
    <cellStyle name="Note 3 3 6 45" xfId="5178"/>
    <cellStyle name="Note 3 3 6 45 2" xfId="12895"/>
    <cellStyle name="Note 3 3 6 45 3" xfId="21888"/>
    <cellStyle name="Note 3 3 6 45 4" xfId="30075"/>
    <cellStyle name="Note 3 3 6 45 5" xfId="35633"/>
    <cellStyle name="Note 3 3 6 45 6" xfId="43740"/>
    <cellStyle name="Note 3 3 6 45 7" xfId="51636"/>
    <cellStyle name="Note 3 3 6 46" xfId="6216"/>
    <cellStyle name="Note 3 3 6 46 2" xfId="13933"/>
    <cellStyle name="Note 3 3 6 46 3" xfId="22926"/>
    <cellStyle name="Note 3 3 6 46 4" xfId="31113"/>
    <cellStyle name="Note 3 3 6 46 5" xfId="36179"/>
    <cellStyle name="Note 3 3 6 46 6" xfId="44778"/>
    <cellStyle name="Note 3 3 6 46 7" xfId="53823"/>
    <cellStyle name="Note 3 3 6 47" xfId="6333"/>
    <cellStyle name="Note 3 3 6 47 2" xfId="14050"/>
    <cellStyle name="Note 3 3 6 47 3" xfId="23043"/>
    <cellStyle name="Note 3 3 6 47 4" xfId="31230"/>
    <cellStyle name="Note 3 3 6 47 5" xfId="27165"/>
    <cellStyle name="Note 3 3 6 47 6" xfId="44895"/>
    <cellStyle name="Note 3 3 6 47 7" xfId="49662"/>
    <cellStyle name="Note 3 3 6 48" xfId="6443"/>
    <cellStyle name="Note 3 3 6 48 2" xfId="14160"/>
    <cellStyle name="Note 3 3 6 48 3" xfId="23153"/>
    <cellStyle name="Note 3 3 6 48 4" xfId="31340"/>
    <cellStyle name="Note 3 3 6 48 5" xfId="35741"/>
    <cellStyle name="Note 3 3 6 48 6" xfId="45005"/>
    <cellStyle name="Note 3 3 6 48 7" xfId="51962"/>
    <cellStyle name="Note 3 3 6 49" xfId="6113"/>
    <cellStyle name="Note 3 3 6 49 2" xfId="13830"/>
    <cellStyle name="Note 3 3 6 49 3" xfId="22823"/>
    <cellStyle name="Note 3 3 6 49 4" xfId="31010"/>
    <cellStyle name="Note 3 3 6 49 5" xfId="35287"/>
    <cellStyle name="Note 3 3 6 49 6" xfId="44675"/>
    <cellStyle name="Note 3 3 6 49 7" xfId="49907"/>
    <cellStyle name="Note 3 3 6 5" xfId="1332"/>
    <cellStyle name="Note 3 3 6 5 2" xfId="9155"/>
    <cellStyle name="Note 3 3 6 5 3" xfId="16583"/>
    <cellStyle name="Note 3 3 6 5 4" xfId="25009"/>
    <cellStyle name="Note 3 3 6 5 5" xfId="33361"/>
    <cellStyle name="Note 3 3 6 5 6" xfId="41927"/>
    <cellStyle name="Note 3 3 6 5 7" xfId="50814"/>
    <cellStyle name="Note 3 3 6 50" xfId="6590"/>
    <cellStyle name="Note 3 3 6 50 2" xfId="14307"/>
    <cellStyle name="Note 3 3 6 50 3" xfId="23300"/>
    <cellStyle name="Note 3 3 6 50 4" xfId="31487"/>
    <cellStyle name="Note 3 3 6 50 5" xfId="35801"/>
    <cellStyle name="Note 3 3 6 50 6" xfId="45152"/>
    <cellStyle name="Note 3 3 6 50 7" xfId="47642"/>
    <cellStyle name="Note 3 3 6 51" xfId="6701"/>
    <cellStyle name="Note 3 3 6 51 2" xfId="14418"/>
    <cellStyle name="Note 3 3 6 51 3" xfId="23411"/>
    <cellStyle name="Note 3 3 6 51 4" xfId="31598"/>
    <cellStyle name="Note 3 3 6 51 5" xfId="34529"/>
    <cellStyle name="Note 3 3 6 51 6" xfId="45263"/>
    <cellStyle name="Note 3 3 6 51 7" xfId="50072"/>
    <cellStyle name="Note 3 3 6 52" xfId="6816"/>
    <cellStyle name="Note 3 3 6 52 2" xfId="14533"/>
    <cellStyle name="Note 3 3 6 52 3" xfId="23526"/>
    <cellStyle name="Note 3 3 6 52 4" xfId="31713"/>
    <cellStyle name="Note 3 3 6 52 5" xfId="34151"/>
    <cellStyle name="Note 3 3 6 52 6" xfId="45378"/>
    <cellStyle name="Note 3 3 6 52 7" xfId="50389"/>
    <cellStyle name="Note 3 3 6 53" xfId="6929"/>
    <cellStyle name="Note 3 3 6 53 2" xfId="14646"/>
    <cellStyle name="Note 3 3 6 53 3" xfId="23639"/>
    <cellStyle name="Note 3 3 6 53 4" xfId="31826"/>
    <cellStyle name="Note 3 3 6 53 5" xfId="36233"/>
    <cellStyle name="Note 3 3 6 53 6" xfId="45491"/>
    <cellStyle name="Note 3 3 6 53 7" xfId="46985"/>
    <cellStyle name="Note 3 3 6 54" xfId="7041"/>
    <cellStyle name="Note 3 3 6 54 2" xfId="14758"/>
    <cellStyle name="Note 3 3 6 54 3" xfId="23751"/>
    <cellStyle name="Note 3 3 6 54 4" xfId="31938"/>
    <cellStyle name="Note 3 3 6 54 5" xfId="28555"/>
    <cellStyle name="Note 3 3 6 54 6" xfId="45603"/>
    <cellStyle name="Note 3 3 6 54 7" xfId="46883"/>
    <cellStyle name="Note 3 3 6 55" xfId="7203"/>
    <cellStyle name="Note 3 3 6 55 2" xfId="14920"/>
    <cellStyle name="Note 3 3 6 55 3" xfId="23913"/>
    <cellStyle name="Note 3 3 6 55 4" xfId="32100"/>
    <cellStyle name="Note 3 3 6 55 5" xfId="35597"/>
    <cellStyle name="Note 3 3 6 55 6" xfId="45765"/>
    <cellStyle name="Note 3 3 6 55 7" xfId="50955"/>
    <cellStyle name="Note 3 3 6 56" xfId="7342"/>
    <cellStyle name="Note 3 3 6 56 2" xfId="15059"/>
    <cellStyle name="Note 3 3 6 56 3" xfId="24052"/>
    <cellStyle name="Note 3 3 6 56 4" xfId="32239"/>
    <cellStyle name="Note 3 3 6 56 5" xfId="35879"/>
    <cellStyle name="Note 3 3 6 56 6" xfId="45904"/>
    <cellStyle name="Note 3 3 6 56 7" xfId="52261"/>
    <cellStyle name="Note 3 3 6 57" xfId="7438"/>
    <cellStyle name="Note 3 3 6 57 2" xfId="15155"/>
    <cellStyle name="Note 3 3 6 57 3" xfId="24148"/>
    <cellStyle name="Note 3 3 6 57 4" xfId="32335"/>
    <cellStyle name="Note 3 3 6 57 5" xfId="34397"/>
    <cellStyle name="Note 3 3 6 57 6" xfId="46000"/>
    <cellStyle name="Note 3 3 6 57 7" xfId="49314"/>
    <cellStyle name="Note 3 3 6 58" xfId="7559"/>
    <cellStyle name="Note 3 3 6 58 2" xfId="15276"/>
    <cellStyle name="Note 3 3 6 58 3" xfId="24269"/>
    <cellStyle name="Note 3 3 6 58 4" xfId="32456"/>
    <cellStyle name="Note 3 3 6 58 5" xfId="35723"/>
    <cellStyle name="Note 3 3 6 58 6" xfId="46121"/>
    <cellStyle name="Note 3 3 6 58 7" xfId="51306"/>
    <cellStyle name="Note 3 3 6 59" xfId="7835"/>
    <cellStyle name="Note 3 3 6 59 2" xfId="15552"/>
    <cellStyle name="Note 3 3 6 59 3" xfId="24539"/>
    <cellStyle name="Note 3 3 6 59 4" xfId="32732"/>
    <cellStyle name="Note 3 3 6 59 5" xfId="35952"/>
    <cellStyle name="Note 3 3 6 59 6" xfId="46397"/>
    <cellStyle name="Note 3 3 6 59 7" xfId="52728"/>
    <cellStyle name="Note 3 3 6 6" xfId="1455"/>
    <cellStyle name="Note 3 3 6 6 2" xfId="9278"/>
    <cellStyle name="Note 3 3 6 6 3" xfId="16706"/>
    <cellStyle name="Note 3 3 6 6 4" xfId="24888"/>
    <cellStyle name="Note 3 3 6 6 5" xfId="33202"/>
    <cellStyle name="Note 3 3 6 6 6" xfId="38377"/>
    <cellStyle name="Note 3 3 6 6 7" xfId="50534"/>
    <cellStyle name="Note 3 3 6 60" xfId="7818"/>
    <cellStyle name="Note 3 3 6 60 2" xfId="15535"/>
    <cellStyle name="Note 3 3 6 60 3" xfId="24522"/>
    <cellStyle name="Note 3 3 6 60 4" xfId="32715"/>
    <cellStyle name="Note 3 3 6 60 5" xfId="36021"/>
    <cellStyle name="Note 3 3 6 60 6" xfId="46380"/>
    <cellStyle name="Note 3 3 6 60 7" xfId="48223"/>
    <cellStyle name="Note 3 3 6 61" xfId="7972"/>
    <cellStyle name="Note 3 3 6 61 2" xfId="15689"/>
    <cellStyle name="Note 3 3 6 61 3" xfId="24674"/>
    <cellStyle name="Note 3 3 6 61 4" xfId="32869"/>
    <cellStyle name="Note 3 3 6 61 5" xfId="35981"/>
    <cellStyle name="Note 3 3 6 61 6" xfId="46534"/>
    <cellStyle name="Note 3 3 6 61 7" xfId="52734"/>
    <cellStyle name="Note 3 3 6 62" xfId="7963"/>
    <cellStyle name="Note 3 3 6 62 2" xfId="15680"/>
    <cellStyle name="Note 3 3 6 62 3" xfId="24666"/>
    <cellStyle name="Note 3 3 6 62 4" xfId="32860"/>
    <cellStyle name="Note 3 3 6 62 5" xfId="33634"/>
    <cellStyle name="Note 3 3 6 62 6" xfId="46525"/>
    <cellStyle name="Note 3 3 6 62 7" xfId="53816"/>
    <cellStyle name="Note 3 3 6 63" xfId="8111"/>
    <cellStyle name="Note 3 3 6 63 2" xfId="15828"/>
    <cellStyle name="Note 3 3 6 63 3" xfId="33008"/>
    <cellStyle name="Note 3 3 6 63 4" xfId="36007"/>
    <cellStyle name="Note 3 3 6 63 5" xfId="46673"/>
    <cellStyle name="Note 3 3 6 63 6" xfId="53032"/>
    <cellStyle name="Note 3 3 6 64" xfId="25651"/>
    <cellStyle name="Note 3 3 6 65" xfId="34173"/>
    <cellStyle name="Note 3 3 6 66" xfId="36964"/>
    <cellStyle name="Note 3 3 6 67" xfId="52200"/>
    <cellStyle name="Note 3 3 6 7" xfId="1191"/>
    <cellStyle name="Note 3 3 6 7 2" xfId="9014"/>
    <cellStyle name="Note 3 3 6 7 3" xfId="16442"/>
    <cellStyle name="Note 3 3 6 7 4" xfId="25957"/>
    <cellStyle name="Note 3 3 6 7 5" xfId="34564"/>
    <cellStyle name="Note 3 3 6 7 6" xfId="41802"/>
    <cellStyle name="Note 3 3 6 7 7" xfId="52901"/>
    <cellStyle name="Note 3 3 6 8" xfId="1692"/>
    <cellStyle name="Note 3 3 6 8 2" xfId="9515"/>
    <cellStyle name="Note 3 3 6 8 3" xfId="16943"/>
    <cellStyle name="Note 3 3 6 8 4" xfId="25454"/>
    <cellStyle name="Note 3 3 6 8 5" xfId="33916"/>
    <cellStyle name="Note 3 3 6 8 6" xfId="37223"/>
    <cellStyle name="Note 3 3 6 8 7" xfId="51764"/>
    <cellStyle name="Note 3 3 6 9" xfId="1826"/>
    <cellStyle name="Note 3 3 6 9 2" xfId="9649"/>
    <cellStyle name="Note 3 3 6 9 3" xfId="17077"/>
    <cellStyle name="Note 3 3 6 9 4" xfId="19142"/>
    <cellStyle name="Note 3 3 6 9 5" xfId="26870"/>
    <cellStyle name="Note 3 3 6 9 6" xfId="37712"/>
    <cellStyle name="Note 3 3 6 9 7" xfId="49805"/>
    <cellStyle name="Note 3 3 60" xfId="7315"/>
    <cellStyle name="Note 3 3 60 2" xfId="15032"/>
    <cellStyle name="Note 3 3 60 3" xfId="24025"/>
    <cellStyle name="Note 3 3 60 4" xfId="32212"/>
    <cellStyle name="Note 3 3 60 5" xfId="35823"/>
    <cellStyle name="Note 3 3 60 6" xfId="45877"/>
    <cellStyle name="Note 3 3 60 7" xfId="52625"/>
    <cellStyle name="Note 3 3 61" xfId="7335"/>
    <cellStyle name="Note 3 3 61 2" xfId="15052"/>
    <cellStyle name="Note 3 3 61 3" xfId="24045"/>
    <cellStyle name="Note 3 3 61 4" xfId="32232"/>
    <cellStyle name="Note 3 3 61 5" xfId="35998"/>
    <cellStyle name="Note 3 3 61 6" xfId="45897"/>
    <cellStyle name="Note 3 3 61 7" xfId="51692"/>
    <cellStyle name="Note 3 3 62" xfId="7217"/>
    <cellStyle name="Note 3 3 62 2" xfId="14934"/>
    <cellStyle name="Note 3 3 62 3" xfId="23927"/>
    <cellStyle name="Note 3 3 62 4" xfId="32114"/>
    <cellStyle name="Note 3 3 62 5" xfId="33391"/>
    <cellStyle name="Note 3 3 62 6" xfId="45779"/>
    <cellStyle name="Note 3 3 62 7" xfId="49401"/>
    <cellStyle name="Note 3 3 63" xfId="7532"/>
    <cellStyle name="Note 3 3 63 2" xfId="15249"/>
    <cellStyle name="Note 3 3 63 3" xfId="24242"/>
    <cellStyle name="Note 3 3 63 4" xfId="32429"/>
    <cellStyle name="Note 3 3 63 5" xfId="28511"/>
    <cellStyle name="Note 3 3 63 6" xfId="46094"/>
    <cellStyle name="Note 3 3 63 7" xfId="54404"/>
    <cellStyle name="Note 3 3 64" xfId="7733"/>
    <cellStyle name="Note 3 3 64 2" xfId="15450"/>
    <cellStyle name="Note 3 3 64 3" xfId="24441"/>
    <cellStyle name="Note 3 3 64 4" xfId="32630"/>
    <cellStyle name="Note 3 3 64 5" xfId="33474"/>
    <cellStyle name="Note 3 3 64 6" xfId="46295"/>
    <cellStyle name="Note 3 3 64 7" xfId="54010"/>
    <cellStyle name="Note 3 3 65" xfId="7799"/>
    <cellStyle name="Note 3 3 65 2" xfId="15516"/>
    <cellStyle name="Note 3 3 65 3" xfId="24503"/>
    <cellStyle name="Note 3 3 65 4" xfId="32696"/>
    <cellStyle name="Note 3 3 65 5" xfId="35253"/>
    <cellStyle name="Note 3 3 65 6" xfId="46361"/>
    <cellStyle name="Note 3 3 65 7" xfId="52160"/>
    <cellStyle name="Note 3 3 66" xfId="7992"/>
    <cellStyle name="Note 3 3 66 2" xfId="15709"/>
    <cellStyle name="Note 3 3 66 3" xfId="24694"/>
    <cellStyle name="Note 3 3 66 4" xfId="32889"/>
    <cellStyle name="Note 3 3 66 5" xfId="34676"/>
    <cellStyle name="Note 3 3 66 6" xfId="46554"/>
    <cellStyle name="Note 3 3 66 7" xfId="50611"/>
    <cellStyle name="Note 3 3 67" xfId="7649"/>
    <cellStyle name="Note 3 3 67 2" xfId="15366"/>
    <cellStyle name="Note 3 3 67 3" xfId="24359"/>
    <cellStyle name="Note 3 3 67 4" xfId="32546"/>
    <cellStyle name="Note 3 3 67 5" xfId="34736"/>
    <cellStyle name="Note 3 3 67 6" xfId="46211"/>
    <cellStyle name="Note 3 3 67 7" xfId="50868"/>
    <cellStyle name="Note 3 3 68" xfId="8076"/>
    <cellStyle name="Note 3 3 68 2" xfId="15793"/>
    <cellStyle name="Note 3 3 68 3" xfId="32973"/>
    <cellStyle name="Note 3 3 68 4" xfId="35421"/>
    <cellStyle name="Note 3 3 68 5" xfId="46638"/>
    <cellStyle name="Note 3 3 68 6" xfId="49202"/>
    <cellStyle name="Note 3 3 69" xfId="26594"/>
    <cellStyle name="Note 3 3 7" xfId="600"/>
    <cellStyle name="Note 3 3 7 2" xfId="8424"/>
    <cellStyle name="Note 3 3 7 3" xfId="8416"/>
    <cellStyle name="Note 3 3 7 4" xfId="19268"/>
    <cellStyle name="Note 3 3 7 5" xfId="27073"/>
    <cellStyle name="Note 3 3 7 6" xfId="37416"/>
    <cellStyle name="Note 3 3 7 7" xfId="48935"/>
    <cellStyle name="Note 3 3 70" xfId="35418"/>
    <cellStyle name="Note 3 3 71" xfId="36629"/>
    <cellStyle name="Note 3 3 72" xfId="54266"/>
    <cellStyle name="Note 3 3 8" xfId="243"/>
    <cellStyle name="Note 3 3 8 2" xfId="8343"/>
    <cellStyle name="Note 3 3 8 3" xfId="8338"/>
    <cellStyle name="Note 3 3 8 4" xfId="20137"/>
    <cellStyle name="Note 3 3 8 5" xfId="27489"/>
    <cellStyle name="Note 3 3 8 6" xfId="37450"/>
    <cellStyle name="Note 3 3 8 7" xfId="48737"/>
    <cellStyle name="Note 3 3 9" xfId="625"/>
    <cellStyle name="Note 3 3 9 2" xfId="8449"/>
    <cellStyle name="Note 3 3 9 3" xfId="8394"/>
    <cellStyle name="Note 3 3 9 4" xfId="19799"/>
    <cellStyle name="Note 3 3 9 5" xfId="27461"/>
    <cellStyle name="Note 3 3 9 6" xfId="37456"/>
    <cellStyle name="Note 3 3 9 7" xfId="47943"/>
    <cellStyle name="Note 3 30" xfId="5188"/>
    <cellStyle name="Note 3 30 2" xfId="12905"/>
    <cellStyle name="Note 3 30 3" xfId="21898"/>
    <cellStyle name="Note 3 30 4" xfId="30085"/>
    <cellStyle name="Note 3 30 5" xfId="35126"/>
    <cellStyle name="Note 3 30 6" xfId="43750"/>
    <cellStyle name="Note 3 30 7" xfId="50651"/>
    <cellStyle name="Note 3 31" xfId="5229"/>
    <cellStyle name="Note 3 31 2" xfId="12946"/>
    <cellStyle name="Note 3 31 3" xfId="21939"/>
    <cellStyle name="Note 3 31 4" xfId="30126"/>
    <cellStyle name="Note 3 31 5" xfId="36099"/>
    <cellStyle name="Note 3 31 6" xfId="43791"/>
    <cellStyle name="Note 3 31 7" xfId="53896"/>
    <cellStyle name="Note 3 32" xfId="7151"/>
    <cellStyle name="Note 3 32 2" xfId="14868"/>
    <cellStyle name="Note 3 32 3" xfId="23861"/>
    <cellStyle name="Note 3 32 4" xfId="32048"/>
    <cellStyle name="Note 3 32 5" xfId="34274"/>
    <cellStyle name="Note 3 32 6" xfId="45713"/>
    <cellStyle name="Note 3 32 7" xfId="50048"/>
    <cellStyle name="Note 3 33" xfId="7265"/>
    <cellStyle name="Note 3 33 2" xfId="14982"/>
    <cellStyle name="Note 3 33 3" xfId="23975"/>
    <cellStyle name="Note 3 33 4" xfId="32162"/>
    <cellStyle name="Note 3 33 5" xfId="35999"/>
    <cellStyle name="Note 3 33 6" xfId="45827"/>
    <cellStyle name="Note 3 33 7" xfId="51653"/>
    <cellStyle name="Note 3 34" xfId="7689"/>
    <cellStyle name="Note 3 34 2" xfId="15406"/>
    <cellStyle name="Note 3 34 3" xfId="24397"/>
    <cellStyle name="Note 3 34 4" xfId="32586"/>
    <cellStyle name="Note 3 34 5" xfId="36025"/>
    <cellStyle name="Note 3 34 6" xfId="46251"/>
    <cellStyle name="Note 3 34 7" xfId="53176"/>
    <cellStyle name="Note 3 35" xfId="7995"/>
    <cellStyle name="Note 3 35 2" xfId="15712"/>
    <cellStyle name="Note 3 35 3" xfId="24697"/>
    <cellStyle name="Note 3 35 4" xfId="32892"/>
    <cellStyle name="Note 3 35 5" xfId="26958"/>
    <cellStyle name="Note 3 35 6" xfId="46557"/>
    <cellStyle name="Note 3 35 7" xfId="50493"/>
    <cellStyle name="Note 3 36" xfId="7661"/>
    <cellStyle name="Note 3 36 2" xfId="15378"/>
    <cellStyle name="Note 3 36 3" xfId="24370"/>
    <cellStyle name="Note 3 36 4" xfId="32558"/>
    <cellStyle name="Note 3 36 5" xfId="26733"/>
    <cellStyle name="Note 3 36 6" xfId="46223"/>
    <cellStyle name="Note 3 36 7" xfId="47412"/>
    <cellStyle name="Note 3 37" xfId="25321"/>
    <cellStyle name="Note 3 38" xfId="33749"/>
    <cellStyle name="Note 3 39" xfId="37474"/>
    <cellStyle name="Note 3 4" xfId="512"/>
    <cellStyle name="Note 3 4 10" xfId="1959"/>
    <cellStyle name="Note 3 4 10 2" xfId="9782"/>
    <cellStyle name="Note 3 4 10 3" xfId="17210"/>
    <cellStyle name="Note 3 4 10 4" xfId="19042"/>
    <cellStyle name="Note 3 4 10 5" xfId="26979"/>
    <cellStyle name="Note 3 4 10 6" xfId="39699"/>
    <cellStyle name="Note 3 4 10 7" xfId="49824"/>
    <cellStyle name="Note 3 4 11" xfId="2077"/>
    <cellStyle name="Note 3 4 11 2" xfId="9900"/>
    <cellStyle name="Note 3 4 11 3" xfId="17328"/>
    <cellStyle name="Note 3 4 11 4" xfId="25052"/>
    <cellStyle name="Note 3 4 11 5" xfId="33412"/>
    <cellStyle name="Note 3 4 11 6" xfId="36743"/>
    <cellStyle name="Note 3 4 11 7" xfId="50904"/>
    <cellStyle name="Note 3 4 12" xfId="2190"/>
    <cellStyle name="Note 3 4 12 2" xfId="10013"/>
    <cellStyle name="Note 3 4 12 3" xfId="17441"/>
    <cellStyle name="Note 3 4 12 4" xfId="26587"/>
    <cellStyle name="Note 3 4 12 5" xfId="35408"/>
    <cellStyle name="Note 3 4 12 6" xfId="37830"/>
    <cellStyle name="Note 3 4 12 7" xfId="54252"/>
    <cellStyle name="Note 3 4 13" xfId="1606"/>
    <cellStyle name="Note 3 4 13 2" xfId="9429"/>
    <cellStyle name="Note 3 4 13 3" xfId="16857"/>
    <cellStyle name="Note 3 4 13 4" xfId="19683"/>
    <cellStyle name="Note 3 4 13 5" xfId="26766"/>
    <cellStyle name="Note 3 4 13 6" xfId="37653"/>
    <cellStyle name="Note 3 4 13 7" xfId="49055"/>
    <cellStyle name="Note 3 4 14" xfId="1155"/>
    <cellStyle name="Note 3 4 14 2" xfId="8978"/>
    <cellStyle name="Note 3 4 14 3" xfId="16406"/>
    <cellStyle name="Note 3 4 14 4" xfId="19028"/>
    <cellStyle name="Note 3 4 14 5" xfId="26761"/>
    <cellStyle name="Note 3 4 14 6" xfId="39634"/>
    <cellStyle name="Note 3 4 14 7" xfId="49115"/>
    <cellStyle name="Note 3 4 15" xfId="2488"/>
    <cellStyle name="Note 3 4 15 2" xfId="10311"/>
    <cellStyle name="Note 3 4 15 3" xfId="17739"/>
    <cellStyle name="Note 3 4 15 4" xfId="25658"/>
    <cellStyle name="Note 3 4 15 5" xfId="34180"/>
    <cellStyle name="Note 3 4 15 6" xfId="38011"/>
    <cellStyle name="Note 3 4 15 7" xfId="52213"/>
    <cellStyle name="Note 3 4 16" xfId="2601"/>
    <cellStyle name="Note 3 4 16 2" xfId="10424"/>
    <cellStyle name="Note 3 4 16 3" xfId="17852"/>
    <cellStyle name="Note 3 4 16 4" xfId="19888"/>
    <cellStyle name="Note 3 4 16 5" xfId="27325"/>
    <cellStyle name="Note 3 4 16 6" xfId="36643"/>
    <cellStyle name="Note 3 4 16 7" xfId="49450"/>
    <cellStyle name="Note 3 4 17" xfId="2384"/>
    <cellStyle name="Note 3 4 17 2" xfId="10207"/>
    <cellStyle name="Note 3 4 17 3" xfId="17635"/>
    <cellStyle name="Note 3 4 17 4" xfId="25116"/>
    <cellStyle name="Note 3 4 17 5" xfId="33486"/>
    <cellStyle name="Note 3 4 17 6" xfId="41501"/>
    <cellStyle name="Note 3 4 17 7" xfId="51046"/>
    <cellStyle name="Note 3 4 18" xfId="2696"/>
    <cellStyle name="Note 3 4 18 2" xfId="10519"/>
    <cellStyle name="Note 3 4 18 3" xfId="17947"/>
    <cellStyle name="Note 3 4 18 4" xfId="26114"/>
    <cellStyle name="Note 3 4 18 5" xfId="34770"/>
    <cellStyle name="Note 3 4 18 6" xfId="40263"/>
    <cellStyle name="Note 3 4 18 7" xfId="53234"/>
    <cellStyle name="Note 3 4 19" xfId="2795"/>
    <cellStyle name="Note 3 4 19 2" xfId="10618"/>
    <cellStyle name="Note 3 4 19 3" xfId="18046"/>
    <cellStyle name="Note 3 4 19 4" xfId="19466"/>
    <cellStyle name="Note 3 4 19 5" xfId="28544"/>
    <cellStyle name="Note 3 4 19 6" xfId="37618"/>
    <cellStyle name="Note 3 4 19 7" xfId="47587"/>
    <cellStyle name="Note 3 4 2" xfId="663"/>
    <cellStyle name="Note 3 4 2 2" xfId="8487"/>
    <cellStyle name="Note 3 4 2 3" xfId="8271"/>
    <cellStyle name="Note 3 4 2 4" xfId="25182"/>
    <cellStyle name="Note 3 4 2 5" xfId="33565"/>
    <cellStyle name="Note 3 4 2 6" xfId="36763"/>
    <cellStyle name="Note 3 4 2 7" xfId="51182"/>
    <cellStyle name="Note 3 4 20" xfId="2902"/>
    <cellStyle name="Note 3 4 20 2" xfId="10725"/>
    <cellStyle name="Note 3 4 20 3" xfId="18153"/>
    <cellStyle name="Note 3 4 20 4" xfId="25452"/>
    <cellStyle name="Note 3 4 20 5" xfId="33914"/>
    <cellStyle name="Note 3 4 20 6" xfId="36270"/>
    <cellStyle name="Note 3 4 20 7" xfId="51759"/>
    <cellStyle name="Note 3 4 21" xfId="3278"/>
    <cellStyle name="Note 3 4 21 2" xfId="11071"/>
    <cellStyle name="Note 3 4 21 3" xfId="18400"/>
    <cellStyle name="Note 3 4 21 4" xfId="26484"/>
    <cellStyle name="Note 3 4 21 5" xfId="35272"/>
    <cellStyle name="Note 3 4 21 6" xfId="36846"/>
    <cellStyle name="Note 3 4 21 7" xfId="54044"/>
    <cellStyle name="Note 3 4 22" xfId="3398"/>
    <cellStyle name="Note 3 4 22 2" xfId="11189"/>
    <cellStyle name="Note 3 4 22 3" xfId="18511"/>
    <cellStyle name="Note 3 4 22 4" xfId="19746"/>
    <cellStyle name="Note 3 4 22 5" xfId="26783"/>
    <cellStyle name="Note 3 4 22 6" xfId="37353"/>
    <cellStyle name="Note 3 4 22 7" xfId="50355"/>
    <cellStyle name="Note 3 4 23" xfId="3527"/>
    <cellStyle name="Note 3 4 23 2" xfId="11318"/>
    <cellStyle name="Note 3 4 23 3" xfId="18613"/>
    <cellStyle name="Note 3 4 23 4" xfId="25676"/>
    <cellStyle name="Note 3 4 23 5" xfId="34208"/>
    <cellStyle name="Note 3 4 23 6" xfId="40492"/>
    <cellStyle name="Note 3 4 23 7" xfId="52253"/>
    <cellStyle name="Note 3 4 24" xfId="3132"/>
    <cellStyle name="Note 3 4 24 2" xfId="10937"/>
    <cellStyle name="Note 3 4 24 3" xfId="18315"/>
    <cellStyle name="Note 3 4 24 4" xfId="24914"/>
    <cellStyle name="Note 3 4 24 5" xfId="33238"/>
    <cellStyle name="Note 3 4 24 6" xfId="36814"/>
    <cellStyle name="Note 3 4 24 7" xfId="50598"/>
    <cellStyle name="Note 3 4 25" xfId="3668"/>
    <cellStyle name="Note 3 4 25 2" xfId="11453"/>
    <cellStyle name="Note 3 4 25 3" xfId="18726"/>
    <cellStyle name="Note 3 4 25 4" xfId="25856"/>
    <cellStyle name="Note 3 4 25 5" xfId="34444"/>
    <cellStyle name="Note 3 4 25 6" xfId="39351"/>
    <cellStyle name="Note 3 4 25 7" xfId="52684"/>
    <cellStyle name="Note 3 4 26" xfId="3799"/>
    <cellStyle name="Note 3 4 26 2" xfId="11581"/>
    <cellStyle name="Note 3 4 26 3" xfId="18838"/>
    <cellStyle name="Note 3 4 26 4" xfId="20449"/>
    <cellStyle name="Note 3 4 26 5" xfId="27269"/>
    <cellStyle name="Note 3 4 26 6" xfId="41793"/>
    <cellStyle name="Note 3 4 26 7" xfId="47876"/>
    <cellStyle name="Note 3 4 27" xfId="3916"/>
    <cellStyle name="Note 3 4 27 2" xfId="11696"/>
    <cellStyle name="Note 3 4 27 3" xfId="18947"/>
    <cellStyle name="Note 3 4 27 4" xfId="19407"/>
    <cellStyle name="Note 3 4 27 5" xfId="27063"/>
    <cellStyle name="Note 3 4 27 6" xfId="37913"/>
    <cellStyle name="Note 3 4 27 7" xfId="49528"/>
    <cellStyle name="Note 3 4 28" xfId="3136"/>
    <cellStyle name="Note 3 4 28 2" xfId="10941"/>
    <cellStyle name="Note 3 4 28 3" xfId="20274"/>
    <cellStyle name="Note 3 4 28 4" xfId="28369"/>
    <cellStyle name="Note 3 4 28 5" xfId="33853"/>
    <cellStyle name="Note 3 4 28 6" xfId="42405"/>
    <cellStyle name="Note 3 4 28 7" xfId="49782"/>
    <cellStyle name="Note 3 4 29" xfId="4113"/>
    <cellStyle name="Note 3 4 29 2" xfId="11873"/>
    <cellStyle name="Note 3 4 29 3" xfId="20823"/>
    <cellStyle name="Note 3 4 29 4" xfId="29010"/>
    <cellStyle name="Note 3 4 29 5" xfId="35934"/>
    <cellStyle name="Note 3 4 29 6" xfId="42675"/>
    <cellStyle name="Note 3 4 29 7" xfId="53094"/>
    <cellStyle name="Note 3 4 3" xfId="770"/>
    <cellStyle name="Note 3 4 3 2" xfId="8594"/>
    <cellStyle name="Note 3 4 3 3" xfId="16022"/>
    <cellStyle name="Note 3 4 3 4" xfId="25919"/>
    <cellStyle name="Note 3 4 3 5" xfId="34520"/>
    <cellStyle name="Note 3 4 3 6" xfId="36564"/>
    <cellStyle name="Note 3 4 3 7" xfId="52820"/>
    <cellStyle name="Note 3 4 30" xfId="3233"/>
    <cellStyle name="Note 3 4 30 2" xfId="20353"/>
    <cellStyle name="Note 3 4 30 3" xfId="28442"/>
    <cellStyle name="Note 3 4 30 4" xfId="35832"/>
    <cellStyle name="Note 3 4 30 5" xfId="42457"/>
    <cellStyle name="Note 3 4 30 6" xfId="52562"/>
    <cellStyle name="Note 3 4 31" xfId="4310"/>
    <cellStyle name="Note 3 4 31 2" xfId="12027"/>
    <cellStyle name="Note 3 4 31 3" xfId="21020"/>
    <cellStyle name="Note 3 4 31 4" xfId="29207"/>
    <cellStyle name="Note 3 4 31 5" xfId="27285"/>
    <cellStyle name="Note 3 4 31 6" xfId="42872"/>
    <cellStyle name="Note 3 4 31 7" xfId="48481"/>
    <cellStyle name="Note 3 4 32" xfId="4433"/>
    <cellStyle name="Note 3 4 32 2" xfId="12150"/>
    <cellStyle name="Note 3 4 32 3" xfId="21143"/>
    <cellStyle name="Note 3 4 32 4" xfId="29330"/>
    <cellStyle name="Note 3 4 32 5" xfId="35730"/>
    <cellStyle name="Note 3 4 32 6" xfId="42995"/>
    <cellStyle name="Note 3 4 32 7" xfId="52133"/>
    <cellStyle name="Note 3 4 33" xfId="4547"/>
    <cellStyle name="Note 3 4 33 2" xfId="12264"/>
    <cellStyle name="Note 3 4 33 3" xfId="21257"/>
    <cellStyle name="Note 3 4 33 4" xfId="29444"/>
    <cellStyle name="Note 3 4 33 5" xfId="36048"/>
    <cellStyle name="Note 3 4 33 6" xfId="43109"/>
    <cellStyle name="Note 3 4 33 7" xfId="53649"/>
    <cellStyle name="Note 3 4 34" xfId="4660"/>
    <cellStyle name="Note 3 4 34 2" xfId="12377"/>
    <cellStyle name="Note 3 4 34 3" xfId="21370"/>
    <cellStyle name="Note 3 4 34 4" xfId="29557"/>
    <cellStyle name="Note 3 4 34 5" xfId="28621"/>
    <cellStyle name="Note 3 4 34 6" xfId="43222"/>
    <cellStyle name="Note 3 4 34 7" xfId="50949"/>
    <cellStyle name="Note 3 4 35" xfId="4772"/>
    <cellStyle name="Note 3 4 35 2" xfId="12489"/>
    <cellStyle name="Note 3 4 35 3" xfId="21482"/>
    <cellStyle name="Note 3 4 35 4" xfId="29669"/>
    <cellStyle name="Note 3 4 35 5" xfId="36221"/>
    <cellStyle name="Note 3 4 35 6" xfId="43334"/>
    <cellStyle name="Note 3 4 35 7" xfId="54485"/>
    <cellStyle name="Note 3 4 36" xfId="4880"/>
    <cellStyle name="Note 3 4 36 2" xfId="12597"/>
    <cellStyle name="Note 3 4 36 3" xfId="21590"/>
    <cellStyle name="Note 3 4 36 4" xfId="29777"/>
    <cellStyle name="Note 3 4 36 5" xfId="27151"/>
    <cellStyle name="Note 3 4 36 6" xfId="43442"/>
    <cellStyle name="Note 3 4 36 7" xfId="50874"/>
    <cellStyle name="Note 3 4 37" xfId="4992"/>
    <cellStyle name="Note 3 4 37 2" xfId="12709"/>
    <cellStyle name="Note 3 4 37 3" xfId="21702"/>
    <cellStyle name="Note 3 4 37 4" xfId="29889"/>
    <cellStyle name="Note 3 4 37 5" xfId="27203"/>
    <cellStyle name="Note 3 4 37 6" xfId="43554"/>
    <cellStyle name="Note 3 4 37 7" xfId="47318"/>
    <cellStyle name="Note 3 4 38" xfId="5121"/>
    <cellStyle name="Note 3 4 38 2" xfId="12838"/>
    <cellStyle name="Note 3 4 38 3" xfId="21831"/>
    <cellStyle name="Note 3 4 38 4" xfId="30018"/>
    <cellStyle name="Note 3 4 38 5" xfId="35129"/>
    <cellStyle name="Note 3 4 38 6" xfId="43683"/>
    <cellStyle name="Note 3 4 38 7" xfId="48846"/>
    <cellStyle name="Note 3 4 39" xfId="5490"/>
    <cellStyle name="Note 3 4 39 2" xfId="13207"/>
    <cellStyle name="Note 3 4 39 3" xfId="22200"/>
    <cellStyle name="Note 3 4 39 4" xfId="30387"/>
    <cellStyle name="Note 3 4 39 5" xfId="33884"/>
    <cellStyle name="Note 3 4 39 6" xfId="44052"/>
    <cellStyle name="Note 3 4 39 7" xfId="47423"/>
    <cellStyle name="Note 3 4 4" xfId="882"/>
    <cellStyle name="Note 3 4 4 2" xfId="8706"/>
    <cellStyle name="Note 3 4 4 3" xfId="16134"/>
    <cellStyle name="Note 3 4 4 4" xfId="19509"/>
    <cellStyle name="Note 3 4 4 5" xfId="28132"/>
    <cellStyle name="Note 3 4 4 6" xfId="36783"/>
    <cellStyle name="Note 3 4 4 7" xfId="49639"/>
    <cellStyle name="Note 3 4 40" xfId="5615"/>
    <cellStyle name="Note 3 4 40 2" xfId="13332"/>
    <cellStyle name="Note 3 4 40 3" xfId="22325"/>
    <cellStyle name="Note 3 4 40 4" xfId="30512"/>
    <cellStyle name="Note 3 4 40 5" xfId="33492"/>
    <cellStyle name="Note 3 4 40 6" xfId="44177"/>
    <cellStyle name="Note 3 4 40 7" xfId="46781"/>
    <cellStyle name="Note 3 4 41" xfId="5730"/>
    <cellStyle name="Note 3 4 41 2" xfId="13447"/>
    <cellStyle name="Note 3 4 41 3" xfId="22440"/>
    <cellStyle name="Note 3 4 41 4" xfId="30627"/>
    <cellStyle name="Note 3 4 41 5" xfId="27504"/>
    <cellStyle name="Note 3 4 41 6" xfId="44292"/>
    <cellStyle name="Note 3 4 41 7" xfId="48172"/>
    <cellStyle name="Note 3 4 42" xfId="5847"/>
    <cellStyle name="Note 3 4 42 2" xfId="13564"/>
    <cellStyle name="Note 3 4 42 3" xfId="22557"/>
    <cellStyle name="Note 3 4 42 4" xfId="30744"/>
    <cellStyle name="Note 3 4 42 5" xfId="27772"/>
    <cellStyle name="Note 3 4 42 6" xfId="44409"/>
    <cellStyle name="Note 3 4 42 7" xfId="53765"/>
    <cellStyle name="Note 3 4 43" xfId="5975"/>
    <cellStyle name="Note 3 4 43 2" xfId="13692"/>
    <cellStyle name="Note 3 4 43 3" xfId="22685"/>
    <cellStyle name="Note 3 4 43 4" xfId="30872"/>
    <cellStyle name="Note 3 4 43 5" xfId="27171"/>
    <cellStyle name="Note 3 4 43 6" xfId="44537"/>
    <cellStyle name="Note 3 4 43 7" xfId="47458"/>
    <cellStyle name="Note 3 4 44" xfId="6081"/>
    <cellStyle name="Note 3 4 44 2" xfId="13798"/>
    <cellStyle name="Note 3 4 44 3" xfId="22791"/>
    <cellStyle name="Note 3 4 44 4" xfId="30978"/>
    <cellStyle name="Note 3 4 44 5" xfId="36032"/>
    <cellStyle name="Note 3 4 44 6" xfId="44643"/>
    <cellStyle name="Note 3 4 44 7" xfId="53255"/>
    <cellStyle name="Note 3 4 45" xfId="5105"/>
    <cellStyle name="Note 3 4 45 2" xfId="12822"/>
    <cellStyle name="Note 3 4 45 3" xfId="21815"/>
    <cellStyle name="Note 3 4 45 4" xfId="30002"/>
    <cellStyle name="Note 3 4 45 5" xfId="33524"/>
    <cellStyle name="Note 3 4 45 6" xfId="43667"/>
    <cellStyle name="Note 3 4 45 7" xfId="50489"/>
    <cellStyle name="Note 3 4 46" xfId="6231"/>
    <cellStyle name="Note 3 4 46 2" xfId="13948"/>
    <cellStyle name="Note 3 4 46 3" xfId="22941"/>
    <cellStyle name="Note 3 4 46 4" xfId="31128"/>
    <cellStyle name="Note 3 4 46 5" xfId="35852"/>
    <cellStyle name="Note 3 4 46 6" xfId="44793"/>
    <cellStyle name="Note 3 4 46 7" xfId="52317"/>
    <cellStyle name="Note 3 4 47" xfId="6348"/>
    <cellStyle name="Note 3 4 47 2" xfId="14065"/>
    <cellStyle name="Note 3 4 47 3" xfId="23058"/>
    <cellStyle name="Note 3 4 47 4" xfId="31245"/>
    <cellStyle name="Note 3 4 47 5" xfId="33613"/>
    <cellStyle name="Note 3 4 47 6" xfId="44910"/>
    <cellStyle name="Note 3 4 47 7" xfId="48337"/>
    <cellStyle name="Note 3 4 48" xfId="6458"/>
    <cellStyle name="Note 3 4 48 2" xfId="14175"/>
    <cellStyle name="Note 3 4 48 3" xfId="23168"/>
    <cellStyle name="Note 3 4 48 4" xfId="31355"/>
    <cellStyle name="Note 3 4 48 5" xfId="28358"/>
    <cellStyle name="Note 3 4 48 6" xfId="45020"/>
    <cellStyle name="Note 3 4 48 7" xfId="50243"/>
    <cellStyle name="Note 3 4 49" xfId="6188"/>
    <cellStyle name="Note 3 4 49 2" xfId="13905"/>
    <cellStyle name="Note 3 4 49 3" xfId="22898"/>
    <cellStyle name="Note 3 4 49 4" xfId="31085"/>
    <cellStyle name="Note 3 4 49 5" xfId="33480"/>
    <cellStyle name="Note 3 4 49 6" xfId="44750"/>
    <cellStyle name="Note 3 4 49 7" xfId="49054"/>
    <cellStyle name="Note 3 4 5" xfId="1347"/>
    <cellStyle name="Note 3 4 5 2" xfId="9170"/>
    <cellStyle name="Note 3 4 5 3" xfId="16598"/>
    <cellStyle name="Note 3 4 5 4" xfId="19172"/>
    <cellStyle name="Note 3 4 5 5" xfId="26904"/>
    <cellStyle name="Note 3 4 5 6" xfId="42056"/>
    <cellStyle name="Note 3 4 5 7" xfId="49198"/>
    <cellStyle name="Note 3 4 50" xfId="6605"/>
    <cellStyle name="Note 3 4 50 2" xfId="14322"/>
    <cellStyle name="Note 3 4 50 3" xfId="23315"/>
    <cellStyle name="Note 3 4 50 4" xfId="31502"/>
    <cellStyle name="Note 3 4 50 5" xfId="33459"/>
    <cellStyle name="Note 3 4 50 6" xfId="45167"/>
    <cellStyle name="Note 3 4 50 7" xfId="50519"/>
    <cellStyle name="Note 3 4 51" xfId="6716"/>
    <cellStyle name="Note 3 4 51 2" xfId="14433"/>
    <cellStyle name="Note 3 4 51 3" xfId="23426"/>
    <cellStyle name="Note 3 4 51 4" xfId="31613"/>
    <cellStyle name="Note 3 4 51 5" xfId="36079"/>
    <cellStyle name="Note 3 4 51 6" xfId="45278"/>
    <cellStyle name="Note 3 4 51 7" xfId="53430"/>
    <cellStyle name="Note 3 4 52" xfId="6831"/>
    <cellStyle name="Note 3 4 52 2" xfId="14548"/>
    <cellStyle name="Note 3 4 52 3" xfId="23541"/>
    <cellStyle name="Note 3 4 52 4" xfId="31728"/>
    <cellStyle name="Note 3 4 52 5" xfId="28215"/>
    <cellStyle name="Note 3 4 52 6" xfId="45393"/>
    <cellStyle name="Note 3 4 52 7" xfId="48752"/>
    <cellStyle name="Note 3 4 53" xfId="6944"/>
    <cellStyle name="Note 3 4 53 2" xfId="14661"/>
    <cellStyle name="Note 3 4 53 3" xfId="23654"/>
    <cellStyle name="Note 3 4 53 4" xfId="31841"/>
    <cellStyle name="Note 3 4 53 5" xfId="28015"/>
    <cellStyle name="Note 3 4 53 6" xfId="45506"/>
    <cellStyle name="Note 3 4 53 7" xfId="47039"/>
    <cellStyle name="Note 3 4 54" xfId="7056"/>
    <cellStyle name="Note 3 4 54 2" xfId="14773"/>
    <cellStyle name="Note 3 4 54 3" xfId="23766"/>
    <cellStyle name="Note 3 4 54 4" xfId="31953"/>
    <cellStyle name="Note 3 4 54 5" xfId="36123"/>
    <cellStyle name="Note 3 4 54 6" xfId="45618"/>
    <cellStyle name="Note 3 4 54 7" xfId="53770"/>
    <cellStyle name="Note 3 4 55" xfId="7245"/>
    <cellStyle name="Note 3 4 55 2" xfId="14962"/>
    <cellStyle name="Note 3 4 55 3" xfId="23955"/>
    <cellStyle name="Note 3 4 55 4" xfId="32142"/>
    <cellStyle name="Note 3 4 55 5" xfId="33218"/>
    <cellStyle name="Note 3 4 55 6" xfId="45807"/>
    <cellStyle name="Note 3 4 55 7" xfId="53877"/>
    <cellStyle name="Note 3 4 56" xfId="7344"/>
    <cellStyle name="Note 3 4 56 2" xfId="15061"/>
    <cellStyle name="Note 3 4 56 3" xfId="24054"/>
    <cellStyle name="Note 3 4 56 4" xfId="32241"/>
    <cellStyle name="Note 3 4 56 5" xfId="35842"/>
    <cellStyle name="Note 3 4 56 6" xfId="45906"/>
    <cellStyle name="Note 3 4 56 7" xfId="52153"/>
    <cellStyle name="Note 3 4 57" xfId="7453"/>
    <cellStyle name="Note 3 4 57 2" xfId="15170"/>
    <cellStyle name="Note 3 4 57 3" xfId="24163"/>
    <cellStyle name="Note 3 4 57 4" xfId="32350"/>
    <cellStyle name="Note 3 4 57 5" xfId="35166"/>
    <cellStyle name="Note 3 4 57 6" xfId="46015"/>
    <cellStyle name="Note 3 4 57 7" xfId="50104"/>
    <cellStyle name="Note 3 4 58" xfId="7574"/>
    <cellStyle name="Note 3 4 58 2" xfId="15291"/>
    <cellStyle name="Note 3 4 58 3" xfId="24284"/>
    <cellStyle name="Note 3 4 58 4" xfId="32471"/>
    <cellStyle name="Note 3 4 58 5" xfId="27172"/>
    <cellStyle name="Note 3 4 58 6" xfId="46136"/>
    <cellStyle name="Note 3 4 58 7" xfId="49531"/>
    <cellStyle name="Note 3 4 59" xfId="7850"/>
    <cellStyle name="Note 3 4 59 2" xfId="15567"/>
    <cellStyle name="Note 3 4 59 3" xfId="24554"/>
    <cellStyle name="Note 3 4 59 4" xfId="32747"/>
    <cellStyle name="Note 3 4 59 5" xfId="35591"/>
    <cellStyle name="Note 3 4 59 6" xfId="46412"/>
    <cellStyle name="Note 3 4 59 7" xfId="50919"/>
    <cellStyle name="Note 3 4 6" xfId="1470"/>
    <cellStyle name="Note 3 4 6 2" xfId="9293"/>
    <cellStyle name="Note 3 4 6 3" xfId="16721"/>
    <cellStyle name="Note 3 4 6 4" xfId="20659"/>
    <cellStyle name="Note 3 4 6 5" xfId="27967"/>
    <cellStyle name="Note 3 4 6 6" xfId="37368"/>
    <cellStyle name="Note 3 4 6 7" xfId="48891"/>
    <cellStyle name="Note 3 4 60" xfId="7702"/>
    <cellStyle name="Note 3 4 60 2" xfId="15419"/>
    <cellStyle name="Note 3 4 60 3" xfId="24410"/>
    <cellStyle name="Note 3 4 60 4" xfId="32599"/>
    <cellStyle name="Note 3 4 60 5" xfId="35773"/>
    <cellStyle name="Note 3 4 60 6" xfId="46264"/>
    <cellStyle name="Note 3 4 60 7" xfId="51909"/>
    <cellStyle name="Note 3 4 61" xfId="7947"/>
    <cellStyle name="Note 3 4 61 2" xfId="15664"/>
    <cellStyle name="Note 3 4 61 3" xfId="24650"/>
    <cellStyle name="Note 3 4 61 4" xfId="32844"/>
    <cellStyle name="Note 3 4 61 5" xfId="26889"/>
    <cellStyle name="Note 3 4 61 6" xfId="46509"/>
    <cellStyle name="Note 3 4 61 7" xfId="51779"/>
    <cellStyle name="Note 3 4 62" xfId="7962"/>
    <cellStyle name="Note 3 4 62 2" xfId="15679"/>
    <cellStyle name="Note 3 4 62 3" xfId="24665"/>
    <cellStyle name="Note 3 4 62 4" xfId="32859"/>
    <cellStyle name="Note 3 4 62 5" xfId="36210"/>
    <cellStyle name="Note 3 4 62 6" xfId="46524"/>
    <cellStyle name="Note 3 4 62 7" xfId="53930"/>
    <cellStyle name="Note 3 4 63" xfId="8126"/>
    <cellStyle name="Note 3 4 63 2" xfId="15843"/>
    <cellStyle name="Note 3 4 63 3" xfId="33023"/>
    <cellStyle name="Note 3 4 63 4" xfId="35724"/>
    <cellStyle name="Note 3 4 63 5" xfId="46688"/>
    <cellStyle name="Note 3 4 63 6" xfId="51307"/>
    <cellStyle name="Note 3 4 64" xfId="19397"/>
    <cellStyle name="Note 3 4 65" xfId="27782"/>
    <cellStyle name="Note 3 4 66" xfId="37519"/>
    <cellStyle name="Note 3 4 67" xfId="47493"/>
    <cellStyle name="Note 3 4 7" xfId="1552"/>
    <cellStyle name="Note 3 4 7 2" xfId="9375"/>
    <cellStyle name="Note 3 4 7 3" xfId="16803"/>
    <cellStyle name="Note 3 4 7 4" xfId="26538"/>
    <cellStyle name="Note 3 4 7 5" xfId="35338"/>
    <cellStyle name="Note 3 4 7 6" xfId="38620"/>
    <cellStyle name="Note 3 4 7 7" xfId="54145"/>
    <cellStyle name="Note 3 4 8" xfId="1707"/>
    <cellStyle name="Note 3 4 8 2" xfId="9530"/>
    <cellStyle name="Note 3 4 8 3" xfId="16958"/>
    <cellStyle name="Note 3 4 8 4" xfId="26257"/>
    <cellStyle name="Note 3 4 8 5" xfId="34955"/>
    <cellStyle name="Note 3 4 8 6" xfId="38315"/>
    <cellStyle name="Note 3 4 8 7" xfId="53554"/>
    <cellStyle name="Note 3 4 9" xfId="1841"/>
    <cellStyle name="Note 3 4 9 2" xfId="9664"/>
    <cellStyle name="Note 3 4 9 3" xfId="17092"/>
    <cellStyle name="Note 3 4 9 4" xfId="26651"/>
    <cellStyle name="Note 3 4 9 5" xfId="35495"/>
    <cellStyle name="Note 3 4 9 6" xfId="37281"/>
    <cellStyle name="Note 3 4 9 7" xfId="54394"/>
    <cellStyle name="Note 3 40" xfId="51477"/>
    <cellStyle name="Note 3 5" xfId="567"/>
    <cellStyle name="Note 3 5 10" xfId="2014"/>
    <cellStyle name="Note 3 5 10 2" xfId="9837"/>
    <cellStyle name="Note 3 5 10 3" xfId="17265"/>
    <cellStyle name="Note 3 5 10 4" xfId="25201"/>
    <cellStyle name="Note 3 5 10 5" xfId="33590"/>
    <cellStyle name="Note 3 5 10 6" xfId="41321"/>
    <cellStyle name="Note 3 5 10 7" xfId="51219"/>
    <cellStyle name="Note 3 5 11" xfId="2131"/>
    <cellStyle name="Note 3 5 11 2" xfId="9954"/>
    <cellStyle name="Note 3 5 11 3" xfId="17382"/>
    <cellStyle name="Note 3 5 11 4" xfId="25595"/>
    <cellStyle name="Note 3 5 11 5" xfId="34105"/>
    <cellStyle name="Note 3 5 11 6" xfId="37412"/>
    <cellStyle name="Note 3 5 11 7" xfId="52084"/>
    <cellStyle name="Note 3 5 12" xfId="2245"/>
    <cellStyle name="Note 3 5 12 2" xfId="10068"/>
    <cellStyle name="Note 3 5 12 3" xfId="17496"/>
    <cellStyle name="Note 3 5 12 4" xfId="26189"/>
    <cellStyle name="Note 3 5 12 5" xfId="34866"/>
    <cellStyle name="Note 3 5 12 6" xfId="40295"/>
    <cellStyle name="Note 3 5 12 7" xfId="53401"/>
    <cellStyle name="Note 3 5 13" xfId="2042"/>
    <cellStyle name="Note 3 5 13 2" xfId="9865"/>
    <cellStyle name="Note 3 5 13 3" xfId="17293"/>
    <cellStyle name="Note 3 5 13 4" xfId="19802"/>
    <cellStyle name="Note 3 5 13 5" xfId="27366"/>
    <cellStyle name="Note 3 5 13 6" xfId="36499"/>
    <cellStyle name="Note 3 5 13 7" xfId="48436"/>
    <cellStyle name="Note 3 5 14" xfId="2327"/>
    <cellStyle name="Note 3 5 14 2" xfId="10150"/>
    <cellStyle name="Note 3 5 14 3" xfId="17578"/>
    <cellStyle name="Note 3 5 14 4" xfId="19389"/>
    <cellStyle name="Note 3 5 14 5" xfId="28372"/>
    <cellStyle name="Note 3 5 14 6" xfId="36751"/>
    <cellStyle name="Note 3 5 14 7" xfId="47738"/>
    <cellStyle name="Note 3 5 15" xfId="2542"/>
    <cellStyle name="Note 3 5 15 2" xfId="10365"/>
    <cellStyle name="Note 3 5 15 3" xfId="17793"/>
    <cellStyle name="Note 3 5 15 4" xfId="20144"/>
    <cellStyle name="Note 3 5 15 5" xfId="27015"/>
    <cellStyle name="Note 3 5 15 6" xfId="40940"/>
    <cellStyle name="Note 3 5 15 7" xfId="48294"/>
    <cellStyle name="Note 3 5 16" xfId="2656"/>
    <cellStyle name="Note 3 5 16 2" xfId="10479"/>
    <cellStyle name="Note 3 5 16 3" xfId="17907"/>
    <cellStyle name="Note 3 5 16 4" xfId="19228"/>
    <cellStyle name="Note 3 5 16 5" xfId="33144"/>
    <cellStyle name="Note 3 5 16 6" xfId="36722"/>
    <cellStyle name="Note 3 5 16 7" xfId="50418"/>
    <cellStyle name="Note 3 5 17" xfId="2454"/>
    <cellStyle name="Note 3 5 17 2" xfId="10277"/>
    <cellStyle name="Note 3 5 17 3" xfId="17705"/>
    <cellStyle name="Note 3 5 17 4" xfId="20645"/>
    <cellStyle name="Note 3 5 17 5" xfId="26863"/>
    <cellStyle name="Note 3 5 17 6" xfId="41229"/>
    <cellStyle name="Note 3 5 17 7" xfId="49680"/>
    <cellStyle name="Note 3 5 18" xfId="1029"/>
    <cellStyle name="Note 3 5 18 2" xfId="8853"/>
    <cellStyle name="Note 3 5 18 3" xfId="16281"/>
    <cellStyle name="Note 3 5 18 4" xfId="25417"/>
    <cellStyle name="Note 3 5 18 5" xfId="33873"/>
    <cellStyle name="Note 3 5 18 6" xfId="37063"/>
    <cellStyle name="Note 3 5 18 7" xfId="51685"/>
    <cellStyle name="Note 3 5 19" xfId="2847"/>
    <cellStyle name="Note 3 5 19 2" xfId="10670"/>
    <cellStyle name="Note 3 5 19 3" xfId="18098"/>
    <cellStyle name="Note 3 5 19 4" xfId="26548"/>
    <cellStyle name="Note 3 5 19 5" xfId="35356"/>
    <cellStyle name="Note 3 5 19 6" xfId="36539"/>
    <cellStyle name="Note 3 5 19 7" xfId="54173"/>
    <cellStyle name="Note 3 5 2" xfId="715"/>
    <cellStyle name="Note 3 5 2 2" xfId="8539"/>
    <cellStyle name="Note 3 5 2 3" xfId="15967"/>
    <cellStyle name="Note 3 5 2 4" xfId="25632"/>
    <cellStyle name="Note 3 5 2 5" xfId="34150"/>
    <cellStyle name="Note 3 5 2 6" xfId="36952"/>
    <cellStyle name="Note 3 5 2 7" xfId="52165"/>
    <cellStyle name="Note 3 5 20" xfId="2954"/>
    <cellStyle name="Note 3 5 20 2" xfId="10777"/>
    <cellStyle name="Note 3 5 20 3" xfId="18205"/>
    <cellStyle name="Note 3 5 20 4" xfId="20544"/>
    <cellStyle name="Note 3 5 20 5" xfId="28549"/>
    <cellStyle name="Note 3 5 20 6" xfId="38728"/>
    <cellStyle name="Note 3 5 20 7" xfId="49655"/>
    <cellStyle name="Note 3 5 21" xfId="3331"/>
    <cellStyle name="Note 3 5 21 2" xfId="11124"/>
    <cellStyle name="Note 3 5 21 3" xfId="18452"/>
    <cellStyle name="Note 3 5 21 4" xfId="19804"/>
    <cellStyle name="Note 3 5 21 5" xfId="27752"/>
    <cellStyle name="Note 3 5 21 6" xfId="37171"/>
    <cellStyle name="Note 3 5 21 7" xfId="48839"/>
    <cellStyle name="Note 3 5 22" xfId="3450"/>
    <cellStyle name="Note 3 5 22 2" xfId="11241"/>
    <cellStyle name="Note 3 5 22 3" xfId="18563"/>
    <cellStyle name="Note 3 5 22 4" xfId="25819"/>
    <cellStyle name="Note 3 5 22 5" xfId="34400"/>
    <cellStyle name="Note 3 5 22 6" xfId="39148"/>
    <cellStyle name="Note 3 5 22 7" xfId="52602"/>
    <cellStyle name="Note 3 5 23" xfId="3572"/>
    <cellStyle name="Note 3 5 23 2" xfId="11361"/>
    <cellStyle name="Note 3 5 23 3" xfId="18643"/>
    <cellStyle name="Note 3 5 23 4" xfId="19074"/>
    <cellStyle name="Note 3 5 23 5" xfId="33102"/>
    <cellStyle name="Note 3 5 23 6" xfId="42182"/>
    <cellStyle name="Note 3 5 23 7" xfId="49802"/>
    <cellStyle name="Note 3 5 24" xfId="3610"/>
    <cellStyle name="Note 3 5 24 2" xfId="11396"/>
    <cellStyle name="Note 3 5 24 3" xfId="18670"/>
    <cellStyle name="Note 3 5 24 4" xfId="25078"/>
    <cellStyle name="Note 3 5 24 5" xfId="33438"/>
    <cellStyle name="Note 3 5 24 6" xfId="37794"/>
    <cellStyle name="Note 3 5 24 7" xfId="50964"/>
    <cellStyle name="Note 3 5 25" xfId="3723"/>
    <cellStyle name="Note 3 5 25 2" xfId="11508"/>
    <cellStyle name="Note 3 5 25 3" xfId="18780"/>
    <cellStyle name="Note 3 5 25 4" xfId="25433"/>
    <cellStyle name="Note 3 5 25 5" xfId="33893"/>
    <cellStyle name="Note 3 5 25 6" xfId="36940"/>
    <cellStyle name="Note 3 5 25 7" xfId="51717"/>
    <cellStyle name="Note 3 5 26" xfId="3852"/>
    <cellStyle name="Note 3 5 26 2" xfId="11634"/>
    <cellStyle name="Note 3 5 26 3" xfId="18890"/>
    <cellStyle name="Note 3 5 26 4" xfId="19162"/>
    <cellStyle name="Note 3 5 26 5" xfId="27980"/>
    <cellStyle name="Note 3 5 26 6" xfId="36719"/>
    <cellStyle name="Note 3 5 26 7" xfId="49238"/>
    <cellStyle name="Note 3 5 27" xfId="3971"/>
    <cellStyle name="Note 3 5 27 2" xfId="11750"/>
    <cellStyle name="Note 3 5 27 3" xfId="18999"/>
    <cellStyle name="Note 3 5 27 4" xfId="25967"/>
    <cellStyle name="Note 3 5 27 5" xfId="34577"/>
    <cellStyle name="Note 3 5 27 6" xfId="39705"/>
    <cellStyle name="Note 3 5 27 7" xfId="52923"/>
    <cellStyle name="Note 3 5 28" xfId="3081"/>
    <cellStyle name="Note 3 5 28 2" xfId="10889"/>
    <cellStyle name="Note 3 5 28 3" xfId="20242"/>
    <cellStyle name="Note 3 5 28 4" xfId="28332"/>
    <cellStyle name="Note 3 5 28 5" xfId="35718"/>
    <cellStyle name="Note 3 5 28 6" xfId="42389"/>
    <cellStyle name="Note 3 5 28 7" xfId="52050"/>
    <cellStyle name="Note 3 5 29" xfId="4167"/>
    <cellStyle name="Note 3 5 29 2" xfId="11926"/>
    <cellStyle name="Note 3 5 29 3" xfId="20877"/>
    <cellStyle name="Note 3 5 29 4" xfId="29064"/>
    <cellStyle name="Note 3 5 29 5" xfId="27370"/>
    <cellStyle name="Note 3 5 29 6" xfId="42729"/>
    <cellStyle name="Note 3 5 29 7" xfId="50438"/>
    <cellStyle name="Note 3 5 3" xfId="824"/>
    <cellStyle name="Note 3 5 3 2" xfId="8648"/>
    <cellStyle name="Note 3 5 3 3" xfId="16076"/>
    <cellStyle name="Note 3 5 3 4" xfId="26348"/>
    <cellStyle name="Note 3 5 3 5" xfId="35074"/>
    <cellStyle name="Note 3 5 3 6" xfId="37328"/>
    <cellStyle name="Note 3 5 3 7" xfId="53730"/>
    <cellStyle name="Note 3 5 30" xfId="4241"/>
    <cellStyle name="Note 3 5 30 2" xfId="20951"/>
    <cellStyle name="Note 3 5 30 3" xfId="29138"/>
    <cellStyle name="Note 3 5 30 4" xfId="26791"/>
    <cellStyle name="Note 3 5 30 5" xfId="42803"/>
    <cellStyle name="Note 3 5 30 6" xfId="49193"/>
    <cellStyle name="Note 3 5 31" xfId="4365"/>
    <cellStyle name="Note 3 5 31 2" xfId="12082"/>
    <cellStyle name="Note 3 5 31 3" xfId="21075"/>
    <cellStyle name="Note 3 5 31 4" xfId="29262"/>
    <cellStyle name="Note 3 5 31 5" xfId="35683"/>
    <cellStyle name="Note 3 5 31 6" xfId="42927"/>
    <cellStyle name="Note 3 5 31 7" xfId="51834"/>
    <cellStyle name="Note 3 5 32" xfId="4487"/>
    <cellStyle name="Note 3 5 32 2" xfId="12204"/>
    <cellStyle name="Note 3 5 32 3" xfId="21197"/>
    <cellStyle name="Note 3 5 32 4" xfId="29384"/>
    <cellStyle name="Note 3 5 32 5" xfId="35647"/>
    <cellStyle name="Note 3 5 32 6" xfId="43049"/>
    <cellStyle name="Note 3 5 32 7" xfId="51703"/>
    <cellStyle name="Note 3 5 33" xfId="4601"/>
    <cellStyle name="Note 3 5 33 2" xfId="12318"/>
    <cellStyle name="Note 3 5 33 3" xfId="21311"/>
    <cellStyle name="Note 3 5 33 4" xfId="29498"/>
    <cellStyle name="Note 3 5 33 5" xfId="33807"/>
    <cellStyle name="Note 3 5 33 6" xfId="43163"/>
    <cellStyle name="Note 3 5 33 7" xfId="47383"/>
    <cellStyle name="Note 3 5 34" xfId="4714"/>
    <cellStyle name="Note 3 5 34 2" xfId="12431"/>
    <cellStyle name="Note 3 5 34 3" xfId="21424"/>
    <cellStyle name="Note 3 5 34 4" xfId="29611"/>
    <cellStyle name="Note 3 5 34 5" xfId="34507"/>
    <cellStyle name="Note 3 5 34 6" xfId="43276"/>
    <cellStyle name="Note 3 5 34 7" xfId="48083"/>
    <cellStyle name="Note 3 5 35" xfId="4824"/>
    <cellStyle name="Note 3 5 35 2" xfId="12541"/>
    <cellStyle name="Note 3 5 35 3" xfId="21534"/>
    <cellStyle name="Note 3 5 35 4" xfId="29721"/>
    <cellStyle name="Note 3 5 35 5" xfId="27725"/>
    <cellStyle name="Note 3 5 35 6" xfId="43386"/>
    <cellStyle name="Note 3 5 35 7" xfId="49274"/>
    <cellStyle name="Note 3 5 36" xfId="4934"/>
    <cellStyle name="Note 3 5 36 2" xfId="12651"/>
    <cellStyle name="Note 3 5 36 3" xfId="21644"/>
    <cellStyle name="Note 3 5 36 4" xfId="29831"/>
    <cellStyle name="Note 3 5 36 5" xfId="36181"/>
    <cellStyle name="Note 3 5 36 6" xfId="43496"/>
    <cellStyle name="Note 3 5 36 7" xfId="54288"/>
    <cellStyle name="Note 3 5 37" xfId="5044"/>
    <cellStyle name="Note 3 5 37 2" xfId="12761"/>
    <cellStyle name="Note 3 5 37 3" xfId="21754"/>
    <cellStyle name="Note 3 5 37 4" xfId="29941"/>
    <cellStyle name="Note 3 5 37 5" xfId="34477"/>
    <cellStyle name="Note 3 5 37 6" xfId="43606"/>
    <cellStyle name="Note 3 5 37 7" xfId="47377"/>
    <cellStyle name="Note 3 5 38" xfId="5424"/>
    <cellStyle name="Note 3 5 38 2" xfId="13141"/>
    <cellStyle name="Note 3 5 38 3" xfId="22134"/>
    <cellStyle name="Note 3 5 38 4" xfId="30321"/>
    <cellStyle name="Note 3 5 38 5" xfId="35208"/>
    <cellStyle name="Note 3 5 38 6" xfId="43986"/>
    <cellStyle name="Note 3 5 38 7" xfId="48918"/>
    <cellStyle name="Note 3 5 39" xfId="5544"/>
    <cellStyle name="Note 3 5 39 2" xfId="13261"/>
    <cellStyle name="Note 3 5 39 3" xfId="22254"/>
    <cellStyle name="Note 3 5 39 4" xfId="30441"/>
    <cellStyle name="Note 3 5 39 5" xfId="34350"/>
    <cellStyle name="Note 3 5 39 6" xfId="44106"/>
    <cellStyle name="Note 3 5 39 7" xfId="46848"/>
    <cellStyle name="Note 3 5 4" xfId="934"/>
    <cellStyle name="Note 3 5 4 2" xfId="8758"/>
    <cellStyle name="Note 3 5 4 3" xfId="16186"/>
    <cellStyle name="Note 3 5 4 4" xfId="19393"/>
    <cellStyle name="Note 3 5 4 5" xfId="33152"/>
    <cellStyle name="Note 3 5 4 6" xfId="36764"/>
    <cellStyle name="Note 3 5 4 7" xfId="50430"/>
    <cellStyle name="Note 3 5 40" xfId="5668"/>
    <cellStyle name="Note 3 5 40 2" xfId="13385"/>
    <cellStyle name="Note 3 5 40 3" xfId="22378"/>
    <cellStyle name="Note 3 5 40 4" xfId="30565"/>
    <cellStyle name="Note 3 5 40 5" xfId="33262"/>
    <cellStyle name="Note 3 5 40 6" xfId="44230"/>
    <cellStyle name="Note 3 5 40 7" xfId="47103"/>
    <cellStyle name="Note 3 5 41" xfId="5784"/>
    <cellStyle name="Note 3 5 41 2" xfId="13501"/>
    <cellStyle name="Note 3 5 41 3" xfId="22494"/>
    <cellStyle name="Note 3 5 41 4" xfId="30681"/>
    <cellStyle name="Note 3 5 41 5" xfId="27606"/>
    <cellStyle name="Note 3 5 41 6" xfId="44346"/>
    <cellStyle name="Note 3 5 41 7" xfId="48636"/>
    <cellStyle name="Note 3 5 42" xfId="5901"/>
    <cellStyle name="Note 3 5 42 2" xfId="13618"/>
    <cellStyle name="Note 3 5 42 3" xfId="22611"/>
    <cellStyle name="Note 3 5 42 4" xfId="30798"/>
    <cellStyle name="Note 3 5 42 5" xfId="33128"/>
    <cellStyle name="Note 3 5 42 6" xfId="44463"/>
    <cellStyle name="Note 3 5 42 7" xfId="49121"/>
    <cellStyle name="Note 3 5 43" xfId="6029"/>
    <cellStyle name="Note 3 5 43 2" xfId="13746"/>
    <cellStyle name="Note 3 5 43 3" xfId="22739"/>
    <cellStyle name="Note 3 5 43 4" xfId="30926"/>
    <cellStyle name="Note 3 5 43 5" xfId="35692"/>
    <cellStyle name="Note 3 5 43 6" xfId="44591"/>
    <cellStyle name="Note 3 5 43 7" xfId="51357"/>
    <cellStyle name="Note 3 5 44" xfId="6121"/>
    <cellStyle name="Note 3 5 44 2" xfId="13838"/>
    <cellStyle name="Note 3 5 44 3" xfId="22831"/>
    <cellStyle name="Note 3 5 44 4" xfId="31018"/>
    <cellStyle name="Note 3 5 44 5" xfId="35188"/>
    <cellStyle name="Note 3 5 44 6" xfId="44683"/>
    <cellStyle name="Note 3 5 44 7" xfId="49047"/>
    <cellStyle name="Note 3 5 45" xfId="6156"/>
    <cellStyle name="Note 3 5 45 2" xfId="13873"/>
    <cellStyle name="Note 3 5 45 3" xfId="22866"/>
    <cellStyle name="Note 3 5 45 4" xfId="31053"/>
    <cellStyle name="Note 3 5 45 5" xfId="35933"/>
    <cellStyle name="Note 3 5 45 6" xfId="44718"/>
    <cellStyle name="Note 3 5 45 7" xfId="52848"/>
    <cellStyle name="Note 3 5 46" xfId="6285"/>
    <cellStyle name="Note 3 5 46 2" xfId="14002"/>
    <cellStyle name="Note 3 5 46 3" xfId="22995"/>
    <cellStyle name="Note 3 5 46 4" xfId="31182"/>
    <cellStyle name="Note 3 5 46 5" xfId="28827"/>
    <cellStyle name="Note 3 5 46 6" xfId="44847"/>
    <cellStyle name="Note 3 5 46 7" xfId="47773"/>
    <cellStyle name="Note 3 5 47" xfId="6400"/>
    <cellStyle name="Note 3 5 47 2" xfId="14117"/>
    <cellStyle name="Note 3 5 47 3" xfId="23110"/>
    <cellStyle name="Note 3 5 47 4" xfId="31297"/>
    <cellStyle name="Note 3 5 47 5" xfId="26764"/>
    <cellStyle name="Note 3 5 47 6" xfId="44962"/>
    <cellStyle name="Note 3 5 47 7" xfId="49568"/>
    <cellStyle name="Note 3 5 48" xfId="6512"/>
    <cellStyle name="Note 3 5 48 2" xfId="14229"/>
    <cellStyle name="Note 3 5 48 3" xfId="23222"/>
    <cellStyle name="Note 3 5 48 4" xfId="31409"/>
    <cellStyle name="Note 3 5 48 5" xfId="35112"/>
    <cellStyle name="Note 3 5 48 6" xfId="45074"/>
    <cellStyle name="Note 3 5 48 7" xfId="51768"/>
    <cellStyle name="Note 3 5 49" xfId="5342"/>
    <cellStyle name="Note 3 5 49 2" xfId="13059"/>
    <cellStyle name="Note 3 5 49 3" xfId="22052"/>
    <cellStyle name="Note 3 5 49 4" xfId="30239"/>
    <cellStyle name="Note 3 5 49 5" xfId="28088"/>
    <cellStyle name="Note 3 5 49 6" xfId="43904"/>
    <cellStyle name="Note 3 5 49 7" xfId="49858"/>
    <cellStyle name="Note 3 5 5" xfId="1402"/>
    <cellStyle name="Note 3 5 5 2" xfId="9225"/>
    <cellStyle name="Note 3 5 5 3" xfId="16653"/>
    <cellStyle name="Note 3 5 5 4" xfId="19986"/>
    <cellStyle name="Note 3 5 5 5" xfId="28787"/>
    <cellStyle name="Note 3 5 5 6" xfId="37076"/>
    <cellStyle name="Note 3 5 5 7" xfId="47431"/>
    <cellStyle name="Note 3 5 50" xfId="6659"/>
    <cellStyle name="Note 3 5 50 2" xfId="14376"/>
    <cellStyle name="Note 3 5 50 3" xfId="23369"/>
    <cellStyle name="Note 3 5 50 4" xfId="31556"/>
    <cellStyle name="Note 3 5 50 5" xfId="35841"/>
    <cellStyle name="Note 3 5 50 6" xfId="45221"/>
    <cellStyle name="Note 3 5 50 7" xfId="52255"/>
    <cellStyle name="Note 3 5 51" xfId="6770"/>
    <cellStyle name="Note 3 5 51 2" xfId="14487"/>
    <cellStyle name="Note 3 5 51 3" xfId="23480"/>
    <cellStyle name="Note 3 5 51 4" xfId="31667"/>
    <cellStyle name="Note 3 5 51 5" xfId="27939"/>
    <cellStyle name="Note 3 5 51 6" xfId="45332"/>
    <cellStyle name="Note 3 5 51 7" xfId="47807"/>
    <cellStyle name="Note 3 5 52" xfId="6885"/>
    <cellStyle name="Note 3 5 52 2" xfId="14602"/>
    <cellStyle name="Note 3 5 52 3" xfId="23595"/>
    <cellStyle name="Note 3 5 52 4" xfId="31782"/>
    <cellStyle name="Note 3 5 52 5" xfId="28535"/>
    <cellStyle name="Note 3 5 52 6" xfId="45447"/>
    <cellStyle name="Note 3 5 52 7" xfId="47060"/>
    <cellStyle name="Note 3 5 53" xfId="6998"/>
    <cellStyle name="Note 3 5 53 2" xfId="14715"/>
    <cellStyle name="Note 3 5 53 3" xfId="23708"/>
    <cellStyle name="Note 3 5 53 4" xfId="31895"/>
    <cellStyle name="Note 3 5 53 5" xfId="36245"/>
    <cellStyle name="Note 3 5 53 6" xfId="45560"/>
    <cellStyle name="Note 3 5 53 7" xfId="46996"/>
    <cellStyle name="Note 3 5 54" xfId="7108"/>
    <cellStyle name="Note 3 5 54 2" xfId="14825"/>
    <cellStyle name="Note 3 5 54 3" xfId="23818"/>
    <cellStyle name="Note 3 5 54 4" xfId="32005"/>
    <cellStyle name="Note 3 5 54 5" xfId="27369"/>
    <cellStyle name="Note 3 5 54 6" xfId="45670"/>
    <cellStyle name="Note 3 5 54 7" xfId="47966"/>
    <cellStyle name="Note 3 5 55" xfId="7168"/>
    <cellStyle name="Note 3 5 55 2" xfId="14885"/>
    <cellStyle name="Note 3 5 55 3" xfId="23878"/>
    <cellStyle name="Note 3 5 55 4" xfId="32065"/>
    <cellStyle name="Note 3 5 55 5" xfId="34359"/>
    <cellStyle name="Note 3 5 55 6" xfId="45730"/>
    <cellStyle name="Note 3 5 55 7" xfId="48499"/>
    <cellStyle name="Note 3 5 56" xfId="7289"/>
    <cellStyle name="Note 3 5 56 2" xfId="15006"/>
    <cellStyle name="Note 3 5 56 3" xfId="23999"/>
    <cellStyle name="Note 3 5 56 4" xfId="32186"/>
    <cellStyle name="Note 3 5 56 5" xfId="28007"/>
    <cellStyle name="Note 3 5 56 6" xfId="45851"/>
    <cellStyle name="Note 3 5 56 7" xfId="50446"/>
    <cellStyle name="Note 3 5 57" xfId="7505"/>
    <cellStyle name="Note 3 5 57 2" xfId="15222"/>
    <cellStyle name="Note 3 5 57 3" xfId="24215"/>
    <cellStyle name="Note 3 5 57 4" xfId="32402"/>
    <cellStyle name="Note 3 5 57 5" xfId="27166"/>
    <cellStyle name="Note 3 5 57 6" xfId="46067"/>
    <cellStyle name="Note 3 5 57 7" xfId="47442"/>
    <cellStyle name="Note 3 5 58" xfId="7626"/>
    <cellStyle name="Note 3 5 58 2" xfId="15343"/>
    <cellStyle name="Note 3 5 58 3" xfId="24336"/>
    <cellStyle name="Note 3 5 58 4" xfId="32523"/>
    <cellStyle name="Note 3 5 58 5" xfId="36106"/>
    <cellStyle name="Note 3 5 58 6" xfId="46188"/>
    <cellStyle name="Note 3 5 58 7" xfId="53346"/>
    <cellStyle name="Note 3 5 59" xfId="7903"/>
    <cellStyle name="Note 3 5 59 2" xfId="15620"/>
    <cellStyle name="Note 3 5 59 3" xfId="24607"/>
    <cellStyle name="Note 3 5 59 4" xfId="32800"/>
    <cellStyle name="Note 3 5 59 5" xfId="35969"/>
    <cellStyle name="Note 3 5 59 6" xfId="46465"/>
    <cellStyle name="Note 3 5 59 7" xfId="52914"/>
    <cellStyle name="Note 3 5 6" xfId="1525"/>
    <cellStyle name="Note 3 5 6 2" xfId="9348"/>
    <cellStyle name="Note 3 5 6 3" xfId="16776"/>
    <cellStyle name="Note 3 5 6 4" xfId="19303"/>
    <cellStyle name="Note 3 5 6 5" xfId="27189"/>
    <cellStyle name="Note 3 5 6 6" xfId="38617"/>
    <cellStyle name="Note 3 5 6 7" xfId="47400"/>
    <cellStyle name="Note 3 5 60" xfId="7786"/>
    <cellStyle name="Note 3 5 60 2" xfId="15503"/>
    <cellStyle name="Note 3 5 60 3" xfId="24492"/>
    <cellStyle name="Note 3 5 60 4" xfId="32683"/>
    <cellStyle name="Note 3 5 60 5" xfId="33313"/>
    <cellStyle name="Note 3 5 60 6" xfId="46348"/>
    <cellStyle name="Note 3 5 60 7" xfId="49020"/>
    <cellStyle name="Note 3 5 61" xfId="8031"/>
    <cellStyle name="Note 3 5 61 2" xfId="15748"/>
    <cellStyle name="Note 3 5 61 3" xfId="24733"/>
    <cellStyle name="Note 3 5 61 4" xfId="32928"/>
    <cellStyle name="Note 3 5 61 5" xfId="27278"/>
    <cellStyle name="Note 3 5 61 6" xfId="46593"/>
    <cellStyle name="Note 3 5 61 7" xfId="54157"/>
    <cellStyle name="Note 3 5 62" xfId="7932"/>
    <cellStyle name="Note 3 5 62 2" xfId="15649"/>
    <cellStyle name="Note 3 5 62 3" xfId="24636"/>
    <cellStyle name="Note 3 5 62 4" xfId="32829"/>
    <cellStyle name="Note 3 5 62 5" xfId="35095"/>
    <cellStyle name="Note 3 5 62 6" xfId="46494"/>
    <cellStyle name="Note 3 5 62 7" xfId="47435"/>
    <cellStyle name="Note 3 5 63" xfId="8178"/>
    <cellStyle name="Note 3 5 63 2" xfId="15895"/>
    <cellStyle name="Note 3 5 63 3" xfId="33075"/>
    <cellStyle name="Note 3 5 63 4" xfId="26912"/>
    <cellStyle name="Note 3 5 63 5" xfId="46740"/>
    <cellStyle name="Note 3 5 63 6" xfId="46876"/>
    <cellStyle name="Note 3 5 64" xfId="25372"/>
    <cellStyle name="Note 3 5 65" xfId="33817"/>
    <cellStyle name="Note 3 5 66" xfId="36299"/>
    <cellStyle name="Note 3 5 67" xfId="51591"/>
    <cellStyle name="Note 3 5 7" xfId="1294"/>
    <cellStyle name="Note 3 5 7 2" xfId="9117"/>
    <cellStyle name="Note 3 5 7 3" xfId="16545"/>
    <cellStyle name="Note 3 5 7 4" xfId="19843"/>
    <cellStyle name="Note 3 5 7 5" xfId="27615"/>
    <cellStyle name="Note 3 5 7 6" xfId="38587"/>
    <cellStyle name="Note 3 5 7 7" xfId="48586"/>
    <cellStyle name="Note 3 5 8" xfId="1762"/>
    <cellStyle name="Note 3 5 8 2" xfId="9585"/>
    <cellStyle name="Note 3 5 8 3" xfId="17013"/>
    <cellStyle name="Note 3 5 8 4" xfId="19075"/>
    <cellStyle name="Note 3 5 8 5" xfId="26744"/>
    <cellStyle name="Note 3 5 8 6" xfId="38420"/>
    <cellStyle name="Note 3 5 8 7" xfId="49799"/>
    <cellStyle name="Note 3 5 9" xfId="1895"/>
    <cellStyle name="Note 3 5 9 2" xfId="9718"/>
    <cellStyle name="Note 3 5 9 3" xfId="17146"/>
    <cellStyle name="Note 3 5 9 4" xfId="19850"/>
    <cellStyle name="Note 3 5 9 5" xfId="28390"/>
    <cellStyle name="Note 3 5 9 6" xfId="37923"/>
    <cellStyle name="Note 3 5 9 7" xfId="47277"/>
    <cellStyle name="Note 3 6" xfId="546"/>
    <cellStyle name="Note 3 6 10" xfId="1993"/>
    <cellStyle name="Note 3 6 10 2" xfId="9816"/>
    <cellStyle name="Note 3 6 10 3" xfId="17244"/>
    <cellStyle name="Note 3 6 10 4" xfId="26223"/>
    <cellStyle name="Note 3 6 10 5" xfId="34908"/>
    <cellStyle name="Note 3 6 10 6" xfId="39534"/>
    <cellStyle name="Note 3 6 10 7" xfId="53469"/>
    <cellStyle name="Note 3 6 11" xfId="2111"/>
    <cellStyle name="Note 3 6 11 2" xfId="9934"/>
    <cellStyle name="Note 3 6 11 3" xfId="17362"/>
    <cellStyle name="Note 3 6 11 4" xfId="26556"/>
    <cellStyle name="Note 3 6 11 5" xfId="35365"/>
    <cellStyle name="Note 3 6 11 6" xfId="38869"/>
    <cellStyle name="Note 3 6 11 7" xfId="54187"/>
    <cellStyle name="Note 3 6 12" xfId="2224"/>
    <cellStyle name="Note 3 6 12 2" xfId="10047"/>
    <cellStyle name="Note 3 6 12 3" xfId="17475"/>
    <cellStyle name="Note 3 6 12 4" xfId="24896"/>
    <cellStyle name="Note 3 6 12 5" xfId="33212"/>
    <cellStyle name="Note 3 6 12 6" xfId="42263"/>
    <cellStyle name="Note 3 6 12 7" xfId="50553"/>
    <cellStyle name="Note 3 6 13" xfId="1581"/>
    <cellStyle name="Note 3 6 13 2" xfId="9404"/>
    <cellStyle name="Note 3 6 13 3" xfId="16832"/>
    <cellStyle name="Note 3 6 13 4" xfId="25646"/>
    <cellStyle name="Note 3 6 13 5" xfId="34167"/>
    <cellStyle name="Note 3 6 13 6" xfId="40533"/>
    <cellStyle name="Note 3 6 13 7" xfId="52194"/>
    <cellStyle name="Note 3 6 14" xfId="2277"/>
    <cellStyle name="Note 3 6 14 2" xfId="10100"/>
    <cellStyle name="Note 3 6 14 3" xfId="17528"/>
    <cellStyle name="Note 3 6 14 4" xfId="25719"/>
    <cellStyle name="Note 3 6 14 5" xfId="34262"/>
    <cellStyle name="Note 3 6 14 6" xfId="37384"/>
    <cellStyle name="Note 3 6 14 7" xfId="52358"/>
    <cellStyle name="Note 3 6 15" xfId="2522"/>
    <cellStyle name="Note 3 6 15 2" xfId="10345"/>
    <cellStyle name="Note 3 6 15 3" xfId="17773"/>
    <cellStyle name="Note 3 6 15 4" xfId="19805"/>
    <cellStyle name="Note 3 6 15 5" xfId="27572"/>
    <cellStyle name="Note 3 6 15 6" xfId="41683"/>
    <cellStyle name="Note 3 6 15 7" xfId="47278"/>
    <cellStyle name="Note 3 6 16" xfId="2635"/>
    <cellStyle name="Note 3 6 16 2" xfId="10458"/>
    <cellStyle name="Note 3 6 16 3" xfId="17886"/>
    <cellStyle name="Note 3 6 16 4" xfId="25811"/>
    <cellStyle name="Note 3 6 16 5" xfId="34390"/>
    <cellStyle name="Note 3 6 16 6" xfId="38879"/>
    <cellStyle name="Note 3 6 16 7" xfId="52589"/>
    <cellStyle name="Note 3 6 17" xfId="1059"/>
    <cellStyle name="Note 3 6 17 2" xfId="8883"/>
    <cellStyle name="Note 3 6 17 3" xfId="16311"/>
    <cellStyle name="Note 3 6 17 4" xfId="25583"/>
    <cellStyle name="Note 3 6 17 5" xfId="34089"/>
    <cellStyle name="Note 3 6 17 6" xfId="37292"/>
    <cellStyle name="Note 3 6 17 7" xfId="52061"/>
    <cellStyle name="Note 3 6 18" xfId="2734"/>
    <cellStyle name="Note 3 6 18 2" xfId="10557"/>
    <cellStyle name="Note 3 6 18 3" xfId="17985"/>
    <cellStyle name="Note 3 6 18 4" xfId="19285"/>
    <cellStyle name="Note 3 6 18 5" xfId="28226"/>
    <cellStyle name="Note 3 6 18 6" xfId="36312"/>
    <cellStyle name="Note 3 6 18 7" xfId="49360"/>
    <cellStyle name="Note 3 6 19" xfId="2828"/>
    <cellStyle name="Note 3 6 19 2" xfId="10651"/>
    <cellStyle name="Note 3 6 19 3" xfId="18079"/>
    <cellStyle name="Note 3 6 19 4" xfId="19980"/>
    <cellStyle name="Note 3 6 19 5" xfId="27276"/>
    <cellStyle name="Note 3 6 19 6" xfId="41629"/>
    <cellStyle name="Note 3 6 19 7" xfId="47236"/>
    <cellStyle name="Note 3 6 2" xfId="696"/>
    <cellStyle name="Note 3 6 2 2" xfId="8520"/>
    <cellStyle name="Note 3 6 2 3" xfId="15948"/>
    <cellStyle name="Note 3 6 2 4" xfId="26470"/>
    <cellStyle name="Note 3 6 2 5" xfId="35249"/>
    <cellStyle name="Note 3 6 2 6" xfId="38172"/>
    <cellStyle name="Note 3 6 2 7" xfId="54004"/>
    <cellStyle name="Note 3 6 20" xfId="2935"/>
    <cellStyle name="Note 3 6 20 2" xfId="10758"/>
    <cellStyle name="Note 3 6 20 3" xfId="18186"/>
    <cellStyle name="Note 3 6 20 4" xfId="25806"/>
    <cellStyle name="Note 3 6 20 5" xfId="34384"/>
    <cellStyle name="Note 3 6 20 6" xfId="36780"/>
    <cellStyle name="Note 3 6 20 7" xfId="52580"/>
    <cellStyle name="Note 3 6 21" xfId="3311"/>
    <cellStyle name="Note 3 6 21 2" xfId="11104"/>
    <cellStyle name="Note 3 6 21 3" xfId="18433"/>
    <cellStyle name="Note 3 6 21 4" xfId="19136"/>
    <cellStyle name="Note 3 6 21 5" xfId="26831"/>
    <cellStyle name="Note 3 6 21 6" xfId="36487"/>
    <cellStyle name="Note 3 6 21 7" xfId="49838"/>
    <cellStyle name="Note 3 6 22" xfId="3431"/>
    <cellStyle name="Note 3 6 22 2" xfId="11222"/>
    <cellStyle name="Note 3 6 22 3" xfId="18544"/>
    <cellStyle name="Note 3 6 22 4" xfId="26489"/>
    <cellStyle name="Note 3 6 22 5" xfId="35278"/>
    <cellStyle name="Note 3 6 22 6" xfId="41132"/>
    <cellStyle name="Note 3 6 22 7" xfId="54052"/>
    <cellStyle name="Note 3 6 23" xfId="3555"/>
    <cellStyle name="Note 3 6 23 2" xfId="11344"/>
    <cellStyle name="Note 3 6 23 3" xfId="18630"/>
    <cellStyle name="Note 3 6 23 4" xfId="19759"/>
    <cellStyle name="Note 3 6 23 5" xfId="27002"/>
    <cellStyle name="Note 3 6 23 6" xfId="37629"/>
    <cellStyle name="Note 3 6 23 7" xfId="49292"/>
    <cellStyle name="Note 3 6 24" xfId="3214"/>
    <cellStyle name="Note 3 6 24 2" xfId="11011"/>
    <cellStyle name="Note 3 6 24 3" xfId="18351"/>
    <cellStyle name="Note 3 6 24 4" xfId="26636"/>
    <cellStyle name="Note 3 6 24 5" xfId="35471"/>
    <cellStyle name="Note 3 6 24 6" xfId="40877"/>
    <cellStyle name="Note 3 6 24 7" xfId="54356"/>
    <cellStyle name="Note 3 6 25" xfId="3702"/>
    <cellStyle name="Note 3 6 25 2" xfId="11487"/>
    <cellStyle name="Note 3 6 25 3" xfId="18760"/>
    <cellStyle name="Note 3 6 25 4" xfId="19192"/>
    <cellStyle name="Note 3 6 25 5" xfId="33105"/>
    <cellStyle name="Note 3 6 25 6" xfId="39530"/>
    <cellStyle name="Note 3 6 25 7" xfId="49144"/>
    <cellStyle name="Note 3 6 26" xfId="3832"/>
    <cellStyle name="Note 3 6 26 2" xfId="11614"/>
    <cellStyle name="Note 3 6 26 3" xfId="18871"/>
    <cellStyle name="Note 3 6 26 4" xfId="25191"/>
    <cellStyle name="Note 3 6 26 5" xfId="33574"/>
    <cellStyle name="Note 3 6 26 6" xfId="38674"/>
    <cellStyle name="Note 3 6 26 7" xfId="51193"/>
    <cellStyle name="Note 3 6 27" xfId="3950"/>
    <cellStyle name="Note 3 6 27 2" xfId="11730"/>
    <cellStyle name="Note 3 6 27 3" xfId="18980"/>
    <cellStyle name="Note 3 6 27 4" xfId="26298"/>
    <cellStyle name="Note 3 6 27 5" xfId="35013"/>
    <cellStyle name="Note 3 6 27 6" xfId="41707"/>
    <cellStyle name="Note 3 6 27 7" xfId="53639"/>
    <cellStyle name="Note 3 6 28" xfId="3095"/>
    <cellStyle name="Note 3 6 28 2" xfId="10901"/>
    <cellStyle name="Note 3 6 28 3" xfId="20255"/>
    <cellStyle name="Note 3 6 28 4" xfId="28344"/>
    <cellStyle name="Note 3 6 28 5" xfId="28820"/>
    <cellStyle name="Note 3 6 28 6" xfId="42398"/>
    <cellStyle name="Note 3 6 28 7" xfId="50996"/>
    <cellStyle name="Note 3 6 29" xfId="4147"/>
    <cellStyle name="Note 3 6 29 2" xfId="11906"/>
    <cellStyle name="Note 3 6 29 3" xfId="20857"/>
    <cellStyle name="Note 3 6 29 4" xfId="29044"/>
    <cellStyle name="Note 3 6 29 5" xfId="28147"/>
    <cellStyle name="Note 3 6 29 6" xfId="42709"/>
    <cellStyle name="Note 3 6 29 7" xfId="49489"/>
    <cellStyle name="Note 3 6 3" xfId="804"/>
    <cellStyle name="Note 3 6 3 2" xfId="8628"/>
    <cellStyle name="Note 3 6 3 3" xfId="16056"/>
    <cellStyle name="Note 3 6 3 4" xfId="19535"/>
    <cellStyle name="Note 3 6 3 5" xfId="28877"/>
    <cellStyle name="Note 3 6 3 6" xfId="37030"/>
    <cellStyle name="Note 3 6 3 7" xfId="48591"/>
    <cellStyle name="Note 3 6 30" xfId="2995"/>
    <cellStyle name="Note 3 6 30 2" xfId="20177"/>
    <cellStyle name="Note 3 6 30 3" xfId="28264"/>
    <cellStyle name="Note 3 6 30 4" xfId="36078"/>
    <cellStyle name="Note 3 6 30 5" xfId="42345"/>
    <cellStyle name="Note 3 6 30 6" xfId="53796"/>
    <cellStyle name="Note 3 6 31" xfId="4344"/>
    <cellStyle name="Note 3 6 31 2" xfId="12061"/>
    <cellStyle name="Note 3 6 31 3" xfId="21054"/>
    <cellStyle name="Note 3 6 31 4" xfId="29241"/>
    <cellStyle name="Note 3 6 31 5" xfId="26745"/>
    <cellStyle name="Note 3 6 31 6" xfId="42906"/>
    <cellStyle name="Note 3 6 31 7" xfId="47858"/>
    <cellStyle name="Note 3 6 32" xfId="4467"/>
    <cellStyle name="Note 3 6 32 2" xfId="12184"/>
    <cellStyle name="Note 3 6 32 3" xfId="21177"/>
    <cellStyle name="Note 3 6 32 4" xfId="29364"/>
    <cellStyle name="Note 3 6 32 5" xfId="33339"/>
    <cellStyle name="Note 3 6 32 6" xfId="43029"/>
    <cellStyle name="Note 3 6 32 7" xfId="47308"/>
    <cellStyle name="Note 3 6 33" xfId="4581"/>
    <cellStyle name="Note 3 6 33 2" xfId="12298"/>
    <cellStyle name="Note 3 6 33 3" xfId="21291"/>
    <cellStyle name="Note 3 6 33 4" xfId="29478"/>
    <cellStyle name="Note 3 6 33 5" xfId="35634"/>
    <cellStyle name="Note 3 6 33 6" xfId="43143"/>
    <cellStyle name="Note 3 6 33 7" xfId="51638"/>
    <cellStyle name="Note 3 6 34" xfId="4694"/>
    <cellStyle name="Note 3 6 34 2" xfId="12411"/>
    <cellStyle name="Note 3 6 34 3" xfId="21404"/>
    <cellStyle name="Note 3 6 34 4" xfId="29591"/>
    <cellStyle name="Note 3 6 34 5" xfId="28487"/>
    <cellStyle name="Note 3 6 34 6" xfId="43256"/>
    <cellStyle name="Note 3 6 34 7" xfId="50818"/>
    <cellStyle name="Note 3 6 35" xfId="4805"/>
    <cellStyle name="Note 3 6 35 2" xfId="12522"/>
    <cellStyle name="Note 3 6 35 3" xfId="21515"/>
    <cellStyle name="Note 3 6 35 4" xfId="29702"/>
    <cellStyle name="Note 3 6 35 5" xfId="27317"/>
    <cellStyle name="Note 3 6 35 6" xfId="43367"/>
    <cellStyle name="Note 3 6 35 7" xfId="51121"/>
    <cellStyle name="Note 3 6 36" xfId="4914"/>
    <cellStyle name="Note 3 6 36 2" xfId="12631"/>
    <cellStyle name="Note 3 6 36 3" xfId="21624"/>
    <cellStyle name="Note 3 6 36 4" xfId="29811"/>
    <cellStyle name="Note 3 6 36 5" xfId="34630"/>
    <cellStyle name="Note 3 6 36 6" xfId="43476"/>
    <cellStyle name="Note 3 6 36 7" xfId="47841"/>
    <cellStyle name="Note 3 6 37" xfId="5025"/>
    <cellStyle name="Note 3 6 37 2" xfId="12742"/>
    <cellStyle name="Note 3 6 37 3" xfId="21735"/>
    <cellStyle name="Note 3 6 37 4" xfId="29922"/>
    <cellStyle name="Note 3 6 37 5" xfId="35595"/>
    <cellStyle name="Note 3 6 37 6" xfId="43587"/>
    <cellStyle name="Note 3 6 37 7" xfId="51476"/>
    <cellStyle name="Note 3 6 38" xfId="5404"/>
    <cellStyle name="Note 3 6 38 2" xfId="13121"/>
    <cellStyle name="Note 3 6 38 3" xfId="22114"/>
    <cellStyle name="Note 3 6 38 4" xfId="30301"/>
    <cellStyle name="Note 3 6 38 5" xfId="34343"/>
    <cellStyle name="Note 3 6 38 6" xfId="43966"/>
    <cellStyle name="Note 3 6 38 7" xfId="50845"/>
    <cellStyle name="Note 3 6 39" xfId="5524"/>
    <cellStyle name="Note 3 6 39 2" xfId="13241"/>
    <cellStyle name="Note 3 6 39 3" xfId="22234"/>
    <cellStyle name="Note 3 6 39 4" xfId="30421"/>
    <cellStyle name="Note 3 6 39 5" xfId="34395"/>
    <cellStyle name="Note 3 6 39 6" xfId="44086"/>
    <cellStyle name="Note 3 6 39 7" xfId="50768"/>
    <cellStyle name="Note 3 6 4" xfId="915"/>
    <cellStyle name="Note 3 6 4 2" xfId="8739"/>
    <cellStyle name="Note 3 6 4 3" xfId="16167"/>
    <cellStyle name="Note 3 6 4 4" xfId="25772"/>
    <cellStyle name="Note 3 6 4 5" xfId="34330"/>
    <cellStyle name="Note 3 6 4 6" xfId="37954"/>
    <cellStyle name="Note 3 6 4 7" xfId="52480"/>
    <cellStyle name="Note 3 6 40" xfId="5648"/>
    <cellStyle name="Note 3 6 40 2" xfId="13365"/>
    <cellStyle name="Note 3 6 40 3" xfId="22358"/>
    <cellStyle name="Note 3 6 40 4" xfId="30545"/>
    <cellStyle name="Note 3 6 40 5" xfId="27997"/>
    <cellStyle name="Note 3 6 40 6" xfId="44210"/>
    <cellStyle name="Note 3 6 40 7" xfId="54517"/>
    <cellStyle name="Note 3 6 41" xfId="5764"/>
    <cellStyle name="Note 3 6 41 2" xfId="13481"/>
    <cellStyle name="Note 3 6 41 3" xfId="22474"/>
    <cellStyle name="Note 3 6 41 4" xfId="30661"/>
    <cellStyle name="Note 3 6 41 5" xfId="28223"/>
    <cellStyle name="Note 3 6 41 6" xfId="44326"/>
    <cellStyle name="Note 3 6 41 7" xfId="50615"/>
    <cellStyle name="Note 3 6 42" xfId="5880"/>
    <cellStyle name="Note 3 6 42 2" xfId="13597"/>
    <cellStyle name="Note 3 6 42 3" xfId="22590"/>
    <cellStyle name="Note 3 6 42 4" xfId="30777"/>
    <cellStyle name="Note 3 6 42 5" xfId="35628"/>
    <cellStyle name="Note 3 6 42 6" xfId="44442"/>
    <cellStyle name="Note 3 6 42 7" xfId="51287"/>
    <cellStyle name="Note 3 6 43" xfId="6009"/>
    <cellStyle name="Note 3 6 43 2" xfId="13726"/>
    <cellStyle name="Note 3 6 43 3" xfId="22719"/>
    <cellStyle name="Note 3 6 43 4" xfId="30906"/>
    <cellStyle name="Note 3 6 43 5" xfId="36093"/>
    <cellStyle name="Note 3 6 43 6" xfId="44571"/>
    <cellStyle name="Note 3 6 43 7" xfId="53500"/>
    <cellStyle name="Note 3 6 44" xfId="6105"/>
    <cellStyle name="Note 3 6 44 2" xfId="13822"/>
    <cellStyle name="Note 3 6 44 3" xfId="22815"/>
    <cellStyle name="Note 3 6 44 4" xfId="31002"/>
    <cellStyle name="Note 3 6 44 5" xfId="27703"/>
    <cellStyle name="Note 3 6 44 6" xfId="44667"/>
    <cellStyle name="Note 3 6 44 7" xfId="49815"/>
    <cellStyle name="Note 3 6 45" xfId="6136"/>
    <cellStyle name="Note 3 6 45 2" xfId="13853"/>
    <cellStyle name="Note 3 6 45 3" xfId="22846"/>
    <cellStyle name="Note 3 6 45 4" xfId="31033"/>
    <cellStyle name="Note 3 6 45 5" xfId="27730"/>
    <cellStyle name="Note 3 6 45 6" xfId="44698"/>
    <cellStyle name="Note 3 6 45 7" xfId="49750"/>
    <cellStyle name="Note 3 6 46" xfId="6265"/>
    <cellStyle name="Note 3 6 46 2" xfId="13982"/>
    <cellStyle name="Note 3 6 46 3" xfId="22975"/>
    <cellStyle name="Note 3 6 46 4" xfId="31162"/>
    <cellStyle name="Note 3 6 46 5" xfId="34672"/>
    <cellStyle name="Note 3 6 46 6" xfId="44827"/>
    <cellStyle name="Note 3 6 46 7" xfId="48640"/>
    <cellStyle name="Note 3 6 47" xfId="6381"/>
    <cellStyle name="Note 3 6 47 2" xfId="14098"/>
    <cellStyle name="Note 3 6 47 3" xfId="23091"/>
    <cellStyle name="Note 3 6 47 4" xfId="31278"/>
    <cellStyle name="Note 3 6 47 5" xfId="35748"/>
    <cellStyle name="Note 3 6 47 6" xfId="44943"/>
    <cellStyle name="Note 3 6 47 7" xfId="52018"/>
    <cellStyle name="Note 3 6 48" xfId="6492"/>
    <cellStyle name="Note 3 6 48 2" xfId="14209"/>
    <cellStyle name="Note 3 6 48 3" xfId="23202"/>
    <cellStyle name="Note 3 6 48 4" xfId="31389"/>
    <cellStyle name="Note 3 6 48 5" xfId="36146"/>
    <cellStyle name="Note 3 6 48 6" xfId="45054"/>
    <cellStyle name="Note 3 6 48 7" xfId="53880"/>
    <cellStyle name="Note 3 6 49" xfId="6197"/>
    <cellStyle name="Note 3 6 49 2" xfId="13914"/>
    <cellStyle name="Note 3 6 49 3" xfId="22907"/>
    <cellStyle name="Note 3 6 49 4" xfId="31094"/>
    <cellStyle name="Note 3 6 49 5" xfId="34737"/>
    <cellStyle name="Note 3 6 49 6" xfId="44759"/>
    <cellStyle name="Note 3 6 49 7" xfId="49797"/>
    <cellStyle name="Note 3 6 5" xfId="1381"/>
    <cellStyle name="Note 3 6 5 2" xfId="9204"/>
    <cellStyle name="Note 3 6 5 3" xfId="16632"/>
    <cellStyle name="Note 3 6 5 4" xfId="25611"/>
    <cellStyle name="Note 3 6 5 5" xfId="34123"/>
    <cellStyle name="Note 3 6 5 6" xfId="36456"/>
    <cellStyle name="Note 3 6 5 7" xfId="52115"/>
    <cellStyle name="Note 3 6 50" xfId="6638"/>
    <cellStyle name="Note 3 6 50 2" xfId="14355"/>
    <cellStyle name="Note 3 6 50 3" xfId="23348"/>
    <cellStyle name="Note 3 6 50 4" xfId="31535"/>
    <cellStyle name="Note 3 6 50 5" xfId="27727"/>
    <cellStyle name="Note 3 6 50 6" xfId="45200"/>
    <cellStyle name="Note 3 6 50 7" xfId="48224"/>
    <cellStyle name="Note 3 6 51" xfId="6750"/>
    <cellStyle name="Note 3 6 51 2" xfId="14467"/>
    <cellStyle name="Note 3 6 51 3" xfId="23460"/>
    <cellStyle name="Note 3 6 51 4" xfId="31647"/>
    <cellStyle name="Note 3 6 51 5" xfId="34604"/>
    <cellStyle name="Note 3 6 51 6" xfId="45312"/>
    <cellStyle name="Note 3 6 51 7" xfId="49874"/>
    <cellStyle name="Note 3 6 52" xfId="6865"/>
    <cellStyle name="Note 3 6 52 2" xfId="14582"/>
    <cellStyle name="Note 3 6 52 3" xfId="23575"/>
    <cellStyle name="Note 3 6 52 4" xfId="31762"/>
    <cellStyle name="Note 3 6 52 5" xfId="33744"/>
    <cellStyle name="Note 3 6 52 6" xfId="45427"/>
    <cellStyle name="Note 3 6 52 7" xfId="47069"/>
    <cellStyle name="Note 3 6 53" xfId="6978"/>
    <cellStyle name="Note 3 6 53 2" xfId="14695"/>
    <cellStyle name="Note 3 6 53 3" xfId="23688"/>
    <cellStyle name="Note 3 6 53 4" xfId="31875"/>
    <cellStyle name="Note 3 6 53 5" xfId="33977"/>
    <cellStyle name="Note 3 6 53 6" xfId="45540"/>
    <cellStyle name="Note 3 6 53 7" xfId="47026"/>
    <cellStyle name="Note 3 6 54" xfId="7089"/>
    <cellStyle name="Note 3 6 54 2" xfId="14806"/>
    <cellStyle name="Note 3 6 54 3" xfId="23799"/>
    <cellStyle name="Note 3 6 54 4" xfId="31986"/>
    <cellStyle name="Note 3 6 54 5" xfId="34758"/>
    <cellStyle name="Note 3 6 54 6" xfId="45651"/>
    <cellStyle name="Note 3 6 54 7" xfId="50276"/>
    <cellStyle name="Note 3 6 55" xfId="7190"/>
    <cellStyle name="Note 3 6 55 2" xfId="14907"/>
    <cellStyle name="Note 3 6 55 3" xfId="23900"/>
    <cellStyle name="Note 3 6 55 4" xfId="32087"/>
    <cellStyle name="Note 3 6 55 5" xfId="35910"/>
    <cellStyle name="Note 3 6 55 6" xfId="45752"/>
    <cellStyle name="Note 3 6 55 7" xfId="51774"/>
    <cellStyle name="Note 3 6 56" xfId="7228"/>
    <cellStyle name="Note 3 6 56 2" xfId="14945"/>
    <cellStyle name="Note 3 6 56 3" xfId="23938"/>
    <cellStyle name="Note 3 6 56 4" xfId="32125"/>
    <cellStyle name="Note 3 6 56 5" xfId="27749"/>
    <cellStyle name="Note 3 6 56 6" xfId="45790"/>
    <cellStyle name="Note 3 6 56 7" xfId="53527"/>
    <cellStyle name="Note 3 6 57" xfId="7486"/>
    <cellStyle name="Note 3 6 57 2" xfId="15203"/>
    <cellStyle name="Note 3 6 57 3" xfId="24196"/>
    <cellStyle name="Note 3 6 57 4" xfId="32383"/>
    <cellStyle name="Note 3 6 57 5" xfId="35770"/>
    <cellStyle name="Note 3 6 57 6" xfId="46048"/>
    <cellStyle name="Note 3 6 57 7" xfId="51899"/>
    <cellStyle name="Note 3 6 58" xfId="7607"/>
    <cellStyle name="Note 3 6 58 2" xfId="15324"/>
    <cellStyle name="Note 3 6 58 3" xfId="24317"/>
    <cellStyle name="Note 3 6 58 4" xfId="32504"/>
    <cellStyle name="Note 3 6 58 5" xfId="27993"/>
    <cellStyle name="Note 3 6 58 6" xfId="46169"/>
    <cellStyle name="Note 3 6 58 7" xfId="47820"/>
    <cellStyle name="Note 3 6 59" xfId="7883"/>
    <cellStyle name="Note 3 6 59 2" xfId="15600"/>
    <cellStyle name="Note 3 6 59 3" xfId="24587"/>
    <cellStyle name="Note 3 6 59 4" xfId="32780"/>
    <cellStyle name="Note 3 6 59 5" xfId="35619"/>
    <cellStyle name="Note 3 6 59 6" xfId="46445"/>
    <cellStyle name="Note 3 6 59 7" xfId="51730"/>
    <cellStyle name="Note 3 6 6" xfId="1504"/>
    <cellStyle name="Note 3 6 6 2" xfId="9327"/>
    <cellStyle name="Note 3 6 6 3" xfId="16755"/>
    <cellStyle name="Note 3 6 6 4" xfId="25594"/>
    <cellStyle name="Note 3 6 6 5" xfId="34104"/>
    <cellStyle name="Note 3 6 6 6" xfId="40827"/>
    <cellStyle name="Note 3 6 6 7" xfId="52083"/>
    <cellStyle name="Note 3 6 60" xfId="7774"/>
    <cellStyle name="Note 3 6 60 2" xfId="15491"/>
    <cellStyle name="Note 3 6 60 3" xfId="24480"/>
    <cellStyle name="Note 3 6 60 4" xfId="32671"/>
    <cellStyle name="Note 3 6 60 5" xfId="34509"/>
    <cellStyle name="Note 3 6 60 6" xfId="46336"/>
    <cellStyle name="Note 3 6 60 7" xfId="50653"/>
    <cellStyle name="Note 3 6 61" xfId="8011"/>
    <cellStyle name="Note 3 6 61 2" xfId="15728"/>
    <cellStyle name="Note 3 6 61 3" xfId="24713"/>
    <cellStyle name="Note 3 6 61 4" xfId="32908"/>
    <cellStyle name="Note 3 6 61 5" xfId="27134"/>
    <cellStyle name="Note 3 6 61 6" xfId="46573"/>
    <cellStyle name="Note 3 6 61 7" xfId="48744"/>
    <cellStyle name="Note 3 6 62" xfId="7743"/>
    <cellStyle name="Note 3 6 62 2" xfId="15460"/>
    <cellStyle name="Note 3 6 62 3" xfId="24451"/>
    <cellStyle name="Note 3 6 62 4" xfId="32640"/>
    <cellStyle name="Note 3 6 62 5" xfId="36207"/>
    <cellStyle name="Note 3 6 62 6" xfId="46305"/>
    <cellStyle name="Note 3 6 62 7" xfId="53908"/>
    <cellStyle name="Note 3 6 63" xfId="8159"/>
    <cellStyle name="Note 3 6 63 2" xfId="15876"/>
    <cellStyle name="Note 3 6 63 3" xfId="33056"/>
    <cellStyle name="Note 3 6 63 4" xfId="34266"/>
    <cellStyle name="Note 3 6 63 5" xfId="46721"/>
    <cellStyle name="Note 3 6 63 6" xfId="47824"/>
    <cellStyle name="Note 3 6 64" xfId="19223"/>
    <cellStyle name="Note 3 6 65" xfId="27739"/>
    <cellStyle name="Note 3 6 66" xfId="36307"/>
    <cellStyle name="Note 3 6 67" xfId="48409"/>
    <cellStyle name="Note 3 6 7" xfId="1148"/>
    <cellStyle name="Note 3 6 7 2" xfId="8971"/>
    <cellStyle name="Note 3 6 7 3" xfId="16399"/>
    <cellStyle name="Note 3 6 7 4" xfId="19054"/>
    <cellStyle name="Note 3 6 7 5" xfId="27605"/>
    <cellStyle name="Note 3 6 7 6" xfId="40306"/>
    <cellStyle name="Note 3 6 7 7" xfId="49870"/>
    <cellStyle name="Note 3 6 8" xfId="1741"/>
    <cellStyle name="Note 3 6 8 2" xfId="9564"/>
    <cellStyle name="Note 3 6 8 3" xfId="16992"/>
    <cellStyle name="Note 3 6 8 4" xfId="19868"/>
    <cellStyle name="Note 3 6 8 5" xfId="28674"/>
    <cellStyle name="Note 3 6 8 6" xfId="40682"/>
    <cellStyle name="Note 3 6 8 7" xfId="50033"/>
    <cellStyle name="Note 3 6 9" xfId="1875"/>
    <cellStyle name="Note 3 6 9 2" xfId="9698"/>
    <cellStyle name="Note 3 6 9 3" xfId="17126"/>
    <cellStyle name="Note 3 6 9 4" xfId="24957"/>
    <cellStyle name="Note 3 6 9 5" xfId="33295"/>
    <cellStyle name="Note 3 6 9 6" xfId="39833"/>
    <cellStyle name="Note 3 6 9 7" xfId="50688"/>
    <cellStyle name="Note 3 7" xfId="628"/>
    <cellStyle name="Note 3 7 2" xfId="8452"/>
    <cellStyle name="Note 3 7 3" xfId="8356"/>
    <cellStyle name="Note 3 7 4" xfId="20080"/>
    <cellStyle name="Note 3 7 5" xfId="27561"/>
    <cellStyle name="Note 3 7 6" xfId="37110"/>
    <cellStyle name="Note 3 7 7" xfId="46974"/>
    <cellStyle name="Note 3 8" xfId="611"/>
    <cellStyle name="Note 3 8 2" xfId="8435"/>
    <cellStyle name="Note 3 8 3" xfId="10863"/>
    <cellStyle name="Note 3 8 4" xfId="20583"/>
    <cellStyle name="Note 3 8 5" xfId="28094"/>
    <cellStyle name="Note 3 8 6" xfId="36782"/>
    <cellStyle name="Note 3 8 7" xfId="48010"/>
    <cellStyle name="Note 3 9" xfId="1107"/>
    <cellStyle name="Note 3 9 2" xfId="8931"/>
    <cellStyle name="Note 3 9 3" xfId="16359"/>
    <cellStyle name="Note 3 9 4" xfId="26479"/>
    <cellStyle name="Note 3 9 5" xfId="35263"/>
    <cellStyle name="Note 3 9 6" xfId="36731"/>
    <cellStyle name="Note 3 9 7" xfId="54030"/>
    <cellStyle name="Note 4" xfId="170"/>
    <cellStyle name="Note 4 10" xfId="1011"/>
    <cellStyle name="Note 4 10 2" xfId="8835"/>
    <cellStyle name="Note 4 10 3" xfId="16263"/>
    <cellStyle name="Note 4 10 4" xfId="19865"/>
    <cellStyle name="Note 4 10 5" xfId="26988"/>
    <cellStyle name="Note 4 10 6" xfId="36998"/>
    <cellStyle name="Note 4 10 7" xfId="49397"/>
    <cellStyle name="Note 4 11" xfId="1605"/>
    <cellStyle name="Note 4 11 2" xfId="9428"/>
    <cellStyle name="Note 4 11 3" xfId="16856"/>
    <cellStyle name="Note 4 11 4" xfId="19520"/>
    <cellStyle name="Note 4 11 5" xfId="28430"/>
    <cellStyle name="Note 4 11 6" xfId="38087"/>
    <cellStyle name="Note 4 11 7" xfId="49418"/>
    <cellStyle name="Note 4 12" xfId="2316"/>
    <cellStyle name="Note 4 12 2" xfId="10139"/>
    <cellStyle name="Note 4 12 3" xfId="17567"/>
    <cellStyle name="Note 4 12 4" xfId="25427"/>
    <cellStyle name="Note 4 12 5" xfId="33885"/>
    <cellStyle name="Note 4 12 6" xfId="36811"/>
    <cellStyle name="Note 4 12 7" xfId="51700"/>
    <cellStyle name="Note 4 13" xfId="1014"/>
    <cellStyle name="Note 4 13 2" xfId="8838"/>
    <cellStyle name="Note 4 13 3" xfId="16266"/>
    <cellStyle name="Note 4 13 4" xfId="24848"/>
    <cellStyle name="Note 4 13 5" xfId="26814"/>
    <cellStyle name="Note 4 13 6" xfId="36605"/>
    <cellStyle name="Note 4 13 7" xfId="49212"/>
    <cellStyle name="Note 4 14" xfId="2499"/>
    <cellStyle name="Note 4 14 2" xfId="10322"/>
    <cellStyle name="Note 4 14 3" xfId="17750"/>
    <cellStyle name="Note 4 14 4" xfId="25037"/>
    <cellStyle name="Note 4 14 5" xfId="33395"/>
    <cellStyle name="Note 4 14 6" xfId="37291"/>
    <cellStyle name="Note 4 14 7" xfId="50876"/>
    <cellStyle name="Note 4 15" xfId="3177"/>
    <cellStyle name="Note 4 15 2" xfId="10978"/>
    <cellStyle name="Note 4 15 3" xfId="18339"/>
    <cellStyle name="Note 4 15 4" xfId="25505"/>
    <cellStyle name="Note 4 15 5" xfId="33983"/>
    <cellStyle name="Note 4 15 6" xfId="37528"/>
    <cellStyle name="Note 4 15 7" xfId="51886"/>
    <cellStyle name="Note 4 16" xfId="3030"/>
    <cellStyle name="Note 4 16 2" xfId="10845"/>
    <cellStyle name="Note 4 16 3" xfId="18256"/>
    <cellStyle name="Note 4 16 4" xfId="19305"/>
    <cellStyle name="Note 4 16 5" xfId="28473"/>
    <cellStyle name="Note 4 16 6" xfId="37625"/>
    <cellStyle name="Note 4 16 7" xfId="50235"/>
    <cellStyle name="Note 4 17" xfId="3880"/>
    <cellStyle name="Note 4 17 2" xfId="11661"/>
    <cellStyle name="Note 4 17 3" xfId="18915"/>
    <cellStyle name="Note 4 17 4" xfId="26164"/>
    <cellStyle name="Note 4 17 5" xfId="34833"/>
    <cellStyle name="Note 4 17 6" xfId="41462"/>
    <cellStyle name="Note 4 17 7" xfId="53344"/>
    <cellStyle name="Note 4 18" xfId="4066"/>
    <cellStyle name="Note 4 18 2" xfId="11832"/>
    <cellStyle name="Note 4 18 3" xfId="20776"/>
    <cellStyle name="Note 4 18 4" xfId="28963"/>
    <cellStyle name="Note 4 18 5" xfId="33706"/>
    <cellStyle name="Note 4 18 6" xfId="42628"/>
    <cellStyle name="Note 4 18 7" xfId="50173"/>
    <cellStyle name="Note 4 19" xfId="4039"/>
    <cellStyle name="Note 4 19 2" xfId="11810"/>
    <cellStyle name="Note 4 19 3" xfId="20749"/>
    <cellStyle name="Note 4 19 4" xfId="28936"/>
    <cellStyle name="Note 4 19 5" xfId="35973"/>
    <cellStyle name="Note 4 19 6" xfId="42601"/>
    <cellStyle name="Note 4 19 7" xfId="53297"/>
    <cellStyle name="Note 4 2" xfId="266"/>
    <cellStyle name="Note 4 2 10" xfId="1134"/>
    <cellStyle name="Note 4 2 10 2" xfId="8957"/>
    <cellStyle name="Note 4 2 10 3" xfId="16385"/>
    <cellStyle name="Note 4 2 10 4" xfId="25228"/>
    <cellStyle name="Note 4 2 10 5" xfId="33629"/>
    <cellStyle name="Note 4 2 10 6" xfId="41634"/>
    <cellStyle name="Note 4 2 10 7" xfId="51281"/>
    <cellStyle name="Note 4 2 11" xfId="1419"/>
    <cellStyle name="Note 4 2 11 2" xfId="9242"/>
    <cellStyle name="Note 4 2 11 3" xfId="16670"/>
    <cellStyle name="Note 4 2 11 4" xfId="26591"/>
    <cellStyle name="Note 4 2 11 5" xfId="35412"/>
    <cellStyle name="Note 4 2 11 6" xfId="42075"/>
    <cellStyle name="Note 4 2 11 7" xfId="54259"/>
    <cellStyle name="Note 4 2 12" xfId="1047"/>
    <cellStyle name="Note 4 2 12 2" xfId="8871"/>
    <cellStyle name="Note 4 2 12 3" xfId="16299"/>
    <cellStyle name="Note 4 2 12 4" xfId="19813"/>
    <cellStyle name="Note 4 2 12 5" xfId="27903"/>
    <cellStyle name="Note 4 2 12 6" xfId="38197"/>
    <cellStyle name="Note 4 2 12 7" xfId="48023"/>
    <cellStyle name="Note 4 2 13" xfId="1282"/>
    <cellStyle name="Note 4 2 13 2" xfId="9105"/>
    <cellStyle name="Note 4 2 13 3" xfId="16533"/>
    <cellStyle name="Note 4 2 13 4" xfId="19659"/>
    <cellStyle name="Note 4 2 13 5" xfId="28831"/>
    <cellStyle name="Note 4 2 13 6" xfId="40067"/>
    <cellStyle name="Note 4 2 13 7" xfId="47187"/>
    <cellStyle name="Note 4 2 14" xfId="1015"/>
    <cellStyle name="Note 4 2 14 2" xfId="8839"/>
    <cellStyle name="Note 4 2 14 3" xfId="16267"/>
    <cellStyle name="Note 4 2 14 4" xfId="20074"/>
    <cellStyle name="Note 4 2 14 5" xfId="26934"/>
    <cellStyle name="Note 4 2 14 6" xfId="36741"/>
    <cellStyle name="Note 4 2 14 7" xfId="49107"/>
    <cellStyle name="Note 4 2 15" xfId="1307"/>
    <cellStyle name="Note 4 2 15 2" xfId="9130"/>
    <cellStyle name="Note 4 2 15 3" xfId="16558"/>
    <cellStyle name="Note 4 2 15 4" xfId="26190"/>
    <cellStyle name="Note 4 2 15 5" xfId="34868"/>
    <cellStyle name="Note 4 2 15 6" xfId="36417"/>
    <cellStyle name="Note 4 2 15 7" xfId="53403"/>
    <cellStyle name="Note 4 2 16" xfId="1573"/>
    <cellStyle name="Note 4 2 16 2" xfId="9396"/>
    <cellStyle name="Note 4 2 16 3" xfId="16824"/>
    <cellStyle name="Note 4 2 16 4" xfId="26013"/>
    <cellStyle name="Note 4 2 16 5" xfId="34640"/>
    <cellStyle name="Note 4 2 16 6" xfId="41207"/>
    <cellStyle name="Note 4 2 16 7" xfId="53020"/>
    <cellStyle name="Note 4 2 17" xfId="1664"/>
    <cellStyle name="Note 4 2 17 2" xfId="9487"/>
    <cellStyle name="Note 4 2 17 3" xfId="16915"/>
    <cellStyle name="Note 4 2 17 4" xfId="24917"/>
    <cellStyle name="Note 4 2 17 5" xfId="33242"/>
    <cellStyle name="Note 4 2 17 6" xfId="39625"/>
    <cellStyle name="Note 4 2 17 7" xfId="50602"/>
    <cellStyle name="Note 4 2 18" xfId="1786"/>
    <cellStyle name="Note 4 2 18 2" xfId="9609"/>
    <cellStyle name="Note 4 2 18 3" xfId="17037"/>
    <cellStyle name="Note 4 2 18 4" xfId="25891"/>
    <cellStyle name="Note 4 2 18 5" xfId="34486"/>
    <cellStyle name="Note 4 2 18 6" xfId="36737"/>
    <cellStyle name="Note 4 2 18 7" xfId="52766"/>
    <cellStyle name="Note 4 2 19" xfId="2308"/>
    <cellStyle name="Note 4 2 19 2" xfId="10131"/>
    <cellStyle name="Note 4 2 19 3" xfId="17559"/>
    <cellStyle name="Note 4 2 19 4" xfId="19716"/>
    <cellStyle name="Note 4 2 19 5" xfId="27156"/>
    <cellStyle name="Note 4 2 19 6" xfId="36385"/>
    <cellStyle name="Note 4 2 19 7" xfId="47867"/>
    <cellStyle name="Note 4 2 2" xfId="540"/>
    <cellStyle name="Note 4 2 2 10" xfId="1987"/>
    <cellStyle name="Note 4 2 2 10 2" xfId="9810"/>
    <cellStyle name="Note 4 2 2 10 3" xfId="17238"/>
    <cellStyle name="Note 4 2 2 10 4" xfId="26626"/>
    <cellStyle name="Note 4 2 2 10 5" xfId="35459"/>
    <cellStyle name="Note 4 2 2 10 6" xfId="36994"/>
    <cellStyle name="Note 4 2 2 10 7" xfId="54338"/>
    <cellStyle name="Note 4 2 2 11" xfId="2105"/>
    <cellStyle name="Note 4 2 2 11 2" xfId="9928"/>
    <cellStyle name="Note 4 2 2 11 3" xfId="17356"/>
    <cellStyle name="Note 4 2 2 11 4" xfId="19559"/>
    <cellStyle name="Note 4 2 2 11 5" xfId="27054"/>
    <cellStyle name="Note 4 2 2 11 6" xfId="39776"/>
    <cellStyle name="Note 4 2 2 11 7" xfId="48388"/>
    <cellStyle name="Note 4 2 2 12" xfId="2218"/>
    <cellStyle name="Note 4 2 2 12 2" xfId="10041"/>
    <cellStyle name="Note 4 2 2 12 3" xfId="17469"/>
    <cellStyle name="Note 4 2 2 12 4" xfId="25111"/>
    <cellStyle name="Note 4 2 2 12 5" xfId="33481"/>
    <cellStyle name="Note 4 2 2 12 6" xfId="37357"/>
    <cellStyle name="Note 4 2 2 12 7" xfId="51037"/>
    <cellStyle name="Note 4 2 2 13" xfId="2307"/>
    <cellStyle name="Note 4 2 2 13 2" xfId="10130"/>
    <cellStyle name="Note 4 2 2 13 3" xfId="17558"/>
    <cellStyle name="Note 4 2 2 13 4" xfId="24807"/>
    <cellStyle name="Note 4 2 2 13 5" xfId="28222"/>
    <cellStyle name="Note 4 2 2 13 6" xfId="36386"/>
    <cellStyle name="Note 4 2 2 13 7" xfId="48282"/>
    <cellStyle name="Note 4 2 2 14" xfId="2400"/>
    <cellStyle name="Note 4 2 2 14 2" xfId="10223"/>
    <cellStyle name="Note 4 2 2 14 3" xfId="17651"/>
    <cellStyle name="Note 4 2 2 14 4" xfId="26576"/>
    <cellStyle name="Note 4 2 2 14 5" xfId="35394"/>
    <cellStyle name="Note 4 2 2 14 6" xfId="39843"/>
    <cellStyle name="Note 4 2 2 14 7" xfId="54227"/>
    <cellStyle name="Note 4 2 2 15" xfId="2516"/>
    <cellStyle name="Note 4 2 2 15 2" xfId="10339"/>
    <cellStyle name="Note 4 2 2 15 3" xfId="17767"/>
    <cellStyle name="Note 4 2 2 15 4" xfId="19190"/>
    <cellStyle name="Note 4 2 2 15 5" xfId="33104"/>
    <cellStyle name="Note 4 2 2 15 6" xfId="36381"/>
    <cellStyle name="Note 4 2 2 15 7" xfId="49147"/>
    <cellStyle name="Note 4 2 2 16" xfId="2629"/>
    <cellStyle name="Note 4 2 2 16 2" xfId="10452"/>
    <cellStyle name="Note 4 2 2 16 3" xfId="17880"/>
    <cellStyle name="Note 4 2 2 16 4" xfId="26034"/>
    <cellStyle name="Note 4 2 2 16 5" xfId="34666"/>
    <cellStyle name="Note 4 2 2 16 6" xfId="39786"/>
    <cellStyle name="Note 4 2 2 16 7" xfId="53064"/>
    <cellStyle name="Note 4 2 2 17" xfId="2707"/>
    <cellStyle name="Note 4 2 2 17 2" xfId="10530"/>
    <cellStyle name="Note 4 2 2 17 3" xfId="17958"/>
    <cellStyle name="Note 4 2 2 17 4" xfId="25699"/>
    <cellStyle name="Note 4 2 2 17 5" xfId="34239"/>
    <cellStyle name="Note 4 2 2 17 6" xfId="38887"/>
    <cellStyle name="Note 4 2 2 17 7" xfId="52308"/>
    <cellStyle name="Note 4 2 2 18" xfId="2745"/>
    <cellStyle name="Note 4 2 2 18 2" xfId="10568"/>
    <cellStyle name="Note 4 2 2 18 3" xfId="17996"/>
    <cellStyle name="Note 4 2 2 18 4" xfId="25992"/>
    <cellStyle name="Note 4 2 2 18 5" xfId="34614"/>
    <cellStyle name="Note 4 2 2 18 6" xfId="37045"/>
    <cellStyle name="Note 4 2 2 18 7" xfId="52978"/>
    <cellStyle name="Note 4 2 2 19" xfId="2822"/>
    <cellStyle name="Note 4 2 2 19 2" xfId="10645"/>
    <cellStyle name="Note 4 2 2 19 3" xfId="18073"/>
    <cellStyle name="Note 4 2 2 19 4" xfId="20233"/>
    <cellStyle name="Note 4 2 2 19 5" xfId="26937"/>
    <cellStyle name="Note 4 2 2 19 6" xfId="41860"/>
    <cellStyle name="Note 4 2 2 19 7" xfId="49106"/>
    <cellStyle name="Note 4 2 2 2" xfId="690"/>
    <cellStyle name="Note 4 2 2 2 2" xfId="8514"/>
    <cellStyle name="Note 4 2 2 2 3" xfId="15942"/>
    <cellStyle name="Note 4 2 2 2 4" xfId="20054"/>
    <cellStyle name="Note 4 2 2 2 5" xfId="27263"/>
    <cellStyle name="Note 4 2 2 2 6" xfId="36703"/>
    <cellStyle name="Note 4 2 2 2 7" xfId="48486"/>
    <cellStyle name="Note 4 2 2 20" xfId="2929"/>
    <cellStyle name="Note 4 2 2 20 2" xfId="10752"/>
    <cellStyle name="Note 4 2 2 20 3" xfId="18180"/>
    <cellStyle name="Note 4 2 2 20 4" xfId="26029"/>
    <cellStyle name="Note 4 2 2 20 5" xfId="34660"/>
    <cellStyle name="Note 4 2 2 20 6" xfId="41347"/>
    <cellStyle name="Note 4 2 2 20 7" xfId="53054"/>
    <cellStyle name="Note 4 2 2 21" xfId="3305"/>
    <cellStyle name="Note 4 2 2 21 2" xfId="11098"/>
    <cellStyle name="Note 4 2 2 21 3" xfId="18427"/>
    <cellStyle name="Note 4 2 2 21 4" xfId="25282"/>
    <cellStyle name="Note 4 2 2 21 5" xfId="33694"/>
    <cellStyle name="Note 4 2 2 21 6" xfId="39062"/>
    <cellStyle name="Note 4 2 2 21 7" xfId="51393"/>
    <cellStyle name="Note 4 2 2 22" xfId="3425"/>
    <cellStyle name="Note 4 2 2 22 2" xfId="11216"/>
    <cellStyle name="Note 4 2 2 22 3" xfId="18538"/>
    <cellStyle name="Note 4 2 2 22 4" xfId="25723"/>
    <cellStyle name="Note 4 2 2 22 5" xfId="34269"/>
    <cellStyle name="Note 4 2 2 22 6" xfId="42000"/>
    <cellStyle name="Note 4 2 2 22 7" xfId="52369"/>
    <cellStyle name="Note 4 2 2 23" xfId="3551"/>
    <cellStyle name="Note 4 2 2 23 2" xfId="11340"/>
    <cellStyle name="Note 4 2 2 23 3" xfId="18626"/>
    <cellStyle name="Note 4 2 2 23 4" xfId="20029"/>
    <cellStyle name="Note 4 2 2 23 5" xfId="28471"/>
    <cellStyle name="Note 4 2 2 23 6" xfId="38071"/>
    <cellStyle name="Note 4 2 2 23 7" xfId="47459"/>
    <cellStyle name="Note 4 2 2 24" xfId="3124"/>
    <cellStyle name="Note 4 2 2 24 2" xfId="10929"/>
    <cellStyle name="Note 4 2 2 24 3" xfId="18307"/>
    <cellStyle name="Note 4 2 2 24 4" xfId="20698"/>
    <cellStyle name="Note 4 2 2 24 5" xfId="27706"/>
    <cellStyle name="Note 4 2 2 24 6" xfId="41467"/>
    <cellStyle name="Note 4 2 2 24 7" xfId="48257"/>
    <cellStyle name="Note 4 2 2 25" xfId="3696"/>
    <cellStyle name="Note 4 2 2 25 2" xfId="11481"/>
    <cellStyle name="Note 4 2 2 25 3" xfId="18754"/>
    <cellStyle name="Note 4 2 2 25 4" xfId="19782"/>
    <cellStyle name="Note 4 2 2 25 5" xfId="27387"/>
    <cellStyle name="Note 4 2 2 25 6" xfId="37212"/>
    <cellStyle name="Note 4 2 2 25 7" xfId="49535"/>
    <cellStyle name="Note 4 2 2 26" xfId="3826"/>
    <cellStyle name="Note 4 2 2 26 2" xfId="11608"/>
    <cellStyle name="Note 4 2 2 26 3" xfId="18865"/>
    <cellStyle name="Note 4 2 2 26 4" xfId="20106"/>
    <cellStyle name="Note 4 2 2 26 5" xfId="28229"/>
    <cellStyle name="Note 4 2 2 26 6" xfId="39383"/>
    <cellStyle name="Note 4 2 2 26 7" xfId="47615"/>
    <cellStyle name="Note 4 2 2 27" xfId="3944"/>
    <cellStyle name="Note 4 2 2 27 2" xfId="11724"/>
    <cellStyle name="Note 4 2 2 27 3" xfId="18974"/>
    <cellStyle name="Note 4 2 2 27 4" xfId="26515"/>
    <cellStyle name="Note 4 2 2 27 5" xfId="35312"/>
    <cellStyle name="Note 4 2 2 27 6" xfId="42236"/>
    <cellStyle name="Note 4 2 2 27 7" xfId="54103"/>
    <cellStyle name="Note 4 2 2 28" xfId="4017"/>
    <cellStyle name="Note 4 2 2 28 2" xfId="11792"/>
    <cellStyle name="Note 4 2 2 28 3" xfId="20727"/>
    <cellStyle name="Note 4 2 2 28 4" xfId="28914"/>
    <cellStyle name="Note 4 2 2 28 5" xfId="35931"/>
    <cellStyle name="Note 4 2 2 28 6" xfId="42579"/>
    <cellStyle name="Note 4 2 2 28 7" xfId="53083"/>
    <cellStyle name="Note 4 2 2 29" xfId="4141"/>
    <cellStyle name="Note 4 2 2 29 2" xfId="11900"/>
    <cellStyle name="Note 4 2 2 29 3" xfId="20851"/>
    <cellStyle name="Note 4 2 2 29 4" xfId="29038"/>
    <cellStyle name="Note 4 2 2 29 5" xfId="28183"/>
    <cellStyle name="Note 4 2 2 29 6" xfId="42703"/>
    <cellStyle name="Note 4 2 2 29 7" xfId="50343"/>
    <cellStyle name="Note 4 2 2 3" xfId="798"/>
    <cellStyle name="Note 4 2 2 3 2" xfId="8622"/>
    <cellStyle name="Note 4 2 2 3 3" xfId="16050"/>
    <cellStyle name="Note 4 2 2 3 4" xfId="24812"/>
    <cellStyle name="Note 4 2 2 3 5" xfId="27819"/>
    <cellStyle name="Note 4 2 2 3 6" xfId="36932"/>
    <cellStyle name="Note 4 2 2 3 7" xfId="47445"/>
    <cellStyle name="Note 4 2 2 30" xfId="4037"/>
    <cellStyle name="Note 4 2 2 30 2" xfId="20747"/>
    <cellStyle name="Note 4 2 2 30 3" xfId="28934"/>
    <cellStyle name="Note 4 2 2 30 4" xfId="36019"/>
    <cellStyle name="Note 4 2 2 30 5" xfId="42599"/>
    <cellStyle name="Note 4 2 2 30 6" xfId="53503"/>
    <cellStyle name="Note 4 2 2 31" xfId="4338"/>
    <cellStyle name="Note 4 2 2 31 2" xfId="12055"/>
    <cellStyle name="Note 4 2 2 31 3" xfId="21048"/>
    <cellStyle name="Note 4 2 2 31 4" xfId="29235"/>
    <cellStyle name="Note 4 2 2 31 5" xfId="27810"/>
    <cellStyle name="Note 4 2 2 31 6" xfId="42900"/>
    <cellStyle name="Note 4 2 2 31 7" xfId="46907"/>
    <cellStyle name="Note 4 2 2 32" xfId="4461"/>
    <cellStyle name="Note 4 2 2 32 2" xfId="12178"/>
    <cellStyle name="Note 4 2 2 32 3" xfId="21171"/>
    <cellStyle name="Note 4 2 2 32 4" xfId="29358"/>
    <cellStyle name="Note 4 2 2 32 5" xfId="27813"/>
    <cellStyle name="Note 4 2 2 32 6" xfId="43023"/>
    <cellStyle name="Note 4 2 2 32 7" xfId="49176"/>
    <cellStyle name="Note 4 2 2 33" xfId="4575"/>
    <cellStyle name="Note 4 2 2 33 2" xfId="12292"/>
    <cellStyle name="Note 4 2 2 33 3" xfId="21285"/>
    <cellStyle name="Note 4 2 2 33 4" xfId="29472"/>
    <cellStyle name="Note 4 2 2 33 5" xfId="35787"/>
    <cellStyle name="Note 4 2 2 33 6" xfId="43137"/>
    <cellStyle name="Note 4 2 2 33 7" xfId="52405"/>
    <cellStyle name="Note 4 2 2 34" xfId="4688"/>
    <cellStyle name="Note 4 2 2 34 2" xfId="12405"/>
    <cellStyle name="Note 4 2 2 34 3" xfId="21398"/>
    <cellStyle name="Note 4 2 2 34 4" xfId="29585"/>
    <cellStyle name="Note 4 2 2 34 5" xfId="35672"/>
    <cellStyle name="Note 4 2 2 34 6" xfId="43250"/>
    <cellStyle name="Note 4 2 2 34 7" xfId="51788"/>
    <cellStyle name="Note 4 2 2 35" xfId="4799"/>
    <cellStyle name="Note 4 2 2 35 2" xfId="12516"/>
    <cellStyle name="Note 4 2 2 35 3" xfId="21509"/>
    <cellStyle name="Note 4 2 2 35 4" xfId="29696"/>
    <cellStyle name="Note 4 2 2 35 5" xfId="35709"/>
    <cellStyle name="Note 4 2 2 35 6" xfId="43361"/>
    <cellStyle name="Note 4 2 2 35 7" xfId="52009"/>
    <cellStyle name="Note 4 2 2 36" xfId="4908"/>
    <cellStyle name="Note 4 2 2 36 2" xfId="12625"/>
    <cellStyle name="Note 4 2 2 36 3" xfId="21618"/>
    <cellStyle name="Note 4 2 2 36 4" xfId="29805"/>
    <cellStyle name="Note 4 2 2 36 5" xfId="35113"/>
    <cellStyle name="Note 4 2 2 36 6" xfId="43470"/>
    <cellStyle name="Note 4 2 2 36 7" xfId="47718"/>
    <cellStyle name="Note 4 2 2 37" xfId="5019"/>
    <cellStyle name="Note 4 2 2 37 2" xfId="12736"/>
    <cellStyle name="Note 4 2 2 37 3" xfId="21729"/>
    <cellStyle name="Note 4 2 2 37 4" xfId="29916"/>
    <cellStyle name="Note 4 2 2 37 5" xfId="35757"/>
    <cellStyle name="Note 4 2 2 37 6" xfId="43581"/>
    <cellStyle name="Note 4 2 2 37 7" xfId="52278"/>
    <cellStyle name="Note 4 2 2 38" xfId="5398"/>
    <cellStyle name="Note 4 2 2 38 2" xfId="13115"/>
    <cellStyle name="Note 4 2 2 38 3" xfId="22108"/>
    <cellStyle name="Note 4 2 2 38 4" xfId="30295"/>
    <cellStyle name="Note 4 2 2 38 5" xfId="35599"/>
    <cellStyle name="Note 4 2 2 38 6" xfId="43960"/>
    <cellStyle name="Note 4 2 2 38 7" xfId="51491"/>
    <cellStyle name="Note 4 2 2 39" xfId="5518"/>
    <cellStyle name="Note 4 2 2 39 2" xfId="13235"/>
    <cellStyle name="Note 4 2 2 39 3" xfId="22228"/>
    <cellStyle name="Note 4 2 2 39 4" xfId="30415"/>
    <cellStyle name="Note 4 2 2 39 5" xfId="35212"/>
    <cellStyle name="Note 4 2 2 39 6" xfId="44080"/>
    <cellStyle name="Note 4 2 2 39 7" xfId="49038"/>
    <cellStyle name="Note 4 2 2 4" xfId="909"/>
    <cellStyle name="Note 4 2 2 4 2" xfId="8733"/>
    <cellStyle name="Note 4 2 2 4 3" xfId="16161"/>
    <cellStyle name="Note 4 2 2 4 4" xfId="26040"/>
    <cellStyle name="Note 4 2 2 4 5" xfId="34674"/>
    <cellStyle name="Note 4 2 2 4 6" xfId="36553"/>
    <cellStyle name="Note 4 2 2 4 7" xfId="53075"/>
    <cellStyle name="Note 4 2 2 40" xfId="5642"/>
    <cellStyle name="Note 4 2 2 40 2" xfId="13359"/>
    <cellStyle name="Note 4 2 2 40 3" xfId="22352"/>
    <cellStyle name="Note 4 2 2 40 4" xfId="30539"/>
    <cellStyle name="Note 4 2 2 40 5" xfId="36226"/>
    <cellStyle name="Note 4 2 2 40 6" xfId="44204"/>
    <cellStyle name="Note 4 2 2 40 7" xfId="47208"/>
    <cellStyle name="Note 4 2 2 41" xfId="5758"/>
    <cellStyle name="Note 4 2 2 41 2" xfId="13475"/>
    <cellStyle name="Note 4 2 2 41 3" xfId="22468"/>
    <cellStyle name="Note 4 2 2 41 4" xfId="30655"/>
    <cellStyle name="Note 4 2 2 41 5" xfId="35685"/>
    <cellStyle name="Note 4 2 2 41 6" xfId="44320"/>
    <cellStyle name="Note 4 2 2 41 7" xfId="51304"/>
    <cellStyle name="Note 4 2 2 42" xfId="5874"/>
    <cellStyle name="Note 4 2 2 42 2" xfId="13591"/>
    <cellStyle name="Note 4 2 2 42 3" xfId="22584"/>
    <cellStyle name="Note 4 2 2 42 4" xfId="30771"/>
    <cellStyle name="Note 4 2 2 42 5" xfId="35793"/>
    <cellStyle name="Note 4 2 2 42 6" xfId="44436"/>
    <cellStyle name="Note 4 2 2 42 7" xfId="47602"/>
    <cellStyle name="Note 4 2 2 43" xfId="6003"/>
    <cellStyle name="Note 4 2 2 43 2" xfId="13720"/>
    <cellStyle name="Note 4 2 2 43 3" xfId="22713"/>
    <cellStyle name="Note 4 2 2 43 4" xfId="30900"/>
    <cellStyle name="Note 4 2 2 43 5" xfId="36224"/>
    <cellStyle name="Note 4 2 2 43 6" xfId="44565"/>
    <cellStyle name="Note 4 2 2 43 7" xfId="54371"/>
    <cellStyle name="Note 4 2 2 44" xfId="6101"/>
    <cellStyle name="Note 4 2 2 44 2" xfId="13818"/>
    <cellStyle name="Note 4 2 2 44 3" xfId="22811"/>
    <cellStyle name="Note 4 2 2 44 4" xfId="30998"/>
    <cellStyle name="Note 4 2 2 44 5" xfId="35582"/>
    <cellStyle name="Note 4 2 2 44 6" xfId="44663"/>
    <cellStyle name="Note 4 2 2 44 7" xfId="51105"/>
    <cellStyle name="Note 4 2 2 45" xfId="5581"/>
    <cellStyle name="Note 4 2 2 45 2" xfId="13298"/>
    <cellStyle name="Note 4 2 2 45 3" xfId="22291"/>
    <cellStyle name="Note 4 2 2 45 4" xfId="30478"/>
    <cellStyle name="Note 4 2 2 45 5" xfId="28779"/>
    <cellStyle name="Note 4 2 2 45 6" xfId="44143"/>
    <cellStyle name="Note 4 2 2 45 7" xfId="47156"/>
    <cellStyle name="Note 4 2 2 46" xfId="6259"/>
    <cellStyle name="Note 4 2 2 46 2" xfId="13976"/>
    <cellStyle name="Note 4 2 2 46 3" xfId="22969"/>
    <cellStyle name="Note 4 2 2 46 4" xfId="31156"/>
    <cellStyle name="Note 4 2 2 46 5" xfId="28730"/>
    <cellStyle name="Note 4 2 2 46 6" xfId="44821"/>
    <cellStyle name="Note 4 2 2 46 7" xfId="49247"/>
    <cellStyle name="Note 4 2 2 47" xfId="6375"/>
    <cellStyle name="Note 4 2 2 47 2" xfId="14092"/>
    <cellStyle name="Note 4 2 2 47 3" xfId="23085"/>
    <cellStyle name="Note 4 2 2 47 4" xfId="31272"/>
    <cellStyle name="Note 4 2 2 47 5" xfId="35896"/>
    <cellStyle name="Note 4 2 2 47 6" xfId="44937"/>
    <cellStyle name="Note 4 2 2 47 7" xfId="52595"/>
    <cellStyle name="Note 4 2 2 48" xfId="6486"/>
    <cellStyle name="Note 4 2 2 48 2" xfId="14203"/>
    <cellStyle name="Note 4 2 2 48 3" xfId="23196"/>
    <cellStyle name="Note 4 2 2 48 4" xfId="31383"/>
    <cellStyle name="Note 4 2 2 48 5" xfId="28876"/>
    <cellStyle name="Note 4 2 2 48 6" xfId="45048"/>
    <cellStyle name="Note 4 2 2 48 7" xfId="46977"/>
    <cellStyle name="Note 4 2 2 49" xfId="6552"/>
    <cellStyle name="Note 4 2 2 49 2" xfId="14269"/>
    <cellStyle name="Note 4 2 2 49 3" xfId="23262"/>
    <cellStyle name="Note 4 2 2 49 4" xfId="31449"/>
    <cellStyle name="Note 4 2 2 49 5" xfId="35320"/>
    <cellStyle name="Note 4 2 2 49 6" xfId="45114"/>
    <cellStyle name="Note 4 2 2 49 7" xfId="47797"/>
    <cellStyle name="Note 4 2 2 5" xfId="1375"/>
    <cellStyle name="Note 4 2 2 5 2" xfId="9198"/>
    <cellStyle name="Note 4 2 2 5 3" xfId="16626"/>
    <cellStyle name="Note 4 2 2 5 4" xfId="25862"/>
    <cellStyle name="Note 4 2 2 5 5" xfId="34450"/>
    <cellStyle name="Note 4 2 2 5 6" xfId="39006"/>
    <cellStyle name="Note 4 2 2 5 7" xfId="52698"/>
    <cellStyle name="Note 4 2 2 50" xfId="6632"/>
    <cellStyle name="Note 4 2 2 50 2" xfId="14349"/>
    <cellStyle name="Note 4 2 2 50 3" xfId="23342"/>
    <cellStyle name="Note 4 2 2 50 4" xfId="31529"/>
    <cellStyle name="Note 4 2 2 50 5" xfId="35638"/>
    <cellStyle name="Note 4 2 2 50 6" xfId="45194"/>
    <cellStyle name="Note 4 2 2 50 7" xfId="50936"/>
    <cellStyle name="Note 4 2 2 51" xfId="6744"/>
    <cellStyle name="Note 4 2 2 51 2" xfId="14461"/>
    <cellStyle name="Note 4 2 2 51 3" xfId="23454"/>
    <cellStyle name="Note 4 2 2 51 4" xfId="31641"/>
    <cellStyle name="Note 4 2 2 51 5" xfId="34926"/>
    <cellStyle name="Note 4 2 2 51 6" xfId="45306"/>
    <cellStyle name="Note 4 2 2 51 7" xfId="49788"/>
    <cellStyle name="Note 4 2 2 52" xfId="6859"/>
    <cellStyle name="Note 4 2 2 52 2" xfId="14576"/>
    <cellStyle name="Note 4 2 2 52 3" xfId="23569"/>
    <cellStyle name="Note 4 2 2 52 4" xfId="31756"/>
    <cellStyle name="Note 4 2 2 52 5" xfId="34216"/>
    <cellStyle name="Note 4 2 2 52 6" xfId="45421"/>
    <cellStyle name="Note 4 2 2 52 7" xfId="54530"/>
    <cellStyle name="Note 4 2 2 53" xfId="6972"/>
    <cellStyle name="Note 4 2 2 53 2" xfId="14689"/>
    <cellStyle name="Note 4 2 2 53 3" xfId="23682"/>
    <cellStyle name="Note 4 2 2 53 4" xfId="31869"/>
    <cellStyle name="Note 4 2 2 53 5" xfId="34074"/>
    <cellStyle name="Note 4 2 2 53 6" xfId="45534"/>
    <cellStyle name="Note 4 2 2 53 7" xfId="46806"/>
    <cellStyle name="Note 4 2 2 54" xfId="7083"/>
    <cellStyle name="Note 4 2 2 54 2" xfId="14800"/>
    <cellStyle name="Note 4 2 2 54 3" xfId="23793"/>
    <cellStyle name="Note 4 2 2 54 4" xfId="31980"/>
    <cellStyle name="Note 4 2 2 54 5" xfId="35376"/>
    <cellStyle name="Note 4 2 2 54 6" xfId="45645"/>
    <cellStyle name="Note 4 2 2 54 7" xfId="47530"/>
    <cellStyle name="Note 4 2 2 55" xfId="7196"/>
    <cellStyle name="Note 4 2 2 55 2" xfId="14913"/>
    <cellStyle name="Note 4 2 2 55 3" xfId="23906"/>
    <cellStyle name="Note 4 2 2 55 4" xfId="32093"/>
    <cellStyle name="Note 4 2 2 55 5" xfId="35788"/>
    <cellStyle name="Note 4 2 2 55 6" xfId="45758"/>
    <cellStyle name="Note 4 2 2 55 7" xfId="51951"/>
    <cellStyle name="Note 4 2 2 56" xfId="7252"/>
    <cellStyle name="Note 4 2 2 56 2" xfId="14969"/>
    <cellStyle name="Note 4 2 2 56 3" xfId="23962"/>
    <cellStyle name="Note 4 2 2 56 4" xfId="32149"/>
    <cellStyle name="Note 4 2 2 56 5" xfId="27479"/>
    <cellStyle name="Note 4 2 2 56 6" xfId="45814"/>
    <cellStyle name="Note 4 2 2 56 7" xfId="54411"/>
    <cellStyle name="Note 4 2 2 57" xfId="7480"/>
    <cellStyle name="Note 4 2 2 57 2" xfId="15197"/>
    <cellStyle name="Note 4 2 2 57 3" xfId="24190"/>
    <cellStyle name="Note 4 2 2 57 4" xfId="32377"/>
    <cellStyle name="Note 4 2 2 57 5" xfId="35658"/>
    <cellStyle name="Note 4 2 2 57 6" xfId="46042"/>
    <cellStyle name="Note 4 2 2 57 7" xfId="52467"/>
    <cellStyle name="Note 4 2 2 58" xfId="7601"/>
    <cellStyle name="Note 4 2 2 58 2" xfId="15318"/>
    <cellStyle name="Note 4 2 2 58 3" xfId="24311"/>
    <cellStyle name="Note 4 2 2 58 4" xfId="32498"/>
    <cellStyle name="Note 4 2 2 58 5" xfId="27808"/>
    <cellStyle name="Note 4 2 2 58 6" xfId="46163"/>
    <cellStyle name="Note 4 2 2 58 7" xfId="50627"/>
    <cellStyle name="Note 4 2 2 59" xfId="7877"/>
    <cellStyle name="Note 4 2 2 59 2" xfId="15594"/>
    <cellStyle name="Note 4 2 2 59 3" xfId="24581"/>
    <cellStyle name="Note 4 2 2 59 4" xfId="32774"/>
    <cellStyle name="Note 4 2 2 59 5" xfId="35160"/>
    <cellStyle name="Note 4 2 2 59 6" xfId="46439"/>
    <cellStyle name="Note 4 2 2 59 7" xfId="52372"/>
    <cellStyle name="Note 4 2 2 6" xfId="1498"/>
    <cellStyle name="Note 4 2 2 6 2" xfId="9321"/>
    <cellStyle name="Note 4 2 2 6 3" xfId="16749"/>
    <cellStyle name="Note 4 2 2 6 4" xfId="25847"/>
    <cellStyle name="Note 4 2 2 6 5" xfId="34434"/>
    <cellStyle name="Note 4 2 2 6 6" xfId="41469"/>
    <cellStyle name="Note 4 2 2 6 7" xfId="52666"/>
    <cellStyle name="Note 4 2 2 60" xfId="7968"/>
    <cellStyle name="Note 4 2 2 60 2" xfId="15685"/>
    <cellStyle name="Note 4 2 2 60 3" xfId="24671"/>
    <cellStyle name="Note 4 2 2 60 4" xfId="32865"/>
    <cellStyle name="Note 4 2 2 60 5" xfId="36083"/>
    <cellStyle name="Note 4 2 2 60 6" xfId="46530"/>
    <cellStyle name="Note 4 2 2 60 7" xfId="53237"/>
    <cellStyle name="Note 4 2 2 61" xfId="7980"/>
    <cellStyle name="Note 4 2 2 61 2" xfId="15697"/>
    <cellStyle name="Note 4 2 2 61 3" xfId="24682"/>
    <cellStyle name="Note 4 2 2 61 4" xfId="32877"/>
    <cellStyle name="Note 4 2 2 61 5" xfId="35850"/>
    <cellStyle name="Note 4 2 2 61 6" xfId="46542"/>
    <cellStyle name="Note 4 2 2 61 7" xfId="47616"/>
    <cellStyle name="Note 4 2 2 62" xfId="8080"/>
    <cellStyle name="Note 4 2 2 62 2" xfId="15797"/>
    <cellStyle name="Note 4 2 2 62 3" xfId="24781"/>
    <cellStyle name="Note 4 2 2 62 4" xfId="32977"/>
    <cellStyle name="Note 4 2 2 62 5" xfId="35157"/>
    <cellStyle name="Note 4 2 2 62 6" xfId="46642"/>
    <cellStyle name="Note 4 2 2 62 7" xfId="48812"/>
    <cellStyle name="Note 4 2 2 63" xfId="8153"/>
    <cellStyle name="Note 4 2 2 63 2" xfId="15870"/>
    <cellStyle name="Note 4 2 2 63 3" xfId="33050"/>
    <cellStyle name="Note 4 2 2 63 4" xfId="27004"/>
    <cellStyle name="Note 4 2 2 63 5" xfId="46715"/>
    <cellStyle name="Note 4 2 2 63 6" xfId="47272"/>
    <cellStyle name="Note 4 2 2 64" xfId="20181"/>
    <cellStyle name="Note 4 2 2 65" xfId="28816"/>
    <cellStyle name="Note 4 2 2 66" xfId="36265"/>
    <cellStyle name="Note 4 2 2 67" xfId="47688"/>
    <cellStyle name="Note 4 2 2 7" xfId="1604"/>
    <cellStyle name="Note 4 2 2 7 2" xfId="9427"/>
    <cellStyle name="Note 4 2 2 7 3" xfId="16855"/>
    <cellStyle name="Note 4 2 2 7 4" xfId="20065"/>
    <cellStyle name="Note 4 2 2 7 5" xfId="28845"/>
    <cellStyle name="Note 4 2 2 7 6" xfId="38165"/>
    <cellStyle name="Note 4 2 2 7 7" xfId="47402"/>
    <cellStyle name="Note 4 2 2 8" xfId="1735"/>
    <cellStyle name="Note 4 2 2 8 2" xfId="9558"/>
    <cellStyle name="Note 4 2 2 8 3" xfId="16986"/>
    <cellStyle name="Note 4 2 2 8 4" xfId="24965"/>
    <cellStyle name="Note 4 2 2 8 5" xfId="33303"/>
    <cellStyle name="Note 4 2 2 8 6" xfId="41143"/>
    <cellStyle name="Note 4 2 2 8 7" xfId="50707"/>
    <cellStyle name="Note 4 2 2 9" xfId="1869"/>
    <cellStyle name="Note 4 2 2 9 2" xfId="9692"/>
    <cellStyle name="Note 4 2 2 9 3" xfId="17120"/>
    <cellStyle name="Note 4 2 2 9 4" xfId="25195"/>
    <cellStyle name="Note 4 2 2 9 5" xfId="33579"/>
    <cellStyle name="Note 4 2 2 9 6" xfId="40429"/>
    <cellStyle name="Note 4 2 2 9 7" xfId="51206"/>
    <cellStyle name="Note 4 2 20" xfId="2302"/>
    <cellStyle name="Note 4 2 20 2" xfId="10125"/>
    <cellStyle name="Note 4 2 20 3" xfId="17553"/>
    <cellStyle name="Note 4 2 20 4" xfId="19275"/>
    <cellStyle name="Note 4 2 20 5" xfId="28190"/>
    <cellStyle name="Note 4 2 20 6" xfId="37958"/>
    <cellStyle name="Note 4 2 20 7" xfId="49471"/>
    <cellStyle name="Note 4 2 21" xfId="2330"/>
    <cellStyle name="Note 4 2 21 2" xfId="10153"/>
    <cellStyle name="Note 4 2 21 3" xfId="17581"/>
    <cellStyle name="Note 4 2 21 4" xfId="26541"/>
    <cellStyle name="Note 4 2 21 5" xfId="35341"/>
    <cellStyle name="Note 4 2 21 6" xfId="40521"/>
    <cellStyle name="Note 4 2 21 7" xfId="54150"/>
    <cellStyle name="Note 4 2 22" xfId="2346"/>
    <cellStyle name="Note 4 2 22 2" xfId="10169"/>
    <cellStyle name="Note 4 2 22 3" xfId="17597"/>
    <cellStyle name="Note 4 2 22 4" xfId="25729"/>
    <cellStyle name="Note 4 2 22 5" xfId="34277"/>
    <cellStyle name="Note 4 2 22 6" xfId="38676"/>
    <cellStyle name="Note 4 2 22 7" xfId="52384"/>
    <cellStyle name="Note 4 2 23" xfId="1671"/>
    <cellStyle name="Note 4 2 23 2" xfId="9494"/>
    <cellStyle name="Note 4 2 23 3" xfId="16922"/>
    <cellStyle name="Note 4 2 23 4" xfId="19306"/>
    <cellStyle name="Note 4 2 23 5" xfId="27426"/>
    <cellStyle name="Note 4 2 23 6" xfId="38605"/>
    <cellStyle name="Note 4 2 23 7" xfId="49999"/>
    <cellStyle name="Note 4 2 24" xfId="975"/>
    <cellStyle name="Note 4 2 24 2" xfId="8799"/>
    <cellStyle name="Note 4 2 24 3" xfId="16227"/>
    <cellStyle name="Note 4 2 24 4" xfId="26148"/>
    <cellStyle name="Note 4 2 24 5" xfId="34814"/>
    <cellStyle name="Note 4 2 24 6" xfId="36995"/>
    <cellStyle name="Note 4 2 24 7" xfId="53314"/>
    <cellStyle name="Note 4 2 25" xfId="966"/>
    <cellStyle name="Note 4 2 25 2" xfId="8790"/>
    <cellStyle name="Note 4 2 25 3" xfId="16218"/>
    <cellStyle name="Note 4 2 25 4" xfId="19626"/>
    <cellStyle name="Note 4 2 25 5" xfId="28042"/>
    <cellStyle name="Note 4 2 25 6" xfId="38274"/>
    <cellStyle name="Note 4 2 25 7" xfId="48142"/>
    <cellStyle name="Note 4 2 26" xfId="3116"/>
    <cellStyle name="Note 4 2 26 2" xfId="10921"/>
    <cellStyle name="Note 4 2 26 3" xfId="18302"/>
    <cellStyle name="Note 4 2 26 4" xfId="20494"/>
    <cellStyle name="Note 4 2 26 5" xfId="27653"/>
    <cellStyle name="Note 4 2 26 6" xfId="41811"/>
    <cellStyle name="Note 4 2 26 7" xfId="48950"/>
    <cellStyle name="Note 4 2 27" xfId="3354"/>
    <cellStyle name="Note 4 2 27 2" xfId="11147"/>
    <cellStyle name="Note 4 2 27 3" xfId="18473"/>
    <cellStyle name="Note 4 2 27 4" xfId="19538"/>
    <cellStyle name="Note 4 2 27 5" xfId="28191"/>
    <cellStyle name="Note 4 2 27 6" xfId="41642"/>
    <cellStyle name="Note 4 2 27 7" xfId="48497"/>
    <cellStyle name="Note 4 2 28" xfId="3146"/>
    <cellStyle name="Note 4 2 28 2" xfId="10950"/>
    <cellStyle name="Note 4 2 28 3" xfId="18322"/>
    <cellStyle name="Note 4 2 28 4" xfId="19418"/>
    <cellStyle name="Note 4 2 28 5" xfId="27532"/>
    <cellStyle name="Note 4 2 28 6" xfId="40527"/>
    <cellStyle name="Note 4 2 28 7" xfId="48544"/>
    <cellStyle name="Note 4 2 29" xfId="3167"/>
    <cellStyle name="Note 4 2 29 2" xfId="10969"/>
    <cellStyle name="Note 4 2 29 3" xfId="18336"/>
    <cellStyle name="Note 4 2 29 4" xfId="25910"/>
    <cellStyle name="Note 4 2 29 5" xfId="34510"/>
    <cellStyle name="Note 4 2 29 6" xfId="38005"/>
    <cellStyle name="Note 4 2 29 7" xfId="52805"/>
    <cellStyle name="Note 4 2 3" xfId="502"/>
    <cellStyle name="Note 4 2 3 10" xfId="1949"/>
    <cellStyle name="Note 4 2 3 10 2" xfId="9772"/>
    <cellStyle name="Note 4 2 3 10 3" xfId="17200"/>
    <cellStyle name="Note 4 2 3 10 4" xfId="25549"/>
    <cellStyle name="Note 4 2 3 10 5" xfId="34042"/>
    <cellStyle name="Note 4 2 3 10 6" xfId="40634"/>
    <cellStyle name="Note 4 2 3 10 7" xfId="51976"/>
    <cellStyle name="Note 4 2 3 11" xfId="2067"/>
    <cellStyle name="Note 4 2 3 11 2" xfId="9890"/>
    <cellStyle name="Note 4 2 3 11 3" xfId="17318"/>
    <cellStyle name="Note 4 2 3 11 4" xfId="19722"/>
    <cellStyle name="Note 4 2 3 11 5" xfId="27657"/>
    <cellStyle name="Note 4 2 3 11 6" xfId="39435"/>
    <cellStyle name="Note 4 2 3 11 7" xfId="47654"/>
    <cellStyle name="Note 4 2 3 12" xfId="2180"/>
    <cellStyle name="Note 4 2 3 12 2" xfId="10003"/>
    <cellStyle name="Note 4 2 3 12 3" xfId="17431"/>
    <cellStyle name="Note 4 2 3 12 4" xfId="26498"/>
    <cellStyle name="Note 4 2 3 12 5" xfId="35291"/>
    <cellStyle name="Note 4 2 3 12 6" xfId="39231"/>
    <cellStyle name="Note 4 2 3 12 7" xfId="54075"/>
    <cellStyle name="Note 4 2 3 13" xfId="1196"/>
    <cellStyle name="Note 4 2 3 13 2" xfId="9019"/>
    <cellStyle name="Note 4 2 3 13 3" xfId="16447"/>
    <cellStyle name="Note 4 2 3 13 4" xfId="25707"/>
    <cellStyle name="Note 4 2 3 13 5" xfId="34247"/>
    <cellStyle name="Note 4 2 3 13 6" xfId="41760"/>
    <cellStyle name="Note 4 2 3 13 7" xfId="52324"/>
    <cellStyle name="Note 4 2 3 14" xfId="2365"/>
    <cellStyle name="Note 4 2 3 14 2" xfId="10188"/>
    <cellStyle name="Note 4 2 3 14 3" xfId="17616"/>
    <cellStyle name="Note 4 2 3 14 4" xfId="19812"/>
    <cellStyle name="Note 4 2 3 14 5" xfId="26802"/>
    <cellStyle name="Note 4 2 3 14 6" xfId="37360"/>
    <cellStyle name="Note 4 2 3 14 7" xfId="50327"/>
    <cellStyle name="Note 4 2 3 15" xfId="2478"/>
    <cellStyle name="Note 4 2 3 15 2" xfId="10301"/>
    <cellStyle name="Note 4 2 3 15 3" xfId="17729"/>
    <cellStyle name="Note 4 2 3 15 4" xfId="19710"/>
    <cellStyle name="Note 4 2 3 15 5" xfId="27979"/>
    <cellStyle name="Note 4 2 3 15 6" xfId="38710"/>
    <cellStyle name="Note 4 2 3 15 7" xfId="48066"/>
    <cellStyle name="Note 4 2 3 16" xfId="2591"/>
    <cellStyle name="Note 4 2 3 16 2" xfId="10414"/>
    <cellStyle name="Note 4 2 3 16 3" xfId="17842"/>
    <cellStyle name="Note 4 2 3 16 4" xfId="20369"/>
    <cellStyle name="Note 4 2 3 16 5" xfId="26894"/>
    <cellStyle name="Note 4 2 3 16 6" xfId="39681"/>
    <cellStyle name="Note 4 2 3 16 7" xfId="49713"/>
    <cellStyle name="Note 4 2 3 17" xfId="2686"/>
    <cellStyle name="Note 4 2 3 17 2" xfId="10509"/>
    <cellStyle name="Note 4 2 3 17 3" xfId="17937"/>
    <cellStyle name="Note 4 2 3 17 4" xfId="26613"/>
    <cellStyle name="Note 4 2 3 17 5" xfId="35441"/>
    <cellStyle name="Note 4 2 3 17 6" xfId="41084"/>
    <cellStyle name="Note 4 2 3 17 7" xfId="54312"/>
    <cellStyle name="Note 4 2 3 18" xfId="2443"/>
    <cellStyle name="Note 4 2 3 18 2" xfId="10266"/>
    <cellStyle name="Note 4 2 3 18 3" xfId="17694"/>
    <cellStyle name="Note 4 2 3 18 4" xfId="20425"/>
    <cellStyle name="Note 4 2 3 18 5" xfId="27372"/>
    <cellStyle name="Note 4 2 3 18 6" xfId="36913"/>
    <cellStyle name="Note 4 2 3 18 7" xfId="49037"/>
    <cellStyle name="Note 4 2 3 19" xfId="2785"/>
    <cellStyle name="Note 4 2 3 19 2" xfId="10608"/>
    <cellStyle name="Note 4 2 3 19 3" xfId="18036"/>
    <cellStyle name="Note 4 2 3 19 4" xfId="25406"/>
    <cellStyle name="Note 4 2 3 19 5" xfId="33861"/>
    <cellStyle name="Note 4 2 3 19 6" xfId="36490"/>
    <cellStyle name="Note 4 2 3 19 7" xfId="51659"/>
    <cellStyle name="Note 4 2 3 2" xfId="653"/>
    <cellStyle name="Note 4 2 3 2 2" xfId="8477"/>
    <cellStyle name="Note 4 2 3 2 3" xfId="8281"/>
    <cellStyle name="Note 4 2 3 2 4" xfId="25743"/>
    <cellStyle name="Note 4 2 3 2 5" xfId="34294"/>
    <cellStyle name="Note 4 2 3 2 6" xfId="36575"/>
    <cellStyle name="Note 4 2 3 2 7" xfId="52420"/>
    <cellStyle name="Note 4 2 3 20" xfId="2892"/>
    <cellStyle name="Note 4 2 3 20 2" xfId="10715"/>
    <cellStyle name="Note 4 2 3 20 3" xfId="18143"/>
    <cellStyle name="Note 4 2 3 20 4" xfId="19627"/>
    <cellStyle name="Note 4 2 3 20 5" xfId="27626"/>
    <cellStyle name="Note 4 2 3 20 6" xfId="38291"/>
    <cellStyle name="Note 4 2 3 20 7" xfId="49322"/>
    <cellStyle name="Note 4 2 3 21" xfId="3268"/>
    <cellStyle name="Note 4 2 3 21 2" xfId="11061"/>
    <cellStyle name="Note 4 2 3 21 3" xfId="18390"/>
    <cellStyle name="Note 4 2 3 21 4" xfId="20562"/>
    <cellStyle name="Note 4 2 3 21 5" xfId="27861"/>
    <cellStyle name="Note 4 2 3 21 6" xfId="38545"/>
    <cellStyle name="Note 4 2 3 21 7" xfId="48893"/>
    <cellStyle name="Note 4 2 3 22" xfId="3388"/>
    <cellStyle name="Note 4 2 3 22 2" xfId="11179"/>
    <cellStyle name="Note 4 2 3 22 3" xfId="18501"/>
    <cellStyle name="Note 4 2 3 22 4" xfId="25226"/>
    <cellStyle name="Note 4 2 3 22 5" xfId="33626"/>
    <cellStyle name="Note 4 2 3 22 6" xfId="38198"/>
    <cellStyle name="Note 4 2 3 22 7" xfId="51275"/>
    <cellStyle name="Note 4 2 3 23" xfId="3522"/>
    <cellStyle name="Note 4 2 3 23 2" xfId="11313"/>
    <cellStyle name="Note 4 2 3 23 3" xfId="18610"/>
    <cellStyle name="Note 4 2 3 23 4" xfId="25876"/>
    <cellStyle name="Note 4 2 3 23 5" xfId="34466"/>
    <cellStyle name="Note 4 2 3 23 6" xfId="40850"/>
    <cellStyle name="Note 4 2 3 23 7" xfId="52727"/>
    <cellStyle name="Note 4 2 3 24" xfId="3006"/>
    <cellStyle name="Note 4 2 3 24 2" xfId="10825"/>
    <cellStyle name="Note 4 2 3 24 3" xfId="18248"/>
    <cellStyle name="Note 4 2 3 24 4" xfId="25889"/>
    <cellStyle name="Note 4 2 3 24 5" xfId="34484"/>
    <cellStyle name="Note 4 2 3 24 6" xfId="40110"/>
    <cellStyle name="Note 4 2 3 24 7" xfId="52763"/>
    <cellStyle name="Note 4 2 3 25" xfId="3658"/>
    <cellStyle name="Note 4 2 3 25 2" xfId="11443"/>
    <cellStyle name="Note 4 2 3 25 3" xfId="18716"/>
    <cellStyle name="Note 4 2 3 25 4" xfId="26282"/>
    <cellStyle name="Note 4 2 3 25 5" xfId="34988"/>
    <cellStyle name="Note 4 2 3 25 6" xfId="40551"/>
    <cellStyle name="Note 4 2 3 25 7" xfId="53606"/>
    <cellStyle name="Note 4 2 3 26" xfId="3789"/>
    <cellStyle name="Note 4 2 3 26 2" xfId="11571"/>
    <cellStyle name="Note 4 2 3 26 3" xfId="18828"/>
    <cellStyle name="Note 4 2 3 26 4" xfId="19048"/>
    <cellStyle name="Note 4 2 3 26 5" xfId="26825"/>
    <cellStyle name="Note 4 2 3 26 6" xfId="40285"/>
    <cellStyle name="Note 4 2 3 26 7" xfId="49206"/>
    <cellStyle name="Note 4 2 3 27" xfId="3906"/>
    <cellStyle name="Note 4 2 3 27 2" xfId="11686"/>
    <cellStyle name="Note 4 2 3 27 3" xfId="18937"/>
    <cellStyle name="Note 4 2 3 27 4" xfId="19525"/>
    <cellStyle name="Note 4 2 3 27 5" xfId="28149"/>
    <cellStyle name="Note 4 2 3 27 6" xfId="38559"/>
    <cellStyle name="Note 4 2 3 27 7" xfId="47513"/>
    <cellStyle name="Note 4 2 3 28" xfId="3998"/>
    <cellStyle name="Note 4 2 3 28 2" xfId="11777"/>
    <cellStyle name="Note 4 2 3 28 3" xfId="20708"/>
    <cellStyle name="Note 4 2 3 28 4" xfId="28895"/>
    <cellStyle name="Note 4 2 3 28 5" xfId="34379"/>
    <cellStyle name="Note 4 2 3 28 6" xfId="42560"/>
    <cellStyle name="Note 4 2 3 28 7" xfId="50151"/>
    <cellStyle name="Note 4 2 3 29" xfId="4103"/>
    <cellStyle name="Note 4 2 3 29 2" xfId="11863"/>
    <cellStyle name="Note 4 2 3 29 3" xfId="20813"/>
    <cellStyle name="Note 4 2 3 29 4" xfId="29000"/>
    <cellStyle name="Note 4 2 3 29 5" xfId="36133"/>
    <cellStyle name="Note 4 2 3 29 6" xfId="42665"/>
    <cellStyle name="Note 4 2 3 29 7" xfId="54039"/>
    <cellStyle name="Note 4 2 3 3" xfId="760"/>
    <cellStyle name="Note 4 2 3 3 2" xfId="8584"/>
    <cellStyle name="Note 4 2 3 3 3" xfId="16012"/>
    <cellStyle name="Note 4 2 3 3 4" xfId="26239"/>
    <cellStyle name="Note 4 2 3 3 5" xfId="34929"/>
    <cellStyle name="Note 4 2 3 3 6" xfId="37270"/>
    <cellStyle name="Note 4 2 3 3 7" xfId="53511"/>
    <cellStyle name="Note 4 2 3 30" xfId="3235"/>
    <cellStyle name="Note 4 2 3 30 2" xfId="20355"/>
    <cellStyle name="Note 4 2 3 30 3" xfId="28444"/>
    <cellStyle name="Note 4 2 3 30 4" xfId="35771"/>
    <cellStyle name="Note 4 2 3 30 5" xfId="42459"/>
    <cellStyle name="Note 4 2 3 30 6" xfId="52353"/>
    <cellStyle name="Note 4 2 3 31" xfId="4300"/>
    <cellStyle name="Note 4 2 3 31 2" xfId="12017"/>
    <cellStyle name="Note 4 2 3 31 3" xfId="21010"/>
    <cellStyle name="Note 4 2 3 31 4" xfId="29197"/>
    <cellStyle name="Note 4 2 3 31 5" xfId="35381"/>
    <cellStyle name="Note 4 2 3 31 6" xfId="42862"/>
    <cellStyle name="Note 4 2 3 31 7" xfId="48991"/>
    <cellStyle name="Note 4 2 3 32" xfId="4423"/>
    <cellStyle name="Note 4 2 3 32 2" xfId="12140"/>
    <cellStyle name="Note 4 2 3 32 3" xfId="21133"/>
    <cellStyle name="Note 4 2 3 32 4" xfId="29320"/>
    <cellStyle name="Note 4 2 3 32 5" xfId="28722"/>
    <cellStyle name="Note 4 2 3 32 6" xfId="42985"/>
    <cellStyle name="Note 4 2 3 32 7" xfId="48096"/>
    <cellStyle name="Note 4 2 3 33" xfId="4537"/>
    <cellStyle name="Note 4 2 3 33 2" xfId="12254"/>
    <cellStyle name="Note 4 2 3 33 3" xfId="21247"/>
    <cellStyle name="Note 4 2 3 33 4" xfId="29434"/>
    <cellStyle name="Note 4 2 3 33 5" xfId="35843"/>
    <cellStyle name="Note 4 2 3 33 6" xfId="43099"/>
    <cellStyle name="Note 4 2 3 33 7" xfId="52617"/>
    <cellStyle name="Note 4 2 3 34" xfId="4650"/>
    <cellStyle name="Note 4 2 3 34 2" xfId="12367"/>
    <cellStyle name="Note 4 2 3 34 3" xfId="21360"/>
    <cellStyle name="Note 4 2 3 34 4" xfId="29547"/>
    <cellStyle name="Note 4 2 3 34 5" xfId="35738"/>
    <cellStyle name="Note 4 2 3 34 6" xfId="43212"/>
    <cellStyle name="Note 4 2 3 34 7" xfId="52171"/>
    <cellStyle name="Note 4 2 3 35" xfId="4762"/>
    <cellStyle name="Note 4 2 3 35 2" xfId="12479"/>
    <cellStyle name="Note 4 2 3 35 3" xfId="21472"/>
    <cellStyle name="Note 4 2 3 35 4" xfId="29659"/>
    <cellStyle name="Note 4 2 3 35 5" xfId="27650"/>
    <cellStyle name="Note 4 2 3 35 6" xfId="43324"/>
    <cellStyle name="Note 4 2 3 35 7" xfId="50583"/>
    <cellStyle name="Note 4 2 3 36" xfId="4870"/>
    <cellStyle name="Note 4 2 3 36 2" xfId="12587"/>
    <cellStyle name="Note 4 2 3 36 3" xfId="21580"/>
    <cellStyle name="Note 4 2 3 36 4" xfId="29767"/>
    <cellStyle name="Note 4 2 3 36 5" xfId="35725"/>
    <cellStyle name="Note 4 2 3 36 6" xfId="43432"/>
    <cellStyle name="Note 4 2 3 36 7" xfId="52102"/>
    <cellStyle name="Note 4 2 3 37" xfId="4982"/>
    <cellStyle name="Note 4 2 3 37 2" xfId="12699"/>
    <cellStyle name="Note 4 2 3 37 3" xfId="21692"/>
    <cellStyle name="Note 4 2 3 37 4" xfId="29879"/>
    <cellStyle name="Note 4 2 3 37 5" xfId="34127"/>
    <cellStyle name="Note 4 2 3 37 6" xfId="43544"/>
    <cellStyle name="Note 4 2 3 37 7" xfId="49474"/>
    <cellStyle name="Note 4 2 3 38" xfId="5131"/>
    <cellStyle name="Note 4 2 3 38 2" xfId="12848"/>
    <cellStyle name="Note 4 2 3 38 3" xfId="21841"/>
    <cellStyle name="Note 4 2 3 38 4" xfId="30028"/>
    <cellStyle name="Note 4 2 3 38 5" xfId="27713"/>
    <cellStyle name="Note 4 2 3 38 6" xfId="43693"/>
    <cellStyle name="Note 4 2 3 38 7" xfId="50620"/>
    <cellStyle name="Note 4 2 3 39" xfId="5480"/>
    <cellStyle name="Note 4 2 3 39 2" xfId="13197"/>
    <cellStyle name="Note 4 2 3 39 3" xfId="22190"/>
    <cellStyle name="Note 4 2 3 39 4" xfId="30377"/>
    <cellStyle name="Note 4 2 3 39 5" xfId="28391"/>
    <cellStyle name="Note 4 2 3 39 6" xfId="44042"/>
    <cellStyle name="Note 4 2 3 39 7" xfId="50692"/>
    <cellStyle name="Note 4 2 3 4" xfId="872"/>
    <cellStyle name="Note 4 2 3 4 2" xfId="8696"/>
    <cellStyle name="Note 4 2 3 4 3" xfId="16124"/>
    <cellStyle name="Note 4 2 3 4 4" xfId="19332"/>
    <cellStyle name="Note 4 2 3 4 5" xfId="27902"/>
    <cellStyle name="Note 4 2 3 4 6" xfId="37330"/>
    <cellStyle name="Note 4 2 3 4 7" xfId="47260"/>
    <cellStyle name="Note 4 2 3 40" xfId="5605"/>
    <cellStyle name="Note 4 2 3 40 2" xfId="13322"/>
    <cellStyle name="Note 4 2 3 40 3" xfId="22315"/>
    <cellStyle name="Note 4 2 3 40 4" xfId="30502"/>
    <cellStyle name="Note 4 2 3 40 5" xfId="28348"/>
    <cellStyle name="Note 4 2 3 40 6" xfId="44167"/>
    <cellStyle name="Note 4 2 3 40 7" xfId="47131"/>
    <cellStyle name="Note 4 2 3 41" xfId="5720"/>
    <cellStyle name="Note 4 2 3 41 2" xfId="13437"/>
    <cellStyle name="Note 4 2 3 41 3" xfId="22430"/>
    <cellStyle name="Note 4 2 3 41 4" xfId="30617"/>
    <cellStyle name="Note 4 2 3 41 5" xfId="27691"/>
    <cellStyle name="Note 4 2 3 41 6" xfId="44282"/>
    <cellStyle name="Note 4 2 3 41 7" xfId="46900"/>
    <cellStyle name="Note 4 2 3 42" xfId="5837"/>
    <cellStyle name="Note 4 2 3 42 2" xfId="13554"/>
    <cellStyle name="Note 4 2 3 42 3" xfId="22547"/>
    <cellStyle name="Note 4 2 3 42 4" xfId="30734"/>
    <cellStyle name="Note 4 2 3 42 5" xfId="28868"/>
    <cellStyle name="Note 4 2 3 42 6" xfId="44399"/>
    <cellStyle name="Note 4 2 3 42 7" xfId="48924"/>
    <cellStyle name="Note 4 2 3 43" xfId="5965"/>
    <cellStyle name="Note 4 2 3 43 2" xfId="13682"/>
    <cellStyle name="Note 4 2 3 43 3" xfId="22675"/>
    <cellStyle name="Note 4 2 3 43 4" xfId="30862"/>
    <cellStyle name="Note 4 2 3 43 5" xfId="28208"/>
    <cellStyle name="Note 4 2 3 43 6" xfId="44527"/>
    <cellStyle name="Note 4 2 3 43 7" xfId="50802"/>
    <cellStyle name="Note 4 2 3 44" xfId="6077"/>
    <cellStyle name="Note 4 2 3 44 2" xfId="13794"/>
    <cellStyle name="Note 4 2 3 44 3" xfId="22787"/>
    <cellStyle name="Note 4 2 3 44 4" xfId="30974"/>
    <cellStyle name="Note 4 2 3 44 5" xfId="36165"/>
    <cellStyle name="Note 4 2 3 44 6" xfId="44639"/>
    <cellStyle name="Note 4 2 3 44 7" xfId="53744"/>
    <cellStyle name="Note 4 2 3 45" xfId="5809"/>
    <cellStyle name="Note 4 2 3 45 2" xfId="13526"/>
    <cellStyle name="Note 4 2 3 45 3" xfId="22519"/>
    <cellStyle name="Note 4 2 3 45 4" xfId="30706"/>
    <cellStyle name="Note 4 2 3 45 5" xfId="35876"/>
    <cellStyle name="Note 4 2 3 45 6" xfId="44371"/>
    <cellStyle name="Note 4 2 3 45 7" xfId="52476"/>
    <cellStyle name="Note 4 2 3 46" xfId="6221"/>
    <cellStyle name="Note 4 2 3 46 2" xfId="13938"/>
    <cellStyle name="Note 4 2 3 46 3" xfId="22931"/>
    <cellStyle name="Note 4 2 3 46 4" xfId="31118"/>
    <cellStyle name="Note 4 2 3 46 5" xfId="36055"/>
    <cellStyle name="Note 4 2 3 46 6" xfId="44783"/>
    <cellStyle name="Note 4 2 3 46 7" xfId="53244"/>
    <cellStyle name="Note 4 2 3 47" xfId="6338"/>
    <cellStyle name="Note 4 2 3 47 2" xfId="14055"/>
    <cellStyle name="Note 4 2 3 47 3" xfId="23048"/>
    <cellStyle name="Note 4 2 3 47 4" xfId="31235"/>
    <cellStyle name="Note 4 2 3 47 5" xfId="27907"/>
    <cellStyle name="Note 4 2 3 47 6" xfId="44900"/>
    <cellStyle name="Note 4 2 3 47 7" xfId="50059"/>
    <cellStyle name="Note 4 2 3 48" xfId="6448"/>
    <cellStyle name="Note 4 2 3 48 2" xfId="14165"/>
    <cellStyle name="Note 4 2 3 48 3" xfId="23158"/>
    <cellStyle name="Note 4 2 3 48 4" xfId="31345"/>
    <cellStyle name="Note 4 2 3 48 5" xfId="35601"/>
    <cellStyle name="Note 4 2 3 48 6" xfId="45010"/>
    <cellStyle name="Note 4 2 3 48 7" xfId="51181"/>
    <cellStyle name="Note 4 2 3 49" xfId="6187"/>
    <cellStyle name="Note 4 2 3 49 2" xfId="13904"/>
    <cellStyle name="Note 4 2 3 49 3" xfId="22897"/>
    <cellStyle name="Note 4 2 3 49 4" xfId="31084"/>
    <cellStyle name="Note 4 2 3 49 5" xfId="35383"/>
    <cellStyle name="Note 4 2 3 49 6" xfId="44749"/>
    <cellStyle name="Note 4 2 3 49 7" xfId="48993"/>
    <cellStyle name="Note 4 2 3 5" xfId="1337"/>
    <cellStyle name="Note 4 2 3 5 2" xfId="9160"/>
    <cellStyle name="Note 4 2 3 5 3" xfId="16588"/>
    <cellStyle name="Note 4 2 3 5 4" xfId="20001"/>
    <cellStyle name="Note 4 2 3 5 5" xfId="28611"/>
    <cellStyle name="Note 4 2 3 5 6" xfId="41682"/>
    <cellStyle name="Note 4 2 3 5 7" xfId="50322"/>
    <cellStyle name="Note 4 2 3 50" xfId="6595"/>
    <cellStyle name="Note 4 2 3 50 2" xfId="14312"/>
    <cellStyle name="Note 4 2 3 50 3" xfId="23305"/>
    <cellStyle name="Note 4 2 3 50 4" xfId="31492"/>
    <cellStyle name="Note 4 2 3 50 5" xfId="35707"/>
    <cellStyle name="Note 4 2 3 50 6" xfId="45157"/>
    <cellStyle name="Note 4 2 3 50 7" xfId="51431"/>
    <cellStyle name="Note 4 2 3 51" xfId="6706"/>
    <cellStyle name="Note 4 2 3 51 2" xfId="14423"/>
    <cellStyle name="Note 4 2 3 51 3" xfId="23416"/>
    <cellStyle name="Note 4 2 3 51 4" xfId="31603"/>
    <cellStyle name="Note 4 2 3 51 5" xfId="33612"/>
    <cellStyle name="Note 4 2 3 51 6" xfId="45268"/>
    <cellStyle name="Note 4 2 3 51 7" xfId="47860"/>
    <cellStyle name="Note 4 2 3 52" xfId="6821"/>
    <cellStyle name="Note 4 2 3 52 2" xfId="14538"/>
    <cellStyle name="Note 4 2 3 52 3" xfId="23531"/>
    <cellStyle name="Note 4 2 3 52 4" xfId="31718"/>
    <cellStyle name="Note 4 2 3 52 5" xfId="34782"/>
    <cellStyle name="Note 4 2 3 52 6" xfId="45383"/>
    <cellStyle name="Note 4 2 3 52 7" xfId="49534"/>
    <cellStyle name="Note 4 2 3 53" xfId="6934"/>
    <cellStyle name="Note 4 2 3 53 2" xfId="14651"/>
    <cellStyle name="Note 4 2 3 53 3" xfId="23644"/>
    <cellStyle name="Note 4 2 3 53 4" xfId="31831"/>
    <cellStyle name="Note 4 2 3 53 5" xfId="27531"/>
    <cellStyle name="Note 4 2 3 53 6" xfId="45496"/>
    <cellStyle name="Note 4 2 3 53 7" xfId="46935"/>
    <cellStyle name="Note 4 2 3 54" xfId="7046"/>
    <cellStyle name="Note 4 2 3 54 2" xfId="14763"/>
    <cellStyle name="Note 4 2 3 54 3" xfId="23756"/>
    <cellStyle name="Note 4 2 3 54 4" xfId="31943"/>
    <cellStyle name="Note 4 2 3 54 5" xfId="35486"/>
    <cellStyle name="Note 4 2 3 54 6" xfId="45608"/>
    <cellStyle name="Note 4 2 3 54 7" xfId="48541"/>
    <cellStyle name="Note 4 2 3 55" xfId="7310"/>
    <cellStyle name="Note 4 2 3 55 2" xfId="15027"/>
    <cellStyle name="Note 4 2 3 55 3" xfId="24020"/>
    <cellStyle name="Note 4 2 3 55 4" xfId="32207"/>
    <cellStyle name="Note 4 2 3 55 5" xfId="34358"/>
    <cellStyle name="Note 4 2 3 55 6" xfId="45872"/>
    <cellStyle name="Note 4 2 3 55 7" xfId="52539"/>
    <cellStyle name="Note 4 2 3 56" xfId="7146"/>
    <cellStyle name="Note 4 2 3 56 2" xfId="14863"/>
    <cellStyle name="Note 4 2 3 56 3" xfId="23856"/>
    <cellStyle name="Note 4 2 3 56 4" xfId="32043"/>
    <cellStyle name="Note 4 2 3 56 5" xfId="28203"/>
    <cellStyle name="Note 4 2 3 56 6" xfId="45708"/>
    <cellStyle name="Note 4 2 3 56 7" xfId="50288"/>
    <cellStyle name="Note 4 2 3 57" xfId="7443"/>
    <cellStyle name="Note 4 2 3 57 2" xfId="15160"/>
    <cellStyle name="Note 4 2 3 57 3" xfId="24153"/>
    <cellStyle name="Note 4 2 3 57 4" xfId="32340"/>
    <cellStyle name="Note 4 2 3 57 5" xfId="27435"/>
    <cellStyle name="Note 4 2 3 57 6" xfId="46005"/>
    <cellStyle name="Note 4 2 3 57 7" xfId="48867"/>
    <cellStyle name="Note 4 2 3 58" xfId="7564"/>
    <cellStyle name="Note 4 2 3 58 2" xfId="15281"/>
    <cellStyle name="Note 4 2 3 58 3" xfId="24274"/>
    <cellStyle name="Note 4 2 3 58 4" xfId="32461"/>
    <cellStyle name="Note 4 2 3 58 5" xfId="27744"/>
    <cellStyle name="Note 4 2 3 58 6" xfId="46126"/>
    <cellStyle name="Note 4 2 3 58 7" xfId="47516"/>
    <cellStyle name="Note 4 2 3 59" xfId="7840"/>
    <cellStyle name="Note 4 2 3 59 2" xfId="15557"/>
    <cellStyle name="Note 4 2 3 59 3" xfId="24544"/>
    <cellStyle name="Note 4 2 3 59 4" xfId="32737"/>
    <cellStyle name="Note 4 2 3 59 5" xfId="35863"/>
    <cellStyle name="Note 4 2 3 59 6" xfId="46402"/>
    <cellStyle name="Note 4 2 3 59 7" xfId="47668"/>
    <cellStyle name="Note 4 2 3 6" xfId="1460"/>
    <cellStyle name="Note 4 2 3 6 2" xfId="9283"/>
    <cellStyle name="Note 4 2 3 6 3" xfId="16711"/>
    <cellStyle name="Note 4 2 3 6 4" xfId="19072"/>
    <cellStyle name="Note 4 2 3 6 5" xfId="28702"/>
    <cellStyle name="Note 4 2 3 6 6" xfId="37821"/>
    <cellStyle name="Note 4 2 3 6 7" xfId="49929"/>
    <cellStyle name="Note 4 2 3 60" xfId="7933"/>
    <cellStyle name="Note 4 2 3 60 2" xfId="15650"/>
    <cellStyle name="Note 4 2 3 60 3" xfId="24637"/>
    <cellStyle name="Note 4 2 3 60 4" xfId="32830"/>
    <cellStyle name="Note 4 2 3 60 5" xfId="33790"/>
    <cellStyle name="Note 4 2 3 60 6" xfId="46495"/>
    <cellStyle name="Note 4 2 3 60 7" xfId="49452"/>
    <cellStyle name="Note 4 2 3 61" xfId="7940"/>
    <cellStyle name="Note 4 2 3 61 2" xfId="15657"/>
    <cellStyle name="Note 4 2 3 61 3" xfId="24643"/>
    <cellStyle name="Note 4 2 3 61 4" xfId="32837"/>
    <cellStyle name="Note 4 2 3 61 5" xfId="28711"/>
    <cellStyle name="Note 4 2 3 61 6" xfId="46502"/>
    <cellStyle name="Note 4 2 3 61 7" xfId="48877"/>
    <cellStyle name="Note 4 2 3 62" xfId="8070"/>
    <cellStyle name="Note 4 2 3 62 2" xfId="15787"/>
    <cellStyle name="Note 4 2 3 62 3" xfId="24772"/>
    <cellStyle name="Note 4 2 3 62 4" xfId="32967"/>
    <cellStyle name="Note 4 2 3 62 5" xfId="35255"/>
    <cellStyle name="Note 4 2 3 62 6" xfId="46632"/>
    <cellStyle name="Note 4 2 3 62 7" xfId="49852"/>
    <cellStyle name="Note 4 2 3 63" xfId="8116"/>
    <cellStyle name="Note 4 2 3 63 2" xfId="15833"/>
    <cellStyle name="Note 4 2 3 63 3" xfId="33013"/>
    <cellStyle name="Note 4 2 3 63 4" xfId="35915"/>
    <cellStyle name="Note 4 2 3 63 5" xfId="46678"/>
    <cellStyle name="Note 4 2 3 63 6" xfId="51596"/>
    <cellStyle name="Note 4 2 3 64" xfId="25590"/>
    <cellStyle name="Note 4 2 3 65" xfId="34099"/>
    <cellStyle name="Note 4 2 3 66" xfId="36478"/>
    <cellStyle name="Note 4 2 3 67" xfId="52075"/>
    <cellStyle name="Note 4 2 3 7" xfId="1565"/>
    <cellStyle name="Note 4 2 3 7 2" xfId="9388"/>
    <cellStyle name="Note 4 2 3 7 3" xfId="16816"/>
    <cellStyle name="Note 4 2 3 7 4" xfId="26381"/>
    <cellStyle name="Note 4 2 3 7 5" xfId="35125"/>
    <cellStyle name="Note 4 2 3 7 6" xfId="42066"/>
    <cellStyle name="Note 4 2 3 7 7" xfId="53810"/>
    <cellStyle name="Note 4 2 3 8" xfId="1697"/>
    <cellStyle name="Note 4 2 3 8 2" xfId="9520"/>
    <cellStyle name="Note 4 2 3 8 3" xfId="16948"/>
    <cellStyle name="Note 4 2 3 8 4" xfId="19291"/>
    <cellStyle name="Note 4 2 3 8 5" xfId="28668"/>
    <cellStyle name="Note 4 2 3 8 6" xfId="36991"/>
    <cellStyle name="Note 4 2 3 8 7" xfId="48426"/>
    <cellStyle name="Note 4 2 3 9" xfId="1831"/>
    <cellStyle name="Note 4 2 3 9 2" xfId="9654"/>
    <cellStyle name="Note 4 2 3 9 3" xfId="17082"/>
    <cellStyle name="Note 4 2 3 9 4" xfId="20496"/>
    <cellStyle name="Note 4 2 3 9 5" xfId="28113"/>
    <cellStyle name="Note 4 2 3 9 6" xfId="38038"/>
    <cellStyle name="Note 4 2 3 9 7" xfId="49036"/>
    <cellStyle name="Note 4 2 30" xfId="2980"/>
    <cellStyle name="Note 4 2 30 2" xfId="10802"/>
    <cellStyle name="Note 4 2 30 3" xfId="18229"/>
    <cellStyle name="Note 4 2 30 4" xfId="19430"/>
    <cellStyle name="Note 4 2 30 5" xfId="28600"/>
    <cellStyle name="Note 4 2 30 6" xfId="37052"/>
    <cellStyle name="Note 4 2 30 7" xfId="49607"/>
    <cellStyle name="Note 4 2 31" xfId="3189"/>
    <cellStyle name="Note 4 2 31 2" xfId="10990"/>
    <cellStyle name="Note 4 2 31 3" xfId="18344"/>
    <cellStyle name="Note 4 2 31 4" xfId="24877"/>
    <cellStyle name="Note 4 2 31 5" xfId="33191"/>
    <cellStyle name="Note 4 2 31 6" xfId="40865"/>
    <cellStyle name="Note 4 2 31 7" xfId="50515"/>
    <cellStyle name="Note 4 2 32" xfId="3067"/>
    <cellStyle name="Note 4 2 32 2" xfId="10876"/>
    <cellStyle name="Note 4 2 32 3" xfId="18271"/>
    <cellStyle name="Note 4 2 32 4" xfId="26444"/>
    <cellStyle name="Note 4 2 32 5" xfId="35217"/>
    <cellStyle name="Note 4 2 32 6" xfId="40283"/>
    <cellStyle name="Note 4 2 32 7" xfId="53946"/>
    <cellStyle name="Note 4 2 33" xfId="3050"/>
    <cellStyle name="Note 4 2 33 2" xfId="10862"/>
    <cellStyle name="Note 4 2 33 3" xfId="20216"/>
    <cellStyle name="Note 4 2 33 4" xfId="28308"/>
    <cellStyle name="Note 4 2 33 5" xfId="34863"/>
    <cellStyle name="Note 4 2 33 6" xfId="42373"/>
    <cellStyle name="Note 4 2 33 7" xfId="49951"/>
    <cellStyle name="Note 4 2 34" xfId="2997"/>
    <cellStyle name="Note 4 2 34 2" xfId="10816"/>
    <cellStyle name="Note 4 2 34 3" xfId="20179"/>
    <cellStyle name="Note 4 2 34 4" xfId="28265"/>
    <cellStyle name="Note 4 2 34 5" xfId="36052"/>
    <cellStyle name="Note 4 2 34 6" xfId="42346"/>
    <cellStyle name="Note 4 2 34 7" xfId="53670"/>
    <cellStyle name="Note 4 2 35" xfId="4222"/>
    <cellStyle name="Note 4 2 35 2" xfId="20932"/>
    <cellStyle name="Note 4 2 35 3" xfId="29119"/>
    <cellStyle name="Note 4 2 35 4" xfId="35401"/>
    <cellStyle name="Note 4 2 35 5" xfId="42784"/>
    <cellStyle name="Note 4 2 35 6" xfId="49456"/>
    <cellStyle name="Note 4 2 36" xfId="3487"/>
    <cellStyle name="Note 4 2 36 2" xfId="11278"/>
    <cellStyle name="Note 4 2 36 3" xfId="20473"/>
    <cellStyle name="Note 4 2 36 4" xfId="28595"/>
    <cellStyle name="Note 4 2 36 5" xfId="27326"/>
    <cellStyle name="Note 4 2 36 6" xfId="42483"/>
    <cellStyle name="Note 4 2 36 7" xfId="48793"/>
    <cellStyle name="Note 4 2 37" xfId="4353"/>
    <cellStyle name="Note 4 2 37 2" xfId="12070"/>
    <cellStyle name="Note 4 2 37 3" xfId="21063"/>
    <cellStyle name="Note 4 2 37 4" xfId="29250"/>
    <cellStyle name="Note 4 2 37 5" xfId="36071"/>
    <cellStyle name="Note 4 2 37 6" xfId="42915"/>
    <cellStyle name="Note 4 2 37 7" xfId="53761"/>
    <cellStyle name="Note 4 2 38" xfId="4476"/>
    <cellStyle name="Note 4 2 38 2" xfId="12193"/>
    <cellStyle name="Note 4 2 38 3" xfId="21186"/>
    <cellStyle name="Note 4 2 38 4" xfId="29373"/>
    <cellStyle name="Note 4 2 38 5" xfId="36157"/>
    <cellStyle name="Note 4 2 38 6" xfId="43038"/>
    <cellStyle name="Note 4 2 38 7" xfId="54185"/>
    <cellStyle name="Note 4 2 39" xfId="4395"/>
    <cellStyle name="Note 4 2 39 2" xfId="12112"/>
    <cellStyle name="Note 4 2 39 3" xfId="21105"/>
    <cellStyle name="Note 4 2 39 4" xfId="29292"/>
    <cellStyle name="Note 4 2 39 5" xfId="33950"/>
    <cellStyle name="Note 4 2 39 6" xfId="42957"/>
    <cellStyle name="Note 4 2 39 7" xfId="49324"/>
    <cellStyle name="Note 4 2 4" xfId="552"/>
    <cellStyle name="Note 4 2 4 10" xfId="1999"/>
    <cellStyle name="Note 4 2 4 10 2" xfId="9822"/>
    <cellStyle name="Note 4 2 4 10 3" xfId="17250"/>
    <cellStyle name="Note 4 2 4 10 4" xfId="25486"/>
    <cellStyle name="Note 4 2 4 10 5" xfId="33960"/>
    <cellStyle name="Note 4 2 4 10 6" xfId="40374"/>
    <cellStyle name="Note 4 2 4 10 7" xfId="51843"/>
    <cellStyle name="Note 4 2 4 11" xfId="2117"/>
    <cellStyle name="Note 4 2 4 11 2" xfId="9940"/>
    <cellStyle name="Note 4 2 4 11 3" xfId="17368"/>
    <cellStyle name="Note 4 2 4 11 4" xfId="26157"/>
    <cellStyle name="Note 4 2 4 11 5" xfId="34826"/>
    <cellStyle name="Note 4 2 4 11 6" xfId="38040"/>
    <cellStyle name="Note 4 2 4 11 7" xfId="53334"/>
    <cellStyle name="Note 4 2 4 12" xfId="2230"/>
    <cellStyle name="Note 4 2 4 12 2" xfId="10053"/>
    <cellStyle name="Note 4 2 4 12 3" xfId="17481"/>
    <cellStyle name="Note 4 2 4 12 4" xfId="19898"/>
    <cellStyle name="Note 4 2 4 12 5" xfId="27292"/>
    <cellStyle name="Note 4 2 4 12 6" xfId="41734"/>
    <cellStyle name="Note 4 2 4 12 7" xfId="49582"/>
    <cellStyle name="Note 4 2 4 13" xfId="1579"/>
    <cellStyle name="Note 4 2 4 13 2" xfId="9402"/>
    <cellStyle name="Note 4 2 4 13 3" xfId="16830"/>
    <cellStyle name="Note 4 2 4 13 4" xfId="25747"/>
    <cellStyle name="Note 4 2 4 13 5" xfId="34298"/>
    <cellStyle name="Note 4 2 4 13 6" xfId="40385"/>
    <cellStyle name="Note 4 2 4 13 7" xfId="52425"/>
    <cellStyle name="Note 4 2 4 14" xfId="2285"/>
    <cellStyle name="Note 4 2 4 14 2" xfId="10108"/>
    <cellStyle name="Note 4 2 4 14 3" xfId="17536"/>
    <cellStyle name="Note 4 2 4 14 4" xfId="25262"/>
    <cellStyle name="Note 4 2 4 14 5" xfId="33669"/>
    <cellStyle name="Note 4 2 4 14 6" xfId="36650"/>
    <cellStyle name="Note 4 2 4 14 7" xfId="51347"/>
    <cellStyle name="Note 4 2 4 15" xfId="2528"/>
    <cellStyle name="Note 4 2 4 15 2" xfId="10351"/>
    <cellStyle name="Note 4 2 4 15 3" xfId="17779"/>
    <cellStyle name="Note 4 2 4 15 4" xfId="20107"/>
    <cellStyle name="Note 4 2 4 15 5" xfId="28584"/>
    <cellStyle name="Note 4 2 4 15 6" xfId="36742"/>
    <cellStyle name="Note 4 2 4 15 7" xfId="48427"/>
    <cellStyle name="Note 4 2 4 16" xfId="2641"/>
    <cellStyle name="Note 4 2 4 16 2" xfId="10464"/>
    <cellStyle name="Note 4 2 4 16 3" xfId="17892"/>
    <cellStyle name="Note 4 2 4 16 4" xfId="19238"/>
    <cellStyle name="Note 4 2 4 16 5" xfId="27734"/>
    <cellStyle name="Note 4 2 4 16 6" xfId="38052"/>
    <cellStyle name="Note 4 2 4 16 7" xfId="47652"/>
    <cellStyle name="Note 4 2 4 17" xfId="2411"/>
    <cellStyle name="Note 4 2 4 17 2" xfId="10234"/>
    <cellStyle name="Note 4 2 4 17 3" xfId="17662"/>
    <cellStyle name="Note 4 2 4 17 4" xfId="25882"/>
    <cellStyle name="Note 4 2 4 17 5" xfId="34473"/>
    <cellStyle name="Note 4 2 4 17 6" xfId="38301"/>
    <cellStyle name="Note 4 2 4 17 7" xfId="52744"/>
    <cellStyle name="Note 4 2 4 18" xfId="2372"/>
    <cellStyle name="Note 4 2 4 18 2" xfId="10195"/>
    <cellStyle name="Note 4 2 4 18 3" xfId="17623"/>
    <cellStyle name="Note 4 2 4 18 4" xfId="20697"/>
    <cellStyle name="Note 4 2 4 18 5" xfId="28692"/>
    <cellStyle name="Note 4 2 4 18 6" xfId="37024"/>
    <cellStyle name="Note 4 2 4 18 7" xfId="49384"/>
    <cellStyle name="Note 4 2 4 19" xfId="2834"/>
    <cellStyle name="Note 4 2 4 19 2" xfId="10657"/>
    <cellStyle name="Note 4 2 4 19 3" xfId="18085"/>
    <cellStyle name="Note 4 2 4 19 4" xfId="25432"/>
    <cellStyle name="Note 4 2 4 19 5" xfId="33891"/>
    <cellStyle name="Note 4 2 4 19 6" xfId="40925"/>
    <cellStyle name="Note 4 2 4 19 7" xfId="51712"/>
    <cellStyle name="Note 4 2 4 2" xfId="702"/>
    <cellStyle name="Note 4 2 4 2 2" xfId="8526"/>
    <cellStyle name="Note 4 2 4 2 3" xfId="15954"/>
    <cellStyle name="Note 4 2 4 2 4" xfId="26192"/>
    <cellStyle name="Note 4 2 4 2 5" xfId="34871"/>
    <cellStyle name="Note 4 2 4 2 6" xfId="36414"/>
    <cellStyle name="Note 4 2 4 2 7" xfId="53410"/>
    <cellStyle name="Note 4 2 4 20" xfId="2941"/>
    <cellStyle name="Note 4 2 4 20 2" xfId="10764"/>
    <cellStyle name="Note 4 2 4 20 3" xfId="18192"/>
    <cellStyle name="Note 4 2 4 20 4" xfId="19960"/>
    <cellStyle name="Note 4 2 4 20 5" xfId="27871"/>
    <cellStyle name="Note 4 2 4 20 6" xfId="40303"/>
    <cellStyle name="Note 4 2 4 20 7" xfId="47644"/>
    <cellStyle name="Note 4 2 4 21" xfId="3317"/>
    <cellStyle name="Note 4 2 4 21 2" xfId="11110"/>
    <cellStyle name="Note 4 2 4 21 3" xfId="18439"/>
    <cellStyle name="Note 4 2 4 21 4" xfId="19821"/>
    <cellStyle name="Note 4 2 4 21 5" xfId="27823"/>
    <cellStyle name="Note 4 2 4 21 6" xfId="38056"/>
    <cellStyle name="Note 4 2 4 21 7" xfId="50245"/>
    <cellStyle name="Note 4 2 4 22" xfId="3437"/>
    <cellStyle name="Note 4 2 4 22 2" xfId="11228"/>
    <cellStyle name="Note 4 2 4 22 3" xfId="18550"/>
    <cellStyle name="Note 4 2 4 22 4" xfId="26407"/>
    <cellStyle name="Note 4 2 4 22 5" xfId="35163"/>
    <cellStyle name="Note 4 2 4 22 6" xfId="40671"/>
    <cellStyle name="Note 4 2 4 22 7" xfId="53864"/>
    <cellStyle name="Note 4 2 4 23" xfId="3560"/>
    <cellStyle name="Note 4 2 4 23 2" xfId="11349"/>
    <cellStyle name="Note 4 2 4 23 3" xfId="18634"/>
    <cellStyle name="Note 4 2 4 23 4" xfId="20119"/>
    <cellStyle name="Note 4 2 4 23 5" xfId="27442"/>
    <cellStyle name="Note 4 2 4 23 6" xfId="37476"/>
    <cellStyle name="Note 4 2 4 23 7" xfId="48796"/>
    <cellStyle name="Note 4 2 4 24" xfId="3596"/>
    <cellStyle name="Note 4 2 4 24 2" xfId="11382"/>
    <cellStyle name="Note 4 2 4 24 3" xfId="18657"/>
    <cellStyle name="Note 4 2 4 24 4" xfId="25461"/>
    <cellStyle name="Note 4 2 4 24 5" xfId="33926"/>
    <cellStyle name="Note 4 2 4 24 6" xfId="39811"/>
    <cellStyle name="Note 4 2 4 24 7" xfId="51782"/>
    <cellStyle name="Note 4 2 4 25" xfId="3708"/>
    <cellStyle name="Note 4 2 4 25 2" xfId="11493"/>
    <cellStyle name="Note 4 2 4 25 3" xfId="18766"/>
    <cellStyle name="Note 4 2 4 25 4" xfId="19932"/>
    <cellStyle name="Note 4 2 4 25 5" xfId="26866"/>
    <cellStyle name="Note 4 2 4 25 6" xfId="37962"/>
    <cellStyle name="Note 4 2 4 25 7" xfId="47275"/>
    <cellStyle name="Note 4 2 4 26" xfId="3838"/>
    <cellStyle name="Note 4 2 4 26 2" xfId="11620"/>
    <cellStyle name="Note 4 2 4 26 3" xfId="18877"/>
    <cellStyle name="Note 4 2 4 26 4" xfId="24952"/>
    <cellStyle name="Note 4 2 4 26 5" xfId="33288"/>
    <cellStyle name="Note 4 2 4 26 6" xfId="38219"/>
    <cellStyle name="Note 4 2 4 26 7" xfId="50675"/>
    <cellStyle name="Note 4 2 4 27" xfId="3956"/>
    <cellStyle name="Note 4 2 4 27 2" xfId="11736"/>
    <cellStyle name="Note 4 2 4 27 3" xfId="18986"/>
    <cellStyle name="Note 4 2 4 27 4" xfId="26631"/>
    <cellStyle name="Note 4 2 4 27 5" xfId="35466"/>
    <cellStyle name="Note 4 2 4 27 6" xfId="40995"/>
    <cellStyle name="Note 4 2 4 27 7" xfId="54350"/>
    <cellStyle name="Note 4 2 4 28" xfId="3045"/>
    <cellStyle name="Note 4 2 4 28 2" xfId="10858"/>
    <cellStyle name="Note 4 2 4 28 3" xfId="20211"/>
    <cellStyle name="Note 4 2 4 28 4" xfId="28303"/>
    <cellStyle name="Note 4 2 4 28 5" xfId="33222"/>
    <cellStyle name="Note 4 2 4 28 6" xfId="42368"/>
    <cellStyle name="Note 4 2 4 28 7" xfId="48722"/>
    <cellStyle name="Note 4 2 4 29" xfId="4153"/>
    <cellStyle name="Note 4 2 4 29 2" xfId="11912"/>
    <cellStyle name="Note 4 2 4 29 3" xfId="20863"/>
    <cellStyle name="Note 4 2 4 29 4" xfId="29050"/>
    <cellStyle name="Note 4 2 4 29 5" xfId="35566"/>
    <cellStyle name="Note 4 2 4 29 6" xfId="42715"/>
    <cellStyle name="Note 4 2 4 29 7" xfId="49098"/>
    <cellStyle name="Note 4 2 4 3" xfId="810"/>
    <cellStyle name="Note 4 2 4 3 2" xfId="8634"/>
    <cellStyle name="Note 4 2 4 3 3" xfId="16062"/>
    <cellStyle name="Note 4 2 4 3 4" xfId="26485"/>
    <cellStyle name="Note 4 2 4 3 5" xfId="35274"/>
    <cellStyle name="Note 4 2 4 3 6" xfId="36475"/>
    <cellStyle name="Note 4 2 4 3 7" xfId="54047"/>
    <cellStyle name="Note 4 2 4 30" xfId="4199"/>
    <cellStyle name="Note 4 2 4 30 2" xfId="20909"/>
    <cellStyle name="Note 4 2 4 30 3" xfId="29096"/>
    <cellStyle name="Note 4 2 4 30 4" xfId="35502"/>
    <cellStyle name="Note 4 2 4 30 5" xfId="42761"/>
    <cellStyle name="Note 4 2 4 30 6" xfId="47647"/>
    <cellStyle name="Note 4 2 4 31" xfId="4350"/>
    <cellStyle name="Note 4 2 4 31 2" xfId="12067"/>
    <cellStyle name="Note 4 2 4 31 3" xfId="21060"/>
    <cellStyle name="Note 4 2 4 31 4" xfId="29247"/>
    <cellStyle name="Note 4 2 4 31 5" xfId="36166"/>
    <cellStyle name="Note 4 2 4 31 6" xfId="42912"/>
    <cellStyle name="Note 4 2 4 31 7" xfId="54215"/>
    <cellStyle name="Note 4 2 4 32" xfId="4473"/>
    <cellStyle name="Note 4 2 4 32 2" xfId="12190"/>
    <cellStyle name="Note 4 2 4 32 3" xfId="21183"/>
    <cellStyle name="Note 4 2 4 32 4" xfId="29370"/>
    <cellStyle name="Note 4 2 4 32 5" xfId="36184"/>
    <cellStyle name="Note 4 2 4 32 6" xfId="43035"/>
    <cellStyle name="Note 4 2 4 32 7" xfId="54303"/>
    <cellStyle name="Note 4 2 4 33" xfId="4587"/>
    <cellStyle name="Note 4 2 4 33 2" xfId="12304"/>
    <cellStyle name="Note 4 2 4 33 3" xfId="21297"/>
    <cellStyle name="Note 4 2 4 33 4" xfId="29484"/>
    <cellStyle name="Note 4 2 4 33 5" xfId="27321"/>
    <cellStyle name="Note 4 2 4 33 6" xfId="43149"/>
    <cellStyle name="Note 4 2 4 33 7" xfId="50952"/>
    <cellStyle name="Note 4 2 4 34" xfId="4700"/>
    <cellStyle name="Note 4 2 4 34 2" xfId="12417"/>
    <cellStyle name="Note 4 2 4 34 3" xfId="21410"/>
    <cellStyle name="Note 4 2 4 34 4" xfId="29597"/>
    <cellStyle name="Note 4 2 4 34 5" xfId="36144"/>
    <cellStyle name="Note 4 2 4 34 6" xfId="43262"/>
    <cellStyle name="Note 4 2 4 34 7" xfId="54088"/>
    <cellStyle name="Note 4 2 4 35" xfId="4811"/>
    <cellStyle name="Note 4 2 4 35 2" xfId="12528"/>
    <cellStyle name="Note 4 2 4 35 3" xfId="21521"/>
    <cellStyle name="Note 4 2 4 35 4" xfId="29708"/>
    <cellStyle name="Note 4 2 4 35 5" xfId="35079"/>
    <cellStyle name="Note 4 2 4 35 6" xfId="43373"/>
    <cellStyle name="Note 4 2 4 35 7" xfId="49775"/>
    <cellStyle name="Note 4 2 4 36" xfId="4920"/>
    <cellStyle name="Note 4 2 4 36 2" xfId="12637"/>
    <cellStyle name="Note 4 2 4 36 3" xfId="21630"/>
    <cellStyle name="Note 4 2 4 36 4" xfId="29817"/>
    <cellStyle name="Note 4 2 4 36 5" xfId="35624"/>
    <cellStyle name="Note 4 2 4 36 6" xfId="43482"/>
    <cellStyle name="Note 4 2 4 36 7" xfId="51602"/>
    <cellStyle name="Note 4 2 4 37" xfId="5031"/>
    <cellStyle name="Note 4 2 4 37 2" xfId="12748"/>
    <cellStyle name="Note 4 2 4 37 3" xfId="21741"/>
    <cellStyle name="Note 4 2 4 37 4" xfId="29928"/>
    <cellStyle name="Note 4 2 4 37 5" xfId="34191"/>
    <cellStyle name="Note 4 2 4 37 6" xfId="43593"/>
    <cellStyle name="Note 4 2 4 37 7" xfId="50831"/>
    <cellStyle name="Note 4 2 4 38" xfId="5410"/>
    <cellStyle name="Note 4 2 4 38 2" xfId="13127"/>
    <cellStyle name="Note 4 2 4 38 3" xfId="22120"/>
    <cellStyle name="Note 4 2 4 38 4" xfId="30307"/>
    <cellStyle name="Note 4 2 4 38 5" xfId="35104"/>
    <cellStyle name="Note 4 2 4 38 6" xfId="43972"/>
    <cellStyle name="Note 4 2 4 38 7" xfId="50362"/>
    <cellStyle name="Note 4 2 4 39" xfId="5530"/>
    <cellStyle name="Note 4 2 4 39 2" xfId="13247"/>
    <cellStyle name="Note 4 2 4 39 3" xfId="22240"/>
    <cellStyle name="Note 4 2 4 39 4" xfId="30427"/>
    <cellStyle name="Note 4 2 4 39 5" xfId="27067"/>
    <cellStyle name="Note 4 2 4 39 6" xfId="44092"/>
    <cellStyle name="Note 4 2 4 39 7" xfId="48969"/>
    <cellStyle name="Note 4 2 4 4" xfId="921"/>
    <cellStyle name="Note 4 2 4 4 2" xfId="8745"/>
    <cellStyle name="Note 4 2 4 4 3" xfId="16173"/>
    <cellStyle name="Note 4 2 4 4 4" xfId="25520"/>
    <cellStyle name="Note 4 2 4 4 5" xfId="34001"/>
    <cellStyle name="Note 4 2 4 4 6" xfId="37348"/>
    <cellStyle name="Note 4 2 4 4 7" xfId="51912"/>
    <cellStyle name="Note 4 2 4 40" xfId="5654"/>
    <cellStyle name="Note 4 2 4 40 2" xfId="13371"/>
    <cellStyle name="Note 4 2 4 40 3" xfId="22364"/>
    <cellStyle name="Note 4 2 4 40 4" xfId="30551"/>
    <cellStyle name="Note 4 2 4 40 5" xfId="27477"/>
    <cellStyle name="Note 4 2 4 40 6" xfId="44216"/>
    <cellStyle name="Note 4 2 4 40 7" xfId="46921"/>
    <cellStyle name="Note 4 2 4 41" xfId="5770"/>
    <cellStyle name="Note 4 2 4 41 2" xfId="13487"/>
    <cellStyle name="Note 4 2 4 41 3" xfId="22480"/>
    <cellStyle name="Note 4 2 4 41 4" xfId="30667"/>
    <cellStyle name="Note 4 2 4 41 5" xfId="35420"/>
    <cellStyle name="Note 4 2 4 41 6" xfId="44332"/>
    <cellStyle name="Note 4 2 4 41 7" xfId="49738"/>
    <cellStyle name="Note 4 2 4 42" xfId="5886"/>
    <cellStyle name="Note 4 2 4 42 2" xfId="13603"/>
    <cellStyle name="Note 4 2 4 42 3" xfId="22596"/>
    <cellStyle name="Note 4 2 4 42 4" xfId="30783"/>
    <cellStyle name="Note 4 2 4 42 5" xfId="34170"/>
    <cellStyle name="Note 4 2 4 42 6" xfId="44448"/>
    <cellStyle name="Note 4 2 4 42 7" xfId="50629"/>
    <cellStyle name="Note 4 2 4 43" xfId="6015"/>
    <cellStyle name="Note 4 2 4 43 2" xfId="13732"/>
    <cellStyle name="Note 4 2 4 43 3" xfId="22725"/>
    <cellStyle name="Note 4 2 4 43 4" xfId="30912"/>
    <cellStyle name="Note 4 2 4 43 5" xfId="33100"/>
    <cellStyle name="Note 4 2 4 43 6" xfId="44577"/>
    <cellStyle name="Note 4 2 4 43 7" xfId="51579"/>
    <cellStyle name="Note 4 2 4 44" xfId="6110"/>
    <cellStyle name="Note 4 2 4 44 2" xfId="13827"/>
    <cellStyle name="Note 4 2 4 44 3" xfId="22820"/>
    <cellStyle name="Note 4 2 4 44 4" xfId="31007"/>
    <cellStyle name="Note 4 2 4 44 5" xfId="34478"/>
    <cellStyle name="Note 4 2 4 44 6" xfId="44672"/>
    <cellStyle name="Note 4 2 4 44 7" xfId="50275"/>
    <cellStyle name="Note 4 2 4 45" xfId="6142"/>
    <cellStyle name="Note 4 2 4 45 2" xfId="13859"/>
    <cellStyle name="Note 4 2 4 45 3" xfId="22852"/>
    <cellStyle name="Note 4 2 4 45 4" xfId="31039"/>
    <cellStyle name="Note 4 2 4 45 5" xfId="35096"/>
    <cellStyle name="Note 4 2 4 45 6" xfId="44704"/>
    <cellStyle name="Note 4 2 4 45 7" xfId="54021"/>
    <cellStyle name="Note 4 2 4 46" xfId="6271"/>
    <cellStyle name="Note 4 2 4 46 2" xfId="13988"/>
    <cellStyle name="Note 4 2 4 46 3" xfId="22981"/>
    <cellStyle name="Note 4 2 4 46 4" xfId="31168"/>
    <cellStyle name="Note 4 2 4 46 5" xfId="33934"/>
    <cellStyle name="Note 4 2 4 46 6" xfId="44833"/>
    <cellStyle name="Note 4 2 4 46 7" xfId="47826"/>
    <cellStyle name="Note 4 2 4 47" xfId="6387"/>
    <cellStyle name="Note 4 2 4 47 2" xfId="14104"/>
    <cellStyle name="Note 4 2 4 47 3" xfId="23097"/>
    <cellStyle name="Note 4 2 4 47 4" xfId="31284"/>
    <cellStyle name="Note 4 2 4 47 5" xfId="35586"/>
    <cellStyle name="Note 4 2 4 47 6" xfId="44949"/>
    <cellStyle name="Note 4 2 4 47 7" xfId="51130"/>
    <cellStyle name="Note 4 2 4 48" xfId="6498"/>
    <cellStyle name="Note 4 2 4 48 2" xfId="14215"/>
    <cellStyle name="Note 4 2 4 48 3" xfId="23208"/>
    <cellStyle name="Note 4 2 4 48 4" xfId="31395"/>
    <cellStyle name="Note 4 2 4 48 5" xfId="28503"/>
    <cellStyle name="Note 4 2 4 48 6" xfId="45060"/>
    <cellStyle name="Note 4 2 4 48 7" xfId="48121"/>
    <cellStyle name="Note 4 2 4 49" xfId="5338"/>
    <cellStyle name="Note 4 2 4 49 2" xfId="13055"/>
    <cellStyle name="Note 4 2 4 49 3" xfId="22048"/>
    <cellStyle name="Note 4 2 4 49 4" xfId="30235"/>
    <cellStyle name="Note 4 2 4 49 5" xfId="33823"/>
    <cellStyle name="Note 4 2 4 49 6" xfId="43900"/>
    <cellStyle name="Note 4 2 4 49 7" xfId="50224"/>
    <cellStyle name="Note 4 2 4 5" xfId="1387"/>
    <cellStyle name="Note 4 2 4 5 2" xfId="9210"/>
    <cellStyle name="Note 4 2 4 5 3" xfId="16638"/>
    <cellStyle name="Note 4 2 4 5 4" xfId="25200"/>
    <cellStyle name="Note 4 2 4 5 5" xfId="33589"/>
    <cellStyle name="Note 4 2 4 5 6" xfId="38026"/>
    <cellStyle name="Note 4 2 4 5 7" xfId="51218"/>
    <cellStyle name="Note 4 2 4 50" xfId="6644"/>
    <cellStyle name="Note 4 2 4 50 2" xfId="14361"/>
    <cellStyle name="Note 4 2 4 50 3" xfId="23354"/>
    <cellStyle name="Note 4 2 4 50 4" xfId="31541"/>
    <cellStyle name="Note 4 2 4 50 5" xfId="36171"/>
    <cellStyle name="Note 4 2 4 50 6" xfId="45206"/>
    <cellStyle name="Note 4 2 4 50 7" xfId="53704"/>
    <cellStyle name="Note 4 2 4 51" xfId="6756"/>
    <cellStyle name="Note 4 2 4 51 2" xfId="14473"/>
    <cellStyle name="Note 4 2 4 51 3" xfId="23466"/>
    <cellStyle name="Note 4 2 4 51 4" xfId="31653"/>
    <cellStyle name="Note 4 2 4 51 5" xfId="33846"/>
    <cellStyle name="Note 4 2 4 51 6" xfId="45318"/>
    <cellStyle name="Note 4 2 4 51 7" xfId="49224"/>
    <cellStyle name="Note 4 2 4 52" xfId="6871"/>
    <cellStyle name="Note 4 2 4 52 2" xfId="14588"/>
    <cellStyle name="Note 4 2 4 52 3" xfId="23581"/>
    <cellStyle name="Note 4 2 4 52 4" xfId="31768"/>
    <cellStyle name="Note 4 2 4 52 5" xfId="36236"/>
    <cellStyle name="Note 4 2 4 52 6" xfId="45433"/>
    <cellStyle name="Note 4 2 4 52 7" xfId="46897"/>
    <cellStyle name="Note 4 2 4 53" xfId="6984"/>
    <cellStyle name="Note 4 2 4 53 2" xfId="14701"/>
    <cellStyle name="Note 4 2 4 53 3" xfId="23694"/>
    <cellStyle name="Note 4 2 4 53 4" xfId="31881"/>
    <cellStyle name="Note 4 2 4 53 5" xfId="34014"/>
    <cellStyle name="Note 4 2 4 53 6" xfId="45546"/>
    <cellStyle name="Note 4 2 4 53 7" xfId="54537"/>
    <cellStyle name="Note 4 2 4 54" xfId="7095"/>
    <cellStyle name="Note 4 2 4 54 2" xfId="14812"/>
    <cellStyle name="Note 4 2 4 54 3" xfId="23805"/>
    <cellStyle name="Note 4 2 4 54 4" xfId="31992"/>
    <cellStyle name="Note 4 2 4 54 5" xfId="27863"/>
    <cellStyle name="Note 4 2 4 54 6" xfId="45657"/>
    <cellStyle name="Note 4 2 4 54 7" xfId="49444"/>
    <cellStyle name="Note 4 2 4 55" xfId="7184"/>
    <cellStyle name="Note 4 2 4 55 2" xfId="14901"/>
    <cellStyle name="Note 4 2 4 55 3" xfId="23894"/>
    <cellStyle name="Note 4 2 4 55 4" xfId="32081"/>
    <cellStyle name="Note 4 2 4 55 5" xfId="36054"/>
    <cellStyle name="Note 4 2 4 55 6" xfId="45746"/>
    <cellStyle name="Note 4 2 4 55 7" xfId="53107"/>
    <cellStyle name="Note 4 2 4 56" xfId="7316"/>
    <cellStyle name="Note 4 2 4 56 2" xfId="15033"/>
    <cellStyle name="Note 4 2 4 56 3" xfId="24026"/>
    <cellStyle name="Note 4 2 4 56 4" xfId="32213"/>
    <cellStyle name="Note 4 2 4 56 5" xfId="35901"/>
    <cellStyle name="Note 4 2 4 56 6" xfId="45878"/>
    <cellStyle name="Note 4 2 4 56 7" xfId="51845"/>
    <cellStyle name="Note 4 2 4 57" xfId="7492"/>
    <cellStyle name="Note 4 2 4 57 2" xfId="15209"/>
    <cellStyle name="Note 4 2 4 57 3" xfId="24202"/>
    <cellStyle name="Note 4 2 4 57 4" xfId="32389"/>
    <cellStyle name="Note 4 2 4 57 5" xfId="35610"/>
    <cellStyle name="Note 4 2 4 57 6" xfId="46054"/>
    <cellStyle name="Note 4 2 4 57 7" xfId="51015"/>
    <cellStyle name="Note 4 2 4 58" xfId="7613"/>
    <cellStyle name="Note 4 2 4 58 2" xfId="15330"/>
    <cellStyle name="Note 4 2 4 58 3" xfId="24323"/>
    <cellStyle name="Note 4 2 4 58 4" xfId="32510"/>
    <cellStyle name="Note 4 2 4 58 5" xfId="27620"/>
    <cellStyle name="Note 4 2 4 58 6" xfId="46175"/>
    <cellStyle name="Note 4 2 4 58 7" xfId="48526"/>
    <cellStyle name="Note 4 2 4 59" xfId="7889"/>
    <cellStyle name="Note 4 2 4 59 2" xfId="15606"/>
    <cellStyle name="Note 4 2 4 59 3" xfId="24593"/>
    <cellStyle name="Note 4 2 4 59 4" xfId="32786"/>
    <cellStyle name="Note 4 2 4 59 5" xfId="33129"/>
    <cellStyle name="Note 4 2 4 59 6" xfId="46451"/>
    <cellStyle name="Note 4 2 4 59 7" xfId="54122"/>
    <cellStyle name="Note 4 2 4 6" xfId="1510"/>
    <cellStyle name="Note 4 2 4 6 2" xfId="9333"/>
    <cellStyle name="Note 4 2 4 6 3" xfId="16761"/>
    <cellStyle name="Note 4 2 4 6 4" xfId="25184"/>
    <cellStyle name="Note 4 2 4 6 5" xfId="33567"/>
    <cellStyle name="Note 4 2 4 6 6" xfId="40340"/>
    <cellStyle name="Note 4 2 4 6 7" xfId="51185"/>
    <cellStyle name="Note 4 2 4 60" xfId="7667"/>
    <cellStyle name="Note 4 2 4 60 2" xfId="15384"/>
    <cellStyle name="Note 4 2 4 60 3" xfId="24376"/>
    <cellStyle name="Note 4 2 4 60 4" xfId="32564"/>
    <cellStyle name="Note 4 2 4 60 5" xfId="34369"/>
    <cellStyle name="Note 4 2 4 60 6" xfId="46229"/>
    <cellStyle name="Note 4 2 4 60 7" xfId="49079"/>
    <cellStyle name="Note 4 2 4 61" xfId="8017"/>
    <cellStyle name="Note 4 2 4 61 2" xfId="15734"/>
    <cellStyle name="Note 4 2 4 61 3" xfId="24719"/>
    <cellStyle name="Note 4 2 4 61 4" xfId="32914"/>
    <cellStyle name="Note 4 2 4 61 5" xfId="26985"/>
    <cellStyle name="Note 4 2 4 61 6" xfId="46579"/>
    <cellStyle name="Note 4 2 4 61 7" xfId="50922"/>
    <cellStyle name="Note 4 2 4 62" xfId="7698"/>
    <cellStyle name="Note 4 2 4 62 2" xfId="15415"/>
    <cellStyle name="Note 4 2 4 62 3" xfId="24406"/>
    <cellStyle name="Note 4 2 4 62 4" xfId="32595"/>
    <cellStyle name="Note 4 2 4 62 5" xfId="35877"/>
    <cellStyle name="Note 4 2 4 62 6" xfId="46260"/>
    <cellStyle name="Note 4 2 4 62 7" xfId="52246"/>
    <cellStyle name="Note 4 2 4 63" xfId="8165"/>
    <cellStyle name="Note 4 2 4 63 2" xfId="15882"/>
    <cellStyle name="Note 4 2 4 63 3" xfId="33062"/>
    <cellStyle name="Note 4 2 4 63 4" xfId="33550"/>
    <cellStyle name="Note 4 2 4 63 5" xfId="46727"/>
    <cellStyle name="Note 4 2 4 63 6" xfId="50817"/>
    <cellStyle name="Note 4 2 4 64" xfId="26567"/>
    <cellStyle name="Note 4 2 4 65" xfId="35379"/>
    <cellStyle name="Note 4 2 4 66" xfId="36268"/>
    <cellStyle name="Note 4 2 4 67" xfId="54207"/>
    <cellStyle name="Note 4 2 4 7" xfId="1146"/>
    <cellStyle name="Note 4 2 4 7 2" xfId="8969"/>
    <cellStyle name="Note 4 2 4 7 3" xfId="16397"/>
    <cellStyle name="Note 4 2 4 7 4" xfId="19029"/>
    <cellStyle name="Note 4 2 4 7 5" xfId="26857"/>
    <cellStyle name="Note 4 2 4 7 6" xfId="40465"/>
    <cellStyle name="Note 4 2 4 7 7" xfId="49825"/>
    <cellStyle name="Note 4 2 4 8" xfId="1747"/>
    <cellStyle name="Note 4 2 4 8 2" xfId="9570"/>
    <cellStyle name="Note 4 2 4 8 3" xfId="16998"/>
    <cellStyle name="Note 4 2 4 8 4" xfId="19551"/>
    <cellStyle name="Note 4 2 4 8 5" xfId="28167"/>
    <cellStyle name="Note 4 2 4 8 6" xfId="40090"/>
    <cellStyle name="Note 4 2 4 8 7" xfId="48284"/>
    <cellStyle name="Note 4 2 4 9" xfId="1881"/>
    <cellStyle name="Note 4 2 4 9 2" xfId="9704"/>
    <cellStyle name="Note 4 2 4 9 3" xfId="17132"/>
    <cellStyle name="Note 4 2 4 9 4" xfId="24802"/>
    <cellStyle name="Note 4 2 4 9 5" xfId="27989"/>
    <cellStyle name="Note 4 2 4 9 6" xfId="39023"/>
    <cellStyle name="Note 4 2 4 9 7" xfId="50014"/>
    <cellStyle name="Note 4 2 40" xfId="4703"/>
    <cellStyle name="Note 4 2 40 2" xfId="12420"/>
    <cellStyle name="Note 4 2 40 3" xfId="21413"/>
    <cellStyle name="Note 4 2 40 4" xfId="29600"/>
    <cellStyle name="Note 4 2 40 5" xfId="34328"/>
    <cellStyle name="Note 4 2 40 6" xfId="43265"/>
    <cellStyle name="Note 4 2 40 7" xfId="48198"/>
    <cellStyle name="Note 4 2 41" xfId="3082"/>
    <cellStyle name="Note 4 2 41 2" xfId="10890"/>
    <cellStyle name="Note 4 2 41 3" xfId="20243"/>
    <cellStyle name="Note 4 2 41 4" xfId="28333"/>
    <cellStyle name="Note 4 2 41 5" xfId="35825"/>
    <cellStyle name="Note 4 2 41 6" xfId="42390"/>
    <cellStyle name="Note 4 2 41 7" xfId="52542"/>
    <cellStyle name="Note 4 2 42" xfId="4923"/>
    <cellStyle name="Note 4 2 42 2" xfId="12640"/>
    <cellStyle name="Note 4 2 42 3" xfId="21633"/>
    <cellStyle name="Note 4 2 42 4" xfId="29820"/>
    <cellStyle name="Note 4 2 42 5" xfId="34762"/>
    <cellStyle name="Note 4 2 42 6" xfId="43485"/>
    <cellStyle name="Note 4 2 42 7" xfId="49632"/>
    <cellStyle name="Note 4 2 43" xfId="5238"/>
    <cellStyle name="Note 4 2 43 2" xfId="12955"/>
    <cellStyle name="Note 4 2 43 3" xfId="21948"/>
    <cellStyle name="Note 4 2 43 4" xfId="30135"/>
    <cellStyle name="Note 4 2 43 5" xfId="34416"/>
    <cellStyle name="Note 4 2 43 6" xfId="43800"/>
    <cellStyle name="Note 4 2 43 7" xfId="48019"/>
    <cellStyle name="Note 4 2 44" xfId="5413"/>
    <cellStyle name="Note 4 2 44 2" xfId="13130"/>
    <cellStyle name="Note 4 2 44 3" xfId="22123"/>
    <cellStyle name="Note 4 2 44 4" xfId="30310"/>
    <cellStyle name="Note 4 2 44 5" xfId="34418"/>
    <cellStyle name="Note 4 2 44 6" xfId="43975"/>
    <cellStyle name="Note 4 2 44 7" xfId="50112"/>
    <cellStyle name="Note 4 2 45" xfId="5364"/>
    <cellStyle name="Note 4 2 45 2" xfId="13081"/>
    <cellStyle name="Note 4 2 45 3" xfId="22074"/>
    <cellStyle name="Note 4 2 45 4" xfId="30261"/>
    <cellStyle name="Note 4 2 45 5" xfId="33637"/>
    <cellStyle name="Note 4 2 45 6" xfId="43926"/>
    <cellStyle name="Note 4 2 45 7" xfId="50289"/>
    <cellStyle name="Note 4 2 46" xfId="5350"/>
    <cellStyle name="Note 4 2 46 2" xfId="13067"/>
    <cellStyle name="Note 4 2 46 3" xfId="22060"/>
    <cellStyle name="Note 4 2 46 4" xfId="30247"/>
    <cellStyle name="Note 4 2 46 5" xfId="33595"/>
    <cellStyle name="Note 4 2 46 6" xfId="43912"/>
    <cellStyle name="Note 4 2 46 7" xfId="48999"/>
    <cellStyle name="Note 4 2 47" xfId="5285"/>
    <cellStyle name="Note 4 2 47 2" xfId="13002"/>
    <cellStyle name="Note 4 2 47 3" xfId="21995"/>
    <cellStyle name="Note 4 2 47 4" xfId="30182"/>
    <cellStyle name="Note 4 2 47 5" xfId="35649"/>
    <cellStyle name="Note 4 2 47 6" xfId="43847"/>
    <cellStyle name="Note 4 2 47 7" xfId="51705"/>
    <cellStyle name="Note 4 2 48" xfId="5379"/>
    <cellStyle name="Note 4 2 48 2" xfId="13096"/>
    <cellStyle name="Note 4 2 48 3" xfId="22089"/>
    <cellStyle name="Note 4 2 48 4" xfId="30276"/>
    <cellStyle name="Note 4 2 48 5" xfId="36004"/>
    <cellStyle name="Note 4 2 48 6" xfId="43941"/>
    <cellStyle name="Note 4 2 48 7" xfId="53427"/>
    <cellStyle name="Note 4 2 49" xfId="5265"/>
    <cellStyle name="Note 4 2 49 2" xfId="12982"/>
    <cellStyle name="Note 4 2 49 3" xfId="21975"/>
    <cellStyle name="Note 4 2 49 4" xfId="30162"/>
    <cellStyle name="Note 4 2 49 5" xfId="28324"/>
    <cellStyle name="Note 4 2 49 6" xfId="43827"/>
    <cellStyle name="Note 4 2 49 7" xfId="50220"/>
    <cellStyle name="Note 4 2 5" xfId="501"/>
    <cellStyle name="Note 4 2 5 10" xfId="1948"/>
    <cellStyle name="Note 4 2 5 10 2" xfId="9771"/>
    <cellStyle name="Note 4 2 5 10 3" xfId="17199"/>
    <cellStyle name="Note 4 2 5 10 4" xfId="25602"/>
    <cellStyle name="Note 4 2 5 10 5" xfId="34112"/>
    <cellStyle name="Note 4 2 5 10 6" xfId="40312"/>
    <cellStyle name="Note 4 2 5 10 7" xfId="52093"/>
    <cellStyle name="Note 4 2 5 11" xfId="2066"/>
    <cellStyle name="Note 4 2 5 11 2" xfId="9889"/>
    <cellStyle name="Note 4 2 5 11 3" xfId="17317"/>
    <cellStyle name="Note 4 2 5 11 4" xfId="25670"/>
    <cellStyle name="Note 4 2 5 11 5" xfId="34202"/>
    <cellStyle name="Note 4 2 5 11 6" xfId="39326"/>
    <cellStyle name="Note 4 2 5 11 7" xfId="52240"/>
    <cellStyle name="Note 4 2 5 12" xfId="2179"/>
    <cellStyle name="Note 4 2 5 12 2" xfId="10002"/>
    <cellStyle name="Note 4 2 5 12 3" xfId="17430"/>
    <cellStyle name="Note 4 2 5 12 4" xfId="26518"/>
    <cellStyle name="Note 4 2 5 12 5" xfId="35315"/>
    <cellStyle name="Note 4 2 5 12 6" xfId="39363"/>
    <cellStyle name="Note 4 2 5 12 7" xfId="54106"/>
    <cellStyle name="Note 4 2 5 13" xfId="1006"/>
    <cellStyle name="Note 4 2 5 13 2" xfId="8830"/>
    <cellStyle name="Note 4 2 5 13 3" xfId="16258"/>
    <cellStyle name="Note 4 2 5 13 4" xfId="19340"/>
    <cellStyle name="Note 4 2 5 13 5" xfId="27012"/>
    <cellStyle name="Note 4 2 5 13 6" xfId="36671"/>
    <cellStyle name="Note 4 2 5 13 7" xfId="50126"/>
    <cellStyle name="Note 4 2 5 14" xfId="2334"/>
    <cellStyle name="Note 4 2 5 14 2" xfId="10157"/>
    <cellStyle name="Note 4 2 5 14 3" xfId="17585"/>
    <cellStyle name="Note 4 2 5 14 4" xfId="26288"/>
    <cellStyle name="Note 4 2 5 14 5" xfId="34997"/>
    <cellStyle name="Note 4 2 5 14 6" xfId="40159"/>
    <cellStyle name="Note 4 2 5 14 7" xfId="53618"/>
    <cellStyle name="Note 4 2 5 15" xfId="2477"/>
    <cellStyle name="Note 4 2 5 15 2" xfId="10300"/>
    <cellStyle name="Note 4 2 5 15 3" xfId="17728"/>
    <cellStyle name="Note 4 2 5 15 4" xfId="26119"/>
    <cellStyle name="Note 4 2 5 15 5" xfId="34778"/>
    <cellStyle name="Note 4 2 5 15 6" xfId="38819"/>
    <cellStyle name="Note 4 2 5 15 7" xfId="53249"/>
    <cellStyle name="Note 4 2 5 16" xfId="2590"/>
    <cellStyle name="Note 4 2 5 16 2" xfId="10413"/>
    <cellStyle name="Note 4 2 5 16 3" xfId="17841"/>
    <cellStyle name="Note 4 2 5 16 4" xfId="24963"/>
    <cellStyle name="Note 4 2 5 16 5" xfId="33301"/>
    <cellStyle name="Note 4 2 5 16 6" xfId="39580"/>
    <cellStyle name="Note 4 2 5 16 7" xfId="50702"/>
    <cellStyle name="Note 4 2 5 17" xfId="1809"/>
    <cellStyle name="Note 4 2 5 17 2" xfId="9632"/>
    <cellStyle name="Note 4 2 5 17 3" xfId="17060"/>
    <cellStyle name="Note 4 2 5 17 4" xfId="19954"/>
    <cellStyle name="Note 4 2 5 17 5" xfId="28163"/>
    <cellStyle name="Note 4 2 5 17 6" xfId="40234"/>
    <cellStyle name="Note 4 2 5 17 7" xfId="50238"/>
    <cellStyle name="Note 4 2 5 18" xfId="2700"/>
    <cellStyle name="Note 4 2 5 18 2" xfId="10523"/>
    <cellStyle name="Note 4 2 5 18 3" xfId="17951"/>
    <cellStyle name="Note 4 2 5 18 4" xfId="25980"/>
    <cellStyle name="Note 4 2 5 18 5" xfId="34597"/>
    <cellStyle name="Note 4 2 5 18 6" xfId="39805"/>
    <cellStyle name="Note 4 2 5 18 7" xfId="52952"/>
    <cellStyle name="Note 4 2 5 19" xfId="2784"/>
    <cellStyle name="Note 4 2 5 19 2" xfId="10607"/>
    <cellStyle name="Note 4 2 5 19 3" xfId="18035"/>
    <cellStyle name="Note 4 2 5 19 4" xfId="20231"/>
    <cellStyle name="Note 4 2 5 19 5" xfId="27878"/>
    <cellStyle name="Note 4 2 5 19 6" xfId="38520"/>
    <cellStyle name="Note 4 2 5 19 7" xfId="48025"/>
    <cellStyle name="Note 4 2 5 2" xfId="652"/>
    <cellStyle name="Note 4 2 5 2 2" xfId="8476"/>
    <cellStyle name="Note 4 2 5 2 3" xfId="8284"/>
    <cellStyle name="Note 4 2 5 2 4" xfId="25450"/>
    <cellStyle name="Note 4 2 5 2 5" xfId="33912"/>
    <cellStyle name="Note 4 2 5 2 6" xfId="37406"/>
    <cellStyle name="Note 4 2 5 2 7" xfId="51754"/>
    <cellStyle name="Note 4 2 5 20" xfId="2891"/>
    <cellStyle name="Note 4 2 5 20 2" xfId="10714"/>
    <cellStyle name="Note 4 2 5 20 3" xfId="18142"/>
    <cellStyle name="Note 4 2 5 20 4" xfId="24839"/>
    <cellStyle name="Note 4 2 5 20 5" xfId="27875"/>
    <cellStyle name="Note 4 2 5 20 6" xfId="36294"/>
    <cellStyle name="Note 4 2 5 20 7" xfId="49403"/>
    <cellStyle name="Note 4 2 5 21" xfId="3267"/>
    <cellStyle name="Note 4 2 5 21 2" xfId="11060"/>
    <cellStyle name="Note 4 2 5 21 3" xfId="18389"/>
    <cellStyle name="Note 4 2 5 21 4" xfId="24800"/>
    <cellStyle name="Note 4 2 5 21 5" xfId="28563"/>
    <cellStyle name="Note 4 2 5 21 6" xfId="39471"/>
    <cellStyle name="Note 4 2 5 21 7" xfId="48701"/>
    <cellStyle name="Note 4 2 5 22" xfId="3387"/>
    <cellStyle name="Note 4 2 5 22 2" xfId="11178"/>
    <cellStyle name="Note 4 2 5 22 3" xfId="18500"/>
    <cellStyle name="Note 4 2 5 22 4" xfId="25274"/>
    <cellStyle name="Note 4 2 5 22 5" xfId="33684"/>
    <cellStyle name="Note 4 2 5 22 6" xfId="38263"/>
    <cellStyle name="Note 4 2 5 22 7" xfId="51378"/>
    <cellStyle name="Note 4 2 5 23" xfId="3521"/>
    <cellStyle name="Note 4 2 5 23 2" xfId="11312"/>
    <cellStyle name="Note 4 2 5 23 3" xfId="18609"/>
    <cellStyle name="Note 4 2 5 23 4" xfId="25925"/>
    <cellStyle name="Note 4 2 5 23 5" xfId="34527"/>
    <cellStyle name="Note 4 2 5 23 6" xfId="40956"/>
    <cellStyle name="Note 4 2 5 23 7" xfId="52834"/>
    <cellStyle name="Note 4 2 5 24" xfId="3218"/>
    <cellStyle name="Note 4 2 5 24 2" xfId="11015"/>
    <cellStyle name="Note 4 2 5 24 3" xfId="18355"/>
    <cellStyle name="Note 4 2 5 24 4" xfId="26456"/>
    <cellStyle name="Note 4 2 5 24 5" xfId="35232"/>
    <cellStyle name="Note 4 2 5 24 6" xfId="40631"/>
    <cellStyle name="Note 4 2 5 24 7" xfId="53971"/>
    <cellStyle name="Note 4 2 5 25" xfId="3657"/>
    <cellStyle name="Note 4 2 5 25 2" xfId="11442"/>
    <cellStyle name="Note 4 2 5 25 3" xfId="18715"/>
    <cellStyle name="Note 4 2 5 25 4" xfId="26301"/>
    <cellStyle name="Note 4 2 5 25 5" xfId="35018"/>
    <cellStyle name="Note 4 2 5 25 6" xfId="40657"/>
    <cellStyle name="Note 4 2 5 25 7" xfId="53648"/>
    <cellStyle name="Note 4 2 5 26" xfId="3788"/>
    <cellStyle name="Note 4 2 5 26 2" xfId="11570"/>
    <cellStyle name="Note 4 2 5 26 3" xfId="18827"/>
    <cellStyle name="Note 4 2 5 26 4" xfId="19173"/>
    <cellStyle name="Note 4 2 5 26 5" xfId="26903"/>
    <cellStyle name="Note 4 2 5 26 6" xfId="39404"/>
    <cellStyle name="Note 4 2 5 26 7" xfId="49200"/>
    <cellStyle name="Note 4 2 5 27" xfId="3905"/>
    <cellStyle name="Note 4 2 5 27 2" xfId="11685"/>
    <cellStyle name="Note 4 2 5 27 3" xfId="18936"/>
    <cellStyle name="Note 4 2 5 27 4" xfId="25008"/>
    <cellStyle name="Note 4 2 5 27 5" xfId="33360"/>
    <cellStyle name="Note 4 2 5 27 6" xfId="38679"/>
    <cellStyle name="Note 4 2 5 27 7" xfId="50813"/>
    <cellStyle name="Note 4 2 5 28" xfId="3188"/>
    <cellStyle name="Note 4 2 5 28 2" xfId="10989"/>
    <cellStyle name="Note 4 2 5 28 3" xfId="20316"/>
    <cellStyle name="Note 4 2 5 28 4" xfId="28408"/>
    <cellStyle name="Note 4 2 5 28 5" xfId="34717"/>
    <cellStyle name="Note 4 2 5 28 6" xfId="42431"/>
    <cellStyle name="Note 4 2 5 28 7" xfId="49705"/>
    <cellStyle name="Note 4 2 5 29" xfId="4102"/>
    <cellStyle name="Note 4 2 5 29 2" xfId="11862"/>
    <cellStyle name="Note 4 2 5 29 3" xfId="20812"/>
    <cellStyle name="Note 4 2 5 29 4" xfId="28999"/>
    <cellStyle name="Note 4 2 5 29 5" xfId="36124"/>
    <cellStyle name="Note 4 2 5 29 6" xfId="42664"/>
    <cellStyle name="Note 4 2 5 29 7" xfId="53993"/>
    <cellStyle name="Note 4 2 5 3" xfId="759"/>
    <cellStyle name="Note 4 2 5 3 2" xfId="8583"/>
    <cellStyle name="Note 4 2 5 3 3" xfId="16011"/>
    <cellStyle name="Note 4 2 5 3 4" xfId="26402"/>
    <cellStyle name="Note 4 2 5 3 5" xfId="35154"/>
    <cellStyle name="Note 4 2 5 3 6" xfId="37399"/>
    <cellStyle name="Note 4 2 5 3 7" xfId="53853"/>
    <cellStyle name="Note 4 2 5 30" xfId="3766"/>
    <cellStyle name="Note 4 2 5 30 2" xfId="20616"/>
    <cellStyle name="Note 4 2 5 30 3" xfId="28766"/>
    <cellStyle name="Note 4 2 5 30 4" xfId="35594"/>
    <cellStyle name="Note 4 2 5 30 5" xfId="42542"/>
    <cellStyle name="Note 4 2 5 30 6" xfId="51475"/>
    <cellStyle name="Note 4 2 5 31" xfId="4299"/>
    <cellStyle name="Note 4 2 5 31 2" xfId="12016"/>
    <cellStyle name="Note 4 2 5 31 3" xfId="21009"/>
    <cellStyle name="Note 4 2 5 31 4" xfId="29196"/>
    <cellStyle name="Note 4 2 5 31 5" xfId="26845"/>
    <cellStyle name="Note 4 2 5 31 6" xfId="42861"/>
    <cellStyle name="Note 4 2 5 31 7" xfId="49155"/>
    <cellStyle name="Note 4 2 5 32" xfId="4422"/>
    <cellStyle name="Note 4 2 5 32 2" xfId="12139"/>
    <cellStyle name="Note 4 2 5 32 3" xfId="21132"/>
    <cellStyle name="Note 4 2 5 32 4" xfId="29319"/>
    <cellStyle name="Note 4 2 5 32 5" xfId="35925"/>
    <cellStyle name="Note 4 2 5 32 6" xfId="42984"/>
    <cellStyle name="Note 4 2 5 32 7" xfId="53068"/>
    <cellStyle name="Note 4 2 5 33" xfId="4536"/>
    <cellStyle name="Note 4 2 5 33 2" xfId="12253"/>
    <cellStyle name="Note 4 2 5 33 3" xfId="21246"/>
    <cellStyle name="Note 4 2 5 33 4" xfId="29433"/>
    <cellStyle name="Note 4 2 5 33 5" xfId="35812"/>
    <cellStyle name="Note 4 2 5 33 6" xfId="43098"/>
    <cellStyle name="Note 4 2 5 33 7" xfId="52498"/>
    <cellStyle name="Note 4 2 5 34" xfId="4649"/>
    <cellStyle name="Note 4 2 5 34 2" xfId="12366"/>
    <cellStyle name="Note 4 2 5 34 3" xfId="21359"/>
    <cellStyle name="Note 4 2 5 34 4" xfId="29546"/>
    <cellStyle name="Note 4 2 5 34 5" xfId="35758"/>
    <cellStyle name="Note 4 2 5 34 6" xfId="43211"/>
    <cellStyle name="Note 4 2 5 34 7" xfId="52281"/>
    <cellStyle name="Note 4 2 5 35" xfId="4761"/>
    <cellStyle name="Note 4 2 5 35 2" xfId="12478"/>
    <cellStyle name="Note 4 2 5 35 3" xfId="21471"/>
    <cellStyle name="Note 4 2 5 35 4" xfId="29658"/>
    <cellStyle name="Note 4 2 5 35 5" xfId="27098"/>
    <cellStyle name="Note 4 2 5 35 6" xfId="43323"/>
    <cellStyle name="Note 4 2 5 35 7" xfId="50605"/>
    <cellStyle name="Note 4 2 5 36" xfId="4869"/>
    <cellStyle name="Note 4 2 5 36 2" xfId="12586"/>
    <cellStyle name="Note 4 2 5 36 3" xfId="21579"/>
    <cellStyle name="Note 4 2 5 36 4" xfId="29766"/>
    <cellStyle name="Note 4 2 5 36 5" xfId="35744"/>
    <cellStyle name="Note 4 2 5 36 6" xfId="43431"/>
    <cellStyle name="Note 4 2 5 36 7" xfId="52211"/>
    <cellStyle name="Note 4 2 5 37" xfId="4981"/>
    <cellStyle name="Note 4 2 5 37 2" xfId="12698"/>
    <cellStyle name="Note 4 2 5 37 3" xfId="21691"/>
    <cellStyle name="Note 4 2 5 37 4" xfId="29878"/>
    <cellStyle name="Note 4 2 5 37 5" xfId="28318"/>
    <cellStyle name="Note 4 2 5 37 6" xfId="43543"/>
    <cellStyle name="Note 4 2 5 37 7" xfId="47457"/>
    <cellStyle name="Note 4 2 5 38" xfId="5130"/>
    <cellStyle name="Note 4 2 5 38 2" xfId="12847"/>
    <cellStyle name="Note 4 2 5 38 3" xfId="21840"/>
    <cellStyle name="Note 4 2 5 38 4" xfId="30027"/>
    <cellStyle name="Note 4 2 5 38 5" xfId="35674"/>
    <cellStyle name="Note 4 2 5 38 6" xfId="43692"/>
    <cellStyle name="Note 4 2 5 38 7" xfId="51798"/>
    <cellStyle name="Note 4 2 5 39" xfId="5479"/>
    <cellStyle name="Note 4 2 5 39 2" xfId="13196"/>
    <cellStyle name="Note 4 2 5 39 3" xfId="22189"/>
    <cellStyle name="Note 4 2 5 39 4" xfId="30376"/>
    <cellStyle name="Note 4 2 5 39 5" xfId="35427"/>
    <cellStyle name="Note 4 2 5 39 6" xfId="44041"/>
    <cellStyle name="Note 4 2 5 39 7" xfId="47526"/>
    <cellStyle name="Note 4 2 5 4" xfId="871"/>
    <cellStyle name="Note 4 2 5 4 2" xfId="8695"/>
    <cellStyle name="Note 4 2 5 4 3" xfId="16123"/>
    <cellStyle name="Note 4 2 5 4 4" xfId="20386"/>
    <cellStyle name="Note 4 2 5 4 5" xfId="28043"/>
    <cellStyle name="Note 4 2 5 4 6" xfId="37382"/>
    <cellStyle name="Note 4 2 5 4 7" xfId="48627"/>
    <cellStyle name="Note 4 2 5 40" xfId="5604"/>
    <cellStyle name="Note 4 2 5 40 2" xfId="13321"/>
    <cellStyle name="Note 4 2 5 40 3" xfId="22314"/>
    <cellStyle name="Note 4 2 5 40 4" xfId="30501"/>
    <cellStyle name="Note 4 2 5 40 5" xfId="35558"/>
    <cellStyle name="Note 4 2 5 40 6" xfId="44166"/>
    <cellStyle name="Note 4 2 5 40 7" xfId="47137"/>
    <cellStyle name="Note 4 2 5 41" xfId="5719"/>
    <cellStyle name="Note 4 2 5 41 2" xfId="13436"/>
    <cellStyle name="Note 4 2 5 41 3" xfId="22429"/>
    <cellStyle name="Note 4 2 5 41 4" xfId="30616"/>
    <cellStyle name="Note 4 2 5 41 5" xfId="33479"/>
    <cellStyle name="Note 4 2 5 41 6" xfId="44281"/>
    <cellStyle name="Note 4 2 5 41 7" xfId="46903"/>
    <cellStyle name="Note 4 2 5 42" xfId="5836"/>
    <cellStyle name="Note 4 2 5 42 2" xfId="13553"/>
    <cellStyle name="Note 4 2 5 42 3" xfId="22546"/>
    <cellStyle name="Note 4 2 5 42 4" xfId="30733"/>
    <cellStyle name="Note 4 2 5 42 5" xfId="35087"/>
    <cellStyle name="Note 4 2 5 42 6" xfId="44398"/>
    <cellStyle name="Note 4 2 5 42 7" xfId="47809"/>
    <cellStyle name="Note 4 2 5 43" xfId="5964"/>
    <cellStyle name="Note 4 2 5 43 2" xfId="13681"/>
    <cellStyle name="Note 4 2 5 43 3" xfId="22674"/>
    <cellStyle name="Note 4 2 5 43 4" xfId="30861"/>
    <cellStyle name="Note 4 2 5 43 5" xfId="28055"/>
    <cellStyle name="Note 4 2 5 43 6" xfId="44526"/>
    <cellStyle name="Note 4 2 5 43 7" xfId="47562"/>
    <cellStyle name="Note 4 2 5 44" xfId="6076"/>
    <cellStyle name="Note 4 2 5 44 2" xfId="13793"/>
    <cellStyle name="Note 4 2 5 44 3" xfId="22786"/>
    <cellStyle name="Note 4 2 5 44 4" xfId="30973"/>
    <cellStyle name="Note 4 2 5 44 5" xfId="36178"/>
    <cellStyle name="Note 4 2 5 44 6" xfId="44638"/>
    <cellStyle name="Note 4 2 5 44 7" xfId="53834"/>
    <cellStyle name="Note 4 2 5 45" xfId="5181"/>
    <cellStyle name="Note 4 2 5 45 2" xfId="12898"/>
    <cellStyle name="Note 4 2 5 45 3" xfId="21891"/>
    <cellStyle name="Note 4 2 5 45 4" xfId="30078"/>
    <cellStyle name="Note 4 2 5 45 5" xfId="34695"/>
    <cellStyle name="Note 4 2 5 45 6" xfId="43743"/>
    <cellStyle name="Note 4 2 5 45 7" xfId="51276"/>
    <cellStyle name="Note 4 2 5 46" xfId="6220"/>
    <cellStyle name="Note 4 2 5 46 2" xfId="13937"/>
    <cellStyle name="Note 4 2 5 46 3" xfId="22930"/>
    <cellStyle name="Note 4 2 5 46 4" xfId="31117"/>
    <cellStyle name="Note 4 2 5 46 5" xfId="36068"/>
    <cellStyle name="Note 4 2 5 46 6" xfId="44782"/>
    <cellStyle name="Note 4 2 5 46 7" xfId="53349"/>
    <cellStyle name="Note 4 2 5 47" xfId="6337"/>
    <cellStyle name="Note 4 2 5 47 2" xfId="14054"/>
    <cellStyle name="Note 4 2 5 47 3" xfId="23047"/>
    <cellStyle name="Note 4 2 5 47 4" xfId="31234"/>
    <cellStyle name="Note 4 2 5 47 5" xfId="34443"/>
    <cellStyle name="Note 4 2 5 47 6" xfId="44899"/>
    <cellStyle name="Note 4 2 5 47 7" xfId="50207"/>
    <cellStyle name="Note 4 2 5 48" xfId="6447"/>
    <cellStyle name="Note 4 2 5 48 2" xfId="14164"/>
    <cellStyle name="Note 4 2 5 48 3" xfId="23157"/>
    <cellStyle name="Note 4 2 5 48 4" xfId="31344"/>
    <cellStyle name="Note 4 2 5 48 5" xfId="35629"/>
    <cellStyle name="Note 4 2 5 48 6" xfId="45009"/>
    <cellStyle name="Note 4 2 5 48 7" xfId="51288"/>
    <cellStyle name="Note 4 2 5 49" xfId="6194"/>
    <cellStyle name="Note 4 2 5 49 2" xfId="13911"/>
    <cellStyle name="Note 4 2 5 49 3" xfId="22904"/>
    <cellStyle name="Note 4 2 5 49 4" xfId="31091"/>
    <cellStyle name="Note 4 2 5 49 5" xfId="34874"/>
    <cellStyle name="Note 4 2 5 49 6" xfId="44756"/>
    <cellStyle name="Note 4 2 5 49 7" xfId="48704"/>
    <cellStyle name="Note 4 2 5 5" xfId="1336"/>
    <cellStyle name="Note 4 2 5 5 2" xfId="9159"/>
    <cellStyle name="Note 4 2 5 5 3" xfId="16587"/>
    <cellStyle name="Note 4 2 5 5 4" xfId="19070"/>
    <cellStyle name="Note 4 2 5 5 5" xfId="33156"/>
    <cellStyle name="Note 4 2 5 5 6" xfId="41873"/>
    <cellStyle name="Note 4 2 5 5 7" xfId="50445"/>
    <cellStyle name="Note 4 2 5 50" xfId="6594"/>
    <cellStyle name="Note 4 2 5 50 2" xfId="14311"/>
    <cellStyle name="Note 4 2 5 50 3" xfId="23304"/>
    <cellStyle name="Note 4 2 5 50 4" xfId="31491"/>
    <cellStyle name="Note 4 2 5 50 5" xfId="35727"/>
    <cellStyle name="Note 4 2 5 50 6" xfId="45156"/>
    <cellStyle name="Note 4 2 5 50 7" xfId="51536"/>
    <cellStyle name="Note 4 2 5 51" xfId="6705"/>
    <cellStyle name="Note 4 2 5 51 2" xfId="14422"/>
    <cellStyle name="Note 4 2 5 51 3" xfId="23415"/>
    <cellStyle name="Note 4 2 5 51 4" xfId="31602"/>
    <cellStyle name="Note 4 2 5 51 5" xfId="34041"/>
    <cellStyle name="Note 4 2 5 51 6" xfId="45267"/>
    <cellStyle name="Note 4 2 5 51 7" xfId="48380"/>
    <cellStyle name="Note 4 2 5 52" xfId="6820"/>
    <cellStyle name="Note 4 2 5 52 2" xfId="14537"/>
    <cellStyle name="Note 4 2 5 52 3" xfId="23530"/>
    <cellStyle name="Note 4 2 5 52 4" xfId="31717"/>
    <cellStyle name="Note 4 2 5 52 5" xfId="27401"/>
    <cellStyle name="Note 4 2 5 52 6" xfId="45382"/>
    <cellStyle name="Note 4 2 5 52 7" xfId="49898"/>
    <cellStyle name="Note 4 2 5 53" xfId="6933"/>
    <cellStyle name="Note 4 2 5 53 2" xfId="14650"/>
    <cellStyle name="Note 4 2 5 53 3" xfId="23643"/>
    <cellStyle name="Note 4 2 5 53 4" xfId="31830"/>
    <cellStyle name="Note 4 2 5 53 5" xfId="34968"/>
    <cellStyle name="Note 4 2 5 53 6" xfId="45495"/>
    <cellStyle name="Note 4 2 5 53 7" xfId="47016"/>
    <cellStyle name="Note 4 2 5 54" xfId="7045"/>
    <cellStyle name="Note 4 2 5 54 2" xfId="14762"/>
    <cellStyle name="Note 4 2 5 54 3" xfId="23755"/>
    <cellStyle name="Note 4 2 5 54 4" xfId="31942"/>
    <cellStyle name="Note 4 2 5 54 5" xfId="33306"/>
    <cellStyle name="Note 4 2 5 54 6" xfId="45607"/>
    <cellStyle name="Note 4 2 5 54 7" xfId="46992"/>
    <cellStyle name="Note 4 2 5 55" xfId="7225"/>
    <cellStyle name="Note 4 2 5 55 2" xfId="14942"/>
    <cellStyle name="Note 4 2 5 55 3" xfId="23935"/>
    <cellStyle name="Note 4 2 5 55 4" xfId="32122"/>
    <cellStyle name="Note 4 2 5 55 5" xfId="33370"/>
    <cellStyle name="Note 4 2 5 55 6" xfId="45787"/>
    <cellStyle name="Note 4 2 5 55 7" xfId="48719"/>
    <cellStyle name="Note 4 2 5 56" xfId="7222"/>
    <cellStyle name="Note 4 2 5 56 2" xfId="14939"/>
    <cellStyle name="Note 4 2 5 56 3" xfId="23932"/>
    <cellStyle name="Note 4 2 5 56 4" xfId="32119"/>
    <cellStyle name="Note 4 2 5 56 5" xfId="27343"/>
    <cellStyle name="Note 4 2 5 56 6" xfId="45784"/>
    <cellStyle name="Note 4 2 5 56 7" xfId="47937"/>
    <cellStyle name="Note 4 2 5 57" xfId="7442"/>
    <cellStyle name="Note 4 2 5 57 2" xfId="15159"/>
    <cellStyle name="Note 4 2 5 57 3" xfId="24152"/>
    <cellStyle name="Note 4 2 5 57 4" xfId="32339"/>
    <cellStyle name="Note 4 2 5 57 5" xfId="33826"/>
    <cellStyle name="Note 4 2 5 57 6" xfId="46004"/>
    <cellStyle name="Note 4 2 5 57 7" xfId="48923"/>
    <cellStyle name="Note 4 2 5 58" xfId="7563"/>
    <cellStyle name="Note 4 2 5 58 2" xfId="15280"/>
    <cellStyle name="Note 4 2 5 58 3" xfId="24273"/>
    <cellStyle name="Note 4 2 5 58 4" xfId="32460"/>
    <cellStyle name="Note 4 2 5 58 5" xfId="34860"/>
    <cellStyle name="Note 4 2 5 58 6" xfId="46125"/>
    <cellStyle name="Note 4 2 5 58 7" xfId="50869"/>
    <cellStyle name="Note 4 2 5 59" xfId="7839"/>
    <cellStyle name="Note 4 2 5 59 2" xfId="15556"/>
    <cellStyle name="Note 4 2 5 59 3" xfId="24543"/>
    <cellStyle name="Note 4 2 5 59 4" xfId="32736"/>
    <cellStyle name="Note 4 2 5 59 5" xfId="35878"/>
    <cellStyle name="Note 4 2 5 59 6" xfId="46401"/>
    <cellStyle name="Note 4 2 5 59 7" xfId="52254"/>
    <cellStyle name="Note 4 2 5 6" xfId="1459"/>
    <cellStyle name="Note 4 2 5 6 2" xfId="9282"/>
    <cellStyle name="Note 4 2 5 6 3" xfId="16710"/>
    <cellStyle name="Note 4 2 5 6 4" xfId="19786"/>
    <cellStyle name="Note 4 2 5 6 5" xfId="28004"/>
    <cellStyle name="Note 4 2 5 6 6" xfId="38086"/>
    <cellStyle name="Note 4 2 5 6 7" xfId="50042"/>
    <cellStyle name="Note 4 2 5 60" xfId="7700"/>
    <cellStyle name="Note 4 2 5 60 2" xfId="15417"/>
    <cellStyle name="Note 4 2 5 60 3" xfId="24408"/>
    <cellStyle name="Note 4 2 5 60 4" xfId="32597"/>
    <cellStyle name="Note 4 2 5 60 5" xfId="35839"/>
    <cellStyle name="Note 4 2 5 60 6" xfId="46262"/>
    <cellStyle name="Note 4 2 5 60 7" xfId="52137"/>
    <cellStyle name="Note 4 2 5 61" xfId="7949"/>
    <cellStyle name="Note 4 2 5 61 2" xfId="15666"/>
    <cellStyle name="Note 4 2 5 61 3" xfId="24652"/>
    <cellStyle name="Note 4 2 5 61 4" xfId="32846"/>
    <cellStyle name="Note 4 2 5 61 5" xfId="35782"/>
    <cellStyle name="Note 4 2 5 61 6" xfId="46511"/>
    <cellStyle name="Note 4 2 5 61 7" xfId="51748"/>
    <cellStyle name="Note 4 2 5 62" xfId="8051"/>
    <cellStyle name="Note 4 2 5 62 2" xfId="15768"/>
    <cellStyle name="Note 4 2 5 62 3" xfId="24753"/>
    <cellStyle name="Note 4 2 5 62 4" xfId="32948"/>
    <cellStyle name="Note 4 2 5 62 5" xfId="35830"/>
    <cellStyle name="Note 4 2 5 62 6" xfId="46613"/>
    <cellStyle name="Note 4 2 5 62 7" xfId="52054"/>
    <cellStyle name="Note 4 2 5 63" xfId="8115"/>
    <cellStyle name="Note 4 2 5 63 2" xfId="15832"/>
    <cellStyle name="Note 4 2 5 63 3" xfId="33012"/>
    <cellStyle name="Note 4 2 5 63 4" xfId="35942"/>
    <cellStyle name="Note 4 2 5 63 5" xfId="46677"/>
    <cellStyle name="Note 4 2 5 63 6" xfId="52681"/>
    <cellStyle name="Note 4 2 5 64" xfId="19757"/>
    <cellStyle name="Note 4 2 5 65" xfId="27767"/>
    <cellStyle name="Note 4 2 5 66" xfId="36537"/>
    <cellStyle name="Note 4 2 5 67" xfId="47599"/>
    <cellStyle name="Note 4 2 5 7" xfId="1551"/>
    <cellStyle name="Note 4 2 5 7 2" xfId="9374"/>
    <cellStyle name="Note 4 2 5 7 3" xfId="16802"/>
    <cellStyle name="Note 4 2 5 7 4" xfId="26511"/>
    <cellStyle name="Note 4 2 5 7 5" xfId="35307"/>
    <cellStyle name="Note 4 2 5 7 6" xfId="38738"/>
    <cellStyle name="Note 4 2 5 7 7" xfId="54094"/>
    <cellStyle name="Note 4 2 5 8" xfId="1696"/>
    <cellStyle name="Note 4 2 5 8 2" xfId="9519"/>
    <cellStyle name="Note 4 2 5 8 3" xfId="16947"/>
    <cellStyle name="Note 4 2 5 8 4" xfId="20268"/>
    <cellStyle name="Note 4 2 5 8 5" xfId="27937"/>
    <cellStyle name="Note 4 2 5 8 6" xfId="37274"/>
    <cellStyle name="Note 4 2 5 8 7" xfId="48552"/>
    <cellStyle name="Note 4 2 5 9" xfId="1830"/>
    <cellStyle name="Note 4 2 5 9 2" xfId="9653"/>
    <cellStyle name="Note 4 2 5 9 3" xfId="17081"/>
    <cellStyle name="Note 4 2 5 9 4" xfId="19269"/>
    <cellStyle name="Note 4 2 5 9 5" xfId="27453"/>
    <cellStyle name="Note 4 2 5 9 6" xfId="38067"/>
    <cellStyle name="Note 4 2 5 9 7" xfId="48356"/>
    <cellStyle name="Note 4 2 50" xfId="5082"/>
    <cellStyle name="Note 4 2 50 2" xfId="12799"/>
    <cellStyle name="Note 4 2 50 3" xfId="21792"/>
    <cellStyle name="Note 4 2 50 4" xfId="29979"/>
    <cellStyle name="Note 4 2 50 5" xfId="35886"/>
    <cellStyle name="Note 4 2 50 6" xfId="43644"/>
    <cellStyle name="Note 4 2 50 7" xfId="52883"/>
    <cellStyle name="Note 4 2 51" xfId="6094"/>
    <cellStyle name="Note 4 2 51 2" xfId="13811"/>
    <cellStyle name="Note 4 2 51 3" xfId="22804"/>
    <cellStyle name="Note 4 2 51 4" xfId="30991"/>
    <cellStyle name="Note 4 2 51 5" xfId="35765"/>
    <cellStyle name="Note 4 2 51 6" xfId="44656"/>
    <cellStyle name="Note 4 2 51 7" xfId="52110"/>
    <cellStyle name="Note 4 2 52" xfId="5986"/>
    <cellStyle name="Note 4 2 52 2" xfId="13703"/>
    <cellStyle name="Note 4 2 52 3" xfId="22696"/>
    <cellStyle name="Note 4 2 52 4" xfId="30883"/>
    <cellStyle name="Note 4 2 52 5" xfId="34012"/>
    <cellStyle name="Note 4 2 52 6" xfId="44548"/>
    <cellStyle name="Note 4 2 52 7" xfId="47319"/>
    <cellStyle name="Note 4 2 53" xfId="6184"/>
    <cellStyle name="Note 4 2 53 2" xfId="13901"/>
    <cellStyle name="Note 4 2 53 3" xfId="22894"/>
    <cellStyle name="Note 4 2 53 4" xfId="31081"/>
    <cellStyle name="Note 4 2 53 5" xfId="34424"/>
    <cellStyle name="Note 4 2 53 6" xfId="44746"/>
    <cellStyle name="Note 4 2 53 7" xfId="49487"/>
    <cellStyle name="Note 4 2 54" xfId="5217"/>
    <cellStyle name="Note 4 2 54 2" xfId="12934"/>
    <cellStyle name="Note 4 2 54 3" xfId="21927"/>
    <cellStyle name="Note 4 2 54 4" xfId="30114"/>
    <cellStyle name="Note 4 2 54 5" xfId="35824"/>
    <cellStyle name="Note 4 2 54 6" xfId="43779"/>
    <cellStyle name="Note 4 2 54 7" xfId="52540"/>
    <cellStyle name="Note 4 2 55" xfId="5349"/>
    <cellStyle name="Note 4 2 55 2" xfId="13066"/>
    <cellStyle name="Note 4 2 55 3" xfId="22059"/>
    <cellStyle name="Note 4 2 55 4" xfId="30246"/>
    <cellStyle name="Note 4 2 55 5" xfId="33584"/>
    <cellStyle name="Note 4 2 55 6" xfId="43911"/>
    <cellStyle name="Note 4 2 55 7" xfId="49103"/>
    <cellStyle name="Note 4 2 56" xfId="5943"/>
    <cellStyle name="Note 4 2 56 2" xfId="13660"/>
    <cellStyle name="Note 4 2 56 3" xfId="22653"/>
    <cellStyle name="Note 4 2 56 4" xfId="30840"/>
    <cellStyle name="Note 4 2 56 5" xfId="35996"/>
    <cellStyle name="Note 4 2 56 6" xfId="44505"/>
    <cellStyle name="Note 4 2 56 7" xfId="53182"/>
    <cellStyle name="Note 4 2 57" xfId="6759"/>
    <cellStyle name="Note 4 2 57 2" xfId="14476"/>
    <cellStyle name="Note 4 2 57 3" xfId="23469"/>
    <cellStyle name="Note 4 2 57 4" xfId="31656"/>
    <cellStyle name="Note 4 2 57 5" xfId="27020"/>
    <cellStyle name="Note 4 2 57 6" xfId="45321"/>
    <cellStyle name="Note 4 2 57 7" xfId="48271"/>
    <cellStyle name="Note 4 2 58" xfId="6874"/>
    <cellStyle name="Note 4 2 58 2" xfId="14591"/>
    <cellStyle name="Note 4 2 58 3" xfId="23584"/>
    <cellStyle name="Note 4 2 58 4" xfId="31771"/>
    <cellStyle name="Note 4 2 58 5" xfId="33450"/>
    <cellStyle name="Note 4 2 58 6" xfId="45436"/>
    <cellStyle name="Note 4 2 58 7" xfId="46890"/>
    <cellStyle name="Note 4 2 59" xfId="6987"/>
    <cellStyle name="Note 4 2 59 2" xfId="14704"/>
    <cellStyle name="Note 4 2 59 3" xfId="23697"/>
    <cellStyle name="Note 4 2 59 4" xfId="31884"/>
    <cellStyle name="Note 4 2 59 5" xfId="27079"/>
    <cellStyle name="Note 4 2 59 6" xfId="45549"/>
    <cellStyle name="Note 4 2 59 7" xfId="54553"/>
    <cellStyle name="Note 4 2 6" xfId="494"/>
    <cellStyle name="Note 4 2 6 10" xfId="1941"/>
    <cellStyle name="Note 4 2 6 10 2" xfId="9764"/>
    <cellStyle name="Note 4 2 6 10 3" xfId="17192"/>
    <cellStyle name="Note 4 2 6 10 4" xfId="25903"/>
    <cellStyle name="Note 4 2 6 10 5" xfId="34498"/>
    <cellStyle name="Note 4 2 6 10 6" xfId="41360"/>
    <cellStyle name="Note 4 2 6 10 7" xfId="52784"/>
    <cellStyle name="Note 4 2 6 11" xfId="2059"/>
    <cellStyle name="Note 4 2 6 11 2" xfId="9882"/>
    <cellStyle name="Note 4 2 6 11 3" xfId="17310"/>
    <cellStyle name="Note 4 2 6 11 4" xfId="25881"/>
    <cellStyle name="Note 4 2 6 11 5" xfId="34471"/>
    <cellStyle name="Note 4 2 6 11 6" xfId="37268"/>
    <cellStyle name="Note 4 2 6 11 7" xfId="52741"/>
    <cellStyle name="Note 4 2 6 12" xfId="2172"/>
    <cellStyle name="Note 4 2 6 12 2" xfId="9995"/>
    <cellStyle name="Note 4 2 6 12 3" xfId="17423"/>
    <cellStyle name="Note 4 2 6 12 4" xfId="25004"/>
    <cellStyle name="Note 4 2 6 12 5" xfId="33356"/>
    <cellStyle name="Note 4 2 6 12 6" xfId="40281"/>
    <cellStyle name="Note 4 2 6 12 7" xfId="50808"/>
    <cellStyle name="Note 4 2 6 13" xfId="993"/>
    <cellStyle name="Note 4 2 6 13 2" xfId="8817"/>
    <cellStyle name="Note 4 2 6 13 3" xfId="16245"/>
    <cellStyle name="Note 4 2 6 13 4" xfId="25273"/>
    <cellStyle name="Note 4 2 6 13 5" xfId="33683"/>
    <cellStyle name="Note 4 2 6 13 6" xfId="38204"/>
    <cellStyle name="Note 4 2 6 13 7" xfId="51376"/>
    <cellStyle name="Note 4 2 6 14" xfId="1925"/>
    <cellStyle name="Note 4 2 6 14 2" xfId="9748"/>
    <cellStyle name="Note 4 2 6 14 3" xfId="17176"/>
    <cellStyle name="Note 4 2 6 14 4" xfId="19367"/>
    <cellStyle name="Note 4 2 6 14 5" xfId="28034"/>
    <cellStyle name="Note 4 2 6 14 6" xfId="41675"/>
    <cellStyle name="Note 4 2 6 14 7" xfId="48170"/>
    <cellStyle name="Note 4 2 6 15" xfId="2470"/>
    <cellStyle name="Note 4 2 6 15 2" xfId="10293"/>
    <cellStyle name="Note 4 2 6 15 3" xfId="17721"/>
    <cellStyle name="Note 4 2 6 15 4" xfId="26566"/>
    <cellStyle name="Note 4 2 6 15 5" xfId="35378"/>
    <cellStyle name="Note 4 2 6 15 6" xfId="36531"/>
    <cellStyle name="Note 4 2 6 15 7" xfId="54206"/>
    <cellStyle name="Note 4 2 6 16" xfId="2583"/>
    <cellStyle name="Note 4 2 6 16 2" xfId="10406"/>
    <cellStyle name="Note 4 2 6 16 3" xfId="17834"/>
    <cellStyle name="Note 4 2 6 16 4" xfId="25252"/>
    <cellStyle name="Note 4 2 6 16 5" xfId="33657"/>
    <cellStyle name="Note 4 2 6 16 6" xfId="37121"/>
    <cellStyle name="Note 4 2 6 16 7" xfId="51326"/>
    <cellStyle name="Note 4 2 6 17" xfId="1088"/>
    <cellStyle name="Note 4 2 6 17 2" xfId="8912"/>
    <cellStyle name="Note 4 2 6 17 3" xfId="16340"/>
    <cellStyle name="Note 4 2 6 17 4" xfId="19376"/>
    <cellStyle name="Note 4 2 6 17 5" xfId="27399"/>
    <cellStyle name="Note 4 2 6 17 6" xfId="37606"/>
    <cellStyle name="Note 4 2 6 17 7" xfId="48819"/>
    <cellStyle name="Note 4 2 6 18" xfId="2333"/>
    <cellStyle name="Note 4 2 6 18 2" xfId="10156"/>
    <cellStyle name="Note 4 2 6 18 3" xfId="17584"/>
    <cellStyle name="Note 4 2 6 18 4" xfId="26361"/>
    <cellStyle name="Note 4 2 6 18 5" xfId="35093"/>
    <cellStyle name="Note 4 2 6 18 6" xfId="40267"/>
    <cellStyle name="Note 4 2 6 18 7" xfId="53760"/>
    <cellStyle name="Note 4 2 6 19" xfId="2777"/>
    <cellStyle name="Note 4 2 6 19 2" xfId="10600"/>
    <cellStyle name="Note 4 2 6 19 3" xfId="18028"/>
    <cellStyle name="Note 4 2 6 19 4" xfId="26357"/>
    <cellStyle name="Note 4 2 6 19 5" xfId="35089"/>
    <cellStyle name="Note 4 2 6 19 6" xfId="39276"/>
    <cellStyle name="Note 4 2 6 19 7" xfId="53751"/>
    <cellStyle name="Note 4 2 6 2" xfId="645"/>
    <cellStyle name="Note 4 2 6 2 2" xfId="8469"/>
    <cellStyle name="Note 4 2 6 2 3" xfId="8289"/>
    <cellStyle name="Note 4 2 6 2 4" xfId="20367"/>
    <cellStyle name="Note 4 2 6 2 5" xfId="28172"/>
    <cellStyle name="Note 4 2 6 2 6" xfId="37888"/>
    <cellStyle name="Note 4 2 6 2 7" xfId="48042"/>
    <cellStyle name="Note 4 2 6 20" xfId="2884"/>
    <cellStyle name="Note 4 2 6 20 2" xfId="10707"/>
    <cellStyle name="Note 4 2 6 20 3" xfId="18135"/>
    <cellStyle name="Note 4 2 6 20 4" xfId="20161"/>
    <cellStyle name="Note 4 2 6 20 5" xfId="28543"/>
    <cellStyle name="Note 4 2 6 20 6" xfId="37125"/>
    <cellStyle name="Note 4 2 6 20 7" xfId="50234"/>
    <cellStyle name="Note 4 2 6 21" xfId="3260"/>
    <cellStyle name="Note 4 2 6 21 2" xfId="11053"/>
    <cellStyle name="Note 4 2 6 21 3" xfId="18382"/>
    <cellStyle name="Note 4 2 6 21 4" xfId="19327"/>
    <cellStyle name="Note 4 2 6 21 5" xfId="27658"/>
    <cellStyle name="Note 4 2 6 21 6" xfId="36316"/>
    <cellStyle name="Note 4 2 6 21 7" xfId="47449"/>
    <cellStyle name="Note 4 2 6 22" xfId="3380"/>
    <cellStyle name="Note 4 2 6 22 2" xfId="11171"/>
    <cellStyle name="Note 4 2 6 22 3" xfId="18493"/>
    <cellStyle name="Note 4 2 6 22 4" xfId="25687"/>
    <cellStyle name="Note 4 2 6 22 5" xfId="34225"/>
    <cellStyle name="Note 4 2 6 22 6" xfId="38850"/>
    <cellStyle name="Note 4 2 6 22 7" xfId="52285"/>
    <cellStyle name="Note 4 2 6 23" xfId="3514"/>
    <cellStyle name="Note 4 2 6 23 2" xfId="11305"/>
    <cellStyle name="Note 4 2 6 23 3" xfId="18603"/>
    <cellStyle name="Note 4 2 6 23 4" xfId="26187"/>
    <cellStyle name="Note 4 2 6 23 5" xfId="34861"/>
    <cellStyle name="Note 4 2 6 23 6" xfId="41775"/>
    <cellStyle name="Note 4 2 6 23 7" xfId="53394"/>
    <cellStyle name="Note 4 2 6 24" xfId="3559"/>
    <cellStyle name="Note 4 2 6 24 2" xfId="11348"/>
    <cellStyle name="Note 4 2 6 24 3" xfId="18633"/>
    <cellStyle name="Note 4 2 6 24 4" xfId="19405"/>
    <cellStyle name="Note 4 2 6 24 5" xfId="28828"/>
    <cellStyle name="Note 4 2 6 24 6" xfId="36922"/>
    <cellStyle name="Note 4 2 6 24 7" xfId="48903"/>
    <cellStyle name="Note 4 2 6 25" xfId="3650"/>
    <cellStyle name="Note 4 2 6 25 2" xfId="11435"/>
    <cellStyle name="Note 4 2 6 25 3" xfId="18708"/>
    <cellStyle name="Note 4 2 6 25 4" xfId="26654"/>
    <cellStyle name="Note 4 2 6 25 5" xfId="35498"/>
    <cellStyle name="Note 4 2 6 25 6" xfId="41224"/>
    <cellStyle name="Note 4 2 6 25 7" xfId="54397"/>
    <cellStyle name="Note 4 2 6 26" xfId="3781"/>
    <cellStyle name="Note 4 2 6 26 2" xfId="11563"/>
    <cellStyle name="Note 4 2 6 26 3" xfId="18820"/>
    <cellStyle name="Note 4 2 6 26 4" xfId="19379"/>
    <cellStyle name="Note 4 2 6 26 5" xfId="26801"/>
    <cellStyle name="Note 4 2 6 26 6" xfId="37200"/>
    <cellStyle name="Note 4 2 6 26 7" xfId="50097"/>
    <cellStyle name="Note 4 2 6 27" xfId="3898"/>
    <cellStyle name="Note 4 2 6 27 2" xfId="11678"/>
    <cellStyle name="Note 4 2 6 27 3" xfId="18929"/>
    <cellStyle name="Note 4 2 6 27 4" xfId="25342"/>
    <cellStyle name="Note 4 2 6 27 5" xfId="33774"/>
    <cellStyle name="Note 4 2 6 27 6" xfId="39694"/>
    <cellStyle name="Note 4 2 6 27 7" xfId="51512"/>
    <cellStyle name="Note 4 2 6 28" xfId="3019"/>
    <cellStyle name="Note 4 2 6 28 2" xfId="10835"/>
    <cellStyle name="Note 4 2 6 28 3" xfId="20192"/>
    <cellStyle name="Note 4 2 6 28 4" xfId="28283"/>
    <cellStyle name="Note 4 2 6 28 5" xfId="26860"/>
    <cellStyle name="Note 4 2 6 28 6" xfId="42357"/>
    <cellStyle name="Note 4 2 6 28 7" xfId="51280"/>
    <cellStyle name="Note 4 2 6 29" xfId="4095"/>
    <cellStyle name="Note 4 2 6 29 2" xfId="11855"/>
    <cellStyle name="Note 4 2 6 29 3" xfId="20805"/>
    <cellStyle name="Note 4 2 6 29 4" xfId="28992"/>
    <cellStyle name="Note 4 2 6 29 5" xfId="28189"/>
    <cellStyle name="Note 4 2 6 29 6" xfId="42657"/>
    <cellStyle name="Note 4 2 6 29 7" xfId="51356"/>
    <cellStyle name="Note 4 2 6 3" xfId="752"/>
    <cellStyle name="Note 4 2 6 3 2" xfId="8576"/>
    <cellStyle name="Note 4 2 6 3 3" xfId="16004"/>
    <cellStyle name="Note 4 2 6 3 4" xfId="19618"/>
    <cellStyle name="Note 4 2 6 3 5" xfId="28531"/>
    <cellStyle name="Note 4 2 6 3 6" xfId="37880"/>
    <cellStyle name="Note 4 2 6 3 7" xfId="48004"/>
    <cellStyle name="Note 4 2 6 30" xfId="3231"/>
    <cellStyle name="Note 4 2 6 30 2" xfId="20351"/>
    <cellStyle name="Note 4 2 6 30 3" xfId="28441"/>
    <cellStyle name="Note 4 2 6 30 4" xfId="35859"/>
    <cellStyle name="Note 4 2 6 30 5" xfId="42456"/>
    <cellStyle name="Note 4 2 6 30 6" xfId="52717"/>
    <cellStyle name="Note 4 2 6 31" xfId="4292"/>
    <cellStyle name="Note 4 2 6 31 2" xfId="12009"/>
    <cellStyle name="Note 4 2 6 31 3" xfId="21002"/>
    <cellStyle name="Note 4 2 6 31 4" xfId="29189"/>
    <cellStyle name="Note 4 2 6 31 5" xfId="27936"/>
    <cellStyle name="Note 4 2 6 31 6" xfId="42854"/>
    <cellStyle name="Note 4 2 6 31 7" xfId="49909"/>
    <cellStyle name="Note 4 2 6 32" xfId="4415"/>
    <cellStyle name="Note 4 2 6 32 2" xfId="12132"/>
    <cellStyle name="Note 4 2 6 32 3" xfId="21125"/>
    <cellStyle name="Note 4 2 6 32 4" xfId="29312"/>
    <cellStyle name="Note 4 2 6 32 5" xfId="36089"/>
    <cellStyle name="Note 4 2 6 32 6" xfId="42977"/>
    <cellStyle name="Note 4 2 6 32 7" xfId="53856"/>
    <cellStyle name="Note 4 2 6 33" xfId="4529"/>
    <cellStyle name="Note 4 2 6 33 2" xfId="12246"/>
    <cellStyle name="Note 4 2 6 33 3" xfId="21239"/>
    <cellStyle name="Note 4 2 6 33 4" xfId="29426"/>
    <cellStyle name="Note 4 2 6 33 5" xfId="34010"/>
    <cellStyle name="Note 4 2 6 33 6" xfId="43091"/>
    <cellStyle name="Note 4 2 6 33 7" xfId="48622"/>
    <cellStyle name="Note 4 2 6 34" xfId="4642"/>
    <cellStyle name="Note 4 2 6 34 2" xfId="12359"/>
    <cellStyle name="Note 4 2 6 34 3" xfId="21352"/>
    <cellStyle name="Note 4 2 6 34 4" xfId="29539"/>
    <cellStyle name="Note 4 2 6 34 5" xfId="35769"/>
    <cellStyle name="Note 4 2 6 34 6" xfId="43204"/>
    <cellStyle name="Note 4 2 6 34 7" xfId="52342"/>
    <cellStyle name="Note 4 2 6 35" xfId="4754"/>
    <cellStyle name="Note 4 2 6 35 2" xfId="12471"/>
    <cellStyle name="Note 4 2 6 35 3" xfId="21464"/>
    <cellStyle name="Note 4 2 6 35 4" xfId="29651"/>
    <cellStyle name="Note 4 2 6 35 5" xfId="27768"/>
    <cellStyle name="Note 4 2 6 35 6" xfId="43316"/>
    <cellStyle name="Note 4 2 6 35 7" xfId="47975"/>
    <cellStyle name="Note 4 2 6 36" xfId="4862"/>
    <cellStyle name="Note 4 2 6 36 2" xfId="12579"/>
    <cellStyle name="Note 4 2 6 36 3" xfId="21572"/>
    <cellStyle name="Note 4 2 6 36 4" xfId="29759"/>
    <cellStyle name="Note 4 2 6 36 5" xfId="35891"/>
    <cellStyle name="Note 4 2 6 36 6" xfId="43424"/>
    <cellStyle name="Note 4 2 6 36 7" xfId="52897"/>
    <cellStyle name="Note 4 2 6 37" xfId="4974"/>
    <cellStyle name="Note 4 2 6 37 2" xfId="12691"/>
    <cellStyle name="Note 4 2 6 37 3" xfId="21684"/>
    <cellStyle name="Note 4 2 6 37 4" xfId="29871"/>
    <cellStyle name="Note 4 2 6 37 5" xfId="27271"/>
    <cellStyle name="Note 4 2 6 37 6" xfId="43536"/>
    <cellStyle name="Note 4 2 6 37 7" xfId="50432"/>
    <cellStyle name="Note 4 2 6 38" xfId="5139"/>
    <cellStyle name="Note 4 2 6 38 2" xfId="12856"/>
    <cellStyle name="Note 4 2 6 38 3" xfId="21849"/>
    <cellStyle name="Note 4 2 6 38 4" xfId="30036"/>
    <cellStyle name="Note 4 2 6 38 5" xfId="36149"/>
    <cellStyle name="Note 4 2 6 38 6" xfId="43701"/>
    <cellStyle name="Note 4 2 6 38 7" xfId="54137"/>
    <cellStyle name="Note 4 2 6 39" xfId="5472"/>
    <cellStyle name="Note 4 2 6 39 2" xfId="13189"/>
    <cellStyle name="Note 4 2 6 39 3" xfId="22182"/>
    <cellStyle name="Note 4 2 6 39 4" xfId="30369"/>
    <cellStyle name="Note 4 2 6 39 5" xfId="35581"/>
    <cellStyle name="Note 4 2 6 39 6" xfId="44034"/>
    <cellStyle name="Note 4 2 6 39 7" xfId="51420"/>
    <cellStyle name="Note 4 2 6 4" xfId="864"/>
    <cellStyle name="Note 4 2 6 4 2" xfId="8688"/>
    <cellStyle name="Note 4 2 6 4 3" xfId="16116"/>
    <cellStyle name="Note 4 2 6 4 4" xfId="20594"/>
    <cellStyle name="Note 4 2 6 4 5" xfId="27557"/>
    <cellStyle name="Note 4 2 6 4 6" xfId="37866"/>
    <cellStyle name="Note 4 2 6 4 7" xfId="47740"/>
    <cellStyle name="Note 4 2 6 40" xfId="5597"/>
    <cellStyle name="Note 4 2 6 40 2" xfId="13314"/>
    <cellStyle name="Note 4 2 6 40 3" xfId="22307"/>
    <cellStyle name="Note 4 2 6 40 4" xfId="30494"/>
    <cellStyle name="Note 4 2 6 40 5" xfId="35570"/>
    <cellStyle name="Note 4 2 6 40 6" xfId="44159"/>
    <cellStyle name="Note 4 2 6 40 7" xfId="46842"/>
    <cellStyle name="Note 4 2 6 41" xfId="5712"/>
    <cellStyle name="Note 4 2 6 41 2" xfId="13429"/>
    <cellStyle name="Note 4 2 6 41 3" xfId="22422"/>
    <cellStyle name="Note 4 2 6 41 4" xfId="30609"/>
    <cellStyle name="Note 4 2 6 41 5" xfId="35179"/>
    <cellStyle name="Note 4 2 6 41 6" xfId="44274"/>
    <cellStyle name="Note 4 2 6 41 7" xfId="46949"/>
    <cellStyle name="Note 4 2 6 42" xfId="5829"/>
    <cellStyle name="Note 4 2 6 42 2" xfId="13546"/>
    <cellStyle name="Note 4 2 6 42 3" xfId="22539"/>
    <cellStyle name="Note 4 2 6 42 4" xfId="30726"/>
    <cellStyle name="Note 4 2 6 42 5" xfId="34910"/>
    <cellStyle name="Note 4 2 6 42 6" xfId="44391"/>
    <cellStyle name="Note 4 2 6 42 7" xfId="50302"/>
    <cellStyle name="Note 4 2 6 43" xfId="5957"/>
    <cellStyle name="Note 4 2 6 43 2" xfId="13674"/>
    <cellStyle name="Note 4 2 6 43 3" xfId="22667"/>
    <cellStyle name="Note 4 2 6 43 4" xfId="30854"/>
    <cellStyle name="Note 4 2 6 43 5" xfId="35731"/>
    <cellStyle name="Note 4 2 6 43 6" xfId="44519"/>
    <cellStyle name="Note 4 2 6 43 7" xfId="51560"/>
    <cellStyle name="Note 4 2 6 44" xfId="6070"/>
    <cellStyle name="Note 4 2 6 44 2" xfId="13787"/>
    <cellStyle name="Note 4 2 6 44 3" xfId="22780"/>
    <cellStyle name="Note 4 2 6 44 4" xfId="30967"/>
    <cellStyle name="Note 4 2 6 44 5" xfId="33954"/>
    <cellStyle name="Note 4 2 6 44 6" xfId="44632"/>
    <cellStyle name="Note 4 2 6 44 7" xfId="54470"/>
    <cellStyle name="Note 4 2 6 45" xfId="5286"/>
    <cellStyle name="Note 4 2 6 45 2" xfId="13003"/>
    <cellStyle name="Note 4 2 6 45 3" xfId="21996"/>
    <cellStyle name="Note 4 2 6 45 4" xfId="30183"/>
    <cellStyle name="Note 4 2 6 45 5" xfId="35663"/>
    <cellStyle name="Note 4 2 6 45 6" xfId="43848"/>
    <cellStyle name="Note 4 2 6 45 7" xfId="51752"/>
    <cellStyle name="Note 4 2 6 46" xfId="6213"/>
    <cellStyle name="Note 4 2 6 46 2" xfId="13930"/>
    <cellStyle name="Note 4 2 6 46 3" xfId="22923"/>
    <cellStyle name="Note 4 2 6 46 4" xfId="31110"/>
    <cellStyle name="Note 4 2 6 46 5" xfId="36213"/>
    <cellStyle name="Note 4 2 6 46 6" xfId="44775"/>
    <cellStyle name="Note 4 2 6 46 7" xfId="54285"/>
    <cellStyle name="Note 4 2 6 47" xfId="6330"/>
    <cellStyle name="Note 4 2 6 47 2" xfId="14047"/>
    <cellStyle name="Note 4 2 6 47 3" xfId="23040"/>
    <cellStyle name="Note 4 2 6 47 4" xfId="31227"/>
    <cellStyle name="Note 4 2 6 47 5" xfId="28199"/>
    <cellStyle name="Note 4 2 6 47 6" xfId="44892"/>
    <cellStyle name="Note 4 2 6 47 7" xfId="47566"/>
    <cellStyle name="Note 4 2 6 48" xfId="6440"/>
    <cellStyle name="Note 4 2 6 48 2" xfId="14157"/>
    <cellStyle name="Note 4 2 6 48 3" xfId="23150"/>
    <cellStyle name="Note 4 2 6 48 4" xfId="31337"/>
    <cellStyle name="Note 4 2 6 48 5" xfId="35734"/>
    <cellStyle name="Note 4 2 6 48 6" xfId="45002"/>
    <cellStyle name="Note 4 2 6 48 7" xfId="52188"/>
    <cellStyle name="Note 4 2 6 49" xfId="5161"/>
    <cellStyle name="Note 4 2 6 49 2" xfId="12878"/>
    <cellStyle name="Note 4 2 6 49 3" xfId="21871"/>
    <cellStyle name="Note 4 2 6 49 4" xfId="30058"/>
    <cellStyle name="Note 4 2 6 49 5" xfId="35977"/>
    <cellStyle name="Note 4 2 6 49 6" xfId="43723"/>
    <cellStyle name="Note 4 2 6 49 7" xfId="53317"/>
    <cellStyle name="Note 4 2 6 5" xfId="1329"/>
    <cellStyle name="Note 4 2 6 5 2" xfId="9152"/>
    <cellStyle name="Note 4 2 6 5 3" xfId="16580"/>
    <cellStyle name="Note 4 2 6 5 4" xfId="25113"/>
    <cellStyle name="Note 4 2 6 5 5" xfId="33483"/>
    <cellStyle name="Note 4 2 6 5 6" xfId="36280"/>
    <cellStyle name="Note 4 2 6 5 7" xfId="51041"/>
    <cellStyle name="Note 4 2 6 50" xfId="6587"/>
    <cellStyle name="Note 4 2 6 50 2" xfId="14304"/>
    <cellStyle name="Note 4 2 6 50 3" xfId="23297"/>
    <cellStyle name="Note 4 2 6 50 4" xfId="31484"/>
    <cellStyle name="Note 4 2 6 50 5" xfId="35875"/>
    <cellStyle name="Note 4 2 6 50 6" xfId="45149"/>
    <cellStyle name="Note 4 2 6 50 7" xfId="52458"/>
    <cellStyle name="Note 4 2 6 51" xfId="6698"/>
    <cellStyle name="Note 4 2 6 51 2" xfId="14415"/>
    <cellStyle name="Note 4 2 6 51 3" xfId="23408"/>
    <cellStyle name="Note 4 2 6 51 4" xfId="31595"/>
    <cellStyle name="Note 4 2 6 51 5" xfId="28559"/>
    <cellStyle name="Note 4 2 6 51 6" xfId="45260"/>
    <cellStyle name="Note 4 2 6 51 7" xfId="49801"/>
    <cellStyle name="Note 4 2 6 52" xfId="6813"/>
    <cellStyle name="Note 4 2 6 52 2" xfId="14530"/>
    <cellStyle name="Note 4 2 6 52 3" xfId="23523"/>
    <cellStyle name="Note 4 2 6 52 4" xfId="31710"/>
    <cellStyle name="Note 4 2 6 52 5" xfId="28799"/>
    <cellStyle name="Note 4 2 6 52 6" xfId="45375"/>
    <cellStyle name="Note 4 2 6 52 7" xfId="50685"/>
    <cellStyle name="Note 4 2 6 53" xfId="6926"/>
    <cellStyle name="Note 4 2 6 53 2" xfId="14643"/>
    <cellStyle name="Note 4 2 6 53 3" xfId="23636"/>
    <cellStyle name="Note 4 2 6 53 4" xfId="31823"/>
    <cellStyle name="Note 4 2 6 53 5" xfId="34317"/>
    <cellStyle name="Note 4 2 6 53 6" xfId="45488"/>
    <cellStyle name="Note 4 2 6 53 7" xfId="47045"/>
    <cellStyle name="Note 4 2 6 54" xfId="7038"/>
    <cellStyle name="Note 4 2 6 54 2" xfId="14755"/>
    <cellStyle name="Note 4 2 6 54 3" xfId="23748"/>
    <cellStyle name="Note 4 2 6 54 4" xfId="31935"/>
    <cellStyle name="Note 4 2 6 54 5" xfId="36238"/>
    <cellStyle name="Note 4 2 6 54 6" xfId="45600"/>
    <cellStyle name="Note 4 2 6 54 7" xfId="47219"/>
    <cellStyle name="Note 4 2 6 55" xfId="7324"/>
    <cellStyle name="Note 4 2 6 55 2" xfId="15041"/>
    <cellStyle name="Note 4 2 6 55 3" xfId="24034"/>
    <cellStyle name="Note 4 2 6 55 4" xfId="32221"/>
    <cellStyle name="Note 4 2 6 55 5" xfId="35325"/>
    <cellStyle name="Note 4 2 6 55 6" xfId="45886"/>
    <cellStyle name="Note 4 2 6 55 7" xfId="54253"/>
    <cellStyle name="Note 4 2 6 56" xfId="7395"/>
    <cellStyle name="Note 4 2 6 56 2" xfId="15112"/>
    <cellStyle name="Note 4 2 6 56 3" xfId="24105"/>
    <cellStyle name="Note 4 2 6 56 4" xfId="32292"/>
    <cellStyle name="Note 4 2 6 56 5" xfId="36216"/>
    <cellStyle name="Note 4 2 6 56 6" xfId="45957"/>
    <cellStyle name="Note 4 2 6 56 7" xfId="53947"/>
    <cellStyle name="Note 4 2 6 57" xfId="7435"/>
    <cellStyle name="Note 4 2 6 57 2" xfId="15152"/>
    <cellStyle name="Note 4 2 6 57 3" xfId="24145"/>
    <cellStyle name="Note 4 2 6 57 4" xfId="32332"/>
    <cellStyle name="Note 4 2 6 57 5" xfId="26899"/>
    <cellStyle name="Note 4 2 6 57 6" xfId="45997"/>
    <cellStyle name="Note 4 2 6 57 7" xfId="47425"/>
    <cellStyle name="Note 4 2 6 58" xfId="7556"/>
    <cellStyle name="Note 4 2 6 58 2" xfId="15273"/>
    <cellStyle name="Note 4 2 6 58 3" xfId="24266"/>
    <cellStyle name="Note 4 2 6 58 4" xfId="32453"/>
    <cellStyle name="Note 4 2 6 58 5" xfId="35764"/>
    <cellStyle name="Note 4 2 6 58 6" xfId="46118"/>
    <cellStyle name="Note 4 2 6 58 7" xfId="51870"/>
    <cellStyle name="Note 4 2 6 59" xfId="7832"/>
    <cellStyle name="Note 4 2 6 59 2" xfId="15549"/>
    <cellStyle name="Note 4 2 6 59 3" xfId="24536"/>
    <cellStyle name="Note 4 2 6 59 4" xfId="32729"/>
    <cellStyle name="Note 4 2 6 59 5" xfId="35997"/>
    <cellStyle name="Note 4 2 6 59 6" xfId="46394"/>
    <cellStyle name="Note 4 2 6 59 7" xfId="52706"/>
    <cellStyle name="Note 4 2 6 6" xfId="1452"/>
    <cellStyle name="Note 4 2 6 6 2" xfId="9275"/>
    <cellStyle name="Note 4 2 6 6 3" xfId="16703"/>
    <cellStyle name="Note 4 2 6 6 4" xfId="19503"/>
    <cellStyle name="Note 4 2 6 6 5" xfId="27542"/>
    <cellStyle name="Note 4 2 6 6 6" xfId="38568"/>
    <cellStyle name="Note 4 2 6 6 7" xfId="49646"/>
    <cellStyle name="Note 4 2 6 60" xfId="7928"/>
    <cellStyle name="Note 4 2 6 60 2" xfId="15645"/>
    <cellStyle name="Note 4 2 6 60 3" xfId="24632"/>
    <cellStyle name="Note 4 2 6 60 4" xfId="32825"/>
    <cellStyle name="Note 4 2 6 60 5" xfId="33258"/>
    <cellStyle name="Note 4 2 6 60 6" xfId="46490"/>
    <cellStyle name="Note 4 2 6 60 7" xfId="50179"/>
    <cellStyle name="Note 4 2 6 61" xfId="7653"/>
    <cellStyle name="Note 4 2 6 61 2" xfId="15370"/>
    <cellStyle name="Note 4 2 6 61 3" xfId="24362"/>
    <cellStyle name="Note 4 2 6 61 4" xfId="32550"/>
    <cellStyle name="Note 4 2 6 61 5" xfId="27162"/>
    <cellStyle name="Note 4 2 6 61 6" xfId="46215"/>
    <cellStyle name="Note 4 2 6 61 7" xfId="50606"/>
    <cellStyle name="Note 4 2 6 62" xfId="8063"/>
    <cellStyle name="Note 4 2 6 62 2" xfId="15780"/>
    <cellStyle name="Note 4 2 6 62 3" xfId="24765"/>
    <cellStyle name="Note 4 2 6 62 4" xfId="32960"/>
    <cellStyle name="Note 4 2 6 62 5" xfId="34815"/>
    <cellStyle name="Note 4 2 6 62 6" xfId="46625"/>
    <cellStyle name="Note 4 2 6 62 7" xfId="50638"/>
    <cellStyle name="Note 4 2 6 63" xfId="8108"/>
    <cellStyle name="Note 4 2 6 63 2" xfId="15825"/>
    <cellStyle name="Note 4 2 6 63 3" xfId="33005"/>
    <cellStyle name="Note 4 2 6 63 4" xfId="36085"/>
    <cellStyle name="Note 4 2 6 63 5" xfId="46670"/>
    <cellStyle name="Note 4 2 6 63 6" xfId="53243"/>
    <cellStyle name="Note 4 2 6 64" xfId="25940"/>
    <cellStyle name="Note 4 2 6 65" xfId="34545"/>
    <cellStyle name="Note 4 2 6 66" xfId="37265"/>
    <cellStyle name="Note 4 2 6 67" xfId="52870"/>
    <cellStyle name="Note 4 2 6 7" xfId="1224"/>
    <cellStyle name="Note 4 2 6 7 2" xfId="9047"/>
    <cellStyle name="Note 4 2 6 7 3" xfId="16475"/>
    <cellStyle name="Note 4 2 6 7 4" xfId="19156"/>
    <cellStyle name="Note 4 2 6 7 5" xfId="28740"/>
    <cellStyle name="Note 4 2 6 7 6" xfId="38744"/>
    <cellStyle name="Note 4 2 6 7 7" xfId="49254"/>
    <cellStyle name="Note 4 2 6 8" xfId="1689"/>
    <cellStyle name="Note 4 2 6 8 2" xfId="9512"/>
    <cellStyle name="Note 4 2 6 8 3" xfId="16940"/>
    <cellStyle name="Note 4 2 6 8 4" xfId="25472"/>
    <cellStyle name="Note 4 2 6 8 5" xfId="33941"/>
    <cellStyle name="Note 4 2 6 8 6" xfId="37390"/>
    <cellStyle name="Note 4 2 6 8 7" xfId="51809"/>
    <cellStyle name="Note 4 2 6 9" xfId="1823"/>
    <cellStyle name="Note 4 2 6 9 2" xfId="9646"/>
    <cellStyle name="Note 4 2 6 9 3" xfId="17074"/>
    <cellStyle name="Note 4 2 6 9 4" xfId="24798"/>
    <cellStyle name="Note 4 2 6 9 5" xfId="28673"/>
    <cellStyle name="Note 4 2 6 9 6" xfId="38512"/>
    <cellStyle name="Note 4 2 6 9 7" xfId="48725"/>
    <cellStyle name="Note 4 2 60" xfId="7276"/>
    <cellStyle name="Note 4 2 60 2" xfId="14993"/>
    <cellStyle name="Note 4 2 60 3" xfId="23986"/>
    <cellStyle name="Note 4 2 60 4" xfId="32173"/>
    <cellStyle name="Note 4 2 60 5" xfId="35779"/>
    <cellStyle name="Note 4 2 60 6" xfId="45838"/>
    <cellStyle name="Note 4 2 60 7" xfId="51927"/>
    <cellStyle name="Note 4 2 61" xfId="7257"/>
    <cellStyle name="Note 4 2 61 2" xfId="14974"/>
    <cellStyle name="Note 4 2 61 3" xfId="23967"/>
    <cellStyle name="Note 4 2 61 4" xfId="32154"/>
    <cellStyle name="Note 4 2 61 5" xfId="36204"/>
    <cellStyle name="Note 4 2 61 6" xfId="45819"/>
    <cellStyle name="Note 4 2 61 7" xfId="53517"/>
    <cellStyle name="Note 4 2 62" xfId="7210"/>
    <cellStyle name="Note 4 2 62 2" xfId="14927"/>
    <cellStyle name="Note 4 2 62 3" xfId="23920"/>
    <cellStyle name="Note 4 2 62 4" xfId="32107"/>
    <cellStyle name="Note 4 2 62 5" xfId="34472"/>
    <cellStyle name="Note 4 2 62 6" xfId="45772"/>
    <cellStyle name="Note 4 2 62 7" xfId="50357"/>
    <cellStyle name="Note 4 2 63" xfId="7539"/>
    <cellStyle name="Note 4 2 63 2" xfId="15256"/>
    <cellStyle name="Note 4 2 63 3" xfId="24249"/>
    <cellStyle name="Note 4 2 63 4" xfId="32436"/>
    <cellStyle name="Note 4 2 63 5" xfId="36161"/>
    <cellStyle name="Note 4 2 63 6" xfId="46101"/>
    <cellStyle name="Note 4 2 63 7" xfId="53450"/>
    <cellStyle name="Note 4 2 64" xfId="7740"/>
    <cellStyle name="Note 4 2 64 2" xfId="15457"/>
    <cellStyle name="Note 4 2 64 3" xfId="24448"/>
    <cellStyle name="Note 4 2 64 4" xfId="32637"/>
    <cellStyle name="Note 4 2 64 5" xfId="33748"/>
    <cellStyle name="Note 4 2 64 6" xfId="46302"/>
    <cellStyle name="Note 4 2 64 7" xfId="54387"/>
    <cellStyle name="Note 4 2 65" xfId="7709"/>
    <cellStyle name="Note 4 2 65 2" xfId="15426"/>
    <cellStyle name="Note 4 2 65 3" xfId="24417"/>
    <cellStyle name="Note 4 2 65 4" xfId="32606"/>
    <cellStyle name="Note 4 2 65 5" xfId="35587"/>
    <cellStyle name="Note 4 2 65 6" xfId="46271"/>
    <cellStyle name="Note 4 2 65 7" xfId="50910"/>
    <cellStyle name="Note 4 2 66" xfId="7770"/>
    <cellStyle name="Note 4 2 66 2" xfId="15487"/>
    <cellStyle name="Note 4 2 66 3" xfId="24476"/>
    <cellStyle name="Note 4 2 66 4" xfId="32667"/>
    <cellStyle name="Note 4 2 66 5" xfId="35598"/>
    <cellStyle name="Note 4 2 66 6" xfId="46332"/>
    <cellStyle name="Note 4 2 66 7" xfId="50956"/>
    <cellStyle name="Note 4 2 67" xfId="7762"/>
    <cellStyle name="Note 4 2 67 2" xfId="15479"/>
    <cellStyle name="Note 4 2 67 3" xfId="24468"/>
    <cellStyle name="Note 4 2 67 4" xfId="32659"/>
    <cellStyle name="Note 4 2 67 5" xfId="35671"/>
    <cellStyle name="Note 4 2 67 6" xfId="46324"/>
    <cellStyle name="Note 4 2 67 7" xfId="52069"/>
    <cellStyle name="Note 4 2 68" xfId="7795"/>
    <cellStyle name="Note 4 2 68 2" xfId="15512"/>
    <cellStyle name="Note 4 2 68 3" xfId="32692"/>
    <cellStyle name="Note 4 2 68 4" xfId="27666"/>
    <cellStyle name="Note 4 2 68 5" xfId="46357"/>
    <cellStyle name="Note 4 2 68 6" xfId="53659"/>
    <cellStyle name="Note 4 2 69" xfId="24796"/>
    <cellStyle name="Note 4 2 7" xfId="607"/>
    <cellStyle name="Note 4 2 7 2" xfId="8431"/>
    <cellStyle name="Note 4 2 7 3" xfId="8401"/>
    <cellStyle name="Note 4 2 7 4" xfId="20146"/>
    <cellStyle name="Note 4 2 7 5" xfId="28582"/>
    <cellStyle name="Note 4 2 7 6" xfId="37038"/>
    <cellStyle name="Note 4 2 7 7" xfId="47691"/>
    <cellStyle name="Note 4 2 70" xfId="27007"/>
    <cellStyle name="Note 4 2 71" xfId="37055"/>
    <cellStyle name="Note 4 2 72" xfId="48361"/>
    <cellStyle name="Note 4 2 8" xfId="612"/>
    <cellStyle name="Note 4 2 8 2" xfId="8436"/>
    <cellStyle name="Note 4 2 8 3" xfId="8400"/>
    <cellStyle name="Note 4 2 8 4" xfId="19784"/>
    <cellStyle name="Note 4 2 8 5" xfId="27536"/>
    <cellStyle name="Note 4 2 8 6" xfId="36542"/>
    <cellStyle name="Note 4 2 8 7" xfId="47776"/>
    <cellStyle name="Note 4 2 9" xfId="223"/>
    <cellStyle name="Note 4 2 9 2" xfId="8327"/>
    <cellStyle name="Note 4 2 9 3" xfId="8310"/>
    <cellStyle name="Note 4 2 9 4" xfId="20390"/>
    <cellStyle name="Note 4 2 9 5" xfId="27128"/>
    <cellStyle name="Note 4 2 9 6" xfId="36639"/>
    <cellStyle name="Note 4 2 9 7" xfId="47504"/>
    <cellStyle name="Note 4 20" xfId="3195"/>
    <cellStyle name="Note 4 20 2" xfId="10995"/>
    <cellStyle name="Note 4 20 3" xfId="20322"/>
    <cellStyle name="Note 4 20 4" xfId="28415"/>
    <cellStyle name="Note 4 20 5" xfId="34584"/>
    <cellStyle name="Note 4 20 6" xfId="42436"/>
    <cellStyle name="Note 4 20 7" xfId="49911"/>
    <cellStyle name="Note 4 21" xfId="3028"/>
    <cellStyle name="Note 4 21 2" xfId="10843"/>
    <cellStyle name="Note 4 21 3" xfId="20199"/>
    <cellStyle name="Note 4 21 4" xfId="28290"/>
    <cellStyle name="Note 4 21 5" xfId="28525"/>
    <cellStyle name="Note 4 21 6" xfId="42362"/>
    <cellStyle name="Note 4 21 7" xfId="50471"/>
    <cellStyle name="Note 4 22" xfId="3502"/>
    <cellStyle name="Note 4 22 2" xfId="11293"/>
    <cellStyle name="Note 4 22 3" xfId="20486"/>
    <cellStyle name="Note 4 22 4" xfId="28608"/>
    <cellStyle name="Note 4 22 5" xfId="35344"/>
    <cellStyle name="Note 4 22 6" xfId="42492"/>
    <cellStyle name="Note 4 22 7" xfId="48005"/>
    <cellStyle name="Note 4 23" xfId="3011"/>
    <cellStyle name="Note 4 23 2" xfId="10829"/>
    <cellStyle name="Note 4 23 3" xfId="20185"/>
    <cellStyle name="Note 4 23 4" xfId="28275"/>
    <cellStyle name="Note 4 23 5" xfId="35760"/>
    <cellStyle name="Note 4 23 6" xfId="42350"/>
    <cellStyle name="Note 4 23 7" xfId="52290"/>
    <cellStyle name="Note 4 24" xfId="5306"/>
    <cellStyle name="Note 4 24 2" xfId="13023"/>
    <cellStyle name="Note 4 24 3" xfId="22016"/>
    <cellStyle name="Note 4 24 4" xfId="30203"/>
    <cellStyle name="Note 4 24 5" xfId="36001"/>
    <cellStyle name="Note 4 24 6" xfId="43868"/>
    <cellStyle name="Note 4 24 7" xfId="53414"/>
    <cellStyle name="Note 4 25" xfId="5369"/>
    <cellStyle name="Note 4 25 2" xfId="13086"/>
    <cellStyle name="Note 4 25 3" xfId="22079"/>
    <cellStyle name="Note 4 25 4" xfId="30266"/>
    <cellStyle name="Note 4 25 5" xfId="36208"/>
    <cellStyle name="Note 4 25 6" xfId="43931"/>
    <cellStyle name="Note 4 25 7" xfId="54435"/>
    <cellStyle name="Note 4 26" xfId="5277"/>
    <cellStyle name="Note 4 26 2" xfId="12994"/>
    <cellStyle name="Note 4 26 3" xfId="21987"/>
    <cellStyle name="Note 4 26 4" xfId="30174"/>
    <cellStyle name="Note 4 26 5" xfId="28196"/>
    <cellStyle name="Note 4 26 6" xfId="43839"/>
    <cellStyle name="Note 4 26 7" xfId="47958"/>
    <cellStyle name="Note 4 27" xfId="5320"/>
    <cellStyle name="Note 4 27 2" xfId="13037"/>
    <cellStyle name="Note 4 27 3" xfId="22030"/>
    <cellStyle name="Note 4 27 4" xfId="30217"/>
    <cellStyle name="Note 4 27 5" xfId="35737"/>
    <cellStyle name="Note 4 27 6" xfId="43882"/>
    <cellStyle name="Note 4 27 7" xfId="52169"/>
    <cellStyle name="Note 4 28" xfId="6564"/>
    <cellStyle name="Note 4 28 2" xfId="14281"/>
    <cellStyle name="Note 4 28 3" xfId="23274"/>
    <cellStyle name="Note 4 28 4" xfId="31461"/>
    <cellStyle name="Note 4 28 5" xfId="35653"/>
    <cellStyle name="Note 4 28 6" xfId="45126"/>
    <cellStyle name="Note 4 28 7" xfId="48548"/>
    <cellStyle name="Note 4 29" xfId="5929"/>
    <cellStyle name="Note 4 29 2" xfId="13646"/>
    <cellStyle name="Note 4 29 3" xfId="22639"/>
    <cellStyle name="Note 4 29 4" xfId="30826"/>
    <cellStyle name="Note 4 29 5" xfId="36042"/>
    <cellStyle name="Note 4 29 6" xfId="44491"/>
    <cellStyle name="Note 4 29 7" xfId="47833"/>
    <cellStyle name="Note 4 3" xfId="521"/>
    <cellStyle name="Note 4 3 10" xfId="1968"/>
    <cellStyle name="Note 4 3 10 2" xfId="9791"/>
    <cellStyle name="Note 4 3 10 3" xfId="17219"/>
    <cellStyle name="Note 4 3 10 4" xfId="19436"/>
    <cellStyle name="Note 4 3 10 5" xfId="27003"/>
    <cellStyle name="Note 4 3 10 6" xfId="38296"/>
    <cellStyle name="Note 4 3 10 7" xfId="49527"/>
    <cellStyle name="Note 4 3 11" xfId="2086"/>
    <cellStyle name="Note 4 3 11 2" xfId="9909"/>
    <cellStyle name="Note 4 3 11 3" xfId="17337"/>
    <cellStyle name="Note 4 3 11 4" xfId="24516"/>
    <cellStyle name="Note 4 3 11 5" xfId="28072"/>
    <cellStyle name="Note 4 3 11 6" xfId="41381"/>
    <cellStyle name="Note 4 3 11 7" xfId="50041"/>
    <cellStyle name="Note 4 3 12" xfId="2199"/>
    <cellStyle name="Note 4 3 12 2" xfId="10022"/>
    <cellStyle name="Note 4 3 12 3" xfId="17450"/>
    <cellStyle name="Note 4 3 12 4" xfId="26091"/>
    <cellStyle name="Note 4 3 12 5" xfId="34741"/>
    <cellStyle name="Note 4 3 12 6" xfId="36409"/>
    <cellStyle name="Note 4 3 12 7" xfId="53189"/>
    <cellStyle name="Note 4 3 13" xfId="2272"/>
    <cellStyle name="Note 4 3 13 2" xfId="10095"/>
    <cellStyle name="Note 4 3 13 3" xfId="17523"/>
    <cellStyle name="Note 4 3 13 4" xfId="25972"/>
    <cellStyle name="Note 4 3 13 5" xfId="34583"/>
    <cellStyle name="Note 4 3 13 6" xfId="36421"/>
    <cellStyle name="Note 4 3 13 7" xfId="52934"/>
    <cellStyle name="Note 4 3 14" xfId="2366"/>
    <cellStyle name="Note 4 3 14 2" xfId="10189"/>
    <cellStyle name="Note 4 3 14 3" xfId="17617"/>
    <cellStyle name="Note 4 3 14 4" xfId="20438"/>
    <cellStyle name="Note 4 3 14 5" xfId="26884"/>
    <cellStyle name="Note 4 3 14 6" xfId="36916"/>
    <cellStyle name="Note 4 3 14 7" xfId="49747"/>
    <cellStyle name="Note 4 3 15" xfId="2497"/>
    <cellStyle name="Note 4 3 15 2" xfId="10320"/>
    <cellStyle name="Note 4 3 15 3" xfId="17748"/>
    <cellStyle name="Note 4 3 15 4" xfId="25144"/>
    <cellStyle name="Note 4 3 15 5" xfId="33519"/>
    <cellStyle name="Note 4 3 15 6" xfId="37383"/>
    <cellStyle name="Note 4 3 15 7" xfId="51099"/>
    <cellStyle name="Note 4 3 16" xfId="2610"/>
    <cellStyle name="Note 4 3 16 2" xfId="10433"/>
    <cellStyle name="Note 4 3 16 3" xfId="17861"/>
    <cellStyle name="Note 4 3 16 4" xfId="20122"/>
    <cellStyle name="Note 4 3 16 5" xfId="27966"/>
    <cellStyle name="Note 4 3 16 6" xfId="41373"/>
    <cellStyle name="Note 4 3 16 7" xfId="48658"/>
    <cellStyle name="Note 4 3 17" xfId="2687"/>
    <cellStyle name="Note 4 3 17 2" xfId="10510"/>
    <cellStyle name="Note 4 3 17 3" xfId="17938"/>
    <cellStyle name="Note 4 3 17 4" xfId="26490"/>
    <cellStyle name="Note 4 3 17 5" xfId="35279"/>
    <cellStyle name="Note 4 3 17 6" xfId="40977"/>
    <cellStyle name="Note 4 3 17 7" xfId="54053"/>
    <cellStyle name="Note 4 3 18" xfId="2738"/>
    <cellStyle name="Note 4 3 18 2" xfId="10561"/>
    <cellStyle name="Note 4 3 18 3" xfId="17989"/>
    <cellStyle name="Note 4 3 18 4" xfId="20136"/>
    <cellStyle name="Note 4 3 18 5" xfId="27892"/>
    <cellStyle name="Note 4 3 18 6" xfId="37657"/>
    <cellStyle name="Note 4 3 18 7" xfId="49009"/>
    <cellStyle name="Note 4 3 19" xfId="2804"/>
    <cellStyle name="Note 4 3 19 2" xfId="10627"/>
    <cellStyle name="Note 4 3 19 3" xfId="18055"/>
    <cellStyle name="Note 4 3 19 4" xfId="25016"/>
    <cellStyle name="Note 4 3 19 5" xfId="33371"/>
    <cellStyle name="Note 4 3 19 6" xfId="37235"/>
    <cellStyle name="Note 4 3 19 7" xfId="50835"/>
    <cellStyle name="Note 4 3 2" xfId="672"/>
    <cellStyle name="Note 4 3 2 2" xfId="8496"/>
    <cellStyle name="Note 4 3 2 3" xfId="8264"/>
    <cellStyle name="Note 4 3 2 4" xfId="20132"/>
    <cellStyle name="Note 4 3 2 5" xfId="26775"/>
    <cellStyle name="Note 4 3 2 6" xfId="37594"/>
    <cellStyle name="Note 4 3 2 7" xfId="50369"/>
    <cellStyle name="Note 4 3 20" xfId="2911"/>
    <cellStyle name="Note 4 3 20 2" xfId="10734"/>
    <cellStyle name="Note 4 3 20 3" xfId="18162"/>
    <cellStyle name="Note 4 3 20 4" xfId="25205"/>
    <cellStyle name="Note 4 3 20 5" xfId="33594"/>
    <cellStyle name="Note 4 3 20 6" xfId="36669"/>
    <cellStyle name="Note 4 3 20 7" xfId="51226"/>
    <cellStyle name="Note 4 3 21" xfId="3287"/>
    <cellStyle name="Note 4 3 21 2" xfId="11080"/>
    <cellStyle name="Note 4 3 21 3" xfId="18409"/>
    <cellStyle name="Note 4 3 21 4" xfId="26108"/>
    <cellStyle name="Note 4 3 21 5" xfId="34764"/>
    <cellStyle name="Note 4 3 21 6" xfId="40934"/>
    <cellStyle name="Note 4 3 21 7" xfId="53226"/>
    <cellStyle name="Note 4 3 22" xfId="3407"/>
    <cellStyle name="Note 4 3 22 2" xfId="11198"/>
    <cellStyle name="Note 4 3 22 3" xfId="18520"/>
    <cellStyle name="Note 4 3 22 4" xfId="20291"/>
    <cellStyle name="Note 4 3 22 5" xfId="27262"/>
    <cellStyle name="Note 4 3 22 6" xfId="37646"/>
    <cellStyle name="Note 4 3 22 7" xfId="48808"/>
    <cellStyle name="Note 4 3 23" xfId="3535"/>
    <cellStyle name="Note 4 3 23 2" xfId="11325"/>
    <cellStyle name="Note 4 3 23 3" xfId="18616"/>
    <cellStyle name="Note 4 3 23 4" xfId="25214"/>
    <cellStyle name="Note 4 3 23 5" xfId="33611"/>
    <cellStyle name="Note 4 3 23 6" xfId="39774"/>
    <cellStyle name="Note 4 3 23 7" xfId="51247"/>
    <cellStyle name="Note 4 3 24" xfId="3366"/>
    <cellStyle name="Note 4 3 24 2" xfId="11157"/>
    <cellStyle name="Note 4 3 24 3" xfId="18479"/>
    <cellStyle name="Note 4 3 24 4" xfId="26267"/>
    <cellStyle name="Note 4 3 24 5" xfId="34965"/>
    <cellStyle name="Note 4 3 24 6" xfId="40474"/>
    <cellStyle name="Note 4 3 24 7" xfId="53574"/>
    <cellStyle name="Note 4 3 25" xfId="3677"/>
    <cellStyle name="Note 4 3 25 2" xfId="11462"/>
    <cellStyle name="Note 4 3 25 3" xfId="18735"/>
    <cellStyle name="Note 4 3 25 4" xfId="25500"/>
    <cellStyle name="Note 4 3 25 5" xfId="33978"/>
    <cellStyle name="Note 4 3 25 6" xfId="36469"/>
    <cellStyle name="Note 4 3 25 7" xfId="51874"/>
    <cellStyle name="Note 4 3 26" xfId="3808"/>
    <cellStyle name="Note 4 3 26 2" xfId="11590"/>
    <cellStyle name="Note 4 3 26 3" xfId="18847"/>
    <cellStyle name="Note 4 3 26 4" xfId="26330"/>
    <cellStyle name="Note 4 3 26 5" xfId="35054"/>
    <cellStyle name="Note 4 3 26 6" xfId="41194"/>
    <cellStyle name="Note 4 3 26 7" xfId="53698"/>
    <cellStyle name="Note 4 3 27" xfId="3925"/>
    <cellStyle name="Note 4 3 27 2" xfId="11705"/>
    <cellStyle name="Note 4 3 27 3" xfId="18956"/>
    <cellStyle name="Note 4 3 27 4" xfId="19499"/>
    <cellStyle name="Note 4 3 27 5" xfId="28630"/>
    <cellStyle name="Note 4 3 27 6" xfId="37301"/>
    <cellStyle name="Note 4 3 27 7" xfId="48852"/>
    <cellStyle name="Note 4 3 28" xfId="3999"/>
    <cellStyle name="Note 4 3 28 2" xfId="11778"/>
    <cellStyle name="Note 4 3 28 3" xfId="20709"/>
    <cellStyle name="Note 4 3 28 4" xfId="28896"/>
    <cellStyle name="Note 4 3 28 5" xfId="27722"/>
    <cellStyle name="Note 4 3 28 6" xfId="42561"/>
    <cellStyle name="Note 4 3 28 7" xfId="50038"/>
    <cellStyle name="Note 4 3 29" xfId="4122"/>
    <cellStyle name="Note 4 3 29 2" xfId="11882"/>
    <cellStyle name="Note 4 3 29 3" xfId="20832"/>
    <cellStyle name="Note 4 3 29 4" xfId="29019"/>
    <cellStyle name="Note 4 3 29 5" xfId="35783"/>
    <cellStyle name="Note 4 3 29 6" xfId="42684"/>
    <cellStyle name="Note 4 3 29 7" xfId="52395"/>
    <cellStyle name="Note 4 3 3" xfId="779"/>
    <cellStyle name="Note 4 3 3 2" xfId="8603"/>
    <cellStyle name="Note 4 3 3 3" xfId="16031"/>
    <cellStyle name="Note 4 3 3 4" xfId="25515"/>
    <cellStyle name="Note 4 3 3 5" xfId="33993"/>
    <cellStyle name="Note 4 3 3 6" xfId="37921"/>
    <cellStyle name="Note 4 3 3 7" xfId="51902"/>
    <cellStyle name="Note 4 3 30" xfId="4079"/>
    <cellStyle name="Note 4 3 30 2" xfId="20789"/>
    <cellStyle name="Note 4 3 30 3" xfId="28976"/>
    <cellStyle name="Note 4 3 30 4" xfId="27390"/>
    <cellStyle name="Note 4 3 30 5" xfId="42641"/>
    <cellStyle name="Note 4 3 30 6" xfId="49301"/>
    <cellStyle name="Note 4 3 31" xfId="4319"/>
    <cellStyle name="Note 4 3 31 2" xfId="12036"/>
    <cellStyle name="Note 4 3 31 3" xfId="21029"/>
    <cellStyle name="Note 4 3 31 4" xfId="29216"/>
    <cellStyle name="Note 4 3 31 5" xfId="27944"/>
    <cellStyle name="Note 4 3 31 6" xfId="42881"/>
    <cellStyle name="Note 4 3 31 7" xfId="49844"/>
    <cellStyle name="Note 4 3 32" xfId="4442"/>
    <cellStyle name="Note 4 3 32 2" xfId="12159"/>
    <cellStyle name="Note 4 3 32 3" xfId="21152"/>
    <cellStyle name="Note 4 3 32 4" xfId="29339"/>
    <cellStyle name="Note 4 3 32 5" xfId="28021"/>
    <cellStyle name="Note 4 3 32 6" xfId="43004"/>
    <cellStyle name="Note 4 3 32 7" xfId="51021"/>
    <cellStyle name="Note 4 3 33" xfId="4556"/>
    <cellStyle name="Note 4 3 33 2" xfId="12273"/>
    <cellStyle name="Note 4 3 33 3" xfId="21266"/>
    <cellStyle name="Note 4 3 33 4" xfId="29453"/>
    <cellStyle name="Note 4 3 33 5" xfId="36174"/>
    <cellStyle name="Note 4 3 33 6" xfId="43118"/>
    <cellStyle name="Note 4 3 33 7" xfId="54264"/>
    <cellStyle name="Note 4 3 34" xfId="4669"/>
    <cellStyle name="Note 4 3 34 2" xfId="12386"/>
    <cellStyle name="Note 4 3 34 3" xfId="21379"/>
    <cellStyle name="Note 4 3 34 4" xfId="29566"/>
    <cellStyle name="Note 4 3 34 5" xfId="27044"/>
    <cellStyle name="Note 4 3 34 6" xfId="43231"/>
    <cellStyle name="Note 4 3 34 7" xfId="50169"/>
    <cellStyle name="Note 4 3 35" xfId="4781"/>
    <cellStyle name="Note 4 3 35 2" xfId="12498"/>
    <cellStyle name="Note 4 3 35 3" xfId="21491"/>
    <cellStyle name="Note 4 3 35 4" xfId="29678"/>
    <cellStyle name="Note 4 3 35 5" xfId="36027"/>
    <cellStyle name="Note 4 3 35 6" xfId="43343"/>
    <cellStyle name="Note 4 3 35 7" xfId="53548"/>
    <cellStyle name="Note 4 3 36" xfId="4889"/>
    <cellStyle name="Note 4 3 36 2" xfId="12606"/>
    <cellStyle name="Note 4 3 36 3" xfId="21599"/>
    <cellStyle name="Note 4 3 36 4" xfId="29786"/>
    <cellStyle name="Note 4 3 36 5" xfId="27126"/>
    <cellStyle name="Note 4 3 36 6" xfId="43451"/>
    <cellStyle name="Note 4 3 36 7" xfId="50133"/>
    <cellStyle name="Note 4 3 37" xfId="5001"/>
    <cellStyle name="Note 4 3 37 2" xfId="12718"/>
    <cellStyle name="Note 4 3 37 3" xfId="21711"/>
    <cellStyle name="Note 4 3 37 4" xfId="29898"/>
    <cellStyle name="Note 4 3 37 5" xfId="36154"/>
    <cellStyle name="Note 4 3 37 6" xfId="43563"/>
    <cellStyle name="Note 4 3 37 7" xfId="54162"/>
    <cellStyle name="Note 4 3 38" xfId="5110"/>
    <cellStyle name="Note 4 3 38 2" xfId="12827"/>
    <cellStyle name="Note 4 3 38 3" xfId="21820"/>
    <cellStyle name="Note 4 3 38 4" xfId="30007"/>
    <cellStyle name="Note 4 3 38 5" xfId="27174"/>
    <cellStyle name="Note 4 3 38 6" xfId="43672"/>
    <cellStyle name="Note 4 3 38 7" xfId="50000"/>
    <cellStyle name="Note 4 3 39" xfId="5499"/>
    <cellStyle name="Note 4 3 39 2" xfId="13216"/>
    <cellStyle name="Note 4 3 39 3" xfId="22209"/>
    <cellStyle name="Note 4 3 39 4" xfId="30396"/>
    <cellStyle name="Note 4 3 39 5" xfId="34953"/>
    <cellStyle name="Note 4 3 39 6" xfId="44061"/>
    <cellStyle name="Note 4 3 39 7" xfId="48759"/>
    <cellStyle name="Note 4 3 4" xfId="891"/>
    <cellStyle name="Note 4 3 4 2" xfId="8715"/>
    <cellStyle name="Note 4 3 4 3" xfId="16143"/>
    <cellStyle name="Note 4 3 4 4" xfId="26240"/>
    <cellStyle name="Note 4 3 4 5" xfId="34930"/>
    <cellStyle name="Note 4 3 4 6" xfId="37613"/>
    <cellStyle name="Note 4 3 4 7" xfId="53513"/>
    <cellStyle name="Note 4 3 40" xfId="5624"/>
    <cellStyle name="Note 4 3 40 2" xfId="13341"/>
    <cellStyle name="Note 4 3 40 3" xfId="22334"/>
    <cellStyle name="Note 4 3 40 4" xfId="30521"/>
    <cellStyle name="Note 4 3 40 5" xfId="33247"/>
    <cellStyle name="Note 4 3 40 6" xfId="44186"/>
    <cellStyle name="Note 4 3 40 7" xfId="47124"/>
    <cellStyle name="Note 4 3 41" xfId="5739"/>
    <cellStyle name="Note 4 3 41 2" xfId="13456"/>
    <cellStyle name="Note 4 3 41 3" xfId="22449"/>
    <cellStyle name="Note 4 3 41 4" xfId="30636"/>
    <cellStyle name="Note 4 3 41 5" xfId="36045"/>
    <cellStyle name="Note 4 3 41 6" xfId="44301"/>
    <cellStyle name="Note 4 3 41 7" xfId="53345"/>
    <cellStyle name="Note 4 3 42" xfId="5856"/>
    <cellStyle name="Note 4 3 42 2" xfId="13573"/>
    <cellStyle name="Note 4 3 42 3" xfId="22566"/>
    <cellStyle name="Note 4 3 42 4" xfId="30753"/>
    <cellStyle name="Note 4 3 42 5" xfId="36147"/>
    <cellStyle name="Note 4 3 42 6" xfId="44418"/>
    <cellStyle name="Note 4 3 42 7" xfId="53917"/>
    <cellStyle name="Note 4 3 43" xfId="5984"/>
    <cellStyle name="Note 4 3 43 2" xfId="13701"/>
    <cellStyle name="Note 4 3 43 3" xfId="22694"/>
    <cellStyle name="Note 4 3 43 4" xfId="30881"/>
    <cellStyle name="Note 4 3 43 5" xfId="35001"/>
    <cellStyle name="Note 4 3 43 6" xfId="44546"/>
    <cellStyle name="Note 4 3 43 7" xfId="48795"/>
    <cellStyle name="Note 4 3 44" xfId="6086"/>
    <cellStyle name="Note 4 3 44 2" xfId="13803"/>
    <cellStyle name="Note 4 3 44 3" xfId="22796"/>
    <cellStyle name="Note 4 3 44 4" xfId="30983"/>
    <cellStyle name="Note 4 3 44 5" xfId="35945"/>
    <cellStyle name="Note 4 3 44 6" xfId="44648"/>
    <cellStyle name="Note 4 3 44 7" xfId="52905"/>
    <cellStyle name="Note 4 3 45" xfId="5108"/>
    <cellStyle name="Note 4 3 45 2" xfId="12825"/>
    <cellStyle name="Note 4 3 45 3" xfId="21818"/>
    <cellStyle name="Note 4 3 45 4" xfId="30005"/>
    <cellStyle name="Note 4 3 45 5" xfId="33542"/>
    <cellStyle name="Note 4 3 45 6" xfId="43670"/>
    <cellStyle name="Note 4 3 45 7" xfId="49643"/>
    <cellStyle name="Note 4 3 46" xfId="6240"/>
    <cellStyle name="Note 4 3 46 2" xfId="13957"/>
    <cellStyle name="Note 4 3 46 3" xfId="22950"/>
    <cellStyle name="Note 4 3 46 4" xfId="31137"/>
    <cellStyle name="Note 4 3 46 5" xfId="35602"/>
    <cellStyle name="Note 4 3 46 6" xfId="44802"/>
    <cellStyle name="Note 4 3 46 7" xfId="51202"/>
    <cellStyle name="Note 4 3 47" xfId="6357"/>
    <cellStyle name="Note 4 3 47 2" xfId="14074"/>
    <cellStyle name="Note 4 3 47 3" xfId="23067"/>
    <cellStyle name="Note 4 3 47 4" xfId="31254"/>
    <cellStyle name="Note 4 3 47 5" xfId="35268"/>
    <cellStyle name="Note 4 3 47 6" xfId="44919"/>
    <cellStyle name="Note 4 3 47 7" xfId="48213"/>
    <cellStyle name="Note 4 3 48" xfId="6467"/>
    <cellStyle name="Note 4 3 48 2" xfId="14184"/>
    <cellStyle name="Note 4 3 48 3" xfId="23177"/>
    <cellStyle name="Note 4 3 48 4" xfId="31364"/>
    <cellStyle name="Note 4 3 48 5" xfId="26846"/>
    <cellStyle name="Note 4 3 48 6" xfId="45029"/>
    <cellStyle name="Note 4 3 48 7" xfId="49227"/>
    <cellStyle name="Note 4 3 49" xfId="6538"/>
    <cellStyle name="Note 4 3 49 2" xfId="14255"/>
    <cellStyle name="Note 4 3 49 3" xfId="23248"/>
    <cellStyle name="Note 4 3 49 4" xfId="31435"/>
    <cellStyle name="Note 4 3 49 5" xfId="26803"/>
    <cellStyle name="Note 4 3 49 6" xfId="45100"/>
    <cellStyle name="Note 4 3 49 7" xfId="50063"/>
    <cellStyle name="Note 4 3 5" xfId="1356"/>
    <cellStyle name="Note 4 3 5 2" xfId="9179"/>
    <cellStyle name="Note 4 3 5 3" xfId="16607"/>
    <cellStyle name="Note 4 3 5 4" xfId="19467"/>
    <cellStyle name="Note 4 3 5 5" xfId="28063"/>
    <cellStyle name="Note 4 3 5 6" xfId="40986"/>
    <cellStyle name="Note 4 3 5 7" xfId="47855"/>
    <cellStyle name="Note 4 3 50" xfId="6614"/>
    <cellStyle name="Note 4 3 50 2" xfId="14331"/>
    <cellStyle name="Note 4 3 50 3" xfId="23324"/>
    <cellStyle name="Note 4 3 50 4" xfId="31511"/>
    <cellStyle name="Note 4 3 50 5" xfId="33111"/>
    <cellStyle name="Note 4 3 50 6" xfId="45176"/>
    <cellStyle name="Note 4 3 50 7" xfId="49345"/>
    <cellStyle name="Note 4 3 51" xfId="6725"/>
    <cellStyle name="Note 4 3 51 2" xfId="14442"/>
    <cellStyle name="Note 4 3 51 3" xfId="23435"/>
    <cellStyle name="Note 4 3 51 4" xfId="31622"/>
    <cellStyle name="Note 4 3 51 5" xfId="35641"/>
    <cellStyle name="Note 4 3 51 6" xfId="45287"/>
    <cellStyle name="Note 4 3 51 7" xfId="52659"/>
    <cellStyle name="Note 4 3 52" xfId="6840"/>
    <cellStyle name="Note 4 3 52 2" xfId="14557"/>
    <cellStyle name="Note 4 3 52 3" xfId="23550"/>
    <cellStyle name="Note 4 3 52 4" xfId="31737"/>
    <cellStyle name="Note 4 3 52 5" xfId="26789"/>
    <cellStyle name="Note 4 3 52 6" xfId="45402"/>
    <cellStyle name="Note 4 3 52 7" xfId="48332"/>
    <cellStyle name="Note 4 3 53" xfId="6953"/>
    <cellStyle name="Note 4 3 53 2" xfId="14670"/>
    <cellStyle name="Note 4 3 53 3" xfId="23663"/>
    <cellStyle name="Note 4 3 53 4" xfId="31850"/>
    <cellStyle name="Note 4 3 53 5" xfId="28875"/>
    <cellStyle name="Note 4 3 53 6" xfId="45515"/>
    <cellStyle name="Note 4 3 53 7" xfId="46813"/>
    <cellStyle name="Note 4 3 54" xfId="7065"/>
    <cellStyle name="Note 4 3 54 2" xfId="14782"/>
    <cellStyle name="Note 4 3 54 3" xfId="23775"/>
    <cellStyle name="Note 4 3 54 4" xfId="31962"/>
    <cellStyle name="Note 4 3 54 5" xfId="35965"/>
    <cellStyle name="Note 4 3 54 6" xfId="45627"/>
    <cellStyle name="Note 4 3 54 7" xfId="52906"/>
    <cellStyle name="Note 4 3 55" xfId="7361"/>
    <cellStyle name="Note 4 3 55 2" xfId="15078"/>
    <cellStyle name="Note 4 3 55 3" xfId="24071"/>
    <cellStyle name="Note 4 3 55 4" xfId="32258"/>
    <cellStyle name="Note 4 3 55 5" xfId="27211"/>
    <cellStyle name="Note 4 3 55 6" xfId="45923"/>
    <cellStyle name="Note 4 3 55 7" xfId="50211"/>
    <cellStyle name="Note 4 3 56" xfId="7330"/>
    <cellStyle name="Note 4 3 56 2" xfId="15047"/>
    <cellStyle name="Note 4 3 56 3" xfId="24040"/>
    <cellStyle name="Note 4 3 56 4" xfId="32227"/>
    <cellStyle name="Note 4 3 56 5" xfId="36122"/>
    <cellStyle name="Note 4 3 56 6" xfId="45892"/>
    <cellStyle name="Note 4 3 56 7" xfId="53400"/>
    <cellStyle name="Note 4 3 57" xfId="7462"/>
    <cellStyle name="Note 4 3 57 2" xfId="15179"/>
    <cellStyle name="Note 4 3 57 3" xfId="24172"/>
    <cellStyle name="Note 4 3 57 4" xfId="32359"/>
    <cellStyle name="Note 4 3 57 5" xfId="33331"/>
    <cellStyle name="Note 4 3 57 6" xfId="46024"/>
    <cellStyle name="Note 4 3 57 7" xfId="54314"/>
    <cellStyle name="Note 4 3 58" xfId="7583"/>
    <cellStyle name="Note 4 3 58 2" xfId="15300"/>
    <cellStyle name="Note 4 3 58 3" xfId="24293"/>
    <cellStyle name="Note 4 3 58 4" xfId="32480"/>
    <cellStyle name="Note 4 3 58 5" xfId="35219"/>
    <cellStyle name="Note 4 3 58 6" xfId="46145"/>
    <cellStyle name="Note 4 3 58 7" xfId="48855"/>
    <cellStyle name="Note 4 3 59" xfId="7859"/>
    <cellStyle name="Note 4 3 59 2" xfId="15576"/>
    <cellStyle name="Note 4 3 59 3" xfId="24563"/>
    <cellStyle name="Note 4 3 59 4" xfId="32756"/>
    <cellStyle name="Note 4 3 59 5" xfId="33243"/>
    <cellStyle name="Note 4 3 59 6" xfId="46421"/>
    <cellStyle name="Note 4 3 59 7" xfId="50056"/>
    <cellStyle name="Note 4 3 6" xfId="1479"/>
    <cellStyle name="Note 4 3 6 2" xfId="9302"/>
    <cellStyle name="Note 4 3 6 3" xfId="16730"/>
    <cellStyle name="Note 4 3 6 4" xfId="19733"/>
    <cellStyle name="Note 4 3 6 5" xfId="27498"/>
    <cellStyle name="Note 4 3 6 6" xfId="39516"/>
    <cellStyle name="Note 4 3 6 7" xfId="47708"/>
    <cellStyle name="Note 4 3 60" xfId="7713"/>
    <cellStyle name="Note 4 3 60 2" xfId="15430"/>
    <cellStyle name="Note 4 3 60 3" xfId="24421"/>
    <cellStyle name="Note 4 3 60 4" xfId="32610"/>
    <cellStyle name="Note 4 3 60 5" xfId="27551"/>
    <cellStyle name="Note 4 3 60 6" xfId="46275"/>
    <cellStyle name="Note 4 3 60 7" xfId="50335"/>
    <cellStyle name="Note 4 3 61" xfId="7985"/>
    <cellStyle name="Note 4 3 61 2" xfId="15702"/>
    <cellStyle name="Note 4 3 61 3" xfId="24687"/>
    <cellStyle name="Note 4 3 61 4" xfId="32882"/>
    <cellStyle name="Note 4 3 61 5" xfId="28561"/>
    <cellStyle name="Note 4 3 61 6" xfId="46547"/>
    <cellStyle name="Note 4 3 61 7" xfId="51405"/>
    <cellStyle name="Note 4 3 62" xfId="8002"/>
    <cellStyle name="Note 4 3 62 2" xfId="15719"/>
    <cellStyle name="Note 4 3 62 3" xfId="24704"/>
    <cellStyle name="Note 4 3 62 4" xfId="32899"/>
    <cellStyle name="Note 4 3 62 5" xfId="27836"/>
    <cellStyle name="Note 4 3 62 6" xfId="46564"/>
    <cellStyle name="Note 4 3 62 7" xfId="47408"/>
    <cellStyle name="Note 4 3 63" xfId="8135"/>
    <cellStyle name="Note 4 3 63 2" xfId="15852"/>
    <cellStyle name="Note 4 3 63 3" xfId="33032"/>
    <cellStyle name="Note 4 3 63 4" xfId="33328"/>
    <cellStyle name="Note 4 3 63 5" xfId="46697"/>
    <cellStyle name="Note 4 3 63 6" xfId="50499"/>
    <cellStyle name="Note 4 3 64" xfId="19128"/>
    <cellStyle name="Note 4 3 65" xfId="27428"/>
    <cellStyle name="Note 4 3 66" xfId="36341"/>
    <cellStyle name="Note 4 3 67" xfId="49873"/>
    <cellStyle name="Note 4 3 7" xfId="1566"/>
    <cellStyle name="Note 4 3 7 2" xfId="9389"/>
    <cellStyle name="Note 4 3 7 3" xfId="16817"/>
    <cellStyle name="Note 4 3 7 4" xfId="26294"/>
    <cellStyle name="Note 4 3 7 5" xfId="35008"/>
    <cellStyle name="Note 4 3 7 6" xfId="42061"/>
    <cellStyle name="Note 4 3 7 7" xfId="53630"/>
    <cellStyle name="Note 4 3 8" xfId="1716"/>
    <cellStyle name="Note 4 3 8 2" xfId="9539"/>
    <cellStyle name="Note 4 3 8 3" xfId="16967"/>
    <cellStyle name="Note 4 3 8 4" xfId="25915"/>
    <cellStyle name="Note 4 3 8 5" xfId="34516"/>
    <cellStyle name="Note 4 3 8 6" xfId="36598"/>
    <cellStyle name="Note 4 3 8 7" xfId="52813"/>
    <cellStyle name="Note 4 3 9" xfId="1850"/>
    <cellStyle name="Note 4 3 9 2" xfId="9673"/>
    <cellStyle name="Note 4 3 9 3" xfId="17101"/>
    <cellStyle name="Note 4 3 9 4" xfId="26118"/>
    <cellStyle name="Note 4 3 9 5" xfId="34777"/>
    <cellStyle name="Note 4 3 9 6" xfId="42244"/>
    <cellStyle name="Note 4 3 9 7" xfId="53248"/>
    <cellStyle name="Note 4 30" xfId="6570"/>
    <cellStyle name="Note 4 30 2" xfId="14287"/>
    <cellStyle name="Note 4 30 3" xfId="23280"/>
    <cellStyle name="Note 4 30 4" xfId="31467"/>
    <cellStyle name="Note 4 30 5" xfId="36219"/>
    <cellStyle name="Note 4 30 6" xfId="45132"/>
    <cellStyle name="Note 4 30 7" xfId="54340"/>
    <cellStyle name="Note 4 31" xfId="7413"/>
    <cellStyle name="Note 4 31 2" xfId="15130"/>
    <cellStyle name="Note 4 31 3" xfId="24123"/>
    <cellStyle name="Note 4 31 4" xfId="32310"/>
    <cellStyle name="Note 4 31 5" xfId="35855"/>
    <cellStyle name="Note 4 31 6" xfId="45975"/>
    <cellStyle name="Note 4 31 7" xfId="47633"/>
    <cellStyle name="Note 4 32" xfId="7290"/>
    <cellStyle name="Note 4 32 2" xfId="15007"/>
    <cellStyle name="Note 4 32 3" xfId="24000"/>
    <cellStyle name="Note 4 32 4" xfId="32187"/>
    <cellStyle name="Note 4 32 5" xfId="34187"/>
    <cellStyle name="Note 4 32 6" xfId="45852"/>
    <cellStyle name="Note 4 32 7" xfId="50323"/>
    <cellStyle name="Note 4 33" xfId="7692"/>
    <cellStyle name="Note 4 33 2" xfId="15409"/>
    <cellStyle name="Note 4 33 3" xfId="24400"/>
    <cellStyle name="Note 4 33 4" xfId="32589"/>
    <cellStyle name="Note 4 33 5" xfId="35970"/>
    <cellStyle name="Note 4 33 6" xfId="46254"/>
    <cellStyle name="Note 4 33 7" xfId="52932"/>
    <cellStyle name="Note 4 34" xfId="7751"/>
    <cellStyle name="Note 4 34 2" xfId="15468"/>
    <cellStyle name="Note 4 34 3" xfId="24459"/>
    <cellStyle name="Note 4 34 4" xfId="32648"/>
    <cellStyle name="Note 4 34 5" xfId="36038"/>
    <cellStyle name="Note 4 34 6" xfId="46313"/>
    <cellStyle name="Note 4 34 7" xfId="53108"/>
    <cellStyle name="Note 4 35" xfId="7764"/>
    <cellStyle name="Note 4 35 2" xfId="15481"/>
    <cellStyle name="Note 4 35 3" xfId="24470"/>
    <cellStyle name="Note 4 35 4" xfId="32661"/>
    <cellStyle name="Note 4 35 5" xfId="35759"/>
    <cellStyle name="Note 4 35 6" xfId="46326"/>
    <cellStyle name="Note 4 35 7" xfId="51634"/>
    <cellStyle name="Note 4 36" xfId="24833"/>
    <cellStyle name="Note 4 37" xfId="27661"/>
    <cellStyle name="Note 4 38" xfId="36560"/>
    <cellStyle name="Note 4 39" xfId="50223"/>
    <cellStyle name="Note 4 4" xfId="562"/>
    <cellStyle name="Note 4 4 10" xfId="2009"/>
    <cellStyle name="Note 4 4 10 2" xfId="9832"/>
    <cellStyle name="Note 4 4 10 3" xfId="17260"/>
    <cellStyle name="Note 4 4 10 4" xfId="25559"/>
    <cellStyle name="Note 4 4 10 5" xfId="34055"/>
    <cellStyle name="Note 4 4 10 6" xfId="36860"/>
    <cellStyle name="Note 4 4 10 7" xfId="51999"/>
    <cellStyle name="Note 4 4 11" xfId="2126"/>
    <cellStyle name="Note 4 4 11 2" xfId="9949"/>
    <cellStyle name="Note 4 4 11 3" xfId="17377"/>
    <cellStyle name="Note 4 4 11 4" xfId="25428"/>
    <cellStyle name="Note 4 4 11 5" xfId="33886"/>
    <cellStyle name="Note 4 4 11 6" xfId="36447"/>
    <cellStyle name="Note 4 4 11 7" xfId="51701"/>
    <cellStyle name="Note 4 4 12" xfId="2240"/>
    <cellStyle name="Note 4 4 12 2" xfId="10063"/>
    <cellStyle name="Note 4 4 12 3" xfId="17491"/>
    <cellStyle name="Note 4 4 12 4" xfId="19894"/>
    <cellStyle name="Note 4 4 12 5" xfId="28663"/>
    <cellStyle name="Note 4 4 12 6" xfId="40384"/>
    <cellStyle name="Note 4 4 12 7" xfId="48802"/>
    <cellStyle name="Note 4 4 13" xfId="2044"/>
    <cellStyle name="Note 4 4 13 2" xfId="9867"/>
    <cellStyle name="Note 4 4 13 3" xfId="17295"/>
    <cellStyle name="Note 4 4 13 4" xfId="26699"/>
    <cellStyle name="Note 4 4 13 5" xfId="35551"/>
    <cellStyle name="Note 4 4 13 6" xfId="37970"/>
    <cellStyle name="Note 4 4 13 7" xfId="54490"/>
    <cellStyle name="Note 4 4 14" xfId="2347"/>
    <cellStyle name="Note 4 4 14 2" xfId="10170"/>
    <cellStyle name="Note 4 4 14 3" xfId="17598"/>
    <cellStyle name="Note 4 4 14 4" xfId="25410"/>
    <cellStyle name="Note 4 4 14 5" xfId="33866"/>
    <cellStyle name="Note 4 4 14 6" xfId="38556"/>
    <cellStyle name="Note 4 4 14 7" xfId="51671"/>
    <cellStyle name="Note 4 4 15" xfId="2537"/>
    <cellStyle name="Note 4 4 15 2" xfId="10360"/>
    <cellStyle name="Note 4 4 15 3" xfId="17788"/>
    <cellStyle name="Note 4 4 15 4" xfId="19781"/>
    <cellStyle name="Note 4 4 15 5" xfId="27344"/>
    <cellStyle name="Note 4 4 15 6" xfId="41520"/>
    <cellStyle name="Note 4 4 15 7" xfId="49671"/>
    <cellStyle name="Note 4 4 16" xfId="2651"/>
    <cellStyle name="Note 4 4 16 2" xfId="10474"/>
    <cellStyle name="Note 4 4 16 3" xfId="17902"/>
    <cellStyle name="Note 4 4 16 4" xfId="24984"/>
    <cellStyle name="Note 4 4 16 5" xfId="33327"/>
    <cellStyle name="Note 4 4 16 6" xfId="37577"/>
    <cellStyle name="Note 4 4 16 7" xfId="50756"/>
    <cellStyle name="Note 4 4 17" xfId="1063"/>
    <cellStyle name="Note 4 4 17 2" xfId="8887"/>
    <cellStyle name="Note 4 4 17 3" xfId="16315"/>
    <cellStyle name="Note 4 4 17 4" xfId="25271"/>
    <cellStyle name="Note 4 4 17 5" xfId="33681"/>
    <cellStyle name="Note 4 4 17 6" xfId="37112"/>
    <cellStyle name="Note 4 4 17 7" xfId="51373"/>
    <cellStyle name="Note 4 4 18" xfId="1203"/>
    <cellStyle name="Note 4 4 18 2" xfId="9026"/>
    <cellStyle name="Note 4 4 18 3" xfId="16454"/>
    <cellStyle name="Note 4 4 18 4" xfId="25297"/>
    <cellStyle name="Note 4 4 18 5" xfId="33711"/>
    <cellStyle name="Note 4 4 18 6" xfId="40941"/>
    <cellStyle name="Note 4 4 18 7" xfId="51419"/>
    <cellStyle name="Note 4 4 19" xfId="2842"/>
    <cellStyle name="Note 4 4 19 2" xfId="10665"/>
    <cellStyle name="Note 4 4 19 3" xfId="18093"/>
    <cellStyle name="Note 4 4 19 4" xfId="26668"/>
    <cellStyle name="Note 4 4 19 5" xfId="35515"/>
    <cellStyle name="Note 4 4 19 6" xfId="40302"/>
    <cellStyle name="Note 4 4 19 7" xfId="54432"/>
    <cellStyle name="Note 4 4 2" xfId="710"/>
    <cellStyle name="Note 4 4 2 2" xfId="8534"/>
    <cellStyle name="Note 4 4 2 3" xfId="15962"/>
    <cellStyle name="Note 4 4 2 4" xfId="25883"/>
    <cellStyle name="Note 4 4 2 5" xfId="34475"/>
    <cellStyle name="Note 4 4 2 6" xfId="37210"/>
    <cellStyle name="Note 4 4 2 7" xfId="52748"/>
    <cellStyle name="Note 4 4 20" xfId="2949"/>
    <cellStyle name="Note 4 4 20 2" xfId="10772"/>
    <cellStyle name="Note 4 4 20 3" xfId="18200"/>
    <cellStyle name="Note 4 4 20 4" xfId="25099"/>
    <cellStyle name="Note 4 4 20 5" xfId="33463"/>
    <cellStyle name="Note 4 4 20 6" xfId="39266"/>
    <cellStyle name="Note 4 4 20 7" xfId="51008"/>
    <cellStyle name="Note 4 4 21" xfId="3326"/>
    <cellStyle name="Note 4 4 21 2" xfId="11119"/>
    <cellStyle name="Note 4 4 21 3" xfId="18447"/>
    <cellStyle name="Note 4 4 21 4" xfId="19644"/>
    <cellStyle name="Note 4 4 21 5" xfId="28400"/>
    <cellStyle name="Note 4 4 21 6" xfId="37460"/>
    <cellStyle name="Note 4 4 21 7" xfId="49026"/>
    <cellStyle name="Note 4 4 22" xfId="3445"/>
    <cellStyle name="Note 4 4 22 2" xfId="11236"/>
    <cellStyle name="Note 4 4 22 3" xfId="18558"/>
    <cellStyle name="Note 4 4 22 4" xfId="20201"/>
    <cellStyle name="Note 4 4 22 5" xfId="27496"/>
    <cellStyle name="Note 4 4 22 6" xfId="39854"/>
    <cellStyle name="Note 4 4 22 7" xfId="48104"/>
    <cellStyle name="Note 4 4 23" xfId="3568"/>
    <cellStyle name="Note 4 4 23 2" xfId="11357"/>
    <cellStyle name="Note 4 4 23 3" xfId="18640"/>
    <cellStyle name="Note 4 4 23 4" xfId="19068"/>
    <cellStyle name="Note 4 4 23 5" xfId="33158"/>
    <cellStyle name="Note 4 4 23 6" xfId="37005"/>
    <cellStyle name="Note 4 4 23 7" xfId="50449"/>
    <cellStyle name="Note 4 4 24" xfId="3605"/>
    <cellStyle name="Note 4 4 24 2" xfId="11391"/>
    <cellStyle name="Note 4 4 24 3" xfId="18665"/>
    <cellStyle name="Note 4 4 24 4" xfId="25330"/>
    <cellStyle name="Note 4 4 24 5" xfId="33760"/>
    <cellStyle name="Note 4 4 24 6" xfId="38677"/>
    <cellStyle name="Note 4 4 24 7" xfId="51495"/>
    <cellStyle name="Note 4 4 25" xfId="3718"/>
    <cellStyle name="Note 4 4 25 2" xfId="11503"/>
    <cellStyle name="Note 4 4 25 3" xfId="18775"/>
    <cellStyle name="Note 4 4 25 4" xfId="20037"/>
    <cellStyle name="Note 4 4 25 5" xfId="27313"/>
    <cellStyle name="Note 4 4 25 6" xfId="41681"/>
    <cellStyle name="Note 4 4 25 7" xfId="47840"/>
    <cellStyle name="Note 4 4 26" xfId="3847"/>
    <cellStyle name="Note 4 4 26 2" xfId="11629"/>
    <cellStyle name="Note 4 4 26 3" xfId="18885"/>
    <cellStyle name="Note 4 4 26 4" xfId="20361"/>
    <cellStyle name="Note 4 4 26 5" xfId="27760"/>
    <cellStyle name="Note 4 4 26 6" xfId="37522"/>
    <cellStyle name="Note 4 4 26 7" xfId="49525"/>
    <cellStyle name="Note 4 4 27" xfId="3966"/>
    <cellStyle name="Note 4 4 27 2" xfId="11745"/>
    <cellStyle name="Note 4 4 27 3" xfId="18994"/>
    <cellStyle name="Note 4 4 27 4" xfId="26130"/>
    <cellStyle name="Note 4 4 27 5" xfId="34792"/>
    <cellStyle name="Note 4 4 27 6" xfId="40174"/>
    <cellStyle name="Note 4 4 27 7" xfId="53273"/>
    <cellStyle name="Note 4 4 28" xfId="3338"/>
    <cellStyle name="Note 4 4 28 2" xfId="11131"/>
    <cellStyle name="Note 4 4 28 3" xfId="20399"/>
    <cellStyle name="Note 4 4 28 4" xfId="28502"/>
    <cellStyle name="Note 4 4 28 5" xfId="36043"/>
    <cellStyle name="Note 4 4 28 6" xfId="42464"/>
    <cellStyle name="Note 4 4 28 7" xfId="53631"/>
    <cellStyle name="Note 4 4 29" xfId="4162"/>
    <cellStyle name="Note 4 4 29 2" xfId="11921"/>
    <cellStyle name="Note 4 4 29 3" xfId="20872"/>
    <cellStyle name="Note 4 4 29 4" xfId="29059"/>
    <cellStyle name="Note 4 4 29 5" xfId="28137"/>
    <cellStyle name="Note 4 4 29 6" xfId="42724"/>
    <cellStyle name="Note 4 4 29 7" xfId="49828"/>
    <cellStyle name="Note 4 4 3" xfId="819"/>
    <cellStyle name="Note 4 4 3 2" xfId="8643"/>
    <cellStyle name="Note 4 4 3 3" xfId="16071"/>
    <cellStyle name="Note 4 4 3 4" xfId="26586"/>
    <cellStyle name="Note 4 4 3 5" xfId="35406"/>
    <cellStyle name="Note 4 4 3 6" xfId="37549"/>
    <cellStyle name="Note 4 4 3 7" xfId="54249"/>
    <cellStyle name="Note 4 4 30" xfId="4207"/>
    <cellStyle name="Note 4 4 30 2" xfId="20917"/>
    <cellStyle name="Note 4 4 30 3" xfId="29104"/>
    <cellStyle name="Note 4 4 30 4" xfId="28635"/>
    <cellStyle name="Note 4 4 30 5" xfId="42769"/>
    <cellStyle name="Note 4 4 30 6" xfId="51012"/>
    <cellStyle name="Note 4 4 31" xfId="4360"/>
    <cellStyle name="Note 4 4 31 2" xfId="12077"/>
    <cellStyle name="Note 4 4 31 3" xfId="21070"/>
    <cellStyle name="Note 4 4 31 4" xfId="29257"/>
    <cellStyle name="Note 4 4 31 5" xfId="27909"/>
    <cellStyle name="Note 4 4 31 6" xfId="42922"/>
    <cellStyle name="Note 4 4 31 7" xfId="48075"/>
    <cellStyle name="Note 4 4 32" xfId="4482"/>
    <cellStyle name="Note 4 4 32 2" xfId="12199"/>
    <cellStyle name="Note 4 4 32 3" xfId="21192"/>
    <cellStyle name="Note 4 4 32 4" xfId="29379"/>
    <cellStyle name="Note 4 4 32 5" xfId="35979"/>
    <cellStyle name="Note 4 4 32 6" xfId="43044"/>
    <cellStyle name="Note 4 4 32 7" xfId="53332"/>
    <cellStyle name="Note 4 4 33" xfId="4596"/>
    <cellStyle name="Note 4 4 33 2" xfId="12313"/>
    <cellStyle name="Note 4 4 33 3" xfId="21306"/>
    <cellStyle name="Note 4 4 33 4" xfId="29493"/>
    <cellStyle name="Note 4 4 33 5" xfId="27801"/>
    <cellStyle name="Note 4 4 33 6" xfId="43158"/>
    <cellStyle name="Note 4 4 33 7" xfId="50093"/>
    <cellStyle name="Note 4 4 34" xfId="4709"/>
    <cellStyle name="Note 4 4 34 2" xfId="12426"/>
    <cellStyle name="Note 4 4 34 3" xfId="21419"/>
    <cellStyle name="Note 4 4 34 4" xfId="29606"/>
    <cellStyle name="Note 4 4 34 5" xfId="36011"/>
    <cellStyle name="Note 4 4 34 6" xfId="43271"/>
    <cellStyle name="Note 4 4 34 7" xfId="53474"/>
    <cellStyle name="Note 4 4 35" xfId="4819"/>
    <cellStyle name="Note 4 4 35 2" xfId="12536"/>
    <cellStyle name="Note 4 4 35 3" xfId="21529"/>
    <cellStyle name="Note 4 4 35 4" xfId="29716"/>
    <cellStyle name="Note 4 4 35 5" xfId="34238"/>
    <cellStyle name="Note 4 4 35 6" xfId="43381"/>
    <cellStyle name="Note 4 4 35 7" xfId="49559"/>
    <cellStyle name="Note 4 4 36" xfId="4929"/>
    <cellStyle name="Note 4 4 36 2" xfId="12646"/>
    <cellStyle name="Note 4 4 36 3" xfId="21639"/>
    <cellStyle name="Note 4 4 36 4" xfId="29826"/>
    <cellStyle name="Note 4 4 36 5" xfId="27494"/>
    <cellStyle name="Note 4 4 36 6" xfId="43491"/>
    <cellStyle name="Note 4 4 36 7" xfId="47358"/>
    <cellStyle name="Note 4 4 37" xfId="5039"/>
    <cellStyle name="Note 4 4 37 2" xfId="12756"/>
    <cellStyle name="Note 4 4 37 3" xfId="21749"/>
    <cellStyle name="Note 4 4 37 4" xfId="29936"/>
    <cellStyle name="Note 4 4 37 5" xfId="28235"/>
    <cellStyle name="Note 4 4 37 6" xfId="43601"/>
    <cellStyle name="Note 4 4 37 7" xfId="49617"/>
    <cellStyle name="Note 4 4 38" xfId="5419"/>
    <cellStyle name="Note 4 4 38 2" xfId="13136"/>
    <cellStyle name="Note 4 4 38 3" xfId="22129"/>
    <cellStyle name="Note 4 4 38 4" xfId="30316"/>
    <cellStyle name="Note 4 4 38 5" xfId="33918"/>
    <cellStyle name="Note 4 4 38 6" xfId="43981"/>
    <cellStyle name="Note 4 4 38 7" xfId="49361"/>
    <cellStyle name="Note 4 4 39" xfId="5539"/>
    <cellStyle name="Note 4 4 39 2" xfId="13256"/>
    <cellStyle name="Note 4 4 39 3" xfId="22249"/>
    <cellStyle name="Note 4 4 39 4" xfId="30436"/>
    <cellStyle name="Note 4 4 39 5" xfId="35108"/>
    <cellStyle name="Note 4 4 39 6" xfId="44101"/>
    <cellStyle name="Note 4 4 39 7" xfId="46920"/>
    <cellStyle name="Note 4 4 4" xfId="929"/>
    <cellStyle name="Note 4 4 4 2" xfId="8753"/>
    <cellStyle name="Note 4 4 4 3" xfId="16181"/>
    <cellStyle name="Note 4 4 4 4" xfId="24818"/>
    <cellStyle name="Note 4 4 4 5" xfId="27890"/>
    <cellStyle name="Note 4 4 4 6" xfId="36358"/>
    <cellStyle name="Note 4 4 4 7" xfId="47559"/>
    <cellStyle name="Note 4 4 40" xfId="5663"/>
    <cellStyle name="Note 4 4 40 2" xfId="13380"/>
    <cellStyle name="Note 4 4 40 3" xfId="22373"/>
    <cellStyle name="Note 4 4 40 4" xfId="30560"/>
    <cellStyle name="Note 4 4 40 5" xfId="27958"/>
    <cellStyle name="Note 4 4 40 6" xfId="44225"/>
    <cellStyle name="Note 4 4 40 7" xfId="47107"/>
    <cellStyle name="Note 4 4 41" xfId="5779"/>
    <cellStyle name="Note 4 4 41 2" xfId="13496"/>
    <cellStyle name="Note 4 4 41 3" xfId="22489"/>
    <cellStyle name="Note 4 4 41 4" xfId="30676"/>
    <cellStyle name="Note 4 4 41 5" xfId="35540"/>
    <cellStyle name="Note 4 4 41 6" xfId="44341"/>
    <cellStyle name="Note 4 4 41 7" xfId="49138"/>
    <cellStyle name="Note 4 4 42" xfId="5896"/>
    <cellStyle name="Note 4 4 42 2" xfId="13613"/>
    <cellStyle name="Note 4 4 42 3" xfId="22606"/>
    <cellStyle name="Note 4 4 42 4" xfId="30793"/>
    <cellStyle name="Note 4 4 42 5" xfId="28068"/>
    <cellStyle name="Note 4 4 42 6" xfId="44458"/>
    <cellStyle name="Note 4 4 42 7" xfId="47395"/>
    <cellStyle name="Note 4 4 43" xfId="6024"/>
    <cellStyle name="Note 4 4 43 2" xfId="13741"/>
    <cellStyle name="Note 4 4 43 3" xfId="22734"/>
    <cellStyle name="Note 4 4 43 4" xfId="30921"/>
    <cellStyle name="Note 4 4 43 5" xfId="35777"/>
    <cellStyle name="Note 4 4 43 6" xfId="44586"/>
    <cellStyle name="Note 4 4 43 7" xfId="52151"/>
    <cellStyle name="Note 4 4 44" xfId="6118"/>
    <cellStyle name="Note 4 4 44 2" xfId="13835"/>
    <cellStyle name="Note 4 4 44 3" xfId="22828"/>
    <cellStyle name="Note 4 4 44 4" xfId="31015"/>
    <cellStyle name="Note 4 4 44 5" xfId="35037"/>
    <cellStyle name="Note 4 4 44 6" xfId="44680"/>
    <cellStyle name="Note 4 4 44 7" xfId="49333"/>
    <cellStyle name="Note 4 4 45" xfId="6151"/>
    <cellStyle name="Note 4 4 45 2" xfId="13868"/>
    <cellStyle name="Note 4 4 45 3" xfId="22861"/>
    <cellStyle name="Note 4 4 45 4" xfId="31048"/>
    <cellStyle name="Note 4 4 45 5" xfId="36053"/>
    <cellStyle name="Note 4 4 45 6" xfId="44713"/>
    <cellStyle name="Note 4 4 45 7" xfId="53199"/>
    <cellStyle name="Note 4 4 46" xfId="6280"/>
    <cellStyle name="Note 4 4 46 2" xfId="13997"/>
    <cellStyle name="Note 4 4 46 3" xfId="22990"/>
    <cellStyle name="Note 4 4 46 4" xfId="31177"/>
    <cellStyle name="Note 4 4 46 5" xfId="33619"/>
    <cellStyle name="Note 4 4 46 6" xfId="44842"/>
    <cellStyle name="Note 4 4 46 7" xfId="49960"/>
    <cellStyle name="Note 4 4 47" xfId="6395"/>
    <cellStyle name="Note 4 4 47 2" xfId="14112"/>
    <cellStyle name="Note 4 4 47 3" xfId="23105"/>
    <cellStyle name="Note 4 4 47 4" xfId="31292"/>
    <cellStyle name="Note 4 4 47 5" xfId="28245"/>
    <cellStyle name="Note 4 4 47 6" xfId="44957"/>
    <cellStyle name="Note 4 4 47 7" xfId="50424"/>
    <cellStyle name="Note 4 4 48" xfId="6507"/>
    <cellStyle name="Note 4 4 48 2" xfId="14224"/>
    <cellStyle name="Note 4 4 48 3" xfId="23217"/>
    <cellStyle name="Note 4 4 48 4" xfId="31404"/>
    <cellStyle name="Note 4 4 48 5" xfId="36073"/>
    <cellStyle name="Note 4 4 48 6" xfId="45069"/>
    <cellStyle name="Note 4 4 48 7" xfId="53301"/>
    <cellStyle name="Note 4 4 49" xfId="5812"/>
    <cellStyle name="Note 4 4 49 2" xfId="13529"/>
    <cellStyle name="Note 4 4 49 3" xfId="22522"/>
    <cellStyle name="Note 4 4 49 4" xfId="30709"/>
    <cellStyle name="Note 4 4 49 5" xfId="35804"/>
    <cellStyle name="Note 4 4 49 6" xfId="44374"/>
    <cellStyle name="Note 4 4 49 7" xfId="47659"/>
    <cellStyle name="Note 4 4 5" xfId="1397"/>
    <cellStyle name="Note 4 4 5 2" xfId="9220"/>
    <cellStyle name="Note 4 4 5 3" xfId="16648"/>
    <cellStyle name="Note 4 4 5 4" xfId="19526"/>
    <cellStyle name="Note 4 4 5 5" xfId="28353"/>
    <cellStyle name="Note 4 4 5 6" xfId="37364"/>
    <cellStyle name="Note 4 4 5 7" xfId="50280"/>
    <cellStyle name="Note 4 4 50" xfId="6654"/>
    <cellStyle name="Note 4 4 50 2" xfId="14371"/>
    <cellStyle name="Note 4 4 50 3" xfId="23364"/>
    <cellStyle name="Note 4 4 50 4" xfId="31551"/>
    <cellStyle name="Note 4 4 50 5" xfId="35929"/>
    <cellStyle name="Note 4 4 50 6" xfId="45216"/>
    <cellStyle name="Note 4 4 50 7" xfId="52836"/>
    <cellStyle name="Note 4 4 51" xfId="6765"/>
    <cellStyle name="Note 4 4 51 2" xfId="14482"/>
    <cellStyle name="Note 4 4 51 3" xfId="23475"/>
    <cellStyle name="Note 4 4 51 4" xfId="31662"/>
    <cellStyle name="Note 4 4 51 5" xfId="33943"/>
    <cellStyle name="Note 4 4 51 6" xfId="45327"/>
    <cellStyle name="Note 4 4 51 7" xfId="49711"/>
    <cellStyle name="Note 4 4 52" xfId="6880"/>
    <cellStyle name="Note 4 4 52 2" xfId="14597"/>
    <cellStyle name="Note 4 4 52 3" xfId="23590"/>
    <cellStyle name="Note 4 4 52 4" xfId="31777"/>
    <cellStyle name="Note 4 4 52 5" xfId="34474"/>
    <cellStyle name="Note 4 4 52 6" xfId="45442"/>
    <cellStyle name="Note 4 4 52 7" xfId="46887"/>
    <cellStyle name="Note 4 4 53" xfId="6993"/>
    <cellStyle name="Note 4 4 53 2" xfId="14710"/>
    <cellStyle name="Note 4 4 53 3" xfId="23703"/>
    <cellStyle name="Note 4 4 53 4" xfId="31890"/>
    <cellStyle name="Note 4 4 53 5" xfId="26797"/>
    <cellStyle name="Note 4 4 53 6" xfId="45555"/>
    <cellStyle name="Note 4 4 53 7" xfId="54554"/>
    <cellStyle name="Note 4 4 54" xfId="7103"/>
    <cellStyle name="Note 4 4 54 2" xfId="14820"/>
    <cellStyle name="Note 4 4 54 3" xfId="23813"/>
    <cellStyle name="Note 4 4 54 4" xfId="32000"/>
    <cellStyle name="Note 4 4 54 5" xfId="33149"/>
    <cellStyle name="Note 4 4 54 6" xfId="45665"/>
    <cellStyle name="Note 4 4 54 7" xfId="48763"/>
    <cellStyle name="Note 4 4 55" xfId="7175"/>
    <cellStyle name="Note 4 4 55 2" xfId="14892"/>
    <cellStyle name="Note 4 4 55 3" xfId="23885"/>
    <cellStyle name="Note 4 4 55 4" xfId="32072"/>
    <cellStyle name="Note 4 4 55 5" xfId="28272"/>
    <cellStyle name="Note 4 4 55 6" xfId="45737"/>
    <cellStyle name="Note 4 4 55 7" xfId="54171"/>
    <cellStyle name="Note 4 4 56" xfId="7205"/>
    <cellStyle name="Note 4 4 56 2" xfId="14922"/>
    <cellStyle name="Note 4 4 56 3" xfId="23915"/>
    <cellStyle name="Note 4 4 56 4" xfId="32102"/>
    <cellStyle name="Note 4 4 56 5" xfId="35106"/>
    <cellStyle name="Note 4 4 56 6" xfId="45767"/>
    <cellStyle name="Note 4 4 56 7" xfId="47486"/>
    <cellStyle name="Note 4 4 57" xfId="7500"/>
    <cellStyle name="Note 4 4 57 2" xfId="15217"/>
    <cellStyle name="Note 4 4 57 3" xfId="24210"/>
    <cellStyle name="Note 4 4 57 4" xfId="32397"/>
    <cellStyle name="Note 4 4 57 5" xfId="35354"/>
    <cellStyle name="Note 4 4 57 6" xfId="46062"/>
    <cellStyle name="Note 4 4 57 7" xfId="50293"/>
    <cellStyle name="Note 4 4 58" xfId="7621"/>
    <cellStyle name="Note 4 4 58 2" xfId="15338"/>
    <cellStyle name="Note 4 4 58 3" xfId="24331"/>
    <cellStyle name="Note 4 4 58 4" xfId="32518"/>
    <cellStyle name="Note 4 4 58 5" xfId="36211"/>
    <cellStyle name="Note 4 4 58 6" xfId="46183"/>
    <cellStyle name="Note 4 4 58 7" xfId="53934"/>
    <cellStyle name="Note 4 4 59" xfId="7898"/>
    <cellStyle name="Note 4 4 59 2" xfId="15615"/>
    <cellStyle name="Note 4 4 59 3" xfId="24602"/>
    <cellStyle name="Note 4 4 59 4" xfId="32795"/>
    <cellStyle name="Note 4 4 59 5" xfId="36087"/>
    <cellStyle name="Note 4 4 59 6" xfId="46460"/>
    <cellStyle name="Note 4 4 59 7" xfId="53264"/>
    <cellStyle name="Note 4 4 6" xfId="1520"/>
    <cellStyle name="Note 4 4 6 2" xfId="9343"/>
    <cellStyle name="Note 4 4 6 3" xfId="16771"/>
    <cellStyle name="Note 4 4 6 4" xfId="19751"/>
    <cellStyle name="Note 4 4 6 5" xfId="27714"/>
    <cellStyle name="Note 4 4 6 6" xfId="39165"/>
    <cellStyle name="Note 4 4 6 7" xfId="50247"/>
    <cellStyle name="Note 4 4 60" xfId="7783"/>
    <cellStyle name="Note 4 4 60 2" xfId="15500"/>
    <cellStyle name="Note 4 4 60 3" xfId="24489"/>
    <cellStyle name="Note 4 4 60 4" xfId="32680"/>
    <cellStyle name="Note 4 4 60 5" xfId="34027"/>
    <cellStyle name="Note 4 4 60 6" xfId="46345"/>
    <cellStyle name="Note 4 4 60 7" xfId="47387"/>
    <cellStyle name="Note 4 4 61" xfId="8026"/>
    <cellStyle name="Note 4 4 61 2" xfId="15743"/>
    <cellStyle name="Note 4 4 61 3" xfId="24728"/>
    <cellStyle name="Note 4 4 61 4" xfId="32923"/>
    <cellStyle name="Note 4 4 61 5" xfId="34364"/>
    <cellStyle name="Note 4 4 61 6" xfId="46588"/>
    <cellStyle name="Note 4 4 61 7" xfId="47754"/>
    <cellStyle name="Note 4 4 62" xfId="7665"/>
    <cellStyle name="Note 4 4 62 2" xfId="15382"/>
    <cellStyle name="Note 4 4 62 3" xfId="24374"/>
    <cellStyle name="Note 4 4 62 4" xfId="32562"/>
    <cellStyle name="Note 4 4 62 5" xfId="28860"/>
    <cellStyle name="Note 4 4 62 6" xfId="46227"/>
    <cellStyle name="Note 4 4 62 7" xfId="49244"/>
    <cellStyle name="Note 4 4 63" xfId="8173"/>
    <cellStyle name="Note 4 4 63 2" xfId="15890"/>
    <cellStyle name="Note 4 4 63 3" xfId="33070"/>
    <cellStyle name="Note 4 4 63 4" xfId="27998"/>
    <cellStyle name="Note 4 4 63 5" xfId="46735"/>
    <cellStyle name="Note 4 4 63 6" xfId="48469"/>
    <cellStyle name="Note 4 4 64" xfId="26022"/>
    <cellStyle name="Note 4 4 65" xfId="34651"/>
    <cellStyle name="Note 4 4 66" xfId="36302"/>
    <cellStyle name="Note 4 4 67" xfId="53039"/>
    <cellStyle name="Note 4 4 7" xfId="1296"/>
    <cellStyle name="Note 4 4 7 2" xfId="9119"/>
    <cellStyle name="Note 4 4 7 3" xfId="16547"/>
    <cellStyle name="Note 4 4 7 4" xfId="20382"/>
    <cellStyle name="Note 4 4 7 5" xfId="27354"/>
    <cellStyle name="Note 4 4 7 6" xfId="36470"/>
    <cellStyle name="Note 4 4 7 7" xfId="47834"/>
    <cellStyle name="Note 4 4 8" xfId="1757"/>
    <cellStyle name="Note 4 4 8 2" xfId="9580"/>
    <cellStyle name="Note 4 4 8 3" xfId="17008"/>
    <cellStyle name="Note 4 4 8 4" xfId="25165"/>
    <cellStyle name="Note 4 4 8 5" xfId="33545"/>
    <cellStyle name="Note 4 4 8 6" xfId="38838"/>
    <cellStyle name="Note 4 4 8 7" xfId="51143"/>
    <cellStyle name="Note 4 4 9" xfId="1890"/>
    <cellStyle name="Note 4 4 9 2" xfId="9713"/>
    <cellStyle name="Note 4 4 9 3" xfId="17141"/>
    <cellStyle name="Note 4 4 9 4" xfId="19981"/>
    <cellStyle name="Note 4 4 9 5" xfId="26823"/>
    <cellStyle name="Note 4 4 9 6" xfId="38231"/>
    <cellStyle name="Note 4 4 9 7" xfId="49045"/>
    <cellStyle name="Note 4 5" xfId="549"/>
    <cellStyle name="Note 4 5 10" xfId="1996"/>
    <cellStyle name="Note 4 5 10 2" xfId="9819"/>
    <cellStyle name="Note 4 5 10 3" xfId="17247"/>
    <cellStyle name="Note 4 5 10 4" xfId="20442"/>
    <cellStyle name="Note 4 5 10 5" xfId="27484"/>
    <cellStyle name="Note 4 5 10 6" xfId="39480"/>
    <cellStyle name="Note 4 5 10 7" xfId="48078"/>
    <cellStyle name="Note 4 5 11" xfId="2114"/>
    <cellStyle name="Note 4 5 11 2" xfId="9937"/>
    <cellStyle name="Note 4 5 11 3" xfId="17365"/>
    <cellStyle name="Note 4 5 11 4" xfId="26323"/>
    <cellStyle name="Note 4 5 11 5" xfId="35047"/>
    <cellStyle name="Note 4 5 11 6" xfId="38528"/>
    <cellStyle name="Note 4 5 11 7" xfId="53688"/>
    <cellStyle name="Note 4 5 12" xfId="2227"/>
    <cellStyle name="Note 4 5 12 2" xfId="10050"/>
    <cellStyle name="Note 4 5 12 3" xfId="17478"/>
    <cellStyle name="Note 4 5 12 4" xfId="20377"/>
    <cellStyle name="Note 4 5 12 5" xfId="28731"/>
    <cellStyle name="Note 4 5 12 6" xfId="42090"/>
    <cellStyle name="Note 4 5 12 7" xfId="50210"/>
    <cellStyle name="Note 4 5 13" xfId="1177"/>
    <cellStyle name="Note 4 5 13 2" xfId="9000"/>
    <cellStyle name="Note 4 5 13 3" xfId="16428"/>
    <cellStyle name="Note 4 5 13 4" xfId="26653"/>
    <cellStyle name="Note 4 5 13 5" xfId="35497"/>
    <cellStyle name="Note 4 5 13 6" xfId="37299"/>
    <cellStyle name="Note 4 5 13 7" xfId="54396"/>
    <cellStyle name="Note 4 5 14" xfId="2002"/>
    <cellStyle name="Note 4 5 14 2" xfId="9825"/>
    <cellStyle name="Note 4 5 14 3" xfId="17253"/>
    <cellStyle name="Note 4 5 14 4" xfId="25863"/>
    <cellStyle name="Note 4 5 14 5" xfId="34451"/>
    <cellStyle name="Note 4 5 14 6" xfId="37056"/>
    <cellStyle name="Note 4 5 14 7" xfId="52699"/>
    <cellStyle name="Note 4 5 15" xfId="2525"/>
    <cellStyle name="Note 4 5 15 2" xfId="10348"/>
    <cellStyle name="Note 4 5 15 3" xfId="17776"/>
    <cellStyle name="Note 4 5 15 4" xfId="20270"/>
    <cellStyle name="Note 4 5 15 5" xfId="28025"/>
    <cellStyle name="Note 4 5 15 6" xfId="41426"/>
    <cellStyle name="Note 4 5 15 7" xfId="48327"/>
    <cellStyle name="Note 4 5 16" xfId="2638"/>
    <cellStyle name="Note 4 5 16 2" xfId="10461"/>
    <cellStyle name="Note 4 5 16 3" xfId="17889"/>
    <cellStyle name="Note 4 5 16 4" xfId="25715"/>
    <cellStyle name="Note 4 5 16 5" xfId="34257"/>
    <cellStyle name="Note 4 5 16 6" xfId="38478"/>
    <cellStyle name="Note 4 5 16 7" xfId="52348"/>
    <cellStyle name="Note 4 5 17" xfId="1718"/>
    <cellStyle name="Note 4 5 17 2" xfId="9541"/>
    <cellStyle name="Note 4 5 17 3" xfId="16969"/>
    <cellStyle name="Note 4 5 17 4" xfId="25807"/>
    <cellStyle name="Note 4 5 17 5" xfId="34386"/>
    <cellStyle name="Note 4 5 17 6" xfId="36649"/>
    <cellStyle name="Note 4 5 17 7" xfId="52582"/>
    <cellStyle name="Note 4 5 18" xfId="2349"/>
    <cellStyle name="Note 4 5 18 2" xfId="10172"/>
    <cellStyle name="Note 4 5 18 3" xfId="17600"/>
    <cellStyle name="Note 4 5 18 4" xfId="19946"/>
    <cellStyle name="Note 4 5 18 5" xfId="26818"/>
    <cellStyle name="Note 4 5 18 6" xfId="36453"/>
    <cellStyle name="Note 4 5 18 7" xfId="47575"/>
    <cellStyle name="Note 4 5 19" xfId="2831"/>
    <cellStyle name="Note 4 5 19 2" xfId="10654"/>
    <cellStyle name="Note 4 5 19 3" xfId="18082"/>
    <cellStyle name="Note 4 5 19 4" xfId="26077"/>
    <cellStyle name="Note 4 5 19 5" xfId="34723"/>
    <cellStyle name="Note 4 5 19 6" xfId="41246"/>
    <cellStyle name="Note 4 5 19 7" xfId="53162"/>
    <cellStyle name="Note 4 5 2" xfId="699"/>
    <cellStyle name="Note 4 5 2 2" xfId="8523"/>
    <cellStyle name="Note 4 5 2 3" xfId="15951"/>
    <cellStyle name="Note 4 5 2 4" xfId="26367"/>
    <cellStyle name="Note 4 5 2 5" xfId="35102"/>
    <cellStyle name="Note 4 5 2 6" xfId="37927"/>
    <cellStyle name="Note 4 5 2 7" xfId="53780"/>
    <cellStyle name="Note 4 5 20" xfId="2938"/>
    <cellStyle name="Note 4 5 20 2" xfId="10761"/>
    <cellStyle name="Note 4 5 20 3" xfId="18189"/>
    <cellStyle name="Note 4 5 20 4" xfId="25711"/>
    <cellStyle name="Note 4 5 20 5" xfId="34253"/>
    <cellStyle name="Note 4 5 20 6" xfId="40574"/>
    <cellStyle name="Note 4 5 20 7" xfId="52338"/>
    <cellStyle name="Note 4 5 21" xfId="3314"/>
    <cellStyle name="Note 4 5 21 2" xfId="11107"/>
    <cellStyle name="Note 4 5 21 3" xfId="18436"/>
    <cellStyle name="Note 4 5 21 4" xfId="20633"/>
    <cellStyle name="Note 4 5 21 5" xfId="26885"/>
    <cellStyle name="Note 4 5 21 6" xfId="38257"/>
    <cellStyle name="Note 4 5 21 7" xfId="49744"/>
    <cellStyle name="Note 4 5 22" xfId="3434"/>
    <cellStyle name="Note 4 5 22 2" xfId="11225"/>
    <cellStyle name="Note 4 5 22 3" xfId="18547"/>
    <cellStyle name="Note 4 5 22 4" xfId="19873"/>
    <cellStyle name="Note 4 5 22 5" xfId="27106"/>
    <cellStyle name="Note 4 5 22 6" xfId="40810"/>
    <cellStyle name="Note 4 5 22 7" xfId="48219"/>
    <cellStyle name="Note 4 5 23" xfId="3557"/>
    <cellStyle name="Note 4 5 23 2" xfId="11346"/>
    <cellStyle name="Note 4 5 23 3" xfId="18632"/>
    <cellStyle name="Note 4 5 23 4" xfId="24500"/>
    <cellStyle name="Note 4 5 23 5" xfId="28778"/>
    <cellStyle name="Note 4 5 23 6" xfId="37573"/>
    <cellStyle name="Note 4 5 23 7" xfId="47947"/>
    <cellStyle name="Note 4 5 24" xfId="3239"/>
    <cellStyle name="Note 4 5 24 2" xfId="11032"/>
    <cellStyle name="Note 4 5 24 3" xfId="18363"/>
    <cellStyle name="Note 4 5 24 4" xfId="25570"/>
    <cellStyle name="Note 4 5 24 5" xfId="34069"/>
    <cellStyle name="Note 4 5 24 6" xfId="38370"/>
    <cellStyle name="Note 4 5 24 7" xfId="52017"/>
    <cellStyle name="Note 4 5 25" xfId="3705"/>
    <cellStyle name="Note 4 5 25 2" xfId="11490"/>
    <cellStyle name="Note 4 5 25 3" xfId="18763"/>
    <cellStyle name="Note 4 5 25 4" xfId="19629"/>
    <cellStyle name="Note 4 5 25 5" xfId="27950"/>
    <cellStyle name="Note 4 5 25 6" xfId="39538"/>
    <cellStyle name="Note 4 5 25 7" xfId="48859"/>
    <cellStyle name="Note 4 5 26" xfId="3835"/>
    <cellStyle name="Note 4 5 26 2" xfId="11617"/>
    <cellStyle name="Note 4 5 26 3" xfId="18874"/>
    <cellStyle name="Note 4 5 26 4" xfId="25032"/>
    <cellStyle name="Note 4 5 26 5" xfId="33388"/>
    <cellStyle name="Note 4 5 26 6" xfId="36452"/>
    <cellStyle name="Note 4 5 26 7" xfId="50862"/>
    <cellStyle name="Note 4 5 27" xfId="3953"/>
    <cellStyle name="Note 4 5 27 2" xfId="11733"/>
    <cellStyle name="Note 4 5 27 3" xfId="18983"/>
    <cellStyle name="Note 4 5 27 4" xfId="19475"/>
    <cellStyle name="Note 4 5 27 5" xfId="28271"/>
    <cellStyle name="Note 4 5 27 6" xfId="41388"/>
    <cellStyle name="Note 4 5 27 7" xfId="48002"/>
    <cellStyle name="Note 4 5 28" xfId="3103"/>
    <cellStyle name="Note 4 5 28 2" xfId="10908"/>
    <cellStyle name="Note 4 5 28 3" xfId="20259"/>
    <cellStyle name="Note 4 5 28 4" xfId="28350"/>
    <cellStyle name="Note 4 5 28 5" xfId="26869"/>
    <cellStyle name="Note 4 5 28 6" xfId="42401"/>
    <cellStyle name="Note 4 5 28 7" xfId="50273"/>
    <cellStyle name="Note 4 5 29" xfId="4150"/>
    <cellStyle name="Note 4 5 29 2" xfId="11909"/>
    <cellStyle name="Note 4 5 29 3" xfId="20860"/>
    <cellStyle name="Note 4 5 29 4" xfId="29047"/>
    <cellStyle name="Note 4 5 29 5" xfId="34375"/>
    <cellStyle name="Note 4 5 29 6" xfId="42712"/>
    <cellStyle name="Note 4 5 29 7" xfId="47742"/>
    <cellStyle name="Note 4 5 3" xfId="807"/>
    <cellStyle name="Note 4 5 3 2" xfId="8631"/>
    <cellStyle name="Note 4 5 3 3" xfId="16059"/>
    <cellStyle name="Note 4 5 3 4" xfId="19719"/>
    <cellStyle name="Note 4 5 3 5" xfId="27243"/>
    <cellStyle name="Note 4 5 3 6" xfId="36834"/>
    <cellStyle name="Note 4 5 3 7" xfId="48782"/>
    <cellStyle name="Note 4 5 30" xfId="4203"/>
    <cellStyle name="Note 4 5 30 2" xfId="20913"/>
    <cellStyle name="Note 4 5 30 3" xfId="29100"/>
    <cellStyle name="Note 4 5 30 4" xfId="35584"/>
    <cellStyle name="Note 4 5 30 5" xfId="42765"/>
    <cellStyle name="Note 4 5 30 6" xfId="51437"/>
    <cellStyle name="Note 4 5 31" xfId="4347"/>
    <cellStyle name="Note 4 5 31 2" xfId="12064"/>
    <cellStyle name="Note 4 5 31 3" xfId="21057"/>
    <cellStyle name="Note 4 5 31 4" xfId="29244"/>
    <cellStyle name="Note 4 5 31 5" xfId="36193"/>
    <cellStyle name="Note 4 5 31 6" xfId="42909"/>
    <cellStyle name="Note 4 5 31 7" xfId="54335"/>
    <cellStyle name="Note 4 5 32" xfId="4470"/>
    <cellStyle name="Note 4 5 32 2" xfId="12187"/>
    <cellStyle name="Note 4 5 32 3" xfId="21180"/>
    <cellStyle name="Note 4 5 32 4" xfId="29367"/>
    <cellStyle name="Note 4 5 32 5" xfId="35011"/>
    <cellStyle name="Note 4 5 32 6" xfId="43032"/>
    <cellStyle name="Note 4 5 32 7" xfId="48245"/>
    <cellStyle name="Note 4 5 33" xfId="4584"/>
    <cellStyle name="Note 4 5 33 2" xfId="12301"/>
    <cellStyle name="Note 4 5 33 3" xfId="21294"/>
    <cellStyle name="Note 4 5 33 4" xfId="29481"/>
    <cellStyle name="Note 4 5 33 5" xfId="27891"/>
    <cellStyle name="Note 4 5 33 6" xfId="43146"/>
    <cellStyle name="Note 4 5 33 7" xfId="51274"/>
    <cellStyle name="Note 4 5 34" xfId="4697"/>
    <cellStyle name="Note 4 5 34 2" xfId="12414"/>
    <cellStyle name="Note 4 5 34 3" xfId="21407"/>
    <cellStyle name="Note 4 5 34 4" xfId="29594"/>
    <cellStyle name="Note 4 5 34 5" xfId="35384"/>
    <cellStyle name="Note 4 5 34 6" xfId="43259"/>
    <cellStyle name="Note 4 5 34 7" xfId="48425"/>
    <cellStyle name="Note 4 5 35" xfId="4808"/>
    <cellStyle name="Note 4 5 35 2" xfId="12525"/>
    <cellStyle name="Note 4 5 35 3" xfId="21518"/>
    <cellStyle name="Note 4 5 35 4" xfId="29705"/>
    <cellStyle name="Note 4 5 35 5" xfId="35447"/>
    <cellStyle name="Note 4 5 35 6" xfId="43370"/>
    <cellStyle name="Note 4 5 35 7" xfId="50753"/>
    <cellStyle name="Note 4 5 36" xfId="4917"/>
    <cellStyle name="Note 4 5 36 2" xfId="12634"/>
    <cellStyle name="Note 4 5 36 3" xfId="21627"/>
    <cellStyle name="Note 4 5 36 4" xfId="29814"/>
    <cellStyle name="Note 4 5 36 5" xfId="35646"/>
    <cellStyle name="Note 4 5 36 6" xfId="43479"/>
    <cellStyle name="Note 4 5 36 7" xfId="51697"/>
    <cellStyle name="Note 4 5 37" xfId="5028"/>
    <cellStyle name="Note 4 5 37 2" xfId="12745"/>
    <cellStyle name="Note 4 5 37 3" xfId="21738"/>
    <cellStyle name="Note 4 5 37 4" xfId="29925"/>
    <cellStyle name="Note 4 5 37 5" xfId="33935"/>
    <cellStyle name="Note 4 5 37 6" xfId="43590"/>
    <cellStyle name="Note 4 5 37 7" xfId="51160"/>
    <cellStyle name="Note 4 5 38" xfId="5407"/>
    <cellStyle name="Note 4 5 38 2" xfId="13124"/>
    <cellStyle name="Note 4 5 38 3" xfId="22117"/>
    <cellStyle name="Note 4 5 38 4" xfId="30304"/>
    <cellStyle name="Note 4 5 38 5" xfId="27549"/>
    <cellStyle name="Note 4 5 38 6" xfId="43969"/>
    <cellStyle name="Note 4 5 38 7" xfId="50657"/>
    <cellStyle name="Note 4 5 39" xfId="5527"/>
    <cellStyle name="Note 4 5 39 2" xfId="13244"/>
    <cellStyle name="Note 4 5 39 3" xfId="22237"/>
    <cellStyle name="Note 4 5 39 4" xfId="30424"/>
    <cellStyle name="Note 4 5 39 5" xfId="34609"/>
    <cellStyle name="Note 4 5 39 6" xfId="44089"/>
    <cellStyle name="Note 4 5 39 7" xfId="49681"/>
    <cellStyle name="Note 4 5 4" xfId="918"/>
    <cellStyle name="Note 4 5 4 2" xfId="8742"/>
    <cellStyle name="Note 4 5 4 3" xfId="16170"/>
    <cellStyle name="Note 4 5 4 4" xfId="20548"/>
    <cellStyle name="Note 4 5 4 5" xfId="28267"/>
    <cellStyle name="Note 4 5 4 6" xfId="36440"/>
    <cellStyle name="Note 4 5 4 7" xfId="47663"/>
    <cellStyle name="Note 4 5 40" xfId="5651"/>
    <cellStyle name="Note 4 5 40 2" xfId="13368"/>
    <cellStyle name="Note 4 5 40 3" xfId="22361"/>
    <cellStyle name="Note 4 5 40 4" xfId="30548"/>
    <cellStyle name="Note 4 5 40 5" xfId="36228"/>
    <cellStyle name="Note 4 5 40 6" xfId="44213"/>
    <cellStyle name="Note 4 5 40 7" xfId="47115"/>
    <cellStyle name="Note 4 5 41" xfId="5767"/>
    <cellStyle name="Note 4 5 41 2" xfId="13484"/>
    <cellStyle name="Note 4 5 41 3" xfId="22477"/>
    <cellStyle name="Note 4 5 41 4" xfId="30664"/>
    <cellStyle name="Note 4 5 41 5" xfId="27858"/>
    <cellStyle name="Note 4 5 41 6" xfId="44329"/>
    <cellStyle name="Note 4 5 41 7" xfId="50496"/>
    <cellStyle name="Note 4 5 42" xfId="5883"/>
    <cellStyle name="Note 4 5 42 2" xfId="13600"/>
    <cellStyle name="Note 4 5 42 3" xfId="22593"/>
    <cellStyle name="Note 4 5 42 4" xfId="30780"/>
    <cellStyle name="Note 4 5 42 5" xfId="33742"/>
    <cellStyle name="Note 4 5 42 6" xfId="44445"/>
    <cellStyle name="Note 4 5 42 7" xfId="50965"/>
    <cellStyle name="Note 4 5 43" xfId="6012"/>
    <cellStyle name="Note 4 5 43 2" xfId="13729"/>
    <cellStyle name="Note 4 5 43 3" xfId="22722"/>
    <cellStyle name="Note 4 5 43 4" xfId="30909"/>
    <cellStyle name="Note 4 5 43 5" xfId="36018"/>
    <cellStyle name="Note 4 5 43 6" xfId="44574"/>
    <cellStyle name="Note 4 5 43 7" xfId="48113"/>
    <cellStyle name="Note 4 5 44" xfId="6107"/>
    <cellStyle name="Note 4 5 44 2" xfId="13824"/>
    <cellStyle name="Note 4 5 44 3" xfId="22817"/>
    <cellStyle name="Note 4 5 44 4" xfId="31004"/>
    <cellStyle name="Note 4 5 44 5" xfId="33151"/>
    <cellStyle name="Note 4 5 44 6" xfId="44669"/>
    <cellStyle name="Note 4 5 44 7" xfId="50580"/>
    <cellStyle name="Note 4 5 45" xfId="6139"/>
    <cellStyle name="Note 4 5 45 2" xfId="13856"/>
    <cellStyle name="Note 4 5 45 3" xfId="22849"/>
    <cellStyle name="Note 4 5 45 4" xfId="31036"/>
    <cellStyle name="Note 4 5 45 5" xfId="27621"/>
    <cellStyle name="Note 4 5 45 6" xfId="44701"/>
    <cellStyle name="Note 4 5 45 7" xfId="47933"/>
    <cellStyle name="Note 4 5 46" xfId="6268"/>
    <cellStyle name="Note 4 5 46 2" xfId="13985"/>
    <cellStyle name="Note 4 5 46 3" xfId="22978"/>
    <cellStyle name="Note 4 5 46 4" xfId="31165"/>
    <cellStyle name="Note 4 5 46 5" xfId="34710"/>
    <cellStyle name="Note 4 5 46 6" xfId="44830"/>
    <cellStyle name="Note 4 5 46 7" xfId="48346"/>
    <cellStyle name="Note 4 5 47" xfId="6384"/>
    <cellStyle name="Note 4 5 47 2" xfId="14101"/>
    <cellStyle name="Note 4 5 47 3" xfId="23094"/>
    <cellStyle name="Note 4 5 47 4" xfId="31281"/>
    <cellStyle name="Note 4 5 47 5" xfId="35710"/>
    <cellStyle name="Note 4 5 47 6" xfId="44946"/>
    <cellStyle name="Note 4 5 47 7" xfId="51448"/>
    <cellStyle name="Note 4 5 48" xfId="6495"/>
    <cellStyle name="Note 4 5 48 2" xfId="14212"/>
    <cellStyle name="Note 4 5 48 3" xfId="23205"/>
    <cellStyle name="Note 4 5 48 4" xfId="31392"/>
    <cellStyle name="Note 4 5 48 5" xfId="36097"/>
    <cellStyle name="Note 4 5 48 6" xfId="45057"/>
    <cellStyle name="Note 4 5 48 7" xfId="48344"/>
    <cellStyle name="Note 4 5 49" xfId="6310"/>
    <cellStyle name="Note 4 5 49 2" xfId="14027"/>
    <cellStyle name="Note 4 5 49 3" xfId="23020"/>
    <cellStyle name="Note 4 5 49 4" xfId="31207"/>
    <cellStyle name="Note 4 5 49 5" xfId="35972"/>
    <cellStyle name="Note 4 5 49 6" xfId="44872"/>
    <cellStyle name="Note 4 5 49 7" xfId="53082"/>
    <cellStyle name="Note 4 5 5" xfId="1384"/>
    <cellStyle name="Note 4 5 5 2" xfId="9207"/>
    <cellStyle name="Note 4 5 5 3" xfId="16635"/>
    <cellStyle name="Note 4 5 5 4" xfId="25349"/>
    <cellStyle name="Note 4 5 5 5" xfId="33784"/>
    <cellStyle name="Note 4 5 5 6" xfId="38223"/>
    <cellStyle name="Note 4 5 5 7" xfId="51533"/>
    <cellStyle name="Note 4 5 50" xfId="6641"/>
    <cellStyle name="Note 4 5 50 2" xfId="14358"/>
    <cellStyle name="Note 4 5 50 3" xfId="23351"/>
    <cellStyle name="Note 4 5 50 4" xfId="31538"/>
    <cellStyle name="Note 4 5 50 5" xfId="33392"/>
    <cellStyle name="Note 4 5 50 6" xfId="45203"/>
    <cellStyle name="Note 4 5 50 7" xfId="54248"/>
    <cellStyle name="Note 4 5 51" xfId="6753"/>
    <cellStyle name="Note 4 5 51 2" xfId="14470"/>
    <cellStyle name="Note 4 5 51 3" xfId="23463"/>
    <cellStyle name="Note 4 5 51 4" xfId="31650"/>
    <cellStyle name="Note 4 5 51 5" xfId="26763"/>
    <cellStyle name="Note 4 5 51 6" xfId="45315"/>
    <cellStyle name="Note 4 5 51 7" xfId="49409"/>
    <cellStyle name="Note 4 5 52" xfId="6868"/>
    <cellStyle name="Note 4 5 52 2" xfId="14585"/>
    <cellStyle name="Note 4 5 52 3" xfId="23578"/>
    <cellStyle name="Note 4 5 52 4" xfId="31765"/>
    <cellStyle name="Note 4 5 52 5" xfId="27423"/>
    <cellStyle name="Note 4 5 52 6" xfId="45430"/>
    <cellStyle name="Note 4 5 52 7" xfId="54534"/>
    <cellStyle name="Note 4 5 53" xfId="6981"/>
    <cellStyle name="Note 4 5 53 2" xfId="14698"/>
    <cellStyle name="Note 4 5 53 3" xfId="23691"/>
    <cellStyle name="Note 4 5 53 4" xfId="31878"/>
    <cellStyle name="Note 4 5 53 5" xfId="36229"/>
    <cellStyle name="Note 4 5 53 6" xfId="45543"/>
    <cellStyle name="Note 4 5 53 7" xfId="47024"/>
    <cellStyle name="Note 4 5 54" xfId="7092"/>
    <cellStyle name="Note 4 5 54 2" xfId="14809"/>
    <cellStyle name="Note 4 5 54 3" xfId="23802"/>
    <cellStyle name="Note 4 5 54 4" xfId="31989"/>
    <cellStyle name="Note 4 5 54 5" xfId="33439"/>
    <cellStyle name="Note 4 5 54 6" xfId="45654"/>
    <cellStyle name="Note 4 5 54 7" xfId="49908"/>
    <cellStyle name="Note 4 5 55" xfId="7185"/>
    <cellStyle name="Note 4 5 55 2" xfId="14902"/>
    <cellStyle name="Note 4 5 55 3" xfId="23895"/>
    <cellStyle name="Note 4 5 55 4" xfId="32082"/>
    <cellStyle name="Note 4 5 55 5" xfId="36003"/>
    <cellStyle name="Note 4 5 55 6" xfId="45747"/>
    <cellStyle name="Note 4 5 55 7" xfId="53003"/>
    <cellStyle name="Note 4 5 56" xfId="7386"/>
    <cellStyle name="Note 4 5 56 2" xfId="15103"/>
    <cellStyle name="Note 4 5 56 3" xfId="24096"/>
    <cellStyle name="Note 4 5 56 4" xfId="32283"/>
    <cellStyle name="Note 4 5 56 5" xfId="35657"/>
    <cellStyle name="Note 4 5 56 6" xfId="45948"/>
    <cellStyle name="Note 4 5 56 7" xfId="50807"/>
    <cellStyle name="Note 4 5 57" xfId="7489"/>
    <cellStyle name="Note 4 5 57 2" xfId="15206"/>
    <cellStyle name="Note 4 5 57 3" xfId="24199"/>
    <cellStyle name="Note 4 5 57 4" xfId="32386"/>
    <cellStyle name="Note 4 5 57 5" xfId="35729"/>
    <cellStyle name="Note 4 5 57 6" xfId="46051"/>
    <cellStyle name="Note 4 5 57 7" xfId="51335"/>
    <cellStyle name="Note 4 5 58" xfId="7610"/>
    <cellStyle name="Note 4 5 58 2" xfId="15327"/>
    <cellStyle name="Note 4 5 58 3" xfId="24320"/>
    <cellStyle name="Note 4 5 58 4" xfId="32507"/>
    <cellStyle name="Note 4 5 58 5" xfId="33338"/>
    <cellStyle name="Note 4 5 58 6" xfId="46172"/>
    <cellStyle name="Note 4 5 58 7" xfId="47936"/>
    <cellStyle name="Note 4 5 59" xfId="7886"/>
    <cellStyle name="Note 4 5 59 2" xfId="15603"/>
    <cellStyle name="Note 4 5 59 3" xfId="24590"/>
    <cellStyle name="Note 4 5 59 4" xfId="32783"/>
    <cellStyle name="Note 4 5 59 5" xfId="35681"/>
    <cellStyle name="Note 4 5 59 6" xfId="46448"/>
    <cellStyle name="Note 4 5 59 7" xfId="47814"/>
    <cellStyle name="Note 4 5 6" xfId="1507"/>
    <cellStyle name="Note 4 5 6 2" xfId="9330"/>
    <cellStyle name="Note 4 5 6 3" xfId="16758"/>
    <cellStyle name="Note 4 5 6 4" xfId="25333"/>
    <cellStyle name="Note 4 5 6 5" xfId="33764"/>
    <cellStyle name="Note 4 5 6 6" xfId="40688"/>
    <cellStyle name="Note 4 5 6 7" xfId="51501"/>
    <cellStyle name="Note 4 5 60" xfId="7776"/>
    <cellStyle name="Note 4 5 60 2" xfId="15493"/>
    <cellStyle name="Note 4 5 60 3" xfId="24482"/>
    <cellStyle name="Note 4 5 60 4" xfId="32673"/>
    <cellStyle name="Note 4 5 60 5" xfId="33155"/>
    <cellStyle name="Note 4 5 60 6" xfId="46338"/>
    <cellStyle name="Note 4 5 60 7" xfId="50469"/>
    <cellStyle name="Note 4 5 61" xfId="8014"/>
    <cellStyle name="Note 4 5 61 2" xfId="15731"/>
    <cellStyle name="Note 4 5 61 3" xfId="24716"/>
    <cellStyle name="Note 4 5 61 4" xfId="32911"/>
    <cellStyle name="Note 4 5 61 5" xfId="27811"/>
    <cellStyle name="Note 4 5 61 6" xfId="46576"/>
    <cellStyle name="Note 4 5 61 7" xfId="50616"/>
    <cellStyle name="Note 4 5 62" xfId="7655"/>
    <cellStyle name="Note 4 5 62 2" xfId="15372"/>
    <cellStyle name="Note 4 5 62 3" xfId="24364"/>
    <cellStyle name="Note 4 5 62 4" xfId="32552"/>
    <cellStyle name="Note 4 5 62 5" xfId="34372"/>
    <cellStyle name="Note 4 5 62 6" xfId="46217"/>
    <cellStyle name="Note 4 5 62 7" xfId="50385"/>
    <cellStyle name="Note 4 5 63" xfId="8162"/>
    <cellStyle name="Note 4 5 63 2" xfId="15879"/>
    <cellStyle name="Note 4 5 63 3" xfId="33059"/>
    <cellStyle name="Note 4 5 63 4" xfId="27181"/>
    <cellStyle name="Note 4 5 63 5" xfId="46724"/>
    <cellStyle name="Note 4 5 63 6" xfId="47894"/>
    <cellStyle name="Note 4 5 64" xfId="20062"/>
    <cellStyle name="Note 4 5 65" xfId="27441"/>
    <cellStyle name="Note 4 5 66" xfId="36305"/>
    <cellStyle name="Note 4 5 67" xfId="48182"/>
    <cellStyle name="Note 4 5 7" xfId="1145"/>
    <cellStyle name="Note 4 5 7 2" xfId="8968"/>
    <cellStyle name="Note 4 5 7 3" xfId="16396"/>
    <cellStyle name="Note 4 5 7 4" xfId="20124"/>
    <cellStyle name="Note 4 5 7 5" xfId="28216"/>
    <cellStyle name="Note 4 5 7 6" xfId="40578"/>
    <cellStyle name="Note 4 5 7 7" xfId="50236"/>
    <cellStyle name="Note 4 5 8" xfId="1744"/>
    <cellStyle name="Note 4 5 8 2" xfId="9567"/>
    <cellStyle name="Note 4 5 8 3" xfId="16995"/>
    <cellStyle name="Note 4 5 8 4" xfId="19350"/>
    <cellStyle name="Note 4 5 8 5" xfId="28157"/>
    <cellStyle name="Note 4 5 8 6" xfId="40334"/>
    <cellStyle name="Note 4 5 8 7" xfId="47438"/>
    <cellStyle name="Note 4 5 9" xfId="1878"/>
    <cellStyle name="Note 4 5 9 2" xfId="9701"/>
    <cellStyle name="Note 4 5 9 3" xfId="17129"/>
    <cellStyle name="Note 4 5 9 4" xfId="19761"/>
    <cellStyle name="Note 4 5 9 5" xfId="33131"/>
    <cellStyle name="Note 4 5 9 6" xfId="39359"/>
    <cellStyle name="Note 4 5 9 7" xfId="50392"/>
    <cellStyle name="Note 4 6" xfId="618"/>
    <cellStyle name="Note 4 6 2" xfId="8442"/>
    <cellStyle name="Note 4 6 3" xfId="8412"/>
    <cellStyle name="Note 4 6 4" xfId="24918"/>
    <cellStyle name="Note 4 6 5" xfId="33244"/>
    <cellStyle name="Note 4 6 6" xfId="37943"/>
    <cellStyle name="Note 4 6 7" xfId="50604"/>
    <cellStyle name="Note 4 7" xfId="224"/>
    <cellStyle name="Note 4 7 2" xfId="8328"/>
    <cellStyle name="Note 4 7 3" xfId="8313"/>
    <cellStyle name="Note 4 7 4" xfId="19321"/>
    <cellStyle name="Note 4 7 5" xfId="26808"/>
    <cellStyle name="Note 4 7 6" xfId="36915"/>
    <cellStyle name="Note 4 7 7" xfId="49707"/>
    <cellStyle name="Note 4 8" xfId="1212"/>
    <cellStyle name="Note 4 8 2" xfId="9035"/>
    <cellStyle name="Note 4 8 3" xfId="16463"/>
    <cellStyle name="Note 4 8 4" xfId="24915"/>
    <cellStyle name="Note 4 8 5" xfId="33239"/>
    <cellStyle name="Note 4 8 6" xfId="40229"/>
    <cellStyle name="Note 4 8 7" xfId="50599"/>
    <cellStyle name="Note 4 9" xfId="1234"/>
    <cellStyle name="Note 4 9 2" xfId="9057"/>
    <cellStyle name="Note 4 9 3" xfId="16485"/>
    <cellStyle name="Note 4 9 4" xfId="19485"/>
    <cellStyle name="Note 4 9 5" xfId="27084"/>
    <cellStyle name="Note 4 9 6" xfId="38034"/>
    <cellStyle name="Note 4 9 7" xfId="48350"/>
    <cellStyle name="Output 2" xfId="160"/>
    <cellStyle name="Output 2 10" xfId="1052"/>
    <cellStyle name="Output 2 10 2" xfId="8876"/>
    <cellStyle name="Output 2 10 3" xfId="16304"/>
    <cellStyle name="Output 2 10 4" xfId="25884"/>
    <cellStyle name="Output 2 10 5" xfId="34479"/>
    <cellStyle name="Output 2 10 6" xfId="37619"/>
    <cellStyle name="Output 2 10 7" xfId="52753"/>
    <cellStyle name="Output 2 11" xfId="1611"/>
    <cellStyle name="Output 2 11 2" xfId="9434"/>
    <cellStyle name="Output 2 11 3" xfId="16862"/>
    <cellStyle name="Output 2 11 4" xfId="19557"/>
    <cellStyle name="Output 2 11 5" xfId="28085"/>
    <cellStyle name="Output 2 11 6" xfId="36407"/>
    <cellStyle name="Output 2 11 7" xfId="48913"/>
    <cellStyle name="Output 2 12" xfId="1218"/>
    <cellStyle name="Output 2 12 2" xfId="9041"/>
    <cellStyle name="Output 2 12 3" xfId="16469"/>
    <cellStyle name="Output 2 12 4" xfId="24858"/>
    <cellStyle name="Output 2 12 5" xfId="28742"/>
    <cellStyle name="Output 2 12 6" xfId="39646"/>
    <cellStyle name="Output 2 12 7" xfId="49903"/>
    <cellStyle name="Output 2 13" xfId="1009"/>
    <cellStyle name="Output 2 13 2" xfId="8833"/>
    <cellStyle name="Output 2 13 3" xfId="16261"/>
    <cellStyle name="Output 2 13 4" xfId="20342"/>
    <cellStyle name="Output 2 13 5" xfId="27847"/>
    <cellStyle name="Output 2 13 6" xfId="37120"/>
    <cellStyle name="Output 2 13 7" xfId="49498"/>
    <cellStyle name="Output 2 14" xfId="998"/>
    <cellStyle name="Output 2 14 2" xfId="8822"/>
    <cellStyle name="Output 2 14 3" xfId="16250"/>
    <cellStyle name="Output 2 14 4" xfId="25017"/>
    <cellStyle name="Output 2 14 5" xfId="33372"/>
    <cellStyle name="Output 2 14 6" xfId="37627"/>
    <cellStyle name="Output 2 14 7" xfId="50836"/>
    <cellStyle name="Output 2 15" xfId="3144"/>
    <cellStyle name="Output 2 15 2" xfId="10948"/>
    <cellStyle name="Output 2 15 3" xfId="18321"/>
    <cellStyle name="Output 2 15 4" xfId="19312"/>
    <cellStyle name="Output 2 15 5" xfId="27485"/>
    <cellStyle name="Output 2 15 6" xfId="40393"/>
    <cellStyle name="Output 2 15 7" xfId="47350"/>
    <cellStyle name="Output 2 16" xfId="3061"/>
    <cellStyle name="Output 2 16 2" xfId="10871"/>
    <cellStyle name="Output 2 16 3" xfId="20227"/>
    <cellStyle name="Output 2 16 4" xfId="26689"/>
    <cellStyle name="Output 2 16 5" xfId="35539"/>
    <cellStyle name="Output 2 16 6" xfId="36762"/>
    <cellStyle name="Output 2 16 7" xfId="54468"/>
    <cellStyle name="Output 2 17" xfId="3207"/>
    <cellStyle name="Output 2 17 2" xfId="20333"/>
    <cellStyle name="Output 2 17 3" xfId="28424"/>
    <cellStyle name="Output 2 17 4" xfId="37812"/>
    <cellStyle name="Output 2 17 5" xfId="42444"/>
    <cellStyle name="Output 2 17 6" xfId="48655"/>
    <cellStyle name="Output 2 18" xfId="4035"/>
    <cellStyle name="Output 2 18 2" xfId="11806"/>
    <cellStyle name="Output 2 18 3" xfId="20745"/>
    <cellStyle name="Output 2 18 4" xfId="28932"/>
    <cellStyle name="Output 2 18 5" xfId="38312"/>
    <cellStyle name="Output 2 18 6" xfId="42597"/>
    <cellStyle name="Output 2 18 7" xfId="53586"/>
    <cellStyle name="Output 2 19" xfId="3573"/>
    <cellStyle name="Output 2 19 2" xfId="11362"/>
    <cellStyle name="Output 2 19 3" xfId="20530"/>
    <cellStyle name="Output 2 19 4" xfId="28656"/>
    <cellStyle name="Output 2 19 5" xfId="38039"/>
    <cellStyle name="Output 2 19 6" xfId="42512"/>
    <cellStyle name="Output 2 19 7" xfId="48507"/>
    <cellStyle name="Output 2 2" xfId="262"/>
    <cellStyle name="Output 2 2 10" xfId="1130"/>
    <cellStyle name="Output 2 2 10 2" xfId="8953"/>
    <cellStyle name="Output 2 2 10 3" xfId="16381"/>
    <cellStyle name="Output 2 2 10 4" xfId="25535"/>
    <cellStyle name="Output 2 2 10 5" xfId="34024"/>
    <cellStyle name="Output 2 2 10 6" xfId="41909"/>
    <cellStyle name="Output 2 2 10 7" xfId="51955"/>
    <cellStyle name="Output 2 2 11" xfId="962"/>
    <cellStyle name="Output 2 2 11 2" xfId="8786"/>
    <cellStyle name="Output 2 2 11 3" xfId="16214"/>
    <cellStyle name="Output 2 2 11 4" xfId="24795"/>
    <cellStyle name="Output 2 2 11 5" xfId="28508"/>
    <cellStyle name="Output 2 2 11 6" xfId="36863"/>
    <cellStyle name="Output 2 2 11 7" xfId="48495"/>
    <cellStyle name="Output 2 2 12" xfId="1049"/>
    <cellStyle name="Output 2 2 12 2" xfId="8873"/>
    <cellStyle name="Output 2 2 12 3" xfId="16301"/>
    <cellStyle name="Output 2 2 12 4" xfId="25999"/>
    <cellStyle name="Output 2 2 12 5" xfId="34623"/>
    <cellStyle name="Output 2 2 12 6" xfId="38060"/>
    <cellStyle name="Output 2 2 12 7" xfId="52996"/>
    <cellStyle name="Output 2 2 13" xfId="1281"/>
    <cellStyle name="Output 2 2 13 2" xfId="9104"/>
    <cellStyle name="Output 2 2 13 3" xfId="16532"/>
    <cellStyle name="Output 2 2 13 4" xfId="19650"/>
    <cellStyle name="Output 2 2 13 5" xfId="28141"/>
    <cellStyle name="Output 2 2 13 6" xfId="40190"/>
    <cellStyle name="Output 2 2 13 7" xfId="46849"/>
    <cellStyle name="Output 2 2 14" xfId="1750"/>
    <cellStyle name="Output 2 2 14 2" xfId="9573"/>
    <cellStyle name="Output 2 2 14 3" xfId="17001"/>
    <cellStyle name="Output 2 2 14 4" xfId="20661"/>
    <cellStyle name="Output 2 2 14 5" xfId="26994"/>
    <cellStyle name="Output 2 2 14 6" xfId="36541"/>
    <cellStyle name="Output 2 2 14 7" xfId="48946"/>
    <cellStyle name="Output 2 2 15" xfId="1417"/>
    <cellStyle name="Output 2 2 15 2" xfId="9240"/>
    <cellStyle name="Output 2 2 15 3" xfId="16668"/>
    <cellStyle name="Output 2 2 15 4" xfId="26700"/>
    <cellStyle name="Output 2 2 15 5" xfId="35552"/>
    <cellStyle name="Output 2 2 15 6" xfId="42233"/>
    <cellStyle name="Output 2 2 15 7" xfId="54491"/>
    <cellStyle name="Output 2 2 16" xfId="1646"/>
    <cellStyle name="Output 2 2 16 2" xfId="9469"/>
    <cellStyle name="Output 2 2 16 3" xfId="16897"/>
    <cellStyle name="Output 2 2 16 4" xfId="25900"/>
    <cellStyle name="Output 2 2 16 5" xfId="34495"/>
    <cellStyle name="Output 2 2 16 6" xfId="41242"/>
    <cellStyle name="Output 2 2 16 7" xfId="52779"/>
    <cellStyle name="Output 2 2 17" xfId="1645"/>
    <cellStyle name="Output 2 2 17 2" xfId="9468"/>
    <cellStyle name="Output 2 2 17 3" xfId="16896"/>
    <cellStyle name="Output 2 2 17 4" xfId="25948"/>
    <cellStyle name="Output 2 2 17 5" xfId="34553"/>
    <cellStyle name="Output 2 2 17 6" xfId="41353"/>
    <cellStyle name="Output 2 2 17 7" xfId="52882"/>
    <cellStyle name="Output 2 2 18" xfId="1197"/>
    <cellStyle name="Output 2 2 18 2" xfId="9020"/>
    <cellStyle name="Output 2 2 18 3" xfId="16448"/>
    <cellStyle name="Output 2 2 18 4" xfId="25660"/>
    <cellStyle name="Output 2 2 18 5" xfId="34182"/>
    <cellStyle name="Output 2 2 18 6" xfId="41645"/>
    <cellStyle name="Output 2 2 18 7" xfId="52215"/>
    <cellStyle name="Output 2 2 19" xfId="1254"/>
    <cellStyle name="Output 2 2 19 2" xfId="9077"/>
    <cellStyle name="Output 2 2 19 3" xfId="16505"/>
    <cellStyle name="Output 2 2 19 4" xfId="20009"/>
    <cellStyle name="Output 2 2 19 5" xfId="27849"/>
    <cellStyle name="Output 2 2 19 6" xfId="41562"/>
    <cellStyle name="Output 2 2 19 7" xfId="46912"/>
    <cellStyle name="Output 2 2 2" xfId="536"/>
    <cellStyle name="Output 2 2 2 10" xfId="1983"/>
    <cellStyle name="Output 2 2 2 10 2" xfId="9806"/>
    <cellStyle name="Output 2 2 2 10 3" xfId="17234"/>
    <cellStyle name="Output 2 2 2 10 4" xfId="19883"/>
    <cellStyle name="Output 2 2 2 10 5" xfId="27337"/>
    <cellStyle name="Output 2 2 2 10 6" xfId="37312"/>
    <cellStyle name="Output 2 2 2 10 7" xfId="47699"/>
    <cellStyle name="Output 2 2 2 11" xfId="2101"/>
    <cellStyle name="Output 2 2 2 11 2" xfId="9924"/>
    <cellStyle name="Output 2 2 2 11 3" xfId="17352"/>
    <cellStyle name="Output 2 2 2 11 4" xfId="26645"/>
    <cellStyle name="Output 2 2 2 11 5" xfId="35487"/>
    <cellStyle name="Output 2 2 2 11 6" xfId="40123"/>
    <cellStyle name="Output 2 2 2 11 7" xfId="54383"/>
    <cellStyle name="Output 2 2 2 12" xfId="2214"/>
    <cellStyle name="Output 2 2 2 12 2" xfId="10037"/>
    <cellStyle name="Output 2 2 2 12 3" xfId="17465"/>
    <cellStyle name="Output 2 2 2 12 4" xfId="25316"/>
    <cellStyle name="Output 2 2 2 12 5" xfId="33740"/>
    <cellStyle name="Output 2 2 2 12 6" xfId="37731"/>
    <cellStyle name="Output 2 2 2 12 7" xfId="51462"/>
    <cellStyle name="Output 2 2 2 13" xfId="2338"/>
    <cellStyle name="Output 2 2 2 13 2" xfId="10161"/>
    <cellStyle name="Output 2 2 2 13 3" xfId="17589"/>
    <cellStyle name="Output 2 2 2 13 4" xfId="19218"/>
    <cellStyle name="Output 2 2 2 13 5" xfId="28838"/>
    <cellStyle name="Output 2 2 2 13 6" xfId="36509"/>
    <cellStyle name="Output 2 2 2 13 7" xfId="47999"/>
    <cellStyle name="Output 2 2 2 14" xfId="2425"/>
    <cellStyle name="Output 2 2 2 14 2" xfId="10248"/>
    <cellStyle name="Output 2 2 2 14 3" xfId="17676"/>
    <cellStyle name="Output 2 2 2 14 4" xfId="25255"/>
    <cellStyle name="Output 2 2 2 14 5" xfId="33661"/>
    <cellStyle name="Output 2 2 2 14 6" xfId="37271"/>
    <cellStyle name="Output 2 2 2 14 7" xfId="51333"/>
    <cellStyle name="Output 2 2 2 15" xfId="2512"/>
    <cellStyle name="Output 2 2 2 15 2" xfId="10335"/>
    <cellStyle name="Output 2 2 2 15 3" xfId="17763"/>
    <cellStyle name="Output 2 2 2 15 4" xfId="20579"/>
    <cellStyle name="Output 2 2 2 15 5" xfId="27636"/>
    <cellStyle name="Output 2 2 2 15 6" xfId="37738"/>
    <cellStyle name="Output 2 2 2 15 7" xfId="49437"/>
    <cellStyle name="Output 2 2 2 16" xfId="2625"/>
    <cellStyle name="Output 2 2 2 16 2" xfId="10448"/>
    <cellStyle name="Output 2 2 2 16 3" xfId="17876"/>
    <cellStyle name="Output 2 2 2 16 4" xfId="26229"/>
    <cellStyle name="Output 2 2 2 16 5" xfId="34916"/>
    <cellStyle name="Output 2 2 2 16 6" xfId="40134"/>
    <cellStyle name="Output 2 2 2 16 7" xfId="53481"/>
    <cellStyle name="Output 2 2 2 17" xfId="2727"/>
    <cellStyle name="Output 2 2 2 17 2" xfId="10550"/>
    <cellStyle name="Output 2 2 2 17 3" xfId="17978"/>
    <cellStyle name="Output 2 2 2 17 4" xfId="24821"/>
    <cellStyle name="Output 2 2 2 17 5" xfId="27954"/>
    <cellStyle name="Output 2 2 2 17 6" xfId="37418"/>
    <cellStyle name="Output 2 2 2 17 7" xfId="49963"/>
    <cellStyle name="Output 2 2 2 18" xfId="2754"/>
    <cellStyle name="Output 2 2 2 18 2" xfId="10577"/>
    <cellStyle name="Output 2 2 2 18 3" xfId="18005"/>
    <cellStyle name="Output 2 2 2 18 4" xfId="20171"/>
    <cellStyle name="Output 2 2 2 18 5" xfId="27884"/>
    <cellStyle name="Output 2 2 2 18 6" xfId="41755"/>
    <cellStyle name="Output 2 2 2 18 7" xfId="46972"/>
    <cellStyle name="Output 2 2 2 19" xfId="2818"/>
    <cellStyle name="Output 2 2 2 19 2" xfId="10641"/>
    <cellStyle name="Output 2 2 2 19 3" xfId="18069"/>
    <cellStyle name="Output 2 2 2 19 4" xfId="19900"/>
    <cellStyle name="Output 2 2 2 19 5" xfId="27698"/>
    <cellStyle name="Output 2 2 2 19 6" xfId="37035"/>
    <cellStyle name="Output 2 2 2 19 7" xfId="49396"/>
    <cellStyle name="Output 2 2 2 2" xfId="686"/>
    <cellStyle name="Output 2 2 2 2 2" xfId="8510"/>
    <cellStyle name="Output 2 2 2 2 3" xfId="15938"/>
    <cellStyle name="Output 2 2 2 2 4" xfId="19848"/>
    <cellStyle name="Output 2 2 2 2 5" xfId="27806"/>
    <cellStyle name="Output 2 2 2 2 6" xfId="36286"/>
    <cellStyle name="Output 2 2 2 2 7" xfId="48838"/>
    <cellStyle name="Output 2 2 2 20" xfId="2925"/>
    <cellStyle name="Output 2 2 2 20 2" xfId="10748"/>
    <cellStyle name="Output 2 2 2 20 3" xfId="18176"/>
    <cellStyle name="Output 2 2 2 20 4" xfId="26225"/>
    <cellStyle name="Output 2 2 2 20 5" xfId="34911"/>
    <cellStyle name="Output 2 2 2 20 6" xfId="42010"/>
    <cellStyle name="Output 2 2 2 20 7" xfId="53473"/>
    <cellStyle name="Output 2 2 2 21" xfId="3301"/>
    <cellStyle name="Output 2 2 2 21 2" xfId="11094"/>
    <cellStyle name="Output 2 2 2 21 3" xfId="18423"/>
    <cellStyle name="Output 2 2 2 21 4" xfId="19372"/>
    <cellStyle name="Output 2 2 2 21 5" xfId="27486"/>
    <cellStyle name="Output 2 2 2 21 6" xfId="39752"/>
    <cellStyle name="Output 2 2 2 21 7" xfId="47605"/>
    <cellStyle name="Output 2 2 2 22" xfId="3421"/>
    <cellStyle name="Output 2 2 2 22 2" xfId="11212"/>
    <cellStyle name="Output 2 2 2 22 3" xfId="18534"/>
    <cellStyle name="Output 2 2 2 22 4" xfId="25447"/>
    <cellStyle name="Output 2 2 2 22 5" xfId="33907"/>
    <cellStyle name="Output 2 2 2 22 6" xfId="42205"/>
    <cellStyle name="Output 2 2 2 22 7" xfId="51742"/>
    <cellStyle name="Output 2 2 2 23" xfId="3126"/>
    <cellStyle name="Output 2 2 2 23 2" xfId="10931"/>
    <cellStyle name="Output 2 2 2 23 3" xfId="18309"/>
    <cellStyle name="Output 2 2 2 23 4" xfId="19777"/>
    <cellStyle name="Output 2 2 2 23 5" xfId="27256"/>
    <cellStyle name="Output 2 2 2 23 6" xfId="36938"/>
    <cellStyle name="Output 2 2 2 23 7" xfId="47732"/>
    <cellStyle name="Output 2 2 2 24" xfId="3692"/>
    <cellStyle name="Output 2 2 2 24 2" xfId="11477"/>
    <cellStyle name="Output 2 2 2 24 3" xfId="18750"/>
    <cellStyle name="Output 2 2 2 24 4" xfId="19707"/>
    <cellStyle name="Output 2 2 2 24 5" xfId="26824"/>
    <cellStyle name="Output 2 2 2 24 6" xfId="37440"/>
    <cellStyle name="Output 2 2 2 24 7" xfId="49737"/>
    <cellStyle name="Output 2 2 2 25" xfId="3822"/>
    <cellStyle name="Output 2 2 2 25 2" xfId="11604"/>
    <cellStyle name="Output 2 2 2 25 3" xfId="18861"/>
    <cellStyle name="Output 2 2 2 25 4" xfId="25751"/>
    <cellStyle name="Output 2 2 2 25 5" xfId="34302"/>
    <cellStyle name="Output 2 2 2 25 6" xfId="39919"/>
    <cellStyle name="Output 2 2 2 25 7" xfId="52430"/>
    <cellStyle name="Output 2 2 2 26" xfId="3940"/>
    <cellStyle name="Output 2 2 2 26 2" xfId="11720"/>
    <cellStyle name="Output 2 2 2 26 3" xfId="18970"/>
    <cellStyle name="Output 2 2 2 26 4" xfId="20686"/>
    <cellStyle name="Output 2 2 2 26 5" xfId="27779"/>
    <cellStyle name="Output 2 2 2 26 6" xfId="37640"/>
    <cellStyle name="Output 2 2 2 26 7" xfId="47370"/>
    <cellStyle name="Output 2 2 2 27" xfId="4033"/>
    <cellStyle name="Output 2 2 2 27 2" xfId="11804"/>
    <cellStyle name="Output 2 2 2 27 3" xfId="20743"/>
    <cellStyle name="Output 2 2 2 27 4" xfId="28930"/>
    <cellStyle name="Output 2 2 2 27 5" xfId="38310"/>
    <cellStyle name="Output 2 2 2 27 6" xfId="42595"/>
    <cellStyle name="Output 2 2 2 27 7" xfId="53988"/>
    <cellStyle name="Output 2 2 2 28" xfId="4137"/>
    <cellStyle name="Output 2 2 2 28 2" xfId="11896"/>
    <cellStyle name="Output 2 2 2 28 3" xfId="20847"/>
    <cellStyle name="Output 2 2 2 28 4" xfId="29034"/>
    <cellStyle name="Output 2 2 2 28 5" xfId="38411"/>
    <cellStyle name="Output 2 2 2 28 6" xfId="42699"/>
    <cellStyle name="Output 2 2 2 28 7" xfId="47472"/>
    <cellStyle name="Output 2 2 2 29" xfId="4054"/>
    <cellStyle name="Output 2 2 2 29 2" xfId="20764"/>
    <cellStyle name="Output 2 2 2 29 3" xfId="28951"/>
    <cellStyle name="Output 2 2 2 29 4" xfId="38330"/>
    <cellStyle name="Output 2 2 2 29 5" xfId="42616"/>
    <cellStyle name="Output 2 2 2 29 6" xfId="52036"/>
    <cellStyle name="Output 2 2 2 3" xfId="794"/>
    <cellStyle name="Output 2 2 2 3 2" xfId="8618"/>
    <cellStyle name="Output 2 2 2 3 3" xfId="16046"/>
    <cellStyle name="Output 2 2 2 3 4" xfId="20251"/>
    <cellStyle name="Output 2 2 2 3 5" xfId="28506"/>
    <cellStyle name="Output 2 2 2 3 6" xfId="37805"/>
    <cellStyle name="Output 2 2 2 3 7" xfId="50190"/>
    <cellStyle name="Output 2 2 2 30" xfId="4334"/>
    <cellStyle name="Output 2 2 2 30 2" xfId="12051"/>
    <cellStyle name="Output 2 2 2 30 3" xfId="21044"/>
    <cellStyle name="Output 2 2 2 30 4" xfId="29231"/>
    <cellStyle name="Output 2 2 2 30 5" xfId="38602"/>
    <cellStyle name="Output 2 2 2 30 6" xfId="42896"/>
    <cellStyle name="Output 2 2 2 30 7" xfId="48943"/>
    <cellStyle name="Output 2 2 2 31" xfId="4457"/>
    <cellStyle name="Output 2 2 2 31 2" xfId="12174"/>
    <cellStyle name="Output 2 2 2 31 3" xfId="21167"/>
    <cellStyle name="Output 2 2 2 31 4" xfId="29354"/>
    <cellStyle name="Output 2 2 2 31 5" xfId="38720"/>
    <cellStyle name="Output 2 2 2 31 6" xfId="43019"/>
    <cellStyle name="Output 2 2 2 31 7" xfId="49465"/>
    <cellStyle name="Output 2 2 2 32" xfId="4571"/>
    <cellStyle name="Output 2 2 2 32 2" xfId="12288"/>
    <cellStyle name="Output 2 2 2 32 3" xfId="21281"/>
    <cellStyle name="Output 2 2 2 32 4" xfId="29468"/>
    <cellStyle name="Output 2 2 2 32 5" xfId="38829"/>
    <cellStyle name="Output 2 2 2 32 6" xfId="43133"/>
    <cellStyle name="Output 2 2 2 32 7" xfId="52757"/>
    <cellStyle name="Output 2 2 2 33" xfId="4684"/>
    <cellStyle name="Output 2 2 2 33 2" xfId="12401"/>
    <cellStyle name="Output 2 2 2 33 3" xfId="21394"/>
    <cellStyle name="Output 2 2 2 33 4" xfId="29581"/>
    <cellStyle name="Output 2 2 2 33 5" xfId="38938"/>
    <cellStyle name="Output 2 2 2 33 6" xfId="43246"/>
    <cellStyle name="Output 2 2 2 33 7" xfId="48602"/>
    <cellStyle name="Output 2 2 2 34" xfId="4795"/>
    <cellStyle name="Output 2 2 2 34 2" xfId="12512"/>
    <cellStyle name="Output 2 2 2 34 3" xfId="21505"/>
    <cellStyle name="Output 2 2 2 34 4" xfId="29692"/>
    <cellStyle name="Output 2 2 2 34 5" xfId="39046"/>
    <cellStyle name="Output 2 2 2 34 6" xfId="43357"/>
    <cellStyle name="Output 2 2 2 34 7" xfId="52345"/>
    <cellStyle name="Output 2 2 2 35" xfId="4904"/>
    <cellStyle name="Output 2 2 2 35 2" xfId="12621"/>
    <cellStyle name="Output 2 2 2 35 3" xfId="21614"/>
    <cellStyle name="Output 2 2 2 35 4" xfId="29801"/>
    <cellStyle name="Output 2 2 2 35 5" xfId="39150"/>
    <cellStyle name="Output 2 2 2 35 6" xfId="43466"/>
    <cellStyle name="Output 2 2 2 35 7" xfId="47276"/>
    <cellStyle name="Output 2 2 2 36" xfId="5015"/>
    <cellStyle name="Output 2 2 2 36 2" xfId="12732"/>
    <cellStyle name="Output 2 2 2 36 3" xfId="21725"/>
    <cellStyle name="Output 2 2 2 36 4" xfId="29912"/>
    <cellStyle name="Output 2 2 2 36 5" xfId="39258"/>
    <cellStyle name="Output 2 2 2 36 6" xfId="43577"/>
    <cellStyle name="Output 2 2 2 36 7" xfId="52641"/>
    <cellStyle name="Output 2 2 2 37" xfId="5394"/>
    <cellStyle name="Output 2 2 2 37 2" xfId="13111"/>
    <cellStyle name="Output 2 2 2 37 3" xfId="22104"/>
    <cellStyle name="Output 2 2 2 37 4" xfId="30291"/>
    <cellStyle name="Output 2 2 2 37 5" xfId="39622"/>
    <cellStyle name="Output 2 2 2 37 6" xfId="43956"/>
    <cellStyle name="Output 2 2 2 37 7" xfId="52073"/>
    <cellStyle name="Output 2 2 2 38" xfId="5514"/>
    <cellStyle name="Output 2 2 2 38 2" xfId="13231"/>
    <cellStyle name="Output 2 2 2 38 3" xfId="22224"/>
    <cellStyle name="Output 2 2 2 38 4" xfId="30411"/>
    <cellStyle name="Output 2 2 2 38 5" xfId="39736"/>
    <cellStyle name="Output 2 2 2 38 6" xfId="44076"/>
    <cellStyle name="Output 2 2 2 38 7" xfId="50595"/>
    <cellStyle name="Output 2 2 2 39" xfId="5638"/>
    <cellStyle name="Output 2 2 2 39 2" xfId="13355"/>
    <cellStyle name="Output 2 2 2 39 3" xfId="22348"/>
    <cellStyle name="Output 2 2 2 39 4" xfId="30535"/>
    <cellStyle name="Output 2 2 2 39 5" xfId="39856"/>
    <cellStyle name="Output 2 2 2 39 6" xfId="44200"/>
    <cellStyle name="Output 2 2 2 39 7" xfId="54523"/>
    <cellStyle name="Output 2 2 2 4" xfId="905"/>
    <cellStyle name="Output 2 2 2 4 2" xfId="8729"/>
    <cellStyle name="Output 2 2 2 4 3" xfId="16157"/>
    <cellStyle name="Output 2 2 2 4 4" xfId="26184"/>
    <cellStyle name="Output 2 2 2 4 5" xfId="34858"/>
    <cellStyle name="Output 2 2 2 4 6" xfId="36981"/>
    <cellStyle name="Output 2 2 2 4 7" xfId="53390"/>
    <cellStyle name="Output 2 2 2 40" xfId="5754"/>
    <cellStyle name="Output 2 2 2 40 2" xfId="13471"/>
    <cellStyle name="Output 2 2 2 40 3" xfId="22464"/>
    <cellStyle name="Output 2 2 2 40 4" xfId="30651"/>
    <cellStyle name="Output 2 2 2 40 5" xfId="39968"/>
    <cellStyle name="Output 2 2 2 40 6" xfId="44316"/>
    <cellStyle name="Output 2 2 2 40 7" xfId="51978"/>
    <cellStyle name="Output 2 2 2 41" xfId="5870"/>
    <cellStyle name="Output 2 2 2 41 2" xfId="13587"/>
    <cellStyle name="Output 2 2 2 41 3" xfId="22580"/>
    <cellStyle name="Output 2 2 2 41 4" xfId="30767"/>
    <cellStyle name="Output 2 2 2 41 5" xfId="40081"/>
    <cellStyle name="Output 2 2 2 41 6" xfId="44432"/>
    <cellStyle name="Output 2 2 2 41 7" xfId="51756"/>
    <cellStyle name="Output 2 2 2 42" xfId="5999"/>
    <cellStyle name="Output 2 2 2 42 2" xfId="13716"/>
    <cellStyle name="Output 2 2 2 42 3" xfId="22709"/>
    <cellStyle name="Output 2 2 2 42 4" xfId="30896"/>
    <cellStyle name="Output 2 2 2 42 5" xfId="40205"/>
    <cellStyle name="Output 2 2 2 42 6" xfId="44561"/>
    <cellStyle name="Output 2 2 2 42 7" xfId="47813"/>
    <cellStyle name="Output 2 2 2 43" xfId="5569"/>
    <cellStyle name="Output 2 2 2 43 2" xfId="13286"/>
    <cellStyle name="Output 2 2 2 43 3" xfId="22279"/>
    <cellStyle name="Output 2 2 2 43 4" xfId="30466"/>
    <cellStyle name="Output 2 2 2 43 5" xfId="39789"/>
    <cellStyle name="Output 2 2 2 43 6" xfId="44131"/>
    <cellStyle name="Output 2 2 2 43 7" xfId="47165"/>
    <cellStyle name="Output 2 2 2 44" xfId="6255"/>
    <cellStyle name="Output 2 2 2 44 2" xfId="13972"/>
    <cellStyle name="Output 2 2 2 44 3" xfId="22965"/>
    <cellStyle name="Output 2 2 2 44 4" xfId="31152"/>
    <cellStyle name="Output 2 2 2 44 5" xfId="40453"/>
    <cellStyle name="Output 2 2 2 44 6" xfId="44817"/>
    <cellStyle name="Output 2 2 2 44 7" xfId="47415"/>
    <cellStyle name="Output 2 2 2 45" xfId="6371"/>
    <cellStyle name="Output 2 2 2 45 2" xfId="14088"/>
    <cellStyle name="Output 2 2 2 45 3" xfId="23081"/>
    <cellStyle name="Output 2 2 2 45 4" xfId="31268"/>
    <cellStyle name="Output 2 2 2 45 5" xfId="40566"/>
    <cellStyle name="Output 2 2 2 45 6" xfId="44933"/>
    <cellStyle name="Output 2 2 2 45 7" xfId="52674"/>
    <cellStyle name="Output 2 2 2 46" xfId="6482"/>
    <cellStyle name="Output 2 2 2 46 2" xfId="14199"/>
    <cellStyle name="Output 2 2 2 46 3" xfId="23192"/>
    <cellStyle name="Output 2 2 2 46 4" xfId="31379"/>
    <cellStyle name="Output 2 2 2 46 5" xfId="40673"/>
    <cellStyle name="Output 2 2 2 46 6" xfId="45044"/>
    <cellStyle name="Output 2 2 2 46 7" xfId="51763"/>
    <cellStyle name="Output 2 2 2 47" xfId="6566"/>
    <cellStyle name="Output 2 2 2 47 2" xfId="14283"/>
    <cellStyle name="Output 2 2 2 47 3" xfId="23276"/>
    <cellStyle name="Output 2 2 2 47 4" xfId="31463"/>
    <cellStyle name="Output 2 2 2 47 5" xfId="40751"/>
    <cellStyle name="Output 2 2 2 47 6" xfId="45128"/>
    <cellStyle name="Output 2 2 2 47 7" xfId="47926"/>
    <cellStyle name="Output 2 2 2 48" xfId="6628"/>
    <cellStyle name="Output 2 2 2 48 2" xfId="14345"/>
    <cellStyle name="Output 2 2 2 48 3" xfId="23338"/>
    <cellStyle name="Output 2 2 2 48 4" xfId="31525"/>
    <cellStyle name="Output 2 2 2 48 5" xfId="40812"/>
    <cellStyle name="Output 2 2 2 48 6" xfId="45190"/>
    <cellStyle name="Output 2 2 2 48 7" xfId="51726"/>
    <cellStyle name="Output 2 2 2 49" xfId="6740"/>
    <cellStyle name="Output 2 2 2 49 2" xfId="14457"/>
    <cellStyle name="Output 2 2 2 49 3" xfId="23450"/>
    <cellStyle name="Output 2 2 2 49 4" xfId="31637"/>
    <cellStyle name="Output 2 2 2 49 5" xfId="40918"/>
    <cellStyle name="Output 2 2 2 49 6" xfId="45302"/>
    <cellStyle name="Output 2 2 2 49 7" xfId="50848"/>
    <cellStyle name="Output 2 2 2 5" xfId="1371"/>
    <cellStyle name="Output 2 2 2 5 2" xfId="9194"/>
    <cellStyle name="Output 2 2 2 5 3" xfId="16622"/>
    <cellStyle name="Output 2 2 2 5 4" xfId="26026"/>
    <cellStyle name="Output 2 2 2 5 5" xfId="34656"/>
    <cellStyle name="Output 2 2 2 5 6" xfId="39696"/>
    <cellStyle name="Output 2 2 2 5 7" xfId="53049"/>
    <cellStyle name="Output 2 2 2 50" xfId="6855"/>
    <cellStyle name="Output 2 2 2 50 2" xfId="14572"/>
    <cellStyle name="Output 2 2 2 50 3" xfId="23565"/>
    <cellStyle name="Output 2 2 2 50 4" xfId="31752"/>
    <cellStyle name="Output 2 2 2 50 5" xfId="41026"/>
    <cellStyle name="Output 2 2 2 50 6" xfId="45417"/>
    <cellStyle name="Output 2 2 2 50 7" xfId="46899"/>
    <cellStyle name="Output 2 2 2 51" xfId="6968"/>
    <cellStyle name="Output 2 2 2 51 2" xfId="14685"/>
    <cellStyle name="Output 2 2 2 51 3" xfId="23678"/>
    <cellStyle name="Output 2 2 2 51 4" xfId="31865"/>
    <cellStyle name="Output 2 2 2 51 5" xfId="41134"/>
    <cellStyle name="Output 2 2 2 51 6" xfId="45530"/>
    <cellStyle name="Output 2 2 2 51 7" xfId="46808"/>
    <cellStyle name="Output 2 2 2 52" xfId="7079"/>
    <cellStyle name="Output 2 2 2 52 2" xfId="14796"/>
    <cellStyle name="Output 2 2 2 52 3" xfId="23789"/>
    <cellStyle name="Output 2 2 2 52 4" xfId="31976"/>
    <cellStyle name="Output 2 2 2 52 5" xfId="41239"/>
    <cellStyle name="Output 2 2 2 52 6" xfId="45641"/>
    <cellStyle name="Output 2 2 2 52 7" xfId="51214"/>
    <cellStyle name="Output 2 2 2 53" xfId="7200"/>
    <cellStyle name="Output 2 2 2 53 2" xfId="14917"/>
    <cellStyle name="Output 2 2 2 53 3" xfId="23910"/>
    <cellStyle name="Output 2 2 2 53 4" xfId="32097"/>
    <cellStyle name="Output 2 2 2 53 5" xfId="41357"/>
    <cellStyle name="Output 2 2 2 53 6" xfId="45762"/>
    <cellStyle name="Output 2 2 2 53 7" xfId="51277"/>
    <cellStyle name="Output 2 2 2 54" xfId="7419"/>
    <cellStyle name="Output 2 2 2 54 2" xfId="15136"/>
    <cellStyle name="Output 2 2 2 54 3" xfId="24129"/>
    <cellStyle name="Output 2 2 2 54 4" xfId="32316"/>
    <cellStyle name="Output 2 2 2 54 5" xfId="41568"/>
    <cellStyle name="Output 2 2 2 54 6" xfId="45981"/>
    <cellStyle name="Output 2 2 2 54 7" xfId="51318"/>
    <cellStyle name="Output 2 2 2 55" xfId="7476"/>
    <cellStyle name="Output 2 2 2 55 2" xfId="15193"/>
    <cellStyle name="Output 2 2 2 55 3" xfId="24186"/>
    <cellStyle name="Output 2 2 2 55 4" xfId="32373"/>
    <cellStyle name="Output 2 2 2 55 5" xfId="41622"/>
    <cellStyle name="Output 2 2 2 55 6" xfId="46038"/>
    <cellStyle name="Output 2 2 2 55 7" xfId="52922"/>
    <cellStyle name="Output 2 2 2 56" xfId="7597"/>
    <cellStyle name="Output 2 2 2 56 2" xfId="15314"/>
    <cellStyle name="Output 2 2 2 56 3" xfId="24307"/>
    <cellStyle name="Output 2 2 2 56 4" xfId="32494"/>
    <cellStyle name="Output 2 2 2 56 5" xfId="41737"/>
    <cellStyle name="Output 2 2 2 56 6" xfId="46159"/>
    <cellStyle name="Output 2 2 2 56 7" xfId="47002"/>
    <cellStyle name="Output 2 2 2 57" xfId="7873"/>
    <cellStyle name="Output 2 2 2 57 2" xfId="15590"/>
    <cellStyle name="Output 2 2 2 57 3" xfId="24577"/>
    <cellStyle name="Output 2 2 2 57 4" xfId="32770"/>
    <cellStyle name="Output 2 2 2 57 5" xfId="42002"/>
    <cellStyle name="Output 2 2 2 57 6" xfId="46435"/>
    <cellStyle name="Output 2 2 2 57 7" xfId="47321"/>
    <cellStyle name="Output 2 2 2 58" xfId="7767"/>
    <cellStyle name="Output 2 2 2 58 2" xfId="15484"/>
    <cellStyle name="Output 2 2 2 58 3" xfId="24473"/>
    <cellStyle name="Output 2 2 2 58 4" xfId="32664"/>
    <cellStyle name="Output 2 2 2 58 5" xfId="41900"/>
    <cellStyle name="Output 2 2 2 58 6" xfId="46329"/>
    <cellStyle name="Output 2 2 2 58 7" xfId="51278"/>
    <cellStyle name="Output 2 2 2 59" xfId="8088"/>
    <cellStyle name="Output 2 2 2 59 2" xfId="15805"/>
    <cellStyle name="Output 2 2 2 59 3" xfId="24789"/>
    <cellStyle name="Output 2 2 2 59 4" xfId="32985"/>
    <cellStyle name="Output 2 2 2 59 5" xfId="42207"/>
    <cellStyle name="Output 2 2 2 59 6" xfId="46650"/>
    <cellStyle name="Output 2 2 2 59 7" xfId="49018"/>
    <cellStyle name="Output 2 2 2 6" xfId="1494"/>
    <cellStyle name="Output 2 2 2 6 2" xfId="9317"/>
    <cellStyle name="Output 2 2 2 6 3" xfId="16745"/>
    <cellStyle name="Output 2 2 2 6 4" xfId="26011"/>
    <cellStyle name="Output 2 2 2 6 5" xfId="34638"/>
    <cellStyle name="Output 2 2 2 6 6" xfId="36845"/>
    <cellStyle name="Output 2 2 2 6 7" xfId="53018"/>
    <cellStyle name="Output 2 2 2 60" xfId="8149"/>
    <cellStyle name="Output 2 2 2 60 2" xfId="15866"/>
    <cellStyle name="Output 2 2 2 60 3" xfId="33046"/>
    <cellStyle name="Output 2 2 2 60 4" xfId="42266"/>
    <cellStyle name="Output 2 2 2 60 5" xfId="46711"/>
    <cellStyle name="Output 2 2 2 60 6" xfId="48960"/>
    <cellStyle name="Output 2 2 2 61" xfId="19420"/>
    <cellStyle name="Output 2 2 2 62" xfId="28690"/>
    <cellStyle name="Output 2 2 2 63" xfId="37293"/>
    <cellStyle name="Output 2 2 2 64" xfId="49956"/>
    <cellStyle name="Output 2 2 2 7" xfId="1640"/>
    <cellStyle name="Output 2 2 2 7 2" xfId="9463"/>
    <cellStyle name="Output 2 2 2 7 3" xfId="16891"/>
    <cellStyle name="Output 2 2 2 7 4" xfId="26113"/>
    <cellStyle name="Output 2 2 2 7 5" xfId="34769"/>
    <cellStyle name="Output 2 2 2 7 6" xfId="36838"/>
    <cellStyle name="Output 2 2 2 7 7" xfId="53232"/>
    <cellStyle name="Output 2 2 2 8" xfId="1731"/>
    <cellStyle name="Output 2 2 2 8 2" xfId="9554"/>
    <cellStyle name="Output 2 2 2 8 3" xfId="16982"/>
    <cellStyle name="Output 2 2 2 8 4" xfId="25100"/>
    <cellStyle name="Output 2 2 2 8 5" xfId="33464"/>
    <cellStyle name="Output 2 2 2 8 6" xfId="41631"/>
    <cellStyle name="Output 2 2 2 8 7" xfId="51010"/>
    <cellStyle name="Output 2 2 2 9" xfId="1865"/>
    <cellStyle name="Output 2 2 2 9 2" xfId="9688"/>
    <cellStyle name="Output 2 2 2 9 3" xfId="17116"/>
    <cellStyle name="Output 2 2 2 9 4" xfId="25501"/>
    <cellStyle name="Output 2 2 2 9 5" xfId="33979"/>
    <cellStyle name="Output 2 2 2 9 6" xfId="36761"/>
    <cellStyle name="Output 2 2 2 9 7" xfId="51876"/>
    <cellStyle name="Output 2 2 20" xfId="1050"/>
    <cellStyle name="Output 2 2 20 2" xfId="8874"/>
    <cellStyle name="Output 2 2 20 3" xfId="16302"/>
    <cellStyle name="Output 2 2 20 4" xfId="25802"/>
    <cellStyle name="Output 2 2 20 5" xfId="34378"/>
    <cellStyle name="Output 2 2 20 6" xfId="37950"/>
    <cellStyle name="Output 2 2 20 7" xfId="52571"/>
    <cellStyle name="Output 2 2 21" xfId="1096"/>
    <cellStyle name="Output 2 2 21 2" xfId="8920"/>
    <cellStyle name="Output 2 2 21 3" xfId="16348"/>
    <cellStyle name="Output 2 2 21 4" xfId="20599"/>
    <cellStyle name="Output 2 2 21 5" xfId="27947"/>
    <cellStyle name="Output 2 2 21 6" xfId="37290"/>
    <cellStyle name="Output 2 2 21 7" xfId="50075"/>
    <cellStyle name="Output 2 2 22" xfId="2391"/>
    <cellStyle name="Output 2 2 22 2" xfId="10214"/>
    <cellStyle name="Output 2 2 22 3" xfId="17642"/>
    <cellStyle name="Output 2 2 22 4" xfId="20087"/>
    <cellStyle name="Output 2 2 22 5" xfId="27759"/>
    <cellStyle name="Output 2 2 22 6" xfId="39484"/>
    <cellStyle name="Output 2 2 22 7" xfId="49631"/>
    <cellStyle name="Output 2 2 23" xfId="2397"/>
    <cellStyle name="Output 2 2 23 2" xfId="10220"/>
    <cellStyle name="Output 2 2 23 3" xfId="17648"/>
    <cellStyle name="Output 2 2 23 4" xfId="19316"/>
    <cellStyle name="Output 2 2 23 5" xfId="27740"/>
    <cellStyle name="Output 2 2 23 6" xfId="40191"/>
    <cellStyle name="Output 2 2 23 7" xfId="48203"/>
    <cellStyle name="Output 2 2 24" xfId="1184"/>
    <cellStyle name="Output 2 2 24 2" xfId="9007"/>
    <cellStyle name="Output 2 2 24 3" xfId="16435"/>
    <cellStyle name="Output 2 2 24 4" xfId="26218"/>
    <cellStyle name="Output 2 2 24 5" xfId="34903"/>
    <cellStyle name="Output 2 2 24 6" xfId="37169"/>
    <cellStyle name="Output 2 2 24 7" xfId="53459"/>
    <cellStyle name="Output 2 2 25" xfId="2357"/>
    <cellStyle name="Output 2 2 25 2" xfId="10180"/>
    <cellStyle name="Output 2 2 25 3" xfId="17608"/>
    <cellStyle name="Output 2 2 25 4" xfId="25114"/>
    <cellStyle name="Output 2 2 25 5" xfId="33484"/>
    <cellStyle name="Output 2 2 25 6" xfId="37911"/>
    <cellStyle name="Output 2 2 25 7" xfId="51043"/>
    <cellStyle name="Output 2 2 26" xfId="3112"/>
    <cellStyle name="Output 2 2 26 2" xfId="10917"/>
    <cellStyle name="Output 2 2 26 3" xfId="18298"/>
    <cellStyle name="Output 2 2 26 4" xfId="20549"/>
    <cellStyle name="Output 2 2 26 5" xfId="28815"/>
    <cellStyle name="Output 2 2 26 6" xfId="40380"/>
    <cellStyle name="Output 2 2 26 7" xfId="49329"/>
    <cellStyle name="Output 2 2 27" xfId="2984"/>
    <cellStyle name="Output 2 2 27 2" xfId="10806"/>
    <cellStyle name="Output 2 2 27 3" xfId="18233"/>
    <cellStyle name="Output 2 2 27 4" xfId="19603"/>
    <cellStyle name="Output 2 2 27 5" xfId="28684"/>
    <cellStyle name="Output 2 2 27 6" xfId="41842"/>
    <cellStyle name="Output 2 2 27 7" xfId="49590"/>
    <cellStyle name="Output 2 2 28" xfId="3070"/>
    <cellStyle name="Output 2 2 28 2" xfId="10878"/>
    <cellStyle name="Output 2 2 28 3" xfId="18273"/>
    <cellStyle name="Output 2 2 28 4" xfId="26263"/>
    <cellStyle name="Output 2 2 28 5" xfId="34961"/>
    <cellStyle name="Output 2 2 28 6" xfId="39945"/>
    <cellStyle name="Output 2 2 28 7" xfId="53568"/>
    <cellStyle name="Output 2 2 29" xfId="3065"/>
    <cellStyle name="Output 2 2 29 2" xfId="10874"/>
    <cellStyle name="Output 2 2 29 3" xfId="18269"/>
    <cellStyle name="Output 2 2 29 4" xfId="19985"/>
    <cellStyle name="Output 2 2 29 5" xfId="28883"/>
    <cellStyle name="Output 2 2 29 6" xfId="40430"/>
    <cellStyle name="Output 2 2 29 7" xfId="48185"/>
    <cellStyle name="Output 2 2 3" xfId="558"/>
    <cellStyle name="Output 2 2 3 10" xfId="2005"/>
    <cellStyle name="Output 2 2 3 10 2" xfId="9828"/>
    <cellStyle name="Output 2 2 3 10 3" xfId="17256"/>
    <cellStyle name="Output 2 2 3 10 4" xfId="25709"/>
    <cellStyle name="Output 2 2 3 10 5" xfId="34250"/>
    <cellStyle name="Output 2 2 3 10 6" xfId="42302"/>
    <cellStyle name="Output 2 2 3 10 7" xfId="52334"/>
    <cellStyle name="Output 2 2 3 11" xfId="2122"/>
    <cellStyle name="Output 2 2 3 11 2" xfId="9945"/>
    <cellStyle name="Output 2 2 3 11 3" xfId="17373"/>
    <cellStyle name="Output 2 2 3 11 4" xfId="25981"/>
    <cellStyle name="Output 2 2 3 11 5" xfId="34598"/>
    <cellStyle name="Output 2 2 3 11 6" xfId="38048"/>
    <cellStyle name="Output 2 2 3 11 7" xfId="52954"/>
    <cellStyle name="Output 2 2 3 12" xfId="2236"/>
    <cellStyle name="Output 2 2 3 12 2" xfId="10059"/>
    <cellStyle name="Output 2 2 3 12 3" xfId="17487"/>
    <cellStyle name="Output 2 2 3 12 4" xfId="19174"/>
    <cellStyle name="Output 2 2 3 12 5" xfId="26905"/>
    <cellStyle name="Output 2 2 3 12 6" xfId="41023"/>
    <cellStyle name="Output 2 2 3 12 7" xfId="49195"/>
    <cellStyle name="Output 2 2 3 13" xfId="1598"/>
    <cellStyle name="Output 2 2 3 13 2" xfId="9421"/>
    <cellStyle name="Output 2 2 3 13 3" xfId="16849"/>
    <cellStyle name="Output 2 2 3 13 4" xfId="20017"/>
    <cellStyle name="Output 2 2 3 13 5" xfId="26773"/>
    <cellStyle name="Output 2 2 3 13 6" xfId="38569"/>
    <cellStyle name="Output 2 2 3 13 7" xfId="50374"/>
    <cellStyle name="Output 2 2 3 14" xfId="2341"/>
    <cellStyle name="Output 2 2 3 14 2" xfId="10164"/>
    <cellStyle name="Output 2 2 3 14 3" xfId="17592"/>
    <cellStyle name="Output 2 2 3 14 4" xfId="25580"/>
    <cellStyle name="Output 2 2 3 14 5" xfId="34085"/>
    <cellStyle name="Output 2 2 3 14 6" xfId="39212"/>
    <cellStyle name="Output 2 2 3 14 7" xfId="52051"/>
    <cellStyle name="Output 2 2 3 15" xfId="2533"/>
    <cellStyle name="Output 2 2 3 15 2" xfId="10356"/>
    <cellStyle name="Output 2 2 3 15 3" xfId="17784"/>
    <cellStyle name="Output 2 2 3 15 4" xfId="19411"/>
    <cellStyle name="Output 2 2 3 15 5" xfId="26865"/>
    <cellStyle name="Output 2 2 3 15 6" xfId="36853"/>
    <cellStyle name="Output 2 2 3 15 7" xfId="47009"/>
    <cellStyle name="Output 2 2 3 16" xfId="2647"/>
    <cellStyle name="Output 2 2 3 16 2" xfId="10470"/>
    <cellStyle name="Output 2 2 3 16 3" xfId="17898"/>
    <cellStyle name="Output 2 2 3 16 4" xfId="25207"/>
    <cellStyle name="Output 2 2 3 16 5" xfId="33599"/>
    <cellStyle name="Output 2 2 3 16 6" xfId="37964"/>
    <cellStyle name="Output 2 2 3 16 7" xfId="51232"/>
    <cellStyle name="Output 2 2 3 17" xfId="1622"/>
    <cellStyle name="Output 2 2 3 17 2" xfId="9445"/>
    <cellStyle name="Output 2 2 3 17 3" xfId="16873"/>
    <cellStyle name="Output 2 2 3 17 4" xfId="25778"/>
    <cellStyle name="Output 2 2 3 17 5" xfId="34338"/>
    <cellStyle name="Output 2 2 3 17 6" xfId="36321"/>
    <cellStyle name="Output 2 2 3 17 7" xfId="52501"/>
    <cellStyle name="Output 2 2 3 18" xfId="2395"/>
    <cellStyle name="Output 2 2 3 18 2" xfId="10218"/>
    <cellStyle name="Output 2 2 3 18 3" xfId="17646"/>
    <cellStyle name="Output 2 2 3 18 4" xfId="19875"/>
    <cellStyle name="Output 2 2 3 18 5" xfId="27407"/>
    <cellStyle name="Output 2 2 3 18 6" xfId="39312"/>
    <cellStyle name="Output 2 2 3 18 7" xfId="47996"/>
    <cellStyle name="Output 2 2 3 19" xfId="2838"/>
    <cellStyle name="Output 2 2 3 19 2" xfId="10661"/>
    <cellStyle name="Output 2 2 3 19 3" xfId="18089"/>
    <cellStyle name="Output 2 2 3 19 4" xfId="25370"/>
    <cellStyle name="Output 2 2 3 19 5" xfId="33814"/>
    <cellStyle name="Output 2 2 3 19 6" xfId="40680"/>
    <cellStyle name="Output 2 2 3 19 7" xfId="51586"/>
    <cellStyle name="Output 2 2 3 2" xfId="706"/>
    <cellStyle name="Output 2 2 3 2 2" xfId="8530"/>
    <cellStyle name="Output 2 2 3 2 3" xfId="15958"/>
    <cellStyle name="Output 2 2 3 2 4" xfId="26046"/>
    <cellStyle name="Output 2 2 3 2 5" xfId="34686"/>
    <cellStyle name="Output 2 2 3 2 6" xfId="37438"/>
    <cellStyle name="Output 2 2 3 2 7" xfId="53095"/>
    <cellStyle name="Output 2 2 3 20" xfId="2945"/>
    <cellStyle name="Output 2 2 3 20 2" xfId="10768"/>
    <cellStyle name="Output 2 2 3 20 3" xfId="18196"/>
    <cellStyle name="Output 2 2 3 20 4" xfId="25303"/>
    <cellStyle name="Output 2 2 3 20 5" xfId="33719"/>
    <cellStyle name="Output 2 2 3 20 6" xfId="39864"/>
    <cellStyle name="Output 2 2 3 20 7" xfId="51433"/>
    <cellStyle name="Output 2 2 3 21" xfId="3322"/>
    <cellStyle name="Output 2 2 3 21 2" xfId="11115"/>
    <cellStyle name="Output 2 2 3 21 3" xfId="18443"/>
    <cellStyle name="Output 2 2 3 21 4" xfId="19685"/>
    <cellStyle name="Output 2 2 3 21 5" xfId="28207"/>
    <cellStyle name="Output 2 2 3 21 6" xfId="36433"/>
    <cellStyle name="Output 2 2 3 21 7" xfId="49515"/>
    <cellStyle name="Output 2 2 3 22" xfId="3441"/>
    <cellStyle name="Output 2 2 3 22 2" xfId="11232"/>
    <cellStyle name="Output 2 2 3 22 3" xfId="18554"/>
    <cellStyle name="Output 2 2 3 22 4" xfId="26185"/>
    <cellStyle name="Output 2 2 3 22 5" xfId="34859"/>
    <cellStyle name="Output 2 2 3 22 6" xfId="40296"/>
    <cellStyle name="Output 2 2 3 22 7" xfId="53391"/>
    <cellStyle name="Output 2 2 3 23" xfId="3601"/>
    <cellStyle name="Output 2 2 3 23 2" xfId="11387"/>
    <cellStyle name="Output 2 2 3 23 3" xfId="18661"/>
    <cellStyle name="Output 2 2 3 23 4" xfId="25591"/>
    <cellStyle name="Output 2 2 3 23 5" xfId="34100"/>
    <cellStyle name="Output 2 2 3 23 6" xfId="39105"/>
    <cellStyle name="Output 2 2 3 23 7" xfId="52077"/>
    <cellStyle name="Output 2 2 3 24" xfId="3714"/>
    <cellStyle name="Output 2 2 3 24 2" xfId="11499"/>
    <cellStyle name="Output 2 2 3 24 3" xfId="18771"/>
    <cellStyle name="Output 2 2 3 24 4" xfId="20455"/>
    <cellStyle name="Output 2 2 3 24 5" xfId="28453"/>
    <cellStyle name="Output 2 2 3 24 6" xfId="41932"/>
    <cellStyle name="Output 2 2 3 24 7" xfId="48453"/>
    <cellStyle name="Output 2 2 3 25" xfId="3843"/>
    <cellStyle name="Output 2 2 3 25 2" xfId="11625"/>
    <cellStyle name="Output 2 2 3 25 3" xfId="18881"/>
    <cellStyle name="Output 2 2 3 25 4" xfId="19924"/>
    <cellStyle name="Output 2 2 3 25 5" xfId="27301"/>
    <cellStyle name="Output 2 2 3 25 6" xfId="37910"/>
    <cellStyle name="Output 2 2 3 25 7" xfId="49688"/>
    <cellStyle name="Output 2 2 3 26" xfId="3962"/>
    <cellStyle name="Output 2 2 3 26 2" xfId="11741"/>
    <cellStyle name="Output 2 2 3 26 3" xfId="18990"/>
    <cellStyle name="Output 2 2 3 26 4" xfId="26345"/>
    <cellStyle name="Output 2 2 3 26 5" xfId="35071"/>
    <cellStyle name="Output 2 2 3 26 6" xfId="40535"/>
    <cellStyle name="Output 2 2 3 26 7" xfId="53725"/>
    <cellStyle name="Output 2 2 3 27" xfId="3093"/>
    <cellStyle name="Output 2 2 3 27 2" xfId="10899"/>
    <cellStyle name="Output 2 2 3 27 3" xfId="20253"/>
    <cellStyle name="Output 2 2 3 27 4" xfId="28343"/>
    <cellStyle name="Output 2 2 3 27 5" xfId="37721"/>
    <cellStyle name="Output 2 2 3 27 6" xfId="42397"/>
    <cellStyle name="Output 2 2 3 27 7" xfId="51211"/>
    <cellStyle name="Output 2 2 3 28" xfId="4158"/>
    <cellStyle name="Output 2 2 3 28 2" xfId="11917"/>
    <cellStyle name="Output 2 2 3 28 3" xfId="20868"/>
    <cellStyle name="Output 2 2 3 28 4" xfId="29055"/>
    <cellStyle name="Output 2 2 3 28 5" xfId="38431"/>
    <cellStyle name="Output 2 2 3 28 6" xfId="42720"/>
    <cellStyle name="Output 2 2 3 28 7" xfId="48595"/>
    <cellStyle name="Output 2 2 3 29" xfId="4234"/>
    <cellStyle name="Output 2 2 3 29 2" xfId="20944"/>
    <cellStyle name="Output 2 2 3 29 3" xfId="29131"/>
    <cellStyle name="Output 2 2 3 29 4" xfId="38505"/>
    <cellStyle name="Output 2 2 3 29 5" xfId="42796"/>
    <cellStyle name="Output 2 2 3 29 6" xfId="49755"/>
    <cellStyle name="Output 2 2 3 3" xfId="815"/>
    <cellStyle name="Output 2 2 3 3 2" xfId="8639"/>
    <cellStyle name="Output 2 2 3 3 3" xfId="16067"/>
    <cellStyle name="Output 2 2 3 3 4" xfId="20420"/>
    <cellStyle name="Output 2 2 3 3 5" xfId="27248"/>
    <cellStyle name="Output 2 2 3 3 6" xfId="37936"/>
    <cellStyle name="Output 2 2 3 3 7" xfId="47959"/>
    <cellStyle name="Output 2 2 3 30" xfId="4356"/>
    <cellStyle name="Output 2 2 3 30 2" xfId="12073"/>
    <cellStyle name="Output 2 2 3 30 3" xfId="21066"/>
    <cellStyle name="Output 2 2 3 30 4" xfId="29253"/>
    <cellStyle name="Output 2 2 3 30 5" xfId="38623"/>
    <cellStyle name="Output 2 2 3 30 6" xfId="42918"/>
    <cellStyle name="Output 2 2 3 30 7" xfId="53363"/>
    <cellStyle name="Output 2 2 3 31" xfId="4478"/>
    <cellStyle name="Output 2 2 3 31 2" xfId="12195"/>
    <cellStyle name="Output 2 2 3 31 3" xfId="21188"/>
    <cellStyle name="Output 2 2 3 31 4" xfId="29375"/>
    <cellStyle name="Output 2 2 3 31 5" xfId="38740"/>
    <cellStyle name="Output 2 2 3 31 6" xfId="43040"/>
    <cellStyle name="Output 2 2 3 31 7" xfId="53807"/>
    <cellStyle name="Output 2 2 3 32" xfId="4592"/>
    <cellStyle name="Output 2 2 3 32 2" xfId="12309"/>
    <cellStyle name="Output 2 2 3 32 3" xfId="21302"/>
    <cellStyle name="Output 2 2 3 32 4" xfId="29489"/>
    <cellStyle name="Output 2 2 3 32 5" xfId="38849"/>
    <cellStyle name="Output 2 2 3 32 6" xfId="43154"/>
    <cellStyle name="Output 2 2 3 32 7" xfId="50121"/>
    <cellStyle name="Output 2 2 3 33" xfId="4705"/>
    <cellStyle name="Output 2 2 3 33 2" xfId="12422"/>
    <cellStyle name="Output 2 2 3 33 3" xfId="21415"/>
    <cellStyle name="Output 2 2 3 33 4" xfId="29602"/>
    <cellStyle name="Output 2 2 3 33 5" xfId="38958"/>
    <cellStyle name="Output 2 2 3 33 6" xfId="43267"/>
    <cellStyle name="Output 2 2 3 33 7" xfId="53959"/>
    <cellStyle name="Output 2 2 3 34" xfId="4815"/>
    <cellStyle name="Output 2 2 3 34 2" xfId="12532"/>
    <cellStyle name="Output 2 2 3 34 3" xfId="21525"/>
    <cellStyle name="Output 2 2 3 34 4" xfId="29712"/>
    <cellStyle name="Output 2 2 3 34 5" xfId="39065"/>
    <cellStyle name="Output 2 2 3 34 6" xfId="43377"/>
    <cellStyle name="Output 2 2 3 34 7" xfId="50186"/>
    <cellStyle name="Output 2 2 3 35" xfId="4925"/>
    <cellStyle name="Output 2 2 3 35 2" xfId="12642"/>
    <cellStyle name="Output 2 2 3 35 3" xfId="21635"/>
    <cellStyle name="Output 2 2 3 35 4" xfId="29822"/>
    <cellStyle name="Output 2 2 3 35 5" xfId="39170"/>
    <cellStyle name="Output 2 2 3 35 6" xfId="43487"/>
    <cellStyle name="Output 2 2 3 35 7" xfId="50163"/>
    <cellStyle name="Output 2 2 3 36" xfId="5035"/>
    <cellStyle name="Output 2 2 3 36 2" xfId="12752"/>
    <cellStyle name="Output 2 2 3 36 3" xfId="21745"/>
    <cellStyle name="Output 2 2 3 36 4" xfId="29932"/>
    <cellStyle name="Output 2 2 3 36 5" xfId="39277"/>
    <cellStyle name="Output 2 2 3 36 6" xfId="43597"/>
    <cellStyle name="Output 2 2 3 36 7" xfId="49792"/>
    <cellStyle name="Output 2 2 3 37" xfId="5415"/>
    <cellStyle name="Output 2 2 3 37 2" xfId="13132"/>
    <cellStyle name="Output 2 2 3 37 3" xfId="22125"/>
    <cellStyle name="Output 2 2 3 37 4" xfId="30312"/>
    <cellStyle name="Output 2 2 3 37 5" xfId="39642"/>
    <cellStyle name="Output 2 2 3 37 6" xfId="43977"/>
    <cellStyle name="Output 2 2 3 37 7" xfId="49871"/>
    <cellStyle name="Output 2 2 3 38" xfId="5535"/>
    <cellStyle name="Output 2 2 3 38 2" xfId="13252"/>
    <cellStyle name="Output 2 2 3 38 3" xfId="22245"/>
    <cellStyle name="Output 2 2 3 38 4" xfId="30432"/>
    <cellStyle name="Output 2 2 3 38 5" xfId="39756"/>
    <cellStyle name="Output 2 2 3 38 6" xfId="44097"/>
    <cellStyle name="Output 2 2 3 38 7" xfId="46798"/>
    <cellStyle name="Output 2 2 3 39" xfId="5659"/>
    <cellStyle name="Output 2 2 3 39 2" xfId="13376"/>
    <cellStyle name="Output 2 2 3 39 3" xfId="22369"/>
    <cellStyle name="Output 2 2 3 39 4" xfId="30556"/>
    <cellStyle name="Output 2 2 3 39 5" xfId="39876"/>
    <cellStyle name="Output 2 2 3 39 6" xfId="44221"/>
    <cellStyle name="Output 2 2 3 39 7" xfId="47111"/>
    <cellStyle name="Output 2 2 3 4" xfId="925"/>
    <cellStyle name="Output 2 2 3 4 2" xfId="8749"/>
    <cellStyle name="Output 2 2 3 4 3" xfId="16177"/>
    <cellStyle name="Output 2 2 3 4 4" xfId="25212"/>
    <cellStyle name="Output 2 2 3 4 5" xfId="33608"/>
    <cellStyle name="Output 2 2 3 4 6" xfId="36898"/>
    <cellStyle name="Output 2 2 3 4 7" xfId="51243"/>
    <cellStyle name="Output 2 2 3 40" xfId="5775"/>
    <cellStyle name="Output 2 2 3 40 2" xfId="13492"/>
    <cellStyle name="Output 2 2 3 40 3" xfId="22485"/>
    <cellStyle name="Output 2 2 3 40 4" xfId="30672"/>
    <cellStyle name="Output 2 2 3 40 5" xfId="39988"/>
    <cellStyle name="Output 2 2 3 40 6" xfId="44337"/>
    <cellStyle name="Output 2 2 3 40 7" xfId="49428"/>
    <cellStyle name="Output 2 2 3 41" xfId="5892"/>
    <cellStyle name="Output 2 2 3 41 2" xfId="13609"/>
    <cellStyle name="Output 2 2 3 41 3" xfId="22602"/>
    <cellStyle name="Output 2 2 3 41 4" xfId="30789"/>
    <cellStyle name="Output 2 2 3 41 5" xfId="40102"/>
    <cellStyle name="Output 2 2 3 41 6" xfId="44454"/>
    <cellStyle name="Output 2 2 3 41 7" xfId="49742"/>
    <cellStyle name="Output 2 2 3 42" xfId="6020"/>
    <cellStyle name="Output 2 2 3 42 2" xfId="13737"/>
    <cellStyle name="Output 2 2 3 42 3" xfId="22730"/>
    <cellStyle name="Output 2 2 3 42 4" xfId="30917"/>
    <cellStyle name="Output 2 2 3 42 5" xfId="40225"/>
    <cellStyle name="Output 2 2 3 42 6" xfId="44582"/>
    <cellStyle name="Output 2 2 3 42 7" xfId="52489"/>
    <cellStyle name="Output 2 2 3 43" xfId="6147"/>
    <cellStyle name="Output 2 2 3 43 2" xfId="13864"/>
    <cellStyle name="Output 2 2 3 43 3" xfId="22857"/>
    <cellStyle name="Output 2 2 3 43 4" xfId="31044"/>
    <cellStyle name="Output 2 2 3 43 5" xfId="40345"/>
    <cellStyle name="Output 2 2 3 43 6" xfId="44709"/>
    <cellStyle name="Output 2 2 3 43 7" xfId="53721"/>
    <cellStyle name="Output 2 2 3 44" xfId="6276"/>
    <cellStyle name="Output 2 2 3 44 2" xfId="13993"/>
    <cellStyle name="Output 2 2 3 44 3" xfId="22986"/>
    <cellStyle name="Output 2 2 3 44 4" xfId="31173"/>
    <cellStyle name="Output 2 2 3 44 5" xfId="40473"/>
    <cellStyle name="Output 2 2 3 44 6" xfId="44838"/>
    <cellStyle name="Output 2 2 3 44 7" xfId="47838"/>
    <cellStyle name="Output 2 2 3 45" xfId="6391"/>
    <cellStyle name="Output 2 2 3 45 2" xfId="14108"/>
    <cellStyle name="Output 2 2 3 45 3" xfId="23101"/>
    <cellStyle name="Output 2 2 3 45 4" xfId="31288"/>
    <cellStyle name="Output 2 2 3 45 5" xfId="40585"/>
    <cellStyle name="Output 2 2 3 45 6" xfId="44953"/>
    <cellStyle name="Output 2 2 3 45 7" xfId="50441"/>
    <cellStyle name="Output 2 2 3 46" xfId="6503"/>
    <cellStyle name="Output 2 2 3 46 2" xfId="14220"/>
    <cellStyle name="Output 2 2 3 46 3" xfId="23213"/>
    <cellStyle name="Output 2 2 3 46 4" xfId="31400"/>
    <cellStyle name="Output 2 2 3 46 5" xfId="40693"/>
    <cellStyle name="Output 2 2 3 46 6" xfId="45065"/>
    <cellStyle name="Output 2 2 3 46 7" xfId="53776"/>
    <cellStyle name="Output 2 2 3 47" xfId="6316"/>
    <cellStyle name="Output 2 2 3 47 2" xfId="14033"/>
    <cellStyle name="Output 2 2 3 47 3" xfId="23026"/>
    <cellStyle name="Output 2 2 3 47 4" xfId="31213"/>
    <cellStyle name="Output 2 2 3 47 5" xfId="40513"/>
    <cellStyle name="Output 2 2 3 47 6" xfId="44878"/>
    <cellStyle name="Output 2 2 3 47 7" xfId="52487"/>
    <cellStyle name="Output 2 2 3 48" xfId="6650"/>
    <cellStyle name="Output 2 2 3 48 2" xfId="14367"/>
    <cellStyle name="Output 2 2 3 48 3" xfId="23360"/>
    <cellStyle name="Output 2 2 3 48 4" xfId="31547"/>
    <cellStyle name="Output 2 2 3 48 5" xfId="40833"/>
    <cellStyle name="Output 2 2 3 48 6" xfId="45212"/>
    <cellStyle name="Output 2 2 3 48 7" xfId="53185"/>
    <cellStyle name="Output 2 2 3 49" xfId="6761"/>
    <cellStyle name="Output 2 2 3 49 2" xfId="14478"/>
    <cellStyle name="Output 2 2 3 49 3" xfId="23471"/>
    <cellStyle name="Output 2 2 3 49 4" xfId="31658"/>
    <cellStyle name="Output 2 2 3 49 5" xfId="40938"/>
    <cellStyle name="Output 2 2 3 49 6" xfId="45323"/>
    <cellStyle name="Output 2 2 3 49 7" xfId="48727"/>
    <cellStyle name="Output 2 2 3 5" xfId="1393"/>
    <cellStyle name="Output 2 2 3 5 2" xfId="9216"/>
    <cellStyle name="Output 2 2 3 5 3" xfId="16644"/>
    <cellStyle name="Output 2 2 3 5 4" xfId="24961"/>
    <cellStyle name="Output 2 2 3 5 5" xfId="33299"/>
    <cellStyle name="Output 2 2 3 5 6" xfId="37527"/>
    <cellStyle name="Output 2 2 3 5 7" xfId="50700"/>
    <cellStyle name="Output 2 2 3 50" xfId="6876"/>
    <cellStyle name="Output 2 2 3 50 2" xfId="14593"/>
    <cellStyle name="Output 2 2 3 50 3" xfId="23586"/>
    <cellStyle name="Output 2 2 3 50 4" xfId="31773"/>
    <cellStyle name="Output 2 2 3 50 5" xfId="41046"/>
    <cellStyle name="Output 2 2 3 50 6" xfId="45438"/>
    <cellStyle name="Output 2 2 3 50 7" xfId="47065"/>
    <cellStyle name="Output 2 2 3 51" xfId="6989"/>
    <cellStyle name="Output 2 2 3 51 2" xfId="14706"/>
    <cellStyle name="Output 2 2 3 51 3" xfId="23699"/>
    <cellStyle name="Output 2 2 3 51 4" xfId="31886"/>
    <cellStyle name="Output 2 2 3 51 5" xfId="41154"/>
    <cellStyle name="Output 2 2 3 51 6" xfId="45551"/>
    <cellStyle name="Output 2 2 3 51 7" xfId="47215"/>
    <cellStyle name="Output 2 2 3 52" xfId="7099"/>
    <cellStyle name="Output 2 2 3 52 2" xfId="14816"/>
    <cellStyle name="Output 2 2 3 52 3" xfId="23809"/>
    <cellStyle name="Output 2 2 3 52 4" xfId="31996"/>
    <cellStyle name="Output 2 2 3 52 5" xfId="41258"/>
    <cellStyle name="Output 2 2 3 52 6" xfId="45661"/>
    <cellStyle name="Output 2 2 3 52 7" xfId="49154"/>
    <cellStyle name="Output 2 2 3 53" xfId="7179"/>
    <cellStyle name="Output 2 2 3 53 2" xfId="14896"/>
    <cellStyle name="Output 2 2 3 53 3" xfId="23889"/>
    <cellStyle name="Output 2 2 3 53 4" xfId="32076"/>
    <cellStyle name="Output 2 2 3 53 5" xfId="41337"/>
    <cellStyle name="Output 2 2 3 53 6" xfId="45741"/>
    <cellStyle name="Output 2 2 3 53 7" xfId="53679"/>
    <cellStyle name="Output 2 2 3 54" xfId="7207"/>
    <cellStyle name="Output 2 2 3 54 2" xfId="14924"/>
    <cellStyle name="Output 2 2 3 54 3" xfId="23917"/>
    <cellStyle name="Output 2 2 3 54 4" xfId="32104"/>
    <cellStyle name="Output 2 2 3 54 5" xfId="41364"/>
    <cellStyle name="Output 2 2 3 54 6" xfId="45769"/>
    <cellStyle name="Output 2 2 3 54 7" xfId="50652"/>
    <cellStyle name="Output 2 2 3 55" xfId="7496"/>
    <cellStyle name="Output 2 2 3 55 2" xfId="15213"/>
    <cellStyle name="Output 2 2 3 55 3" xfId="24206"/>
    <cellStyle name="Output 2 2 3 55 4" xfId="32393"/>
    <cellStyle name="Output 2 2 3 55 5" xfId="41641"/>
    <cellStyle name="Output 2 2 3 55 6" xfId="46058"/>
    <cellStyle name="Output 2 2 3 55 7" xfId="50712"/>
    <cellStyle name="Output 2 2 3 56" xfId="7617"/>
    <cellStyle name="Output 2 2 3 56 2" xfId="15334"/>
    <cellStyle name="Output 2 2 3 56 3" xfId="24327"/>
    <cellStyle name="Output 2 2 3 56 4" xfId="32514"/>
    <cellStyle name="Output 2 2 3 56 5" xfId="41756"/>
    <cellStyle name="Output 2 2 3 56 6" xfId="46179"/>
    <cellStyle name="Output 2 2 3 56 7" xfId="48173"/>
    <cellStyle name="Output 2 2 3 57" xfId="7894"/>
    <cellStyle name="Output 2 2 3 57 2" xfId="15611"/>
    <cellStyle name="Output 2 2 3 57 3" xfId="24598"/>
    <cellStyle name="Output 2 2 3 57 4" xfId="32791"/>
    <cellStyle name="Output 2 2 3 57 5" xfId="42022"/>
    <cellStyle name="Output 2 2 3 57 6" xfId="46456"/>
    <cellStyle name="Output 2 2 3 57 7" xfId="53650"/>
    <cellStyle name="Output 2 2 3 58" xfId="8022"/>
    <cellStyle name="Output 2 2 3 58 2" xfId="15739"/>
    <cellStyle name="Output 2 2 3 58 3" xfId="24724"/>
    <cellStyle name="Output 2 2 3 58 4" xfId="32919"/>
    <cellStyle name="Output 2 2 3 58 5" xfId="42145"/>
    <cellStyle name="Output 2 2 3 58 6" xfId="46584"/>
    <cellStyle name="Output 2 2 3 58 7" xfId="50068"/>
    <cellStyle name="Output 2 2 3 59" xfId="7681"/>
    <cellStyle name="Output 2 2 3 59 2" xfId="15398"/>
    <cellStyle name="Output 2 2 3 59 3" xfId="24389"/>
    <cellStyle name="Output 2 2 3 59 4" xfId="32578"/>
    <cellStyle name="Output 2 2 3 59 5" xfId="41816"/>
    <cellStyle name="Output 2 2 3 59 6" xfId="46243"/>
    <cellStyle name="Output 2 2 3 59 7" xfId="53974"/>
    <cellStyle name="Output 2 2 3 6" xfId="1516"/>
    <cellStyle name="Output 2 2 3 6 2" xfId="9339"/>
    <cellStyle name="Output 2 2 3 6 3" xfId="16767"/>
    <cellStyle name="Output 2 2 3 6 4" xfId="24945"/>
    <cellStyle name="Output 2 2 3 6 5" xfId="33281"/>
    <cellStyle name="Output 2 2 3 6 6" xfId="36545"/>
    <cellStyle name="Output 2 2 3 6 7" xfId="50667"/>
    <cellStyle name="Output 2 2 3 60" xfId="8169"/>
    <cellStyle name="Output 2 2 3 60 2" xfId="15886"/>
    <cellStyle name="Output 2 2 3 60 3" xfId="33066"/>
    <cellStyle name="Output 2 2 3 60 4" xfId="42285"/>
    <cellStyle name="Output 2 2 3 60 5" xfId="46731"/>
    <cellStyle name="Output 2 2 3 60 6" xfId="50092"/>
    <cellStyle name="Output 2 2 3 61" xfId="26168"/>
    <cellStyle name="Output 2 2 3 62" xfId="34839"/>
    <cellStyle name="Output 2 2 3 63" xfId="36272"/>
    <cellStyle name="Output 2 2 3 64" xfId="53355"/>
    <cellStyle name="Output 2 2 3 7" xfId="1297"/>
    <cellStyle name="Output 2 2 3 7 2" xfId="9120"/>
    <cellStyle name="Output 2 2 3 7 3" xfId="16548"/>
    <cellStyle name="Output 2 2 3 7 4" xfId="26706"/>
    <cellStyle name="Output 2 2 3 7 5" xfId="35562"/>
    <cellStyle name="Output 2 2 3 7 6" xfId="38396"/>
    <cellStyle name="Output 2 2 3 7 7" xfId="54511"/>
    <cellStyle name="Output 2 2 3 8" xfId="1753"/>
    <cellStyle name="Output 2 2 3 8 2" xfId="9576"/>
    <cellStyle name="Output 2 2 3 8 3" xfId="17004"/>
    <cellStyle name="Output 2 2 3 8 4" xfId="19890"/>
    <cellStyle name="Output 2 2 3 8 5" xfId="27233"/>
    <cellStyle name="Output 2 2 3 8 6" xfId="39267"/>
    <cellStyle name="Output 2 2 3 8 7" xfId="48774"/>
    <cellStyle name="Output 2 2 3 9" xfId="1886"/>
    <cellStyle name="Output 2 2 3 9 2" xfId="9709"/>
    <cellStyle name="Output 2 2 3 9 3" xfId="17137"/>
    <cellStyle name="Output 2 2 3 9 4" xfId="19881"/>
    <cellStyle name="Output 2 2 3 9 5" xfId="27883"/>
    <cellStyle name="Output 2 2 3 9 6" xfId="37833"/>
    <cellStyle name="Output 2 2 3 9 7" xfId="49368"/>
    <cellStyle name="Output 2 2 30" xfId="3741"/>
    <cellStyle name="Output 2 2 30 2" xfId="11526"/>
    <cellStyle name="Output 2 2 30 3" xfId="18796"/>
    <cellStyle name="Output 2 2 30 4" xfId="19855"/>
    <cellStyle name="Output 2 2 30 5" xfId="28537"/>
    <cellStyle name="Output 2 2 30 6" xfId="40728"/>
    <cellStyle name="Output 2 2 30 7" xfId="48135"/>
    <cellStyle name="Output 2 2 31" xfId="3021"/>
    <cellStyle name="Output 2 2 31 2" xfId="10837"/>
    <cellStyle name="Output 2 2 31 3" xfId="18252"/>
    <cellStyle name="Output 2 2 31 4" xfId="25124"/>
    <cellStyle name="Output 2 2 31 5" xfId="33497"/>
    <cellStyle name="Output 2 2 31 6" xfId="38439"/>
    <cellStyle name="Output 2 2 31 7" xfId="51065"/>
    <cellStyle name="Output 2 2 32" xfId="3562"/>
    <cellStyle name="Output 2 2 32 2" xfId="11351"/>
    <cellStyle name="Output 2 2 32 3" xfId="20521"/>
    <cellStyle name="Output 2 2 32 4" xfId="28650"/>
    <cellStyle name="Output 2 2 32 5" xfId="38029"/>
    <cellStyle name="Output 2 2 32 6" xfId="42509"/>
    <cellStyle name="Output 2 2 32 7" xfId="47320"/>
    <cellStyle name="Output 2 2 33" xfId="3079"/>
    <cellStyle name="Output 2 2 33 2" xfId="10887"/>
    <cellStyle name="Output 2 2 33 3" xfId="20240"/>
    <cellStyle name="Output 2 2 33 4" xfId="28330"/>
    <cellStyle name="Output 2 2 33 5" xfId="37710"/>
    <cellStyle name="Output 2 2 33 6" xfId="42387"/>
    <cellStyle name="Output 2 2 33 7" xfId="52799"/>
    <cellStyle name="Output 2 2 34" xfId="4224"/>
    <cellStyle name="Output 2 2 34 2" xfId="20934"/>
    <cellStyle name="Output 2 2 34 3" xfId="29121"/>
    <cellStyle name="Output 2 2 34 4" xfId="38496"/>
    <cellStyle name="Output 2 2 34 5" xfId="42786"/>
    <cellStyle name="Output 2 2 34 6" xfId="47763"/>
    <cellStyle name="Output 2 2 35" xfId="4210"/>
    <cellStyle name="Output 2 2 35 2" xfId="11958"/>
    <cellStyle name="Output 2 2 35 3" xfId="20920"/>
    <cellStyle name="Output 2 2 35 4" xfId="29107"/>
    <cellStyle name="Output 2 2 35 5" xfId="38483"/>
    <cellStyle name="Output 2 2 35 6" xfId="42772"/>
    <cellStyle name="Output 2 2 35 7" xfId="47543"/>
    <cellStyle name="Output 2 2 36" xfId="4387"/>
    <cellStyle name="Output 2 2 36 2" xfId="12104"/>
    <cellStyle name="Output 2 2 36 3" xfId="21097"/>
    <cellStyle name="Output 2 2 36 4" xfId="29284"/>
    <cellStyle name="Output 2 2 36 5" xfId="38654"/>
    <cellStyle name="Output 2 2 36 6" xfId="42949"/>
    <cellStyle name="Output 2 2 36 7" xfId="50278"/>
    <cellStyle name="Output 2 2 37" xfId="4508"/>
    <cellStyle name="Output 2 2 37 2" xfId="12225"/>
    <cellStyle name="Output 2 2 37 3" xfId="21218"/>
    <cellStyle name="Output 2 2 37 4" xfId="29405"/>
    <cellStyle name="Output 2 2 37 5" xfId="38769"/>
    <cellStyle name="Output 2 2 37 6" xfId="43070"/>
    <cellStyle name="Output 2 2 37 7" xfId="47500"/>
    <cellStyle name="Output 2 2 38" xfId="4515"/>
    <cellStyle name="Output 2 2 38 2" xfId="12232"/>
    <cellStyle name="Output 2 2 38 3" xfId="21225"/>
    <cellStyle name="Output 2 2 38 4" xfId="29412"/>
    <cellStyle name="Output 2 2 38 5" xfId="38776"/>
    <cellStyle name="Output 2 2 38 6" xfId="43077"/>
    <cellStyle name="Output 2 2 38 7" xfId="50117"/>
    <cellStyle name="Output 2 2 39" xfId="4735"/>
    <cellStyle name="Output 2 2 39 2" xfId="12452"/>
    <cellStyle name="Output 2 2 39 3" xfId="21445"/>
    <cellStyle name="Output 2 2 39 4" xfId="29632"/>
    <cellStyle name="Output 2 2 39 5" xfId="38987"/>
    <cellStyle name="Output 2 2 39 6" xfId="43297"/>
    <cellStyle name="Output 2 2 39 7" xfId="50751"/>
    <cellStyle name="Output 2 2 4" xfId="465"/>
    <cellStyle name="Output 2 2 4 10" xfId="1087"/>
    <cellStyle name="Output 2 2 4 10 2" xfId="8911"/>
    <cellStyle name="Output 2 2 4 10 3" xfId="16339"/>
    <cellStyle name="Output 2 2 4 10 4" xfId="20447"/>
    <cellStyle name="Output 2 2 4 10 5" xfId="27656"/>
    <cellStyle name="Output 2 2 4 10 6" xfId="37870"/>
    <cellStyle name="Output 2 2 4 10 7" xfId="48125"/>
    <cellStyle name="Output 2 2 4 11" xfId="1627"/>
    <cellStyle name="Output 2 2 4 11 2" xfId="9450"/>
    <cellStyle name="Output 2 2 4 11 3" xfId="16878"/>
    <cellStyle name="Output 2 2 4 11 4" xfId="20629"/>
    <cellStyle name="Output 2 2 4 11 5" xfId="27492"/>
    <cellStyle name="Output 2 2 4 11 6" xfId="36572"/>
    <cellStyle name="Output 2 2 4 11 7" xfId="48391"/>
    <cellStyle name="Output 2 2 4 12" xfId="1804"/>
    <cellStyle name="Output 2 2 4 12 2" xfId="9627"/>
    <cellStyle name="Output 2 2 4 12 3" xfId="17055"/>
    <cellStyle name="Output 2 2 4 12 4" xfId="24903"/>
    <cellStyle name="Output 2 2 4 12 5" xfId="33225"/>
    <cellStyle name="Output 2 2 4 12 6" xfId="40701"/>
    <cellStyle name="Output 2 2 4 12 7" xfId="50573"/>
    <cellStyle name="Output 2 2 4 13" xfId="964"/>
    <cellStyle name="Output 2 2 4 13 2" xfId="8788"/>
    <cellStyle name="Output 2 2 4 13 3" xfId="16216"/>
    <cellStyle name="Output 2 2 4 13 4" xfId="20126"/>
    <cellStyle name="Output 2 2 4 13 5" xfId="27130"/>
    <cellStyle name="Output 2 2 4 13 6" xfId="36561"/>
    <cellStyle name="Output 2 2 4 13 7" xfId="48238"/>
    <cellStyle name="Output 2 2 4 14" xfId="1085"/>
    <cellStyle name="Output 2 2 4 14 2" xfId="8909"/>
    <cellStyle name="Output 2 2 4 14 3" xfId="16337"/>
    <cellStyle name="Output 2 2 4 14 4" xfId="20474"/>
    <cellStyle name="Output 2 2 4 14 5" xfId="26938"/>
    <cellStyle name="Output 2 2 4 14 6" xfId="37746"/>
    <cellStyle name="Output 2 2 4 14 7" xfId="49104"/>
    <cellStyle name="Output 2 2 4 15" xfId="2445"/>
    <cellStyle name="Output 2 2 4 15 2" xfId="10268"/>
    <cellStyle name="Output 2 2 4 15 3" xfId="17696"/>
    <cellStyle name="Output 2 2 4 15 4" xfId="19044"/>
    <cellStyle name="Output 2 2 4 15 5" xfId="27466"/>
    <cellStyle name="Output 2 2 4 15 6" xfId="42209"/>
    <cellStyle name="Output 2 2 4 15 7" xfId="49273"/>
    <cellStyle name="Output 2 2 4 16" xfId="1918"/>
    <cellStyle name="Output 2 2 4 16 2" xfId="9741"/>
    <cellStyle name="Output 2 2 4 16 3" xfId="17169"/>
    <cellStyle name="Output 2 2 4 16 4" xfId="19643"/>
    <cellStyle name="Output 2 2 4 16 5" xfId="27120"/>
    <cellStyle name="Output 2 2 4 16 6" xfId="36285"/>
    <cellStyle name="Output 2 2 4 16 7" xfId="47920"/>
    <cellStyle name="Output 2 2 4 17" xfId="1248"/>
    <cellStyle name="Output 2 2 4 17 2" xfId="9071"/>
    <cellStyle name="Output 2 2 4 17 3" xfId="16499"/>
    <cellStyle name="Output 2 2 4 17 4" xfId="19487"/>
    <cellStyle name="Output 2 2 4 17 5" xfId="28162"/>
    <cellStyle name="Output 2 2 4 17 6" xfId="37115"/>
    <cellStyle name="Output 2 2 4 17 7" xfId="48351"/>
    <cellStyle name="Output 2 2 4 18" xfId="2281"/>
    <cellStyle name="Output 2 2 4 18 2" xfId="10104"/>
    <cellStyle name="Output 2 2 4 18 3" xfId="17532"/>
    <cellStyle name="Output 2 2 4 18 4" xfId="25571"/>
    <cellStyle name="Output 2 2 4 18 5" xfId="34070"/>
    <cellStyle name="Output 2 2 4 18 6" xfId="37157"/>
    <cellStyle name="Output 2 2 4 18 7" xfId="52022"/>
    <cellStyle name="Output 2 2 4 19" xfId="2762"/>
    <cellStyle name="Output 2 2 4 19 2" xfId="10585"/>
    <cellStyle name="Output 2 2 4 19 3" xfId="18013"/>
    <cellStyle name="Output 2 2 4 19 4" xfId="26416"/>
    <cellStyle name="Output 2 2 4 19 5" xfId="35176"/>
    <cellStyle name="Output 2 2 4 19 6" xfId="40832"/>
    <cellStyle name="Output 2 2 4 19 7" xfId="53888"/>
    <cellStyle name="Output 2 2 4 2" xfId="629"/>
    <cellStyle name="Output 2 2 4 2 2" xfId="8453"/>
    <cellStyle name="Output 2 2 4 2 3" xfId="11791"/>
    <cellStyle name="Output 2 2 4 2 4" xfId="19867"/>
    <cellStyle name="Output 2 2 4 2 5" xfId="28485"/>
    <cellStyle name="Output 2 2 4 2 6" xfId="37227"/>
    <cellStyle name="Output 2 2 4 2 7" xfId="47359"/>
    <cellStyle name="Output 2 2 4 20" xfId="1633"/>
    <cellStyle name="Output 2 2 4 20 2" xfId="9456"/>
    <cellStyle name="Output 2 2 4 20 3" xfId="16884"/>
    <cellStyle name="Output 2 2 4 20 4" xfId="26559"/>
    <cellStyle name="Output 2 2 4 20 5" xfId="35368"/>
    <cellStyle name="Output 2 2 4 20 6" xfId="37034"/>
    <cellStyle name="Output 2 2 4 20 7" xfId="54190"/>
    <cellStyle name="Output 2 2 4 21" xfId="3236"/>
    <cellStyle name="Output 2 2 4 21 2" xfId="11029"/>
    <cellStyle name="Output 2 2 4 21 3" xfId="18361"/>
    <cellStyle name="Output 2 2 4 21 4" xfId="25672"/>
    <cellStyle name="Output 2 2 4 21 5" xfId="34204"/>
    <cellStyle name="Output 2 2 4 21 6" xfId="38561"/>
    <cellStyle name="Output 2 2 4 21 7" xfId="52243"/>
    <cellStyle name="Output 2 2 4 22" xfId="3031"/>
    <cellStyle name="Output 2 2 4 22 2" xfId="10846"/>
    <cellStyle name="Output 2 2 4 22 3" xfId="18257"/>
    <cellStyle name="Output 2 2 4 22 4" xfId="24782"/>
    <cellStyle name="Output 2 2 4 22 5" xfId="28781"/>
    <cellStyle name="Output 2 2 4 22 6" xfId="36442"/>
    <cellStyle name="Output 2 2 4 22 7" xfId="49616"/>
    <cellStyle name="Output 2 2 4 23" xfId="3094"/>
    <cellStyle name="Output 2 2 4 23 2" xfId="10900"/>
    <cellStyle name="Output 2 2 4 23 3" xfId="18284"/>
    <cellStyle name="Output 2 2 4 23 4" xfId="25147"/>
    <cellStyle name="Output 2 2 4 23 5" xfId="33522"/>
    <cellStyle name="Output 2 2 4 23 6" xfId="36411"/>
    <cellStyle name="Output 2 2 4 23 7" xfId="51103"/>
    <cellStyle name="Output 2 2 4 24" xfId="3139"/>
    <cellStyle name="Output 2 2 4 24 2" xfId="10944"/>
    <cellStyle name="Output 2 2 4 24 3" xfId="18319"/>
    <cellStyle name="Output 2 2 4 24 4" xfId="19976"/>
    <cellStyle name="Output 2 2 4 24 5" xfId="28704"/>
    <cellStyle name="Output 2 2 4 24 6" xfId="41095"/>
    <cellStyle name="Output 2 2 4 24 7" xfId="48959"/>
    <cellStyle name="Output 2 2 4 25" xfId="3753"/>
    <cellStyle name="Output 2 2 4 25 2" xfId="11538"/>
    <cellStyle name="Output 2 2 4 25 3" xfId="18805"/>
    <cellStyle name="Output 2 2 4 25 4" xfId="25965"/>
    <cellStyle name="Output 2 2 4 25 5" xfId="34574"/>
    <cellStyle name="Output 2 2 4 25 6" xfId="39373"/>
    <cellStyle name="Output 2 2 4 25 7" xfId="52918"/>
    <cellStyle name="Output 2 2 4 26" xfId="3098"/>
    <cellStyle name="Output 2 2 4 26 2" xfId="10903"/>
    <cellStyle name="Output 2 2 4 26 3" xfId="18286"/>
    <cellStyle name="Output 2 2 4 26 4" xfId="19320"/>
    <cellStyle name="Output 2 2 4 26 5" xfId="28356"/>
    <cellStyle name="Output 2 2 4 26 6" xfId="37435"/>
    <cellStyle name="Output 2 2 4 26 7" xfId="47527"/>
    <cellStyle name="Output 2 2 4 27" xfId="3578"/>
    <cellStyle name="Output 2 2 4 27 2" xfId="11367"/>
    <cellStyle name="Output 2 2 4 27 3" xfId="20534"/>
    <cellStyle name="Output 2 2 4 27 4" xfId="28660"/>
    <cellStyle name="Output 2 2 4 27 5" xfId="38043"/>
    <cellStyle name="Output 2 2 4 27 6" xfId="42515"/>
    <cellStyle name="Output 2 2 4 27 7" xfId="54299"/>
    <cellStyle name="Output 2 2 4 28" xfId="4075"/>
    <cellStyle name="Output 2 2 4 28 2" xfId="11837"/>
    <cellStyle name="Output 2 2 4 28 3" xfId="20785"/>
    <cellStyle name="Output 2 2 4 28 4" xfId="28972"/>
    <cellStyle name="Output 2 2 4 28 5" xfId="38351"/>
    <cellStyle name="Output 2 2 4 28 6" xfId="42637"/>
    <cellStyle name="Output 2 2 4 28 7" xfId="47466"/>
    <cellStyle name="Output 2 2 4 29" xfId="3193"/>
    <cellStyle name="Output 2 2 4 29 2" xfId="20320"/>
    <cellStyle name="Output 2 2 4 29 3" xfId="28413"/>
    <cellStyle name="Output 2 2 4 29 4" xfId="37799"/>
    <cellStyle name="Output 2 2 4 29 5" xfId="42434"/>
    <cellStyle name="Output 2 2 4 29 6" xfId="50139"/>
    <cellStyle name="Output 2 2 4 3" xfId="214"/>
    <cellStyle name="Output 2 2 4 3 2" xfId="8319"/>
    <cellStyle name="Output 2 2 4 3 3" xfId="8397"/>
    <cellStyle name="Output 2 2 4 3 4" xfId="25544"/>
    <cellStyle name="Output 2 2 4 3 5" xfId="34035"/>
    <cellStyle name="Output 2 2 4 3 6" xfId="36324"/>
    <cellStyle name="Output 2 2 4 3 7" xfId="51969"/>
    <cellStyle name="Output 2 2 4 30" xfId="4273"/>
    <cellStyle name="Output 2 2 4 30 2" xfId="11990"/>
    <cellStyle name="Output 2 2 4 30 3" xfId="20983"/>
    <cellStyle name="Output 2 2 4 30 4" xfId="29170"/>
    <cellStyle name="Output 2 2 4 30 5" xfId="38543"/>
    <cellStyle name="Output 2 2 4 30 6" xfId="42835"/>
    <cellStyle name="Output 2 2 4 30 7" xfId="51995"/>
    <cellStyle name="Output 2 2 4 31" xfId="4396"/>
    <cellStyle name="Output 2 2 4 31 2" xfId="12113"/>
    <cellStyle name="Output 2 2 4 31 3" xfId="21106"/>
    <cellStyle name="Output 2 2 4 31 4" xfId="29293"/>
    <cellStyle name="Output 2 2 4 31 5" xfId="38663"/>
    <cellStyle name="Output 2 2 4 31 6" xfId="42958"/>
    <cellStyle name="Output 2 2 4 31 7" xfId="48311"/>
    <cellStyle name="Output 2 2 4 32" xfId="4512"/>
    <cellStyle name="Output 2 2 4 32 2" xfId="12229"/>
    <cellStyle name="Output 2 2 4 32 3" xfId="21222"/>
    <cellStyle name="Output 2 2 4 32 4" xfId="29409"/>
    <cellStyle name="Output 2 2 4 32 5" xfId="38773"/>
    <cellStyle name="Output 2 2 4 32 6" xfId="43074"/>
    <cellStyle name="Output 2 2 4 32 7" xfId="50371"/>
    <cellStyle name="Output 2 2 4 33" xfId="4626"/>
    <cellStyle name="Output 2 2 4 33 2" xfId="12343"/>
    <cellStyle name="Output 2 2 4 33 3" xfId="21336"/>
    <cellStyle name="Output 2 2 4 33 4" xfId="29523"/>
    <cellStyle name="Output 2 2 4 33 5" xfId="38882"/>
    <cellStyle name="Output 2 2 4 33 6" xfId="43188"/>
    <cellStyle name="Output 2 2 4 33 7" xfId="54424"/>
    <cellStyle name="Output 2 2 4 34" xfId="4739"/>
    <cellStyle name="Output 2 2 4 34 2" xfId="12456"/>
    <cellStyle name="Output 2 2 4 34 3" xfId="21449"/>
    <cellStyle name="Output 2 2 4 34 4" xfId="29636"/>
    <cellStyle name="Output 2 2 4 34 5" xfId="38991"/>
    <cellStyle name="Output 2 2 4 34 6" xfId="43301"/>
    <cellStyle name="Output 2 2 4 34 7" xfId="50522"/>
    <cellStyle name="Output 2 2 4 35" xfId="4399"/>
    <cellStyle name="Output 2 2 4 35 2" xfId="12116"/>
    <cellStyle name="Output 2 2 4 35 3" xfId="21109"/>
    <cellStyle name="Output 2 2 4 35 4" xfId="29296"/>
    <cellStyle name="Output 2 2 4 35 5" xfId="38666"/>
    <cellStyle name="Output 2 2 4 35 6" xfId="42961"/>
    <cellStyle name="Output 2 2 4 35 7" xfId="47886"/>
    <cellStyle name="Output 2 2 4 36" xfId="4959"/>
    <cellStyle name="Output 2 2 4 36 2" xfId="12676"/>
    <cellStyle name="Output 2 2 4 36 3" xfId="21669"/>
    <cellStyle name="Output 2 2 4 36 4" xfId="29856"/>
    <cellStyle name="Output 2 2 4 36 5" xfId="39203"/>
    <cellStyle name="Output 2 2 4 36 6" xfId="43521"/>
    <cellStyle name="Output 2 2 4 36 7" xfId="47665"/>
    <cellStyle name="Output 2 2 4 37" xfId="5330"/>
    <cellStyle name="Output 2 2 4 37 2" xfId="13047"/>
    <cellStyle name="Output 2 2 4 37 3" xfId="22040"/>
    <cellStyle name="Output 2 2 4 37 4" xfId="30227"/>
    <cellStyle name="Output 2 2 4 37 5" xfId="39561"/>
    <cellStyle name="Output 2 2 4 37 6" xfId="43892"/>
    <cellStyle name="Output 2 2 4 37 7" xfId="50947"/>
    <cellStyle name="Output 2 2 4 38" xfId="5451"/>
    <cellStyle name="Output 2 2 4 38 2" xfId="13168"/>
    <cellStyle name="Output 2 2 4 38 3" xfId="22161"/>
    <cellStyle name="Output 2 2 4 38 4" xfId="30348"/>
    <cellStyle name="Output 2 2 4 38 5" xfId="39677"/>
    <cellStyle name="Output 2 2 4 38 6" xfId="44013"/>
    <cellStyle name="Output 2 2 4 38 7" xfId="53567"/>
    <cellStyle name="Output 2 2 4 39" xfId="5573"/>
    <cellStyle name="Output 2 2 4 39 2" xfId="13290"/>
    <cellStyle name="Output 2 2 4 39 3" xfId="22283"/>
    <cellStyle name="Output 2 2 4 39 4" xfId="30470"/>
    <cellStyle name="Output 2 2 4 39 5" xfId="39793"/>
    <cellStyle name="Output 2 2 4 39 6" xfId="44135"/>
    <cellStyle name="Output 2 2 4 39 7" xfId="46844"/>
    <cellStyle name="Output 2 2 4 4" xfId="849"/>
    <cellStyle name="Output 2 2 4 4 2" xfId="8673"/>
    <cellStyle name="Output 2 2 4 4 3" xfId="16101"/>
    <cellStyle name="Output 2 2 4 4 4" xfId="25029"/>
    <cellStyle name="Output 2 2 4 4 5" xfId="33384"/>
    <cellStyle name="Output 2 2 4 4 6" xfId="36700"/>
    <cellStyle name="Output 2 2 4 4 7" xfId="50858"/>
    <cellStyle name="Output 2 2 4 40" xfId="5378"/>
    <cellStyle name="Output 2 2 4 40 2" xfId="13095"/>
    <cellStyle name="Output 2 2 4 40 3" xfId="22088"/>
    <cellStyle name="Output 2 2 4 40 4" xfId="30275"/>
    <cellStyle name="Output 2 2 4 40 5" xfId="39606"/>
    <cellStyle name="Output 2 2 4 40 6" xfId="43940"/>
    <cellStyle name="Output 2 2 4 40 7" xfId="53600"/>
    <cellStyle name="Output 2 2 4 41" xfId="5173"/>
    <cellStyle name="Output 2 2 4 41 2" xfId="12890"/>
    <cellStyle name="Output 2 2 4 41 3" xfId="21883"/>
    <cellStyle name="Output 2 2 4 41 4" xfId="30070"/>
    <cellStyle name="Output 2 2 4 41 5" xfId="39409"/>
    <cellStyle name="Output 2 2 4 41 6" xfId="43735"/>
    <cellStyle name="Output 2 2 4 41 7" xfId="52286"/>
    <cellStyle name="Output 2 2 4 42" xfId="5935"/>
    <cellStyle name="Output 2 2 4 42 2" xfId="13652"/>
    <cellStyle name="Output 2 2 4 42 3" xfId="22645"/>
    <cellStyle name="Output 2 2 4 42 4" xfId="30832"/>
    <cellStyle name="Output 2 2 4 42 5" xfId="40143"/>
    <cellStyle name="Output 2 2 4 42 6" xfId="44497"/>
    <cellStyle name="Output 2 2 4 42 7" xfId="53980"/>
    <cellStyle name="Output 2 2 4 43" xfId="5078"/>
    <cellStyle name="Output 2 2 4 43 2" xfId="12795"/>
    <cellStyle name="Output 2 2 4 43 3" xfId="21788"/>
    <cellStyle name="Output 2 2 4 43 4" xfId="29975"/>
    <cellStyle name="Output 2 2 4 43 5" xfId="39318"/>
    <cellStyle name="Output 2 2 4 43 6" xfId="43640"/>
    <cellStyle name="Output 2 2 4 43 7" xfId="53127"/>
    <cellStyle name="Output 2 2 4 44" xfId="6192"/>
    <cellStyle name="Output 2 2 4 44 2" xfId="13909"/>
    <cellStyle name="Output 2 2 4 44 3" xfId="22902"/>
    <cellStyle name="Output 2 2 4 44 4" xfId="31089"/>
    <cellStyle name="Output 2 2 4 44 5" xfId="40390"/>
    <cellStyle name="Output 2 2 4 44 6" xfId="44754"/>
    <cellStyle name="Output 2 2 4 44 7" xfId="48906"/>
    <cellStyle name="Output 2 2 4 45" xfId="5159"/>
    <cellStyle name="Output 2 2 4 45 2" xfId="12876"/>
    <cellStyle name="Output 2 2 4 45 3" xfId="21869"/>
    <cellStyle name="Output 2 2 4 45 4" xfId="30056"/>
    <cellStyle name="Output 2 2 4 45 5" xfId="39395"/>
    <cellStyle name="Output 2 2 4 45 6" xfId="43721"/>
    <cellStyle name="Output 2 2 4 45 7" xfId="53671"/>
    <cellStyle name="Output 2 2 4 46" xfId="5179"/>
    <cellStyle name="Output 2 2 4 46 2" xfId="12896"/>
    <cellStyle name="Output 2 2 4 46 3" xfId="21889"/>
    <cellStyle name="Output 2 2 4 46 4" xfId="30076"/>
    <cellStyle name="Output 2 2 4 46 5" xfId="39415"/>
    <cellStyle name="Output 2 2 4 46 6" xfId="43741"/>
    <cellStyle name="Output 2 2 4 46 7" xfId="51485"/>
    <cellStyle name="Output 2 2 4 47" xfId="5582"/>
    <cellStyle name="Output 2 2 4 47 2" xfId="13299"/>
    <cellStyle name="Output 2 2 4 47 3" xfId="22292"/>
    <cellStyle name="Output 2 2 4 47 4" xfId="30479"/>
    <cellStyle name="Output 2 2 4 47 5" xfId="39801"/>
    <cellStyle name="Output 2 2 4 47 6" xfId="44144"/>
    <cellStyle name="Output 2 2 4 47 7" xfId="47155"/>
    <cellStyle name="Output 2 2 4 48" xfId="6558"/>
    <cellStyle name="Output 2 2 4 48 2" xfId="14275"/>
    <cellStyle name="Output 2 2 4 48 3" xfId="23268"/>
    <cellStyle name="Output 2 2 4 48 4" xfId="31455"/>
    <cellStyle name="Output 2 2 4 48 5" xfId="40744"/>
    <cellStyle name="Output 2 2 4 48 6" xfId="45120"/>
    <cellStyle name="Output 2 2 4 48 7" xfId="52957"/>
    <cellStyle name="Output 2 2 4 49" xfId="6181"/>
    <cellStyle name="Output 2 2 4 49 2" xfId="13898"/>
    <cellStyle name="Output 2 2 4 49 3" xfId="22891"/>
    <cellStyle name="Output 2 2 4 49 4" xfId="31078"/>
    <cellStyle name="Output 2 2 4 49 5" xfId="40379"/>
    <cellStyle name="Output 2 2 4 49 6" xfId="44743"/>
    <cellStyle name="Output 2 2 4 49 7" xfId="50160"/>
    <cellStyle name="Output 2 2 4 5" xfId="1300"/>
    <cellStyle name="Output 2 2 4 5 2" xfId="9123"/>
    <cellStyle name="Output 2 2 4 5 3" xfId="16551"/>
    <cellStyle name="Output 2 2 4 5 4" xfId="26643"/>
    <cellStyle name="Output 2 2 4 5 5" xfId="35482"/>
    <cellStyle name="Output 2 2 4 5 6" xfId="38175"/>
    <cellStyle name="Output 2 2 4 5 7" xfId="54376"/>
    <cellStyle name="Output 2 2 4 50" xfId="6796"/>
    <cellStyle name="Output 2 2 4 50 2" xfId="14513"/>
    <cellStyle name="Output 2 2 4 50 3" xfId="23506"/>
    <cellStyle name="Output 2 2 4 50 4" xfId="31693"/>
    <cellStyle name="Output 2 2 4 50 5" xfId="40972"/>
    <cellStyle name="Output 2 2 4 50 6" xfId="45358"/>
    <cellStyle name="Output 2 2 4 50 7" xfId="52047"/>
    <cellStyle name="Output 2 2 4 51" xfId="6910"/>
    <cellStyle name="Output 2 2 4 51 2" xfId="14627"/>
    <cellStyle name="Output 2 2 4 51 3" xfId="23620"/>
    <cellStyle name="Output 2 2 4 51 4" xfId="31807"/>
    <cellStyle name="Output 2 2 4 51 5" xfId="41079"/>
    <cellStyle name="Output 2 2 4 51 6" xfId="45472"/>
    <cellStyle name="Output 2 2 4 51 7" xfId="47052"/>
    <cellStyle name="Output 2 2 4 52" xfId="7023"/>
    <cellStyle name="Output 2 2 4 52 2" xfId="14740"/>
    <cellStyle name="Output 2 2 4 52 3" xfId="23733"/>
    <cellStyle name="Output 2 2 4 52 4" xfId="31920"/>
    <cellStyle name="Output 2 2 4 52 5" xfId="41187"/>
    <cellStyle name="Output 2 2 4 52 6" xfId="45585"/>
    <cellStyle name="Output 2 2 4 52 7" xfId="54539"/>
    <cellStyle name="Output 2 2 4 53" xfId="7251"/>
    <cellStyle name="Output 2 2 4 53 2" xfId="14968"/>
    <cellStyle name="Output 2 2 4 53 3" xfId="23961"/>
    <cellStyle name="Output 2 2 4 53 4" xfId="32148"/>
    <cellStyle name="Output 2 2 4 53 5" xfId="41404"/>
    <cellStyle name="Output 2 2 4 53 6" xfId="45813"/>
    <cellStyle name="Output 2 2 4 53 7" xfId="48234"/>
    <cellStyle name="Output 2 2 4 54" xfId="7405"/>
    <cellStyle name="Output 2 2 4 54 2" xfId="15122"/>
    <cellStyle name="Output 2 2 4 54 3" xfId="24115"/>
    <cellStyle name="Output 2 2 4 54 4" xfId="32302"/>
    <cellStyle name="Output 2 2 4 54 5" xfId="41554"/>
    <cellStyle name="Output 2 2 4 54 6" xfId="45967"/>
    <cellStyle name="Output 2 2 4 54 7" xfId="52956"/>
    <cellStyle name="Output 2 2 4 55" xfId="7420"/>
    <cellStyle name="Output 2 2 4 55 2" xfId="15137"/>
    <cellStyle name="Output 2 2 4 55 3" xfId="24130"/>
    <cellStyle name="Output 2 2 4 55 4" xfId="32317"/>
    <cellStyle name="Output 2 2 4 55 5" xfId="41569"/>
    <cellStyle name="Output 2 2 4 55 6" xfId="45982"/>
    <cellStyle name="Output 2 2 4 55 7" xfId="51212"/>
    <cellStyle name="Output 2 2 4 56" xfId="7541"/>
    <cellStyle name="Output 2 2 4 56 2" xfId="15258"/>
    <cellStyle name="Output 2 2 4 56 3" xfId="24251"/>
    <cellStyle name="Output 2 2 4 56 4" xfId="32438"/>
    <cellStyle name="Output 2 2 4 56 5" xfId="41684"/>
    <cellStyle name="Output 2 2 4 56 6" xfId="46103"/>
    <cellStyle name="Output 2 2 4 56 7" xfId="53242"/>
    <cellStyle name="Output 2 2 4 57" xfId="7813"/>
    <cellStyle name="Output 2 2 4 57 2" xfId="15530"/>
    <cellStyle name="Output 2 2 4 57 3" xfId="24517"/>
    <cellStyle name="Output 2 2 4 57 4" xfId="32710"/>
    <cellStyle name="Output 2 2 4 57 5" xfId="41945"/>
    <cellStyle name="Output 2 2 4 57 6" xfId="46375"/>
    <cellStyle name="Output 2 2 4 57 7" xfId="53516"/>
    <cellStyle name="Output 2 2 4 58" xfId="7805"/>
    <cellStyle name="Output 2 2 4 58 2" xfId="15522"/>
    <cellStyle name="Output 2 2 4 58 3" xfId="24509"/>
    <cellStyle name="Output 2 2 4 58 4" xfId="32702"/>
    <cellStyle name="Output 2 2 4 58 5" xfId="41937"/>
    <cellStyle name="Output 2 2 4 58 6" xfId="46367"/>
    <cellStyle name="Output 2 2 4 58 7" xfId="46970"/>
    <cellStyle name="Output 2 2 4 59" xfId="7804"/>
    <cellStyle name="Output 2 2 4 59 2" xfId="15521"/>
    <cellStyle name="Output 2 2 4 59 3" xfId="24508"/>
    <cellStyle name="Output 2 2 4 59 4" xfId="32701"/>
    <cellStyle name="Output 2 2 4 59 5" xfId="41936"/>
    <cellStyle name="Output 2 2 4 59 6" xfId="46366"/>
    <cellStyle name="Output 2 2 4 59 7" xfId="50612"/>
    <cellStyle name="Output 2 2 4 6" xfId="1021"/>
    <cellStyle name="Output 2 2 4 6 2" xfId="8845"/>
    <cellStyle name="Output 2 2 4 6 3" xfId="16273"/>
    <cellStyle name="Output 2 2 4 6 4" xfId="19527"/>
    <cellStyle name="Output 2 2 4 6 5" xfId="27874"/>
    <cellStyle name="Output 2 2 4 6 6" xfId="37722"/>
    <cellStyle name="Output 2 2 4 6 7" xfId="47237"/>
    <cellStyle name="Output 2 2 4 60" xfId="8093"/>
    <cellStyle name="Output 2 2 4 60 2" xfId="15810"/>
    <cellStyle name="Output 2 2 4 60 3" xfId="32990"/>
    <cellStyle name="Output 2 2 4 60 4" xfId="42212"/>
    <cellStyle name="Output 2 2 4 60 5" xfId="46655"/>
    <cellStyle name="Output 2 2 4 60 6" xfId="48809"/>
    <cellStyle name="Output 2 2 4 61" xfId="25215"/>
    <cellStyle name="Output 2 2 4 62" xfId="33614"/>
    <cellStyle name="Output 2 2 4 63" xfId="36518"/>
    <cellStyle name="Output 2 2 4 64" xfId="51251"/>
    <cellStyle name="Output 2 2 4 7" xfId="1195"/>
    <cellStyle name="Output 2 2 4 7 2" xfId="9018"/>
    <cellStyle name="Output 2 2 4 7 3" xfId="16446"/>
    <cellStyle name="Output 2 2 4 7 4" xfId="25759"/>
    <cellStyle name="Output 2 2 4 7 5" xfId="34312"/>
    <cellStyle name="Output 2 2 4 7 6" xfId="42026"/>
    <cellStyle name="Output 2 2 4 7 7" xfId="52446"/>
    <cellStyle name="Output 2 2 4 8" xfId="1662"/>
    <cellStyle name="Output 2 2 4 8 2" xfId="9485"/>
    <cellStyle name="Output 2 2 4 8 3" xfId="16913"/>
    <cellStyle name="Output 2 2 4 8 4" xfId="25030"/>
    <cellStyle name="Output 2 2 4 8 5" xfId="33385"/>
    <cellStyle name="Output 2 2 4 8 6" xfId="36538"/>
    <cellStyle name="Output 2 2 4 8 7" xfId="50859"/>
    <cellStyle name="Output 2 2 4 9" xfId="1801"/>
    <cellStyle name="Output 2 2 4 9 2" xfId="9624"/>
    <cellStyle name="Output 2 2 4 9 3" xfId="17052"/>
    <cellStyle name="Output 2 2 4 9 4" xfId="25076"/>
    <cellStyle name="Output 2 2 4 9 5" xfId="33436"/>
    <cellStyle name="Output 2 2 4 9 6" xfId="40840"/>
    <cellStyle name="Output 2 2 4 9 7" xfId="50961"/>
    <cellStyle name="Output 2 2 40" xfId="3529"/>
    <cellStyle name="Output 2 2 40 2" xfId="11320"/>
    <cellStyle name="Output 2 2 40 3" xfId="20500"/>
    <cellStyle name="Output 2 2 40 4" xfId="28625"/>
    <cellStyle name="Output 2 2 40 5" xfId="38001"/>
    <cellStyle name="Output 2 2 40 6" xfId="42497"/>
    <cellStyle name="Output 2 2 40 7" xfId="47667"/>
    <cellStyle name="Output 2 2 41" xfId="4955"/>
    <cellStyle name="Output 2 2 41 2" xfId="12672"/>
    <cellStyle name="Output 2 2 41 3" xfId="21665"/>
    <cellStyle name="Output 2 2 41 4" xfId="29852"/>
    <cellStyle name="Output 2 2 41 5" xfId="39199"/>
    <cellStyle name="Output 2 2 41 6" xfId="43517"/>
    <cellStyle name="Output 2 2 41 7" xfId="52482"/>
    <cellStyle name="Output 2 2 42" xfId="5176"/>
    <cellStyle name="Output 2 2 42 2" xfId="12893"/>
    <cellStyle name="Output 2 2 42 3" xfId="21886"/>
    <cellStyle name="Output 2 2 42 4" xfId="30073"/>
    <cellStyle name="Output 2 2 42 5" xfId="39412"/>
    <cellStyle name="Output 2 2 42 6" xfId="43738"/>
    <cellStyle name="Output 2 2 42 7" xfId="47591"/>
    <cellStyle name="Output 2 2 43" xfId="5446"/>
    <cellStyle name="Output 2 2 43 2" xfId="13163"/>
    <cellStyle name="Output 2 2 43 3" xfId="22156"/>
    <cellStyle name="Output 2 2 43 4" xfId="30343"/>
    <cellStyle name="Output 2 2 43 5" xfId="39672"/>
    <cellStyle name="Output 2 2 43 6" xfId="44008"/>
    <cellStyle name="Output 2 2 43 7" xfId="48184"/>
    <cellStyle name="Output 2 2 44" xfId="5458"/>
    <cellStyle name="Output 2 2 44 2" xfId="13175"/>
    <cellStyle name="Output 2 2 44 3" xfId="22168"/>
    <cellStyle name="Output 2 2 44 4" xfId="30355"/>
    <cellStyle name="Output 2 2 44 5" xfId="39683"/>
    <cellStyle name="Output 2 2 44 6" xfId="44020"/>
    <cellStyle name="Output 2 2 44 7" xfId="52976"/>
    <cellStyle name="Output 2 2 45" xfId="5199"/>
    <cellStyle name="Output 2 2 45 2" xfId="12916"/>
    <cellStyle name="Output 2 2 45 3" xfId="21909"/>
    <cellStyle name="Output 2 2 45 4" xfId="30096"/>
    <cellStyle name="Output 2 2 45 5" xfId="39433"/>
    <cellStyle name="Output 2 2 45 6" xfId="43761"/>
    <cellStyle name="Output 2 2 45 7" xfId="49400"/>
    <cellStyle name="Output 2 2 46" xfId="5205"/>
    <cellStyle name="Output 2 2 46 2" xfId="12922"/>
    <cellStyle name="Output 2 2 46 3" xfId="21915"/>
    <cellStyle name="Output 2 2 46 4" xfId="30102"/>
    <cellStyle name="Output 2 2 46 5" xfId="39439"/>
    <cellStyle name="Output 2 2 46 6" xfId="43767"/>
    <cellStyle name="Output 2 2 46 7" xfId="48920"/>
    <cellStyle name="Output 2 2 47" xfId="5454"/>
    <cellStyle name="Output 2 2 47 2" xfId="13171"/>
    <cellStyle name="Output 2 2 47 3" xfId="22164"/>
    <cellStyle name="Output 2 2 47 4" xfId="30351"/>
    <cellStyle name="Output 2 2 47 5" xfId="39679"/>
    <cellStyle name="Output 2 2 47 6" xfId="44016"/>
    <cellStyle name="Output 2 2 47 7" xfId="53252"/>
    <cellStyle name="Output 2 2 48" xfId="5295"/>
    <cellStyle name="Output 2 2 48 2" xfId="13012"/>
    <cellStyle name="Output 2 2 48 3" xfId="22005"/>
    <cellStyle name="Output 2 2 48 4" xfId="30192"/>
    <cellStyle name="Output 2 2 48 5" xfId="39526"/>
    <cellStyle name="Output 2 2 48 6" xfId="43857"/>
    <cellStyle name="Output 2 2 48 7" xfId="48239"/>
    <cellStyle name="Output 2 2 49" xfId="5237"/>
    <cellStyle name="Output 2 2 49 2" xfId="12954"/>
    <cellStyle name="Output 2 2 49 3" xfId="21947"/>
    <cellStyle name="Output 2 2 49 4" xfId="30134"/>
    <cellStyle name="Output 2 2 49 5" xfId="39469"/>
    <cellStyle name="Output 2 2 49 6" xfId="43799"/>
    <cellStyle name="Output 2 2 49 7" xfId="52992"/>
    <cellStyle name="Output 2 2 5" xfId="572"/>
    <cellStyle name="Output 2 2 5 10" xfId="2019"/>
    <cellStyle name="Output 2 2 5 10 2" xfId="9842"/>
    <cellStyle name="Output 2 2 5 10 3" xfId="17270"/>
    <cellStyle name="Output 2 2 5 10 4" xfId="24953"/>
    <cellStyle name="Output 2 2 5 10 5" xfId="33289"/>
    <cellStyle name="Output 2 2 5 10 6" xfId="40848"/>
    <cellStyle name="Output 2 2 5 10 7" xfId="50676"/>
    <cellStyle name="Output 2 2 5 11" xfId="2136"/>
    <cellStyle name="Output 2 2 5 11 2" xfId="9959"/>
    <cellStyle name="Output 2 2 5 11 3" xfId="17387"/>
    <cellStyle name="Output 2 2 5 11 4" xfId="25235"/>
    <cellStyle name="Output 2 2 5 11 5" xfId="33639"/>
    <cellStyle name="Output 2 2 5 11 6" xfId="37124"/>
    <cellStyle name="Output 2 2 5 11 7" xfId="51293"/>
    <cellStyle name="Output 2 2 5 12" xfId="2250"/>
    <cellStyle name="Output 2 2 5 12 2" xfId="10073"/>
    <cellStyle name="Output 2 2 5 12 3" xfId="17501"/>
    <cellStyle name="Output 2 2 5 12 4" xfId="25404"/>
    <cellStyle name="Output 2 2 5 12 5" xfId="33859"/>
    <cellStyle name="Output 2 2 5 12 6" xfId="36532"/>
    <cellStyle name="Output 2 2 5 12 7" xfId="51655"/>
    <cellStyle name="Output 2 2 5 13" xfId="1158"/>
    <cellStyle name="Output 2 2 5 13 2" xfId="8981"/>
    <cellStyle name="Output 2 2 5 13 3" xfId="16409"/>
    <cellStyle name="Output 2 2 5 13 4" xfId="20111"/>
    <cellStyle name="Output 2 2 5 13 5" xfId="27072"/>
    <cellStyle name="Output 2 2 5 13 6" xfId="39058"/>
    <cellStyle name="Output 2 2 5 13 7" xfId="48830"/>
    <cellStyle name="Output 2 2 5 14" xfId="1599"/>
    <cellStyle name="Output 2 2 5 14 2" xfId="9422"/>
    <cellStyle name="Output 2 2 5 14 3" xfId="16850"/>
    <cellStyle name="Output 2 2 5 14 4" xfId="19505"/>
    <cellStyle name="Output 2 2 5 14 5" xfId="28586"/>
    <cellStyle name="Output 2 2 5 14 6" xfId="37835"/>
    <cellStyle name="Output 2 2 5 14 7" xfId="50249"/>
    <cellStyle name="Output 2 2 5 15" xfId="2547"/>
    <cellStyle name="Output 2 2 5 15 2" xfId="10370"/>
    <cellStyle name="Output 2 2 5 15 3" xfId="17798"/>
    <cellStyle name="Output 2 2 5 15 4" xfId="20263"/>
    <cellStyle name="Output 2 2 5 15 5" xfId="27282"/>
    <cellStyle name="Output 2 2 5 15 6" xfId="40587"/>
    <cellStyle name="Output 2 2 5 15 7" xfId="46973"/>
    <cellStyle name="Output 2 2 5 16" xfId="2661"/>
    <cellStyle name="Output 2 2 5 16 2" xfId="10484"/>
    <cellStyle name="Output 2 2 5 16 3" xfId="17912"/>
    <cellStyle name="Output 2 2 5 16 4" xfId="19211"/>
    <cellStyle name="Output 2 2 5 16 5" xfId="27123"/>
    <cellStyle name="Output 2 2 5 16 6" xfId="36372"/>
    <cellStyle name="Output 2 2 5 16 7" xfId="49926"/>
    <cellStyle name="Output 2 2 5 17" xfId="2282"/>
    <cellStyle name="Output 2 2 5 17 2" xfId="10105"/>
    <cellStyle name="Output 2 2 5 17 3" xfId="17533"/>
    <cellStyle name="Output 2 2 5 17 4" xfId="25519"/>
    <cellStyle name="Output 2 2 5 17 5" xfId="34000"/>
    <cellStyle name="Output 2 2 5 17 6" xfId="37096"/>
    <cellStyle name="Output 2 2 5 17 7" xfId="51911"/>
    <cellStyle name="Output 2 2 5 18" xfId="1202"/>
    <cellStyle name="Output 2 2 5 18 2" xfId="9025"/>
    <cellStyle name="Output 2 2 5 18 3" xfId="16453"/>
    <cellStyle name="Output 2 2 5 18 4" xfId="25347"/>
    <cellStyle name="Output 2 2 5 18 5" xfId="33781"/>
    <cellStyle name="Output 2 2 5 18 6" xfId="41050"/>
    <cellStyle name="Output 2 2 5 18 7" xfId="51524"/>
    <cellStyle name="Output 2 2 5 19" xfId="2852"/>
    <cellStyle name="Output 2 2 5 19 2" xfId="10675"/>
    <cellStyle name="Output 2 2 5 19 3" xfId="18103"/>
    <cellStyle name="Output 2 2 5 19 4" xfId="26198"/>
    <cellStyle name="Output 2 2 5 19 5" xfId="34879"/>
    <cellStyle name="Output 2 2 5 19 6" xfId="39053"/>
    <cellStyle name="Output 2 2 5 19 7" xfId="53424"/>
    <cellStyle name="Output 2 2 5 2" xfId="720"/>
    <cellStyle name="Output 2 2 5 2 2" xfId="8544"/>
    <cellStyle name="Output 2 2 5 2 3" xfId="15972"/>
    <cellStyle name="Output 2 2 5 2 4" xfId="25320"/>
    <cellStyle name="Output 2 2 5 2 5" xfId="33747"/>
    <cellStyle name="Output 2 2 5 2 6" xfId="36468"/>
    <cellStyle name="Output 2 2 5 2 7" xfId="51473"/>
    <cellStyle name="Output 2 2 5 20" xfId="2959"/>
    <cellStyle name="Output 2 2 5 20 2" xfId="10782"/>
    <cellStyle name="Output 2 2 5 20 3" xfId="18210"/>
    <cellStyle name="Output 2 2 5 20 4" xfId="20230"/>
    <cellStyle name="Output 2 2 5 20 5" xfId="27503"/>
    <cellStyle name="Output 2 2 5 20 6" xfId="37755"/>
    <cellStyle name="Output 2 2 5 20 7" xfId="50144"/>
    <cellStyle name="Output 2 2 5 21" xfId="3336"/>
    <cellStyle name="Output 2 2 5 21 2" xfId="11129"/>
    <cellStyle name="Output 2 2 5 21 3" xfId="18457"/>
    <cellStyle name="Output 2 2 5 21 4" xfId="26617"/>
    <cellStyle name="Output 2 2 5 21 5" xfId="35448"/>
    <cellStyle name="Output 2 2 5 21 6" xfId="38322"/>
    <cellStyle name="Output 2 2 5 21 7" xfId="54321"/>
    <cellStyle name="Output 2 2 5 22" xfId="3455"/>
    <cellStyle name="Output 2 2 5 22 2" xfId="11246"/>
    <cellStyle name="Output 2 2 5 22 3" xfId="18568"/>
    <cellStyle name="Output 2 2 5 22 4" xfId="25626"/>
    <cellStyle name="Output 2 2 5 22 5" xfId="34140"/>
    <cellStyle name="Output 2 2 5 22 6" xfId="38600"/>
    <cellStyle name="Output 2 2 5 22 7" xfId="52142"/>
    <cellStyle name="Output 2 2 5 23" xfId="3615"/>
    <cellStyle name="Output 2 2 5 23 2" xfId="11401"/>
    <cellStyle name="Output 2 2 5 23 3" xfId="18675"/>
    <cellStyle name="Output 2 2 5 23 4" xfId="19138"/>
    <cellStyle name="Output 2 2 5 23 5" xfId="26981"/>
    <cellStyle name="Output 2 2 5 23 6" xfId="37987"/>
    <cellStyle name="Output 2 2 5 23 7" xfId="49834"/>
    <cellStyle name="Output 2 2 5 24" xfId="3728"/>
    <cellStyle name="Output 2 2 5 24 2" xfId="11513"/>
    <cellStyle name="Output 2 2 5 24 3" xfId="18785"/>
    <cellStyle name="Output 2 2 5 24 4" xfId="24921"/>
    <cellStyle name="Output 2 2 5 24 5" xfId="33250"/>
    <cellStyle name="Output 2 2 5 24 6" xfId="41810"/>
    <cellStyle name="Output 2 2 5 24 7" xfId="50618"/>
    <cellStyle name="Output 2 2 5 25" xfId="3857"/>
    <cellStyle name="Output 2 2 5 25 2" xfId="11639"/>
    <cellStyle name="Output 2 2 5 25 3" xfId="18895"/>
    <cellStyle name="Output 2 2 5 25 4" xfId="20021"/>
    <cellStyle name="Output 2 2 5 25 5" xfId="28260"/>
    <cellStyle name="Output 2 2 5 25 6" xfId="36313"/>
    <cellStyle name="Output 2 2 5 25 7" xfId="48742"/>
    <cellStyle name="Output 2 2 5 26" xfId="3976"/>
    <cellStyle name="Output 2 2 5 26 2" xfId="11755"/>
    <cellStyle name="Output 2 2 5 26 3" xfId="19004"/>
    <cellStyle name="Output 2 2 5 26 4" xfId="25766"/>
    <cellStyle name="Output 2 2 5 26 5" xfId="34323"/>
    <cellStyle name="Output 2 2 5 26 6" xfId="38906"/>
    <cellStyle name="Output 2 2 5 26 7" xfId="52468"/>
    <cellStyle name="Output 2 2 5 27" xfId="3763"/>
    <cellStyle name="Output 2 2 5 27 2" xfId="11547"/>
    <cellStyle name="Output 2 2 5 27 3" xfId="20613"/>
    <cellStyle name="Output 2 2 5 27 4" xfId="28763"/>
    <cellStyle name="Output 2 2 5 27 5" xfId="38151"/>
    <cellStyle name="Output 2 2 5 27 6" xfId="42539"/>
    <cellStyle name="Output 2 2 5 27 7" xfId="47582"/>
    <cellStyle name="Output 2 2 5 28" xfId="4172"/>
    <cellStyle name="Output 2 2 5 28 2" xfId="11931"/>
    <cellStyle name="Output 2 2 5 28 3" xfId="20882"/>
    <cellStyle name="Output 2 2 5 28 4" xfId="29069"/>
    <cellStyle name="Output 2 2 5 28 5" xfId="38445"/>
    <cellStyle name="Output 2 2 5 28 6" xfId="42734"/>
    <cellStyle name="Output 2 2 5 28 7" xfId="47969"/>
    <cellStyle name="Output 2 2 5 29" xfId="4264"/>
    <cellStyle name="Output 2 2 5 29 2" xfId="20974"/>
    <cellStyle name="Output 2 2 5 29 3" xfId="29161"/>
    <cellStyle name="Output 2 2 5 29 4" xfId="38534"/>
    <cellStyle name="Output 2 2 5 29 5" xfId="42826"/>
    <cellStyle name="Output 2 2 5 29 6" xfId="52803"/>
    <cellStyle name="Output 2 2 5 3" xfId="829"/>
    <cellStyle name="Output 2 2 5 3 2" xfId="8653"/>
    <cellStyle name="Output 2 2 5 3 3" xfId="16081"/>
    <cellStyle name="Output 2 2 5 3 4" xfId="26061"/>
    <cellStyle name="Output 2 2 5 3 5" xfId="34705"/>
    <cellStyle name="Output 2 2 5 3 6" xfId="36339"/>
    <cellStyle name="Output 2 2 5 3 7" xfId="53125"/>
    <cellStyle name="Output 2 2 5 30" xfId="4370"/>
    <cellStyle name="Output 2 2 5 30 2" xfId="12087"/>
    <cellStyle name="Output 2 2 5 30 3" xfId="21080"/>
    <cellStyle name="Output 2 2 5 30 4" xfId="29267"/>
    <cellStyle name="Output 2 2 5 30 5" xfId="38637"/>
    <cellStyle name="Output 2 2 5 30 6" xfId="42932"/>
    <cellStyle name="Output 2 2 5 30 7" xfId="52113"/>
    <cellStyle name="Output 2 2 5 31" xfId="4492"/>
    <cellStyle name="Output 2 2 5 31 2" xfId="12209"/>
    <cellStyle name="Output 2 2 5 31 3" xfId="21202"/>
    <cellStyle name="Output 2 2 5 31 4" xfId="29389"/>
    <cellStyle name="Output 2 2 5 31 5" xfId="38753"/>
    <cellStyle name="Output 2 2 5 31 6" xfId="43054"/>
    <cellStyle name="Output 2 2 5 31 7" xfId="52523"/>
    <cellStyle name="Output 2 2 5 32" xfId="4606"/>
    <cellStyle name="Output 2 2 5 32 2" xfId="12323"/>
    <cellStyle name="Output 2 2 5 32 3" xfId="21316"/>
    <cellStyle name="Output 2 2 5 32 4" xfId="29503"/>
    <cellStyle name="Output 2 2 5 32 5" xfId="38862"/>
    <cellStyle name="Output 2 2 5 32 6" xfId="43168"/>
    <cellStyle name="Output 2 2 5 32 7" xfId="49108"/>
    <cellStyle name="Output 2 2 5 33" xfId="4719"/>
    <cellStyle name="Output 2 2 5 33 2" xfId="12436"/>
    <cellStyle name="Output 2 2 5 33 3" xfId="21429"/>
    <cellStyle name="Output 2 2 5 33 4" xfId="29616"/>
    <cellStyle name="Output 2 2 5 33 5" xfId="38971"/>
    <cellStyle name="Output 2 2 5 33 6" xfId="43281"/>
    <cellStyle name="Output 2 2 5 33 7" xfId="52581"/>
    <cellStyle name="Output 2 2 5 34" xfId="4829"/>
    <cellStyle name="Output 2 2 5 34 2" xfId="12546"/>
    <cellStyle name="Output 2 2 5 34 3" xfId="21539"/>
    <cellStyle name="Output 2 2 5 34 4" xfId="29726"/>
    <cellStyle name="Output 2 2 5 34 5" xfId="39078"/>
    <cellStyle name="Output 2 2 5 34 6" xfId="43391"/>
    <cellStyle name="Output 2 2 5 34 7" xfId="48778"/>
    <cellStyle name="Output 2 2 5 35" xfId="4939"/>
    <cellStyle name="Output 2 2 5 35 2" xfId="12656"/>
    <cellStyle name="Output 2 2 5 35 3" xfId="21649"/>
    <cellStyle name="Output 2 2 5 35 4" xfId="29836"/>
    <cellStyle name="Output 2 2 5 35 5" xfId="39183"/>
    <cellStyle name="Output 2 2 5 35 6" xfId="43501"/>
    <cellStyle name="Output 2 2 5 35 7" xfId="53979"/>
    <cellStyle name="Output 2 2 5 36" xfId="5049"/>
    <cellStyle name="Output 2 2 5 36 2" xfId="12766"/>
    <cellStyle name="Output 2 2 5 36 3" xfId="21759"/>
    <cellStyle name="Output 2 2 5 36 4" xfId="29946"/>
    <cellStyle name="Output 2 2 5 36 5" xfId="39290"/>
    <cellStyle name="Output 2 2 5 36 6" xfId="43611"/>
    <cellStyle name="Output 2 2 5 36 7" xfId="49102"/>
    <cellStyle name="Output 2 2 5 37" xfId="5429"/>
    <cellStyle name="Output 2 2 5 37 2" xfId="13146"/>
    <cellStyle name="Output 2 2 5 37 3" xfId="22139"/>
    <cellStyle name="Output 2 2 5 37 4" xfId="30326"/>
    <cellStyle name="Output 2 2 5 37 5" xfId="39655"/>
    <cellStyle name="Output 2 2 5 37 6" xfId="43991"/>
    <cellStyle name="Output 2 2 5 37 7" xfId="49686"/>
    <cellStyle name="Output 2 2 5 38" xfId="5549"/>
    <cellStyle name="Output 2 2 5 38 2" xfId="13266"/>
    <cellStyle name="Output 2 2 5 38 3" xfId="22259"/>
    <cellStyle name="Output 2 2 5 38 4" xfId="30446"/>
    <cellStyle name="Output 2 2 5 38 5" xfId="39769"/>
    <cellStyle name="Output 2 2 5 38 6" xfId="44111"/>
    <cellStyle name="Output 2 2 5 38 7" xfId="47178"/>
    <cellStyle name="Output 2 2 5 39" xfId="5673"/>
    <cellStyle name="Output 2 2 5 39 2" xfId="13390"/>
    <cellStyle name="Output 2 2 5 39 3" xfId="22383"/>
    <cellStyle name="Output 2 2 5 39 4" xfId="30570"/>
    <cellStyle name="Output 2 2 5 39 5" xfId="39890"/>
    <cellStyle name="Output 2 2 5 39 6" xfId="44235"/>
    <cellStyle name="Output 2 2 5 39 7" xfId="47100"/>
    <cellStyle name="Output 2 2 5 4" xfId="939"/>
    <cellStyle name="Output 2 2 5 4 2" xfId="8763"/>
    <cellStyle name="Output 2 2 5 4 3" xfId="16191"/>
    <cellStyle name="Output 2 2 5 4 4" xfId="20458"/>
    <cellStyle name="Output 2 2 5 4 5" xfId="27451"/>
    <cellStyle name="Output 2 2 5 4 6" xfId="38093"/>
    <cellStyle name="Output 2 2 5 4 7" xfId="49573"/>
    <cellStyle name="Output 2 2 5 40" xfId="5789"/>
    <cellStyle name="Output 2 2 5 40 2" xfId="13506"/>
    <cellStyle name="Output 2 2 5 40 3" xfId="22499"/>
    <cellStyle name="Output 2 2 5 40 4" xfId="30686"/>
    <cellStyle name="Output 2 2 5 40 5" xfId="40002"/>
    <cellStyle name="Output 2 2 5 40 6" xfId="44351"/>
    <cellStyle name="Output 2 2 5 40 7" xfId="54495"/>
    <cellStyle name="Output 2 2 5 41" xfId="5906"/>
    <cellStyle name="Output 2 2 5 41 2" xfId="13623"/>
    <cellStyle name="Output 2 2 5 41 3" xfId="22616"/>
    <cellStyle name="Output 2 2 5 41 4" xfId="30803"/>
    <cellStyle name="Output 2 2 5 41 5" xfId="40116"/>
    <cellStyle name="Output 2 2 5 41 6" xfId="44468"/>
    <cellStyle name="Output 2 2 5 41 7" xfId="48618"/>
    <cellStyle name="Output 2 2 5 42" xfId="6034"/>
    <cellStyle name="Output 2 2 5 42 2" xfId="13751"/>
    <cellStyle name="Output 2 2 5 42 3" xfId="22744"/>
    <cellStyle name="Output 2 2 5 42 4" xfId="30931"/>
    <cellStyle name="Output 2 2 5 42 5" xfId="40239"/>
    <cellStyle name="Output 2 2 5 42 6" xfId="44596"/>
    <cellStyle name="Output 2 2 5 42 7" xfId="47568"/>
    <cellStyle name="Output 2 2 5 43" xfId="6161"/>
    <cellStyle name="Output 2 2 5 43 2" xfId="13878"/>
    <cellStyle name="Output 2 2 5 43 3" xfId="22871"/>
    <cellStyle name="Output 2 2 5 43 4" xfId="31058"/>
    <cellStyle name="Output 2 2 5 43 5" xfId="40359"/>
    <cellStyle name="Output 2 2 5 43 6" xfId="44723"/>
    <cellStyle name="Output 2 2 5 43 7" xfId="52272"/>
    <cellStyle name="Output 2 2 5 44" xfId="6290"/>
    <cellStyle name="Output 2 2 5 44 2" xfId="14007"/>
    <cellStyle name="Output 2 2 5 44 3" xfId="23000"/>
    <cellStyle name="Output 2 2 5 44 4" xfId="31187"/>
    <cellStyle name="Output 2 2 5 44 5" xfId="40487"/>
    <cellStyle name="Output 2 2 5 44 6" xfId="44852"/>
    <cellStyle name="Output 2 2 5 44 7" xfId="47991"/>
    <cellStyle name="Output 2 2 5 45" xfId="6405"/>
    <cellStyle name="Output 2 2 5 45 2" xfId="14122"/>
    <cellStyle name="Output 2 2 5 45 3" xfId="23115"/>
    <cellStyle name="Output 2 2 5 45 4" xfId="31302"/>
    <cellStyle name="Output 2 2 5 45 5" xfId="40598"/>
    <cellStyle name="Output 2 2 5 45 6" xfId="44967"/>
    <cellStyle name="Output 2 2 5 45 7" xfId="49283"/>
    <cellStyle name="Output 2 2 5 46" xfId="6517"/>
    <cellStyle name="Output 2 2 5 46 2" xfId="14234"/>
    <cellStyle name="Output 2 2 5 46 3" xfId="23227"/>
    <cellStyle name="Output 2 2 5 46 4" xfId="31414"/>
    <cellStyle name="Output 2 2 5 46 5" xfId="40706"/>
    <cellStyle name="Output 2 2 5 46 6" xfId="45079"/>
    <cellStyle name="Output 2 2 5 46 7" xfId="52385"/>
    <cellStyle name="Output 2 2 5 47" xfId="6311"/>
    <cellStyle name="Output 2 2 5 47 2" xfId="14028"/>
    <cellStyle name="Output 2 2 5 47 3" xfId="23021"/>
    <cellStyle name="Output 2 2 5 47 4" xfId="31208"/>
    <cellStyle name="Output 2 2 5 47 5" xfId="40508"/>
    <cellStyle name="Output 2 2 5 47 6" xfId="44873"/>
    <cellStyle name="Output 2 2 5 47 7" xfId="52570"/>
    <cellStyle name="Output 2 2 5 48" xfId="6664"/>
    <cellStyle name="Output 2 2 5 48 2" xfId="14381"/>
    <cellStyle name="Output 2 2 5 48 3" xfId="23374"/>
    <cellStyle name="Output 2 2 5 48 4" xfId="31561"/>
    <cellStyle name="Output 2 2 5 48 5" xfId="40845"/>
    <cellStyle name="Output 2 2 5 48 6" xfId="45226"/>
    <cellStyle name="Output 2 2 5 48 7" xfId="51563"/>
    <cellStyle name="Output 2 2 5 49" xfId="6775"/>
    <cellStyle name="Output 2 2 5 49 2" xfId="14492"/>
    <cellStyle name="Output 2 2 5 49 3" xfId="23485"/>
    <cellStyle name="Output 2 2 5 49 4" xfId="31672"/>
    <cellStyle name="Output 2 2 5 49 5" xfId="40951"/>
    <cellStyle name="Output 2 2 5 49 6" xfId="45337"/>
    <cellStyle name="Output 2 2 5 49 7" xfId="48404"/>
    <cellStyle name="Output 2 2 5 5" xfId="1407"/>
    <cellStyle name="Output 2 2 5 5 2" xfId="9230"/>
    <cellStyle name="Output 2 2 5 5 3" xfId="16658"/>
    <cellStyle name="Output 2 2 5 5 4" xfId="19187"/>
    <cellStyle name="Output 2 2 5 5 5" xfId="26922"/>
    <cellStyle name="Output 2 2 5 5 6" xfId="40151"/>
    <cellStyle name="Output 2 2 5 5 7" xfId="49158"/>
    <cellStyle name="Output 2 2 5 50" xfId="6890"/>
    <cellStyle name="Output 2 2 5 50 2" xfId="14607"/>
    <cellStyle name="Output 2 2 5 50 3" xfId="23600"/>
    <cellStyle name="Output 2 2 5 50 4" xfId="31787"/>
    <cellStyle name="Output 2 2 5 50 5" xfId="41059"/>
    <cellStyle name="Output 2 2 5 50 6" xfId="45452"/>
    <cellStyle name="Output 2 2 5 50 7" xfId="46814"/>
    <cellStyle name="Output 2 2 5 51" xfId="7003"/>
    <cellStyle name="Output 2 2 5 51 2" xfId="14720"/>
    <cellStyle name="Output 2 2 5 51 3" xfId="23713"/>
    <cellStyle name="Output 2 2 5 51 4" xfId="31900"/>
    <cellStyle name="Output 2 2 5 51 5" xfId="41167"/>
    <cellStyle name="Output 2 2 5 51 6" xfId="45565"/>
    <cellStyle name="Output 2 2 5 51 7" xfId="54535"/>
    <cellStyle name="Output 2 2 5 52" xfId="7113"/>
    <cellStyle name="Output 2 2 5 52 2" xfId="14830"/>
    <cellStyle name="Output 2 2 5 52 3" xfId="23823"/>
    <cellStyle name="Output 2 2 5 52 4" xfId="32010"/>
    <cellStyle name="Output 2 2 5 52 5" xfId="41272"/>
    <cellStyle name="Output 2 2 5 52 6" xfId="45675"/>
    <cellStyle name="Output 2 2 5 52 7" xfId="54240"/>
    <cellStyle name="Output 2 2 5 53" xfId="7165"/>
    <cellStyle name="Output 2 2 5 53 2" xfId="14882"/>
    <cellStyle name="Output 2 2 5 53 3" xfId="23875"/>
    <cellStyle name="Output 2 2 5 53 4" xfId="32062"/>
    <cellStyle name="Output 2 2 5 53 5" xfId="41324"/>
    <cellStyle name="Output 2 2 5 53 6" xfId="45727"/>
    <cellStyle name="Output 2 2 5 53 7" xfId="47313"/>
    <cellStyle name="Output 2 2 5 54" xfId="7411"/>
    <cellStyle name="Output 2 2 5 54 2" xfId="15128"/>
    <cellStyle name="Output 2 2 5 54 3" xfId="24121"/>
    <cellStyle name="Output 2 2 5 54 4" xfId="32308"/>
    <cellStyle name="Output 2 2 5 54 5" xfId="41560"/>
    <cellStyle name="Output 2 2 5 54 6" xfId="45973"/>
    <cellStyle name="Output 2 2 5 54 7" xfId="52327"/>
    <cellStyle name="Output 2 2 5 55" xfId="7510"/>
    <cellStyle name="Output 2 2 5 55 2" xfId="15227"/>
    <cellStyle name="Output 2 2 5 55 3" xfId="24220"/>
    <cellStyle name="Output 2 2 5 55 4" xfId="32407"/>
    <cellStyle name="Output 2 2 5 55 5" xfId="41654"/>
    <cellStyle name="Output 2 2 5 55 6" xfId="46072"/>
    <cellStyle name="Output 2 2 5 55 7" xfId="49170"/>
    <cellStyle name="Output 2 2 5 56" xfId="7631"/>
    <cellStyle name="Output 2 2 5 56 2" xfId="15348"/>
    <cellStyle name="Output 2 2 5 56 3" xfId="24341"/>
    <cellStyle name="Output 2 2 5 56 4" xfId="32528"/>
    <cellStyle name="Output 2 2 5 56 5" xfId="41770"/>
    <cellStyle name="Output 2 2 5 56 6" xfId="46193"/>
    <cellStyle name="Output 2 2 5 56 7" xfId="52987"/>
    <cellStyle name="Output 2 2 5 57" xfId="7908"/>
    <cellStyle name="Output 2 2 5 57 2" xfId="15625"/>
    <cellStyle name="Output 2 2 5 57 3" xfId="24612"/>
    <cellStyle name="Output 2 2 5 57 4" xfId="32805"/>
    <cellStyle name="Output 2 2 5 57 5" xfId="42036"/>
    <cellStyle name="Output 2 2 5 57 6" xfId="46470"/>
    <cellStyle name="Output 2 2 5 57 7" xfId="52337"/>
    <cellStyle name="Output 2 2 5 58" xfId="8036"/>
    <cellStyle name="Output 2 2 5 58 2" xfId="15753"/>
    <cellStyle name="Output 2 2 5 58 3" xfId="24738"/>
    <cellStyle name="Output 2 2 5 58 4" xfId="32933"/>
    <cellStyle name="Output 2 2 5 58 5" xfId="42158"/>
    <cellStyle name="Output 2 2 5 58 6" xfId="46598"/>
    <cellStyle name="Output 2 2 5 58 7" xfId="53408"/>
    <cellStyle name="Output 2 2 5 59" xfId="7801"/>
    <cellStyle name="Output 2 2 5 59 2" xfId="15518"/>
    <cellStyle name="Output 2 2 5 59 3" xfId="24505"/>
    <cellStyle name="Output 2 2 5 59 4" xfId="32698"/>
    <cellStyle name="Output 2 2 5 59 5" xfId="41933"/>
    <cellStyle name="Output 2 2 5 59 6" xfId="46363"/>
    <cellStyle name="Output 2 2 5 59 7" xfId="51713"/>
    <cellStyle name="Output 2 2 5 6" xfId="1530"/>
    <cellStyle name="Output 2 2 5 6 2" xfId="9353"/>
    <cellStyle name="Output 2 2 5 6 3" xfId="16781"/>
    <cellStyle name="Output 2 2 5 6 4" xfId="19198"/>
    <cellStyle name="Output 2 2 5 6 5" xfId="26929"/>
    <cellStyle name="Output 2 2 5 6 6" xfId="38256"/>
    <cellStyle name="Output 2 2 5 6 7" xfId="49126"/>
    <cellStyle name="Output 2 2 5 60" xfId="8183"/>
    <cellStyle name="Output 2 2 5 60 2" xfId="15900"/>
    <cellStyle name="Output 2 2 5 60 3" xfId="33080"/>
    <cellStyle name="Output 2 2 5 60 4" xfId="42299"/>
    <cellStyle name="Output 2 2 5 60 5" xfId="46745"/>
    <cellStyle name="Output 2 2 5 60 6" xfId="46873"/>
    <cellStyle name="Output 2 2 5 61" xfId="25607"/>
    <cellStyle name="Output 2 2 5 62" xfId="34118"/>
    <cellStyle name="Output 2 2 5 63" xfId="42317"/>
    <cellStyle name="Output 2 2 5 64" xfId="52105"/>
    <cellStyle name="Output 2 2 5 7" xfId="1266"/>
    <cellStyle name="Output 2 2 5 7 2" xfId="9089"/>
    <cellStyle name="Output 2 2 5 7 3" xfId="16517"/>
    <cellStyle name="Output 2 2 5 7 4" xfId="20142"/>
    <cellStyle name="Output 2 2 5 7 5" xfId="28038"/>
    <cellStyle name="Output 2 2 5 7 6" xfId="41608"/>
    <cellStyle name="Output 2 2 5 7 7" xfId="46957"/>
    <cellStyle name="Output 2 2 5 8" xfId="1767"/>
    <cellStyle name="Output 2 2 5 8 2" xfId="9590"/>
    <cellStyle name="Output 2 2 5 8 3" xfId="17018"/>
    <cellStyle name="Output 2 2 5 8 4" xfId="19892"/>
    <cellStyle name="Output 2 2 5 8 5" xfId="28049"/>
    <cellStyle name="Output 2 2 5 8 6" xfId="37818"/>
    <cellStyle name="Output 2 2 5 8 7" xfId="48379"/>
    <cellStyle name="Output 2 2 5 9" xfId="1900"/>
    <cellStyle name="Output 2 2 5 9 2" xfId="9723"/>
    <cellStyle name="Output 2 2 5 9 3" xfId="17151"/>
    <cellStyle name="Output 2 2 5 9 4" xfId="20660"/>
    <cellStyle name="Output 2 2 5 9 5" xfId="28104"/>
    <cellStyle name="Output 2 2 5 9 6" xfId="37491"/>
    <cellStyle name="Output 2 2 5 9 7" xfId="47954"/>
    <cellStyle name="Output 2 2 50" xfId="5368"/>
    <cellStyle name="Output 2 2 50 2" xfId="13085"/>
    <cellStyle name="Output 2 2 50 3" xfId="22078"/>
    <cellStyle name="Output 2 2 50 4" xfId="30265"/>
    <cellStyle name="Output 2 2 50 5" xfId="39597"/>
    <cellStyle name="Output 2 2 50 6" xfId="43930"/>
    <cellStyle name="Output 2 2 50 7" xfId="48251"/>
    <cellStyle name="Output 2 2 51" xfId="6071"/>
    <cellStyle name="Output 2 2 51 2" xfId="13788"/>
    <cellStyle name="Output 2 2 51 3" xfId="22781"/>
    <cellStyle name="Output 2 2 51 4" xfId="30968"/>
    <cellStyle name="Output 2 2 51 5" xfId="40273"/>
    <cellStyle name="Output 2 2 51 6" xfId="44633"/>
    <cellStyle name="Output 2 2 51 7" xfId="48187"/>
    <cellStyle name="Output 2 2 52" xfId="5157"/>
    <cellStyle name="Output 2 2 52 2" xfId="12874"/>
    <cellStyle name="Output 2 2 52 3" xfId="21867"/>
    <cellStyle name="Output 2 2 52 4" xfId="30054"/>
    <cellStyle name="Output 2 2 52 5" xfId="39393"/>
    <cellStyle name="Output 2 2 52 6" xfId="43719"/>
    <cellStyle name="Output 2 2 52 7" xfId="53792"/>
    <cellStyle name="Output 2 2 53" xfId="5933"/>
    <cellStyle name="Output 2 2 53 2" xfId="13650"/>
    <cellStyle name="Output 2 2 53 3" xfId="22643"/>
    <cellStyle name="Output 2 2 53 4" xfId="30830"/>
    <cellStyle name="Output 2 2 53 5" xfId="40141"/>
    <cellStyle name="Output 2 2 53 6" xfId="44495"/>
    <cellStyle name="Output 2 2 53 7" xfId="54365"/>
    <cellStyle name="Output 2 2 54" xfId="5333"/>
    <cellStyle name="Output 2 2 54 2" xfId="13050"/>
    <cellStyle name="Output 2 2 54 3" xfId="22043"/>
    <cellStyle name="Output 2 2 54 4" xfId="30230"/>
    <cellStyle name="Output 2 2 54 5" xfId="39564"/>
    <cellStyle name="Output 2 2 54 6" xfId="43895"/>
    <cellStyle name="Output 2 2 54 7" xfId="47478"/>
    <cellStyle name="Output 2 2 55" xfId="6792"/>
    <cellStyle name="Output 2 2 55 2" xfId="14509"/>
    <cellStyle name="Output 2 2 55 3" xfId="23502"/>
    <cellStyle name="Output 2 2 55 4" xfId="31689"/>
    <cellStyle name="Output 2 2 55 5" xfId="40968"/>
    <cellStyle name="Output 2 2 55 6" xfId="45354"/>
    <cellStyle name="Output 2 2 55 7" xfId="52970"/>
    <cellStyle name="Output 2 2 56" xfId="6906"/>
    <cellStyle name="Output 2 2 56 2" xfId="14623"/>
    <cellStyle name="Output 2 2 56 3" xfId="23616"/>
    <cellStyle name="Output 2 2 56 4" xfId="31803"/>
    <cellStyle name="Output 2 2 56 5" xfId="41075"/>
    <cellStyle name="Output 2 2 56 6" xfId="45468"/>
    <cellStyle name="Output 2 2 56 7" xfId="46922"/>
    <cellStyle name="Output 2 2 57" xfId="7019"/>
    <cellStyle name="Output 2 2 57 2" xfId="14736"/>
    <cellStyle name="Output 2 2 57 3" xfId="23729"/>
    <cellStyle name="Output 2 2 57 4" xfId="31916"/>
    <cellStyle name="Output 2 2 57 5" xfId="41183"/>
    <cellStyle name="Output 2 2 57 6" xfId="45581"/>
    <cellStyle name="Output 2 2 57 7" xfId="46999"/>
    <cellStyle name="Output 2 2 58" xfId="7307"/>
    <cellStyle name="Output 2 2 58 2" xfId="15024"/>
    <cellStyle name="Output 2 2 58 3" xfId="24017"/>
    <cellStyle name="Output 2 2 58 4" xfId="32204"/>
    <cellStyle name="Output 2 2 58 5" xfId="41460"/>
    <cellStyle name="Output 2 2 58 6" xfId="45869"/>
    <cellStyle name="Output 2 2 58 7" xfId="53771"/>
    <cellStyle name="Output 2 2 59" xfId="7145"/>
    <cellStyle name="Output 2 2 59 2" xfId="14862"/>
    <cellStyle name="Output 2 2 59 3" xfId="23855"/>
    <cellStyle name="Output 2 2 59 4" xfId="32042"/>
    <cellStyle name="Output 2 2 59 5" xfId="41304"/>
    <cellStyle name="Output 2 2 59 6" xfId="45707"/>
    <cellStyle name="Output 2 2 59 7" xfId="50723"/>
    <cellStyle name="Output 2 2 6" xfId="588"/>
    <cellStyle name="Output 2 2 6 10" xfId="2034"/>
    <cellStyle name="Output 2 2 6 10 2" xfId="9857"/>
    <cellStyle name="Output 2 2 6 10 3" xfId="17285"/>
    <cellStyle name="Output 2 2 6 10 4" xfId="19186"/>
    <cellStyle name="Output 2 2 6 10 5" xfId="26917"/>
    <cellStyle name="Output 2 2 6 10 6" xfId="39293"/>
    <cellStyle name="Output 2 2 6 10 7" xfId="49159"/>
    <cellStyle name="Output 2 2 6 11" xfId="2150"/>
    <cellStyle name="Output 2 2 6 11 2" xfId="9973"/>
    <cellStyle name="Output 2 2 6 11 3" xfId="17401"/>
    <cellStyle name="Output 2 2 6 11 4" xfId="19033"/>
    <cellStyle name="Output 2 2 6 11 5" xfId="28227"/>
    <cellStyle name="Output 2 2 6 11 6" xfId="36868"/>
    <cellStyle name="Output 2 2 6 11 7" xfId="49882"/>
    <cellStyle name="Output 2 2 6 12" xfId="2265"/>
    <cellStyle name="Output 2 2 6 12 2" xfId="10088"/>
    <cellStyle name="Output 2 2 6 12 3" xfId="17516"/>
    <cellStyle name="Output 2 2 6 12 4" xfId="26233"/>
    <cellStyle name="Output 2 2 6 12 5" xfId="34920"/>
    <cellStyle name="Output 2 2 6 12 6" xfId="38179"/>
    <cellStyle name="Output 2 2 6 12 7" xfId="53491"/>
    <cellStyle name="Output 2 2 6 13" xfId="1238"/>
    <cellStyle name="Output 2 2 6 13 2" xfId="9061"/>
    <cellStyle name="Output 2 2 6 13 3" xfId="16489"/>
    <cellStyle name="Output 2 2 6 13 4" xfId="20388"/>
    <cellStyle name="Output 2 2 6 13 5" xfId="28074"/>
    <cellStyle name="Output 2 2 6 13 6" xfId="36439"/>
    <cellStyle name="Output 2 2 6 13 7" xfId="47877"/>
    <cellStyle name="Output 2 2 6 14" xfId="1192"/>
    <cellStyle name="Output 2 2 6 14 2" xfId="9015"/>
    <cellStyle name="Output 2 2 6 14 3" xfId="16443"/>
    <cellStyle name="Output 2 2 6 14 4" xfId="25909"/>
    <cellStyle name="Output 2 2 6 14 5" xfId="34505"/>
    <cellStyle name="Output 2 2 6 14 6" xfId="42148"/>
    <cellStyle name="Output 2 2 6 14 7" xfId="52797"/>
    <cellStyle name="Output 2 2 6 15" xfId="2563"/>
    <cellStyle name="Output 2 2 6 15 2" xfId="10386"/>
    <cellStyle name="Output 2 2 6 15 3" xfId="17814"/>
    <cellStyle name="Output 2 2 6 15 4" xfId="26173"/>
    <cellStyle name="Output 2 2 6 15 5" xfId="34844"/>
    <cellStyle name="Output 2 2 6 15 6" xfId="38743"/>
    <cellStyle name="Output 2 2 6 15 7" xfId="53367"/>
    <cellStyle name="Output 2 2 6 16" xfId="2676"/>
    <cellStyle name="Output 2 2 6 16 2" xfId="10499"/>
    <cellStyle name="Output 2 2 6 16 3" xfId="17927"/>
    <cellStyle name="Output 2 2 6 16 4" xfId="26508"/>
    <cellStyle name="Output 2 2 6 16 5" xfId="35303"/>
    <cellStyle name="Output 2 2 6 16 6" xfId="41949"/>
    <cellStyle name="Output 2 2 6 16 7" xfId="54089"/>
    <cellStyle name="Output 2 2 6 17" xfId="1652"/>
    <cellStyle name="Output 2 2 6 17 2" xfId="9475"/>
    <cellStyle name="Output 2 2 6 17 3" xfId="16903"/>
    <cellStyle name="Output 2 2 6 17 4" xfId="20375"/>
    <cellStyle name="Output 2 2 6 17 5" xfId="28349"/>
    <cellStyle name="Output 2 2 6 17 6" xfId="40738"/>
    <cellStyle name="Output 2 2 6 17 7" xfId="47612"/>
    <cellStyle name="Output 2 2 6 18" xfId="1794"/>
    <cellStyle name="Output 2 2 6 18 2" xfId="9617"/>
    <cellStyle name="Output 2 2 6 18 3" xfId="17045"/>
    <cellStyle name="Output 2 2 6 18 4" xfId="25536"/>
    <cellStyle name="Output 2 2 6 18 5" xfId="34025"/>
    <cellStyle name="Output 2 2 6 18 6" xfId="41649"/>
    <cellStyle name="Output 2 2 6 18 7" xfId="51957"/>
    <cellStyle name="Output 2 2 6 19" xfId="2866"/>
    <cellStyle name="Output 2 2 6 19 2" xfId="10689"/>
    <cellStyle name="Output 2 2 6 19 3" xfId="18117"/>
    <cellStyle name="Output 2 2 6 19 4" xfId="25637"/>
    <cellStyle name="Output 2 2 6 19 5" xfId="34156"/>
    <cellStyle name="Output 2 2 6 19 6" xfId="37940"/>
    <cellStyle name="Output 2 2 6 19 7" xfId="52179"/>
    <cellStyle name="Output 2 2 6 2" xfId="733"/>
    <cellStyle name="Output 2 2 6 2 2" xfId="8557"/>
    <cellStyle name="Output 2 2 6 2 3" xfId="15985"/>
    <cellStyle name="Output 2 2 6 2 4" xfId="19846"/>
    <cellStyle name="Output 2 2 6 2 5" xfId="27379"/>
    <cellStyle name="Output 2 2 6 2 6" xfId="37377"/>
    <cellStyle name="Output 2 2 6 2 7" xfId="50219"/>
    <cellStyle name="Output 2 2 6 20" xfId="2972"/>
    <cellStyle name="Output 2 2 6 20 2" xfId="10795"/>
    <cellStyle name="Output 2 2 6 20 3" xfId="18223"/>
    <cellStyle name="Output 2 2 6 20 4" xfId="19934"/>
    <cellStyle name="Output 2 2 6 20 5" xfId="27984"/>
    <cellStyle name="Output 2 2 6 20 6" xfId="37454"/>
    <cellStyle name="Output 2 2 6 20 7" xfId="48772"/>
    <cellStyle name="Output 2 2 6 21" xfId="3352"/>
    <cellStyle name="Output 2 2 6 21 2" xfId="11145"/>
    <cellStyle name="Output 2 2 6 21 3" xfId="18471"/>
    <cellStyle name="Output 2 2 6 21 4" xfId="26328"/>
    <cellStyle name="Output 2 2 6 21 5" xfId="35052"/>
    <cellStyle name="Output 2 2 6 21 6" xfId="42023"/>
    <cellStyle name="Output 2 2 6 21 7" xfId="53694"/>
    <cellStyle name="Output 2 2 6 22" xfId="3471"/>
    <cellStyle name="Output 2 2 6 22 2" xfId="11262"/>
    <cellStyle name="Output 2 2 6 22 3" xfId="18581"/>
    <cellStyle name="Output 2 2 6 22 4" xfId="19632"/>
    <cellStyle name="Output 2 2 6 22 5" xfId="33153"/>
    <cellStyle name="Output 2 2 6 22 6" xfId="36931"/>
    <cellStyle name="Output 2 2 6 22 7" xfId="50431"/>
    <cellStyle name="Output 2 2 6 23" xfId="3629"/>
    <cellStyle name="Output 2 2 6 23 2" xfId="11414"/>
    <cellStyle name="Output 2 2 6 23 3" xfId="18688"/>
    <cellStyle name="Output 2 2 6 23 4" xfId="19200"/>
    <cellStyle name="Output 2 2 6 23 5" xfId="26932"/>
    <cellStyle name="Output 2 2 6 23 6" xfId="37073"/>
    <cellStyle name="Output 2 2 6 23 7" xfId="49120"/>
    <cellStyle name="Output 2 2 6 24" xfId="3744"/>
    <cellStyle name="Output 2 2 6 24 2" xfId="11529"/>
    <cellStyle name="Output 2 2 6 24 3" xfId="18799"/>
    <cellStyle name="Output 2 2 6 24 4" xfId="26369"/>
    <cellStyle name="Output 2 2 6 24 5" xfId="35105"/>
    <cellStyle name="Output 2 2 6 24 6" xfId="40415"/>
    <cellStyle name="Output 2 2 6 24 7" xfId="53783"/>
    <cellStyle name="Output 2 2 6 25" xfId="3872"/>
    <cellStyle name="Output 2 2 6 25 2" xfId="11654"/>
    <cellStyle name="Output 2 2 6 25 3" xfId="18909"/>
    <cellStyle name="Output 2 2 6 25 4" xfId="26623"/>
    <cellStyle name="Output 2 2 6 25 5" xfId="35455"/>
    <cellStyle name="Output 2 2 6 25 6" xfId="42143"/>
    <cellStyle name="Output 2 2 6 25 7" xfId="54332"/>
    <cellStyle name="Output 2 2 6 26" xfId="3991"/>
    <cellStyle name="Output 2 2 6 26 2" xfId="11770"/>
    <cellStyle name="Output 2 2 6 26 3" xfId="19017"/>
    <cellStyle name="Output 2 2 6 26 4" xfId="20326"/>
    <cellStyle name="Output 2 2 6 26 5" xfId="28224"/>
    <cellStyle name="Output 2 2 6 26 6" xfId="37590"/>
    <cellStyle name="Output 2 2 6 26 7" xfId="47547"/>
    <cellStyle name="Output 2 2 6 27" xfId="3506"/>
    <cellStyle name="Output 2 2 6 27 2" xfId="11297"/>
    <cellStyle name="Output 2 2 6 27 3" xfId="20488"/>
    <cellStyle name="Output 2 2 6 27 4" xfId="28609"/>
    <cellStyle name="Output 2 2 6 27 5" xfId="37984"/>
    <cellStyle name="Output 2 2 6 27 6" xfId="42493"/>
    <cellStyle name="Output 2 2 6 27 7" xfId="54126"/>
    <cellStyle name="Output 2 2 6 28" xfId="4187"/>
    <cellStyle name="Output 2 2 6 28 2" xfId="11946"/>
    <cellStyle name="Output 2 2 6 28 3" xfId="20897"/>
    <cellStyle name="Output 2 2 6 28 4" xfId="29084"/>
    <cellStyle name="Output 2 2 6 28 5" xfId="38460"/>
    <cellStyle name="Output 2 2 6 28 6" xfId="42749"/>
    <cellStyle name="Output 2 2 6 28 7" xfId="53059"/>
    <cellStyle name="Output 2 2 6 29" xfId="4238"/>
    <cellStyle name="Output 2 2 6 29 2" xfId="20948"/>
    <cellStyle name="Output 2 2 6 29 3" xfId="29135"/>
    <cellStyle name="Output 2 2 6 29 4" xfId="38509"/>
    <cellStyle name="Output 2 2 6 29 5" xfId="42800"/>
    <cellStyle name="Output 2 2 6 29 6" xfId="49315"/>
    <cellStyle name="Output 2 2 6 3" xfId="843"/>
    <cellStyle name="Output 2 2 6 3 2" xfId="8667"/>
    <cellStyle name="Output 2 2 6 3 3" xfId="16095"/>
    <cellStyle name="Output 2 2 6 3 4" xfId="25337"/>
    <cellStyle name="Output 2 2 6 3 5" xfId="33768"/>
    <cellStyle name="Output 2 2 6 3 6" xfId="36614"/>
    <cellStyle name="Output 2 2 6 3 7" xfId="51505"/>
    <cellStyle name="Output 2 2 6 30" xfId="4386"/>
    <cellStyle name="Output 2 2 6 30 2" xfId="12103"/>
    <cellStyle name="Output 2 2 6 30 3" xfId="21096"/>
    <cellStyle name="Output 2 2 6 30 4" xfId="29283"/>
    <cellStyle name="Output 2 2 6 30 5" xfId="38653"/>
    <cellStyle name="Output 2 2 6 30 6" xfId="42948"/>
    <cellStyle name="Output 2 2 6 30 7" xfId="50402"/>
    <cellStyle name="Output 2 2 6 31" xfId="4506"/>
    <cellStyle name="Output 2 2 6 31 2" xfId="12223"/>
    <cellStyle name="Output 2 2 6 31 3" xfId="21216"/>
    <cellStyle name="Output 2 2 6 31 4" xfId="29403"/>
    <cellStyle name="Output 2 2 6 31 5" xfId="38767"/>
    <cellStyle name="Output 2 2 6 31 6" xfId="43068"/>
    <cellStyle name="Output 2 2 6 31 7" xfId="50854"/>
    <cellStyle name="Output 2 2 6 32" xfId="4620"/>
    <cellStyle name="Output 2 2 6 32 2" xfId="12337"/>
    <cellStyle name="Output 2 2 6 32 3" xfId="21330"/>
    <cellStyle name="Output 2 2 6 32 4" xfId="29517"/>
    <cellStyle name="Output 2 2 6 32 5" xfId="38876"/>
    <cellStyle name="Output 2 2 6 32 6" xfId="43182"/>
    <cellStyle name="Output 2 2 6 32 7" xfId="51931"/>
    <cellStyle name="Output 2 2 6 33" xfId="4733"/>
    <cellStyle name="Output 2 2 6 33 2" xfId="12450"/>
    <cellStyle name="Output 2 2 6 33 3" xfId="21443"/>
    <cellStyle name="Output 2 2 6 33 4" xfId="29630"/>
    <cellStyle name="Output 2 2 6 33 5" xfId="38985"/>
    <cellStyle name="Output 2 2 6 33 6" xfId="43295"/>
    <cellStyle name="Output 2 2 6 33 7" xfId="51009"/>
    <cellStyle name="Output 2 2 6 34" xfId="4843"/>
    <cellStyle name="Output 2 2 6 34 2" xfId="12560"/>
    <cellStyle name="Output 2 2 6 34 3" xfId="21553"/>
    <cellStyle name="Output 2 2 6 34 4" xfId="29740"/>
    <cellStyle name="Output 2 2 6 34 5" xfId="39091"/>
    <cellStyle name="Output 2 2 6 34 6" xfId="43405"/>
    <cellStyle name="Output 2 2 6 34 7" xfId="48406"/>
    <cellStyle name="Output 2 2 6 35" xfId="4953"/>
    <cellStyle name="Output 2 2 6 35 2" xfId="12670"/>
    <cellStyle name="Output 2 2 6 35 3" xfId="21663"/>
    <cellStyle name="Output 2 2 6 35 4" xfId="29850"/>
    <cellStyle name="Output 2 2 6 35 5" xfId="39197"/>
    <cellStyle name="Output 2 2 6 35 6" xfId="43515"/>
    <cellStyle name="Output 2 2 6 35 7" xfId="52603"/>
    <cellStyle name="Output 2 2 6 36" xfId="5062"/>
    <cellStyle name="Output 2 2 6 36 2" xfId="12779"/>
    <cellStyle name="Output 2 2 6 36 3" xfId="21772"/>
    <cellStyle name="Output 2 2 6 36 4" xfId="29959"/>
    <cellStyle name="Output 2 2 6 36 5" xfId="39302"/>
    <cellStyle name="Output 2 2 6 36 6" xfId="43624"/>
    <cellStyle name="Output 2 2 6 36 7" xfId="48518"/>
    <cellStyle name="Output 2 2 6 37" xfId="5444"/>
    <cellStyle name="Output 2 2 6 37 2" xfId="13161"/>
    <cellStyle name="Output 2 2 6 37 3" xfId="22154"/>
    <cellStyle name="Output 2 2 6 37 4" xfId="30341"/>
    <cellStyle name="Output 2 2 6 37 5" xfId="39670"/>
    <cellStyle name="Output 2 2 6 37 6" xfId="44006"/>
    <cellStyle name="Output 2 2 6 37 7" xfId="54280"/>
    <cellStyle name="Output 2 2 6 38" xfId="5563"/>
    <cellStyle name="Output 2 2 6 38 2" xfId="13280"/>
    <cellStyle name="Output 2 2 6 38 3" xfId="22273"/>
    <cellStyle name="Output 2 2 6 38 4" xfId="30460"/>
    <cellStyle name="Output 2 2 6 38 5" xfId="39783"/>
    <cellStyle name="Output 2 2 6 38 6" xfId="44125"/>
    <cellStyle name="Output 2 2 6 38 7" xfId="47169"/>
    <cellStyle name="Output 2 2 6 39" xfId="5689"/>
    <cellStyle name="Output 2 2 6 39 2" xfId="13406"/>
    <cellStyle name="Output 2 2 6 39 3" xfId="22399"/>
    <cellStyle name="Output 2 2 6 39 4" xfId="30586"/>
    <cellStyle name="Output 2 2 6 39 5" xfId="39904"/>
    <cellStyle name="Output 2 2 6 39 6" xfId="44251"/>
    <cellStyle name="Output 2 2 6 39 7" xfId="47089"/>
    <cellStyle name="Output 2 2 6 4" xfId="952"/>
    <cellStyle name="Output 2 2 6 4 2" xfId="8776"/>
    <cellStyle name="Output 2 2 6 4 3" xfId="16204"/>
    <cellStyle name="Output 2 2 6 4 4" xfId="26335"/>
    <cellStyle name="Output 2 2 6 4 5" xfId="35059"/>
    <cellStyle name="Output 2 2 6 4 6" xfId="37209"/>
    <cellStyle name="Output 2 2 6 4 7" xfId="53708"/>
    <cellStyle name="Output 2 2 6 40" xfId="5803"/>
    <cellStyle name="Output 2 2 6 40 2" xfId="13520"/>
    <cellStyle name="Output 2 2 6 40 3" xfId="22513"/>
    <cellStyle name="Output 2 2 6 40 4" xfId="30700"/>
    <cellStyle name="Output 2 2 6 40 5" xfId="40015"/>
    <cellStyle name="Output 2 2 6 40 6" xfId="44365"/>
    <cellStyle name="Output 2 2 6 40 7" xfId="53071"/>
    <cellStyle name="Output 2 2 6 41" xfId="5922"/>
    <cellStyle name="Output 2 2 6 41 2" xfId="13639"/>
    <cellStyle name="Output 2 2 6 41 3" xfId="22632"/>
    <cellStyle name="Output 2 2 6 41 4" xfId="30819"/>
    <cellStyle name="Output 2 2 6 41 5" xfId="40131"/>
    <cellStyle name="Output 2 2 6 41 6" xfId="44484"/>
    <cellStyle name="Output 2 2 6 41 7" xfId="54095"/>
    <cellStyle name="Output 2 2 6 42" xfId="6048"/>
    <cellStyle name="Output 2 2 6 42 2" xfId="13765"/>
    <cellStyle name="Output 2 2 6 42 3" xfId="22758"/>
    <cellStyle name="Output 2 2 6 42 4" xfId="30945"/>
    <cellStyle name="Output 2 2 6 42 5" xfId="40252"/>
    <cellStyle name="Output 2 2 6 42 6" xfId="44610"/>
    <cellStyle name="Output 2 2 6 42 7" xfId="47971"/>
    <cellStyle name="Output 2 2 6 43" xfId="6175"/>
    <cellStyle name="Output 2 2 6 43 2" xfId="13892"/>
    <cellStyle name="Output 2 2 6 43 3" xfId="22885"/>
    <cellStyle name="Output 2 2 6 43 4" xfId="31072"/>
    <cellStyle name="Output 2 2 6 43 5" xfId="40373"/>
    <cellStyle name="Output 2 2 6 43 6" xfId="44737"/>
    <cellStyle name="Output 2 2 6 43 7" xfId="50771"/>
    <cellStyle name="Output 2 2 6 44" xfId="6304"/>
    <cellStyle name="Output 2 2 6 44 2" xfId="14021"/>
    <cellStyle name="Output 2 2 6 44 3" xfId="23014"/>
    <cellStyle name="Output 2 2 6 44 4" xfId="31201"/>
    <cellStyle name="Output 2 2 6 44 5" xfId="40501"/>
    <cellStyle name="Output 2 2 6 44 6" xfId="44866"/>
    <cellStyle name="Output 2 2 6 44 7" xfId="53528"/>
    <cellStyle name="Output 2 2 6 45" xfId="6419"/>
    <cellStyle name="Output 2 2 6 45 2" xfId="14136"/>
    <cellStyle name="Output 2 2 6 45 3" xfId="23129"/>
    <cellStyle name="Output 2 2 6 45 4" xfId="31316"/>
    <cellStyle name="Output 2 2 6 45 5" xfId="40611"/>
    <cellStyle name="Output 2 2 6 45 6" xfId="44981"/>
    <cellStyle name="Output 2 2 6 45 7" xfId="48156"/>
    <cellStyle name="Output 2 2 6 46" xfId="6531"/>
    <cellStyle name="Output 2 2 6 46 2" xfId="14248"/>
    <cellStyle name="Output 2 2 6 46 3" xfId="23241"/>
    <cellStyle name="Output 2 2 6 46 4" xfId="31428"/>
    <cellStyle name="Output 2 2 6 46 5" xfId="40719"/>
    <cellStyle name="Output 2 2 6 46 6" xfId="45093"/>
    <cellStyle name="Output 2 2 6 46 7" xfId="46962"/>
    <cellStyle name="Output 2 2 6 47" xfId="6198"/>
    <cellStyle name="Output 2 2 6 47 2" xfId="13915"/>
    <cellStyle name="Output 2 2 6 47 3" xfId="22908"/>
    <cellStyle name="Output 2 2 6 47 4" xfId="31095"/>
    <cellStyle name="Output 2 2 6 47 5" xfId="40396"/>
    <cellStyle name="Output 2 2 6 47 6" xfId="44760"/>
    <cellStyle name="Output 2 2 6 47 7" xfId="49644"/>
    <cellStyle name="Output 2 2 6 48" xfId="6678"/>
    <cellStyle name="Output 2 2 6 48 2" xfId="14395"/>
    <cellStyle name="Output 2 2 6 48 3" xfId="23388"/>
    <cellStyle name="Output 2 2 6 48 4" xfId="31575"/>
    <cellStyle name="Output 2 2 6 48 5" xfId="40859"/>
    <cellStyle name="Output 2 2 6 48 6" xfId="45240"/>
    <cellStyle name="Output 2 2 6 48 7" xfId="50206"/>
    <cellStyle name="Output 2 2 6 49" xfId="6790"/>
    <cellStyle name="Output 2 2 6 49 2" xfId="14507"/>
    <cellStyle name="Output 2 2 6 49 3" xfId="23500"/>
    <cellStyle name="Output 2 2 6 49 4" xfId="31687"/>
    <cellStyle name="Output 2 2 6 49 5" xfId="40966"/>
    <cellStyle name="Output 2 2 6 49 6" xfId="45352"/>
    <cellStyle name="Output 2 2 6 49 7" xfId="53139"/>
    <cellStyle name="Output 2 2 6 5" xfId="1422"/>
    <cellStyle name="Output 2 2 6 5 2" xfId="9245"/>
    <cellStyle name="Output 2 2 6 5 3" xfId="16673"/>
    <cellStyle name="Output 2 2 6 5 4" xfId="26455"/>
    <cellStyle name="Output 2 2 6 5 5" xfId="35231"/>
    <cellStyle name="Output 2 2 6 5 6" xfId="41969"/>
    <cellStyle name="Output 2 2 6 5 7" xfId="53969"/>
    <cellStyle name="Output 2 2 6 50" xfId="6904"/>
    <cellStyle name="Output 2 2 6 50 2" xfId="14621"/>
    <cellStyle name="Output 2 2 6 50 3" xfId="23614"/>
    <cellStyle name="Output 2 2 6 50 4" xfId="31801"/>
    <cellStyle name="Output 2 2 6 50 5" xfId="41073"/>
    <cellStyle name="Output 2 2 6 50 6" xfId="45466"/>
    <cellStyle name="Output 2 2 6 50 7" xfId="46790"/>
    <cellStyle name="Output 2 2 6 51" xfId="7017"/>
    <cellStyle name="Output 2 2 6 51 2" xfId="14734"/>
    <cellStyle name="Output 2 2 6 51 3" xfId="23727"/>
    <cellStyle name="Output 2 2 6 51 4" xfId="31914"/>
    <cellStyle name="Output 2 2 6 51 5" xfId="41181"/>
    <cellStyle name="Output 2 2 6 51 6" xfId="45579"/>
    <cellStyle name="Output 2 2 6 51 7" xfId="47205"/>
    <cellStyle name="Output 2 2 6 52" xfId="7126"/>
    <cellStyle name="Output 2 2 6 52 2" xfId="14843"/>
    <cellStyle name="Output 2 2 6 52 3" xfId="23836"/>
    <cellStyle name="Output 2 2 6 52 4" xfId="32023"/>
    <cellStyle name="Output 2 2 6 52 5" xfId="41285"/>
    <cellStyle name="Output 2 2 6 52 6" xfId="45688"/>
    <cellStyle name="Output 2 2 6 52 7" xfId="52828"/>
    <cellStyle name="Output 2 2 6 53" xfId="7376"/>
    <cellStyle name="Output 2 2 6 53 2" xfId="15093"/>
    <cellStyle name="Output 2 2 6 53 3" xfId="24086"/>
    <cellStyle name="Output 2 2 6 53 4" xfId="32273"/>
    <cellStyle name="Output 2 2 6 53 5" xfId="41529"/>
    <cellStyle name="Output 2 2 6 53 6" xfId="45938"/>
    <cellStyle name="Output 2 2 6 53 7" xfId="47329"/>
    <cellStyle name="Output 2 2 6 54" xfId="7208"/>
    <cellStyle name="Output 2 2 6 54 2" xfId="14925"/>
    <cellStyle name="Output 2 2 6 54 3" xfId="23918"/>
    <cellStyle name="Output 2 2 6 54 4" xfId="32105"/>
    <cellStyle name="Output 2 2 6 54 5" xfId="41365"/>
    <cellStyle name="Output 2 2 6 54 6" xfId="45770"/>
    <cellStyle name="Output 2 2 6 54 7" xfId="50492"/>
    <cellStyle name="Output 2 2 6 55" xfId="7523"/>
    <cellStyle name="Output 2 2 6 55 2" xfId="15240"/>
    <cellStyle name="Output 2 2 6 55 3" xfId="24233"/>
    <cellStyle name="Output 2 2 6 55 4" xfId="32420"/>
    <cellStyle name="Output 2 2 6 55 5" xfId="41666"/>
    <cellStyle name="Output 2 2 6 55 6" xfId="46085"/>
    <cellStyle name="Output 2 2 6 55 7" xfId="49013"/>
    <cellStyle name="Output 2 2 6 56" xfId="7644"/>
    <cellStyle name="Output 2 2 6 56 2" xfId="15361"/>
    <cellStyle name="Output 2 2 6 56 3" xfId="24354"/>
    <cellStyle name="Output 2 2 6 56 4" xfId="32541"/>
    <cellStyle name="Output 2 2 6 56 5" xfId="41783"/>
    <cellStyle name="Output 2 2 6 56 6" xfId="46206"/>
    <cellStyle name="Output 2 2 6 56 7" xfId="51409"/>
    <cellStyle name="Output 2 2 6 57" xfId="7922"/>
    <cellStyle name="Output 2 2 6 57 2" xfId="15639"/>
    <cellStyle name="Output 2 2 6 57 3" xfId="24626"/>
    <cellStyle name="Output 2 2 6 57 4" xfId="32819"/>
    <cellStyle name="Output 2 2 6 57 5" xfId="42050"/>
    <cellStyle name="Output 2 2 6 57 6" xfId="46484"/>
    <cellStyle name="Output 2 2 6 57 7" xfId="50758"/>
    <cellStyle name="Output 2 2 6 58" xfId="8050"/>
    <cellStyle name="Output 2 2 6 58 2" xfId="15767"/>
    <cellStyle name="Output 2 2 6 58 3" xfId="24752"/>
    <cellStyle name="Output 2 2 6 58 4" xfId="32947"/>
    <cellStyle name="Output 2 2 6 58 5" xfId="42172"/>
    <cellStyle name="Output 2 2 6 58 6" xfId="46612"/>
    <cellStyle name="Output 2 2 6 58 7" xfId="47578"/>
    <cellStyle name="Output 2 2 6 59" xfId="7816"/>
    <cellStyle name="Output 2 2 6 59 2" xfId="15533"/>
    <cellStyle name="Output 2 2 6 59 3" xfId="24520"/>
    <cellStyle name="Output 2 2 6 59 4" xfId="32713"/>
    <cellStyle name="Output 2 2 6 59 5" xfId="41948"/>
    <cellStyle name="Output 2 2 6 59 6" xfId="46378"/>
    <cellStyle name="Output 2 2 6 59 7" xfId="47994"/>
    <cellStyle name="Output 2 2 6 6" xfId="1545"/>
    <cellStyle name="Output 2 2 6 6 2" xfId="9368"/>
    <cellStyle name="Output 2 2 6 6 3" xfId="16796"/>
    <cellStyle name="Output 2 2 6 6 4" xfId="19901"/>
    <cellStyle name="Output 2 2 6 6 5" xfId="26900"/>
    <cellStyle name="Output 2 2 6 6 6" xfId="36881"/>
    <cellStyle name="Output 2 2 6 6 7" xfId="49694"/>
    <cellStyle name="Output 2 2 6 60" xfId="8196"/>
    <cellStyle name="Output 2 2 6 60 2" xfId="15913"/>
    <cellStyle name="Output 2 2 6 60 3" xfId="33093"/>
    <cellStyle name="Output 2 2 6 60 4" xfId="42312"/>
    <cellStyle name="Output 2 2 6 60 5" xfId="46758"/>
    <cellStyle name="Output 2 2 6 60 6" xfId="46858"/>
    <cellStyle name="Output 2 2 6 61" xfId="19874"/>
    <cellStyle name="Output 2 2 6 62" xfId="27957"/>
    <cellStyle name="Output 2 2 6 63" xfId="38278"/>
    <cellStyle name="Output 2 2 6 64" xfId="50270"/>
    <cellStyle name="Output 2 2 6 7" xfId="1141"/>
    <cellStyle name="Output 2 2 6 7 2" xfId="8964"/>
    <cellStyle name="Output 2 2 6 7 3" xfId="16392"/>
    <cellStyle name="Output 2 2 6 7 4" xfId="24939"/>
    <cellStyle name="Output 2 2 6 7 5" xfId="33274"/>
    <cellStyle name="Output 2 2 6 7 6" xfId="40824"/>
    <cellStyle name="Output 2 2 6 7 7" xfId="50656"/>
    <cellStyle name="Output 2 2 6 8" xfId="1783"/>
    <cellStyle name="Output 2 2 6 8 2" xfId="9606"/>
    <cellStyle name="Output 2 2 6 8 3" xfId="17034"/>
    <cellStyle name="Output 2 2 6 8 4" xfId="26006"/>
    <cellStyle name="Output 2 2 6 8 5" xfId="34631"/>
    <cellStyle name="Output 2 2 6 8 6" xfId="36344"/>
    <cellStyle name="Output 2 2 6 8 7" xfId="53009"/>
    <cellStyle name="Output 2 2 6 9" xfId="1915"/>
    <cellStyle name="Output 2 2 6 9 2" xfId="9738"/>
    <cellStyle name="Output 2 2 6 9 3" xfId="17166"/>
    <cellStyle name="Output 2 2 6 9 4" xfId="19832"/>
    <cellStyle name="Output 2 2 6 9 5" xfId="27183"/>
    <cellStyle name="Output 2 2 6 9 6" xfId="39461"/>
    <cellStyle name="Output 2 2 6 9 7" xfId="47997"/>
    <cellStyle name="Output 2 2 60" xfId="7341"/>
    <cellStyle name="Output 2 2 60 2" xfId="15058"/>
    <cellStyle name="Output 2 2 60 3" xfId="24051"/>
    <cellStyle name="Output 2 2 60 4" xfId="32238"/>
    <cellStyle name="Output 2 2 60 5" xfId="41494"/>
    <cellStyle name="Output 2 2 60 6" xfId="45903"/>
    <cellStyle name="Output 2 2 60 7" xfId="52373"/>
    <cellStyle name="Output 2 2 61" xfId="7535"/>
    <cellStyle name="Output 2 2 61 2" xfId="15252"/>
    <cellStyle name="Output 2 2 61 3" xfId="24245"/>
    <cellStyle name="Output 2 2 61 4" xfId="32432"/>
    <cellStyle name="Output 2 2 61 5" xfId="41678"/>
    <cellStyle name="Output 2 2 61 6" xfId="46097"/>
    <cellStyle name="Output 2 2 61 7" xfId="53935"/>
    <cellStyle name="Output 2 2 62" xfId="7736"/>
    <cellStyle name="Output 2 2 62 2" xfId="15453"/>
    <cellStyle name="Output 2 2 62 3" xfId="24444"/>
    <cellStyle name="Output 2 2 62 4" xfId="32633"/>
    <cellStyle name="Output 2 2 62 5" xfId="41869"/>
    <cellStyle name="Output 2 2 62 6" xfId="46298"/>
    <cellStyle name="Output 2 2 62 7" xfId="48374"/>
    <cellStyle name="Output 2 2 63" xfId="7769"/>
    <cellStyle name="Output 2 2 63 2" xfId="15486"/>
    <cellStyle name="Output 2 2 63 3" xfId="24475"/>
    <cellStyle name="Output 2 2 63 4" xfId="32666"/>
    <cellStyle name="Output 2 2 63 5" xfId="41902"/>
    <cellStyle name="Output 2 2 63 6" xfId="46331"/>
    <cellStyle name="Output 2 2 63 7" xfId="51063"/>
    <cellStyle name="Output 2 2 64" xfId="7745"/>
    <cellStyle name="Output 2 2 64 2" xfId="15462"/>
    <cellStyle name="Output 2 2 64 3" xfId="24453"/>
    <cellStyle name="Output 2 2 64 4" xfId="32642"/>
    <cellStyle name="Output 2 2 64 5" xfId="41878"/>
    <cellStyle name="Output 2 2 64 6" xfId="46307"/>
    <cellStyle name="Output 2 2 64 7" xfId="53772"/>
    <cellStyle name="Output 2 2 65" xfId="7797"/>
    <cellStyle name="Output 2 2 65 2" xfId="15514"/>
    <cellStyle name="Output 2 2 65 3" xfId="32694"/>
    <cellStyle name="Output 2 2 65 4" xfId="41929"/>
    <cellStyle name="Output 2 2 65 5" xfId="46359"/>
    <cellStyle name="Output 2 2 65 6" xfId="53058"/>
    <cellStyle name="Output 2 2 66" xfId="26499"/>
    <cellStyle name="Output 2 2 67" xfId="35292"/>
    <cellStyle name="Output 2 2 68" xfId="37682"/>
    <cellStyle name="Output 2 2 69" xfId="54076"/>
    <cellStyle name="Output 2 2 7" xfId="603"/>
    <cellStyle name="Output 2 2 7 2" xfId="8427"/>
    <cellStyle name="Output 2 2 7 3" xfId="11977"/>
    <cellStyle name="Output 2 2 7 4" xfId="19577"/>
    <cellStyle name="Output 2 2 7 5" xfId="28774"/>
    <cellStyle name="Output 2 2 7 6" xfId="37252"/>
    <cellStyle name="Output 2 2 7 7" xfId="48646"/>
    <cellStyle name="Output 2 2 8" xfId="595"/>
    <cellStyle name="Output 2 2 8 2" xfId="8419"/>
    <cellStyle name="Output 2 2 8 3" xfId="11824"/>
    <cellStyle name="Output 2 2 8 4" xfId="19939"/>
    <cellStyle name="Output 2 2 8 5" xfId="27990"/>
    <cellStyle name="Output 2 2 8 6" xfId="36450"/>
    <cellStyle name="Output 2 2 8 7" xfId="49366"/>
    <cellStyle name="Output 2 2 9" xfId="840"/>
    <cellStyle name="Output 2 2 9 2" xfId="8664"/>
    <cellStyle name="Output 2 2 9 3" xfId="16092"/>
    <cellStyle name="Output 2 2 9 4" xfId="25598"/>
    <cellStyle name="Output 2 2 9 5" xfId="34108"/>
    <cellStyle name="Output 2 2 9 6" xfId="36288"/>
    <cellStyle name="Output 2 2 9 7" xfId="52087"/>
    <cellStyle name="Output 2 20" xfId="4030"/>
    <cellStyle name="Output 2 20 2" xfId="11802"/>
    <cellStyle name="Output 2 20 3" xfId="20740"/>
    <cellStyle name="Output 2 20 4" xfId="28927"/>
    <cellStyle name="Output 2 20 5" xfId="38307"/>
    <cellStyle name="Output 2 20 6" xfId="42592"/>
    <cellStyle name="Output 2 20 7" xfId="54131"/>
    <cellStyle name="Output 2 21" xfId="4262"/>
    <cellStyle name="Output 2 21 2" xfId="11983"/>
    <cellStyle name="Output 2 21 3" xfId="20972"/>
    <cellStyle name="Output 2 21 4" xfId="29159"/>
    <cellStyle name="Output 2 21 5" xfId="38532"/>
    <cellStyle name="Output 2 21 6" xfId="42824"/>
    <cellStyle name="Output 2 21 7" xfId="51677"/>
    <cellStyle name="Output 2 22" xfId="4270"/>
    <cellStyle name="Output 2 22 2" xfId="11987"/>
    <cellStyle name="Output 2 22 3" xfId="20980"/>
    <cellStyle name="Output 2 22 4" xfId="29167"/>
    <cellStyle name="Output 2 22 5" xfId="38540"/>
    <cellStyle name="Output 2 22 6" xfId="42832"/>
    <cellStyle name="Output 2 22 7" xfId="52221"/>
    <cellStyle name="Output 2 23" xfId="5264"/>
    <cellStyle name="Output 2 23 2" xfId="12981"/>
    <cellStyle name="Output 2 23 3" xfId="21974"/>
    <cellStyle name="Output 2 23 4" xfId="30161"/>
    <cellStyle name="Output 2 23 5" xfId="39496"/>
    <cellStyle name="Output 2 23 6" xfId="43826"/>
    <cellStyle name="Output 2 23 7" xfId="50345"/>
    <cellStyle name="Output 2 24" xfId="5223"/>
    <cellStyle name="Output 2 24 2" xfId="12940"/>
    <cellStyle name="Output 2 24 3" xfId="21933"/>
    <cellStyle name="Output 2 24 4" xfId="30120"/>
    <cellStyle name="Output 2 24 5" xfId="39455"/>
    <cellStyle name="Output 2 24 6" xfId="43785"/>
    <cellStyle name="Output 2 24 7" xfId="54418"/>
    <cellStyle name="Output 2 25" xfId="5251"/>
    <cellStyle name="Output 2 25 2" xfId="12968"/>
    <cellStyle name="Output 2 25 3" xfId="21961"/>
    <cellStyle name="Output 2 25 4" xfId="30148"/>
    <cellStyle name="Output 2 25 5" xfId="39483"/>
    <cellStyle name="Output 2 25 6" xfId="43813"/>
    <cellStyle name="Output 2 25 7" xfId="51645"/>
    <cellStyle name="Output 2 26" xfId="6544"/>
    <cellStyle name="Output 2 26 2" xfId="14261"/>
    <cellStyle name="Output 2 26 3" xfId="23254"/>
    <cellStyle name="Output 2 26 4" xfId="31441"/>
    <cellStyle name="Output 2 26 5" xfId="40731"/>
    <cellStyle name="Output 2 26 6" xfId="45106"/>
    <cellStyle name="Output 2 26 7" xfId="47734"/>
    <cellStyle name="Output 2 27" xfId="6415"/>
    <cellStyle name="Output 2 27 2" xfId="14132"/>
    <cellStyle name="Output 2 27 3" xfId="23125"/>
    <cellStyle name="Output 2 27 4" xfId="31312"/>
    <cellStyle name="Output 2 27 5" xfId="40607"/>
    <cellStyle name="Output 2 27 6" xfId="44977"/>
    <cellStyle name="Output 2 27 7" xfId="48509"/>
    <cellStyle name="Output 2 28" xfId="5278"/>
    <cellStyle name="Output 2 28 2" xfId="12995"/>
    <cellStyle name="Output 2 28 3" xfId="21988"/>
    <cellStyle name="Output 2 28 4" xfId="30175"/>
    <cellStyle name="Output 2 28 5" xfId="39509"/>
    <cellStyle name="Output 2 28 6" xfId="43840"/>
    <cellStyle name="Output 2 28 7" xfId="48849"/>
    <cellStyle name="Output 2 29" xfId="7293"/>
    <cellStyle name="Output 2 29 2" xfId="15010"/>
    <cellStyle name="Output 2 29 3" xfId="24003"/>
    <cellStyle name="Output 2 29 4" xfId="32190"/>
    <cellStyle name="Output 2 29 5" xfId="41446"/>
    <cellStyle name="Output 2 29 6" xfId="45855"/>
    <cellStyle name="Output 2 29 7" xfId="49954"/>
    <cellStyle name="Output 2 3" xfId="515"/>
    <cellStyle name="Output 2 3 10" xfId="1962"/>
    <cellStyle name="Output 2 3 10 2" xfId="9785"/>
    <cellStyle name="Output 2 3 10 3" xfId="17213"/>
    <cellStyle name="Output 2 3 10 4" xfId="24869"/>
    <cellStyle name="Output 2 3 10 5" xfId="33182"/>
    <cellStyle name="Output 2 3 10 6" xfId="39112"/>
    <cellStyle name="Output 2 3 10 7" xfId="50494"/>
    <cellStyle name="Output 2 3 11" xfId="2080"/>
    <cellStyle name="Output 2 3 11 2" xfId="9903"/>
    <cellStyle name="Output 2 3 11 3" xfId="17331"/>
    <cellStyle name="Output 2 3 11 4" xfId="24969"/>
    <cellStyle name="Output 2 3 11 5" xfId="33309"/>
    <cellStyle name="Output 2 3 11 6" xfId="42165"/>
    <cellStyle name="Output 2 3 11 7" xfId="50716"/>
    <cellStyle name="Output 2 3 12" xfId="2193"/>
    <cellStyle name="Output 2 3 12 2" xfId="10016"/>
    <cellStyle name="Output 2 3 12 3" xfId="17444"/>
    <cellStyle name="Output 2 3 12 4" xfId="26271"/>
    <cellStyle name="Output 2 3 12 5" xfId="34970"/>
    <cellStyle name="Output 2 3 12 6" xfId="38089"/>
    <cellStyle name="Output 2 3 12 7" xfId="53579"/>
    <cellStyle name="Output 2 3 13" xfId="2274"/>
    <cellStyle name="Output 2 3 13 2" xfId="10097"/>
    <cellStyle name="Output 2 3 13 3" xfId="17525"/>
    <cellStyle name="Output 2 3 13 4" xfId="25873"/>
    <cellStyle name="Output 2 3 13 5" xfId="34462"/>
    <cellStyle name="Output 2 3 13 6" xfId="37233"/>
    <cellStyle name="Output 2 3 13 7" xfId="52722"/>
    <cellStyle name="Output 2 3 14" xfId="2368"/>
    <cellStyle name="Output 2 3 14 2" xfId="10191"/>
    <cellStyle name="Output 2 3 14 3" xfId="17619"/>
    <cellStyle name="Output 2 3 14 4" xfId="19456"/>
    <cellStyle name="Output 2 3 14 5" xfId="27418"/>
    <cellStyle name="Output 2 3 14 6" xfId="37195"/>
    <cellStyle name="Output 2 3 14 7" xfId="49641"/>
    <cellStyle name="Output 2 3 15" xfId="2491"/>
    <cellStyle name="Output 2 3 15 2" xfId="10314"/>
    <cellStyle name="Output 2 3 15 3" xfId="17742"/>
    <cellStyle name="Output 2 3 15 4" xfId="25553"/>
    <cellStyle name="Output 2 3 15 5" xfId="34048"/>
    <cellStyle name="Output 2 3 15 6" xfId="37602"/>
    <cellStyle name="Output 2 3 15 7" xfId="51987"/>
    <cellStyle name="Output 2 3 16" xfId="2604"/>
    <cellStyle name="Output 2 3 16 2" xfId="10427"/>
    <cellStyle name="Output 2 3 16 3" xfId="17855"/>
    <cellStyle name="Output 2 3 16 4" xfId="19152"/>
    <cellStyle name="Output 2 3 16 5" xfId="27553"/>
    <cellStyle name="Output 2 3 16 6" xfId="42175"/>
    <cellStyle name="Output 2 3 16 7" xfId="49265"/>
    <cellStyle name="Output 2 3 17" xfId="2689"/>
    <cellStyle name="Output 2 3 17 2" xfId="10512"/>
    <cellStyle name="Output 2 3 17 3" xfId="17940"/>
    <cellStyle name="Output 2 3 17 4" xfId="26560"/>
    <cellStyle name="Output 2 3 17 5" xfId="35369"/>
    <cellStyle name="Output 2 3 17 6" xfId="40761"/>
    <cellStyle name="Output 2 3 17 7" xfId="54192"/>
    <cellStyle name="Output 2 3 18" xfId="2740"/>
    <cellStyle name="Output 2 3 18 2" xfId="10563"/>
    <cellStyle name="Output 2 3 18 3" xfId="17991"/>
    <cellStyle name="Output 2 3 18 4" xfId="19438"/>
    <cellStyle name="Output 2 3 18 5" xfId="27135"/>
    <cellStyle name="Output 2 3 18 6" xfId="37998"/>
    <cellStyle name="Output 2 3 18 7" xfId="48847"/>
    <cellStyle name="Output 2 3 19" xfId="2798"/>
    <cellStyle name="Output 2 3 19 2" xfId="10621"/>
    <cellStyle name="Output 2 3 19 3" xfId="18049"/>
    <cellStyle name="Output 2 3 19 4" xfId="25323"/>
    <cellStyle name="Output 2 3 19 5" xfId="33751"/>
    <cellStyle name="Output 2 3 19 6" xfId="37322"/>
    <cellStyle name="Output 2 3 19 7" xfId="51481"/>
    <cellStyle name="Output 2 3 2" xfId="666"/>
    <cellStyle name="Output 2 3 2 2" xfId="8490"/>
    <cellStyle name="Output 2 3 2 3" xfId="8270"/>
    <cellStyle name="Output 2 3 2 4" xfId="25024"/>
    <cellStyle name="Output 2 3 2 5" xfId="33379"/>
    <cellStyle name="Output 2 3 2 6" xfId="38233"/>
    <cellStyle name="Output 2 3 2 7" xfId="50852"/>
    <cellStyle name="Output 2 3 20" xfId="2905"/>
    <cellStyle name="Output 2 3 20 2" xfId="10728"/>
    <cellStyle name="Output 2 3 20 3" xfId="18156"/>
    <cellStyle name="Output 2 3 20 4" xfId="25482"/>
    <cellStyle name="Output 2 3 20 5" xfId="33956"/>
    <cellStyle name="Output 2 3 20 6" xfId="37976"/>
    <cellStyle name="Output 2 3 20 7" xfId="51836"/>
    <cellStyle name="Output 2 3 21" xfId="3281"/>
    <cellStyle name="Output 2 3 21 2" xfId="11074"/>
    <cellStyle name="Output 2 3 21 3" xfId="18403"/>
    <cellStyle name="Output 2 3 21 4" xfId="26430"/>
    <cellStyle name="Output 2 3 21 5" xfId="35197"/>
    <cellStyle name="Output 2 3 21 6" xfId="41638"/>
    <cellStyle name="Output 2 3 21 7" xfId="53920"/>
    <cellStyle name="Output 2 3 22" xfId="3401"/>
    <cellStyle name="Output 2 3 22 2" xfId="11192"/>
    <cellStyle name="Output 2 3 22 3" xfId="18514"/>
    <cellStyle name="Output 2 3 22 4" xfId="19295"/>
    <cellStyle name="Output 2 3 22 5" xfId="27421"/>
    <cellStyle name="Output 2 3 22 6" xfId="36691"/>
    <cellStyle name="Output 2 3 22 7" xfId="50106"/>
    <cellStyle name="Output 2 3 23" xfId="3000"/>
    <cellStyle name="Output 2 3 23 2" xfId="10819"/>
    <cellStyle name="Output 2 3 23 3" xfId="18242"/>
    <cellStyle name="Output 2 3 23 4" xfId="26103"/>
    <cellStyle name="Output 2 3 23 5" xfId="34757"/>
    <cellStyle name="Output 2 3 23 6" xfId="40700"/>
    <cellStyle name="Output 2 3 23 7" xfId="53217"/>
    <cellStyle name="Output 2 3 24" xfId="3671"/>
    <cellStyle name="Output 2 3 24 2" xfId="11456"/>
    <cellStyle name="Output 2 3 24 3" xfId="18729"/>
    <cellStyle name="Output 2 3 24 4" xfId="25755"/>
    <cellStyle name="Output 2 3 24 5" xfId="34308"/>
    <cellStyle name="Output 2 3 24 6" xfId="39031"/>
    <cellStyle name="Output 2 3 24 7" xfId="52441"/>
    <cellStyle name="Output 2 3 25" xfId="3802"/>
    <cellStyle name="Output 2 3 25 2" xfId="11584"/>
    <cellStyle name="Output 2 3 25 3" xfId="18841"/>
    <cellStyle name="Output 2 3 25 4" xfId="26622"/>
    <cellStyle name="Output 2 3 25 5" xfId="35454"/>
    <cellStyle name="Output 2 3 25 6" xfId="36810"/>
    <cellStyle name="Output 2 3 25 7" xfId="54331"/>
    <cellStyle name="Output 2 3 26" xfId="3919"/>
    <cellStyle name="Output 2 3 26 2" xfId="11699"/>
    <cellStyle name="Output 2 3 26 3" xfId="18950"/>
    <cellStyle name="Output 2 3 26 4" xfId="19729"/>
    <cellStyle name="Output 2 3 26 5" xfId="27351"/>
    <cellStyle name="Output 2 3 26 6" xfId="36400"/>
    <cellStyle name="Output 2 3 26 7" xfId="49377"/>
    <cellStyle name="Output 2 3 27" xfId="4001"/>
    <cellStyle name="Output 2 3 27 2" xfId="11780"/>
    <cellStyle name="Output 2 3 27 3" xfId="20711"/>
    <cellStyle name="Output 2 3 27 4" xfId="28898"/>
    <cellStyle name="Output 2 3 27 5" xfId="38282"/>
    <cellStyle name="Output 2 3 27 6" xfId="42563"/>
    <cellStyle name="Output 2 3 27 7" xfId="49561"/>
    <cellStyle name="Output 2 3 28" xfId="4116"/>
    <cellStyle name="Output 2 3 28 2" xfId="11876"/>
    <cellStyle name="Output 2 3 28 3" xfId="20826"/>
    <cellStyle name="Output 2 3 28 4" xfId="29013"/>
    <cellStyle name="Output 2 3 28 5" xfId="38390"/>
    <cellStyle name="Output 2 3 28 6" xfId="42678"/>
    <cellStyle name="Output 2 3 28 7" xfId="52388"/>
    <cellStyle name="Output 2 3 29" xfId="3212"/>
    <cellStyle name="Output 2 3 29 2" xfId="20338"/>
    <cellStyle name="Output 2 3 29 3" xfId="28429"/>
    <cellStyle name="Output 2 3 29 4" xfId="37816"/>
    <cellStyle name="Output 2 3 29 5" xfId="42448"/>
    <cellStyle name="Output 2 3 29 6" xfId="54493"/>
    <cellStyle name="Output 2 3 3" xfId="773"/>
    <cellStyle name="Output 2 3 3 2" xfId="8597"/>
    <cellStyle name="Output 2 3 3 3" xfId="16025"/>
    <cellStyle name="Output 2 3 3 4" xfId="25768"/>
    <cellStyle name="Output 2 3 3 5" xfId="34325"/>
    <cellStyle name="Output 2 3 3 6" xfId="36520"/>
    <cellStyle name="Output 2 3 3 7" xfId="52470"/>
    <cellStyle name="Output 2 3 30" xfId="4313"/>
    <cellStyle name="Output 2 3 30 2" xfId="12030"/>
    <cellStyle name="Output 2 3 30 3" xfId="21023"/>
    <cellStyle name="Output 2 3 30 4" xfId="29210"/>
    <cellStyle name="Output 2 3 30 5" xfId="38581"/>
    <cellStyle name="Output 2 3 30 6" xfId="42875"/>
    <cellStyle name="Output 2 3 30 7" xfId="47956"/>
    <cellStyle name="Output 2 3 31" xfId="4436"/>
    <cellStyle name="Output 2 3 31 2" xfId="12153"/>
    <cellStyle name="Output 2 3 31 3" xfId="21146"/>
    <cellStyle name="Output 2 3 31 4" xfId="29333"/>
    <cellStyle name="Output 2 3 31 5" xfId="38699"/>
    <cellStyle name="Output 2 3 31 6" xfId="42998"/>
    <cellStyle name="Output 2 3 31 7" xfId="51905"/>
    <cellStyle name="Output 2 3 32" xfId="4550"/>
    <cellStyle name="Output 2 3 32 2" xfId="12267"/>
    <cellStyle name="Output 2 3 32 3" xfId="21260"/>
    <cellStyle name="Output 2 3 32 4" xfId="29447"/>
    <cellStyle name="Output 2 3 32 5" xfId="38808"/>
    <cellStyle name="Output 2 3 32 6" xfId="43112"/>
    <cellStyle name="Output 2 3 32 7" xfId="48496"/>
    <cellStyle name="Output 2 3 33" xfId="4663"/>
    <cellStyle name="Output 2 3 33 2" xfId="12380"/>
    <cellStyle name="Output 2 3 33 3" xfId="21373"/>
    <cellStyle name="Output 2 3 33 4" xfId="29560"/>
    <cellStyle name="Output 2 3 33 5" xfId="38917"/>
    <cellStyle name="Output 2 3 33 6" xfId="43225"/>
    <cellStyle name="Output 2 3 33 7" xfId="47480"/>
    <cellStyle name="Output 2 3 34" xfId="4775"/>
    <cellStyle name="Output 2 3 34 2" xfId="12492"/>
    <cellStyle name="Output 2 3 34 3" xfId="21485"/>
    <cellStyle name="Output 2 3 34 4" xfId="29672"/>
    <cellStyle name="Output 2 3 34 5" xfId="39026"/>
    <cellStyle name="Output 2 3 34 6" xfId="43337"/>
    <cellStyle name="Output 2 3 34 7" xfId="54119"/>
    <cellStyle name="Output 2 3 35" xfId="4883"/>
    <cellStyle name="Output 2 3 35 2" xfId="12600"/>
    <cellStyle name="Output 2 3 35 3" xfId="21593"/>
    <cellStyle name="Output 2 3 35 4" xfId="29780"/>
    <cellStyle name="Output 2 3 35 5" xfId="39129"/>
    <cellStyle name="Output 2 3 35 6" xfId="43445"/>
    <cellStyle name="Output 2 3 35 7" xfId="50687"/>
    <cellStyle name="Output 2 3 36" xfId="4995"/>
    <cellStyle name="Output 2 3 36 2" xfId="12712"/>
    <cellStyle name="Output 2 3 36 3" xfId="21705"/>
    <cellStyle name="Output 2 3 36 4" xfId="29892"/>
    <cellStyle name="Output 2 3 36 5" xfId="39238"/>
    <cellStyle name="Output 2 3 36 6" xfId="43557"/>
    <cellStyle name="Output 2 3 36 7" xfId="47910"/>
    <cellStyle name="Output 2 3 37" xfId="5116"/>
    <cellStyle name="Output 2 3 37 2" xfId="12833"/>
    <cellStyle name="Output 2 3 37 3" xfId="21826"/>
    <cellStyle name="Output 2 3 37 4" xfId="30013"/>
    <cellStyle name="Output 2 3 37 5" xfId="39354"/>
    <cellStyle name="Output 2 3 37 6" xfId="43678"/>
    <cellStyle name="Output 2 3 37 7" xfId="49083"/>
    <cellStyle name="Output 2 3 38" xfId="5493"/>
    <cellStyle name="Output 2 3 38 2" xfId="13210"/>
    <cellStyle name="Output 2 3 38 3" xfId="22203"/>
    <cellStyle name="Output 2 3 38 4" xfId="30390"/>
    <cellStyle name="Output 2 3 38 5" xfId="39715"/>
    <cellStyle name="Output 2 3 38 6" xfId="44055"/>
    <cellStyle name="Output 2 3 38 7" xfId="49343"/>
    <cellStyle name="Output 2 3 39" xfId="5618"/>
    <cellStyle name="Output 2 3 39 2" xfId="13335"/>
    <cellStyle name="Output 2 3 39 3" xfId="22328"/>
    <cellStyle name="Output 2 3 39 4" xfId="30515"/>
    <cellStyle name="Output 2 3 39 5" xfId="39836"/>
    <cellStyle name="Output 2 3 39 6" xfId="44180"/>
    <cellStyle name="Output 2 3 39 7" xfId="47128"/>
    <cellStyle name="Output 2 3 4" xfId="885"/>
    <cellStyle name="Output 2 3 4 2" xfId="8709"/>
    <cellStyle name="Output 2 3 4 3" xfId="16137"/>
    <cellStyle name="Output 2 3 4 4" xfId="20648"/>
    <cellStyle name="Output 2 3 4 5" xfId="27798"/>
    <cellStyle name="Output 2 3 4 6" xfId="38254"/>
    <cellStyle name="Output 2 3 4 7" xfId="47344"/>
    <cellStyle name="Output 2 3 40" xfId="5733"/>
    <cellStyle name="Output 2 3 40 2" xfId="13450"/>
    <cellStyle name="Output 2 3 40 3" xfId="22443"/>
    <cellStyle name="Output 2 3 40 4" xfId="30630"/>
    <cellStyle name="Output 2 3 40 5" xfId="39947"/>
    <cellStyle name="Output 2 3 40 6" xfId="44295"/>
    <cellStyle name="Output 2 3 40 7" xfId="54197"/>
    <cellStyle name="Output 2 3 41" xfId="5850"/>
    <cellStyle name="Output 2 3 41 2" xfId="13567"/>
    <cellStyle name="Output 2 3 41 3" xfId="22560"/>
    <cellStyle name="Output 2 3 41 4" xfId="30747"/>
    <cellStyle name="Output 2 3 41 5" xfId="40061"/>
    <cellStyle name="Output 2 3 41 6" xfId="44412"/>
    <cellStyle name="Output 2 3 41 7" xfId="48247"/>
    <cellStyle name="Output 2 3 42" xfId="5978"/>
    <cellStyle name="Output 2 3 42 2" xfId="13695"/>
    <cellStyle name="Output 2 3 42 3" xfId="22688"/>
    <cellStyle name="Output 2 3 42 4" xfId="30875"/>
    <cellStyle name="Output 2 3 42 5" xfId="40184"/>
    <cellStyle name="Output 2 3 42 6" xfId="44540"/>
    <cellStyle name="Output 2 3 42 7" xfId="48955"/>
    <cellStyle name="Output 2 3 43" xfId="5206"/>
    <cellStyle name="Output 2 3 43 2" xfId="12923"/>
    <cellStyle name="Output 2 3 43 3" xfId="21916"/>
    <cellStyle name="Output 2 3 43 4" xfId="30103"/>
    <cellStyle name="Output 2 3 43 5" xfId="39440"/>
    <cellStyle name="Output 2 3 43 6" xfId="43768"/>
    <cellStyle name="Output 2 3 43 7" xfId="48825"/>
    <cellStyle name="Output 2 3 44" xfId="6234"/>
    <cellStyle name="Output 2 3 44 2" xfId="13951"/>
    <cellStyle name="Output 2 3 44 3" xfId="22944"/>
    <cellStyle name="Output 2 3 44 4" xfId="31131"/>
    <cellStyle name="Output 2 3 44 5" xfId="40432"/>
    <cellStyle name="Output 2 3 44 6" xfId="44796"/>
    <cellStyle name="Output 2 3 44 7" xfId="52099"/>
    <cellStyle name="Output 2 3 45" xfId="6351"/>
    <cellStyle name="Output 2 3 45 2" xfId="14068"/>
    <cellStyle name="Output 2 3 45 3" xfId="23061"/>
    <cellStyle name="Output 2 3 45 4" xfId="31248"/>
    <cellStyle name="Output 2 3 45 5" xfId="40546"/>
    <cellStyle name="Output 2 3 45 6" xfId="44913"/>
    <cellStyle name="Output 2 3 45 7" xfId="48690"/>
    <cellStyle name="Output 2 3 46" xfId="6461"/>
    <cellStyle name="Output 2 3 46 2" xfId="14178"/>
    <cellStyle name="Output 2 3 46 3" xfId="23171"/>
    <cellStyle name="Output 2 3 46 4" xfId="31358"/>
    <cellStyle name="Output 2 3 46 5" xfId="40652"/>
    <cellStyle name="Output 2 3 46 6" xfId="45023"/>
    <cellStyle name="Output 2 3 46 7" xfId="49877"/>
    <cellStyle name="Output 2 3 47" xfId="6540"/>
    <cellStyle name="Output 2 3 47 2" xfId="14257"/>
    <cellStyle name="Output 2 3 47 3" xfId="23250"/>
    <cellStyle name="Output 2 3 47 4" xfId="31437"/>
    <cellStyle name="Output 2 3 47 5" xfId="40727"/>
    <cellStyle name="Output 2 3 47 6" xfId="45102"/>
    <cellStyle name="Output 2 3 47 7" xfId="49842"/>
    <cellStyle name="Output 2 3 48" xfId="6608"/>
    <cellStyle name="Output 2 3 48 2" xfId="14325"/>
    <cellStyle name="Output 2 3 48 3" xfId="23318"/>
    <cellStyle name="Output 2 3 48 4" xfId="31505"/>
    <cellStyle name="Output 2 3 48 5" xfId="40792"/>
    <cellStyle name="Output 2 3 48 6" xfId="45170"/>
    <cellStyle name="Output 2 3 48 7" xfId="50178"/>
    <cellStyle name="Output 2 3 49" xfId="6719"/>
    <cellStyle name="Output 2 3 49 2" xfId="14436"/>
    <cellStyle name="Output 2 3 49 3" xfId="23429"/>
    <cellStyle name="Output 2 3 49 4" xfId="31616"/>
    <cellStyle name="Output 2 3 49 5" xfId="40897"/>
    <cellStyle name="Output 2 3 49 6" xfId="45281"/>
    <cellStyle name="Output 2 3 49 7" xfId="48038"/>
    <cellStyle name="Output 2 3 5" xfId="1350"/>
    <cellStyle name="Output 2 3 5 2" xfId="9173"/>
    <cellStyle name="Output 2 3 5 3" xfId="16601"/>
    <cellStyle name="Output 2 3 5 4" xfId="19329"/>
    <cellStyle name="Output 2 3 5 5" xfId="27961"/>
    <cellStyle name="Output 2 3 5 6" xfId="41697"/>
    <cellStyle name="Output 2 3 5 7" xfId="48915"/>
    <cellStyle name="Output 2 3 50" xfId="6834"/>
    <cellStyle name="Output 2 3 50 2" xfId="14551"/>
    <cellStyle name="Output 2 3 50 3" xfId="23544"/>
    <cellStyle name="Output 2 3 50 4" xfId="31731"/>
    <cellStyle name="Output 2 3 50 5" xfId="41005"/>
    <cellStyle name="Output 2 3 50 6" xfId="45396"/>
    <cellStyle name="Output 2 3 50 7" xfId="48280"/>
    <cellStyle name="Output 2 3 51" xfId="6947"/>
    <cellStyle name="Output 2 3 51 2" xfId="14664"/>
    <cellStyle name="Output 2 3 51 3" xfId="23657"/>
    <cellStyle name="Output 2 3 51 4" xfId="31844"/>
    <cellStyle name="Output 2 3 51 5" xfId="41113"/>
    <cellStyle name="Output 2 3 51 6" xfId="45509"/>
    <cellStyle name="Output 2 3 51 7" xfId="46941"/>
    <cellStyle name="Output 2 3 52" xfId="7059"/>
    <cellStyle name="Output 2 3 52 2" xfId="14776"/>
    <cellStyle name="Output 2 3 52 3" xfId="23769"/>
    <cellStyle name="Output 2 3 52 4" xfId="31956"/>
    <cellStyle name="Output 2 3 52 5" xfId="41219"/>
    <cellStyle name="Output 2 3 52 6" xfId="45621"/>
    <cellStyle name="Output 2 3 52 7" xfId="53361"/>
    <cellStyle name="Output 2 3 53" xfId="7355"/>
    <cellStyle name="Output 2 3 53 2" xfId="15072"/>
    <cellStyle name="Output 2 3 53 3" xfId="24065"/>
    <cellStyle name="Output 2 3 53 4" xfId="32252"/>
    <cellStyle name="Output 2 3 53 5" xfId="41508"/>
    <cellStyle name="Output 2 3 53 6" xfId="45917"/>
    <cellStyle name="Output 2 3 53 7" xfId="50790"/>
    <cellStyle name="Output 2 3 54" xfId="7329"/>
    <cellStyle name="Output 2 3 54 2" xfId="15046"/>
    <cellStyle name="Output 2 3 54 3" xfId="24039"/>
    <cellStyle name="Output 2 3 54 4" xfId="32226"/>
    <cellStyle name="Output 2 3 54 5" xfId="41482"/>
    <cellStyle name="Output 2 3 54 6" xfId="45891"/>
    <cellStyle name="Output 2 3 54 7" xfId="53502"/>
    <cellStyle name="Output 2 3 55" xfId="7456"/>
    <cellStyle name="Output 2 3 55 2" xfId="15173"/>
    <cellStyle name="Output 2 3 55 3" xfId="24166"/>
    <cellStyle name="Output 2 3 55 4" xfId="32353"/>
    <cellStyle name="Output 2 3 55 5" xfId="41602"/>
    <cellStyle name="Output 2 3 55 6" xfId="46018"/>
    <cellStyle name="Output 2 3 55 7" xfId="49608"/>
    <cellStyle name="Output 2 3 56" xfId="7577"/>
    <cellStyle name="Output 2 3 56 2" xfId="15294"/>
    <cellStyle name="Output 2 3 56 3" xfId="24287"/>
    <cellStyle name="Output 2 3 56 4" xfId="32474"/>
    <cellStyle name="Output 2 3 56 5" xfId="41717"/>
    <cellStyle name="Output 2 3 56 6" xfId="46139"/>
    <cellStyle name="Output 2 3 56 7" xfId="49382"/>
    <cellStyle name="Output 2 3 57" xfId="7853"/>
    <cellStyle name="Output 2 3 57 2" xfId="15570"/>
    <cellStyle name="Output 2 3 57 3" xfId="24557"/>
    <cellStyle name="Output 2 3 57 4" xfId="32750"/>
    <cellStyle name="Output 2 3 57 5" xfId="41982"/>
    <cellStyle name="Output 2 3 57 6" xfId="46415"/>
    <cellStyle name="Output 2 3 57 7" xfId="50730"/>
    <cellStyle name="Output 2 3 58" xfId="7759"/>
    <cellStyle name="Output 2 3 58 2" xfId="15476"/>
    <cellStyle name="Output 2 3 58 3" xfId="24467"/>
    <cellStyle name="Output 2 3 58 4" xfId="32656"/>
    <cellStyle name="Output 2 3 58 5" xfId="41892"/>
    <cellStyle name="Output 2 3 58 6" xfId="46321"/>
    <cellStyle name="Output 2 3 58 7" xfId="52288"/>
    <cellStyle name="Output 2 3 59" xfId="7810"/>
    <cellStyle name="Output 2 3 59 2" xfId="15527"/>
    <cellStyle name="Output 2 3 59 3" xfId="24514"/>
    <cellStyle name="Output 2 3 59 4" xfId="32707"/>
    <cellStyle name="Output 2 3 59 5" xfId="41942"/>
    <cellStyle name="Output 2 3 59 6" xfId="46372"/>
    <cellStyle name="Output 2 3 59 7" xfId="54329"/>
    <cellStyle name="Output 2 3 6" xfId="1473"/>
    <cellStyle name="Output 2 3 6 2" xfId="9296"/>
    <cellStyle name="Output 2 3 6 3" xfId="16724"/>
    <cellStyle name="Output 2 3 6 4" xfId="19201"/>
    <cellStyle name="Output 2 3 6 5" xfId="26770"/>
    <cellStyle name="Output 2 3 6 6" xfId="37201"/>
    <cellStyle name="Output 2 3 6 7" xfId="47307"/>
    <cellStyle name="Output 2 3 60" xfId="8129"/>
    <cellStyle name="Output 2 3 60 2" xfId="15846"/>
    <cellStyle name="Output 2 3 60 3" xfId="33026"/>
    <cellStyle name="Output 2 3 60 4" xfId="42246"/>
    <cellStyle name="Output 2 3 60 5" xfId="46691"/>
    <cellStyle name="Output 2 3 60 6" xfId="50986"/>
    <cellStyle name="Output 2 3 61" xfId="20545"/>
    <cellStyle name="Output 2 3 62" xfId="27287"/>
    <cellStyle name="Output 2 3 63" xfId="37389"/>
    <cellStyle name="Output 2 3 64" xfId="50314"/>
    <cellStyle name="Output 2 3 7" xfId="1568"/>
    <cellStyle name="Output 2 3 7 2" xfId="9391"/>
    <cellStyle name="Output 2 3 7 3" xfId="16819"/>
    <cellStyle name="Output 2 3 7 4" xfId="26207"/>
    <cellStyle name="Output 2 3 7 5" xfId="34889"/>
    <cellStyle name="Output 2 3 7 6" xfId="41970"/>
    <cellStyle name="Output 2 3 7 7" xfId="53439"/>
    <cellStyle name="Output 2 3 8" xfId="1710"/>
    <cellStyle name="Output 2 3 8 2" xfId="9533"/>
    <cellStyle name="Output 2 3 8 3" xfId="16961"/>
    <cellStyle name="Output 2 3 8 4" xfId="26127"/>
    <cellStyle name="Output 2 3 8 5" xfId="34788"/>
    <cellStyle name="Output 2 3 8 6" xfId="37672"/>
    <cellStyle name="Output 2 3 8 7" xfId="53267"/>
    <cellStyle name="Output 2 3 9" xfId="1844"/>
    <cellStyle name="Output 2 3 9 2" xfId="9667"/>
    <cellStyle name="Output 2 3 9 3" xfId="17095"/>
    <cellStyle name="Output 2 3 9 4" xfId="26440"/>
    <cellStyle name="Output 2 3 9 5" xfId="35213"/>
    <cellStyle name="Output 2 3 9 6" xfId="37182"/>
    <cellStyle name="Output 2 3 9 7" xfId="53941"/>
    <cellStyle name="Output 2 30" xfId="7332"/>
    <cellStyle name="Output 2 30 2" xfId="15049"/>
    <cellStyle name="Output 2 30 3" xfId="24042"/>
    <cellStyle name="Output 2 30 4" xfId="32229"/>
    <cellStyle name="Output 2 30 5" xfId="41485"/>
    <cellStyle name="Output 2 30 6" xfId="45894"/>
    <cellStyle name="Output 2 30 7" xfId="48116"/>
    <cellStyle name="Output 2 31" xfId="7418"/>
    <cellStyle name="Output 2 31 2" xfId="15135"/>
    <cellStyle name="Output 2 31 3" xfId="24128"/>
    <cellStyle name="Output 2 31 4" xfId="32315"/>
    <cellStyle name="Output 2 31 5" xfId="41567"/>
    <cellStyle name="Output 2 31 6" xfId="45980"/>
    <cellStyle name="Output 2 31 7" xfId="51422"/>
    <cellStyle name="Output 2 32" xfId="8062"/>
    <cellStyle name="Output 2 32 2" xfId="15779"/>
    <cellStyle name="Output 2 32 3" xfId="24764"/>
    <cellStyle name="Output 2 32 4" xfId="32959"/>
    <cellStyle name="Output 2 32 5" xfId="42183"/>
    <cellStyle name="Output 2 32 6" xfId="46624"/>
    <cellStyle name="Output 2 32 7" xfId="49624"/>
    <cellStyle name="Output 2 33" xfId="25172"/>
    <cellStyle name="Output 2 34" xfId="33553"/>
    <cellStyle name="Output 2 35" xfId="36920"/>
    <cellStyle name="Output 2 36" xfId="51161"/>
    <cellStyle name="Output 2 4" xfId="564"/>
    <cellStyle name="Output 2 4 10" xfId="2011"/>
    <cellStyle name="Output 2 4 10 2" xfId="9834"/>
    <cellStyle name="Output 2 4 10 3" xfId="17262"/>
    <cellStyle name="Output 2 4 10 4" xfId="25350"/>
    <cellStyle name="Output 2 4 10 5" xfId="33785"/>
    <cellStyle name="Output 2 4 10 6" xfId="41773"/>
    <cellStyle name="Output 2 4 10 7" xfId="51534"/>
    <cellStyle name="Output 2 4 11" xfId="2128"/>
    <cellStyle name="Output 2 4 11 2" xfId="9951"/>
    <cellStyle name="Output 2 4 11 3" xfId="17379"/>
    <cellStyle name="Output 2 4 11 4" xfId="25695"/>
    <cellStyle name="Output 2 4 11 5" xfId="34234"/>
    <cellStyle name="Output 2 4 11 6" xfId="37501"/>
    <cellStyle name="Output 2 4 11 7" xfId="52303"/>
    <cellStyle name="Output 2 4 12" xfId="2242"/>
    <cellStyle name="Output 2 4 12 2" xfId="10065"/>
    <cellStyle name="Output 2 4 12 3" xfId="17493"/>
    <cellStyle name="Output 2 4 12 4" xfId="24844"/>
    <cellStyle name="Output 2 4 12 5" xfId="27170"/>
    <cellStyle name="Output 2 4 12 6" xfId="40563"/>
    <cellStyle name="Output 2 4 12 7" xfId="47327"/>
    <cellStyle name="Output 2 4 13" xfId="1613"/>
    <cellStyle name="Output 2 4 13 2" xfId="9436"/>
    <cellStyle name="Output 2 4 13 3" xfId="16864"/>
    <cellStyle name="Output 2 4 13 4" xfId="20362"/>
    <cellStyle name="Output 2 4 13 5" xfId="27339"/>
    <cellStyle name="Output 2 4 13 6" xfId="37349"/>
    <cellStyle name="Output 2 4 13 7" xfId="48736"/>
    <cellStyle name="Output 2 4 14" xfId="1276"/>
    <cellStyle name="Output 2 4 14 2" xfId="9099"/>
    <cellStyle name="Output 2 4 14 3" xfId="16527"/>
    <cellStyle name="Output 2 4 14 4" xfId="19792"/>
    <cellStyle name="Output 2 4 14 5" xfId="28619"/>
    <cellStyle name="Output 2 4 14 6" xfId="40658"/>
    <cellStyle name="Output 2 4 14 7" xfId="47190"/>
    <cellStyle name="Output 2 4 15" xfId="2539"/>
    <cellStyle name="Output 2 4 15 2" xfId="10362"/>
    <cellStyle name="Output 2 4 15 3" xfId="17790"/>
    <cellStyle name="Output 2 4 15 4" xfId="20598"/>
    <cellStyle name="Output 2 4 15 5" xfId="28500"/>
    <cellStyle name="Output 2 4 15 6" xfId="41261"/>
    <cellStyle name="Output 2 4 15 7" xfId="47717"/>
    <cellStyle name="Output 2 4 16" xfId="2653"/>
    <cellStyle name="Output 2 4 16 2" xfId="10476"/>
    <cellStyle name="Output 2 4 16 3" xfId="17904"/>
    <cellStyle name="Output 2 4 16 4" xfId="24967"/>
    <cellStyle name="Output 2 4 16 5" xfId="33307"/>
    <cellStyle name="Output 2 4 16 6" xfId="36889"/>
    <cellStyle name="Output 2 4 16 7" xfId="50714"/>
    <cellStyle name="Output 2 4 17" xfId="2441"/>
    <cellStyle name="Output 2 4 17 2" xfId="10264"/>
    <cellStyle name="Output 2 4 17 3" xfId="17692"/>
    <cellStyle name="Output 2 4 17 4" xfId="19265"/>
    <cellStyle name="Output 2 4 17 5" xfId="27866"/>
    <cellStyle name="Output 2 4 17 6" xfId="37027"/>
    <cellStyle name="Output 2 4 17 7" xfId="47440"/>
    <cellStyle name="Output 2 4 18" xfId="2294"/>
    <cellStyle name="Output 2 4 18 2" xfId="10117"/>
    <cellStyle name="Output 2 4 18 3" xfId="17545"/>
    <cellStyle name="Output 2 4 18 4" xfId="24890"/>
    <cellStyle name="Output 2 4 18 5" xfId="33206"/>
    <cellStyle name="Output 2 4 18 6" xfId="36287"/>
    <cellStyle name="Output 2 4 18 7" xfId="50541"/>
    <cellStyle name="Output 2 4 19" xfId="2844"/>
    <cellStyle name="Output 2 4 19 2" xfId="10667"/>
    <cellStyle name="Output 2 4 19 3" xfId="18095"/>
    <cellStyle name="Output 2 4 19 4" xfId="26599"/>
    <cellStyle name="Output 2 4 19 5" xfId="35425"/>
    <cellStyle name="Output 2 4 19 6" xfId="40088"/>
    <cellStyle name="Output 2 4 19 7" xfId="54278"/>
    <cellStyle name="Output 2 4 2" xfId="712"/>
    <cellStyle name="Output 2 4 2 2" xfId="8536"/>
    <cellStyle name="Output 2 4 2 3" xfId="15964"/>
    <cellStyle name="Output 2 4 2 4" xfId="25374"/>
    <cellStyle name="Output 2 4 2 5" xfId="33821"/>
    <cellStyle name="Output 2 4 2 6" xfId="37089"/>
    <cellStyle name="Output 2 4 2 7" xfId="51597"/>
    <cellStyle name="Output 2 4 20" xfId="2951"/>
    <cellStyle name="Output 2 4 20 2" xfId="10774"/>
    <cellStyle name="Output 2 4 20 3" xfId="18202"/>
    <cellStyle name="Output 2 4 20 4" xfId="24981"/>
    <cellStyle name="Output 2 4 20 5" xfId="33324"/>
    <cellStyle name="Output 2 4 20 6" xfId="39054"/>
    <cellStyle name="Output 2 4 20 7" xfId="50748"/>
    <cellStyle name="Output 2 4 21" xfId="3328"/>
    <cellStyle name="Output 2 4 21 2" xfId="11121"/>
    <cellStyle name="Output 2 4 21 3" xfId="18449"/>
    <cellStyle name="Output 2 4 21 4" xfId="19199"/>
    <cellStyle name="Output 2 4 21 5" xfId="26930"/>
    <cellStyle name="Output 2 4 21 6" xfId="37300"/>
    <cellStyle name="Output 2 4 21 7" xfId="49124"/>
    <cellStyle name="Output 2 4 22" xfId="3447"/>
    <cellStyle name="Output 2 4 22 2" xfId="11238"/>
    <cellStyle name="Output 2 4 22 3" xfId="18560"/>
    <cellStyle name="Output 2 4 22 4" xfId="25974"/>
    <cellStyle name="Output 2 4 22 5" xfId="34586"/>
    <cellStyle name="Output 2 4 22 6" xfId="39734"/>
    <cellStyle name="Output 2 4 22 7" xfId="52936"/>
    <cellStyle name="Output 2 4 23" xfId="3607"/>
    <cellStyle name="Output 2 4 23 2" xfId="11393"/>
    <cellStyle name="Output 2 4 23 3" xfId="18667"/>
    <cellStyle name="Output 2 4 23 4" xfId="25231"/>
    <cellStyle name="Output 2 4 23 5" xfId="33633"/>
    <cellStyle name="Output 2 4 23 6" xfId="38049"/>
    <cellStyle name="Output 2 4 23 7" xfId="51286"/>
    <cellStyle name="Output 2 4 24" xfId="3720"/>
    <cellStyle name="Output 2 4 24 2" xfId="11505"/>
    <cellStyle name="Output 2 4 24 3" xfId="18777"/>
    <cellStyle name="Output 2 4 24 4" xfId="25984"/>
    <cellStyle name="Output 2 4 24 5" xfId="34603"/>
    <cellStyle name="Output 2 4 24 6" xfId="41435"/>
    <cellStyle name="Output 2 4 24 7" xfId="52962"/>
    <cellStyle name="Output 2 4 25" xfId="3849"/>
    <cellStyle name="Output 2 4 25 2" xfId="11631"/>
    <cellStyle name="Output 2 4 25 3" xfId="18887"/>
    <cellStyle name="Output 2 4 25 4" xfId="19866"/>
    <cellStyle name="Output 2 4 25 5" xfId="28128"/>
    <cellStyle name="Output 2 4 25 6" xfId="37478"/>
    <cellStyle name="Output 2 4 25 7" xfId="49424"/>
    <cellStyle name="Output 2 4 26" xfId="3968"/>
    <cellStyle name="Output 2 4 26 2" xfId="11747"/>
    <cellStyle name="Output 2 4 26 3" xfId="18996"/>
    <cellStyle name="Output 2 4 26 4" xfId="26033"/>
    <cellStyle name="Output 2 4 26 5" xfId="34665"/>
    <cellStyle name="Output 2 4 26 6" xfId="39936"/>
    <cellStyle name="Output 2 4 26 7" xfId="53063"/>
    <cellStyle name="Output 2 4 27" xfId="3172"/>
    <cellStyle name="Output 2 4 27 2" xfId="10973"/>
    <cellStyle name="Output 2 4 27 3" xfId="20305"/>
    <cellStyle name="Output 2 4 27 4" xfId="28395"/>
    <cellStyle name="Output 2 4 27 5" xfId="37783"/>
    <cellStyle name="Output 2 4 27 6" xfId="42422"/>
    <cellStyle name="Output 2 4 27 7" xfId="52332"/>
    <cellStyle name="Output 2 4 28" xfId="4164"/>
    <cellStyle name="Output 2 4 28 2" xfId="11923"/>
    <cellStyle name="Output 2 4 28 3" xfId="20874"/>
    <cellStyle name="Output 2 4 28 4" xfId="29061"/>
    <cellStyle name="Output 2 4 28 5" xfId="38437"/>
    <cellStyle name="Output 2 4 28 6" xfId="42726"/>
    <cellStyle name="Output 2 4 28 7" xfId="49602"/>
    <cellStyle name="Output 2 4 29" xfId="4253"/>
    <cellStyle name="Output 2 4 29 2" xfId="20963"/>
    <cellStyle name="Output 2 4 29 3" xfId="29150"/>
    <cellStyle name="Output 2 4 29 4" xfId="38523"/>
    <cellStyle name="Output 2 4 29 5" xfId="42815"/>
    <cellStyle name="Output 2 4 29 6" xfId="53836"/>
    <cellStyle name="Output 2 4 3" xfId="821"/>
    <cellStyle name="Output 2 4 3 2" xfId="8645"/>
    <cellStyle name="Output 2 4 3 3" xfId="16073"/>
    <cellStyle name="Output 2 4 3 4" xfId="26434"/>
    <cellStyle name="Output 2 4 3 5" xfId="35203"/>
    <cellStyle name="Output 2 4 3 6" xfId="37500"/>
    <cellStyle name="Output 2 4 3 7" xfId="53925"/>
    <cellStyle name="Output 2 4 30" xfId="4362"/>
    <cellStyle name="Output 2 4 30 2" xfId="12079"/>
    <cellStyle name="Output 2 4 30 3" xfId="21072"/>
    <cellStyle name="Output 2 4 30 4" xfId="29259"/>
    <cellStyle name="Output 2 4 30 5" xfId="38629"/>
    <cellStyle name="Output 2 4 30 6" xfId="42924"/>
    <cellStyle name="Output 2 4 30 7" xfId="52908"/>
    <cellStyle name="Output 2 4 31" xfId="4484"/>
    <cellStyle name="Output 2 4 31 2" xfId="12201"/>
    <cellStyle name="Output 2 4 31 3" xfId="21194"/>
    <cellStyle name="Output 2 4 31 4" xfId="29381"/>
    <cellStyle name="Output 2 4 31 5" xfId="38746"/>
    <cellStyle name="Output 2 4 31 6" xfId="43046"/>
    <cellStyle name="Output 2 4 31 7" xfId="53121"/>
    <cellStyle name="Output 2 4 32" xfId="4598"/>
    <cellStyle name="Output 2 4 32 2" xfId="12315"/>
    <cellStyle name="Output 2 4 32 3" xfId="21308"/>
    <cellStyle name="Output 2 4 32 4" xfId="29495"/>
    <cellStyle name="Output 2 4 32 5" xfId="38855"/>
    <cellStyle name="Output 2 4 32 6" xfId="43160"/>
    <cellStyle name="Output 2 4 32 7" xfId="49976"/>
    <cellStyle name="Output 2 4 33" xfId="4711"/>
    <cellStyle name="Output 2 4 33 2" xfId="12428"/>
    <cellStyle name="Output 2 4 33 3" xfId="21421"/>
    <cellStyle name="Output 2 4 33 4" xfId="29608"/>
    <cellStyle name="Output 2 4 33 5" xfId="38964"/>
    <cellStyle name="Output 2 4 33 6" xfId="43273"/>
    <cellStyle name="Output 2 4 33 7" xfId="53266"/>
    <cellStyle name="Output 2 4 34" xfId="4821"/>
    <cellStyle name="Output 2 4 34 2" xfId="12538"/>
    <cellStyle name="Output 2 4 34 3" xfId="21531"/>
    <cellStyle name="Output 2 4 34 4" xfId="29718"/>
    <cellStyle name="Output 2 4 34 5" xfId="39071"/>
    <cellStyle name="Output 2 4 34 6" xfId="43383"/>
    <cellStyle name="Output 2 4 34 7" xfId="49458"/>
    <cellStyle name="Output 2 4 35" xfId="4931"/>
    <cellStyle name="Output 2 4 35 2" xfId="12648"/>
    <cellStyle name="Output 2 4 35 3" xfId="21641"/>
    <cellStyle name="Output 2 4 35 4" xfId="29828"/>
    <cellStyle name="Output 2 4 35 5" xfId="39176"/>
    <cellStyle name="Output 2 4 35 6" xfId="43493"/>
    <cellStyle name="Output 2 4 35 7" xfId="48448"/>
    <cellStyle name="Output 2 4 36" xfId="5041"/>
    <cellStyle name="Output 2 4 36 2" xfId="12758"/>
    <cellStyle name="Output 2 4 36 3" xfId="21751"/>
    <cellStyle name="Output 2 4 36 4" xfId="29938"/>
    <cellStyle name="Output 2 4 36 5" xfId="39283"/>
    <cellStyle name="Output 2 4 36 6" xfId="43603"/>
    <cellStyle name="Output 2 4 36 7" xfId="49970"/>
    <cellStyle name="Output 2 4 37" xfId="5421"/>
    <cellStyle name="Output 2 4 37 2" xfId="13138"/>
    <cellStyle name="Output 2 4 37 3" xfId="22131"/>
    <cellStyle name="Output 2 4 37 4" xfId="30318"/>
    <cellStyle name="Output 2 4 37 5" xfId="39648"/>
    <cellStyle name="Output 2 4 37 6" xfId="43983"/>
    <cellStyle name="Output 2 4 37 7" xfId="49221"/>
    <cellStyle name="Output 2 4 38" xfId="5541"/>
    <cellStyle name="Output 2 4 38 2" xfId="13258"/>
    <cellStyle name="Output 2 4 38 3" xfId="22251"/>
    <cellStyle name="Output 2 4 38 4" xfId="30438"/>
    <cellStyle name="Output 2 4 38 5" xfId="39762"/>
    <cellStyle name="Output 2 4 38 6" xfId="44103"/>
    <cellStyle name="Output 2 4 38 7" xfId="47183"/>
    <cellStyle name="Output 2 4 39" xfId="5665"/>
    <cellStyle name="Output 2 4 39 2" xfId="13382"/>
    <cellStyle name="Output 2 4 39 3" xfId="22375"/>
    <cellStyle name="Output 2 4 39 4" xfId="30562"/>
    <cellStyle name="Output 2 4 39 5" xfId="39882"/>
    <cellStyle name="Output 2 4 39 6" xfId="44227"/>
    <cellStyle name="Output 2 4 39 7" xfId="47105"/>
    <cellStyle name="Output 2 4 4" xfId="931"/>
    <cellStyle name="Output 2 4 4 2" xfId="8755"/>
    <cellStyle name="Output 2 4 4 3" xfId="16183"/>
    <cellStyle name="Output 2 4 4 4" xfId="24973"/>
    <cellStyle name="Output 2 4 4 5" xfId="33314"/>
    <cellStyle name="Output 2 4 4 6" xfId="36950"/>
    <cellStyle name="Output 2 4 4 7" xfId="50725"/>
    <cellStyle name="Output 2 4 40" xfId="5781"/>
    <cellStyle name="Output 2 4 40 2" xfId="13498"/>
    <cellStyle name="Output 2 4 40 3" xfId="22491"/>
    <cellStyle name="Output 2 4 40 4" xfId="30678"/>
    <cellStyle name="Output 2 4 40 5" xfId="39994"/>
    <cellStyle name="Output 2 4 40 6" xfId="44343"/>
    <cellStyle name="Output 2 4 40 7" xfId="48934"/>
    <cellStyle name="Output 2 4 41" xfId="5898"/>
    <cellStyle name="Output 2 4 41 2" xfId="13615"/>
    <cellStyle name="Output 2 4 41 3" xfId="22608"/>
    <cellStyle name="Output 2 4 41 4" xfId="30795"/>
    <cellStyle name="Output 2 4 41 5" xfId="40108"/>
    <cellStyle name="Output 2 4 41 6" xfId="44460"/>
    <cellStyle name="Output 2 4 41 7" xfId="49347"/>
    <cellStyle name="Output 2 4 42" xfId="6026"/>
    <cellStyle name="Output 2 4 42 2" xfId="13743"/>
    <cellStyle name="Output 2 4 42 3" xfId="22736"/>
    <cellStyle name="Output 2 4 42 4" xfId="30923"/>
    <cellStyle name="Output 2 4 42 5" xfId="40231"/>
    <cellStyle name="Output 2 4 42 6" xfId="44588"/>
    <cellStyle name="Output 2 4 42 7" xfId="51921"/>
    <cellStyle name="Output 2 4 43" xfId="6153"/>
    <cellStyle name="Output 2 4 43 2" xfId="13870"/>
    <cellStyle name="Output 2 4 43 3" xfId="22863"/>
    <cellStyle name="Output 2 4 43 4" xfId="31050"/>
    <cellStyle name="Output 2 4 43 5" xfId="40351"/>
    <cellStyle name="Output 2 4 43 6" xfId="44715"/>
    <cellStyle name="Output 2 4 43 7" xfId="53092"/>
    <cellStyle name="Output 2 4 44" xfId="6282"/>
    <cellStyle name="Output 2 4 44 2" xfId="13999"/>
    <cellStyle name="Output 2 4 44 3" xfId="22992"/>
    <cellStyle name="Output 2 4 44 4" xfId="31179"/>
    <cellStyle name="Output 2 4 44 5" xfId="40479"/>
    <cellStyle name="Output 2 4 44 6" xfId="44844"/>
    <cellStyle name="Output 2 4 44 7" xfId="49837"/>
    <cellStyle name="Output 2 4 45" xfId="6397"/>
    <cellStyle name="Output 2 4 45 2" xfId="14114"/>
    <cellStyle name="Output 2 4 45 3" xfId="23107"/>
    <cellStyle name="Output 2 4 45 4" xfId="31294"/>
    <cellStyle name="Output 2 4 45 5" xfId="40590"/>
    <cellStyle name="Output 2 4 45 6" xfId="44959"/>
    <cellStyle name="Output 2 4 45 7" xfId="50195"/>
    <cellStyle name="Output 2 4 46" xfId="6509"/>
    <cellStyle name="Output 2 4 46 2" xfId="14226"/>
    <cellStyle name="Output 2 4 46 3" xfId="23219"/>
    <cellStyle name="Output 2 4 46 4" xfId="31406"/>
    <cellStyle name="Output 2 4 46 5" xfId="40698"/>
    <cellStyle name="Output 2 4 46 6" xfId="45071"/>
    <cellStyle name="Output 2 4 46 7" xfId="48000"/>
    <cellStyle name="Output 2 4 47" xfId="6312"/>
    <cellStyle name="Output 2 4 47 2" xfId="14029"/>
    <cellStyle name="Output 2 4 47 3" xfId="23022"/>
    <cellStyle name="Output 2 4 47 4" xfId="31209"/>
    <cellStyle name="Output 2 4 47 5" xfId="40509"/>
    <cellStyle name="Output 2 4 47 6" xfId="44874"/>
    <cellStyle name="Output 2 4 47 7" xfId="52943"/>
    <cellStyle name="Output 2 4 48" xfId="6656"/>
    <cellStyle name="Output 2 4 48 2" xfId="14373"/>
    <cellStyle name="Output 2 4 48 3" xfId="23366"/>
    <cellStyle name="Output 2 4 48 4" xfId="31553"/>
    <cellStyle name="Output 2 4 48 5" xfId="40838"/>
    <cellStyle name="Output 2 4 48 6" xfId="45218"/>
    <cellStyle name="Output 2 4 48 7" xfId="52607"/>
    <cellStyle name="Output 2 4 49" xfId="6767"/>
    <cellStyle name="Output 2 4 49 2" xfId="14484"/>
    <cellStyle name="Output 2 4 49 3" xfId="23477"/>
    <cellStyle name="Output 2 4 49 4" xfId="31664"/>
    <cellStyle name="Output 2 4 49 5" xfId="40943"/>
    <cellStyle name="Output 2 4 49 6" xfId="45329"/>
    <cellStyle name="Output 2 4 49 7" xfId="49718"/>
    <cellStyle name="Output 2 4 5" xfId="1399"/>
    <cellStyle name="Output 2 4 5 2" xfId="9222"/>
    <cellStyle name="Output 2 4 5 3" xfId="16650"/>
    <cellStyle name="Output 2 4 5 4" xfId="19281"/>
    <cellStyle name="Output 2 4 5 5" xfId="27491"/>
    <cellStyle name="Output 2 4 5 6" xfId="36588"/>
    <cellStyle name="Output 2 4 5 7" xfId="50026"/>
    <cellStyle name="Output 2 4 50" xfId="6882"/>
    <cellStyle name="Output 2 4 50 2" xfId="14599"/>
    <cellStyle name="Output 2 4 50 3" xfId="23592"/>
    <cellStyle name="Output 2 4 50 4" xfId="31779"/>
    <cellStyle name="Output 2 4 50 5" xfId="41052"/>
    <cellStyle name="Output 2 4 50 6" xfId="45444"/>
    <cellStyle name="Output 2 4 50 7" xfId="47063"/>
    <cellStyle name="Output 2 4 51" xfId="6995"/>
    <cellStyle name="Output 2 4 51 2" xfId="14712"/>
    <cellStyle name="Output 2 4 51 3" xfId="23705"/>
    <cellStyle name="Output 2 4 51 4" xfId="31892"/>
    <cellStyle name="Output 2 4 51 5" xfId="41160"/>
    <cellStyle name="Output 2 4 51 6" xfId="45557"/>
    <cellStyle name="Output 2 4 51 7" xfId="46994"/>
    <cellStyle name="Output 2 4 52" xfId="7105"/>
    <cellStyle name="Output 2 4 52 2" xfId="14822"/>
    <cellStyle name="Output 2 4 52 3" xfId="23815"/>
    <cellStyle name="Output 2 4 52 4" xfId="32002"/>
    <cellStyle name="Output 2 4 52 5" xfId="41264"/>
    <cellStyle name="Output 2 4 52 6" xfId="45667"/>
    <cellStyle name="Output 2 4 52 7" xfId="47285"/>
    <cellStyle name="Output 2 4 53" xfId="7173"/>
    <cellStyle name="Output 2 4 53 2" xfId="14890"/>
    <cellStyle name="Output 2 4 53 3" xfId="23883"/>
    <cellStyle name="Output 2 4 53 4" xfId="32070"/>
    <cellStyle name="Output 2 4 53 5" xfId="41331"/>
    <cellStyle name="Output 2 4 53 6" xfId="45735"/>
    <cellStyle name="Output 2 4 53 7" xfId="54379"/>
    <cellStyle name="Output 2 4 54" xfId="7336"/>
    <cellStyle name="Output 2 4 54 2" xfId="15053"/>
    <cellStyle name="Output 2 4 54 3" xfId="24046"/>
    <cellStyle name="Output 2 4 54 4" xfId="32233"/>
    <cellStyle name="Output 2 4 54 5" xfId="41489"/>
    <cellStyle name="Output 2 4 54 6" xfId="45898"/>
    <cellStyle name="Output 2 4 54 7" xfId="52947"/>
    <cellStyle name="Output 2 4 55" xfId="7502"/>
    <cellStyle name="Output 2 4 55 2" xfId="15219"/>
    <cellStyle name="Output 2 4 55 3" xfId="24212"/>
    <cellStyle name="Output 2 4 55 4" xfId="32399"/>
    <cellStyle name="Output 2 4 55 5" xfId="41647"/>
    <cellStyle name="Output 2 4 55 6" xfId="46064"/>
    <cellStyle name="Output 2 4 55 7" xfId="50037"/>
    <cellStyle name="Output 2 4 56" xfId="7623"/>
    <cellStyle name="Output 2 4 56 2" xfId="15340"/>
    <cellStyle name="Output 2 4 56 3" xfId="24333"/>
    <cellStyle name="Output 2 4 56 4" xfId="32520"/>
    <cellStyle name="Output 2 4 56 5" xfId="41762"/>
    <cellStyle name="Output 2 4 56 6" xfId="46185"/>
    <cellStyle name="Output 2 4 56 7" xfId="53512"/>
    <cellStyle name="Output 2 4 57" xfId="7900"/>
    <cellStyle name="Output 2 4 57 2" xfId="15617"/>
    <cellStyle name="Output 2 4 57 3" xfId="24604"/>
    <cellStyle name="Output 2 4 57 4" xfId="32797"/>
    <cellStyle name="Output 2 4 57 5" xfId="42028"/>
    <cellStyle name="Output 2 4 57 6" xfId="46462"/>
    <cellStyle name="Output 2 4 57 7" xfId="53158"/>
    <cellStyle name="Output 2 4 58" xfId="8028"/>
    <cellStyle name="Output 2 4 58 2" xfId="15745"/>
    <cellStyle name="Output 2 4 58 3" xfId="24730"/>
    <cellStyle name="Output 2 4 58 4" xfId="32925"/>
    <cellStyle name="Output 2 4 58 5" xfId="42150"/>
    <cellStyle name="Output 2 4 58 6" xfId="46590"/>
    <cellStyle name="Output 2 4 58 7" xfId="48131"/>
    <cellStyle name="Output 2 4 59" xfId="7723"/>
    <cellStyle name="Output 2 4 59 2" xfId="15440"/>
    <cellStyle name="Output 2 4 59 3" xfId="24431"/>
    <cellStyle name="Output 2 4 59 4" xfId="32620"/>
    <cellStyle name="Output 2 4 59 5" xfId="41857"/>
    <cellStyle name="Output 2 4 59 6" xfId="46285"/>
    <cellStyle name="Output 2 4 59 7" xfId="47703"/>
    <cellStyle name="Output 2 4 6" xfId="1522"/>
    <cellStyle name="Output 2 4 6 2" xfId="9345"/>
    <cellStyle name="Output 2 4 6 3" xfId="16773"/>
    <cellStyle name="Output 2 4 6 4" xfId="20593"/>
    <cellStyle name="Output 2 4 6 5" xfId="27046"/>
    <cellStyle name="Output 2 4 6 6" xfId="38953"/>
    <cellStyle name="Output 2 4 6 7" xfId="49994"/>
    <cellStyle name="Output 2 4 60" xfId="8175"/>
    <cellStyle name="Output 2 4 60 2" xfId="15892"/>
    <cellStyle name="Output 2 4 60 3" xfId="33072"/>
    <cellStyle name="Output 2 4 60 4" xfId="42291"/>
    <cellStyle name="Output 2 4 60 5" xfId="46737"/>
    <cellStyle name="Output 2 4 60 6" xfId="46881"/>
    <cellStyle name="Output 2 4 61" xfId="25956"/>
    <cellStyle name="Output 2 4 62" xfId="34563"/>
    <cellStyle name="Output 2 4 63" xfId="36256"/>
    <cellStyle name="Output 2 4 64" xfId="52900"/>
    <cellStyle name="Output 2 4 7" xfId="1117"/>
    <cellStyle name="Output 2 4 7 2" xfId="8940"/>
    <cellStyle name="Output 2 4 7 3" xfId="16368"/>
    <cellStyle name="Output 2 4 7 4" xfId="19363"/>
    <cellStyle name="Output 2 4 7 5" xfId="28798"/>
    <cellStyle name="Output 2 4 7 6" xfId="36897"/>
    <cellStyle name="Output 2 4 7 7" xfId="48034"/>
    <cellStyle name="Output 2 4 8" xfId="1759"/>
    <cellStyle name="Output 2 4 8 2" xfId="9582"/>
    <cellStyle name="Output 2 4 8 3" xfId="17010"/>
    <cellStyle name="Output 2 4 8 4" xfId="19856"/>
    <cellStyle name="Output 2 4 8 5" xfId="27718"/>
    <cellStyle name="Output 2 4 8 6" xfId="38611"/>
    <cellStyle name="Output 2 4 8 7" xfId="49668"/>
    <cellStyle name="Output 2 4 9" xfId="1892"/>
    <cellStyle name="Output 2 4 9 2" xfId="9715"/>
    <cellStyle name="Output 2 4 9 3" xfId="17143"/>
    <cellStyle name="Output 2 4 9 4" xfId="19390"/>
    <cellStyle name="Output 2 4 9 5" xfId="27978"/>
    <cellStyle name="Output 2 4 9 6" xfId="38090"/>
    <cellStyle name="Output 2 4 9 7" xfId="48861"/>
    <cellStyle name="Output 2 5" xfId="548"/>
    <cellStyle name="Output 2 5 10" xfId="1995"/>
    <cellStyle name="Output 2 5 10 2" xfId="9818"/>
    <cellStyle name="Output 2 5 10 3" xfId="17246"/>
    <cellStyle name="Output 2 5 10 4" xfId="26124"/>
    <cellStyle name="Output 2 5 10 5" xfId="34785"/>
    <cellStyle name="Output 2 5 10 6" xfId="40757"/>
    <cellStyle name="Output 2 5 10 7" xfId="53261"/>
    <cellStyle name="Output 2 5 11" xfId="2113"/>
    <cellStyle name="Output 2 5 11 2" xfId="9936"/>
    <cellStyle name="Output 2 5 11 3" xfId="17364"/>
    <cellStyle name="Output 2 5 11 4" xfId="26380"/>
    <cellStyle name="Output 2 5 11 5" xfId="35124"/>
    <cellStyle name="Output 2 5 11 6" xfId="38645"/>
    <cellStyle name="Output 2 5 11 7" xfId="53809"/>
    <cellStyle name="Output 2 5 12" xfId="2226"/>
    <cellStyle name="Output 2 5 12 2" xfId="10049"/>
    <cellStyle name="Output 2 5 12 3" xfId="17477"/>
    <cellStyle name="Output 2 5 12 4" xfId="20116"/>
    <cellStyle name="Output 2 5 12 5" xfId="27335"/>
    <cellStyle name="Output 2 5 12 6" xfId="42100"/>
    <cellStyle name="Output 2 5 12 7" xfId="50318"/>
    <cellStyle name="Output 2 5 13" xfId="1034"/>
    <cellStyle name="Output 2 5 13 2" xfId="8858"/>
    <cellStyle name="Output 2 5 13 3" xfId="16286"/>
    <cellStyle name="Output 2 5 13 4" xfId="19863"/>
    <cellStyle name="Output 2 5 13 5" xfId="28205"/>
    <cellStyle name="Output 2 5 13 6" xfId="36904"/>
    <cellStyle name="Output 2 5 13 7" xfId="48246"/>
    <cellStyle name="Output 2 5 14" xfId="2329"/>
    <cellStyle name="Output 2 5 14 2" xfId="10152"/>
    <cellStyle name="Output 2 5 14 3" xfId="17580"/>
    <cellStyle name="Output 2 5 14 4" xfId="26535"/>
    <cellStyle name="Output 2 5 14 5" xfId="35335"/>
    <cellStyle name="Output 2 5 14 6" xfId="40626"/>
    <cellStyle name="Output 2 5 14 7" xfId="54142"/>
    <cellStyle name="Output 2 5 15" xfId="2524"/>
    <cellStyle name="Output 2 5 15 2" xfId="10347"/>
    <cellStyle name="Output 2 5 15 3" xfId="17775"/>
    <cellStyle name="Output 2 5 15 4" xfId="20526"/>
    <cellStyle name="Output 2 5 15 5" xfId="28095"/>
    <cellStyle name="Output 2 5 15 6" xfId="41406"/>
    <cellStyle name="Output 2 5 15 7" xfId="47902"/>
    <cellStyle name="Output 2 5 16" xfId="2637"/>
    <cellStyle name="Output 2 5 16 2" xfId="10460"/>
    <cellStyle name="Output 2 5 16 3" xfId="17888"/>
    <cellStyle name="Output 2 5 16 4" xfId="25767"/>
    <cellStyle name="Output 2 5 16 5" xfId="34324"/>
    <cellStyle name="Output 2 5 16 6" xfId="38657"/>
    <cellStyle name="Output 2 5 16 7" xfId="52469"/>
    <cellStyle name="Output 2 5 17" xfId="2433"/>
    <cellStyle name="Output 2 5 17 2" xfId="10256"/>
    <cellStyle name="Output 2 5 17 3" xfId="17684"/>
    <cellStyle name="Output 2 5 17 4" xfId="24806"/>
    <cellStyle name="Output 2 5 17 5" xfId="26812"/>
    <cellStyle name="Output 2 5 17 6" xfId="37093"/>
    <cellStyle name="Output 2 5 17 7" xfId="49703"/>
    <cellStyle name="Output 2 5 18" xfId="2691"/>
    <cellStyle name="Output 2 5 18 2" xfId="10514"/>
    <cellStyle name="Output 2 5 18 3" xfId="17942"/>
    <cellStyle name="Output 2 5 18 4" xfId="26384"/>
    <cellStyle name="Output 2 5 18 5" xfId="35130"/>
    <cellStyle name="Output 2 5 18 6" xfId="40147"/>
    <cellStyle name="Output 2 5 18 7" xfId="53814"/>
    <cellStyle name="Output 2 5 19" xfId="2830"/>
    <cellStyle name="Output 2 5 19 2" xfId="10653"/>
    <cellStyle name="Output 2 5 19 3" xfId="18081"/>
    <cellStyle name="Output 2 5 19 4" xfId="26128"/>
    <cellStyle name="Output 2 5 19 5" xfId="34789"/>
    <cellStyle name="Output 2 5 19 6" xfId="41350"/>
    <cellStyle name="Output 2 5 19 7" xfId="53268"/>
    <cellStyle name="Output 2 5 2" xfId="698"/>
    <cellStyle name="Output 2 5 2 2" xfId="8522"/>
    <cellStyle name="Output 2 5 2 3" xfId="15950"/>
    <cellStyle name="Output 2 5 2 4" xfId="26419"/>
    <cellStyle name="Output 2 5 2 5" xfId="35180"/>
    <cellStyle name="Output 2 5 2 6" xfId="37679"/>
    <cellStyle name="Output 2 5 2 7" xfId="53895"/>
    <cellStyle name="Output 2 5 20" xfId="2937"/>
    <cellStyle name="Output 2 5 20 2" xfId="10760"/>
    <cellStyle name="Output 2 5 20 3" xfId="18188"/>
    <cellStyle name="Output 2 5 20 4" xfId="25763"/>
    <cellStyle name="Output 2 5 20 5" xfId="34318"/>
    <cellStyle name="Output 2 5 20 6" xfId="40681"/>
    <cellStyle name="Output 2 5 20 7" xfId="52460"/>
    <cellStyle name="Output 2 5 21" xfId="3313"/>
    <cellStyle name="Output 2 5 21 2" xfId="11106"/>
    <cellStyle name="Output 2 5 21 3" xfId="18435"/>
    <cellStyle name="Output 2 5 21 4" xfId="24944"/>
    <cellStyle name="Output 2 5 21 5" xfId="33280"/>
    <cellStyle name="Output 2 5 21 6" xfId="37727"/>
    <cellStyle name="Output 2 5 21 7" xfId="50665"/>
    <cellStyle name="Output 2 5 22" xfId="3433"/>
    <cellStyle name="Output 2 5 22 2" xfId="11224"/>
    <cellStyle name="Output 2 5 22 3" xfId="18546"/>
    <cellStyle name="Output 2 5 22 4" xfId="26525"/>
    <cellStyle name="Output 2 5 22 5" xfId="35324"/>
    <cellStyle name="Output 2 5 22 6" xfId="40916"/>
    <cellStyle name="Output 2 5 22 7" xfId="54125"/>
    <cellStyle name="Output 2 5 23" xfId="3102"/>
    <cellStyle name="Output 2 5 23 2" xfId="10907"/>
    <cellStyle name="Output 2 5 23 3" xfId="18289"/>
    <cellStyle name="Output 2 5 23 4" xfId="19563"/>
    <cellStyle name="Output 2 5 23 5" xfId="33135"/>
    <cellStyle name="Output 2 5 23 6" xfId="37207"/>
    <cellStyle name="Output 2 5 23 7" xfId="50397"/>
    <cellStyle name="Output 2 5 24" xfId="3704"/>
    <cellStyle name="Output 2 5 24 2" xfId="11489"/>
    <cellStyle name="Output 2 5 24 3" xfId="18762"/>
    <cellStyle name="Output 2 5 24 4" xfId="19838"/>
    <cellStyle name="Output 2 5 24 5" xfId="27355"/>
    <cellStyle name="Output 2 5 24 6" xfId="39328"/>
    <cellStyle name="Output 2 5 24 7" xfId="47700"/>
    <cellStyle name="Output 2 5 25" xfId="3834"/>
    <cellStyle name="Output 2 5 25 2" xfId="11616"/>
    <cellStyle name="Output 2 5 25 3" xfId="18873"/>
    <cellStyle name="Output 2 5 25 4" xfId="25088"/>
    <cellStyle name="Output 2 5 25 5" xfId="33449"/>
    <cellStyle name="Output 2 5 25 6" xfId="37720"/>
    <cellStyle name="Output 2 5 25 7" xfId="50978"/>
    <cellStyle name="Output 2 5 26" xfId="3952"/>
    <cellStyle name="Output 2 5 26 2" xfId="11732"/>
    <cellStyle name="Output 2 5 26 3" xfId="18982"/>
    <cellStyle name="Output 2 5 26 4" xfId="19930"/>
    <cellStyle name="Output 2 5 26 5" xfId="27534"/>
    <cellStyle name="Output 2 5 26 6" xfId="41375"/>
    <cellStyle name="Output 2 5 26 7" xfId="48433"/>
    <cellStyle name="Output 2 5 27" xfId="3548"/>
    <cellStyle name="Output 2 5 27 2" xfId="11337"/>
    <cellStyle name="Output 2 5 27 3" xfId="20512"/>
    <cellStyle name="Output 2 5 27 4" xfId="28639"/>
    <cellStyle name="Output 2 5 27 5" xfId="38017"/>
    <cellStyle name="Output 2 5 27 6" xfId="42506"/>
    <cellStyle name="Output 2 5 27 7" xfId="50055"/>
    <cellStyle name="Output 2 5 28" xfId="4149"/>
    <cellStyle name="Output 2 5 28 2" xfId="11908"/>
    <cellStyle name="Output 2 5 28 3" xfId="20859"/>
    <cellStyle name="Output 2 5 28 4" xfId="29046"/>
    <cellStyle name="Output 2 5 28 5" xfId="38422"/>
    <cellStyle name="Output 2 5 28 6" xfId="42711"/>
    <cellStyle name="Output 2 5 28 7" xfId="49388"/>
    <cellStyle name="Output 2 5 29" xfId="4124"/>
    <cellStyle name="Output 2 5 29 2" xfId="20834"/>
    <cellStyle name="Output 2 5 29 3" xfId="29021"/>
    <cellStyle name="Output 2 5 29 4" xfId="38398"/>
    <cellStyle name="Output 2 5 29 5" xfId="42686"/>
    <cellStyle name="Output 2 5 29 6" xfId="52164"/>
    <cellStyle name="Output 2 5 3" xfId="806"/>
    <cellStyle name="Output 2 5 3 2" xfId="8630"/>
    <cellStyle name="Output 2 5 3 3" xfId="16058"/>
    <cellStyle name="Output 2 5 3 4" xfId="19358"/>
    <cellStyle name="Output 2 5 3 5" xfId="28097"/>
    <cellStyle name="Output 2 5 3 6" xfId="36896"/>
    <cellStyle name="Output 2 5 3 7" xfId="48889"/>
    <cellStyle name="Output 2 5 30" xfId="4346"/>
    <cellStyle name="Output 2 5 30 2" xfId="12063"/>
    <cellStyle name="Output 2 5 30 3" xfId="21056"/>
    <cellStyle name="Output 2 5 30 4" xfId="29243"/>
    <cellStyle name="Output 2 5 30 5" xfId="38613"/>
    <cellStyle name="Output 2 5 30 6" xfId="42908"/>
    <cellStyle name="Output 2 5 30 7" xfId="54033"/>
    <cellStyle name="Output 2 5 31" xfId="4469"/>
    <cellStyle name="Output 2 5 31 2" xfId="12186"/>
    <cellStyle name="Output 2 5 31 3" xfId="21179"/>
    <cellStyle name="Output 2 5 31 4" xfId="29366"/>
    <cellStyle name="Output 2 5 31 5" xfId="38731"/>
    <cellStyle name="Output 2 5 31 6" xfId="43031"/>
    <cellStyle name="Output 2 5 31 7" xfId="48386"/>
    <cellStyle name="Output 2 5 32" xfId="4583"/>
    <cellStyle name="Output 2 5 32 2" xfId="12300"/>
    <cellStyle name="Output 2 5 32 3" xfId="21293"/>
    <cellStyle name="Output 2 5 32 4" xfId="29480"/>
    <cellStyle name="Output 2 5 32 5" xfId="38840"/>
    <cellStyle name="Output 2 5 32 6" xfId="43145"/>
    <cellStyle name="Output 2 5 32 7" xfId="51377"/>
    <cellStyle name="Output 2 5 33" xfId="4696"/>
    <cellStyle name="Output 2 5 33 2" xfId="12413"/>
    <cellStyle name="Output 2 5 33 3" xfId="21406"/>
    <cellStyle name="Output 2 5 33 4" xfId="29593"/>
    <cellStyle name="Output 2 5 33 5" xfId="38949"/>
    <cellStyle name="Output 2 5 33 6" xfId="43258"/>
    <cellStyle name="Output 2 5 33 7" xfId="48551"/>
    <cellStyle name="Output 2 5 34" xfId="4807"/>
    <cellStyle name="Output 2 5 34 2" xfId="12524"/>
    <cellStyle name="Output 2 5 34 3" xfId="21517"/>
    <cellStyle name="Output 2 5 34 4" xfId="29704"/>
    <cellStyle name="Output 2 5 34 5" xfId="39057"/>
    <cellStyle name="Output 2 5 34 6" xfId="43369"/>
    <cellStyle name="Output 2 5 34 7" xfId="50899"/>
    <cellStyle name="Output 2 5 35" xfId="4916"/>
    <cellStyle name="Output 2 5 35 2" xfId="12633"/>
    <cellStyle name="Output 2 5 35 3" xfId="21626"/>
    <cellStyle name="Output 2 5 35 4" xfId="29813"/>
    <cellStyle name="Output 2 5 35 5" xfId="39161"/>
    <cellStyle name="Output 2 5 35 6" xfId="43478"/>
    <cellStyle name="Output 2 5 35 7" xfId="52964"/>
    <cellStyle name="Output 2 5 36" xfId="5027"/>
    <cellStyle name="Output 2 5 36 2" xfId="12744"/>
    <cellStyle name="Output 2 5 36 3" xfId="21737"/>
    <cellStyle name="Output 2 5 36 4" xfId="29924"/>
    <cellStyle name="Output 2 5 36 5" xfId="39269"/>
    <cellStyle name="Output 2 5 36 6" xfId="43589"/>
    <cellStyle name="Output 2 5 36 7" xfId="51267"/>
    <cellStyle name="Output 2 5 37" xfId="5406"/>
    <cellStyle name="Output 2 5 37 2" xfId="13123"/>
    <cellStyle name="Output 2 5 37 3" xfId="22116"/>
    <cellStyle name="Output 2 5 37 4" xfId="30303"/>
    <cellStyle name="Output 2 5 37 5" xfId="39633"/>
    <cellStyle name="Output 2 5 37 6" xfId="43968"/>
    <cellStyle name="Output 2 5 37 7" xfId="47491"/>
    <cellStyle name="Output 2 5 38" xfId="5526"/>
    <cellStyle name="Output 2 5 38 2" xfId="13243"/>
    <cellStyle name="Output 2 5 38 3" xfId="22236"/>
    <cellStyle name="Output 2 5 38 4" xfId="30423"/>
    <cellStyle name="Output 2 5 38 5" xfId="39747"/>
    <cellStyle name="Output 2 5 38 6" xfId="44088"/>
    <cellStyle name="Output 2 5 38 7" xfId="49650"/>
    <cellStyle name="Output 2 5 39" xfId="5650"/>
    <cellStyle name="Output 2 5 39 2" xfId="13367"/>
    <cellStyle name="Output 2 5 39 3" xfId="22360"/>
    <cellStyle name="Output 2 5 39 4" xfId="30547"/>
    <cellStyle name="Output 2 5 39 5" xfId="39867"/>
    <cellStyle name="Output 2 5 39 6" xfId="44212"/>
    <cellStyle name="Output 2 5 39 7" xfId="47116"/>
    <cellStyle name="Output 2 5 4" xfId="917"/>
    <cellStyle name="Output 2 5 4 2" xfId="8741"/>
    <cellStyle name="Output 2 5 4 3" xfId="16169"/>
    <cellStyle name="Output 2 5 4 4" xfId="25674"/>
    <cellStyle name="Output 2 5 4 5" xfId="34206"/>
    <cellStyle name="Output 2 5 4 6" xfId="37623"/>
    <cellStyle name="Output 2 5 4 7" xfId="52249"/>
    <cellStyle name="Output 2 5 40" xfId="5766"/>
    <cellStyle name="Output 2 5 40 2" xfId="13483"/>
    <cellStyle name="Output 2 5 40 3" xfId="22476"/>
    <cellStyle name="Output 2 5 40 4" xfId="30663"/>
    <cellStyle name="Output 2 5 40 5" xfId="39979"/>
    <cellStyle name="Output 2 5 40 6" xfId="44328"/>
    <cellStyle name="Output 2 5 40 7" xfId="50569"/>
    <cellStyle name="Output 2 5 41" xfId="5882"/>
    <cellStyle name="Output 2 5 41 2" xfId="13599"/>
    <cellStyle name="Output 2 5 41 3" xfId="22592"/>
    <cellStyle name="Output 2 5 41 4" xfId="30779"/>
    <cellStyle name="Output 2 5 41 5" xfId="40092"/>
    <cellStyle name="Output 2 5 41 6" xfId="44444"/>
    <cellStyle name="Output 2 5 41 7" xfId="51072"/>
    <cellStyle name="Output 2 5 42" xfId="6011"/>
    <cellStyle name="Output 2 5 42 2" xfId="13728"/>
    <cellStyle name="Output 2 5 42 3" xfId="22721"/>
    <cellStyle name="Output 2 5 42 4" xfId="30908"/>
    <cellStyle name="Output 2 5 42 5" xfId="40216"/>
    <cellStyle name="Output 2 5 42 6" xfId="44573"/>
    <cellStyle name="Output 2 5 42 7" xfId="53293"/>
    <cellStyle name="Output 2 5 43" xfId="6138"/>
    <cellStyle name="Output 2 5 43 2" xfId="13855"/>
    <cellStyle name="Output 2 5 43 3" xfId="22848"/>
    <cellStyle name="Output 2 5 43 4" xfId="31035"/>
    <cellStyle name="Output 2 5 43 5" xfId="40336"/>
    <cellStyle name="Output 2 5 43 6" xfId="44700"/>
    <cellStyle name="Output 2 5 43 7" xfId="48357"/>
    <cellStyle name="Output 2 5 44" xfId="6267"/>
    <cellStyle name="Output 2 5 44 2" xfId="13984"/>
    <cellStyle name="Output 2 5 44 3" xfId="22977"/>
    <cellStyle name="Output 2 5 44 4" xfId="31164"/>
    <cellStyle name="Output 2 5 44 5" xfId="40464"/>
    <cellStyle name="Output 2 5 44 6" xfId="44829"/>
    <cellStyle name="Output 2 5 44 7" xfId="47785"/>
    <cellStyle name="Output 2 5 45" xfId="6383"/>
    <cellStyle name="Output 2 5 45 2" xfId="14100"/>
    <cellStyle name="Output 2 5 45 3" xfId="23093"/>
    <cellStyle name="Output 2 5 45 4" xfId="31280"/>
    <cellStyle name="Output 2 5 45 5" xfId="40577"/>
    <cellStyle name="Output 2 5 45 6" xfId="44945"/>
    <cellStyle name="Output 2 5 45 7" xfId="51552"/>
    <cellStyle name="Output 2 5 46" xfId="6494"/>
    <cellStyle name="Output 2 5 46 2" xfId="14211"/>
    <cellStyle name="Output 2 5 46 3" xfId="23204"/>
    <cellStyle name="Output 2 5 46 4" xfId="31391"/>
    <cellStyle name="Output 2 5 46 5" xfId="40684"/>
    <cellStyle name="Output 2 5 46 6" xfId="45056"/>
    <cellStyle name="Output 2 5 46 7" xfId="48475"/>
    <cellStyle name="Output 2 5 47" xfId="5359"/>
    <cellStyle name="Output 2 5 47 2" xfId="13076"/>
    <cellStyle name="Output 2 5 47 3" xfId="22069"/>
    <cellStyle name="Output 2 5 47 4" xfId="30256"/>
    <cellStyle name="Output 2 5 47 5" xfId="39588"/>
    <cellStyle name="Output 2 5 47 6" xfId="43921"/>
    <cellStyle name="Output 2 5 47 7" xfId="50776"/>
    <cellStyle name="Output 2 5 48" xfId="6640"/>
    <cellStyle name="Output 2 5 48 2" xfId="14357"/>
    <cellStyle name="Output 2 5 48 3" xfId="23350"/>
    <cellStyle name="Output 2 5 48 4" xfId="31537"/>
    <cellStyle name="Output 2 5 48 5" xfId="40823"/>
    <cellStyle name="Output 2 5 48 6" xfId="45202"/>
    <cellStyle name="Output 2 5 48 7" xfId="54368"/>
    <cellStyle name="Output 2 5 49" xfId="6752"/>
    <cellStyle name="Output 2 5 49 2" xfId="14469"/>
    <cellStyle name="Output 2 5 49 3" xfId="23462"/>
    <cellStyle name="Output 2 5 49 4" xfId="31649"/>
    <cellStyle name="Output 2 5 49 5" xfId="40929"/>
    <cellStyle name="Output 2 5 49 6" xfId="45314"/>
    <cellStyle name="Output 2 5 49 7" xfId="47393"/>
    <cellStyle name="Output 2 5 5" xfId="1383"/>
    <cellStyle name="Output 2 5 5 2" xfId="9206"/>
    <cellStyle name="Output 2 5 5 3" xfId="16634"/>
    <cellStyle name="Output 2 5 5 4" xfId="25506"/>
    <cellStyle name="Output 2 5 5 5" xfId="33984"/>
    <cellStyle name="Output 2 5 5 6" xfId="37664"/>
    <cellStyle name="Output 2 5 5 7" xfId="51887"/>
    <cellStyle name="Output 2 5 50" xfId="6867"/>
    <cellStyle name="Output 2 5 50 2" xfId="14584"/>
    <cellStyle name="Output 2 5 50 3" xfId="23577"/>
    <cellStyle name="Output 2 5 50 4" xfId="31764"/>
    <cellStyle name="Output 2 5 50 5" xfId="41037"/>
    <cellStyle name="Output 2 5 50 6" xfId="45429"/>
    <cellStyle name="Output 2 5 50 7" xfId="46785"/>
    <cellStyle name="Output 2 5 51" xfId="6980"/>
    <cellStyle name="Output 2 5 51 2" xfId="14697"/>
    <cellStyle name="Output 2 5 51 3" xfId="23690"/>
    <cellStyle name="Output 2 5 51 4" xfId="31877"/>
    <cellStyle name="Output 2 5 51 5" xfId="41145"/>
    <cellStyle name="Output 2 5 51 6" xfId="45542"/>
    <cellStyle name="Output 2 5 51 7" xfId="47025"/>
    <cellStyle name="Output 2 5 52" xfId="7091"/>
    <cellStyle name="Output 2 5 52 2" xfId="14808"/>
    <cellStyle name="Output 2 5 52 3" xfId="23801"/>
    <cellStyle name="Output 2 5 52 4" xfId="31988"/>
    <cellStyle name="Output 2 5 52 5" xfId="41250"/>
    <cellStyle name="Output 2 5 52 6" xfId="45653"/>
    <cellStyle name="Output 2 5 52 7" xfId="50022"/>
    <cellStyle name="Output 2 5 53" xfId="7188"/>
    <cellStyle name="Output 2 5 53 2" xfId="14905"/>
    <cellStyle name="Output 2 5 53 3" xfId="23898"/>
    <cellStyle name="Output 2 5 53 4" xfId="32085"/>
    <cellStyle name="Output 2 5 53 5" xfId="41346"/>
    <cellStyle name="Output 2 5 53 6" xfId="45750"/>
    <cellStyle name="Output 2 5 53 7" xfId="52760"/>
    <cellStyle name="Output 2 5 54" xfId="7384"/>
    <cellStyle name="Output 2 5 54 2" xfId="15101"/>
    <cellStyle name="Output 2 5 54 3" xfId="24094"/>
    <cellStyle name="Output 2 5 54 4" xfId="32281"/>
    <cellStyle name="Output 2 5 54 5" xfId="41537"/>
    <cellStyle name="Output 2 5 54 6" xfId="45946"/>
    <cellStyle name="Output 2 5 54 7" xfId="51600"/>
    <cellStyle name="Output 2 5 55" xfId="7488"/>
    <cellStyle name="Output 2 5 55 2" xfId="15205"/>
    <cellStyle name="Output 2 5 55 3" xfId="24198"/>
    <cellStyle name="Output 2 5 55 4" xfId="32385"/>
    <cellStyle name="Output 2 5 55 5" xfId="41633"/>
    <cellStyle name="Output 2 5 55 6" xfId="46050"/>
    <cellStyle name="Output 2 5 55 7" xfId="51440"/>
    <cellStyle name="Output 2 5 56" xfId="7609"/>
    <cellStyle name="Output 2 5 56 2" xfId="15326"/>
    <cellStyle name="Output 2 5 56 3" xfId="24319"/>
    <cellStyle name="Output 2 5 56 4" xfId="32506"/>
    <cellStyle name="Output 2 5 56 5" xfId="41748"/>
    <cellStyle name="Output 2 5 56 6" xfId="46171"/>
    <cellStyle name="Output 2 5 56 7" xfId="47702"/>
    <cellStyle name="Output 2 5 57" xfId="7885"/>
    <cellStyle name="Output 2 5 57 2" xfId="15602"/>
    <cellStyle name="Output 2 5 57 3" xfId="24589"/>
    <cellStyle name="Output 2 5 57 4" xfId="32782"/>
    <cellStyle name="Output 2 5 57 5" xfId="42013"/>
    <cellStyle name="Output 2 5 57 6" xfId="46447"/>
    <cellStyle name="Output 2 5 57 7" xfId="48423"/>
    <cellStyle name="Output 2 5 58" xfId="8013"/>
    <cellStyle name="Output 2 5 58 2" xfId="15730"/>
    <cellStyle name="Output 2 5 58 3" xfId="24715"/>
    <cellStyle name="Output 2 5 58 4" xfId="32910"/>
    <cellStyle name="Output 2 5 58 5" xfId="42136"/>
    <cellStyle name="Output 2 5 58 6" xfId="46575"/>
    <cellStyle name="Output 2 5 58 7" xfId="47266"/>
    <cellStyle name="Output 2 5 59" xfId="8003"/>
    <cellStyle name="Output 2 5 59 2" xfId="15720"/>
    <cellStyle name="Output 2 5 59 3" xfId="24705"/>
    <cellStyle name="Output 2 5 59 4" xfId="32900"/>
    <cellStyle name="Output 2 5 59 5" xfId="42126"/>
    <cellStyle name="Output 2 5 59 6" xfId="46565"/>
    <cellStyle name="Output 2 5 59 7" xfId="49425"/>
    <cellStyle name="Output 2 5 6" xfId="1506"/>
    <cellStyle name="Output 2 5 6 2" xfId="9329"/>
    <cellStyle name="Output 2 5 6 3" xfId="16757"/>
    <cellStyle name="Output 2 5 6 4" xfId="25389"/>
    <cellStyle name="Output 2 5 6 5" xfId="33837"/>
    <cellStyle name="Output 2 5 6 6" xfId="39568"/>
    <cellStyle name="Output 2 5 6 7" xfId="51620"/>
    <cellStyle name="Output 2 5 60" xfId="8161"/>
    <cellStyle name="Output 2 5 60 2" xfId="15878"/>
    <cellStyle name="Output 2 5 60 3" xfId="33058"/>
    <cellStyle name="Output 2 5 60 4" xfId="42277"/>
    <cellStyle name="Output 2 5 60 5" xfId="46723"/>
    <cellStyle name="Output 2 5 60 6" xfId="47739"/>
    <cellStyle name="Output 2 5 61" xfId="26687"/>
    <cellStyle name="Output 2 5 62" xfId="35537"/>
    <cellStyle name="Output 2 5 63" xfId="36269"/>
    <cellStyle name="Output 2 5 64" xfId="54465"/>
    <cellStyle name="Output 2 5 7" xfId="980"/>
    <cellStyle name="Output 2 5 7 2" xfId="8804"/>
    <cellStyle name="Output 2 5 7 3" xfId="16232"/>
    <cellStyle name="Output 2 5 7 4" xfId="25817"/>
    <cellStyle name="Output 2 5 7 5" xfId="34398"/>
    <cellStyle name="Output 2 5 7 6" xfId="36707"/>
    <cellStyle name="Output 2 5 7 7" xfId="52600"/>
    <cellStyle name="Output 2 5 8" xfId="1743"/>
    <cellStyle name="Output 2 5 8 2" xfId="9566"/>
    <cellStyle name="Output 2 5 8 3" xfId="16994"/>
    <cellStyle name="Output 2 5 8 4" xfId="19417"/>
    <cellStyle name="Output 2 5 8 5" xfId="26977"/>
    <cellStyle name="Output 2 5 8 6" xfId="40462"/>
    <cellStyle name="Output 2 5 8 7" xfId="49556"/>
    <cellStyle name="Output 2 5 9" xfId="1877"/>
    <cellStyle name="Output 2 5 9 2" xfId="9700"/>
    <cellStyle name="Output 2 5 9 3" xfId="17128"/>
    <cellStyle name="Output 2 5 9 4" xfId="24872"/>
    <cellStyle name="Output 2 5 9 5" xfId="33186"/>
    <cellStyle name="Output 2 5 9 6" xfId="39713"/>
    <cellStyle name="Output 2 5 9 7" xfId="50504"/>
    <cellStyle name="Output 2 6" xfId="525"/>
    <cellStyle name="Output 2 6 10" xfId="1972"/>
    <cellStyle name="Output 2 6 10 2" xfId="9795"/>
    <cellStyle name="Output 2 6 10 3" xfId="17223"/>
    <cellStyle name="Output 2 6 10 4" xfId="19652"/>
    <cellStyle name="Output 2 6 10 5" xfId="28020"/>
    <cellStyle name="Output 2 6 10 6" xfId="38225"/>
    <cellStyle name="Output 2 6 10 7" xfId="49340"/>
    <cellStyle name="Output 2 6 11" xfId="2090"/>
    <cellStyle name="Output 2 6 11 2" xfId="9913"/>
    <cellStyle name="Output 2 6 11 3" xfId="17341"/>
    <cellStyle name="Output 2 6 11 4" xfId="19313"/>
    <cellStyle name="Output 2 6 11 5" xfId="28888"/>
    <cellStyle name="Output 2 6 11 6" xfId="41066"/>
    <cellStyle name="Output 2 6 11 7" xfId="49463"/>
    <cellStyle name="Output 2 6 12" xfId="2203"/>
    <cellStyle name="Output 2 6 12 2" xfId="10026"/>
    <cellStyle name="Output 2 6 12 3" xfId="17454"/>
    <cellStyle name="Output 2 6 12 4" xfId="25927"/>
    <cellStyle name="Output 2 6 12 5" xfId="34530"/>
    <cellStyle name="Output 2 6 12 6" xfId="37433"/>
    <cellStyle name="Output 2 6 12 7" xfId="52840"/>
    <cellStyle name="Output 2 6 13" xfId="2318"/>
    <cellStyle name="Output 2 6 13 2" xfId="10141"/>
    <cellStyle name="Output 2 6 13 3" xfId="17569"/>
    <cellStyle name="Output 2 6 13 4" xfId="25528"/>
    <cellStyle name="Output 2 6 13 5" xfId="34011"/>
    <cellStyle name="Output 2 6 13 6" xfId="41693"/>
    <cellStyle name="Output 2 6 13 7" xfId="51935"/>
    <cellStyle name="Output 2 6 14" xfId="2410"/>
    <cellStyle name="Output 2 6 14 2" xfId="10233"/>
    <cellStyle name="Output 2 6 14 3" xfId="17661"/>
    <cellStyle name="Output 2 6 14 4" xfId="26032"/>
    <cellStyle name="Output 2 6 14 5" xfId="34664"/>
    <cellStyle name="Output 2 6 14 6" xfId="38588"/>
    <cellStyle name="Output 2 6 14 7" xfId="53060"/>
    <cellStyle name="Output 2 6 15" xfId="2501"/>
    <cellStyle name="Output 2 6 15 2" xfId="10324"/>
    <cellStyle name="Output 2 6 15 3" xfId="17752"/>
    <cellStyle name="Output 2 6 15 4" xfId="24919"/>
    <cellStyle name="Output 2 6 15 5" xfId="33248"/>
    <cellStyle name="Output 2 6 15 6" xfId="37156"/>
    <cellStyle name="Output 2 6 15 7" xfId="50613"/>
    <cellStyle name="Output 2 6 16" xfId="2614"/>
    <cellStyle name="Output 2 6 16 2" xfId="10437"/>
    <cellStyle name="Output 2 6 16 3" xfId="17865"/>
    <cellStyle name="Output 2 6 16 4" xfId="19415"/>
    <cellStyle name="Output 2 6 16 5" xfId="27462"/>
    <cellStyle name="Output 2 6 16 6" xfId="41076"/>
    <cellStyle name="Output 2 6 16 7" xfId="47995"/>
    <cellStyle name="Output 2 6 17" xfId="2718"/>
    <cellStyle name="Output 2 6 17 2" xfId="10541"/>
    <cellStyle name="Output 2 6 17 3" xfId="17969"/>
    <cellStyle name="Output 2 6 17 4" xfId="25087"/>
    <cellStyle name="Output 2 6 17 5" xfId="33448"/>
    <cellStyle name="Output 2 6 17 6" xfId="38054"/>
    <cellStyle name="Output 2 6 17 7" xfId="50977"/>
    <cellStyle name="Output 2 6 18" xfId="2751"/>
    <cellStyle name="Output 2 6 18 2" xfId="10574"/>
    <cellStyle name="Output 2 6 18 3" xfId="18002"/>
    <cellStyle name="Output 2 6 18 4" xfId="19766"/>
    <cellStyle name="Output 2 6 18 5" xfId="28603"/>
    <cellStyle name="Output 2 6 18 6" xfId="41912"/>
    <cellStyle name="Output 2 6 18 7" xfId="50091"/>
    <cellStyle name="Output 2 6 19" xfId="2807"/>
    <cellStyle name="Output 2 6 19 2" xfId="10630"/>
    <cellStyle name="Output 2 6 19 3" xfId="18058"/>
    <cellStyle name="Output 2 6 19 4" xfId="24934"/>
    <cellStyle name="Output 2 6 19 5" xfId="33267"/>
    <cellStyle name="Output 2 6 19 6" xfId="36353"/>
    <cellStyle name="Output 2 6 19 7" xfId="50647"/>
    <cellStyle name="Output 2 6 2" xfId="675"/>
    <cellStyle name="Output 2 6 2 2" xfId="8499"/>
    <cellStyle name="Output 2 6 2 3" xfId="8259"/>
    <cellStyle name="Output 2 6 2 4" xfId="19343"/>
    <cellStyle name="Output 2 6 2 5" xfId="27855"/>
    <cellStyle name="Output 2 6 2 6" xfId="37346"/>
    <cellStyle name="Output 2 6 2 7" xfId="49991"/>
    <cellStyle name="Output 2 6 20" xfId="2914"/>
    <cellStyle name="Output 2 6 20 2" xfId="10737"/>
    <cellStyle name="Output 2 6 20 3" xfId="18165"/>
    <cellStyle name="Output 2 6 20 4" xfId="20282"/>
    <cellStyle name="Output 2 6 20 5" xfId="27728"/>
    <cellStyle name="Output 2 6 20 6" xfId="36633"/>
    <cellStyle name="Output 2 6 20 7" xfId="47857"/>
    <cellStyle name="Output 2 6 21" xfId="3290"/>
    <cellStyle name="Output 2 6 21 2" xfId="11083"/>
    <cellStyle name="Output 2 6 21 3" xfId="18412"/>
    <cellStyle name="Output 2 6 21 4" xfId="20138"/>
    <cellStyle name="Output 2 6 21 5" xfId="28125"/>
    <cellStyle name="Output 2 6 21 6" xfId="39582"/>
    <cellStyle name="Output 2 6 21 7" xfId="48043"/>
    <cellStyle name="Output 2 6 22" xfId="3410"/>
    <cellStyle name="Output 2 6 22 2" xfId="11201"/>
    <cellStyle name="Output 2 6 22 3" xfId="18523"/>
    <cellStyle name="Output 2 6 22 4" xfId="19925"/>
    <cellStyle name="Output 2 6 22 5" xfId="26936"/>
    <cellStyle name="Output 2 6 22 6" xfId="37732"/>
    <cellStyle name="Output 2 6 22 7" xfId="49109"/>
    <cellStyle name="Output 2 6 23" xfId="3216"/>
    <cellStyle name="Output 2 6 23 2" xfId="11013"/>
    <cellStyle name="Output 2 6 23 3" xfId="18353"/>
    <cellStyle name="Output 2 6 23 4" xfId="19280"/>
    <cellStyle name="Output 2 6 23 5" xfId="28885"/>
    <cellStyle name="Output 2 6 23 6" xfId="36753"/>
    <cellStyle name="Output 2 6 23 7" xfId="48212"/>
    <cellStyle name="Output 2 6 24" xfId="3681"/>
    <cellStyle name="Output 2 6 24 2" xfId="11466"/>
    <cellStyle name="Output 2 6 24 3" xfId="18739"/>
    <cellStyle name="Output 2 6 24 4" xfId="25194"/>
    <cellStyle name="Output 2 6 24 5" xfId="33578"/>
    <cellStyle name="Output 2 6 24 6" xfId="38174"/>
    <cellStyle name="Output 2 6 24 7" xfId="51204"/>
    <cellStyle name="Output 2 6 25" xfId="3811"/>
    <cellStyle name="Output 2 6 25 2" xfId="11593"/>
    <cellStyle name="Output 2 6 25 3" xfId="18850"/>
    <cellStyle name="Output 2 6 25 4" xfId="26162"/>
    <cellStyle name="Output 2 6 25 5" xfId="34831"/>
    <cellStyle name="Output 2 6 25 6" xfId="40871"/>
    <cellStyle name="Output 2 6 25 7" xfId="53340"/>
    <cellStyle name="Output 2 6 26" xfId="3929"/>
    <cellStyle name="Output 2 6 26 2" xfId="11709"/>
    <cellStyle name="Output 2 6 26 3" xfId="18959"/>
    <cellStyle name="Output 2 6 26 4" xfId="25779"/>
    <cellStyle name="Output 2 6 26 5" xfId="34340"/>
    <cellStyle name="Output 2 6 26 6" xfId="37074"/>
    <cellStyle name="Output 2 6 26 7" xfId="52507"/>
    <cellStyle name="Output 2 6 27" xfId="4025"/>
    <cellStyle name="Output 2 6 27 2" xfId="11799"/>
    <cellStyle name="Output 2 6 27 3" xfId="20735"/>
    <cellStyle name="Output 2 6 27 4" xfId="28922"/>
    <cellStyle name="Output 2 6 27 5" xfId="38304"/>
    <cellStyle name="Output 2 6 27 6" xfId="42587"/>
    <cellStyle name="Output 2 6 27 7" xfId="48461"/>
    <cellStyle name="Output 2 6 28" xfId="4126"/>
    <cellStyle name="Output 2 6 28 2" xfId="11885"/>
    <cellStyle name="Output 2 6 28 3" xfId="20836"/>
    <cellStyle name="Output 2 6 28 4" xfId="29023"/>
    <cellStyle name="Output 2 6 28 5" xfId="38400"/>
    <cellStyle name="Output 2 6 28 6" xfId="42688"/>
    <cellStyle name="Output 2 6 28 7" xfId="47579"/>
    <cellStyle name="Output 2 6 29" xfId="3219"/>
    <cellStyle name="Output 2 6 29 2" xfId="20343"/>
    <cellStyle name="Output 2 6 29 3" xfId="28431"/>
    <cellStyle name="Output 2 6 29 4" xfId="37822"/>
    <cellStyle name="Output 2 6 29 5" xfId="42449"/>
    <cellStyle name="Output 2 6 29 6" xfId="53857"/>
    <cellStyle name="Output 2 6 3" xfId="783"/>
    <cellStyle name="Output 2 6 3 2" xfId="8607"/>
    <cellStyle name="Output 2 6 3 3" xfId="16035"/>
    <cellStyle name="Output 2 6 3 4" xfId="25208"/>
    <cellStyle name="Output 2 6 3 5" xfId="33600"/>
    <cellStyle name="Output 2 6 3 6" xfId="37534"/>
    <cellStyle name="Output 2 6 3 7" xfId="51233"/>
    <cellStyle name="Output 2 6 30" xfId="4323"/>
    <cellStyle name="Output 2 6 30 2" xfId="12040"/>
    <cellStyle name="Output 2 6 30 3" xfId="21033"/>
    <cellStyle name="Output 2 6 30 4" xfId="29220"/>
    <cellStyle name="Output 2 6 30 5" xfId="38591"/>
    <cellStyle name="Output 2 6 30 6" xfId="42885"/>
    <cellStyle name="Output 2 6 30 7" xfId="49001"/>
    <cellStyle name="Output 2 6 31" xfId="4446"/>
    <cellStyle name="Output 2 6 31 2" xfId="12163"/>
    <cellStyle name="Output 2 6 31 3" xfId="21156"/>
    <cellStyle name="Output 2 6 31 4" xfId="29343"/>
    <cellStyle name="Output 2 6 31 5" xfId="38709"/>
    <cellStyle name="Output 2 6 31 6" xfId="43008"/>
    <cellStyle name="Output 2 6 31 7" xfId="50718"/>
    <cellStyle name="Output 2 6 32" xfId="4560"/>
    <cellStyle name="Output 2 6 32 2" xfId="12277"/>
    <cellStyle name="Output 2 6 32 3" xfId="21270"/>
    <cellStyle name="Output 2 6 32 4" xfId="29457"/>
    <cellStyle name="Output 2 6 32 5" xfId="38818"/>
    <cellStyle name="Output 2 6 32 6" xfId="43122"/>
    <cellStyle name="Output 2 6 32 7" xfId="53790"/>
    <cellStyle name="Output 2 6 33" xfId="4673"/>
    <cellStyle name="Output 2 6 33 2" xfId="12390"/>
    <cellStyle name="Output 2 6 33 3" xfId="21383"/>
    <cellStyle name="Output 2 6 33 4" xfId="29570"/>
    <cellStyle name="Output 2 6 33 5" xfId="38927"/>
    <cellStyle name="Output 2 6 33 6" xfId="43235"/>
    <cellStyle name="Output 2 6 33 7" xfId="49496"/>
    <cellStyle name="Output 2 6 34" xfId="4784"/>
    <cellStyle name="Output 2 6 34 2" xfId="12501"/>
    <cellStyle name="Output 2 6 34 3" xfId="21494"/>
    <cellStyle name="Output 2 6 34 4" xfId="29681"/>
    <cellStyle name="Output 2 6 34 5" xfId="39035"/>
    <cellStyle name="Output 2 6 34 6" xfId="43346"/>
    <cellStyle name="Output 2 6 34 7" xfId="53271"/>
    <cellStyle name="Output 2 6 35" xfId="4893"/>
    <cellStyle name="Output 2 6 35 2" xfId="12610"/>
    <cellStyle name="Output 2 6 35 3" xfId="21603"/>
    <cellStyle name="Output 2 6 35 4" xfId="29790"/>
    <cellStyle name="Output 2 6 35 5" xfId="39139"/>
    <cellStyle name="Output 2 6 35 6" xfId="43455"/>
    <cellStyle name="Output 2 6 35 7" xfId="47418"/>
    <cellStyle name="Output 2 6 36" xfId="5004"/>
    <cellStyle name="Output 2 6 36 2" xfId="12721"/>
    <cellStyle name="Output 2 6 36 3" xfId="21714"/>
    <cellStyle name="Output 2 6 36 4" xfId="29901"/>
    <cellStyle name="Output 2 6 36 5" xfId="39247"/>
    <cellStyle name="Output 2 6 36 6" xfId="43566"/>
    <cellStyle name="Output 2 6 36 7" xfId="53754"/>
    <cellStyle name="Output 2 6 37" xfId="5383"/>
    <cellStyle name="Output 2 6 37 2" xfId="13100"/>
    <cellStyle name="Output 2 6 37 3" xfId="22093"/>
    <cellStyle name="Output 2 6 37 4" xfId="30280"/>
    <cellStyle name="Output 2 6 37 5" xfId="39611"/>
    <cellStyle name="Output 2 6 37 6" xfId="43945"/>
    <cellStyle name="Output 2 6 37 7" xfId="53008"/>
    <cellStyle name="Output 2 6 38" xfId="5503"/>
    <cellStyle name="Output 2 6 38 2" xfId="13220"/>
    <cellStyle name="Output 2 6 38 3" xfId="22213"/>
    <cellStyle name="Output 2 6 38 4" xfId="30400"/>
    <cellStyle name="Output 2 6 38 5" xfId="39725"/>
    <cellStyle name="Output 2 6 38 6" xfId="44065"/>
    <cellStyle name="Output 2 6 38 7" xfId="47968"/>
    <cellStyle name="Output 2 6 39" xfId="5627"/>
    <cellStyle name="Output 2 6 39 2" xfId="13344"/>
    <cellStyle name="Output 2 6 39 3" xfId="22337"/>
    <cellStyle name="Output 2 6 39 4" xfId="30524"/>
    <cellStyle name="Output 2 6 39 5" xfId="39845"/>
    <cellStyle name="Output 2 6 39 6" xfId="44189"/>
    <cellStyle name="Output 2 6 39 7" xfId="47121"/>
    <cellStyle name="Output 2 6 4" xfId="894"/>
    <cellStyle name="Output 2 6 4 2" xfId="8718"/>
    <cellStyle name="Output 2 6 4 3" xfId="16146"/>
    <cellStyle name="Output 2 6 4 4" xfId="19823"/>
    <cellStyle name="Output 2 6 4 5" xfId="27569"/>
    <cellStyle name="Output 2 6 4 6" xfId="37488"/>
    <cellStyle name="Output 2 6 4 7" xfId="47730"/>
    <cellStyle name="Output 2 6 40" xfId="5743"/>
    <cellStyle name="Output 2 6 40 2" xfId="13460"/>
    <cellStyle name="Output 2 6 40 3" xfId="22453"/>
    <cellStyle name="Output 2 6 40 4" xfId="30640"/>
    <cellStyle name="Output 2 6 40 5" xfId="39957"/>
    <cellStyle name="Output 2 6 40 6" xfId="44305"/>
    <cellStyle name="Output 2 6 40 7" xfId="53029"/>
    <cellStyle name="Output 2 6 41" xfId="5859"/>
    <cellStyle name="Output 2 6 41 2" xfId="13576"/>
    <cellStyle name="Output 2 6 41 3" xfId="22569"/>
    <cellStyle name="Output 2 6 41 4" xfId="30756"/>
    <cellStyle name="Output 2 6 41 5" xfId="40070"/>
    <cellStyle name="Output 2 6 41 6" xfId="44421"/>
    <cellStyle name="Output 2 6 41 7" xfId="53680"/>
    <cellStyle name="Output 2 6 42" xfId="5988"/>
    <cellStyle name="Output 2 6 42 2" xfId="13705"/>
    <cellStyle name="Output 2 6 42 3" xfId="22698"/>
    <cellStyle name="Output 2 6 42 4" xfId="30885"/>
    <cellStyle name="Output 2 6 42 5" xfId="40194"/>
    <cellStyle name="Output 2 6 42 6" xfId="44550"/>
    <cellStyle name="Output 2 6 42 7" xfId="53521"/>
    <cellStyle name="Output 2 6 43" xfId="5166"/>
    <cellStyle name="Output 2 6 43 2" xfId="12883"/>
    <cellStyle name="Output 2 6 43 3" xfId="21876"/>
    <cellStyle name="Output 2 6 43 4" xfId="30063"/>
    <cellStyle name="Output 2 6 43 5" xfId="39402"/>
    <cellStyle name="Output 2 6 43 6" xfId="43728"/>
    <cellStyle name="Output 2 6 43 7" xfId="52955"/>
    <cellStyle name="Output 2 6 44" xfId="6244"/>
    <cellStyle name="Output 2 6 44 2" xfId="13961"/>
    <cellStyle name="Output 2 6 44 3" xfId="22954"/>
    <cellStyle name="Output 2 6 44 4" xfId="31141"/>
    <cellStyle name="Output 2 6 44 5" xfId="40442"/>
    <cellStyle name="Output 2 6 44 6" xfId="44806"/>
    <cellStyle name="Output 2 6 44 7" xfId="47518"/>
    <cellStyle name="Output 2 6 45" xfId="6360"/>
    <cellStyle name="Output 2 6 45 2" xfId="14077"/>
    <cellStyle name="Output 2 6 45 3" xfId="23070"/>
    <cellStyle name="Output 2 6 45 4" xfId="31257"/>
    <cellStyle name="Output 2 6 45 5" xfId="40555"/>
    <cellStyle name="Output 2 6 45 6" xfId="44922"/>
    <cellStyle name="Output 2 6 45 7" xfId="54237"/>
    <cellStyle name="Output 2 6 46" xfId="6471"/>
    <cellStyle name="Output 2 6 46 2" xfId="14188"/>
    <cellStyle name="Output 2 6 46 3" xfId="23181"/>
    <cellStyle name="Output 2 6 46 4" xfId="31368"/>
    <cellStyle name="Output 2 6 46 5" xfId="40662"/>
    <cellStyle name="Output 2 6 46 6" xfId="45033"/>
    <cellStyle name="Output 2 6 46 7" xfId="48837"/>
    <cellStyle name="Output 2 6 47" xfId="6560"/>
    <cellStyle name="Output 2 6 47 2" xfId="14277"/>
    <cellStyle name="Output 2 6 47 3" xfId="23270"/>
    <cellStyle name="Output 2 6 47 4" xfId="31457"/>
    <cellStyle name="Output 2 6 47 5" xfId="40746"/>
    <cellStyle name="Output 2 6 47 6" xfId="45122"/>
    <cellStyle name="Output 2 6 47 7" xfId="51793"/>
    <cellStyle name="Output 2 6 48" xfId="6617"/>
    <cellStyle name="Output 2 6 48 2" xfId="14334"/>
    <cellStyle name="Output 2 6 48 3" xfId="23327"/>
    <cellStyle name="Output 2 6 48 4" xfId="31514"/>
    <cellStyle name="Output 2 6 48 5" xfId="40801"/>
    <cellStyle name="Output 2 6 48 6" xfId="45179"/>
    <cellStyle name="Output 2 6 48 7" xfId="49161"/>
    <cellStyle name="Output 2 6 49" xfId="6729"/>
    <cellStyle name="Output 2 6 49 2" xfId="14446"/>
    <cellStyle name="Output 2 6 49 3" xfId="23439"/>
    <cellStyle name="Output 2 6 49 4" xfId="31626"/>
    <cellStyle name="Output 2 6 49 5" xfId="40907"/>
    <cellStyle name="Output 2 6 49 6" xfId="45291"/>
    <cellStyle name="Output 2 6 49 7" xfId="52185"/>
    <cellStyle name="Output 2 6 5" xfId="1360"/>
    <cellStyle name="Output 2 6 5 2" xfId="9183"/>
    <cellStyle name="Output 2 6 5 3" xfId="16611"/>
    <cellStyle name="Output 2 6 5 4" xfId="26625"/>
    <cellStyle name="Output 2 6 5 5" xfId="35458"/>
    <cellStyle name="Output 2 6 5 6" xfId="39397"/>
    <cellStyle name="Output 2 6 5 7" xfId="54337"/>
    <cellStyle name="Output 2 6 50" xfId="6844"/>
    <cellStyle name="Output 2 6 50 2" xfId="14561"/>
    <cellStyle name="Output 2 6 50 3" xfId="23554"/>
    <cellStyle name="Output 2 6 50 4" xfId="31741"/>
    <cellStyle name="Output 2 6 50 5" xfId="41015"/>
    <cellStyle name="Output 2 6 50 6" xfId="45406"/>
    <cellStyle name="Output 2 6 50 7" xfId="47005"/>
    <cellStyle name="Output 2 6 51" xfId="6957"/>
    <cellStyle name="Output 2 6 51 2" xfId="14674"/>
    <cellStyle name="Output 2 6 51 3" xfId="23667"/>
    <cellStyle name="Output 2 6 51 4" xfId="31854"/>
    <cellStyle name="Output 2 6 51 5" xfId="41123"/>
    <cellStyle name="Output 2 6 51 6" xfId="45519"/>
    <cellStyle name="Output 2 6 51 7" xfId="46811"/>
    <cellStyle name="Output 2 6 52" xfId="7068"/>
    <cellStyle name="Output 2 6 52 2" xfId="14785"/>
    <cellStyle name="Output 2 6 52 3" xfId="23778"/>
    <cellStyle name="Output 2 6 52 4" xfId="31965"/>
    <cellStyle name="Output 2 6 52 5" xfId="41228"/>
    <cellStyle name="Output 2 6 52 6" xfId="45630"/>
    <cellStyle name="Output 2 6 52 7" xfId="51783"/>
    <cellStyle name="Output 2 6 53" xfId="7347"/>
    <cellStyle name="Output 2 6 53 2" xfId="15064"/>
    <cellStyle name="Output 2 6 53 3" xfId="24057"/>
    <cellStyle name="Output 2 6 53 4" xfId="32244"/>
    <cellStyle name="Output 2 6 53 5" xfId="41500"/>
    <cellStyle name="Output 2 6 53 6" xfId="45909"/>
    <cellStyle name="Output 2 6 53 7" xfId="51567"/>
    <cellStyle name="Output 2 6 54" xfId="7362"/>
    <cellStyle name="Output 2 6 54 2" xfId="15079"/>
    <cellStyle name="Output 2 6 54 3" xfId="24072"/>
    <cellStyle name="Output 2 6 54 4" xfId="32259"/>
    <cellStyle name="Output 2 6 54 5" xfId="41515"/>
    <cellStyle name="Output 2 6 54 6" xfId="45924"/>
    <cellStyle name="Output 2 6 54 7" xfId="50064"/>
    <cellStyle name="Output 2 6 55" xfId="7465"/>
    <cellStyle name="Output 2 6 55 2" xfId="15182"/>
    <cellStyle name="Output 2 6 55 3" xfId="24175"/>
    <cellStyle name="Output 2 6 55 4" xfId="32362"/>
    <cellStyle name="Output 2 6 55 5" xfId="41611"/>
    <cellStyle name="Output 2 6 55 6" xfId="46027"/>
    <cellStyle name="Output 2 6 55 7" xfId="53964"/>
    <cellStyle name="Output 2 6 56" xfId="7586"/>
    <cellStyle name="Output 2 6 56 2" xfId="15303"/>
    <cellStyle name="Output 2 6 56 3" xfId="24296"/>
    <cellStyle name="Output 2 6 56 4" xfId="32483"/>
    <cellStyle name="Output 2 6 56 5" xfId="41726"/>
    <cellStyle name="Output 2 6 56 6" xfId="46148"/>
    <cellStyle name="Output 2 6 56 7" xfId="47271"/>
    <cellStyle name="Output 2 6 57" xfId="7862"/>
    <cellStyle name="Output 2 6 57 2" xfId="15579"/>
    <cellStyle name="Output 2 6 57 3" xfId="24566"/>
    <cellStyle name="Output 2 6 57 4" xfId="32759"/>
    <cellStyle name="Output 2 6 57 5" xfId="41991"/>
    <cellStyle name="Output 2 6 57 6" xfId="46424"/>
    <cellStyle name="Output 2 6 57 7" xfId="47460"/>
    <cellStyle name="Output 2 6 58" xfId="7756"/>
    <cellStyle name="Output 2 6 58 2" xfId="15473"/>
    <cellStyle name="Output 2 6 58 3" xfId="24464"/>
    <cellStyle name="Output 2 6 58 4" xfId="32653"/>
    <cellStyle name="Output 2 6 58 5" xfId="41889"/>
    <cellStyle name="Output 2 6 58 6" xfId="46318"/>
    <cellStyle name="Output 2 6 58 7" xfId="52652"/>
    <cellStyle name="Output 2 6 59" xfId="8074"/>
    <cellStyle name="Output 2 6 59 2" xfId="15791"/>
    <cellStyle name="Output 2 6 59 3" xfId="24776"/>
    <cellStyle name="Output 2 6 59 4" xfId="32971"/>
    <cellStyle name="Output 2 6 59 5" xfId="42193"/>
    <cellStyle name="Output 2 6 59 6" xfId="46636"/>
    <cellStyle name="Output 2 6 59 7" xfId="48293"/>
    <cellStyle name="Output 2 6 6" xfId="1483"/>
    <cellStyle name="Output 2 6 6 2" xfId="9306"/>
    <cellStyle name="Output 2 6 6 3" xfId="16734"/>
    <cellStyle name="Output 2 6 6 4" xfId="26615"/>
    <cellStyle name="Output 2 6 6 5" xfId="35445"/>
    <cellStyle name="Output 2 6 6 6" xfId="39470"/>
    <cellStyle name="Output 2 6 6 7" xfId="54317"/>
    <cellStyle name="Output 2 6 60" xfId="8138"/>
    <cellStyle name="Output 2 6 60 2" xfId="15855"/>
    <cellStyle name="Output 2 6 60 3" xfId="33035"/>
    <cellStyle name="Output 2 6 60 4" xfId="42255"/>
    <cellStyle name="Output 2 6 60 5" xfId="46700"/>
    <cellStyle name="Output 2 6 60 6" xfId="49612"/>
    <cellStyle name="Output 2 6 61" xfId="20568"/>
    <cellStyle name="Output 2 6 62" xfId="28298"/>
    <cellStyle name="Output 2 6 63" xfId="36590"/>
    <cellStyle name="Output 2 6 64" xfId="49034"/>
    <cellStyle name="Output 2 6 7" xfId="1620"/>
    <cellStyle name="Output 2 6 7 2" xfId="9443"/>
    <cellStyle name="Output 2 6 7 3" xfId="16871"/>
    <cellStyle name="Output 2 6 7 4" xfId="25365"/>
    <cellStyle name="Output 2 6 7 5" xfId="33805"/>
    <cellStyle name="Output 2 6 7 6" xfId="37141"/>
    <cellStyle name="Output 2 6 7 7" xfId="51571"/>
    <cellStyle name="Output 2 6 8" xfId="1720"/>
    <cellStyle name="Output 2 6 8 2" xfId="9543"/>
    <cellStyle name="Output 2 6 8 3" xfId="16971"/>
    <cellStyle name="Output 2 6 8 4" xfId="25712"/>
    <cellStyle name="Output 2 6 8 5" xfId="34254"/>
    <cellStyle name="Output 2 6 8 6" xfId="36393"/>
    <cellStyle name="Output 2 6 8 7" xfId="52340"/>
    <cellStyle name="Output 2 6 9" xfId="1854"/>
    <cellStyle name="Output 2 6 9 2" xfId="9677"/>
    <cellStyle name="Output 2 6 9 3" xfId="17105"/>
    <cellStyle name="Output 2 6 9 4" xfId="25987"/>
    <cellStyle name="Output 2 6 9 5" xfId="34608"/>
    <cellStyle name="Output 2 6 9 6" xfId="36822"/>
    <cellStyle name="Output 2 6 9 7" xfId="52969"/>
    <cellStyle name="Output 2 7" xfId="621"/>
    <cellStyle name="Output 2 7 2" xfId="8445"/>
    <cellStyle name="Output 2 7 3" xfId="11820"/>
    <cellStyle name="Output 2 7 4" xfId="19613"/>
    <cellStyle name="Output 2 7 5" xfId="26849"/>
    <cellStyle name="Output 2 7 6" xfId="36429"/>
    <cellStyle name="Output 2 7 7" xfId="49063"/>
    <cellStyle name="Output 2 8" xfId="218"/>
    <cellStyle name="Output 2 8 2" xfId="8323"/>
    <cellStyle name="Output 2 8 3" xfId="8312"/>
    <cellStyle name="Output 2 8 4" xfId="25237"/>
    <cellStyle name="Output 2 8 5" xfId="33641"/>
    <cellStyle name="Output 2 8 6" xfId="37735"/>
    <cellStyle name="Output 2 8 7" xfId="51295"/>
    <cellStyle name="Output 2 9" xfId="1215"/>
    <cellStyle name="Output 2 9 2" xfId="9038"/>
    <cellStyle name="Output 2 9 3" xfId="16466"/>
    <cellStyle name="Output 2 9 4" xfId="19831"/>
    <cellStyle name="Output 2 9 5" xfId="27234"/>
    <cellStyle name="Output 2 9 6" xfId="39880"/>
    <cellStyle name="Output 2 9 7" xfId="50271"/>
    <cellStyle name="Output 3" xfId="159"/>
    <cellStyle name="Output 3 10" xfId="1237"/>
    <cellStyle name="Output 3 10 2" xfId="9060"/>
    <cellStyle name="Output 3 10 3" xfId="16488"/>
    <cellStyle name="Output 3 10 4" xfId="20398"/>
    <cellStyle name="Output 3 10 5" xfId="27865"/>
    <cellStyle name="Output 3 10 6" xfId="37622"/>
    <cellStyle name="Output 3 10 7" xfId="47743"/>
    <cellStyle name="Output 3 11" xfId="1298"/>
    <cellStyle name="Output 3 11 2" xfId="9121"/>
    <cellStyle name="Output 3 11 3" xfId="16549"/>
    <cellStyle name="Output 3 11 4" xfId="20536"/>
    <cellStyle name="Output 3 11 5" xfId="27588"/>
    <cellStyle name="Output 3 11 6" xfId="38280"/>
    <cellStyle name="Output 3 11 7" xfId="48233"/>
    <cellStyle name="Output 3 12" xfId="1173"/>
    <cellStyle name="Output 3 12 2" xfId="8996"/>
    <cellStyle name="Output 3 12 3" xfId="16424"/>
    <cellStyle name="Output 3 12 4" xfId="19758"/>
    <cellStyle name="Output 3 12 5" xfId="27697"/>
    <cellStyle name="Output 3 12 6" xfId="37878"/>
    <cellStyle name="Output 3 12 7" xfId="48410"/>
    <cellStyle name="Output 3 13" xfId="2288"/>
    <cellStyle name="Output 3 13 2" xfId="10111"/>
    <cellStyle name="Output 3 13 3" xfId="17539"/>
    <cellStyle name="Output 3 13 4" xfId="25108"/>
    <cellStyle name="Output 3 13 5" xfId="33475"/>
    <cellStyle name="Output 3 13 6" xfId="36849"/>
    <cellStyle name="Output 3 13 7" xfId="51027"/>
    <cellStyle name="Output 3 14" xfId="1035"/>
    <cellStyle name="Output 3 14 2" xfId="8859"/>
    <cellStyle name="Output 3 14 3" xfId="16287"/>
    <cellStyle name="Output 3 14 4" xfId="26664"/>
    <cellStyle name="Output 3 14 5" xfId="35511"/>
    <cellStyle name="Output 3 14 6" xfId="36640"/>
    <cellStyle name="Output 3 14 7" xfId="54423"/>
    <cellStyle name="Output 3 15" xfId="3225"/>
    <cellStyle name="Output 3 15 2" xfId="11021"/>
    <cellStyle name="Output 3 15 3" xfId="18358"/>
    <cellStyle name="Output 3 15 4" xfId="26084"/>
    <cellStyle name="Output 3 15 5" xfId="34731"/>
    <cellStyle name="Output 3 15 6" xfId="39926"/>
    <cellStyle name="Output 3 15 7" xfId="53173"/>
    <cellStyle name="Output 3 16" xfId="3204"/>
    <cellStyle name="Output 3 16 2" xfId="11004"/>
    <cellStyle name="Output 3 16 3" xfId="20330"/>
    <cellStyle name="Output 3 16 4" xfId="19308"/>
    <cellStyle name="Output 3 16 5" xfId="27893"/>
    <cellStyle name="Output 3 16 6" xfId="41813"/>
    <cellStyle name="Output 3 16 7" xfId="48265"/>
    <cellStyle name="Output 3 17" xfId="3758"/>
    <cellStyle name="Output 3 17 2" xfId="20608"/>
    <cellStyle name="Output 3 17 3" xfId="28758"/>
    <cellStyle name="Output 3 17 4" xfId="38146"/>
    <cellStyle name="Output 3 17 5" xfId="42534"/>
    <cellStyle name="Output 3 17 6" xfId="52505"/>
    <cellStyle name="Output 3 18" xfId="4235"/>
    <cellStyle name="Output 3 18 2" xfId="11969"/>
    <cellStyle name="Output 3 18 3" xfId="20945"/>
    <cellStyle name="Output 3 18 4" xfId="29132"/>
    <cellStyle name="Output 3 18 5" xfId="38506"/>
    <cellStyle name="Output 3 18 6" xfId="42797"/>
    <cellStyle name="Output 3 18 7" xfId="49945"/>
    <cellStyle name="Output 3 19" xfId="4060"/>
    <cellStyle name="Output 3 19 2" xfId="11826"/>
    <cellStyle name="Output 3 19 3" xfId="20770"/>
    <cellStyle name="Output 3 19 4" xfId="28957"/>
    <cellStyle name="Output 3 19 5" xfId="38336"/>
    <cellStyle name="Output 3 19 6" xfId="42622"/>
    <cellStyle name="Output 3 19 7" xfId="51148"/>
    <cellStyle name="Output 3 2" xfId="261"/>
    <cellStyle name="Output 3 2 10" xfId="1129"/>
    <cellStyle name="Output 3 2 10 2" xfId="8952"/>
    <cellStyle name="Output 3 2 10 3" xfId="16380"/>
    <cellStyle name="Output 3 2 10 4" xfId="25588"/>
    <cellStyle name="Output 3 2 10 5" xfId="34096"/>
    <cellStyle name="Output 3 2 10 6" xfId="42137"/>
    <cellStyle name="Output 3 2 10 7" xfId="52072"/>
    <cellStyle name="Output 3 2 11" xfId="963"/>
    <cellStyle name="Output 3 2 11 2" xfId="8787"/>
    <cellStyle name="Output 3 2 11 3" xfId="16215"/>
    <cellStyle name="Output 3 2 11 4" xfId="20417"/>
    <cellStyle name="Output 3 2 11 5" xfId="28713"/>
    <cellStyle name="Output 3 2 11 6" xfId="36803"/>
    <cellStyle name="Output 3 2 11 7" xfId="48369"/>
    <cellStyle name="Output 3 2 12" xfId="1045"/>
    <cellStyle name="Output 3 2 12 2" xfId="8869"/>
    <cellStyle name="Output 3 2 12 3" xfId="16297"/>
    <cellStyle name="Output 3 2 12 4" xfId="26146"/>
    <cellStyle name="Output 3 2 12 5" xfId="34812"/>
    <cellStyle name="Output 3 2 12 6" xfId="36491"/>
    <cellStyle name="Output 3 2 12 7" xfId="53311"/>
    <cellStyle name="Output 3 2 13" xfId="1057"/>
    <cellStyle name="Output 3 2 13 2" xfId="8881"/>
    <cellStyle name="Output 3 2 13 3" xfId="16309"/>
    <cellStyle name="Output 3 2 13 4" xfId="25633"/>
    <cellStyle name="Output 3 2 13 5" xfId="34152"/>
    <cellStyle name="Output 3 2 13 6" xfId="37465"/>
    <cellStyle name="Output 3 2 13 7" xfId="52170"/>
    <cellStyle name="Output 3 2 14" xfId="1769"/>
    <cellStyle name="Output 3 2 14 2" xfId="9592"/>
    <cellStyle name="Output 3 2 14 3" xfId="17020"/>
    <cellStyle name="Output 3 2 14 4" xfId="26671"/>
    <cellStyle name="Output 3 2 14 5" xfId="35518"/>
    <cellStyle name="Output 3 2 14 6" xfId="37942"/>
    <cellStyle name="Output 3 2 14 7" xfId="54436"/>
    <cellStyle name="Output 3 2 15" xfId="1253"/>
    <cellStyle name="Output 3 2 15 2" xfId="9076"/>
    <cellStyle name="Output 3 2 15 3" xfId="16504"/>
    <cellStyle name="Output 3 2 15 4" xfId="19899"/>
    <cellStyle name="Output 3 2 15 5" xfId="27037"/>
    <cellStyle name="Output 3 2 15 6" xfId="41443"/>
    <cellStyle name="Output 3 2 15 7" xfId="46915"/>
    <cellStyle name="Output 3 2 16" xfId="1666"/>
    <cellStyle name="Output 3 2 16 2" xfId="9489"/>
    <cellStyle name="Output 3 2 16 3" xfId="16917"/>
    <cellStyle name="Output 3 2 16 4" xfId="24846"/>
    <cellStyle name="Output 3 2 16 5" xfId="26859"/>
    <cellStyle name="Output 3 2 16 6" xfId="39153"/>
    <cellStyle name="Output 3 2 16 7" xfId="49845"/>
    <cellStyle name="Output 3 2 17" xfId="1180"/>
    <cellStyle name="Output 3 2 17 2" xfId="9003"/>
    <cellStyle name="Output 3 2 17 3" xfId="16431"/>
    <cellStyle name="Output 3 2 17 4" xfId="26443"/>
    <cellStyle name="Output 3 2 17 5" xfId="35216"/>
    <cellStyle name="Output 3 2 17 6" xfId="37396"/>
    <cellStyle name="Output 3 2 17 7" xfId="53944"/>
    <cellStyle name="Output 3 2 18" xfId="1214"/>
    <cellStyle name="Output 3 2 18 2" xfId="9037"/>
    <cellStyle name="Output 3 2 18 3" xfId="16465"/>
    <cellStyle name="Output 3 2 18 4" xfId="24817"/>
    <cellStyle name="Output 3 2 18 5" xfId="33134"/>
    <cellStyle name="Output 3 2 18 6" xfId="39992"/>
    <cellStyle name="Output 3 2 18 7" xfId="50395"/>
    <cellStyle name="Output 3 2 19" xfId="2322"/>
    <cellStyle name="Output 3 2 19 2" xfId="10145"/>
    <cellStyle name="Output 3 2 19 3" xfId="17573"/>
    <cellStyle name="Output 3 2 19 4" xfId="20359"/>
    <cellStyle name="Output 3 2 19 5" xfId="28134"/>
    <cellStyle name="Output 3 2 19 6" xfId="41196"/>
    <cellStyle name="Output 3 2 19 7" xfId="50118"/>
    <cellStyle name="Output 3 2 2" xfId="535"/>
    <cellStyle name="Output 3 2 2 10" xfId="1982"/>
    <cellStyle name="Output 3 2 2 10 2" xfId="9805"/>
    <cellStyle name="Output 3 2 2 10 3" xfId="17233"/>
    <cellStyle name="Output 3 2 2 10 4" xfId="20573"/>
    <cellStyle name="Output 3 2 2 10 5" xfId="27223"/>
    <cellStyle name="Output 3 2 2 10 6" xfId="37192"/>
    <cellStyle name="Output 3 2 2 10 7" xfId="48420"/>
    <cellStyle name="Output 3 2 2 11" xfId="2100"/>
    <cellStyle name="Output 3 2 2 11 2" xfId="9923"/>
    <cellStyle name="Output 3 2 2 11 3" xfId="17351"/>
    <cellStyle name="Output 3 2 2 11 4" xfId="19202"/>
    <cellStyle name="Output 3 2 2 11 5" xfId="26966"/>
    <cellStyle name="Output 3 2 2 11 6" xfId="40245"/>
    <cellStyle name="Output 3 2 2 11 7" xfId="47306"/>
    <cellStyle name="Output 3 2 2 12" xfId="2213"/>
    <cellStyle name="Output 3 2 2 12 2" xfId="10036"/>
    <cellStyle name="Output 3 2 2 12 3" xfId="17464"/>
    <cellStyle name="Output 3 2 2 12 4" xfId="25363"/>
    <cellStyle name="Output 3 2 2 12 5" xfId="33803"/>
    <cellStyle name="Output 3 2 2 12 6" xfId="37772"/>
    <cellStyle name="Output 3 2 2 12 7" xfId="51566"/>
    <cellStyle name="Output 3 2 2 13" xfId="2309"/>
    <cellStyle name="Output 3 2 2 13 2" xfId="10132"/>
    <cellStyle name="Output 3 2 2 13 3" xfId="17560"/>
    <cellStyle name="Output 3 2 2 13 4" xfId="20135"/>
    <cellStyle name="Output 3 2 2 13 5" xfId="27644"/>
    <cellStyle name="Output 3 2 2 13 6" xfId="37004"/>
    <cellStyle name="Output 3 2 2 13 7" xfId="48898"/>
    <cellStyle name="Output 3 2 2 14" xfId="2403"/>
    <cellStyle name="Output 3 2 2 14 2" xfId="10226"/>
    <cellStyle name="Output 3 2 2 14 3" xfId="17654"/>
    <cellStyle name="Output 3 2 2 14 4" xfId="26270"/>
    <cellStyle name="Output 3 2 2 14 5" xfId="34969"/>
    <cellStyle name="Output 3 2 2 14 6" xfId="39349"/>
    <cellStyle name="Output 3 2 2 14 7" xfId="53578"/>
    <cellStyle name="Output 3 2 2 15" xfId="2511"/>
    <cellStyle name="Output 3 2 2 15 2" xfId="10334"/>
    <cellStyle name="Output 3 2 2 15 3" xfId="17762"/>
    <cellStyle name="Output 3 2 2 15 4" xfId="20627"/>
    <cellStyle name="Output 3 2 2 15 5" xfId="27168"/>
    <cellStyle name="Output 3 2 2 15 6" xfId="37661"/>
    <cellStyle name="Output 3 2 2 15 7" xfId="47420"/>
    <cellStyle name="Output 3 2 2 16" xfId="2624"/>
    <cellStyle name="Output 3 2 2 16 2" xfId="10447"/>
    <cellStyle name="Output 3 2 2 16 3" xfId="17875"/>
    <cellStyle name="Output 3 2 2 16 4" xfId="26255"/>
    <cellStyle name="Output 3 2 2 16 5" xfId="34952"/>
    <cellStyle name="Output 3 2 2 16 6" xfId="40255"/>
    <cellStyle name="Output 3 2 2 16 7" xfId="53547"/>
    <cellStyle name="Output 3 2 2 17" xfId="2709"/>
    <cellStyle name="Output 3 2 2 17 2" xfId="10532"/>
    <cellStyle name="Output 3 2 2 17 3" xfId="17960"/>
    <cellStyle name="Output 3 2 2 17 4" xfId="25600"/>
    <cellStyle name="Output 3 2 2 17 5" xfId="34110"/>
    <cellStyle name="Output 3 2 2 17 6" xfId="38671"/>
    <cellStyle name="Output 3 2 2 17 7" xfId="52090"/>
    <cellStyle name="Output 3 2 2 18" xfId="2746"/>
    <cellStyle name="Output 3 2 2 18 2" xfId="10569"/>
    <cellStyle name="Output 3 2 2 18 3" xfId="17997"/>
    <cellStyle name="Output 3 2 2 18 4" xfId="25473"/>
    <cellStyle name="Output 3 2 2 18 5" xfId="33942"/>
    <cellStyle name="Output 3 2 2 18 6" xfId="36976"/>
    <cellStyle name="Output 3 2 2 18 7" xfId="51810"/>
    <cellStyle name="Output 3 2 2 19" xfId="2817"/>
    <cellStyle name="Output 3 2 2 19 2" xfId="10640"/>
    <cellStyle name="Output 3 2 2 19 3" xfId="18068"/>
    <cellStyle name="Output 3 2 2 19 4" xfId="19814"/>
    <cellStyle name="Output 3 2 2 19 5" xfId="28568"/>
    <cellStyle name="Output 3 2 2 19 6" xfId="36733"/>
    <cellStyle name="Output 3 2 2 19 7" xfId="47381"/>
    <cellStyle name="Output 3 2 2 2" xfId="685"/>
    <cellStyle name="Output 3 2 2 2 2" xfId="8509"/>
    <cellStyle name="Output 3 2 2 2 3" xfId="15937"/>
    <cellStyle name="Output 3 2 2 2 4" xfId="19322"/>
    <cellStyle name="Output 3 2 2 2 5" xfId="27452"/>
    <cellStyle name="Output 3 2 2 2 6" xfId="36503"/>
    <cellStyle name="Output 3 2 2 2 7" xfId="48286"/>
    <cellStyle name="Output 3 2 2 20" xfId="2924"/>
    <cellStyle name="Output 3 2 2 20 2" xfId="10747"/>
    <cellStyle name="Output 3 2 2 20 3" xfId="18175"/>
    <cellStyle name="Output 3 2 2 20 4" xfId="26258"/>
    <cellStyle name="Output 3 2 2 20 5" xfId="34956"/>
    <cellStyle name="Output 3 2 2 20 6" xfId="36840"/>
    <cellStyle name="Output 3 2 2 20 7" xfId="53556"/>
    <cellStyle name="Output 3 2 2 21" xfId="3300"/>
    <cellStyle name="Output 3 2 2 21 2" xfId="11093"/>
    <cellStyle name="Output 3 2 2 21 3" xfId="18422"/>
    <cellStyle name="Output 3 2 2 21 4" xfId="25593"/>
    <cellStyle name="Output 3 2 2 21 5" xfId="34102"/>
    <cellStyle name="Output 3 2 2 21 6" xfId="36546"/>
    <cellStyle name="Output 3 2 2 21 7" xfId="52081"/>
    <cellStyle name="Output 3 2 2 22" xfId="3420"/>
    <cellStyle name="Output 3 2 2 22 2" xfId="11211"/>
    <cellStyle name="Output 3 2 2 22 3" xfId="18533"/>
    <cellStyle name="Output 3 2 2 22 4" xfId="25997"/>
    <cellStyle name="Output 3 2 2 22 5" xfId="34620"/>
    <cellStyle name="Output 3 2 2 22 6" xfId="42264"/>
    <cellStyle name="Output 3 2 2 22 7" xfId="52986"/>
    <cellStyle name="Output 3 2 2 23" xfId="2988"/>
    <cellStyle name="Output 3 2 2 23 2" xfId="10810"/>
    <cellStyle name="Output 3 2 2 23 3" xfId="18236"/>
    <cellStyle name="Output 3 2 2 23 4" xfId="26669"/>
    <cellStyle name="Output 3 2 2 23 5" xfId="35516"/>
    <cellStyle name="Output 3 2 2 23 6" xfId="42030"/>
    <cellStyle name="Output 3 2 2 23 7" xfId="54433"/>
    <cellStyle name="Output 3 2 2 24" xfId="3691"/>
    <cellStyle name="Output 3 2 2 24 2" xfId="11476"/>
    <cellStyle name="Output 3 2 2 24 3" xfId="18749"/>
    <cellStyle name="Output 3 2 2 24 4" xfId="20023"/>
    <cellStyle name="Output 3 2 2 24 5" xfId="28136"/>
    <cellStyle name="Output 3 2 2 24 6" xfId="37350"/>
    <cellStyle name="Output 3 2 2 24 7" xfId="50266"/>
    <cellStyle name="Output 3 2 2 25" xfId="3821"/>
    <cellStyle name="Output 3 2 2 25 2" xfId="11603"/>
    <cellStyle name="Output 3 2 2 25 3" xfId="18860"/>
    <cellStyle name="Output 3 2 2 25 4" xfId="25788"/>
    <cellStyle name="Output 3 2 2 25 5" xfId="34356"/>
    <cellStyle name="Output 3 2 2 25 6" xfId="40033"/>
    <cellStyle name="Output 3 2 2 25 7" xfId="52528"/>
    <cellStyle name="Output 3 2 2 26" xfId="3939"/>
    <cellStyle name="Output 3 2 2 26 2" xfId="11719"/>
    <cellStyle name="Output 3 2 2 26 3" xfId="18969"/>
    <cellStyle name="Output 3 2 2 26 4" xfId="19878"/>
    <cellStyle name="Output 3 2 2 26 5" xfId="28515"/>
    <cellStyle name="Output 3 2 2 26 6" xfId="38117"/>
    <cellStyle name="Output 3 2 2 26 7" xfId="46966"/>
    <cellStyle name="Output 3 2 2 27" xfId="4018"/>
    <cellStyle name="Output 3 2 2 27 2" xfId="11793"/>
    <cellStyle name="Output 3 2 2 27 3" xfId="20728"/>
    <cellStyle name="Output 3 2 2 27 4" xfId="28915"/>
    <cellStyle name="Output 3 2 2 27 5" xfId="38298"/>
    <cellStyle name="Output 3 2 2 27 6" xfId="42580"/>
    <cellStyle name="Output 3 2 2 27 7" xfId="52742"/>
    <cellStyle name="Output 3 2 2 28" xfId="4136"/>
    <cellStyle name="Output 3 2 2 28 2" xfId="11895"/>
    <cellStyle name="Output 3 2 2 28 3" xfId="20846"/>
    <cellStyle name="Output 3 2 2 28 4" xfId="29033"/>
    <cellStyle name="Output 3 2 2 28 5" xfId="38410"/>
    <cellStyle name="Output 3 2 2 28 6" xfId="42698"/>
    <cellStyle name="Output 3 2 2 28 7" xfId="50572"/>
    <cellStyle name="Output 3 2 2 29" xfId="4194"/>
    <cellStyle name="Output 3 2 2 29 2" xfId="20904"/>
    <cellStyle name="Output 3 2 2 29 3" xfId="29091"/>
    <cellStyle name="Output 3 2 2 29 4" xfId="38467"/>
    <cellStyle name="Output 3 2 2 29 5" xfId="42756"/>
    <cellStyle name="Output 3 2 2 29 6" xfId="52555"/>
    <cellStyle name="Output 3 2 2 3" xfId="793"/>
    <cellStyle name="Output 3 2 2 3 2" xfId="8617"/>
    <cellStyle name="Output 3 2 2 3 3" xfId="16045"/>
    <cellStyle name="Output 3 2 2 3 4" xfId="19931"/>
    <cellStyle name="Output 3 2 2 3 5" xfId="28716"/>
    <cellStyle name="Output 3 2 2 3 6" xfId="36323"/>
    <cellStyle name="Output 3 2 2 3 7" xfId="50296"/>
    <cellStyle name="Output 3 2 2 30" xfId="4333"/>
    <cellStyle name="Output 3 2 2 30 2" xfId="12050"/>
    <cellStyle name="Output 3 2 2 30 3" xfId="21043"/>
    <cellStyle name="Output 3 2 2 30 4" xfId="29230"/>
    <cellStyle name="Output 3 2 2 30 5" xfId="38601"/>
    <cellStyle name="Output 3 2 2 30 6" xfId="42895"/>
    <cellStyle name="Output 3 2 2 30 7" xfId="49057"/>
    <cellStyle name="Output 3 2 2 31" xfId="4456"/>
    <cellStyle name="Output 3 2 2 31 2" xfId="12173"/>
    <cellStyle name="Output 3 2 2 31 3" xfId="21166"/>
    <cellStyle name="Output 3 2 2 31 4" xfId="29353"/>
    <cellStyle name="Output 3 2 2 31 5" xfId="38719"/>
    <cellStyle name="Output 3 2 2 31 6" xfId="43018"/>
    <cellStyle name="Output 3 2 2 31 7" xfId="47448"/>
    <cellStyle name="Output 3 2 2 32" xfId="4570"/>
    <cellStyle name="Output 3 2 2 32 2" xfId="12287"/>
    <cellStyle name="Output 3 2 2 32 3" xfId="21280"/>
    <cellStyle name="Output 3 2 2 32 4" xfId="29467"/>
    <cellStyle name="Output 3 2 2 32 5" xfId="38828"/>
    <cellStyle name="Output 3 2 2 32 6" xfId="43132"/>
    <cellStyle name="Output 3 2 2 32 7" xfId="52860"/>
    <cellStyle name="Output 3 2 2 33" xfId="4683"/>
    <cellStyle name="Output 3 2 2 33 2" xfId="12400"/>
    <cellStyle name="Output 3 2 2 33 3" xfId="21393"/>
    <cellStyle name="Output 3 2 2 33 4" xfId="29580"/>
    <cellStyle name="Output 3 2 2 33 5" xfId="38937"/>
    <cellStyle name="Output 3 2 2 33 6" xfId="43245"/>
    <cellStyle name="Output 3 2 2 33 7" xfId="48713"/>
    <cellStyle name="Output 3 2 2 34" xfId="4794"/>
    <cellStyle name="Output 3 2 2 34 2" xfId="12511"/>
    <cellStyle name="Output 3 2 2 34 3" xfId="21504"/>
    <cellStyle name="Output 3 2 2 34 4" xfId="29691"/>
    <cellStyle name="Output 3 2 2 34 5" xfId="39045"/>
    <cellStyle name="Output 3 2 2 34 6" xfId="43356"/>
    <cellStyle name="Output 3 2 2 34 7" xfId="52466"/>
    <cellStyle name="Output 3 2 2 35" xfId="4903"/>
    <cellStyle name="Output 3 2 2 35 2" xfId="12620"/>
    <cellStyle name="Output 3 2 2 35 3" xfId="21613"/>
    <cellStyle name="Output 3 2 2 35 4" xfId="29800"/>
    <cellStyle name="Output 3 2 2 35 5" xfId="39149"/>
    <cellStyle name="Output 3 2 2 35 6" xfId="43465"/>
    <cellStyle name="Output 3 2 2 35 7" xfId="48643"/>
    <cellStyle name="Output 3 2 2 36" xfId="5014"/>
    <cellStyle name="Output 3 2 2 36 2" xfId="12731"/>
    <cellStyle name="Output 3 2 2 36 3" xfId="21724"/>
    <cellStyle name="Output 3 2 2 36 4" xfId="29911"/>
    <cellStyle name="Output 3 2 2 36 5" xfId="39257"/>
    <cellStyle name="Output 3 2 2 36 6" xfId="43576"/>
    <cellStyle name="Output 3 2 2 36 7" xfId="52751"/>
    <cellStyle name="Output 3 2 2 37" xfId="5393"/>
    <cellStyle name="Output 3 2 2 37 2" xfId="13110"/>
    <cellStyle name="Output 3 2 2 37 3" xfId="22103"/>
    <cellStyle name="Output 3 2 2 37 4" xfId="30290"/>
    <cellStyle name="Output 3 2 2 37 5" xfId="39621"/>
    <cellStyle name="Output 3 2 2 37 6" xfId="43955"/>
    <cellStyle name="Output 3 2 2 37 7" xfId="52182"/>
    <cellStyle name="Output 3 2 2 38" xfId="5513"/>
    <cellStyle name="Output 3 2 2 38 2" xfId="13230"/>
    <cellStyle name="Output 3 2 2 38 3" xfId="22223"/>
    <cellStyle name="Output 3 2 2 38 4" xfId="30410"/>
    <cellStyle name="Output 3 2 2 38 5" xfId="39735"/>
    <cellStyle name="Output 3 2 2 38 6" xfId="44075"/>
    <cellStyle name="Output 3 2 2 38 7" xfId="50071"/>
    <cellStyle name="Output 3 2 2 39" xfId="5637"/>
    <cellStyle name="Output 3 2 2 39 2" xfId="13354"/>
    <cellStyle name="Output 3 2 2 39 3" xfId="22347"/>
    <cellStyle name="Output 3 2 2 39 4" xfId="30534"/>
    <cellStyle name="Output 3 2 2 39 5" xfId="39855"/>
    <cellStyle name="Output 3 2 2 39 6" xfId="44199"/>
    <cellStyle name="Output 3 2 2 39 7" xfId="54518"/>
    <cellStyle name="Output 3 2 2 4" xfId="904"/>
    <cellStyle name="Output 3 2 2 4 2" xfId="8728"/>
    <cellStyle name="Output 3 2 2 4 3" xfId="16156"/>
    <cellStyle name="Output 3 2 2 4 4" xfId="26234"/>
    <cellStyle name="Output 3 2 2 4 5" xfId="34922"/>
    <cellStyle name="Output 3 2 2 4 6" xfId="37050"/>
    <cellStyle name="Output 3 2 2 4 7" xfId="53492"/>
    <cellStyle name="Output 3 2 2 40" xfId="5753"/>
    <cellStyle name="Output 3 2 2 40 2" xfId="13470"/>
    <cellStyle name="Output 3 2 2 40 3" xfId="22463"/>
    <cellStyle name="Output 3 2 2 40 4" xfId="30650"/>
    <cellStyle name="Output 3 2 2 40 5" xfId="39967"/>
    <cellStyle name="Output 3 2 2 40 6" xfId="44315"/>
    <cellStyle name="Output 3 2 2 40 7" xfId="52095"/>
    <cellStyle name="Output 3 2 2 41" xfId="5869"/>
    <cellStyle name="Output 3 2 2 41 2" xfId="13586"/>
    <cellStyle name="Output 3 2 2 41 3" xfId="22579"/>
    <cellStyle name="Output 3 2 2 41 4" xfId="30766"/>
    <cellStyle name="Output 3 2 2 41 5" xfId="40080"/>
    <cellStyle name="Output 3 2 2 41 6" xfId="44431"/>
    <cellStyle name="Output 3 2 2 41 7" xfId="52661"/>
    <cellStyle name="Output 3 2 2 42" xfId="5998"/>
    <cellStyle name="Output 3 2 2 42 2" xfId="13715"/>
    <cellStyle name="Output 3 2 2 42 3" xfId="22708"/>
    <cellStyle name="Output 3 2 2 42 4" xfId="30895"/>
    <cellStyle name="Output 3 2 2 42 5" xfId="40204"/>
    <cellStyle name="Output 3 2 2 42 6" xfId="44560"/>
    <cellStyle name="Output 3 2 2 42 7" xfId="48456"/>
    <cellStyle name="Output 3 2 2 43" xfId="5305"/>
    <cellStyle name="Output 3 2 2 43 2" xfId="13022"/>
    <cellStyle name="Output 3 2 2 43 3" xfId="22015"/>
    <cellStyle name="Output 3 2 2 43 4" xfId="30202"/>
    <cellStyle name="Output 3 2 2 43 5" xfId="39536"/>
    <cellStyle name="Output 3 2 2 43 6" xfId="43867"/>
    <cellStyle name="Output 3 2 2 43 7" xfId="53669"/>
    <cellStyle name="Output 3 2 2 44" xfId="6254"/>
    <cellStyle name="Output 3 2 2 44 2" xfId="13971"/>
    <cellStyle name="Output 3 2 2 44 3" xfId="22964"/>
    <cellStyle name="Output 3 2 2 44 4" xfId="31151"/>
    <cellStyle name="Output 3 2 2 44 5" xfId="40452"/>
    <cellStyle name="Output 3 2 2 44 6" xfId="44816"/>
    <cellStyle name="Output 3 2 2 44 7" xfId="49533"/>
    <cellStyle name="Output 3 2 2 45" xfId="6370"/>
    <cellStyle name="Output 3 2 2 45 2" xfId="14087"/>
    <cellStyle name="Output 3 2 2 45 3" xfId="23080"/>
    <cellStyle name="Output 3 2 2 45 4" xfId="31267"/>
    <cellStyle name="Output 3 2 2 45 5" xfId="40565"/>
    <cellStyle name="Output 3 2 2 45 6" xfId="44932"/>
    <cellStyle name="Output 3 2 2 45 7" xfId="53070"/>
    <cellStyle name="Output 3 2 2 46" xfId="6481"/>
    <cellStyle name="Output 3 2 2 46 2" xfId="14198"/>
    <cellStyle name="Output 3 2 2 46 3" xfId="23191"/>
    <cellStyle name="Output 3 2 2 46 4" xfId="31378"/>
    <cellStyle name="Output 3 2 2 46 5" xfId="40672"/>
    <cellStyle name="Output 3 2 2 46 6" xfId="45043"/>
    <cellStyle name="Output 3 2 2 46 7" xfId="51699"/>
    <cellStyle name="Output 3 2 2 47" xfId="6555"/>
    <cellStyle name="Output 3 2 2 47 2" xfId="14272"/>
    <cellStyle name="Output 3 2 2 47 3" xfId="23265"/>
    <cellStyle name="Output 3 2 2 47 4" xfId="31452"/>
    <cellStyle name="Output 3 2 2 47 5" xfId="40741"/>
    <cellStyle name="Output 3 2 2 47 6" xfId="45117"/>
    <cellStyle name="Output 3 2 2 47 7" xfId="53506"/>
    <cellStyle name="Output 3 2 2 48" xfId="6627"/>
    <cellStyle name="Output 3 2 2 48 2" xfId="14344"/>
    <cellStyle name="Output 3 2 2 48 3" xfId="23337"/>
    <cellStyle name="Output 3 2 2 48 4" xfId="31524"/>
    <cellStyle name="Output 3 2 2 48 5" xfId="40811"/>
    <cellStyle name="Output 3 2 2 48 6" xfId="45189"/>
    <cellStyle name="Output 3 2 2 48 7" xfId="51857"/>
    <cellStyle name="Output 3 2 2 49" xfId="6739"/>
    <cellStyle name="Output 3 2 2 49 2" xfId="14456"/>
    <cellStyle name="Output 3 2 2 49 3" xfId="23449"/>
    <cellStyle name="Output 3 2 2 49 4" xfId="31636"/>
    <cellStyle name="Output 3 2 2 49 5" xfId="40917"/>
    <cellStyle name="Output 3 2 2 49 6" xfId="45301"/>
    <cellStyle name="Output 3 2 2 49 7" xfId="50963"/>
    <cellStyle name="Output 3 2 2 5" xfId="1370"/>
    <cellStyle name="Output 3 2 2 5 2" xfId="9193"/>
    <cellStyle name="Output 3 2 2 5 3" xfId="16621"/>
    <cellStyle name="Output 3 2 2 5 4" xfId="26072"/>
    <cellStyle name="Output 3 2 2 5 5" xfId="34718"/>
    <cellStyle name="Output 3 2 2 5 6" xfId="36513"/>
    <cellStyle name="Output 3 2 2 5 7" xfId="53154"/>
    <cellStyle name="Output 3 2 2 50" xfId="6854"/>
    <cellStyle name="Output 3 2 2 50 2" xfId="14571"/>
    <cellStyle name="Output 3 2 2 50 3" xfId="23564"/>
    <cellStyle name="Output 3 2 2 50 4" xfId="31751"/>
    <cellStyle name="Output 3 2 2 50 5" xfId="41025"/>
    <cellStyle name="Output 3 2 2 50 6" xfId="45416"/>
    <cellStyle name="Output 3 2 2 50 7" xfId="47868"/>
    <cellStyle name="Output 3 2 2 51" xfId="6967"/>
    <cellStyle name="Output 3 2 2 51 2" xfId="14684"/>
    <cellStyle name="Output 3 2 2 51 3" xfId="23677"/>
    <cellStyle name="Output 3 2 2 51 4" xfId="31864"/>
    <cellStyle name="Output 3 2 2 51 5" xfId="41133"/>
    <cellStyle name="Output 3 2 2 51 6" xfId="45529"/>
    <cellStyle name="Output 3 2 2 51 7" xfId="47030"/>
    <cellStyle name="Output 3 2 2 52" xfId="7078"/>
    <cellStyle name="Output 3 2 2 52 2" xfId="14795"/>
    <cellStyle name="Output 3 2 2 52 3" xfId="23788"/>
    <cellStyle name="Output 3 2 2 52 4" xfId="31975"/>
    <cellStyle name="Output 3 2 2 52 5" xfId="41238"/>
    <cellStyle name="Output 3 2 2 52 6" xfId="45640"/>
    <cellStyle name="Output 3 2 2 52 7" xfId="51320"/>
    <cellStyle name="Output 3 2 2 53" xfId="7199"/>
    <cellStyle name="Output 3 2 2 53 2" xfId="14916"/>
    <cellStyle name="Output 3 2 2 53 3" xfId="23909"/>
    <cellStyle name="Output 3 2 2 53 4" xfId="32096"/>
    <cellStyle name="Output 3 2 2 53 5" xfId="41356"/>
    <cellStyle name="Output 3 2 2 53 6" xfId="45761"/>
    <cellStyle name="Output 3 2 2 53 7" xfId="51380"/>
    <cellStyle name="Output 3 2 2 54" xfId="7215"/>
    <cellStyle name="Output 3 2 2 54 2" xfId="14932"/>
    <cellStyle name="Output 3 2 2 54 3" xfId="23925"/>
    <cellStyle name="Output 3 2 2 54 4" xfId="32112"/>
    <cellStyle name="Output 3 2 2 54 5" xfId="41372"/>
    <cellStyle name="Output 3 2 2 54 6" xfId="45777"/>
    <cellStyle name="Output 3 2 2 54 7" xfId="49502"/>
    <cellStyle name="Output 3 2 2 55" xfId="7475"/>
    <cellStyle name="Output 3 2 2 55 2" xfId="15192"/>
    <cellStyle name="Output 3 2 2 55 3" xfId="24185"/>
    <cellStyle name="Output 3 2 2 55 4" xfId="32372"/>
    <cellStyle name="Output 3 2 2 55 5" xfId="41621"/>
    <cellStyle name="Output 3 2 2 55 6" xfId="46037"/>
    <cellStyle name="Output 3 2 2 55 7" xfId="51744"/>
    <cellStyle name="Output 3 2 2 56" xfId="7596"/>
    <cellStyle name="Output 3 2 2 56 2" xfId="15313"/>
    <cellStyle name="Output 3 2 2 56 3" xfId="24306"/>
    <cellStyle name="Output 3 2 2 56 4" xfId="32493"/>
    <cellStyle name="Output 3 2 2 56 5" xfId="41736"/>
    <cellStyle name="Output 3 2 2 56 6" xfId="46158"/>
    <cellStyle name="Output 3 2 2 56 7" xfId="47836"/>
    <cellStyle name="Output 3 2 2 57" xfId="7872"/>
    <cellStyle name="Output 3 2 2 57 2" xfId="15589"/>
    <cellStyle name="Output 3 2 2 57 3" xfId="24576"/>
    <cellStyle name="Output 3 2 2 57 4" xfId="32769"/>
    <cellStyle name="Output 3 2 2 57 5" xfId="42001"/>
    <cellStyle name="Output 3 2 2 57 6" xfId="46434"/>
    <cellStyle name="Output 3 2 2 57 7" xfId="48688"/>
    <cellStyle name="Output 3 2 2 58" xfId="7924"/>
    <cellStyle name="Output 3 2 2 58 2" xfId="15641"/>
    <cellStyle name="Output 3 2 2 58 3" xfId="24628"/>
    <cellStyle name="Output 3 2 2 58 4" xfId="32821"/>
    <cellStyle name="Output 3 2 2 58 5" xfId="42052"/>
    <cellStyle name="Output 3 2 2 58 6" xfId="46486"/>
    <cellStyle name="Output 3 2 2 58 7" xfId="49778"/>
    <cellStyle name="Output 3 2 2 59" xfId="8075"/>
    <cellStyle name="Output 3 2 2 59 2" xfId="15792"/>
    <cellStyle name="Output 3 2 2 59 3" xfId="24777"/>
    <cellStyle name="Output 3 2 2 59 4" xfId="32972"/>
    <cellStyle name="Output 3 2 2 59 5" xfId="42194"/>
    <cellStyle name="Output 3 2 2 59 6" xfId="46637"/>
    <cellStyle name="Output 3 2 2 59 7" xfId="47848"/>
    <cellStyle name="Output 3 2 2 6" xfId="1493"/>
    <cellStyle name="Output 3 2 2 6 2" xfId="9316"/>
    <cellStyle name="Output 3 2 2 6 3" xfId="16744"/>
    <cellStyle name="Output 3 2 2 6 4" xfId="26058"/>
    <cellStyle name="Output 3 2 2 6 5" xfId="34702"/>
    <cellStyle name="Output 3 2 2 6 6" xfId="41804"/>
    <cellStyle name="Output 3 2 2 6 7" xfId="53122"/>
    <cellStyle name="Output 3 2 2 60" xfId="8148"/>
    <cellStyle name="Output 3 2 2 60 2" xfId="15865"/>
    <cellStyle name="Output 3 2 2 60 3" xfId="33045"/>
    <cellStyle name="Output 3 2 2 60 4" xfId="42265"/>
    <cellStyle name="Output 3 2 2 60 5" xfId="46710"/>
    <cellStyle name="Output 3 2 2 60 6" xfId="49050"/>
    <cellStyle name="Output 3 2 2 61" xfId="20404"/>
    <cellStyle name="Output 3 2 2 62" xfId="27888"/>
    <cellStyle name="Output 3 2 2 63" xfId="36928"/>
    <cellStyle name="Output 3 2 2 64" xfId="49684"/>
    <cellStyle name="Output 3 2 2 7" xfId="1607"/>
    <cellStyle name="Output 3 2 2 7 2" xfId="9430"/>
    <cellStyle name="Output 3 2 2 7 3" xfId="16858"/>
    <cellStyle name="Output 3 2 2 7 4" xfId="20030"/>
    <cellStyle name="Output 3 2 2 7 5" xfId="27117"/>
    <cellStyle name="Output 3 2 2 7 6" xfId="37996"/>
    <cellStyle name="Output 3 2 2 7 7" xfId="48927"/>
    <cellStyle name="Output 3 2 2 8" xfId="1730"/>
    <cellStyle name="Output 3 2 2 8 2" xfId="9553"/>
    <cellStyle name="Output 3 2 2 8 3" xfId="16981"/>
    <cellStyle name="Output 3 2 2 8 4" xfId="25152"/>
    <cellStyle name="Output 3 2 2 8 5" xfId="33529"/>
    <cellStyle name="Output 3 2 2 8 6" xfId="41746"/>
    <cellStyle name="Output 3 2 2 8 7" xfId="51117"/>
    <cellStyle name="Output 3 2 2 9" xfId="1864"/>
    <cellStyle name="Output 3 2 2 9 2" xfId="9687"/>
    <cellStyle name="Output 3 2 2 9 3" xfId="17115"/>
    <cellStyle name="Output 3 2 2 9 4" xfId="25552"/>
    <cellStyle name="Output 3 2 2 9 5" xfId="34047"/>
    <cellStyle name="Output 3 2 2 9 6" xfId="40789"/>
    <cellStyle name="Output 3 2 2 9 7" xfId="51986"/>
    <cellStyle name="Output 3 2 20" xfId="1639"/>
    <cellStyle name="Output 3 2 20 2" xfId="9462"/>
    <cellStyle name="Output 3 2 20 3" xfId="16890"/>
    <cellStyle name="Output 3 2 20 4" xfId="26160"/>
    <cellStyle name="Output 3 2 20 5" xfId="34829"/>
    <cellStyle name="Output 3 2 20 6" xfId="42092"/>
    <cellStyle name="Output 3 2 20 7" xfId="53337"/>
    <cellStyle name="Output 3 2 21" xfId="1556"/>
    <cellStyle name="Output 3 2 21 2" xfId="9379"/>
    <cellStyle name="Output 3 2 21 3" xfId="16807"/>
    <cellStyle name="Output 3 2 21 4" xfId="19869"/>
    <cellStyle name="Output 3 2 21 5" xfId="28483"/>
    <cellStyle name="Output 3 2 21 6" xfId="37688"/>
    <cellStyle name="Output 3 2 21 7" xfId="48515"/>
    <cellStyle name="Output 3 2 22" xfId="2417"/>
    <cellStyle name="Output 3 2 22 2" xfId="10240"/>
    <cellStyle name="Output 3 2 22 3" xfId="17668"/>
    <cellStyle name="Output 3 2 22 4" xfId="25713"/>
    <cellStyle name="Output 3 2 22 5" xfId="34255"/>
    <cellStyle name="Output 3 2 22 6" xfId="38098"/>
    <cellStyle name="Output 3 2 22 7" xfId="52344"/>
    <cellStyle name="Output 3 2 23" xfId="1314"/>
    <cellStyle name="Output 3 2 23 2" xfId="9137"/>
    <cellStyle name="Output 3 2 23 3" xfId="16565"/>
    <cellStyle name="Output 3 2 23 4" xfId="25928"/>
    <cellStyle name="Output 3 2 23 5" xfId="34531"/>
    <cellStyle name="Output 3 2 23 6" xfId="37253"/>
    <cellStyle name="Output 3 2 23 7" xfId="52843"/>
    <cellStyle name="Output 3 2 24" xfId="2394"/>
    <cellStyle name="Output 3 2 24 2" xfId="10217"/>
    <cellStyle name="Output 3 2 24 3" xfId="17645"/>
    <cellStyle name="Output 3 2 24 4" xfId="20032"/>
    <cellStyle name="Output 3 2 24 5" xfId="27111"/>
    <cellStyle name="Output 3 2 24 6" xfId="40439"/>
    <cellStyle name="Output 3 2 24 7" xfId="48430"/>
    <cellStyle name="Output 3 2 25" xfId="1675"/>
    <cellStyle name="Output 3 2 25 2" xfId="9498"/>
    <cellStyle name="Output 3 2 25 3" xfId="16926"/>
    <cellStyle name="Output 3 2 25 4" xfId="19921"/>
    <cellStyle name="Output 3 2 25 5" xfId="28221"/>
    <cellStyle name="Output 3 2 25 6" xfId="38297"/>
    <cellStyle name="Output 3 2 25 7" xfId="49421"/>
    <cellStyle name="Output 3 2 26" xfId="3111"/>
    <cellStyle name="Output 3 2 26 2" xfId="10916"/>
    <cellStyle name="Output 3 2 26 3" xfId="18297"/>
    <cellStyle name="Output 3 2 26 4" xfId="19678"/>
    <cellStyle name="Output 3 2 26 5" xfId="27930"/>
    <cellStyle name="Output 3 2 26 6" xfId="40261"/>
    <cellStyle name="Output 3 2 26 7" xfId="49367"/>
    <cellStyle name="Output 3 2 27" xfId="3154"/>
    <cellStyle name="Output 3 2 27 2" xfId="10956"/>
    <cellStyle name="Output 3 2 27 3" xfId="18326"/>
    <cellStyle name="Output 3 2 27 4" xfId="26570"/>
    <cellStyle name="Output 3 2 27 5" xfId="35385"/>
    <cellStyle name="Output 3 2 27 6" xfId="36514"/>
    <cellStyle name="Output 3 2 27 7" xfId="54216"/>
    <cellStyle name="Output 3 2 28" xfId="3159"/>
    <cellStyle name="Output 3 2 28 2" xfId="10961"/>
    <cellStyle name="Output 3 2 28 3" xfId="18331"/>
    <cellStyle name="Output 3 2 28 4" xfId="26221"/>
    <cellStyle name="Output 3 2 28 5" xfId="34906"/>
    <cellStyle name="Output 3 2 28 6" xfId="39008"/>
    <cellStyle name="Output 3 2 28 7" xfId="53467"/>
    <cellStyle name="Output 3 2 29" xfId="3200"/>
    <cellStyle name="Output 3 2 29 2" xfId="11000"/>
    <cellStyle name="Output 3 2 29 3" xfId="18348"/>
    <cellStyle name="Output 3 2 29 4" xfId="19909"/>
    <cellStyle name="Output 3 2 29 5" xfId="28002"/>
    <cellStyle name="Output 3 2 29 6" xfId="36673"/>
    <cellStyle name="Output 3 2 29 7" xfId="47774"/>
    <cellStyle name="Output 3 2 3" xfId="505"/>
    <cellStyle name="Output 3 2 3 10" xfId="1952"/>
    <cellStyle name="Output 3 2 3 10 2" xfId="9775"/>
    <cellStyle name="Output 3 2 3 10 3" xfId="17203"/>
    <cellStyle name="Output 3 2 3 10 4" xfId="25291"/>
    <cellStyle name="Output 3 2 3 10 5" xfId="33704"/>
    <cellStyle name="Output 3 2 3 10 6" xfId="39414"/>
    <cellStyle name="Output 3 2 3 10 7" xfId="51406"/>
    <cellStyle name="Output 3 2 3 11" xfId="2070"/>
    <cellStyle name="Output 3 2 3 11 2" xfId="9893"/>
    <cellStyle name="Output 3 2 3 11 3" xfId="17321"/>
    <cellStyle name="Output 3 2 3 11 4" xfId="25516"/>
    <cellStyle name="Output 3 2 3 11 5" xfId="33994"/>
    <cellStyle name="Output 3 2 3 11 6" xfId="39567"/>
    <cellStyle name="Output 3 2 3 11 7" xfId="51903"/>
    <cellStyle name="Output 3 2 3 12" xfId="2183"/>
    <cellStyle name="Output 3 2 3 12 2" xfId="10006"/>
    <cellStyle name="Output 3 2 3 12 3" xfId="17434"/>
    <cellStyle name="Output 3 2 3 12 4" xfId="19854"/>
    <cellStyle name="Output 3 2 3 12 5" xfId="27835"/>
    <cellStyle name="Output 3 2 3 12 6" xfId="38910"/>
    <cellStyle name="Output 3 2 3 12 7" xfId="48581"/>
    <cellStyle name="Output 3 2 3 13" xfId="1274"/>
    <cellStyle name="Output 3 2 3 13 2" xfId="9097"/>
    <cellStyle name="Output 3 2 3 13 3" xfId="16525"/>
    <cellStyle name="Output 3 2 3 13 4" xfId="19749"/>
    <cellStyle name="Output 3 2 3 13 5" xfId="28457"/>
    <cellStyle name="Output 3 2 3 13 6" xfId="36768"/>
    <cellStyle name="Output 3 2 3 13 7" xfId="47192"/>
    <cellStyle name="Output 3 2 3 14" xfId="1570"/>
    <cellStyle name="Output 3 2 3 14 2" xfId="9393"/>
    <cellStyle name="Output 3 2 3 14 3" xfId="16821"/>
    <cellStyle name="Output 3 2 3 14 4" xfId="26111"/>
    <cellStyle name="Output 3 2 3 14 5" xfId="34767"/>
    <cellStyle name="Output 3 2 3 14 6" xfId="41590"/>
    <cellStyle name="Output 3 2 3 14 7" xfId="53230"/>
    <cellStyle name="Output 3 2 3 15" xfId="2481"/>
    <cellStyle name="Output 3 2 3 15 2" xfId="10304"/>
    <cellStyle name="Output 3 2 3 15 3" xfId="17732"/>
    <cellStyle name="Output 3 2 3 15 4" xfId="25993"/>
    <cellStyle name="Output 3 2 3 15 5" xfId="34615"/>
    <cellStyle name="Output 3 2 3 15 6" xfId="36473"/>
    <cellStyle name="Output 3 2 3 15 7" xfId="52980"/>
    <cellStyle name="Output 3 2 3 16" xfId="2594"/>
    <cellStyle name="Output 3 2 3 16 2" xfId="10417"/>
    <cellStyle name="Output 3 2 3 16 3" xfId="17845"/>
    <cellStyle name="Output 3 2 3 16 4" xfId="19630"/>
    <cellStyle name="Output 3 2 3 16 5" xfId="27906"/>
    <cellStyle name="Output 3 2 3 16 6" xfId="39547"/>
    <cellStyle name="Output 3 2 3 16 7" xfId="50282"/>
    <cellStyle name="Output 3 2 3 17" xfId="2645"/>
    <cellStyle name="Output 3 2 3 17 2" xfId="10468"/>
    <cellStyle name="Output 3 2 3 17 3" xfId="17896"/>
    <cellStyle name="Output 3 2 3 17 4" xfId="25308"/>
    <cellStyle name="Output 3 2 3 17 5" xfId="33724"/>
    <cellStyle name="Output 3 2 3 17 6" xfId="38076"/>
    <cellStyle name="Output 3 2 3 17 7" xfId="51442"/>
    <cellStyle name="Output 3 2 3 18" xfId="2451"/>
    <cellStyle name="Output 3 2 3 18 2" xfId="10274"/>
    <cellStyle name="Output 3 2 3 18 3" xfId="17702"/>
    <cellStyle name="Output 3 2 3 18 4" xfId="19820"/>
    <cellStyle name="Output 3 2 3 18 5" xfId="27322"/>
    <cellStyle name="Output 3 2 3 18 6" xfId="41612"/>
    <cellStyle name="Output 3 2 3 18 7" xfId="48667"/>
    <cellStyle name="Output 3 2 3 19" xfId="2788"/>
    <cellStyle name="Output 3 2 3 19 2" xfId="10611"/>
    <cellStyle name="Output 3 2 3 19 3" xfId="18039"/>
    <cellStyle name="Output 3 2 3 19 4" xfId="25836"/>
    <cellStyle name="Output 3 2 3 19 5" xfId="34421"/>
    <cellStyle name="Output 3 2 3 19 6" xfId="38261"/>
    <cellStyle name="Output 3 2 3 19 7" xfId="52646"/>
    <cellStyle name="Output 3 2 3 2" xfId="656"/>
    <cellStyle name="Output 3 2 3 2 2" xfId="8480"/>
    <cellStyle name="Output 3 2 3 2 3" xfId="8280"/>
    <cellStyle name="Output 3 2 3 2 4" xfId="19561"/>
    <cellStyle name="Output 3 2 3 2 5" xfId="27236"/>
    <cellStyle name="Output 3 2 3 2 6" xfId="37180"/>
    <cellStyle name="Output 3 2 3 2 7" xfId="47604"/>
    <cellStyle name="Output 3 2 3 20" xfId="2895"/>
    <cellStyle name="Output 3 2 3 20 2" xfId="10718"/>
    <cellStyle name="Output 3 2 3 20 3" xfId="18146"/>
    <cellStyle name="Output 3 2 3 20 4" xfId="19084"/>
    <cellStyle name="Output 3 2 3 20 5" xfId="26760"/>
    <cellStyle name="Output 3 2 3 20 6" xfId="38051"/>
    <cellStyle name="Output 3 2 3 20 7" xfId="49113"/>
    <cellStyle name="Output 3 2 3 21" xfId="3271"/>
    <cellStyle name="Output 3 2 3 21 2" xfId="11064"/>
    <cellStyle name="Output 3 2 3 21 3" xfId="18393"/>
    <cellStyle name="Output 3 2 3 21 4" xfId="19092"/>
    <cellStyle name="Output 3 2 3 21 5" xfId="26769"/>
    <cellStyle name="Output 3 2 3 21 6" xfId="37042"/>
    <cellStyle name="Output 3 2 3 21 7" xfId="47309"/>
    <cellStyle name="Output 3 2 3 22" xfId="3391"/>
    <cellStyle name="Output 3 2 3 22 2" xfId="11182"/>
    <cellStyle name="Output 3 2 3 22 3" xfId="18504"/>
    <cellStyle name="Output 3 2 3 22 4" xfId="25072"/>
    <cellStyle name="Output 3 2 3 22 5" xfId="33432"/>
    <cellStyle name="Output 3 2 3 22 6" xfId="38032"/>
    <cellStyle name="Output 3 2 3 22 7" xfId="50953"/>
    <cellStyle name="Output 3 2 3 23" xfId="2993"/>
    <cellStyle name="Output 3 2 3 23 2" xfId="10814"/>
    <cellStyle name="Output 3 2 3 23 3" xfId="18239"/>
    <cellStyle name="Output 3 2 3 23 4" xfId="26549"/>
    <cellStyle name="Output 3 2 3 23 5" xfId="35357"/>
    <cellStyle name="Output 3 2 3 23 6" xfId="41266"/>
    <cellStyle name="Output 3 2 3 23 7" xfId="54174"/>
    <cellStyle name="Output 3 2 3 24" xfId="3661"/>
    <cellStyle name="Output 3 2 3 24 2" xfId="11446"/>
    <cellStyle name="Output 3 2 3 24 3" xfId="18719"/>
    <cellStyle name="Output 3 2 3 24 4" xfId="26117"/>
    <cellStyle name="Output 3 2 3 24 5" xfId="34776"/>
    <cellStyle name="Output 3 2 3 24 6" xfId="40286"/>
    <cellStyle name="Output 3 2 3 24 7" xfId="53246"/>
    <cellStyle name="Output 3 2 3 25" xfId="3792"/>
    <cellStyle name="Output 3 2 3 25 2" xfId="11574"/>
    <cellStyle name="Output 3 2 3 25 3" xfId="18831"/>
    <cellStyle name="Output 3 2 3 25 4" xfId="19254"/>
    <cellStyle name="Output 3 2 3 25 5" xfId="28618"/>
    <cellStyle name="Output 3 2 3 25 6" xfId="40299"/>
    <cellStyle name="Output 3 2 3 25 7" xfId="48882"/>
    <cellStyle name="Output 3 2 3 26" xfId="3909"/>
    <cellStyle name="Output 3 2 3 26 2" xfId="11689"/>
    <cellStyle name="Output 3 2 3 26 3" xfId="18940"/>
    <cellStyle name="Output 3 2 3 26 4" xfId="24870"/>
    <cellStyle name="Output 3 2 3 26 5" xfId="33183"/>
    <cellStyle name="Output 3 2 3 26 6" xfId="38368"/>
    <cellStyle name="Output 3 2 3 26 7" xfId="50495"/>
    <cellStyle name="Output 3 2 3 27" xfId="3994"/>
    <cellStyle name="Output 3 2 3 27 2" xfId="11773"/>
    <cellStyle name="Output 3 2 3 27 3" xfId="20705"/>
    <cellStyle name="Output 3 2 3 27 4" xfId="28891"/>
    <cellStyle name="Output 3 2 3 27 5" xfId="38276"/>
    <cellStyle name="Output 3 2 3 27 6" xfId="42559"/>
    <cellStyle name="Output 3 2 3 27 7" xfId="50530"/>
    <cellStyle name="Output 3 2 3 28" xfId="4106"/>
    <cellStyle name="Output 3 2 3 28 2" xfId="11866"/>
    <cellStyle name="Output 3 2 3 28 3" xfId="20816"/>
    <cellStyle name="Output 3 2 3 28 4" xfId="29003"/>
    <cellStyle name="Output 3 2 3 28 5" xfId="38381"/>
    <cellStyle name="Output 3 2 3 28 6" xfId="42668"/>
    <cellStyle name="Output 3 2 3 28 7" xfId="53894"/>
    <cellStyle name="Output 3 2 3 29" xfId="4013"/>
    <cellStyle name="Output 3 2 3 29 2" xfId="20723"/>
    <cellStyle name="Output 3 2 3 29 3" xfId="28910"/>
    <cellStyle name="Output 3 2 3 29 4" xfId="38293"/>
    <cellStyle name="Output 3 2 3 29 5" xfId="42575"/>
    <cellStyle name="Output 3 2 3 29 6" xfId="47303"/>
    <cellStyle name="Output 3 2 3 3" xfId="763"/>
    <cellStyle name="Output 3 2 3 3 2" xfId="8587"/>
    <cellStyle name="Output 3 2 3 3 3" xfId="16015"/>
    <cellStyle name="Output 3 2 3 3 4" xfId="26180"/>
    <cellStyle name="Output 3 2 3 3 5" xfId="34853"/>
    <cellStyle name="Output 3 2 3 3 6" xfId="37172"/>
    <cellStyle name="Output 3 2 3 3 7" xfId="53380"/>
    <cellStyle name="Output 3 2 3 30" xfId="4303"/>
    <cellStyle name="Output 3 2 3 30 2" xfId="12020"/>
    <cellStyle name="Output 3 2 3 30 3" xfId="21013"/>
    <cellStyle name="Output 3 2 3 30 4" xfId="29200"/>
    <cellStyle name="Output 3 2 3 30 5" xfId="38572"/>
    <cellStyle name="Output 3 2 3 30 6" xfId="42865"/>
    <cellStyle name="Output 3 2 3 30 7" xfId="48764"/>
    <cellStyle name="Output 3 2 3 31" xfId="4426"/>
    <cellStyle name="Output 3 2 3 31 2" xfId="12143"/>
    <cellStyle name="Output 3 2 3 31 3" xfId="21136"/>
    <cellStyle name="Output 3 2 3 31 4" xfId="29323"/>
    <cellStyle name="Output 3 2 3 31 5" xfId="38690"/>
    <cellStyle name="Output 3 2 3 31 6" xfId="42988"/>
    <cellStyle name="Output 3 2 3 31 7" xfId="52823"/>
    <cellStyle name="Output 3 2 3 32" xfId="4540"/>
    <cellStyle name="Output 3 2 3 32 2" xfId="12257"/>
    <cellStyle name="Output 3 2 3 32 3" xfId="21250"/>
    <cellStyle name="Output 3 2 3 32 4" xfId="29437"/>
    <cellStyle name="Output 3 2 3 32 5" xfId="38799"/>
    <cellStyle name="Output 3 2 3 32 6" xfId="43102"/>
    <cellStyle name="Output 3 2 3 32 7" xfId="47340"/>
    <cellStyle name="Output 3 2 3 33" xfId="4653"/>
    <cellStyle name="Output 3 2 3 33 2" xfId="12370"/>
    <cellStyle name="Output 3 2 3 33 3" xfId="21363"/>
    <cellStyle name="Output 3 2 3 33 4" xfId="29550"/>
    <cellStyle name="Output 3 2 3 33 5" xfId="38907"/>
    <cellStyle name="Output 3 2 3 33 6" xfId="43215"/>
    <cellStyle name="Output 3 2 3 33 7" xfId="51945"/>
    <cellStyle name="Output 3 2 3 34" xfId="4765"/>
    <cellStyle name="Output 3 2 3 34 2" xfId="12482"/>
    <cellStyle name="Output 3 2 3 34 3" xfId="21475"/>
    <cellStyle name="Output 3 2 3 34 4" xfId="29662"/>
    <cellStyle name="Output 3 2 3 34 5" xfId="39016"/>
    <cellStyle name="Output 3 2 3 34 6" xfId="43327"/>
    <cellStyle name="Output 3 2 3 34 7" xfId="50087"/>
    <cellStyle name="Output 3 2 3 35" xfId="4873"/>
    <cellStyle name="Output 3 2 3 35 2" xfId="12590"/>
    <cellStyle name="Output 3 2 3 35 3" xfId="21583"/>
    <cellStyle name="Output 3 2 3 35 4" xfId="29770"/>
    <cellStyle name="Output 3 2 3 35 5" xfId="39119"/>
    <cellStyle name="Output 3 2 3 35 6" xfId="43435"/>
    <cellStyle name="Output 3 2 3 35 7" xfId="51875"/>
    <cellStyle name="Output 3 2 3 36" xfId="4985"/>
    <cellStyle name="Output 3 2 3 36 2" xfId="12702"/>
    <cellStyle name="Output 3 2 3 36 3" xfId="21695"/>
    <cellStyle name="Output 3 2 3 36 4" xfId="29882"/>
    <cellStyle name="Output 3 2 3 36 5" xfId="39228"/>
    <cellStyle name="Output 3 2 3 36 6" xfId="43547"/>
    <cellStyle name="Output 3 2 3 36 7" xfId="49290"/>
    <cellStyle name="Output 3 2 3 37" xfId="5126"/>
    <cellStyle name="Output 3 2 3 37 2" xfId="12843"/>
    <cellStyle name="Output 3 2 3 37 3" xfId="21836"/>
    <cellStyle name="Output 3 2 3 37 4" xfId="30023"/>
    <cellStyle name="Output 3 2 3 37 5" xfId="39364"/>
    <cellStyle name="Output 3 2 3 37 6" xfId="43688"/>
    <cellStyle name="Output 3 2 3 37 7" xfId="52232"/>
    <cellStyle name="Output 3 2 3 38" xfId="5483"/>
    <cellStyle name="Output 3 2 3 38 2" xfId="13200"/>
    <cellStyle name="Output 3 2 3 38 3" xfId="22193"/>
    <cellStyle name="Output 3 2 3 38 4" xfId="30380"/>
    <cellStyle name="Output 3 2 3 38 5" xfId="39706"/>
    <cellStyle name="Output 3 2 3 38 6" xfId="44045"/>
    <cellStyle name="Output 3 2 3 38 7" xfId="50396"/>
    <cellStyle name="Output 3 2 3 39" xfId="5608"/>
    <cellStyle name="Output 3 2 3 39 2" xfId="13325"/>
    <cellStyle name="Output 3 2 3 39 3" xfId="22318"/>
    <cellStyle name="Output 3 2 3 39 4" xfId="30505"/>
    <cellStyle name="Output 3 2 3 39 5" xfId="39826"/>
    <cellStyle name="Output 3 2 3 39 6" xfId="44170"/>
    <cellStyle name="Output 3 2 3 39 7" xfId="47134"/>
    <cellStyle name="Output 3 2 3 4" xfId="875"/>
    <cellStyle name="Output 3 2 3 4 2" xfId="8699"/>
    <cellStyle name="Output 3 2 3 4 3" xfId="16127"/>
    <cellStyle name="Output 3 2 3 4 4" xfId="25808"/>
    <cellStyle name="Output 3 2 3 4 5" xfId="34387"/>
    <cellStyle name="Output 3 2 3 4 6" xfId="37155"/>
    <cellStyle name="Output 3 2 3 4 7" xfId="52583"/>
    <cellStyle name="Output 3 2 3 40" xfId="5723"/>
    <cellStyle name="Output 3 2 3 40 2" xfId="13440"/>
    <cellStyle name="Output 3 2 3 40 3" xfId="22433"/>
    <cellStyle name="Output 3 2 3 40 4" xfId="30620"/>
    <cellStyle name="Output 3 2 3 40 5" xfId="39937"/>
    <cellStyle name="Output 3 2 3 40 6" xfId="44285"/>
    <cellStyle name="Output 3 2 3 40 7" xfId="48014"/>
    <cellStyle name="Output 3 2 3 41" xfId="5840"/>
    <cellStyle name="Output 3 2 3 41 2" xfId="13557"/>
    <cellStyle name="Output 3 2 3 41 3" xfId="22550"/>
    <cellStyle name="Output 3 2 3 41 4" xfId="30737"/>
    <cellStyle name="Output 3 2 3 41 5" xfId="40051"/>
    <cellStyle name="Output 3 2 3 41 6" xfId="44402"/>
    <cellStyle name="Output 3 2 3 41 7" xfId="48308"/>
    <cellStyle name="Output 3 2 3 42" xfId="5968"/>
    <cellStyle name="Output 3 2 3 42 2" xfId="13685"/>
    <cellStyle name="Output 3 2 3 42 3" xfId="22678"/>
    <cellStyle name="Output 3 2 3 42 4" xfId="30865"/>
    <cellStyle name="Output 3 2 3 42 5" xfId="40175"/>
    <cellStyle name="Output 3 2 3 42 6" xfId="44530"/>
    <cellStyle name="Output 3 2 3 42 7" xfId="50545"/>
    <cellStyle name="Output 3 2 3 43" xfId="5811"/>
    <cellStyle name="Output 3 2 3 43 2" xfId="13528"/>
    <cellStyle name="Output 3 2 3 43 3" xfId="22521"/>
    <cellStyle name="Output 3 2 3 43 4" xfId="30708"/>
    <cellStyle name="Output 3 2 3 43 5" xfId="40023"/>
    <cellStyle name="Output 3 2 3 43 6" xfId="44373"/>
    <cellStyle name="Output 3 2 3 43 7" xfId="52245"/>
    <cellStyle name="Output 3 2 3 44" xfId="6224"/>
    <cellStyle name="Output 3 2 3 44 2" xfId="13941"/>
    <cellStyle name="Output 3 2 3 44 3" xfId="22934"/>
    <cellStyle name="Output 3 2 3 44 4" xfId="31121"/>
    <cellStyle name="Output 3 2 3 44 5" xfId="40422"/>
    <cellStyle name="Output 3 2 3 44 6" xfId="44786"/>
    <cellStyle name="Output 3 2 3 44 7" xfId="53033"/>
    <cellStyle name="Output 3 2 3 45" xfId="6341"/>
    <cellStyle name="Output 3 2 3 45 2" xfId="14058"/>
    <cellStyle name="Output 3 2 3 45 3" xfId="23051"/>
    <cellStyle name="Output 3 2 3 45 4" xfId="31238"/>
    <cellStyle name="Output 3 2 3 45 5" xfId="40536"/>
    <cellStyle name="Output 3 2 3 45 6" xfId="44903"/>
    <cellStyle name="Output 3 2 3 45 7" xfId="47462"/>
    <cellStyle name="Output 3 2 3 46" xfId="6451"/>
    <cellStyle name="Output 3 2 3 46 2" xfId="14168"/>
    <cellStyle name="Output 3 2 3 46 3" xfId="23161"/>
    <cellStyle name="Output 3 2 3 46 4" xfId="31348"/>
    <cellStyle name="Output 3 2 3 46 5" xfId="40642"/>
    <cellStyle name="Output 3 2 3 46 6" xfId="45013"/>
    <cellStyle name="Output 3 2 3 46 7" xfId="50851"/>
    <cellStyle name="Output 3 2 3 47" xfId="5283"/>
    <cellStyle name="Output 3 2 3 47 2" xfId="13000"/>
    <cellStyle name="Output 3 2 3 47 3" xfId="21993"/>
    <cellStyle name="Output 3 2 3 47 4" xfId="30180"/>
    <cellStyle name="Output 3 2 3 47 5" xfId="39514"/>
    <cellStyle name="Output 3 2 3 47 6" xfId="43845"/>
    <cellStyle name="Output 3 2 3 47 7" xfId="51757"/>
    <cellStyle name="Output 3 2 3 48" xfId="6598"/>
    <cellStyle name="Output 3 2 3 48 2" xfId="14315"/>
    <cellStyle name="Output 3 2 3 48 3" xfId="23308"/>
    <cellStyle name="Output 3 2 3 48 4" xfId="31495"/>
    <cellStyle name="Output 3 2 3 48 5" xfId="40782"/>
    <cellStyle name="Output 3 2 3 48 6" xfId="45160"/>
    <cellStyle name="Output 3 2 3 48 7" xfId="51113"/>
    <cellStyle name="Output 3 2 3 49" xfId="6709"/>
    <cellStyle name="Output 3 2 3 49 2" xfId="14426"/>
    <cellStyle name="Output 3 2 3 49 3" xfId="23419"/>
    <cellStyle name="Output 3 2 3 49 4" xfId="31606"/>
    <cellStyle name="Output 3 2 3 49 5" xfId="40888"/>
    <cellStyle name="Output 3 2 3 49 6" xfId="45271"/>
    <cellStyle name="Output 3 2 3 49 7" xfId="54386"/>
    <cellStyle name="Output 3 2 3 5" xfId="1340"/>
    <cellStyle name="Output 3 2 3 5 2" xfId="9163"/>
    <cellStyle name="Output 3 2 3 5 3" xfId="16591"/>
    <cellStyle name="Output 3 2 3 5 4" xfId="19120"/>
    <cellStyle name="Output 3 2 3 5 5" xfId="28894"/>
    <cellStyle name="Output 3 2 3 5 6" xfId="41429"/>
    <cellStyle name="Output 3 2 3 5 7" xfId="49953"/>
    <cellStyle name="Output 3 2 3 50" xfId="6824"/>
    <cellStyle name="Output 3 2 3 50 2" xfId="14541"/>
    <cellStyle name="Output 3 2 3 50 3" xfId="23534"/>
    <cellStyle name="Output 3 2 3 50 4" xfId="31721"/>
    <cellStyle name="Output 3 2 3 50 5" xfId="40996"/>
    <cellStyle name="Output 3 2 3 50 6" xfId="45386"/>
    <cellStyle name="Output 3 2 3 50 7" xfId="49369"/>
    <cellStyle name="Output 3 2 3 51" xfId="6937"/>
    <cellStyle name="Output 3 2 3 51 2" xfId="14654"/>
    <cellStyle name="Output 3 2 3 51 3" xfId="23647"/>
    <cellStyle name="Output 3 2 3 51 4" xfId="31834"/>
    <cellStyle name="Output 3 2 3 51 5" xfId="41104"/>
    <cellStyle name="Output 3 2 3 51 6" xfId="45499"/>
    <cellStyle name="Output 3 2 3 51 7" xfId="46930"/>
    <cellStyle name="Output 3 2 3 52" xfId="7049"/>
    <cellStyle name="Output 3 2 3 52 2" xfId="14766"/>
    <cellStyle name="Output 3 2 3 52 3" xfId="23759"/>
    <cellStyle name="Output 3 2 3 52 4" xfId="31946"/>
    <cellStyle name="Output 3 2 3 52 5" xfId="41210"/>
    <cellStyle name="Output 3 2 3 52 6" xfId="45611"/>
    <cellStyle name="Output 3 2 3 52 7" xfId="54471"/>
    <cellStyle name="Output 3 2 3 53" xfId="7325"/>
    <cellStyle name="Output 3 2 3 53 2" xfId="15042"/>
    <cellStyle name="Output 3 2 3 53 3" xfId="24035"/>
    <cellStyle name="Output 3 2 3 53 4" xfId="32222"/>
    <cellStyle name="Output 3 2 3 53 5" xfId="41478"/>
    <cellStyle name="Output 3 2 3 53 6" xfId="45887"/>
    <cellStyle name="Output 3 2 3 53 7" xfId="53987"/>
    <cellStyle name="Output 3 2 3 54" xfId="7373"/>
    <cellStyle name="Output 3 2 3 54 2" xfId="15090"/>
    <cellStyle name="Output 3 2 3 54 3" xfId="24083"/>
    <cellStyle name="Output 3 2 3 54 4" xfId="32270"/>
    <cellStyle name="Output 3 2 3 54 5" xfId="41526"/>
    <cellStyle name="Output 3 2 3 54 6" xfId="45935"/>
    <cellStyle name="Output 3 2 3 54 7" xfId="48912"/>
    <cellStyle name="Output 3 2 3 55" xfId="7446"/>
    <cellStyle name="Output 3 2 3 55 2" xfId="15163"/>
    <cellStyle name="Output 3 2 3 55 3" xfId="24156"/>
    <cellStyle name="Output 3 2 3 55 4" xfId="32343"/>
    <cellStyle name="Output 3 2 3 55 5" xfId="41593"/>
    <cellStyle name="Output 3 2 3 55 6" xfId="46008"/>
    <cellStyle name="Output 3 2 3 55 7" xfId="47283"/>
    <cellStyle name="Output 3 2 3 56" xfId="7567"/>
    <cellStyle name="Output 3 2 3 56 2" xfId="15284"/>
    <cellStyle name="Output 3 2 3 56 3" xfId="24277"/>
    <cellStyle name="Output 3 2 3 56 4" xfId="32464"/>
    <cellStyle name="Output 3 2 3 56 5" xfId="41708"/>
    <cellStyle name="Output 3 2 3 56 6" xfId="46129"/>
    <cellStyle name="Output 3 2 3 56 7" xfId="50603"/>
    <cellStyle name="Output 3 2 3 57" xfId="7843"/>
    <cellStyle name="Output 3 2 3 57 2" xfId="15560"/>
    <cellStyle name="Output 3 2 3 57 3" xfId="24547"/>
    <cellStyle name="Output 3 2 3 57 4" xfId="32740"/>
    <cellStyle name="Output 3 2 3 57 5" xfId="41973"/>
    <cellStyle name="Output 3 2 3 57 6" xfId="46405"/>
    <cellStyle name="Output 3 2 3 57 7" xfId="51917"/>
    <cellStyle name="Output 3 2 3 58" xfId="7755"/>
    <cellStyle name="Output 3 2 3 58 2" xfId="15472"/>
    <cellStyle name="Output 3 2 3 58 3" xfId="24463"/>
    <cellStyle name="Output 3 2 3 58 4" xfId="32652"/>
    <cellStyle name="Output 3 2 3 58 5" xfId="41888"/>
    <cellStyle name="Output 3 2 3 58 6" xfId="46317"/>
    <cellStyle name="Output 3 2 3 58 7" xfId="52761"/>
    <cellStyle name="Output 3 2 3 59" xfId="7807"/>
    <cellStyle name="Output 3 2 3 59 2" xfId="15524"/>
    <cellStyle name="Output 3 2 3 59 3" xfId="24511"/>
    <cellStyle name="Output 3 2 3 59 4" xfId="32704"/>
    <cellStyle name="Output 3 2 3 59 5" xfId="41939"/>
    <cellStyle name="Output 3 2 3 59 6" xfId="46369"/>
    <cellStyle name="Output 3 2 3 59 7" xfId="47336"/>
    <cellStyle name="Output 3 2 3 6" xfId="1463"/>
    <cellStyle name="Output 3 2 3 6 2" xfId="9286"/>
    <cellStyle name="Output 3 2 3 6 3" xfId="16714"/>
    <cellStyle name="Output 3 2 3 6 4" xfId="20655"/>
    <cellStyle name="Output 3 2 3 6 5" xfId="28813"/>
    <cellStyle name="Output 3 2 3 6 6" xfId="37853"/>
    <cellStyle name="Output 3 2 3 6 7" xfId="49464"/>
    <cellStyle name="Output 3 2 3 60" xfId="8119"/>
    <cellStyle name="Output 3 2 3 60 2" xfId="15836"/>
    <cellStyle name="Output 3 2 3 60 3" xfId="33016"/>
    <cellStyle name="Output 3 2 3 60 4" xfId="42237"/>
    <cellStyle name="Output 3 2 3 60 5" xfId="46681"/>
    <cellStyle name="Output 3 2 3 60 6" xfId="52207"/>
    <cellStyle name="Output 3 2 3 61" xfId="25329"/>
    <cellStyle name="Output 3 2 3 62" xfId="33759"/>
    <cellStyle name="Output 3 2 3 63" xfId="38105"/>
    <cellStyle name="Output 3 2 3 64" xfId="51493"/>
    <cellStyle name="Output 3 2 3 7" xfId="958"/>
    <cellStyle name="Output 3 2 3 7 2" xfId="8782"/>
    <cellStyle name="Output 3 2 3 7 3" xfId="16210"/>
    <cellStyle name="Output 3 2 3 7 4" xfId="25731"/>
    <cellStyle name="Output 3 2 3 7 5" xfId="34279"/>
    <cellStyle name="Output 3 2 3 7 6" xfId="36378"/>
    <cellStyle name="Output 3 2 3 7 7" xfId="52391"/>
    <cellStyle name="Output 3 2 3 8" xfId="1700"/>
    <cellStyle name="Output 3 2 3 8 2" xfId="9523"/>
    <cellStyle name="Output 3 2 3 8 3" xfId="16951"/>
    <cellStyle name="Output 3 2 3 8 4" xfId="24801"/>
    <cellStyle name="Output 3 2 3 8 5" xfId="27877"/>
    <cellStyle name="Output 3 2 3 8 6" xfId="36744"/>
    <cellStyle name="Output 3 2 3 8 7" xfId="48199"/>
    <cellStyle name="Output 3 2 3 9" xfId="1834"/>
    <cellStyle name="Output 3 2 3 9 2" xfId="9657"/>
    <cellStyle name="Output 3 2 3 9 3" xfId="17085"/>
    <cellStyle name="Output 3 2 3 9 4" xfId="19966"/>
    <cellStyle name="Output 3 2 3 9 5" xfId="28782"/>
    <cellStyle name="Output 3 2 3 9 6" xfId="37626"/>
    <cellStyle name="Output 3 2 3 9 7" xfId="48240"/>
    <cellStyle name="Output 3 2 30" xfId="3746"/>
    <cellStyle name="Output 3 2 30 2" xfId="11531"/>
    <cellStyle name="Output 3 2 30 3" xfId="18801"/>
    <cellStyle name="Output 3 2 30 4" xfId="26321"/>
    <cellStyle name="Output 3 2 30 5" xfId="35044"/>
    <cellStyle name="Output 3 2 30 6" xfId="40275"/>
    <cellStyle name="Output 3 2 30 7" xfId="53685"/>
    <cellStyle name="Output 3 2 31" xfId="3122"/>
    <cellStyle name="Output 3 2 31 2" xfId="10927"/>
    <cellStyle name="Output 3 2 31 3" xfId="18305"/>
    <cellStyle name="Output 3 2 31 4" xfId="20004"/>
    <cellStyle name="Output 3 2 31 5" xfId="27558"/>
    <cellStyle name="Output 3 2 31 6" xfId="41440"/>
    <cellStyle name="Output 3 2 31 7" xfId="48460"/>
    <cellStyle name="Output 3 2 32" xfId="3072"/>
    <cellStyle name="Output 3 2 32 2" xfId="10880"/>
    <cellStyle name="Output 3 2 32 3" xfId="20234"/>
    <cellStyle name="Output 3 2 32 4" xfId="28325"/>
    <cellStyle name="Output 3 2 32 5" xfId="37706"/>
    <cellStyle name="Output 3 2 32 6" xfId="42385"/>
    <cellStyle name="Output 3 2 32 7" xfId="53358"/>
    <cellStyle name="Output 3 2 33" xfId="3194"/>
    <cellStyle name="Output 3 2 33 2" xfId="10994"/>
    <cellStyle name="Output 3 2 33 3" xfId="20321"/>
    <cellStyle name="Output 3 2 33 4" xfId="28414"/>
    <cellStyle name="Output 3 2 33 5" xfId="37800"/>
    <cellStyle name="Output 3 2 33 6" xfId="42435"/>
    <cellStyle name="Output 3 2 33 7" xfId="50025"/>
    <cellStyle name="Output 3 2 34" xfId="4067"/>
    <cellStyle name="Output 3 2 34 2" xfId="20777"/>
    <cellStyle name="Output 3 2 34 3" xfId="28964"/>
    <cellStyle name="Output 3 2 34 4" xfId="38343"/>
    <cellStyle name="Output 3 2 34 5" xfId="42629"/>
    <cellStyle name="Output 3 2 34 6" xfId="50556"/>
    <cellStyle name="Output 3 2 35" xfId="4068"/>
    <cellStyle name="Output 3 2 35 2" xfId="11833"/>
    <cellStyle name="Output 3 2 35 3" xfId="20778"/>
    <cellStyle name="Output 3 2 35 4" xfId="28965"/>
    <cellStyle name="Output 3 2 35 5" xfId="38344"/>
    <cellStyle name="Output 3 2 35 6" xfId="42630"/>
    <cellStyle name="Output 3 2 35 7" xfId="50444"/>
    <cellStyle name="Output 3 2 36" xfId="3058"/>
    <cellStyle name="Output 3 2 36 2" xfId="10868"/>
    <cellStyle name="Output 3 2 36 3" xfId="20224"/>
    <cellStyle name="Output 3 2 36 4" xfId="28316"/>
    <cellStyle name="Output 3 2 36 5" xfId="37696"/>
    <cellStyle name="Output 3 2 36 6" xfId="42381"/>
    <cellStyle name="Output 3 2 36 7" xfId="48538"/>
    <cellStyle name="Output 3 2 37" xfId="3361"/>
    <cellStyle name="Output 3 2 37 2" xfId="11153"/>
    <cellStyle name="Output 3 2 37 3" xfId="20410"/>
    <cellStyle name="Output 3 2 37 4" xfId="28517"/>
    <cellStyle name="Output 3 2 37 5" xfId="37903"/>
    <cellStyle name="Output 3 2 37 6" xfId="42467"/>
    <cellStyle name="Output 3 2 37 7" xfId="48144"/>
    <cellStyle name="Output 3 2 38" xfId="4617"/>
    <cellStyle name="Output 3 2 38 2" xfId="12334"/>
    <cellStyle name="Output 3 2 38 3" xfId="21327"/>
    <cellStyle name="Output 3 2 38 4" xfId="29514"/>
    <cellStyle name="Output 3 2 38 5" xfId="38873"/>
    <cellStyle name="Output 3 2 38 6" xfId="43179"/>
    <cellStyle name="Output 3 2 38 7" xfId="52564"/>
    <cellStyle name="Output 3 2 39" xfId="4041"/>
    <cellStyle name="Output 3 2 39 2" xfId="11812"/>
    <cellStyle name="Output 3 2 39 3" xfId="20751"/>
    <cellStyle name="Output 3 2 39 4" xfId="28938"/>
    <cellStyle name="Output 3 2 39 5" xfId="38317"/>
    <cellStyle name="Output 3 2 39 6" xfId="42603"/>
    <cellStyle name="Output 3 2 39 7" xfId="53087"/>
    <cellStyle name="Output 3 2 4" xfId="554"/>
    <cellStyle name="Output 3 2 4 10" xfId="2001"/>
    <cellStyle name="Output 3 2 4 10 2" xfId="9824"/>
    <cellStyle name="Output 3 2 4 10 3" xfId="17252"/>
    <cellStyle name="Output 3 2 4 10 4" xfId="25912"/>
    <cellStyle name="Output 3 2 4 10 5" xfId="34512"/>
    <cellStyle name="Output 3 2 4 10 6" xfId="39427"/>
    <cellStyle name="Output 3 2 4 10 7" xfId="52807"/>
    <cellStyle name="Output 3 2 4 11" xfId="2119"/>
    <cellStyle name="Output 3 2 4 11 2" xfId="9942"/>
    <cellStyle name="Output 3 2 4 11 3" xfId="17370"/>
    <cellStyle name="Output 3 2 4 11 4" xfId="19963"/>
    <cellStyle name="Output 3 2 4 11 5" xfId="27988"/>
    <cellStyle name="Output 3 2 4 11 6" xfId="38207"/>
    <cellStyle name="Output 3 2 4 11 7" xfId="48046"/>
    <cellStyle name="Output 3 2 4 12" xfId="2232"/>
    <cellStyle name="Output 3 2 4 12 2" xfId="10055"/>
    <cellStyle name="Output 3 2 4 12 3" xfId="17483"/>
    <cellStyle name="Output 3 2 4 12 4" xfId="20292"/>
    <cellStyle name="Output 3 2 4 12 5" xfId="27497"/>
    <cellStyle name="Output 3 2 4 12 6" xfId="41439"/>
    <cellStyle name="Output 3 2 4 12 7" xfId="49482"/>
    <cellStyle name="Output 3 2 4 13" xfId="1291"/>
    <cellStyle name="Output 3 2 4 13 2" xfId="9114"/>
    <cellStyle name="Output 3 2 4 13 3" xfId="16542"/>
    <cellStyle name="Output 3 2 4 13 4" xfId="20672"/>
    <cellStyle name="Output 3 2 4 13 5" xfId="28526"/>
    <cellStyle name="Output 3 2 4 13 6" xfId="38923"/>
    <cellStyle name="Output 3 2 4 13 7" xfId="47925"/>
    <cellStyle name="Output 3 2 4 14" xfId="2303"/>
    <cellStyle name="Output 3 2 4 14 2" xfId="10126"/>
    <cellStyle name="Output 3 2 4 14 3" xfId="17554"/>
    <cellStyle name="Output 3 2 4 14 4" xfId="20120"/>
    <cellStyle name="Output 3 2 4 14 5" xfId="27821"/>
    <cellStyle name="Output 3 2 4 14 6" xfId="38335"/>
    <cellStyle name="Output 3 2 4 14 7" xfId="47907"/>
    <cellStyle name="Output 3 2 4 15" xfId="2530"/>
    <cellStyle name="Output 3 2 4 15 2" xfId="10353"/>
    <cellStyle name="Output 3 2 4 15 3" xfId="17781"/>
    <cellStyle name="Output 3 2 4 15 4" xfId="19098"/>
    <cellStyle name="Output 3 2 4 15 5" xfId="28737"/>
    <cellStyle name="Output 3 2 4 15 6" xfId="41874"/>
    <cellStyle name="Output 3 2 4 15 7" xfId="47764"/>
    <cellStyle name="Output 3 2 4 16" xfId="2643"/>
    <cellStyle name="Output 3 2 4 16 2" xfId="10466"/>
    <cellStyle name="Output 3 2 4 16 3" xfId="17894"/>
    <cellStyle name="Output 3 2 4 16 4" xfId="25514"/>
    <cellStyle name="Output 3 2 4 16 5" xfId="33992"/>
    <cellStyle name="Output 3 2 4 16 6" xfId="38212"/>
    <cellStyle name="Output 3 2 4 16 7" xfId="51901"/>
    <cellStyle name="Output 3 2 4 17" xfId="1601"/>
    <cellStyle name="Output 3 2 4 17 2" xfId="9424"/>
    <cellStyle name="Output 3 2 4 17 3" xfId="16852"/>
    <cellStyle name="Output 3 2 4 17 4" xfId="20459"/>
    <cellStyle name="Output 3 2 4 17 5" xfId="27603"/>
    <cellStyle name="Output 3 2 4 17 6" xfId="38378"/>
    <cellStyle name="Output 3 2 4 17 7" xfId="49996"/>
    <cellStyle name="Output 3 2 4 18" xfId="1280"/>
    <cellStyle name="Output 3 2 4 18 2" xfId="9103"/>
    <cellStyle name="Output 3 2 4 18 3" xfId="16531"/>
    <cellStyle name="Output 3 2 4 18 4" xfId="19872"/>
    <cellStyle name="Output 3 2 4 18 5" xfId="28772"/>
    <cellStyle name="Output 3 2 4 18 6" xfId="40287"/>
    <cellStyle name="Output 3 2 4 18 7" xfId="47188"/>
    <cellStyle name="Output 3 2 4 19" xfId="2836"/>
    <cellStyle name="Output 3 2 4 19 2" xfId="10659"/>
    <cellStyle name="Output 3 2 4 19 3" xfId="18087"/>
    <cellStyle name="Output 3 2 4 19 4" xfId="25752"/>
    <cellStyle name="Output 3 2 4 19 5" xfId="34303"/>
    <cellStyle name="Output 3 2 4 19 6" xfId="36779"/>
    <cellStyle name="Output 3 2 4 19 7" xfId="52431"/>
    <cellStyle name="Output 3 2 4 2" xfId="704"/>
    <cellStyle name="Output 3 2 4 2 2" xfId="8528"/>
    <cellStyle name="Output 3 2 4 2 3" xfId="15956"/>
    <cellStyle name="Output 3 2 4 2 4" xfId="26096"/>
    <cellStyle name="Output 3 2 4 2 5" xfId="34746"/>
    <cellStyle name="Output 3 2 4 2 6" xfId="37333"/>
    <cellStyle name="Output 3 2 4 2 7" xfId="53202"/>
    <cellStyle name="Output 3 2 4 20" xfId="2943"/>
    <cellStyle name="Output 3 2 4 20 2" xfId="10766"/>
    <cellStyle name="Output 3 2 4 20 3" xfId="18194"/>
    <cellStyle name="Output 3 2 4 20 4" xfId="25509"/>
    <cellStyle name="Output 3 2 4 20 5" xfId="33987"/>
    <cellStyle name="Output 3 2 4 20 6" xfId="40089"/>
    <cellStyle name="Output 3 2 4 20 7" xfId="51892"/>
    <cellStyle name="Output 3 2 4 21" xfId="3319"/>
    <cellStyle name="Output 3 2 4 21 2" xfId="11112"/>
    <cellStyle name="Output 3 2 4 21 3" xfId="18441"/>
    <cellStyle name="Output 3 2 4 21 4" xfId="19807"/>
    <cellStyle name="Output 3 2 4 21 5" xfId="27087"/>
    <cellStyle name="Output 3 2 4 21 6" xfId="37947"/>
    <cellStyle name="Output 3 2 4 21 7" xfId="50116"/>
    <cellStyle name="Output 3 2 4 22" xfId="3439"/>
    <cellStyle name="Output 3 2 4 22 2" xfId="11230"/>
    <cellStyle name="Output 3 2 4 22 3" xfId="18552"/>
    <cellStyle name="Output 3 2 4 22 4" xfId="26249"/>
    <cellStyle name="Output 3 2 4 22 5" xfId="34943"/>
    <cellStyle name="Output 3 2 4 22 6" xfId="40451"/>
    <cellStyle name="Output 3 2 4 22 7" xfId="53535"/>
    <cellStyle name="Output 3 2 4 23" xfId="3598"/>
    <cellStyle name="Output 3 2 4 23 2" xfId="11384"/>
    <cellStyle name="Output 3 2 4 23 3" xfId="18659"/>
    <cellStyle name="Output 3 2 4 23 4" xfId="25742"/>
    <cellStyle name="Output 3 2 4 23 5" xfId="34292"/>
    <cellStyle name="Output 3 2 4 23 6" xfId="39692"/>
    <cellStyle name="Output 3 2 4 23 7" xfId="52417"/>
    <cellStyle name="Output 3 2 4 24" xfId="3710"/>
    <cellStyle name="Output 3 2 4 24 2" xfId="11495"/>
    <cellStyle name="Output 3 2 4 24 3" xfId="18768"/>
    <cellStyle name="Output 3 2 4 24 4" xfId="19675"/>
    <cellStyle name="Output 3 2 4 24 5" xfId="27226"/>
    <cellStyle name="Output 3 2 4 24 6" xfId="36489"/>
    <cellStyle name="Output 3 2 4 24 7" xfId="47825"/>
    <cellStyle name="Output 3 2 4 25" xfId="3840"/>
    <cellStyle name="Output 3 2 4 25 2" xfId="11622"/>
    <cellStyle name="Output 3 2 4 25 3" xfId="18879"/>
    <cellStyle name="Output 3 2 4 25 4" xfId="24868"/>
    <cellStyle name="Output 3 2 4 25 5" xfId="33181"/>
    <cellStyle name="Output 3 2 4 25 6" xfId="38079"/>
    <cellStyle name="Output 3 2 4 25 7" xfId="50491"/>
    <cellStyle name="Output 3 2 4 26" xfId="3958"/>
    <cellStyle name="Output 3 2 4 26 2" xfId="11738"/>
    <cellStyle name="Output 3 2 4 26 3" xfId="18988"/>
    <cellStyle name="Output 3 2 4 26 4" xfId="20565"/>
    <cellStyle name="Output 3 2 4 26 5" xfId="27623"/>
    <cellStyle name="Output 3 2 4 26 6" xfId="40781"/>
    <cellStyle name="Output 3 2 4 26 7" xfId="48206"/>
    <cellStyle name="Output 3 2 4 27" xfId="3046"/>
    <cellStyle name="Output 3 2 4 27 2" xfId="10859"/>
    <cellStyle name="Output 3 2 4 27 3" xfId="20212"/>
    <cellStyle name="Output 3 2 4 27 4" xfId="28304"/>
    <cellStyle name="Output 3 2 4 27 5" xfId="37684"/>
    <cellStyle name="Output 3 2 4 27 6" xfId="42369"/>
    <cellStyle name="Output 3 2 4 27 7" xfId="48611"/>
    <cellStyle name="Output 3 2 4 28" xfId="4155"/>
    <cellStyle name="Output 3 2 4 28 2" xfId="11914"/>
    <cellStyle name="Output 3 2 4 28 3" xfId="20865"/>
    <cellStyle name="Output 3 2 4 28 4" xfId="29052"/>
    <cellStyle name="Output 3 2 4 28 5" xfId="38428"/>
    <cellStyle name="Output 3 2 4 28 6" xfId="42717"/>
    <cellStyle name="Output 3 2 4 28 7" xfId="47806"/>
    <cellStyle name="Output 3 2 4 29" xfId="4225"/>
    <cellStyle name="Output 3 2 4 29 2" xfId="20935"/>
    <cellStyle name="Output 3 2 4 29 3" xfId="29122"/>
    <cellStyle name="Output 3 2 4 29 4" xfId="38497"/>
    <cellStyle name="Output 3 2 4 29 5" xfId="42787"/>
    <cellStyle name="Output 3 2 4 29 6" xfId="49272"/>
    <cellStyle name="Output 3 2 4 3" xfId="812"/>
    <cellStyle name="Output 3 2 4 3 2" xfId="8636"/>
    <cellStyle name="Output 3 2 4 3 3" xfId="16064"/>
    <cellStyle name="Output 3 2 4 3 4" xfId="26296"/>
    <cellStyle name="Output 3 2 4 3 5" xfId="35010"/>
    <cellStyle name="Output 3 2 4 3 6" xfId="38181"/>
    <cellStyle name="Output 3 2 4 3 7" xfId="53634"/>
    <cellStyle name="Output 3 2 4 30" xfId="4352"/>
    <cellStyle name="Output 3 2 4 30 2" xfId="12069"/>
    <cellStyle name="Output 3 2 4 30 3" xfId="21062"/>
    <cellStyle name="Output 3 2 4 30 4" xfId="29249"/>
    <cellStyle name="Output 3 2 4 30 5" xfId="38619"/>
    <cellStyle name="Output 3 2 4 30 6" xfId="42914"/>
    <cellStyle name="Output 3 2 4 30 7" xfId="53837"/>
    <cellStyle name="Output 3 2 4 31" xfId="4475"/>
    <cellStyle name="Output 3 2 4 31 2" xfId="12192"/>
    <cellStyle name="Output 3 2 4 31 3" xfId="21185"/>
    <cellStyle name="Output 3 2 4 31 4" xfId="29372"/>
    <cellStyle name="Output 3 2 4 31 5" xfId="38737"/>
    <cellStyle name="Output 3 2 4 31 6" xfId="43037"/>
    <cellStyle name="Output 3 2 4 31 7" xfId="48159"/>
    <cellStyle name="Output 3 2 4 32" xfId="4589"/>
    <cellStyle name="Output 3 2 4 32 2" xfId="12306"/>
    <cellStyle name="Output 3 2 4 32 3" xfId="21299"/>
    <cellStyle name="Output 3 2 4 32 4" xfId="29486"/>
    <cellStyle name="Output 3 2 4 32 5" xfId="38846"/>
    <cellStyle name="Output 3 2 4 32 6" xfId="43151"/>
    <cellStyle name="Output 3 2 4 32 7" xfId="49620"/>
    <cellStyle name="Output 3 2 4 33" xfId="4702"/>
    <cellStyle name="Output 3 2 4 33 2" xfId="12419"/>
    <cellStyle name="Output 3 2 4 33 3" xfId="21412"/>
    <cellStyle name="Output 3 2 4 33 4" xfId="29599"/>
    <cellStyle name="Output 3 2 4 33 5" xfId="38955"/>
    <cellStyle name="Output 3 2 4 33 6" xfId="43264"/>
    <cellStyle name="Output 3 2 4 33 7" xfId="54116"/>
    <cellStyle name="Output 3 2 4 34" xfId="4813"/>
    <cellStyle name="Output 3 2 4 34 2" xfId="12530"/>
    <cellStyle name="Output 3 2 4 34 3" xfId="21523"/>
    <cellStyle name="Output 3 2 4 34 4" xfId="29710"/>
    <cellStyle name="Output 3 2 4 34 5" xfId="39063"/>
    <cellStyle name="Output 3 2 4 34 6" xfId="43375"/>
    <cellStyle name="Output 3 2 4 34 7" xfId="50415"/>
    <cellStyle name="Output 3 2 4 35" xfId="4922"/>
    <cellStyle name="Output 3 2 4 35 2" xfId="12639"/>
    <cellStyle name="Output 3 2 4 35 3" xfId="21632"/>
    <cellStyle name="Output 3 2 4 35 4" xfId="29819"/>
    <cellStyle name="Output 3 2 4 35 5" xfId="39167"/>
    <cellStyle name="Output 3 2 4 35 6" xfId="43484"/>
    <cellStyle name="Output 3 2 4 35 7" xfId="50793"/>
    <cellStyle name="Output 3 2 4 36" xfId="5033"/>
    <cellStyle name="Output 3 2 4 36 2" xfId="12750"/>
    <cellStyle name="Output 3 2 4 36 3" xfId="21743"/>
    <cellStyle name="Output 3 2 4 36 4" xfId="29930"/>
    <cellStyle name="Output 3 2 4 36 5" xfId="39275"/>
    <cellStyle name="Output 3 2 4 36 6" xfId="43595"/>
    <cellStyle name="Output 3 2 4 36 7" xfId="47476"/>
    <cellStyle name="Output 3 2 4 37" xfId="5412"/>
    <cellStyle name="Output 3 2 4 37 2" xfId="13129"/>
    <cellStyle name="Output 3 2 4 37 3" xfId="22122"/>
    <cellStyle name="Output 3 2 4 37 4" xfId="30309"/>
    <cellStyle name="Output 3 2 4 37 5" xfId="39639"/>
    <cellStyle name="Output 3 2 4 37 6" xfId="43974"/>
    <cellStyle name="Output 3 2 4 37 7" xfId="49741"/>
    <cellStyle name="Output 3 2 4 38" xfId="5532"/>
    <cellStyle name="Output 3 2 4 38 2" xfId="13249"/>
    <cellStyle name="Output 3 2 4 38 3" xfId="22242"/>
    <cellStyle name="Output 3 2 4 38 4" xfId="30429"/>
    <cellStyle name="Output 3 2 4 38 5" xfId="39753"/>
    <cellStyle name="Output 3 2 4 38 6" xfId="44094"/>
    <cellStyle name="Output 3 2 4 38 7" xfId="48242"/>
    <cellStyle name="Output 3 2 4 39" xfId="5656"/>
    <cellStyle name="Output 3 2 4 39 2" xfId="13373"/>
    <cellStyle name="Output 3 2 4 39 3" xfId="22366"/>
    <cellStyle name="Output 3 2 4 39 4" xfId="30553"/>
    <cellStyle name="Output 3 2 4 39 5" xfId="39873"/>
    <cellStyle name="Output 3 2 4 39 6" xfId="44218"/>
    <cellStyle name="Output 3 2 4 39 7" xfId="46904"/>
    <cellStyle name="Output 3 2 4 4" xfId="923"/>
    <cellStyle name="Output 3 2 4 4 2" xfId="8747"/>
    <cellStyle name="Output 3 2 4 4 3" xfId="16175"/>
    <cellStyle name="Output 3 2 4 4 4" xfId="25314"/>
    <cellStyle name="Output 3 2 4 4 5" xfId="33734"/>
    <cellStyle name="Output 3 2 4 4 6" xfId="37405"/>
    <cellStyle name="Output 3 2 4 4 7" xfId="51453"/>
    <cellStyle name="Output 3 2 4 40" xfId="5772"/>
    <cellStyle name="Output 3 2 4 40 2" xfId="13489"/>
    <cellStyle name="Output 3 2 4 40 3" xfId="22482"/>
    <cellStyle name="Output 3 2 4 40 4" xfId="30669"/>
    <cellStyle name="Output 3 2 4 40 5" xfId="39985"/>
    <cellStyle name="Output 3 2 4 40 6" xfId="44334"/>
    <cellStyle name="Output 3 2 4 40 7" xfId="49893"/>
    <cellStyle name="Output 3 2 4 41" xfId="5888"/>
    <cellStyle name="Output 3 2 4 41 2" xfId="13605"/>
    <cellStyle name="Output 3 2 4 41 3" xfId="22598"/>
    <cellStyle name="Output 3 2 4 41 4" xfId="30785"/>
    <cellStyle name="Output 3 2 4 41 5" xfId="40098"/>
    <cellStyle name="Output 3 2 4 41 6" xfId="44450"/>
    <cellStyle name="Output 3 2 4 41 7" xfId="49690"/>
    <cellStyle name="Output 3 2 4 42" xfId="6017"/>
    <cellStyle name="Output 3 2 4 42 2" xfId="13734"/>
    <cellStyle name="Output 3 2 4 42 3" xfId="22727"/>
    <cellStyle name="Output 3 2 4 42 4" xfId="30914"/>
    <cellStyle name="Output 3 2 4 42 5" xfId="40222"/>
    <cellStyle name="Output 3 2 4 42 6" xfId="44579"/>
    <cellStyle name="Output 3 2 4 42 7" xfId="52839"/>
    <cellStyle name="Output 3 2 4 43" xfId="6144"/>
    <cellStyle name="Output 3 2 4 43 2" xfId="13861"/>
    <cellStyle name="Output 3 2 4 43 3" xfId="22854"/>
    <cellStyle name="Output 3 2 4 43 4" xfId="31041"/>
    <cellStyle name="Output 3 2 4 43 5" xfId="40342"/>
    <cellStyle name="Output 3 2 4 43 6" xfId="44706"/>
    <cellStyle name="Output 3 2 4 43 7" xfId="54156"/>
    <cellStyle name="Output 3 2 4 44" xfId="6273"/>
    <cellStyle name="Output 3 2 4 44 2" xfId="13990"/>
    <cellStyle name="Output 3 2 4 44 3" xfId="22983"/>
    <cellStyle name="Output 3 2 4 44 4" xfId="31170"/>
    <cellStyle name="Output 3 2 4 44 5" xfId="40470"/>
    <cellStyle name="Output 3 2 4 44 6" xfId="44835"/>
    <cellStyle name="Output 3 2 4 44 7" xfId="47903"/>
    <cellStyle name="Output 3 2 4 45" xfId="6389"/>
    <cellStyle name="Output 3 2 4 45 2" xfId="14106"/>
    <cellStyle name="Output 3 2 4 45 3" xfId="23099"/>
    <cellStyle name="Output 3 2 4 45 4" xfId="31286"/>
    <cellStyle name="Output 3 2 4 45 5" xfId="40583"/>
    <cellStyle name="Output 3 2 4 45 6" xfId="44951"/>
    <cellStyle name="Output 3 2 4 45 7" xfId="50908"/>
    <cellStyle name="Output 3 2 4 46" xfId="6500"/>
    <cellStyle name="Output 3 2 4 46 2" xfId="14217"/>
    <cellStyle name="Output 3 2 4 46 3" xfId="23210"/>
    <cellStyle name="Output 3 2 4 46 4" xfId="31397"/>
    <cellStyle name="Output 3 2 4 46 5" xfId="40690"/>
    <cellStyle name="Output 3 2 4 46 6" xfId="45062"/>
    <cellStyle name="Output 3 2 4 46 7" xfId="54001"/>
    <cellStyle name="Output 3 2 4 47" xfId="5300"/>
    <cellStyle name="Output 3 2 4 47 2" xfId="13017"/>
    <cellStyle name="Output 3 2 4 47 3" xfId="22010"/>
    <cellStyle name="Output 3 2 4 47 4" xfId="30197"/>
    <cellStyle name="Output 3 2 4 47 5" xfId="39531"/>
    <cellStyle name="Output 3 2 4 47 6" xfId="43862"/>
    <cellStyle name="Output 3 2 4 47 7" xfId="48138"/>
    <cellStyle name="Output 3 2 4 48" xfId="6646"/>
    <cellStyle name="Output 3 2 4 48 2" xfId="14363"/>
    <cellStyle name="Output 3 2 4 48 3" xfId="23356"/>
    <cellStyle name="Output 3 2 4 48 4" xfId="31543"/>
    <cellStyle name="Output 3 2 4 48 5" xfId="40829"/>
    <cellStyle name="Output 3 2 4 48 6" xfId="45208"/>
    <cellStyle name="Output 3 2 4 48 7" xfId="53498"/>
    <cellStyle name="Output 3 2 4 49" xfId="6758"/>
    <cellStyle name="Output 3 2 4 49 2" xfId="14475"/>
    <cellStyle name="Output 3 2 4 49 3" xfId="23468"/>
    <cellStyle name="Output 3 2 4 49 4" xfId="31655"/>
    <cellStyle name="Output 3 2 4 49 5" xfId="40935"/>
    <cellStyle name="Output 3 2 4 49 6" xfId="45320"/>
    <cellStyle name="Output 3 2 4 49 7" xfId="48996"/>
    <cellStyle name="Output 3 2 4 5" xfId="1389"/>
    <cellStyle name="Output 3 2 4 5 2" xfId="9212"/>
    <cellStyle name="Output 3 2 4 5 3" xfId="16640"/>
    <cellStyle name="Output 3 2 4 5 4" xfId="25096"/>
    <cellStyle name="Output 3 2 4 5 5" xfId="33460"/>
    <cellStyle name="Output 3 2 4 5 6" xfId="37915"/>
    <cellStyle name="Output 3 2 4 5 7" xfId="51003"/>
    <cellStyle name="Output 3 2 4 50" xfId="6873"/>
    <cellStyle name="Output 3 2 4 50 2" xfId="14590"/>
    <cellStyle name="Output 3 2 4 50 3" xfId="23583"/>
    <cellStyle name="Output 3 2 4 50 4" xfId="31770"/>
    <cellStyle name="Output 3 2 4 50 5" xfId="41043"/>
    <cellStyle name="Output 3 2 4 50 6" xfId="45435"/>
    <cellStyle name="Output 3 2 4 50 7" xfId="46893"/>
    <cellStyle name="Output 3 2 4 51" xfId="6986"/>
    <cellStyle name="Output 3 2 4 51 2" xfId="14703"/>
    <cellStyle name="Output 3 2 4 51 3" xfId="23696"/>
    <cellStyle name="Output 3 2 4 51 4" xfId="31883"/>
    <cellStyle name="Output 3 2 4 51 5" xfId="41151"/>
    <cellStyle name="Output 3 2 4 51 6" xfId="45548"/>
    <cellStyle name="Output 3 2 4 51 7" xfId="54555"/>
    <cellStyle name="Output 3 2 4 52" xfId="7097"/>
    <cellStyle name="Output 3 2 4 52 2" xfId="14814"/>
    <cellStyle name="Output 3 2 4 52 3" xfId="23807"/>
    <cellStyle name="Output 3 2 4 52 4" xfId="31994"/>
    <cellStyle name="Output 3 2 4 52 5" xfId="41256"/>
    <cellStyle name="Output 3 2 4 52 6" xfId="45659"/>
    <cellStyle name="Output 3 2 4 52 7" xfId="48932"/>
    <cellStyle name="Output 3 2 4 53" xfId="7182"/>
    <cellStyle name="Output 3 2 4 53 2" xfId="14899"/>
    <cellStyle name="Output 3 2 4 53 3" xfId="23892"/>
    <cellStyle name="Output 3 2 4 53 4" xfId="32079"/>
    <cellStyle name="Output 3 2 4 53 5" xfId="41340"/>
    <cellStyle name="Output 3 2 4 53 6" xfId="45744"/>
    <cellStyle name="Output 3 2 4 53 7" xfId="53214"/>
    <cellStyle name="Output 3 2 4 54" xfId="7260"/>
    <cellStyle name="Output 3 2 4 54 2" xfId="14977"/>
    <cellStyle name="Output 3 2 4 54 3" xfId="23970"/>
    <cellStyle name="Output 3 2 4 54 4" xfId="32157"/>
    <cellStyle name="Output 3 2 4 54 5" xfId="41413"/>
    <cellStyle name="Output 3 2 4 54 6" xfId="45822"/>
    <cellStyle name="Output 3 2 4 54 7" xfId="53404"/>
    <cellStyle name="Output 3 2 4 55" xfId="7494"/>
    <cellStyle name="Output 3 2 4 55 2" xfId="15211"/>
    <cellStyle name="Output 3 2 4 55 3" xfId="24204"/>
    <cellStyle name="Output 3 2 4 55 4" xfId="32391"/>
    <cellStyle name="Output 3 2 4 55 5" xfId="41639"/>
    <cellStyle name="Output 3 2 4 55 6" xfId="46056"/>
    <cellStyle name="Output 3 2 4 55 7" xfId="47546"/>
    <cellStyle name="Output 3 2 4 56" xfId="7615"/>
    <cellStyle name="Output 3 2 4 56 2" xfId="15332"/>
    <cellStyle name="Output 3 2 4 56 3" xfId="24325"/>
    <cellStyle name="Output 3 2 4 56 4" xfId="32512"/>
    <cellStyle name="Output 3 2 4 56 5" xfId="41754"/>
    <cellStyle name="Output 3 2 4 56 6" xfId="46177"/>
    <cellStyle name="Output 3 2 4 56 7" xfId="48339"/>
    <cellStyle name="Output 3 2 4 57" xfId="7891"/>
    <cellStyle name="Output 3 2 4 57 2" xfId="15608"/>
    <cellStyle name="Output 3 2 4 57 3" xfId="24595"/>
    <cellStyle name="Output 3 2 4 57 4" xfId="32788"/>
    <cellStyle name="Output 3 2 4 57 5" xfId="42019"/>
    <cellStyle name="Output 3 2 4 57 6" xfId="46453"/>
    <cellStyle name="Output 3 2 4 57 7" xfId="54221"/>
    <cellStyle name="Output 3 2 4 58" xfId="8019"/>
    <cellStyle name="Output 3 2 4 58 2" xfId="15736"/>
    <cellStyle name="Output 3 2 4 58 3" xfId="24721"/>
    <cellStyle name="Output 3 2 4 58 4" xfId="32916"/>
    <cellStyle name="Output 3 2 4 58 5" xfId="42142"/>
    <cellStyle name="Output 3 2 4 58 6" xfId="46581"/>
    <cellStyle name="Output 3 2 4 58 7" xfId="50775"/>
    <cellStyle name="Output 3 2 4 59" xfId="7728"/>
    <cellStyle name="Output 3 2 4 59 2" xfId="15445"/>
    <cellStyle name="Output 3 2 4 59 3" xfId="24436"/>
    <cellStyle name="Output 3 2 4 59 4" xfId="32625"/>
    <cellStyle name="Output 3 2 4 59 5" xfId="41862"/>
    <cellStyle name="Output 3 2 4 59 6" xfId="46290"/>
    <cellStyle name="Output 3 2 4 59 7" xfId="48227"/>
    <cellStyle name="Output 3 2 4 6" xfId="1512"/>
    <cellStyle name="Output 3 2 4 6 2" xfId="9335"/>
    <cellStyle name="Output 3 2 4 6 3" xfId="16763"/>
    <cellStyle name="Output 3 2 4 6 4" xfId="25081"/>
    <cellStyle name="Output 3 2 4 6 5" xfId="33442"/>
    <cellStyle name="Output 3 2 4 6 6" xfId="40220"/>
    <cellStyle name="Output 3 2 4 6 7" xfId="50970"/>
    <cellStyle name="Output 3 2 4 60" xfId="8167"/>
    <cellStyle name="Output 3 2 4 60 2" xfId="15884"/>
    <cellStyle name="Output 3 2 4 60 3" xfId="33064"/>
    <cellStyle name="Output 3 2 4 60 4" xfId="42283"/>
    <cellStyle name="Output 3 2 4 60 5" xfId="46729"/>
    <cellStyle name="Output 3 2 4 60 6" xfId="50734"/>
    <cellStyle name="Output 3 2 4 61" xfId="26391"/>
    <cellStyle name="Output 3 2 4 62" xfId="35139"/>
    <cellStyle name="Output 3 2 4 63" xfId="36267"/>
    <cellStyle name="Output 3 2 4 64" xfId="53829"/>
    <cellStyle name="Output 3 2 4 7" xfId="961"/>
    <cellStyle name="Output 3 2 4 7 2" xfId="8785"/>
    <cellStyle name="Output 3 2 4 7 3" xfId="16213"/>
    <cellStyle name="Output 3 2 4 7 4" xfId="25727"/>
    <cellStyle name="Output 3 2 4 7 5" xfId="34273"/>
    <cellStyle name="Output 3 2 4 7 6" xfId="36660"/>
    <cellStyle name="Output 3 2 4 7 7" xfId="52379"/>
    <cellStyle name="Output 3 2 4 8" xfId="1749"/>
    <cellStyle name="Output 3 2 4 8 2" xfId="9572"/>
    <cellStyle name="Output 3 2 4 8 3" xfId="17000"/>
    <cellStyle name="Output 3 2 4 8 4" xfId="19184"/>
    <cellStyle name="Output 3 2 4 8 5" xfId="26754"/>
    <cellStyle name="Output 3 2 4 8 6" xfId="39865"/>
    <cellStyle name="Output 3 2 4 8 7" xfId="49165"/>
    <cellStyle name="Output 3 2 4 9" xfId="1883"/>
    <cellStyle name="Output 3 2 4 9 2" xfId="9706"/>
    <cellStyle name="Output 3 2 4 9 3" xfId="17134"/>
    <cellStyle name="Output 3 2 4 9 4" xfId="19531"/>
    <cellStyle name="Output 3 2 4 9 5" xfId="26841"/>
    <cellStyle name="Output 3 2 4 9 6" xfId="38806"/>
    <cellStyle name="Output 3 2 4 9 7" xfId="49537"/>
    <cellStyle name="Output 3 2 40" xfId="4193"/>
    <cellStyle name="Output 3 2 40 2" xfId="11952"/>
    <cellStyle name="Output 3 2 40 3" xfId="20903"/>
    <cellStyle name="Output 3 2 40 4" xfId="29090"/>
    <cellStyle name="Output 3 2 40 5" xfId="38466"/>
    <cellStyle name="Output 3 2 40 6" xfId="42755"/>
    <cellStyle name="Output 3 2 40 7" xfId="52584"/>
    <cellStyle name="Output 3 2 41" xfId="3362"/>
    <cellStyle name="Output 3 2 41 2" xfId="11154"/>
    <cellStyle name="Output 3 2 41 3" xfId="20411"/>
    <cellStyle name="Output 3 2 41 4" xfId="28518"/>
    <cellStyle name="Output 3 2 41 5" xfId="37904"/>
    <cellStyle name="Output 3 2 41 6" xfId="42468"/>
    <cellStyle name="Output 3 2 41 7" xfId="54169"/>
    <cellStyle name="Output 3 2 42" xfId="5190"/>
    <cellStyle name="Output 3 2 42 2" xfId="12907"/>
    <cellStyle name="Output 3 2 42 3" xfId="21900"/>
    <cellStyle name="Output 3 2 42 4" xfId="30087"/>
    <cellStyle name="Output 3 2 42 5" xfId="39426"/>
    <cellStyle name="Output 3 2 42 6" xfId="43752"/>
    <cellStyle name="Output 3 2 42 7" xfId="50467"/>
    <cellStyle name="Output 3 2 43" xfId="5270"/>
    <cellStyle name="Output 3 2 43 2" xfId="12987"/>
    <cellStyle name="Output 3 2 43 3" xfId="21980"/>
    <cellStyle name="Output 3 2 43 4" xfId="30167"/>
    <cellStyle name="Output 3 2 43 5" xfId="39502"/>
    <cellStyle name="Output 3 2 43 6" xfId="43832"/>
    <cellStyle name="Output 3 2 43 7" xfId="49491"/>
    <cellStyle name="Output 3 2 44" xfId="5560"/>
    <cellStyle name="Output 3 2 44 2" xfId="13277"/>
    <cellStyle name="Output 3 2 44 3" xfId="22270"/>
    <cellStyle name="Output 3 2 44 4" xfId="30457"/>
    <cellStyle name="Output 3 2 44 5" xfId="39780"/>
    <cellStyle name="Output 3 2 44 6" xfId="44122"/>
    <cellStyle name="Output 3 2 44 7" xfId="47201"/>
    <cellStyle name="Output 3 2 45" xfId="5371"/>
    <cellStyle name="Output 3 2 45 2" xfId="13088"/>
    <cellStyle name="Output 3 2 45 3" xfId="22081"/>
    <cellStyle name="Output 3 2 45 4" xfId="30268"/>
    <cellStyle name="Output 3 2 45 5" xfId="39599"/>
    <cellStyle name="Output 3 2 45 6" xfId="43933"/>
    <cellStyle name="Output 3 2 45 7" xfId="54289"/>
    <cellStyle name="Output 3 2 46" xfId="5319"/>
    <cellStyle name="Output 3 2 46 2" xfId="13036"/>
    <cellStyle name="Output 3 2 46 3" xfId="22029"/>
    <cellStyle name="Output 3 2 46 4" xfId="30216"/>
    <cellStyle name="Output 3 2 46 5" xfId="39550"/>
    <cellStyle name="Output 3 2 46 6" xfId="43881"/>
    <cellStyle name="Output 3 2 46 7" xfId="52279"/>
    <cellStyle name="Output 3 2 47" xfId="5104"/>
    <cellStyle name="Output 3 2 47 2" xfId="12821"/>
    <cellStyle name="Output 3 2 47 3" xfId="21814"/>
    <cellStyle name="Output 3 2 47 4" xfId="30001"/>
    <cellStyle name="Output 3 2 47 5" xfId="39342"/>
    <cellStyle name="Output 3 2 47 6" xfId="43666"/>
    <cellStyle name="Output 3 2 47 7" xfId="49588"/>
    <cellStyle name="Output 3 2 48" xfId="5341"/>
    <cellStyle name="Output 3 2 48 2" xfId="13058"/>
    <cellStyle name="Output 3 2 48 3" xfId="22051"/>
    <cellStyle name="Output 3 2 48 4" xfId="30238"/>
    <cellStyle name="Output 3 2 48 5" xfId="39570"/>
    <cellStyle name="Output 3 2 48 6" xfId="43903"/>
    <cellStyle name="Output 3 2 48 7" xfId="49971"/>
    <cellStyle name="Output 3 2 49" xfId="5211"/>
    <cellStyle name="Output 3 2 49 2" xfId="12928"/>
    <cellStyle name="Output 3 2 49 3" xfId="21921"/>
    <cellStyle name="Output 3 2 49 4" xfId="30108"/>
    <cellStyle name="Output 3 2 49 5" xfId="39443"/>
    <cellStyle name="Output 3 2 49 6" xfId="43773"/>
    <cellStyle name="Output 3 2 49 7" xfId="53236"/>
    <cellStyle name="Output 3 2 5" xfId="519"/>
    <cellStyle name="Output 3 2 5 10" xfId="1966"/>
    <cellStyle name="Output 3 2 5 10 2" xfId="9789"/>
    <cellStyle name="Output 3 2 5 10 3" xfId="17217"/>
    <cellStyle name="Output 3 2 5 10 4" xfId="20007"/>
    <cellStyle name="Output 3 2 5 10 5" xfId="28723"/>
    <cellStyle name="Output 3 2 5 10 6" xfId="38683"/>
    <cellStyle name="Output 3 2 5 10 7" xfId="50004"/>
    <cellStyle name="Output 3 2 5 11" xfId="2084"/>
    <cellStyle name="Output 3 2 5 11 2" xfId="9907"/>
    <cellStyle name="Output 3 2 5 11 3" xfId="17335"/>
    <cellStyle name="Output 3 2 5 11 4" xfId="20051"/>
    <cellStyle name="Output 3 2 5 11 5" xfId="28269"/>
    <cellStyle name="Output 3 2 5 11 6" xfId="41777"/>
    <cellStyle name="Output 3 2 5 11 7" xfId="50297"/>
    <cellStyle name="Output 3 2 5 12" xfId="2197"/>
    <cellStyle name="Output 3 2 5 12 2" xfId="10020"/>
    <cellStyle name="Output 3 2 5 12 3" xfId="17448"/>
    <cellStyle name="Output 3 2 5 12 4" xfId="26139"/>
    <cellStyle name="Output 3 2 5 12 5" xfId="34804"/>
    <cellStyle name="Output 3 2 5 12 6" xfId="37857"/>
    <cellStyle name="Output 3 2 5 12 7" xfId="53294"/>
    <cellStyle name="Output 3 2 5 13" xfId="1922"/>
    <cellStyle name="Output 3 2 5 13 2" xfId="9745"/>
    <cellStyle name="Output 3 2 5 13 3" xfId="17173"/>
    <cellStyle name="Output 3 2 5 13 4" xfId="20148"/>
    <cellStyle name="Output 3 2 5 13 5" xfId="28738"/>
    <cellStyle name="Output 3 2 5 13 6" xfId="42115"/>
    <cellStyle name="Output 3 2 5 13 7" xfId="48397"/>
    <cellStyle name="Output 3 2 5 14" xfId="2364"/>
    <cellStyle name="Output 3 2 5 14 2" xfId="10187"/>
    <cellStyle name="Output 3 2 5 14 3" xfId="17615"/>
    <cellStyle name="Output 3 2 5 14 4" xfId="20666"/>
    <cellStyle name="Output 3 2 5 14 5" xfId="26895"/>
    <cellStyle name="Output 3 2 5 14 6" xfId="37421"/>
    <cellStyle name="Output 3 2 5 14 7" xfId="49708"/>
    <cellStyle name="Output 3 2 5 15" xfId="2495"/>
    <cellStyle name="Output 3 2 5 15 2" xfId="10318"/>
    <cellStyle name="Output 3 2 5 15 3" xfId="17746"/>
    <cellStyle name="Output 3 2 5 15 4" xfId="25246"/>
    <cellStyle name="Output 3 2 5 15 5" xfId="33650"/>
    <cellStyle name="Output 3 2 5 15 6" xfId="37505"/>
    <cellStyle name="Output 3 2 5 15 7" xfId="51313"/>
    <cellStyle name="Output 3 2 5 16" xfId="2608"/>
    <cellStyle name="Output 3 2 5 16 2" xfId="10431"/>
    <cellStyle name="Output 3 2 5 16 3" xfId="17859"/>
    <cellStyle name="Output 3 2 5 16 4" xfId="20050"/>
    <cellStyle name="Output 3 2 5 16 5" xfId="27405"/>
    <cellStyle name="Output 3 2 5 16 6" xfId="41785"/>
    <cellStyle name="Output 3 2 5 16 7" xfId="48875"/>
    <cellStyle name="Output 3 2 5 17" xfId="2685"/>
    <cellStyle name="Output 3 2 5 17 2" xfId="10508"/>
    <cellStyle name="Output 3 2 5 17 3" xfId="17936"/>
    <cellStyle name="Output 3 2 5 17 4" xfId="26620"/>
    <cellStyle name="Output 3 2 5 17 5" xfId="35452"/>
    <cellStyle name="Output 3 2 5 17 6" xfId="41191"/>
    <cellStyle name="Output 3 2 5 17 7" xfId="54327"/>
    <cellStyle name="Output 3 2 5 18" xfId="1026"/>
    <cellStyle name="Output 3 2 5 18 2" xfId="8850"/>
    <cellStyle name="Output 3 2 5 18 3" xfId="16278"/>
    <cellStyle name="Output 3 2 5 18 4" xfId="25376"/>
    <cellStyle name="Output 3 2 5 18 5" xfId="33824"/>
    <cellStyle name="Output 3 2 5 18 6" xfId="37520"/>
    <cellStyle name="Output 3 2 5 18 7" xfId="51601"/>
    <cellStyle name="Output 3 2 5 19" xfId="2802"/>
    <cellStyle name="Output 3 2 5 19 2" xfId="10625"/>
    <cellStyle name="Output 3 2 5 19 3" xfId="18053"/>
    <cellStyle name="Output 3 2 5 19 4" xfId="25120"/>
    <cellStyle name="Output 3 2 5 19 5" xfId="33493"/>
    <cellStyle name="Output 3 2 5 19 6" xfId="37282"/>
    <cellStyle name="Output 3 2 5 19 7" xfId="51057"/>
    <cellStyle name="Output 3 2 5 2" xfId="670"/>
    <cellStyle name="Output 3 2 5 2 2" xfId="8494"/>
    <cellStyle name="Output 3 2 5 2 3" xfId="8266"/>
    <cellStyle name="Output 3 2 5 2 4" xfId="24840"/>
    <cellStyle name="Output 3 2 5 2 5" xfId="28219"/>
    <cellStyle name="Output 3 2 5 2 6" xfId="37925"/>
    <cellStyle name="Output 3 2 5 2 7" xfId="50069"/>
    <cellStyle name="Output 3 2 5 20" xfId="2909"/>
    <cellStyle name="Output 3 2 5 20 2" xfId="10732"/>
    <cellStyle name="Output 3 2 5 20 3" xfId="18160"/>
    <cellStyle name="Output 3 2 5 20 4" xfId="25305"/>
    <cellStyle name="Output 3 2 5 20 5" xfId="33721"/>
    <cellStyle name="Output 3 2 5 20 6" xfId="37267"/>
    <cellStyle name="Output 3 2 5 20 7" xfId="51436"/>
    <cellStyle name="Output 3 2 5 21" xfId="3285"/>
    <cellStyle name="Output 3 2 5 21 2" xfId="11078"/>
    <cellStyle name="Output 3 2 5 21 3" xfId="18407"/>
    <cellStyle name="Output 3 2 5 21 4" xfId="26204"/>
    <cellStyle name="Output 3 2 5 21 5" xfId="34886"/>
    <cellStyle name="Output 3 2 5 21 6" xfId="41150"/>
    <cellStyle name="Output 3 2 5 21 7" xfId="53435"/>
    <cellStyle name="Output 3 2 5 22" xfId="3405"/>
    <cellStyle name="Output 3 2 5 22 2" xfId="11196"/>
    <cellStyle name="Output 3 2 5 22 3" xfId="18518"/>
    <cellStyle name="Output 3 2 5 22 4" xfId="19809"/>
    <cellStyle name="Output 3 2 5 22 5" xfId="27101"/>
    <cellStyle name="Output 3 2 5 22 6" xfId="37113"/>
    <cellStyle name="Output 3 2 5 22 7" xfId="47384"/>
    <cellStyle name="Output 3 2 5 23" xfId="3039"/>
    <cellStyle name="Output 3 2 5 23 2" xfId="10852"/>
    <cellStyle name="Output 3 2 5 23 3" xfId="18263"/>
    <cellStyle name="Output 3 2 5 23 4" xfId="20083"/>
    <cellStyle name="Output 3 2 5 23 5" xfId="28241"/>
    <cellStyle name="Output 3 2 5 23 6" xfId="37242"/>
    <cellStyle name="Output 3 2 5 23 7" xfId="49308"/>
    <cellStyle name="Output 3 2 5 24" xfId="3675"/>
    <cellStyle name="Output 3 2 5 24 2" xfId="11460"/>
    <cellStyle name="Output 3 2 5 24 3" xfId="18733"/>
    <cellStyle name="Output 3 2 5 24 4" xfId="19226"/>
    <cellStyle name="Output 3 2 5 24 5" xfId="27780"/>
    <cellStyle name="Output 3 2 5 24 6" xfId="38586"/>
    <cellStyle name="Output 3 2 5 24 7" xfId="47625"/>
    <cellStyle name="Output 3 2 5 25" xfId="3806"/>
    <cellStyle name="Output 3 2 5 25 2" xfId="11588"/>
    <cellStyle name="Output 3 2 5 25 3" xfId="18845"/>
    <cellStyle name="Output 3 2 5 25 4" xfId="26437"/>
    <cellStyle name="Output 3 2 5 25 5" xfId="35206"/>
    <cellStyle name="Output 3 2 5 25 6" xfId="41457"/>
    <cellStyle name="Output 3 2 5 25 7" xfId="53929"/>
    <cellStyle name="Output 3 2 5 26" xfId="3923"/>
    <cellStyle name="Output 3 2 5 26 2" xfId="11703"/>
    <cellStyle name="Output 3 2 5 26 3" xfId="18954"/>
    <cellStyle name="Output 3 2 5 26 4" xfId="19378"/>
    <cellStyle name="Output 3 2 5 26 5" xfId="26972"/>
    <cellStyle name="Output 3 2 5 26 6" xfId="37423"/>
    <cellStyle name="Output 3 2 5 26 7" xfId="49065"/>
    <cellStyle name="Output 3 2 5 27" xfId="3241"/>
    <cellStyle name="Output 3 2 5 27 2" xfId="11034"/>
    <cellStyle name="Output 3 2 5 27 3" xfId="20358"/>
    <cellStyle name="Output 3 2 5 27 4" xfId="28447"/>
    <cellStyle name="Output 3 2 5 27 5" xfId="37840"/>
    <cellStyle name="Output 3 2 5 27 6" xfId="42461"/>
    <cellStyle name="Output 3 2 5 27 7" xfId="51551"/>
    <cellStyle name="Output 3 2 5 28" xfId="4120"/>
    <cellStyle name="Output 3 2 5 28 2" xfId="11880"/>
    <cellStyle name="Output 3 2 5 28 3" xfId="20830"/>
    <cellStyle name="Output 3 2 5 28 4" xfId="29017"/>
    <cellStyle name="Output 3 2 5 28 5" xfId="38394"/>
    <cellStyle name="Output 3 2 5 28 6" xfId="42682"/>
    <cellStyle name="Output 3 2 5 28 7" xfId="52533"/>
    <cellStyle name="Output 3 2 5 29" xfId="4043"/>
    <cellStyle name="Output 3 2 5 29 2" xfId="20753"/>
    <cellStyle name="Output 3 2 5 29 3" xfId="28940"/>
    <cellStyle name="Output 3 2 5 29 4" xfId="38319"/>
    <cellStyle name="Output 3 2 5 29 5" xfId="42605"/>
    <cellStyle name="Output 3 2 5 29 6" xfId="52553"/>
    <cellStyle name="Output 3 2 5 3" xfId="777"/>
    <cellStyle name="Output 3 2 5 3 2" xfId="8601"/>
    <cellStyle name="Output 3 2 5 3 3" xfId="16029"/>
    <cellStyle name="Output 3 2 5 3 4" xfId="25620"/>
    <cellStyle name="Output 3 2 5 3 5" xfId="34134"/>
    <cellStyle name="Output 3 2 5 3 6" xfId="38088"/>
    <cellStyle name="Output 3 2 5 3 7" xfId="52130"/>
    <cellStyle name="Output 3 2 5 30" xfId="4317"/>
    <cellStyle name="Output 3 2 5 30 2" xfId="12034"/>
    <cellStyle name="Output 3 2 5 30 3" xfId="21027"/>
    <cellStyle name="Output 3 2 5 30 4" xfId="29214"/>
    <cellStyle name="Output 3 2 5 30 5" xfId="38585"/>
    <cellStyle name="Output 3 2 5 30 6" xfId="42879"/>
    <cellStyle name="Output 3 2 5 30 7" xfId="50571"/>
    <cellStyle name="Output 3 2 5 31" xfId="4440"/>
    <cellStyle name="Output 3 2 5 31 2" xfId="12157"/>
    <cellStyle name="Output 3 2 5 31 3" xfId="21150"/>
    <cellStyle name="Output 3 2 5 31 4" xfId="29337"/>
    <cellStyle name="Output 3 2 5 31 5" xfId="38703"/>
    <cellStyle name="Output 3 2 5 31 6" xfId="43002"/>
    <cellStyle name="Output 3 2 5 31 7" xfId="51236"/>
    <cellStyle name="Output 3 2 5 32" xfId="4554"/>
    <cellStyle name="Output 3 2 5 32 2" xfId="12271"/>
    <cellStyle name="Output 3 2 5 32 3" xfId="21264"/>
    <cellStyle name="Output 3 2 5 32 4" xfId="29451"/>
    <cellStyle name="Output 3 2 5 32 5" xfId="38812"/>
    <cellStyle name="Output 3 2 5 32 6" xfId="43116"/>
    <cellStyle name="Output 3 2 5 32 7" xfId="54391"/>
    <cellStyle name="Output 3 2 5 33" xfId="4667"/>
    <cellStyle name="Output 3 2 5 33 2" xfId="12384"/>
    <cellStyle name="Output 3 2 5 33 3" xfId="21377"/>
    <cellStyle name="Output 3 2 5 33 4" xfId="29564"/>
    <cellStyle name="Output 3 2 5 33 5" xfId="38921"/>
    <cellStyle name="Output 3 2 5 33 6" xfId="43229"/>
    <cellStyle name="Output 3 2 5 33 7" xfId="50351"/>
    <cellStyle name="Output 3 2 5 34" xfId="4779"/>
    <cellStyle name="Output 3 2 5 34 2" xfId="12496"/>
    <cellStyle name="Output 3 2 5 34 3" xfId="21489"/>
    <cellStyle name="Output 3 2 5 34 4" xfId="29676"/>
    <cellStyle name="Output 3 2 5 34 5" xfId="39030"/>
    <cellStyle name="Output 3 2 5 34 6" xfId="43341"/>
    <cellStyle name="Output 3 2 5 34 7" xfId="53849"/>
    <cellStyle name="Output 3 2 5 35" xfId="4887"/>
    <cellStyle name="Output 3 2 5 35 2" xfId="12604"/>
    <cellStyle name="Output 3 2 5 35 3" xfId="21597"/>
    <cellStyle name="Output 3 2 5 35 4" xfId="29784"/>
    <cellStyle name="Output 3 2 5 35 5" xfId="39133"/>
    <cellStyle name="Output 3 2 5 35 6" xfId="43449"/>
    <cellStyle name="Output 3 2 5 35 7" xfId="50267"/>
    <cellStyle name="Output 3 2 5 36" xfId="4999"/>
    <cellStyle name="Output 3 2 5 36 2" xfId="12716"/>
    <cellStyle name="Output 3 2 5 36 3" xfId="21709"/>
    <cellStyle name="Output 3 2 5 36 4" xfId="29896"/>
    <cellStyle name="Output 3 2 5 36 5" xfId="39242"/>
    <cellStyle name="Output 3 2 5 36 6" xfId="43561"/>
    <cellStyle name="Output 3 2 5 36 7" xfId="54020"/>
    <cellStyle name="Output 3 2 5 37" xfId="5112"/>
    <cellStyle name="Output 3 2 5 37 2" xfId="12829"/>
    <cellStyle name="Output 3 2 5 37 3" xfId="21822"/>
    <cellStyle name="Output 3 2 5 37 4" xfId="30009"/>
    <cellStyle name="Output 3 2 5 37 5" xfId="39350"/>
    <cellStyle name="Output 3 2 5 37 6" xfId="43674"/>
    <cellStyle name="Output 3 2 5 37 7" xfId="49523"/>
    <cellStyle name="Output 3 2 5 38" xfId="5497"/>
    <cellStyle name="Output 3 2 5 38 2" xfId="13214"/>
    <cellStyle name="Output 3 2 5 38 3" xfId="22207"/>
    <cellStyle name="Output 3 2 5 38 4" xfId="30394"/>
    <cellStyle name="Output 3 2 5 38 5" xfId="39719"/>
    <cellStyle name="Output 3 2 5 38 6" xfId="44059"/>
    <cellStyle name="Output 3 2 5 38 7" xfId="48967"/>
    <cellStyle name="Output 3 2 5 39" xfId="5622"/>
    <cellStyle name="Output 3 2 5 39 2" xfId="13339"/>
    <cellStyle name="Output 3 2 5 39 3" xfId="22332"/>
    <cellStyle name="Output 3 2 5 39 4" xfId="30519"/>
    <cellStyle name="Output 3 2 5 39 5" xfId="39840"/>
    <cellStyle name="Output 3 2 5 39 6" xfId="44184"/>
    <cellStyle name="Output 3 2 5 39 7" xfId="47125"/>
    <cellStyle name="Output 3 2 5 4" xfId="889"/>
    <cellStyle name="Output 3 2 5 4 2" xfId="8713"/>
    <cellStyle name="Output 3 2 5 4 3" xfId="16141"/>
    <cellStyle name="Output 3 2 5 4 4" xfId="26500"/>
    <cellStyle name="Output 3 2 5 4 5" xfId="35293"/>
    <cellStyle name="Output 3 2 5 4 6" xfId="37944"/>
    <cellStyle name="Output 3 2 5 4 7" xfId="54077"/>
    <cellStyle name="Output 3 2 5 40" xfId="5737"/>
    <cellStyle name="Output 3 2 5 40 2" xfId="13454"/>
    <cellStyle name="Output 3 2 5 40 3" xfId="22447"/>
    <cellStyle name="Output 3 2 5 40 4" xfId="30634"/>
    <cellStyle name="Output 3 2 5 40 5" xfId="39951"/>
    <cellStyle name="Output 3 2 5 40 6" xfId="44299"/>
    <cellStyle name="Output 3 2 5 40 7" xfId="53696"/>
    <cellStyle name="Output 3 2 5 41" xfId="5854"/>
    <cellStyle name="Output 3 2 5 41 2" xfId="13571"/>
    <cellStyle name="Output 3 2 5 41 3" xfId="22564"/>
    <cellStyle name="Output 3 2 5 41 4" xfId="30751"/>
    <cellStyle name="Output 3 2 5 41 5" xfId="40065"/>
    <cellStyle name="Output 3 2 5 41 6" xfId="44416"/>
    <cellStyle name="Output 3 2 5 41 7" xfId="54274"/>
    <cellStyle name="Output 3 2 5 42" xfId="5982"/>
    <cellStyle name="Output 3 2 5 42 2" xfId="13699"/>
    <cellStyle name="Output 3 2 5 42 3" xfId="22692"/>
    <cellStyle name="Output 3 2 5 42 4" xfId="30879"/>
    <cellStyle name="Output 3 2 5 42 5" xfId="40188"/>
    <cellStyle name="Output 3 2 5 42 6" xfId="44544"/>
    <cellStyle name="Output 3 2 5 42 7" xfId="47965"/>
    <cellStyle name="Output 3 2 5 43" xfId="5318"/>
    <cellStyle name="Output 3 2 5 43 2" xfId="13035"/>
    <cellStyle name="Output 3 2 5 43 3" xfId="22028"/>
    <cellStyle name="Output 3 2 5 43 4" xfId="30215"/>
    <cellStyle name="Output 3 2 5 43 5" xfId="39549"/>
    <cellStyle name="Output 3 2 5 43 6" xfId="43880"/>
    <cellStyle name="Output 3 2 5 43 7" xfId="52400"/>
    <cellStyle name="Output 3 2 5 44" xfId="6238"/>
    <cellStyle name="Output 3 2 5 44 2" xfId="13955"/>
    <cellStyle name="Output 3 2 5 44 3" xfId="22948"/>
    <cellStyle name="Output 3 2 5 44 4" xfId="31135"/>
    <cellStyle name="Output 3 2 5 44 5" xfId="40436"/>
    <cellStyle name="Output 3 2 5 44 6" xfId="44800"/>
    <cellStyle name="Output 3 2 5 44 7" xfId="51412"/>
    <cellStyle name="Output 3 2 5 45" xfId="6355"/>
    <cellStyle name="Output 3 2 5 45 2" xfId="14072"/>
    <cellStyle name="Output 3 2 5 45 3" xfId="23065"/>
    <cellStyle name="Output 3 2 5 45 4" xfId="31252"/>
    <cellStyle name="Output 3 2 5 45 5" xfId="40550"/>
    <cellStyle name="Output 3 2 5 45 6" xfId="44917"/>
    <cellStyle name="Output 3 2 5 45 7" xfId="47828"/>
    <cellStyle name="Output 3 2 5 46" xfId="6465"/>
    <cellStyle name="Output 3 2 5 46 2" xfId="14182"/>
    <cellStyle name="Output 3 2 5 46 3" xfId="23175"/>
    <cellStyle name="Output 3 2 5 46 4" xfId="31362"/>
    <cellStyle name="Output 3 2 5 46 5" xfId="40656"/>
    <cellStyle name="Output 3 2 5 46 6" xfId="45027"/>
    <cellStyle name="Output 3 2 5 46 7" xfId="49336"/>
    <cellStyle name="Output 3 2 5 47" xfId="5358"/>
    <cellStyle name="Output 3 2 5 47 2" xfId="13075"/>
    <cellStyle name="Output 3 2 5 47 3" xfId="22068"/>
    <cellStyle name="Output 3 2 5 47 4" xfId="30255"/>
    <cellStyle name="Output 3 2 5 47 5" xfId="39587"/>
    <cellStyle name="Output 3 2 5 47 6" xfId="43920"/>
    <cellStyle name="Output 3 2 5 47 7" xfId="50913"/>
    <cellStyle name="Output 3 2 5 48" xfId="6612"/>
    <cellStyle name="Output 3 2 5 48 2" xfId="14329"/>
    <cellStyle name="Output 3 2 5 48 3" xfId="23322"/>
    <cellStyle name="Output 3 2 5 48 4" xfId="31509"/>
    <cellStyle name="Output 3 2 5 48 5" xfId="40796"/>
    <cellStyle name="Output 3 2 5 48 6" xfId="45174"/>
    <cellStyle name="Output 3 2 5 48 7" xfId="47434"/>
    <cellStyle name="Output 3 2 5 49" xfId="6723"/>
    <cellStyle name="Output 3 2 5 49 2" xfId="14440"/>
    <cellStyle name="Output 3 2 5 49 3" xfId="23433"/>
    <cellStyle name="Output 3 2 5 49 4" xfId="31620"/>
    <cellStyle name="Output 3 2 5 49 5" xfId="40901"/>
    <cellStyle name="Output 3 2 5 49 6" xfId="45285"/>
    <cellStyle name="Output 3 2 5 49 7" xfId="52871"/>
    <cellStyle name="Output 3 2 5 5" xfId="1354"/>
    <cellStyle name="Output 3 2 5 5 2" xfId="9177"/>
    <cellStyle name="Output 3 2 5 5 3" xfId="16605"/>
    <cellStyle name="Output 3 2 5 5 4" xfId="19893"/>
    <cellStyle name="Output 3 2 5 5 5" xfId="27352"/>
    <cellStyle name="Output 3 2 5 5 6" xfId="41200"/>
    <cellStyle name="Output 3 2 5 5 7" xfId="48545"/>
    <cellStyle name="Output 3 2 5 50" xfId="6838"/>
    <cellStyle name="Output 3 2 5 50 2" xfId="14555"/>
    <cellStyle name="Output 3 2 5 50 3" xfId="23548"/>
    <cellStyle name="Output 3 2 5 50 4" xfId="31735"/>
    <cellStyle name="Output 3 2 5 50 5" xfId="41009"/>
    <cellStyle name="Output 3 2 5 50 6" xfId="45400"/>
    <cellStyle name="Output 3 2 5 50 7" xfId="47887"/>
    <cellStyle name="Output 3 2 5 51" xfId="6951"/>
    <cellStyle name="Output 3 2 5 51 2" xfId="14668"/>
    <cellStyle name="Output 3 2 5 51 3" xfId="23661"/>
    <cellStyle name="Output 3 2 5 51 4" xfId="31848"/>
    <cellStyle name="Output 3 2 5 51 5" xfId="41117"/>
    <cellStyle name="Output 3 2 5 51 6" xfId="45513"/>
    <cellStyle name="Output 3 2 5 51 7" xfId="47036"/>
    <cellStyle name="Output 3 2 5 52" xfId="7063"/>
    <cellStyle name="Output 3 2 5 52 2" xfId="14780"/>
    <cellStyle name="Output 3 2 5 52 3" xfId="23773"/>
    <cellStyle name="Output 3 2 5 52 4" xfId="31960"/>
    <cellStyle name="Output 3 2 5 52 5" xfId="41223"/>
    <cellStyle name="Output 3 2 5 52 6" xfId="45625"/>
    <cellStyle name="Output 3 2 5 52 7" xfId="53045"/>
    <cellStyle name="Output 3 2 5 53" xfId="7371"/>
    <cellStyle name="Output 3 2 5 53 2" xfId="15088"/>
    <cellStyle name="Output 3 2 5 53 3" xfId="24081"/>
    <cellStyle name="Output 3 2 5 53 4" xfId="32268"/>
    <cellStyle name="Output 3 2 5 53 5" xfId="41524"/>
    <cellStyle name="Output 3 2 5 53 6" xfId="45933"/>
    <cellStyle name="Output 3 2 5 53 7" xfId="48278"/>
    <cellStyle name="Output 3 2 5 54" xfId="7241"/>
    <cellStyle name="Output 3 2 5 54 2" xfId="14958"/>
    <cellStyle name="Output 3 2 5 54 3" xfId="23951"/>
    <cellStyle name="Output 3 2 5 54 4" xfId="32138"/>
    <cellStyle name="Output 3 2 5 54 5" xfId="41395"/>
    <cellStyle name="Output 3 2 5 54 6" xfId="45803"/>
    <cellStyle name="Output 3 2 5 54 7" xfId="54149"/>
    <cellStyle name="Output 3 2 5 55" xfId="7460"/>
    <cellStyle name="Output 3 2 5 55 2" xfId="15177"/>
    <cellStyle name="Output 3 2 5 55 3" xfId="24170"/>
    <cellStyle name="Output 3 2 5 55 4" xfId="32357"/>
    <cellStyle name="Output 3 2 5 55 5" xfId="41606"/>
    <cellStyle name="Output 3 2 5 55 6" xfId="46022"/>
    <cellStyle name="Output 3 2 5 55 7" xfId="54486"/>
    <cellStyle name="Output 3 2 5 56" xfId="7581"/>
    <cellStyle name="Output 3 2 5 56 2" xfId="15298"/>
    <cellStyle name="Output 3 2 5 56 3" xfId="24291"/>
    <cellStyle name="Output 3 2 5 56 4" xfId="32478"/>
    <cellStyle name="Output 3 2 5 56 5" xfId="41721"/>
    <cellStyle name="Output 3 2 5 56 6" xfId="46143"/>
    <cellStyle name="Output 3 2 5 56 7" xfId="49076"/>
    <cellStyle name="Output 3 2 5 57" xfId="7857"/>
    <cellStyle name="Output 3 2 5 57 2" xfId="15574"/>
    <cellStyle name="Output 3 2 5 57 3" xfId="24561"/>
    <cellStyle name="Output 3 2 5 57 4" xfId="32754"/>
    <cellStyle name="Output 3 2 5 57 5" xfId="41986"/>
    <cellStyle name="Output 3 2 5 57 6" xfId="46419"/>
    <cellStyle name="Output 3 2 5 57 7" xfId="50312"/>
    <cellStyle name="Output 3 2 5 58" xfId="7939"/>
    <cellStyle name="Output 3 2 5 58 2" xfId="15656"/>
    <cellStyle name="Output 3 2 5 58 3" xfId="24642"/>
    <cellStyle name="Output 3 2 5 58 4" xfId="32836"/>
    <cellStyle name="Output 3 2 5 58 5" xfId="42065"/>
    <cellStyle name="Output 3 2 5 58 6" xfId="46501"/>
    <cellStyle name="Output 3 2 5 58 7" xfId="48632"/>
    <cellStyle name="Output 3 2 5 59" xfId="8069"/>
    <cellStyle name="Output 3 2 5 59 2" xfId="15786"/>
    <cellStyle name="Output 3 2 5 59 3" xfId="24771"/>
    <cellStyle name="Output 3 2 5 59 4" xfId="32966"/>
    <cellStyle name="Output 3 2 5 59 5" xfId="42190"/>
    <cellStyle name="Output 3 2 5 59 6" xfId="46631"/>
    <cellStyle name="Output 3 2 5 59 7" xfId="49965"/>
    <cellStyle name="Output 3 2 5 6" xfId="1477"/>
    <cellStyle name="Output 3 2 5 6 2" xfId="9300"/>
    <cellStyle name="Output 3 2 5 6 3" xfId="16728"/>
    <cellStyle name="Output 3 2 5 6 4" xfId="19674"/>
    <cellStyle name="Output 3 2 5 6 5" xfId="28643"/>
    <cellStyle name="Output 3 2 5 6 6" xfId="39497"/>
    <cellStyle name="Output 3 2 5 6 7" xfId="48513"/>
    <cellStyle name="Output 3 2 5 60" xfId="8133"/>
    <cellStyle name="Output 3 2 5 60 2" xfId="15850"/>
    <cellStyle name="Output 3 2 5 60 3" xfId="33030"/>
    <cellStyle name="Output 3 2 5 60 4" xfId="42250"/>
    <cellStyle name="Output 3 2 5 60 5" xfId="46695"/>
    <cellStyle name="Output 3 2 5 60 6" xfId="50683"/>
    <cellStyle name="Output 3 2 5 61" xfId="19984"/>
    <cellStyle name="Output 3 2 5 62" xfId="28435"/>
    <cellStyle name="Output 3 2 5 63" xfId="37162"/>
    <cellStyle name="Output 3 2 5 64" xfId="49606"/>
    <cellStyle name="Output 3 2 5 7" xfId="1564"/>
    <cellStyle name="Output 3 2 5 7 2" xfId="9387"/>
    <cellStyle name="Output 3 2 5 7 3" xfId="16815"/>
    <cellStyle name="Output 3 2 5 7 4" xfId="26433"/>
    <cellStyle name="Output 3 2 5 7 5" xfId="35201"/>
    <cellStyle name="Output 3 2 5 7 6" xfId="42191"/>
    <cellStyle name="Output 3 2 5 7 7" xfId="53924"/>
    <cellStyle name="Output 3 2 5 8" xfId="1714"/>
    <cellStyle name="Output 3 2 5 8 2" xfId="9537"/>
    <cellStyle name="Output 3 2 5 8 3" xfId="16965"/>
    <cellStyle name="Output 3 2 5 8 4" xfId="25465"/>
    <cellStyle name="Output 3 2 5 8 5" xfId="33930"/>
    <cellStyle name="Output 3 2 5 8 6" xfId="37276"/>
    <cellStyle name="Output 3 2 5 8 7" xfId="51791"/>
    <cellStyle name="Output 3 2 5 9" xfId="1848"/>
    <cellStyle name="Output 3 2 5 9 2" xfId="9671"/>
    <cellStyle name="Output 3 2 5 9 3" xfId="17099"/>
    <cellStyle name="Output 3 2 5 9 4" xfId="26215"/>
    <cellStyle name="Output 3 2 5 9 5" xfId="34900"/>
    <cellStyle name="Output 3 2 5 9 6" xfId="36947"/>
    <cellStyle name="Output 3 2 5 9 7" xfId="53456"/>
    <cellStyle name="Output 3 2 50" xfId="5294"/>
    <cellStyle name="Output 3 2 50 2" xfId="13011"/>
    <cellStyle name="Output 3 2 50 3" xfId="22004"/>
    <cellStyle name="Output 3 2 50 4" xfId="30191"/>
    <cellStyle name="Output 3 2 50 5" xfId="39525"/>
    <cellStyle name="Output 3 2 50 6" xfId="43856"/>
    <cellStyle name="Output 3 2 50 7" xfId="48365"/>
    <cellStyle name="Output 3 2 51" xfId="5284"/>
    <cellStyle name="Output 3 2 51 2" xfId="13001"/>
    <cellStyle name="Output 3 2 51 3" xfId="21994"/>
    <cellStyle name="Output 3 2 51 4" xfId="30181"/>
    <cellStyle name="Output 3 2 51 5" xfId="39515"/>
    <cellStyle name="Output 3 2 51 6" xfId="43846"/>
    <cellStyle name="Output 3 2 51 7" xfId="51687"/>
    <cellStyle name="Output 3 2 52" xfId="5317"/>
    <cellStyle name="Output 3 2 52 2" xfId="13034"/>
    <cellStyle name="Output 3 2 52 3" xfId="22027"/>
    <cellStyle name="Output 3 2 52 4" xfId="30214"/>
    <cellStyle name="Output 3 2 52 5" xfId="39548"/>
    <cellStyle name="Output 3 2 52 6" xfId="43879"/>
    <cellStyle name="Output 3 2 52 7" xfId="52508"/>
    <cellStyle name="Output 3 2 53" xfId="6060"/>
    <cellStyle name="Output 3 2 53 2" xfId="13777"/>
    <cellStyle name="Output 3 2 53 3" xfId="22770"/>
    <cellStyle name="Output 3 2 53 4" xfId="30957"/>
    <cellStyle name="Output 3 2 53 5" xfId="40264"/>
    <cellStyle name="Output 3 2 53 6" xfId="44622"/>
    <cellStyle name="Output 3 2 53 7" xfId="51751"/>
    <cellStyle name="Output 3 2 54" xfId="6561"/>
    <cellStyle name="Output 3 2 54 2" xfId="14278"/>
    <cellStyle name="Output 3 2 54 3" xfId="23271"/>
    <cellStyle name="Output 3 2 54 4" xfId="31458"/>
    <cellStyle name="Output 3 2 54 5" xfId="40747"/>
    <cellStyle name="Output 3 2 54 6" xfId="45123"/>
    <cellStyle name="Output 3 2 54 7" xfId="51723"/>
    <cellStyle name="Output 3 2 55" xfId="5067"/>
    <cellStyle name="Output 3 2 55 2" xfId="12784"/>
    <cellStyle name="Output 3 2 55 3" xfId="21777"/>
    <cellStyle name="Output 3 2 55 4" xfId="29964"/>
    <cellStyle name="Output 3 2 55 5" xfId="39307"/>
    <cellStyle name="Output 3 2 55 6" xfId="43629"/>
    <cellStyle name="Output 3 2 55 7" xfId="54309"/>
    <cellStyle name="Output 3 2 56" xfId="5154"/>
    <cellStyle name="Output 3 2 56 2" xfId="12871"/>
    <cellStyle name="Output 3 2 56 3" xfId="21864"/>
    <cellStyle name="Output 3 2 56 4" xfId="30051"/>
    <cellStyle name="Output 3 2 56 5" xfId="39390"/>
    <cellStyle name="Output 3 2 56 6" xfId="43716"/>
    <cellStyle name="Output 3 2 56 7" xfId="48145"/>
    <cellStyle name="Output 3 2 57" xfId="6426"/>
    <cellStyle name="Output 3 2 57 2" xfId="14143"/>
    <cellStyle name="Output 3 2 57 3" xfId="23136"/>
    <cellStyle name="Output 3 2 57 4" xfId="31323"/>
    <cellStyle name="Output 3 2 57 5" xfId="40618"/>
    <cellStyle name="Output 3 2 57 6" xfId="44988"/>
    <cellStyle name="Output 3 2 57 7" xfId="53603"/>
    <cellStyle name="Output 3 2 58" xfId="7327"/>
    <cellStyle name="Output 3 2 58 2" xfId="15044"/>
    <cellStyle name="Output 3 2 58 3" xfId="24037"/>
    <cellStyle name="Output 3 2 58 4" xfId="32224"/>
    <cellStyle name="Output 3 2 58 5" xfId="41480"/>
    <cellStyle name="Output 3 2 58 6" xfId="45889"/>
    <cellStyle name="Output 3 2 58 7" xfId="53653"/>
    <cellStyle name="Output 3 2 59" xfId="7280"/>
    <cellStyle name="Output 3 2 59 2" xfId="14997"/>
    <cellStyle name="Output 3 2 59 3" xfId="23990"/>
    <cellStyle name="Output 3 2 59 4" xfId="32177"/>
    <cellStyle name="Output 3 2 59 5" xfId="41433"/>
    <cellStyle name="Output 3 2 59 6" xfId="45842"/>
    <cellStyle name="Output 3 2 59 7" xfId="51258"/>
    <cellStyle name="Output 3 2 6" xfId="516"/>
    <cellStyle name="Output 3 2 6 10" xfId="1963"/>
    <cellStyle name="Output 3 2 6 10 2" xfId="9786"/>
    <cellStyle name="Output 3 2 6 10 3" xfId="17214"/>
    <cellStyle name="Output 3 2 6 10 4" xfId="20324"/>
    <cellStyle name="Output 3 2 6 10 5" xfId="33126"/>
    <cellStyle name="Output 3 2 6 10 6" xfId="39009"/>
    <cellStyle name="Output 3 2 6 10 7" xfId="50382"/>
    <cellStyle name="Output 3 2 6 11" xfId="2081"/>
    <cellStyle name="Output 3 2 6 11 2" xfId="9904"/>
    <cellStyle name="Output 3 2 6 11 3" xfId="17332"/>
    <cellStyle name="Output 3 2 6 11 4" xfId="24850"/>
    <cellStyle name="Output 3 2 6 11 5" xfId="26876"/>
    <cellStyle name="Output 3 2 6 11 6" xfId="41921"/>
    <cellStyle name="Output 3 2 6 11 7" xfId="49777"/>
    <cellStyle name="Output 3 2 6 12" xfId="2194"/>
    <cellStyle name="Output 3 2 6 12 2" xfId="10017"/>
    <cellStyle name="Output 3 2 6 12 3" xfId="17445"/>
    <cellStyle name="Output 3 2 6 12 4" xfId="26350"/>
    <cellStyle name="Output 3 2 6 12 5" xfId="35077"/>
    <cellStyle name="Output 3 2 6 12 6" xfId="37642"/>
    <cellStyle name="Output 3 2 6 12 7" xfId="53733"/>
    <cellStyle name="Output 3 2 6 13" xfId="2268"/>
    <cellStyle name="Output 3 2 6 13 2" xfId="10091"/>
    <cellStyle name="Output 3 2 6 13 3" xfId="17519"/>
    <cellStyle name="Output 3 2 6 13 4" xfId="19469"/>
    <cellStyle name="Output 3 2 6 13 5" xfId="27687"/>
    <cellStyle name="Output 3 2 6 13 6" xfId="38015"/>
    <cellStyle name="Output 3 2 6 13 7" xfId="48102"/>
    <cellStyle name="Output 3 2 6 14" xfId="1592"/>
    <cellStyle name="Output 3 2 6 14 2" xfId="9415"/>
    <cellStyle name="Output 3 2 6 14 3" xfId="16843"/>
    <cellStyle name="Output 3 2 6 14 4" xfId="25028"/>
    <cellStyle name="Output 3 2 6 14 5" xfId="33383"/>
    <cellStyle name="Output 3 2 6 14 6" xfId="39225"/>
    <cellStyle name="Output 3 2 6 14 7" xfId="50857"/>
    <cellStyle name="Output 3 2 6 15" xfId="2492"/>
    <cellStyle name="Output 3 2 6 15 2" xfId="10315"/>
    <cellStyle name="Output 3 2 6 15 3" xfId="17743"/>
    <cellStyle name="Output 3 2 6 15 4" xfId="25502"/>
    <cellStyle name="Output 3 2 6 15 5" xfId="33980"/>
    <cellStyle name="Output 3 2 6 15 6" xfId="36420"/>
    <cellStyle name="Output 3 2 6 15 7" xfId="51877"/>
    <cellStyle name="Output 3 2 6 16" xfId="2605"/>
    <cellStyle name="Output 3 2 6 16 2" xfId="10428"/>
    <cellStyle name="Output 3 2 6 16 3" xfId="17856"/>
    <cellStyle name="Output 3 2 6 16 4" xfId="19185"/>
    <cellStyle name="Output 3 2 6 16 5" xfId="26921"/>
    <cellStyle name="Output 3 2 6 16 6" xfId="41926"/>
    <cellStyle name="Output 3 2 6 16 7" xfId="49160"/>
    <cellStyle name="Output 3 2 6 17" xfId="2283"/>
    <cellStyle name="Output 3 2 6 17 2" xfId="10106"/>
    <cellStyle name="Output 3 2 6 17 3" xfId="17534"/>
    <cellStyle name="Output 3 2 6 17 4" xfId="25360"/>
    <cellStyle name="Output 3 2 6 17 5" xfId="33798"/>
    <cellStyle name="Output 3 2 6 17 6" xfId="36338"/>
    <cellStyle name="Output 3 2 6 17 7" xfId="51556"/>
    <cellStyle name="Output 3 2 6 18" xfId="2414"/>
    <cellStyle name="Output 3 2 6 18 2" xfId="10237"/>
    <cellStyle name="Output 3 2 6 18 3" xfId="17665"/>
    <cellStyle name="Output 3 2 6 18 4" xfId="25867"/>
    <cellStyle name="Output 3 2 6 18 5" xfId="34456"/>
    <cellStyle name="Output 3 2 6 18 6" xfId="37741"/>
    <cellStyle name="Output 3 2 6 18 7" xfId="52708"/>
    <cellStyle name="Output 3 2 6 19" xfId="2799"/>
    <cellStyle name="Output 3 2 6 19 2" xfId="10622"/>
    <cellStyle name="Output 3 2 6 19 3" xfId="18050"/>
    <cellStyle name="Output 3 2 6 19 4" xfId="25272"/>
    <cellStyle name="Output 3 2 6 19 5" xfId="33682"/>
    <cellStyle name="Output 3 2 6 19 6" xfId="36618"/>
    <cellStyle name="Output 3 2 6 19 7" xfId="51375"/>
    <cellStyle name="Output 3 2 6 2" xfId="667"/>
    <cellStyle name="Output 3 2 6 2 2" xfId="8491"/>
    <cellStyle name="Output 3 2 6 2 3" xfId="8267"/>
    <cellStyle name="Output 3 2 6 2 4" xfId="19339"/>
    <cellStyle name="Output 3 2 6 2 5" xfId="27654"/>
    <cellStyle name="Output 3 2 6 2 6" xfId="38170"/>
    <cellStyle name="Output 3 2 6 2 7" xfId="47498"/>
    <cellStyle name="Output 3 2 6 20" xfId="2906"/>
    <cellStyle name="Output 3 2 6 20 2" xfId="10729"/>
    <cellStyle name="Output 3 2 6 20 3" xfId="18157"/>
    <cellStyle name="Output 3 2 6 20 4" xfId="25489"/>
    <cellStyle name="Output 3 2 6 20 5" xfId="33964"/>
    <cellStyle name="Output 3 2 6 20 6" xfId="37724"/>
    <cellStyle name="Output 3 2 6 20 7" xfId="51848"/>
    <cellStyle name="Output 3 2 6 21" xfId="3282"/>
    <cellStyle name="Output 3 2 6 21 2" xfId="11075"/>
    <cellStyle name="Output 3 2 6 21 3" xfId="18404"/>
    <cellStyle name="Output 3 2 6 21 4" xfId="26378"/>
    <cellStyle name="Output 3 2 6 21 5" xfId="35122"/>
    <cellStyle name="Output 3 2 6 21 6" xfId="41424"/>
    <cellStyle name="Output 3 2 6 21 7" xfId="53806"/>
    <cellStyle name="Output 3 2 6 22" xfId="3402"/>
    <cellStyle name="Output 3 2 6 22 2" xfId="11193"/>
    <cellStyle name="Output 3 2 6 22 3" xfId="18515"/>
    <cellStyle name="Output 3 2 6 22 4" xfId="19995"/>
    <cellStyle name="Output 3 2 6 22 5" xfId="28818"/>
    <cellStyle name="Output 3 2 6 22 6" xfId="36848"/>
    <cellStyle name="Output 3 2 6 22 7" xfId="49977"/>
    <cellStyle name="Output 3 2 6 23" xfId="3041"/>
    <cellStyle name="Output 3 2 6 23 2" xfId="10854"/>
    <cellStyle name="Output 3 2 6 23 3" xfId="18265"/>
    <cellStyle name="Output 3 2 6 23 4" xfId="19030"/>
    <cellStyle name="Output 3 2 6 23 5" xfId="26933"/>
    <cellStyle name="Output 3 2 6 23 6" xfId="37118"/>
    <cellStyle name="Output 3 2 6 23 7" xfId="49114"/>
    <cellStyle name="Output 3 2 6 24" xfId="3672"/>
    <cellStyle name="Output 3 2 6 24 2" xfId="11457"/>
    <cellStyle name="Output 3 2 6 24 3" xfId="18730"/>
    <cellStyle name="Output 3 2 6 24 4" xfId="25703"/>
    <cellStyle name="Output 3 2 6 24 5" xfId="34243"/>
    <cellStyle name="Output 3 2 6 24 6" xfId="38922"/>
    <cellStyle name="Output 3 2 6 24 7" xfId="52319"/>
    <cellStyle name="Output 3 2 6 25" xfId="3803"/>
    <cellStyle name="Output 3 2 6 25 2" xfId="11585"/>
    <cellStyle name="Output 3 2 6 25 3" xfId="18842"/>
    <cellStyle name="Output 3 2 6 25 4" xfId="26520"/>
    <cellStyle name="Output 3 2 6 25 5" xfId="35317"/>
    <cellStyle name="Output 3 2 6 25 6" xfId="41956"/>
    <cellStyle name="Output 3 2 6 25 7" xfId="54109"/>
    <cellStyle name="Output 3 2 6 26" xfId="3920"/>
    <cellStyle name="Output 3 2 6 26 2" xfId="11700"/>
    <cellStyle name="Output 3 2 6 26 3" xfId="18951"/>
    <cellStyle name="Output 3 2 6 26 4" xfId="19552"/>
    <cellStyle name="Output 3 2 6 26 5" xfId="27482"/>
    <cellStyle name="Output 3 2 6 26 6" xfId="37525"/>
    <cellStyle name="Output 3 2 6 26 7" xfId="49350"/>
    <cellStyle name="Output 3 2 6 27" xfId="3988"/>
    <cellStyle name="Output 3 2 6 27 2" xfId="11767"/>
    <cellStyle name="Output 3 2 6 27 3" xfId="20700"/>
    <cellStyle name="Output 3 2 6 27 4" xfId="28889"/>
    <cellStyle name="Output 3 2 6 27 5" xfId="38273"/>
    <cellStyle name="Output 3 2 6 27 6" xfId="42557"/>
    <cellStyle name="Output 3 2 6 27 7" xfId="51016"/>
    <cellStyle name="Output 3 2 6 28" xfId="4117"/>
    <cellStyle name="Output 3 2 6 28 2" xfId="11877"/>
    <cellStyle name="Output 3 2 6 28 3" xfId="20827"/>
    <cellStyle name="Output 3 2 6 28 4" xfId="29014"/>
    <cellStyle name="Output 3 2 6 28 5" xfId="38391"/>
    <cellStyle name="Output 3 2 6 28 6" xfId="42679"/>
    <cellStyle name="Output 3 2 6 28 7" xfId="52850"/>
    <cellStyle name="Output 3 2 6 29" xfId="3013"/>
    <cellStyle name="Output 3 2 6 29 2" xfId="20187"/>
    <cellStyle name="Output 3 2 6 29 3" xfId="28277"/>
    <cellStyle name="Output 3 2 6 29 4" xfId="37658"/>
    <cellStyle name="Output 3 2 6 29 5" xfId="42352"/>
    <cellStyle name="Output 3 2 6 29 6" xfId="52071"/>
    <cellStyle name="Output 3 2 6 3" xfId="774"/>
    <cellStyle name="Output 3 2 6 3 2" xfId="8598"/>
    <cellStyle name="Output 3 2 6 3 3" xfId="16026"/>
    <cellStyle name="Output 3 2 6 3 4" xfId="25716"/>
    <cellStyle name="Output 3 2 6 3 5" xfId="34258"/>
    <cellStyle name="Output 3 2 6 3 6" xfId="36462"/>
    <cellStyle name="Output 3 2 6 3 7" xfId="52349"/>
    <cellStyle name="Output 3 2 6 30" xfId="4314"/>
    <cellStyle name="Output 3 2 6 30 2" xfId="12031"/>
    <cellStyle name="Output 3 2 6 30 3" xfId="21024"/>
    <cellStyle name="Output 3 2 6 30 4" xfId="29211"/>
    <cellStyle name="Output 3 2 6 30 5" xfId="38582"/>
    <cellStyle name="Output 3 2 6 30 6" xfId="42876"/>
    <cellStyle name="Output 3 2 6 30 7" xfId="48012"/>
    <cellStyle name="Output 3 2 6 31" xfId="4437"/>
    <cellStyle name="Output 3 2 6 31 2" xfId="12154"/>
    <cellStyle name="Output 3 2 6 31 3" xfId="21147"/>
    <cellStyle name="Output 3 2 6 31 4" xfId="29334"/>
    <cellStyle name="Output 3 2 6 31 5" xfId="38700"/>
    <cellStyle name="Output 3 2 6 31 6" xfId="42999"/>
    <cellStyle name="Output 3 2 6 31 7" xfId="51550"/>
    <cellStyle name="Output 3 2 6 32" xfId="4551"/>
    <cellStyle name="Output 3 2 6 32 2" xfId="12268"/>
    <cellStyle name="Output 3 2 6 32 3" xfId="21261"/>
    <cellStyle name="Output 3 2 6 32 4" xfId="29448"/>
    <cellStyle name="Output 3 2 6 32 5" xfId="38809"/>
    <cellStyle name="Output 3 2 6 32 6" xfId="43113"/>
    <cellStyle name="Output 3 2 6 32 7" xfId="48370"/>
    <cellStyle name="Output 3 2 6 33" xfId="4664"/>
    <cellStyle name="Output 3 2 6 33 2" xfId="12381"/>
    <cellStyle name="Output 3 2 6 33 3" xfId="21374"/>
    <cellStyle name="Output 3 2 6 33 4" xfId="29561"/>
    <cellStyle name="Output 3 2 6 33 5" xfId="38918"/>
    <cellStyle name="Output 3 2 6 33 6" xfId="43226"/>
    <cellStyle name="Output 3 2 6 33 7" xfId="50646"/>
    <cellStyle name="Output 3 2 6 34" xfId="4776"/>
    <cellStyle name="Output 3 2 6 34 2" xfId="12493"/>
    <cellStyle name="Output 3 2 6 34 3" xfId="21486"/>
    <cellStyle name="Output 3 2 6 34 4" xfId="29673"/>
    <cellStyle name="Output 3 2 6 34 5" xfId="39027"/>
    <cellStyle name="Output 3 2 6 34 6" xfId="43338"/>
    <cellStyle name="Output 3 2 6 34 7" xfId="48204"/>
    <cellStyle name="Output 3 2 6 35" xfId="4884"/>
    <cellStyle name="Output 3 2 6 35 2" xfId="12601"/>
    <cellStyle name="Output 3 2 6 35 3" xfId="21594"/>
    <cellStyle name="Output 3 2 6 35 4" xfId="29781"/>
    <cellStyle name="Output 3 2 6 35 5" xfId="39130"/>
    <cellStyle name="Output 3 2 6 35 6" xfId="43446"/>
    <cellStyle name="Output 3 2 6 35 7" xfId="49962"/>
    <cellStyle name="Output 3 2 6 36" xfId="4996"/>
    <cellStyle name="Output 3 2 6 36 2" xfId="12713"/>
    <cellStyle name="Output 3 2 6 36 3" xfId="21706"/>
    <cellStyle name="Output 3 2 6 36 4" xfId="29893"/>
    <cellStyle name="Output 3 2 6 36 5" xfId="39239"/>
    <cellStyle name="Output 3 2 6 36 6" xfId="43558"/>
    <cellStyle name="Output 3 2 6 36 7" xfId="54420"/>
    <cellStyle name="Output 3 2 6 37" xfId="5117"/>
    <cellStyle name="Output 3 2 6 37 2" xfId="12834"/>
    <cellStyle name="Output 3 2 6 37 3" xfId="21827"/>
    <cellStyle name="Output 3 2 6 37 4" xfId="30014"/>
    <cellStyle name="Output 3 2 6 37 5" xfId="39355"/>
    <cellStyle name="Output 3 2 6 37 6" xfId="43679"/>
    <cellStyle name="Output 3 2 6 37 7" xfId="49236"/>
    <cellStyle name="Output 3 2 6 38" xfId="5494"/>
    <cellStyle name="Output 3 2 6 38 2" xfId="13211"/>
    <cellStyle name="Output 3 2 6 38 3" xfId="22204"/>
    <cellStyle name="Output 3 2 6 38 4" xfId="30391"/>
    <cellStyle name="Output 3 2 6 38 5" xfId="39716"/>
    <cellStyle name="Output 3 2 6 38 6" xfId="44056"/>
    <cellStyle name="Output 3 2 6 38 7" xfId="49255"/>
    <cellStyle name="Output 3 2 6 39" xfId="5619"/>
    <cellStyle name="Output 3 2 6 39 2" xfId="13336"/>
    <cellStyle name="Output 3 2 6 39 3" xfId="22329"/>
    <cellStyle name="Output 3 2 6 39 4" xfId="30516"/>
    <cellStyle name="Output 3 2 6 39 5" xfId="39837"/>
    <cellStyle name="Output 3 2 6 39 6" xfId="44181"/>
    <cellStyle name="Output 3 2 6 39 7" xfId="47126"/>
    <cellStyle name="Output 3 2 6 4" xfId="886"/>
    <cellStyle name="Output 3 2 6 4 2" xfId="8710"/>
    <cellStyle name="Output 3 2 6 4 3" xfId="16138"/>
    <cellStyle name="Output 3 2 6 4 4" xfId="26526"/>
    <cellStyle name="Output 3 2 6 4 5" xfId="35326"/>
    <cellStyle name="Output 3 2 6 4 6" xfId="38190"/>
    <cellStyle name="Output 3 2 6 4 7" xfId="54127"/>
    <cellStyle name="Output 3 2 6 40" xfId="5734"/>
    <cellStyle name="Output 3 2 6 40 2" xfId="13451"/>
    <cellStyle name="Output 3 2 6 40 3" xfId="22444"/>
    <cellStyle name="Output 3 2 6 40 4" xfId="30631"/>
    <cellStyle name="Output 3 2 6 40 5" xfId="39948"/>
    <cellStyle name="Output 3 2 6 40 6" xfId="44296"/>
    <cellStyle name="Output 3 2 6 40 7" xfId="53933"/>
    <cellStyle name="Output 3 2 6 41" xfId="5851"/>
    <cellStyle name="Output 3 2 6 41 2" xfId="13568"/>
    <cellStyle name="Output 3 2 6 41 3" xfId="22561"/>
    <cellStyle name="Output 3 2 6 41 4" xfId="30748"/>
    <cellStyle name="Output 3 2 6 41 5" xfId="40062"/>
    <cellStyle name="Output 3 2 6 41 6" xfId="44413"/>
    <cellStyle name="Output 3 2 6 41 7" xfId="54439"/>
    <cellStyle name="Output 3 2 6 42" xfId="5979"/>
    <cellStyle name="Output 3 2 6 42 2" xfId="13696"/>
    <cellStyle name="Output 3 2 6 42 3" xfId="22689"/>
    <cellStyle name="Output 3 2 6 42 4" xfId="30876"/>
    <cellStyle name="Output 3 2 6 42 5" xfId="40185"/>
    <cellStyle name="Output 3 2 6 42 6" xfId="44541"/>
    <cellStyle name="Output 3 2 6 42 7" xfId="49291"/>
    <cellStyle name="Output 3 2 6 43" xfId="5095"/>
    <cellStyle name="Output 3 2 6 43 2" xfId="12812"/>
    <cellStyle name="Output 3 2 6 43 3" xfId="21805"/>
    <cellStyle name="Output 3 2 6 43 4" xfId="29992"/>
    <cellStyle name="Output 3 2 6 43 5" xfId="39334"/>
    <cellStyle name="Output 3 2 6 43 6" xfId="43657"/>
    <cellStyle name="Output 3 2 6 43 7" xfId="51401"/>
    <cellStyle name="Output 3 2 6 44" xfId="6235"/>
    <cellStyle name="Output 3 2 6 44 2" xfId="13952"/>
    <cellStyle name="Output 3 2 6 44 3" xfId="22945"/>
    <cellStyle name="Output 3 2 6 44 4" xfId="31132"/>
    <cellStyle name="Output 3 2 6 44 5" xfId="40433"/>
    <cellStyle name="Output 3 2 6 44 6" xfId="44797"/>
    <cellStyle name="Output 3 2 6 44 7" xfId="51982"/>
    <cellStyle name="Output 3 2 6 45" xfId="6352"/>
    <cellStyle name="Output 3 2 6 45 2" xfId="14069"/>
    <cellStyle name="Output 3 2 6 45 3" xfId="23062"/>
    <cellStyle name="Output 3 2 6 45 4" xfId="31249"/>
    <cellStyle name="Output 3 2 6 45 5" xfId="40547"/>
    <cellStyle name="Output 3 2 6 45 6" xfId="44914"/>
    <cellStyle name="Output 3 2 6 45 7" xfId="47324"/>
    <cellStyle name="Output 3 2 6 46" xfId="6462"/>
    <cellStyle name="Output 3 2 6 46 2" xfId="14179"/>
    <cellStyle name="Output 3 2 6 46 3" xfId="23172"/>
    <cellStyle name="Output 3 2 6 46 4" xfId="31359"/>
    <cellStyle name="Output 3 2 6 46 5" xfId="40653"/>
    <cellStyle name="Output 3 2 6 46 6" xfId="45024"/>
    <cellStyle name="Output 3 2 6 46 7" xfId="49513"/>
    <cellStyle name="Output 3 2 6 47" xfId="6534"/>
    <cellStyle name="Output 3 2 6 47 2" xfId="14251"/>
    <cellStyle name="Output 3 2 6 47 3" xfId="23244"/>
    <cellStyle name="Output 3 2 6 47 4" xfId="31431"/>
    <cellStyle name="Output 3 2 6 47 5" xfId="40722"/>
    <cellStyle name="Output 3 2 6 47 6" xfId="45096"/>
    <cellStyle name="Output 3 2 6 47 7" xfId="50183"/>
    <cellStyle name="Output 3 2 6 48" xfId="6609"/>
    <cellStyle name="Output 3 2 6 48 2" xfId="14326"/>
    <cellStyle name="Output 3 2 6 48 3" xfId="23319"/>
    <cellStyle name="Output 3 2 6 48 4" xfId="31506"/>
    <cellStyle name="Output 3 2 6 48 5" xfId="40793"/>
    <cellStyle name="Output 3 2 6 48 6" xfId="45171"/>
    <cellStyle name="Output 3 2 6 48 7" xfId="50029"/>
    <cellStyle name="Output 3 2 6 49" xfId="6720"/>
    <cellStyle name="Output 3 2 6 49 2" xfId="14437"/>
    <cellStyle name="Output 3 2 6 49 3" xfId="23430"/>
    <cellStyle name="Output 3 2 6 49 4" xfId="31617"/>
    <cellStyle name="Output 3 2 6 49 5" xfId="40898"/>
    <cellStyle name="Output 3 2 6 49 6" xfId="45282"/>
    <cellStyle name="Output 3 2 6 49 7" xfId="53115"/>
    <cellStyle name="Output 3 2 6 5" xfId="1351"/>
    <cellStyle name="Output 3 2 6 5 2" xfId="9174"/>
    <cellStyle name="Output 3 2 6 5 3" xfId="16602"/>
    <cellStyle name="Output 3 2 6 5 4" xfId="19245"/>
    <cellStyle name="Output 3 2 6 5 5" xfId="28240"/>
    <cellStyle name="Output 3 2 6 5 6" xfId="41582"/>
    <cellStyle name="Output 3 2 6 5 7" xfId="48805"/>
    <cellStyle name="Output 3 2 6 50" xfId="6835"/>
    <cellStyle name="Output 3 2 6 50 2" xfId="14552"/>
    <cellStyle name="Output 3 2 6 50 3" xfId="23545"/>
    <cellStyle name="Output 3 2 6 50 4" xfId="31732"/>
    <cellStyle name="Output 3 2 6 50 5" xfId="41006"/>
    <cellStyle name="Output 3 2 6 50 6" xfId="45397"/>
    <cellStyle name="Output 3 2 6 50 7" xfId="47914"/>
    <cellStyle name="Output 3 2 6 51" xfId="6948"/>
    <cellStyle name="Output 3 2 6 51 2" xfId="14665"/>
    <cellStyle name="Output 3 2 6 51 3" xfId="23658"/>
    <cellStyle name="Output 3 2 6 51 4" xfId="31845"/>
    <cellStyle name="Output 3 2 6 51 5" xfId="41114"/>
    <cellStyle name="Output 3 2 6 51 6" xfId="45510"/>
    <cellStyle name="Output 3 2 6 51 7" xfId="46927"/>
    <cellStyle name="Output 3 2 6 52" xfId="7060"/>
    <cellStyle name="Output 3 2 6 52 2" xfId="14777"/>
    <cellStyle name="Output 3 2 6 52 3" xfId="23770"/>
    <cellStyle name="Output 3 2 6 52 4" xfId="31957"/>
    <cellStyle name="Output 3 2 6 52 5" xfId="41220"/>
    <cellStyle name="Output 3 2 6 52 6" xfId="45622"/>
    <cellStyle name="Output 3 2 6 52 7" xfId="53256"/>
    <cellStyle name="Output 3 2 6 53" xfId="7366"/>
    <cellStyle name="Output 3 2 6 53 2" xfId="15083"/>
    <cellStyle name="Output 3 2 6 53 3" xfId="24076"/>
    <cellStyle name="Output 3 2 6 53 4" xfId="32263"/>
    <cellStyle name="Output 3 2 6 53 5" xfId="41519"/>
    <cellStyle name="Output 3 2 6 53 6" xfId="45928"/>
    <cellStyle name="Output 3 2 6 53 7" xfId="49483"/>
    <cellStyle name="Output 3 2 6 54" xfId="7264"/>
    <cellStyle name="Output 3 2 6 54 2" xfId="14981"/>
    <cellStyle name="Output 3 2 6 54 3" xfId="23974"/>
    <cellStyle name="Output 3 2 6 54 4" xfId="32161"/>
    <cellStyle name="Output 3 2 6 54 5" xfId="41417"/>
    <cellStyle name="Output 3 2 6 54 6" xfId="45826"/>
    <cellStyle name="Output 3 2 6 54 7" xfId="53089"/>
    <cellStyle name="Output 3 2 6 55" xfId="7457"/>
    <cellStyle name="Output 3 2 6 55 2" xfId="15174"/>
    <cellStyle name="Output 3 2 6 55 3" xfId="24167"/>
    <cellStyle name="Output 3 2 6 55 4" xfId="32354"/>
    <cellStyle name="Output 3 2 6 55 5" xfId="41603"/>
    <cellStyle name="Output 3 2 6 55 6" xfId="46019"/>
    <cellStyle name="Output 3 2 6 55 7" xfId="48557"/>
    <cellStyle name="Output 3 2 6 56" xfId="7578"/>
    <cellStyle name="Output 3 2 6 56 2" xfId="15295"/>
    <cellStyle name="Output 3 2 6 56 3" xfId="24288"/>
    <cellStyle name="Output 3 2 6 56 4" xfId="32475"/>
    <cellStyle name="Output 3 2 6 56 5" xfId="41718"/>
    <cellStyle name="Output 3 2 6 56 6" xfId="46140"/>
    <cellStyle name="Output 3 2 6 56 7" xfId="49357"/>
    <cellStyle name="Output 3 2 6 57" xfId="7854"/>
    <cellStyle name="Output 3 2 6 57 2" xfId="15571"/>
    <cellStyle name="Output 3 2 6 57 3" xfId="24558"/>
    <cellStyle name="Output 3 2 6 57 4" xfId="32751"/>
    <cellStyle name="Output 3 2 6 57 5" xfId="41983"/>
    <cellStyle name="Output 3 2 6 57 6" xfId="46416"/>
    <cellStyle name="Output 3 2 6 57 7" xfId="50331"/>
    <cellStyle name="Output 3 2 6 58" xfId="7722"/>
    <cellStyle name="Output 3 2 6 58 2" xfId="15439"/>
    <cellStyle name="Output 3 2 6 58 3" xfId="24430"/>
    <cellStyle name="Output 3 2 6 58 4" xfId="32619"/>
    <cellStyle name="Output 3 2 6 58 5" xfId="41856"/>
    <cellStyle name="Output 3 2 6 58 6" xfId="46284"/>
    <cellStyle name="Output 3 2 6 58 7" xfId="49469"/>
    <cellStyle name="Output 3 2 6 59" xfId="8056"/>
    <cellStyle name="Output 3 2 6 59 2" xfId="15773"/>
    <cellStyle name="Output 3 2 6 59 3" xfId="24758"/>
    <cellStyle name="Output 3 2 6 59 4" xfId="32953"/>
    <cellStyle name="Output 3 2 6 59 5" xfId="42178"/>
    <cellStyle name="Output 3 2 6 59 6" xfId="46618"/>
    <cellStyle name="Output 3 2 6 59 7" xfId="51262"/>
    <cellStyle name="Output 3 2 6 6" xfId="1474"/>
    <cellStyle name="Output 3 2 6 6 2" xfId="9297"/>
    <cellStyle name="Output 3 2 6 6 3" xfId="16725"/>
    <cellStyle name="Output 3 2 6 6 4" xfId="26614"/>
    <cellStyle name="Output 3 2 6 6 5" xfId="35443"/>
    <cellStyle name="Output 3 2 6 6 6" xfId="37140"/>
    <cellStyle name="Output 3 2 6 6 7" xfId="54315"/>
    <cellStyle name="Output 3 2 6 60" xfId="8130"/>
    <cellStyle name="Output 3 2 6 60 2" xfId="15847"/>
    <cellStyle name="Output 3 2 6 60 3" xfId="33027"/>
    <cellStyle name="Output 3 2 6 60 4" xfId="42247"/>
    <cellStyle name="Output 3 2 6 60 5" xfId="46692"/>
    <cellStyle name="Output 3 2 6 60 6" xfId="50870"/>
    <cellStyle name="Output 3 2 6 61" xfId="19058"/>
    <cellStyle name="Output 3 2 6 62" xfId="33170"/>
    <cellStyle name="Output 3 2 6 63" xfId="37344"/>
    <cellStyle name="Output 3 2 6 64" xfId="50475"/>
    <cellStyle name="Output 3 2 6 7" xfId="1226"/>
    <cellStyle name="Output 3 2 6 7 2" xfId="9049"/>
    <cellStyle name="Output 3 2 6 7 3" xfId="16477"/>
    <cellStyle name="Output 3 2 6 7 4" xfId="20514"/>
    <cellStyle name="Output 3 2 6 7 5" xfId="26954"/>
    <cellStyle name="Output 3 2 6 7 6" xfId="38480"/>
    <cellStyle name="Output 3 2 6 7 7" xfId="49071"/>
    <cellStyle name="Output 3 2 6 8" xfId="1711"/>
    <cellStyle name="Output 3 2 6 8 2" xfId="9534"/>
    <cellStyle name="Output 3 2 6 8 3" xfId="16962"/>
    <cellStyle name="Output 3 2 6 8 4" xfId="20070"/>
    <cellStyle name="Output 3 2 6 8 5" xfId="28726"/>
    <cellStyle name="Output 3 2 6 8 6" xfId="37788"/>
    <cellStyle name="Output 3 2 6 8 7" xfId="48084"/>
    <cellStyle name="Output 3 2 6 9" xfId="1845"/>
    <cellStyle name="Output 3 2 6 9 2" xfId="9668"/>
    <cellStyle name="Output 3 2 6 9 3" xfId="17096"/>
    <cellStyle name="Output 3 2 6 9 4" xfId="26389"/>
    <cellStyle name="Output 3 2 6 9 5" xfId="35137"/>
    <cellStyle name="Output 3 2 6 9 6" xfId="37119"/>
    <cellStyle name="Output 3 2 6 9 7" xfId="53827"/>
    <cellStyle name="Output 3 2 60" xfId="7301"/>
    <cellStyle name="Output 3 2 60 2" xfId="15018"/>
    <cellStyle name="Output 3 2 60 3" xfId="24011"/>
    <cellStyle name="Output 3 2 60 4" xfId="32198"/>
    <cellStyle name="Output 3 2 60 5" xfId="41454"/>
    <cellStyle name="Output 3 2 60 6" xfId="45863"/>
    <cellStyle name="Output 3 2 60 7" xfId="47872"/>
    <cellStyle name="Output 3 2 61" xfId="7534"/>
    <cellStyle name="Output 3 2 61 2" xfId="15251"/>
    <cellStyle name="Output 3 2 61 3" xfId="24244"/>
    <cellStyle name="Output 3 2 61 4" xfId="32431"/>
    <cellStyle name="Output 3 2 61 5" xfId="41677"/>
    <cellStyle name="Output 3 2 61 6" xfId="46096"/>
    <cellStyle name="Output 3 2 61 7" xfId="54199"/>
    <cellStyle name="Output 3 2 62" xfId="7735"/>
    <cellStyle name="Output 3 2 62 2" xfId="15452"/>
    <cellStyle name="Output 3 2 62 3" xfId="24443"/>
    <cellStyle name="Output 3 2 62 4" xfId="32632"/>
    <cellStyle name="Output 3 2 62 5" xfId="41868"/>
    <cellStyle name="Output 3 2 62 6" xfId="46297"/>
    <cellStyle name="Output 3 2 62 7" xfId="48500"/>
    <cellStyle name="Output 3 2 63" xfId="7808"/>
    <cellStyle name="Output 3 2 63 2" xfId="15525"/>
    <cellStyle name="Output 3 2 63 3" xfId="24512"/>
    <cellStyle name="Output 3 2 63 4" xfId="32705"/>
    <cellStyle name="Output 3 2 63 5" xfId="41940"/>
    <cellStyle name="Output 3 2 63 6" xfId="46370"/>
    <cellStyle name="Output 3 2 63 7" xfId="54097"/>
    <cellStyle name="Output 3 2 64" xfId="7757"/>
    <cellStyle name="Output 3 2 64 2" xfId="15474"/>
    <cellStyle name="Output 3 2 64 3" xfId="24465"/>
    <cellStyle name="Output 3 2 64 4" xfId="32654"/>
    <cellStyle name="Output 3 2 64 5" xfId="41890"/>
    <cellStyle name="Output 3 2 64 6" xfId="46319"/>
    <cellStyle name="Output 3 2 64 7" xfId="51781"/>
    <cellStyle name="Output 3 2 65" xfId="7971"/>
    <cellStyle name="Output 3 2 65 2" xfId="15688"/>
    <cellStyle name="Output 3 2 65 3" xfId="32868"/>
    <cellStyle name="Output 3 2 65 4" xfId="42095"/>
    <cellStyle name="Output 3 2 65 5" xfId="46533"/>
    <cellStyle name="Output 3 2 65 6" xfId="53026"/>
    <cellStyle name="Output 3 2 66" xfId="26539"/>
    <cellStyle name="Output 3 2 67" xfId="35339"/>
    <cellStyle name="Output 3 2 68" xfId="36290"/>
    <cellStyle name="Output 3 2 69" xfId="54146"/>
    <cellStyle name="Output 3 2 7" xfId="602"/>
    <cellStyle name="Output 3 2 7 2" xfId="8426"/>
    <cellStyle name="Output 3 2 7 3" xfId="8405"/>
    <cellStyle name="Output 3 2 7 4" xfId="19338"/>
    <cellStyle name="Output 3 2 7 5" xfId="27197"/>
    <cellStyle name="Output 3 2 7 6" xfId="36899"/>
    <cellStyle name="Output 3 2 7 7" xfId="48757"/>
    <cellStyle name="Output 3 2 8" xfId="248"/>
    <cellStyle name="Output 3 2 8 2" xfId="8348"/>
    <cellStyle name="Output 3 2 8 3" xfId="8366"/>
    <cellStyle name="Output 3 2 8 4" xfId="25986"/>
    <cellStyle name="Output 3 2 8 5" xfId="34607"/>
    <cellStyle name="Output 3 2 8 6" xfId="37161"/>
    <cellStyle name="Output 3 2 8 7" xfId="52968"/>
    <cellStyle name="Output 3 2 9" xfId="845"/>
    <cellStyle name="Output 3 2 9 2" xfId="8669"/>
    <cellStyle name="Output 3 2 9 3" xfId="16097"/>
    <cellStyle name="Output 3 2 9 4" xfId="25238"/>
    <cellStyle name="Output 3 2 9 5" xfId="33642"/>
    <cellStyle name="Output 3 2 9 6" xfId="36676"/>
    <cellStyle name="Output 3 2 9 7" xfId="51296"/>
    <cellStyle name="Output 3 20" xfId="4065"/>
    <cellStyle name="Output 3 20 2" xfId="11831"/>
    <cellStyle name="Output 3 20 3" xfId="20775"/>
    <cellStyle name="Output 3 20 4" xfId="28962"/>
    <cellStyle name="Output 3 20 5" xfId="38341"/>
    <cellStyle name="Output 3 20 6" xfId="42627"/>
    <cellStyle name="Output 3 20 7" xfId="50738"/>
    <cellStyle name="Output 3 21" xfId="3084"/>
    <cellStyle name="Output 3 21 2" xfId="10891"/>
    <cellStyle name="Output 3 21 3" xfId="20245"/>
    <cellStyle name="Output 3 21 4" xfId="28335"/>
    <cellStyle name="Output 3 21 5" xfId="37715"/>
    <cellStyle name="Output 3 21 6" xfId="42392"/>
    <cellStyle name="Output 3 21 7" xfId="52326"/>
    <cellStyle name="Output 3 22" xfId="2999"/>
    <cellStyle name="Output 3 22 2" xfId="10818"/>
    <cellStyle name="Output 3 22 3" xfId="20180"/>
    <cellStyle name="Output 3 22 4" xfId="28266"/>
    <cellStyle name="Output 3 22 5" xfId="37651"/>
    <cellStyle name="Output 3 22 6" xfId="42347"/>
    <cellStyle name="Output 3 22 7" xfId="53321"/>
    <cellStyle name="Output 3 23" xfId="5102"/>
    <cellStyle name="Output 3 23 2" xfId="12819"/>
    <cellStyle name="Output 3 23 3" xfId="21812"/>
    <cellStyle name="Output 3 23 4" xfId="29999"/>
    <cellStyle name="Output 3 23 5" xfId="39340"/>
    <cellStyle name="Output 3 23 6" xfId="43664"/>
    <cellStyle name="Output 3 23 7" xfId="47507"/>
    <cellStyle name="Output 3 24" xfId="5091"/>
    <cellStyle name="Output 3 24 2" xfId="12808"/>
    <cellStyle name="Output 3 24 3" xfId="21801"/>
    <cellStyle name="Output 3 24 4" xfId="29988"/>
    <cellStyle name="Output 3 24 5" xfId="39331"/>
    <cellStyle name="Output 3 24 6" xfId="43653"/>
    <cellStyle name="Output 3 24 7" xfId="47613"/>
    <cellStyle name="Output 3 25" xfId="5203"/>
    <cellStyle name="Output 3 25 2" xfId="12920"/>
    <cellStyle name="Output 3 25 3" xfId="21913"/>
    <cellStyle name="Output 3 25 4" xfId="30100"/>
    <cellStyle name="Output 3 25 5" xfId="39437"/>
    <cellStyle name="Output 3 25 6" xfId="43765"/>
    <cellStyle name="Output 3 25 7" xfId="49110"/>
    <cellStyle name="Output 3 26" xfId="5224"/>
    <cellStyle name="Output 3 26 2" xfId="12941"/>
    <cellStyle name="Output 3 26 3" xfId="21934"/>
    <cellStyle name="Output 3 26 4" xfId="30121"/>
    <cellStyle name="Output 3 26 5" xfId="39456"/>
    <cellStyle name="Output 3 26 6" xfId="43786"/>
    <cellStyle name="Output 3 26 7" xfId="53996"/>
    <cellStyle name="Output 3 27" xfId="5216"/>
    <cellStyle name="Output 3 27 2" xfId="12933"/>
    <cellStyle name="Output 3 27 3" xfId="21926"/>
    <cellStyle name="Output 3 27 4" xfId="30113"/>
    <cellStyle name="Output 3 27 5" xfId="39448"/>
    <cellStyle name="Output 3 27 6" xfId="43778"/>
    <cellStyle name="Output 3 27 7" xfId="52618"/>
    <cellStyle name="Output 3 28" xfId="6647"/>
    <cellStyle name="Output 3 28 2" xfId="14364"/>
    <cellStyle name="Output 3 28 3" xfId="23357"/>
    <cellStyle name="Output 3 28 4" xfId="31544"/>
    <cellStyle name="Output 3 28 5" xfId="40830"/>
    <cellStyle name="Output 3 28 6" xfId="45209"/>
    <cellStyle name="Output 3 28 7" xfId="53396"/>
    <cellStyle name="Output 3 29" xfId="7296"/>
    <cellStyle name="Output 3 29 2" xfId="15013"/>
    <cellStyle name="Output 3 29 3" xfId="24006"/>
    <cellStyle name="Output 3 29 4" xfId="32193"/>
    <cellStyle name="Output 3 29 5" xfId="41449"/>
    <cellStyle name="Output 3 29 6" xfId="45858"/>
    <cellStyle name="Output 3 29 7" xfId="49486"/>
    <cellStyle name="Output 3 3" xfId="514"/>
    <cellStyle name="Output 3 3 10" xfId="1961"/>
    <cellStyle name="Output 3 3 10 2" xfId="9784"/>
    <cellStyle name="Output 3 3 10 3" xfId="17212"/>
    <cellStyle name="Output 3 3 10 4" xfId="24909"/>
    <cellStyle name="Output 3 3 10 5" xfId="33232"/>
    <cellStyle name="Output 3 3 10 6" xfId="39220"/>
    <cellStyle name="Output 3 3 10 7" xfId="50585"/>
    <cellStyle name="Output 3 3 11" xfId="2079"/>
    <cellStyle name="Output 3 3 11 2" xfId="9902"/>
    <cellStyle name="Output 3 3 11 3" xfId="17330"/>
    <cellStyle name="Output 3 3 11 4" xfId="25001"/>
    <cellStyle name="Output 3 3 11 5" xfId="33352"/>
    <cellStyle name="Output 3 3 11 6" xfId="41850"/>
    <cellStyle name="Output 3 3 11 7" xfId="50799"/>
    <cellStyle name="Output 3 3 12" xfId="2192"/>
    <cellStyle name="Output 3 3 12 2" xfId="10015"/>
    <cellStyle name="Output 3 3 12 3" xfId="17443"/>
    <cellStyle name="Output 3 3 12 4" xfId="26409"/>
    <cellStyle name="Output 3 3 12 5" xfId="35167"/>
    <cellStyle name="Output 3 3 12 6" xfId="38168"/>
    <cellStyle name="Output 3 3 12 7" xfId="53872"/>
    <cellStyle name="Output 3 3 13" xfId="1020"/>
    <cellStyle name="Output 3 3 13 2" xfId="8844"/>
    <cellStyle name="Output 3 3 13 3" xfId="16272"/>
    <cellStyle name="Output 3 3 13 4" xfId="19951"/>
    <cellStyle name="Output 3 3 13 5" xfId="27845"/>
    <cellStyle name="Output 3 3 13 6" xfId="37756"/>
    <cellStyle name="Output 3 3 13 7" xfId="48604"/>
    <cellStyle name="Output 3 3 14" xfId="1208"/>
    <cellStyle name="Output 3 3 14 2" xfId="9031"/>
    <cellStyle name="Output 3 3 14 3" xfId="16459"/>
    <cellStyle name="Output 3 3 14 4" xfId="25039"/>
    <cellStyle name="Output 3 3 14 5" xfId="33397"/>
    <cellStyle name="Output 3 3 14 6" xfId="40588"/>
    <cellStyle name="Output 3 3 14 7" xfId="50878"/>
    <cellStyle name="Output 3 3 15" xfId="2490"/>
    <cellStyle name="Output 3 3 15 2" xfId="10313"/>
    <cellStyle name="Output 3 3 15 3" xfId="17741"/>
    <cellStyle name="Output 3 3 15 4" xfId="25606"/>
    <cellStyle name="Output 3 3 15 5" xfId="34117"/>
    <cellStyle name="Output 3 3 15 6" xfId="37867"/>
    <cellStyle name="Output 3 3 15 7" xfId="52104"/>
    <cellStyle name="Output 3 3 16" xfId="2603"/>
    <cellStyle name="Output 3 3 16 2" xfId="10426"/>
    <cellStyle name="Output 3 3 16 3" xfId="17854"/>
    <cellStyle name="Output 3 3 16 4" xfId="20433"/>
    <cellStyle name="Output 3 3 16 5" xfId="28874"/>
    <cellStyle name="Output 3 3 16 6" xfId="41861"/>
    <cellStyle name="Output 3 3 16 7" xfId="48395"/>
    <cellStyle name="Output 3 3 17" xfId="1162"/>
    <cellStyle name="Output 3 3 17 2" xfId="8985"/>
    <cellStyle name="Output 3 3 17 3" xfId="16413"/>
    <cellStyle name="Output 3 3 17 4" xfId="19240"/>
    <cellStyle name="Output 3 3 17 5" xfId="27535"/>
    <cellStyle name="Output 3 3 17 6" xfId="38614"/>
    <cellStyle name="Output 3 3 17 7" xfId="49670"/>
    <cellStyle name="Output 3 3 18" xfId="2434"/>
    <cellStyle name="Output 3 3 18 2" xfId="10257"/>
    <cellStyle name="Output 3 3 18 3" xfId="17685"/>
    <cellStyle name="Output 3 3 18 4" xfId="24884"/>
    <cellStyle name="Output 3 3 18 5" xfId="33198"/>
    <cellStyle name="Output 3 3 18 6" xfId="36334"/>
    <cellStyle name="Output 3 3 18 7" xfId="50527"/>
    <cellStyle name="Output 3 3 19" xfId="2797"/>
    <cellStyle name="Output 3 3 19 2" xfId="10620"/>
    <cellStyle name="Output 3 3 19 3" xfId="18048"/>
    <cellStyle name="Output 3 3 19 4" xfId="25399"/>
    <cellStyle name="Output 3 3 19 5" xfId="33851"/>
    <cellStyle name="Output 3 3 19 6" xfId="37562"/>
    <cellStyle name="Output 3 3 19 7" xfId="51640"/>
    <cellStyle name="Output 3 3 2" xfId="665"/>
    <cellStyle name="Output 3 3 2 2" xfId="8489"/>
    <cellStyle name="Output 3 3 2 3" xfId="8269"/>
    <cellStyle name="Output 3 3 2 4" xfId="25079"/>
    <cellStyle name="Output 3 3 2 5" xfId="33440"/>
    <cellStyle name="Output 3 3 2 6" xfId="36465"/>
    <cellStyle name="Output 3 3 2 7" xfId="50967"/>
    <cellStyle name="Output 3 3 20" xfId="2904"/>
    <cellStyle name="Output 3 3 20 2" xfId="10727"/>
    <cellStyle name="Output 3 3 20 3" xfId="18155"/>
    <cellStyle name="Output 3 3 20 4" xfId="25459"/>
    <cellStyle name="Output 3 3 20 5" xfId="33924"/>
    <cellStyle name="Output 3 3 20 6" xfId="38077"/>
    <cellStyle name="Output 3 3 20 7" xfId="51777"/>
    <cellStyle name="Output 3 3 21" xfId="3280"/>
    <cellStyle name="Output 3 3 21 2" xfId="11073"/>
    <cellStyle name="Output 3 3 21 3" xfId="18402"/>
    <cellStyle name="Output 3 3 21 4" xfId="26554"/>
    <cellStyle name="Output 3 3 21 5" xfId="35363"/>
    <cellStyle name="Output 3 3 21 6" xfId="41753"/>
    <cellStyle name="Output 3 3 21 7" xfId="54184"/>
    <cellStyle name="Output 3 3 22" xfId="3400"/>
    <cellStyle name="Output 3 3 22 2" xfId="11191"/>
    <cellStyle name="Output 3 3 22 3" xfId="18513"/>
    <cellStyle name="Output 3 3 22 4" xfId="20454"/>
    <cellStyle name="Output 3 3 22 5" xfId="27438"/>
    <cellStyle name="Output 3 3 22 6" xfId="37402"/>
    <cellStyle name="Output 3 3 22 7" xfId="50129"/>
    <cellStyle name="Output 3 3 23" xfId="3131"/>
    <cellStyle name="Output 3 3 23 2" xfId="10936"/>
    <cellStyle name="Output 3 3 23 3" xfId="18314"/>
    <cellStyle name="Output 3 3 23 4" xfId="19439"/>
    <cellStyle name="Output 3 3 23 5" xfId="27896"/>
    <cellStyle name="Output 3 3 23 6" xfId="42062"/>
    <cellStyle name="Output 3 3 23 7" xfId="47013"/>
    <cellStyle name="Output 3 3 24" xfId="3670"/>
    <cellStyle name="Output 3 3 24 2" xfId="11455"/>
    <cellStyle name="Output 3 3 24 3" xfId="18728"/>
    <cellStyle name="Output 3 3 24 4" xfId="25791"/>
    <cellStyle name="Output 3 3 24 5" xfId="34361"/>
    <cellStyle name="Output 3 3 24 6" xfId="39134"/>
    <cellStyle name="Output 3 3 24 7" xfId="52536"/>
    <cellStyle name="Output 3 3 25" xfId="3801"/>
    <cellStyle name="Output 3 3 25 2" xfId="11583"/>
    <cellStyle name="Output 3 3 25 3" xfId="18840"/>
    <cellStyle name="Output 3 3 25 4" xfId="26507"/>
    <cellStyle name="Output 3 3 25 5" xfId="35301"/>
    <cellStyle name="Output 3 3 25 6" xfId="42020"/>
    <cellStyle name="Output 3 3 25 7" xfId="54086"/>
    <cellStyle name="Output 3 3 26" xfId="3918"/>
    <cellStyle name="Output 3 3 26 2" xfId="11698"/>
    <cellStyle name="Output 3 3 26 3" xfId="18949"/>
    <cellStyle name="Output 3 3 26 4" xfId="19767"/>
    <cellStyle name="Output 3 3 26 5" xfId="27982"/>
    <cellStyle name="Output 3 3 26 6" xfId="37583"/>
    <cellStyle name="Output 3 3 26 7" xfId="49427"/>
    <cellStyle name="Output 3 3 27" xfId="3090"/>
    <cellStyle name="Output 3 3 27 2" xfId="10897"/>
    <cellStyle name="Output 3 3 27 3" xfId="20250"/>
    <cellStyle name="Output 3 3 27 4" xfId="28341"/>
    <cellStyle name="Output 3 3 27 5" xfId="37719"/>
    <cellStyle name="Output 3 3 27 6" xfId="42395"/>
    <cellStyle name="Output 3 3 27 7" xfId="51526"/>
    <cellStyle name="Output 3 3 28" xfId="4115"/>
    <cellStyle name="Output 3 3 28 2" xfId="11875"/>
    <cellStyle name="Output 3 3 28 3" xfId="20825"/>
    <cellStyle name="Output 3 3 28 4" xfId="29012"/>
    <cellStyle name="Output 3 3 28 5" xfId="38389"/>
    <cellStyle name="Output 3 3 28 6" xfId="42677"/>
    <cellStyle name="Output 3 3 28 7" xfId="48017"/>
    <cellStyle name="Output 3 3 29" xfId="3767"/>
    <cellStyle name="Output 3 3 29 2" xfId="20617"/>
    <cellStyle name="Output 3 3 29 3" xfId="28767"/>
    <cellStyle name="Output 3 3 29 4" xfId="38155"/>
    <cellStyle name="Output 3 3 29 5" xfId="42543"/>
    <cellStyle name="Output 3 3 29 6" xfId="51369"/>
    <cellStyle name="Output 3 3 3" xfId="772"/>
    <cellStyle name="Output 3 3 3 2" xfId="8596"/>
    <cellStyle name="Output 3 3 3 3" xfId="16024"/>
    <cellStyle name="Output 3 3 3 4" xfId="25812"/>
    <cellStyle name="Output 3 3 3 5" xfId="34391"/>
    <cellStyle name="Output 3 3 3 6" xfId="36759"/>
    <cellStyle name="Output 3 3 3 7" xfId="52590"/>
    <cellStyle name="Output 3 3 30" xfId="4312"/>
    <cellStyle name="Output 3 3 30 2" xfId="12029"/>
    <cellStyle name="Output 3 3 30 3" xfId="21022"/>
    <cellStyle name="Output 3 3 30 4" xfId="29209"/>
    <cellStyle name="Output 3 3 30 5" xfId="38580"/>
    <cellStyle name="Output 3 3 30 6" xfId="42874"/>
    <cellStyle name="Output 3 3 30 7" xfId="47987"/>
    <cellStyle name="Output 3 3 31" xfId="4435"/>
    <cellStyle name="Output 3 3 31 2" xfId="12152"/>
    <cellStyle name="Output 3 3 31 3" xfId="21145"/>
    <cellStyle name="Output 3 3 31 4" xfId="29332"/>
    <cellStyle name="Output 3 3 31 5" xfId="38698"/>
    <cellStyle name="Output 3 3 31 6" xfId="42997"/>
    <cellStyle name="Output 3 3 31 7" xfId="52016"/>
    <cellStyle name="Output 3 3 32" xfId="4549"/>
    <cellStyle name="Output 3 3 32 2" xfId="12266"/>
    <cellStyle name="Output 3 3 32 3" xfId="21259"/>
    <cellStyle name="Output 3 3 32 4" xfId="29446"/>
    <cellStyle name="Output 3 3 32 5" xfId="38807"/>
    <cellStyle name="Output 3 3 32 6" xfId="43111"/>
    <cellStyle name="Output 3 3 32 7" xfId="53673"/>
    <cellStyle name="Output 3 3 33" xfId="4662"/>
    <cellStyle name="Output 3 3 33 2" xfId="12379"/>
    <cellStyle name="Output 3 3 33 3" xfId="21372"/>
    <cellStyle name="Output 3 3 33 4" xfId="29559"/>
    <cellStyle name="Output 3 3 33 5" xfId="38916"/>
    <cellStyle name="Output 3 3 33 6" xfId="43224"/>
    <cellStyle name="Output 3 3 33 7" xfId="49693"/>
    <cellStyle name="Output 3 3 34" xfId="4774"/>
    <cellStyle name="Output 3 3 34 2" xfId="12491"/>
    <cellStyle name="Output 3 3 34 3" xfId="21484"/>
    <cellStyle name="Output 3 3 34 4" xfId="29671"/>
    <cellStyle name="Output 3 3 34 5" xfId="39025"/>
    <cellStyle name="Output 3 3 34 6" xfId="43336"/>
    <cellStyle name="Output 3 3 34 7" xfId="54348"/>
    <cellStyle name="Output 3 3 35" xfId="4882"/>
    <cellStyle name="Output 3 3 35 2" xfId="12599"/>
    <cellStyle name="Output 3 3 35 3" xfId="21592"/>
    <cellStyle name="Output 3 3 35 4" xfId="29779"/>
    <cellStyle name="Output 3 3 35 5" xfId="39128"/>
    <cellStyle name="Output 3 3 35 6" xfId="43444"/>
    <cellStyle name="Output 3 3 35 7" xfId="47521"/>
    <cellStyle name="Output 3 3 36" xfId="4994"/>
    <cellStyle name="Output 3 3 36 2" xfId="12711"/>
    <cellStyle name="Output 3 3 36 3" xfId="21704"/>
    <cellStyle name="Output 3 3 36 4" xfId="29891"/>
    <cellStyle name="Output 3 3 36 5" xfId="39237"/>
    <cellStyle name="Output 3 3 36 6" xfId="43556"/>
    <cellStyle name="Output 3 3 36 7" xfId="48364"/>
    <cellStyle name="Output 3 3 37" xfId="5119"/>
    <cellStyle name="Output 3 3 37 2" xfId="12836"/>
    <cellStyle name="Output 3 3 37 3" xfId="21829"/>
    <cellStyle name="Output 3 3 37 4" xfId="30016"/>
    <cellStyle name="Output 3 3 37 5" xfId="39357"/>
    <cellStyle name="Output 3 3 37 6" xfId="43681"/>
    <cellStyle name="Output 3 3 37 7" xfId="48300"/>
    <cellStyle name="Output 3 3 38" xfId="5492"/>
    <cellStyle name="Output 3 3 38 2" xfId="13209"/>
    <cellStyle name="Output 3 3 38 3" xfId="22202"/>
    <cellStyle name="Output 3 3 38 4" xfId="30389"/>
    <cellStyle name="Output 3 3 38 5" xfId="39714"/>
    <cellStyle name="Output 3 3 38 6" xfId="44054"/>
    <cellStyle name="Output 3 3 38 7" xfId="49374"/>
    <cellStyle name="Output 3 3 39" xfId="5617"/>
    <cellStyle name="Output 3 3 39 2" xfId="13334"/>
    <cellStyle name="Output 3 3 39 3" xfId="22327"/>
    <cellStyle name="Output 3 3 39 4" xfId="30514"/>
    <cellStyle name="Output 3 3 39 5" xfId="39835"/>
    <cellStyle name="Output 3 3 39 6" xfId="44179"/>
    <cellStyle name="Output 3 3 39 7" xfId="47129"/>
    <cellStyle name="Output 3 3 4" xfId="884"/>
    <cellStyle name="Output 3 3 4 2" xfId="8708"/>
    <cellStyle name="Output 3 3 4 3" xfId="16136"/>
    <cellStyle name="Output 3 3 4 4" xfId="19738"/>
    <cellStyle name="Output 3 3 4 5" xfId="27146"/>
    <cellStyle name="Output 3 3 4 6" xfId="36484"/>
    <cellStyle name="Output 3 3 4 7" xfId="47353"/>
    <cellStyle name="Output 3 3 40" xfId="5732"/>
    <cellStyle name="Output 3 3 40 2" xfId="13449"/>
    <cellStyle name="Output 3 3 40 3" xfId="22442"/>
    <cellStyle name="Output 3 3 40 4" xfId="30629"/>
    <cellStyle name="Output 3 3 40 5" xfId="39946"/>
    <cellStyle name="Output 3 3 40 6" xfId="44294"/>
    <cellStyle name="Output 3 3 40 7" xfId="54283"/>
    <cellStyle name="Output 3 3 41" xfId="5849"/>
    <cellStyle name="Output 3 3 41 2" xfId="13566"/>
    <cellStyle name="Output 3 3 41 3" xfId="22559"/>
    <cellStyle name="Output 3 3 41 4" xfId="30746"/>
    <cellStyle name="Output 3 3 41 5" xfId="40060"/>
    <cellStyle name="Output 3 3 41 6" xfId="44411"/>
    <cellStyle name="Output 3 3 41 7" xfId="48382"/>
    <cellStyle name="Output 3 3 42" xfId="5977"/>
    <cellStyle name="Output 3 3 42 2" xfId="13694"/>
    <cellStyle name="Output 3 3 42 3" xfId="22687"/>
    <cellStyle name="Output 3 3 42 4" xfId="30874"/>
    <cellStyle name="Output 3 3 42 5" xfId="40183"/>
    <cellStyle name="Output 3 3 42 6" xfId="44539"/>
    <cellStyle name="Output 3 3 42 7" xfId="49016"/>
    <cellStyle name="Output 3 3 43" xfId="5696"/>
    <cellStyle name="Output 3 3 43 2" xfId="13413"/>
    <cellStyle name="Output 3 3 43 3" xfId="22406"/>
    <cellStyle name="Output 3 3 43 4" xfId="30593"/>
    <cellStyle name="Output 3 3 43 5" xfId="39911"/>
    <cellStyle name="Output 3 3 43 6" xfId="44258"/>
    <cellStyle name="Output 3 3 43 7" xfId="47083"/>
    <cellStyle name="Output 3 3 44" xfId="6233"/>
    <cellStyle name="Output 3 3 44 2" xfId="13950"/>
    <cellStyle name="Output 3 3 44 3" xfId="22943"/>
    <cellStyle name="Output 3 3 44 4" xfId="31130"/>
    <cellStyle name="Output 3 3 44 5" xfId="40431"/>
    <cellStyle name="Output 3 3 44 6" xfId="44795"/>
    <cellStyle name="Output 3 3 44 7" xfId="47623"/>
    <cellStyle name="Output 3 3 45" xfId="6350"/>
    <cellStyle name="Output 3 3 45 2" xfId="14067"/>
    <cellStyle name="Output 3 3 45 3" xfId="23060"/>
    <cellStyle name="Output 3 3 45 4" xfId="31247"/>
    <cellStyle name="Output 3 3 45 5" xfId="40545"/>
    <cellStyle name="Output 3 3 45 6" xfId="44912"/>
    <cellStyle name="Output 3 3 45 7" xfId="48800"/>
    <cellStyle name="Output 3 3 46" xfId="6460"/>
    <cellStyle name="Output 3 3 46 2" xfId="14177"/>
    <cellStyle name="Output 3 3 46 3" xfId="23170"/>
    <cellStyle name="Output 3 3 46 4" xfId="31357"/>
    <cellStyle name="Output 3 3 46 5" xfId="40651"/>
    <cellStyle name="Output 3 3 46 6" xfId="45022"/>
    <cellStyle name="Output 3 3 46 7" xfId="49990"/>
    <cellStyle name="Output 3 3 47" xfId="5314"/>
    <cellStyle name="Output 3 3 47 2" xfId="13031"/>
    <cellStyle name="Output 3 3 47 3" xfId="22024"/>
    <cellStyle name="Output 3 3 47 4" xfId="30211"/>
    <cellStyle name="Output 3 3 47 5" xfId="39545"/>
    <cellStyle name="Output 3 3 47 6" xfId="43876"/>
    <cellStyle name="Output 3 3 47 7" xfId="52752"/>
    <cellStyle name="Output 3 3 48" xfId="6607"/>
    <cellStyle name="Output 3 3 48 2" xfId="14324"/>
    <cellStyle name="Output 3 3 48 3" xfId="23317"/>
    <cellStyle name="Output 3 3 48 4" xfId="31504"/>
    <cellStyle name="Output 3 3 48 5" xfId="40791"/>
    <cellStyle name="Output 3 3 48 6" xfId="45169"/>
    <cellStyle name="Output 3 3 48 7" xfId="50283"/>
    <cellStyle name="Output 3 3 49" xfId="6718"/>
    <cellStyle name="Output 3 3 49 2" xfId="14435"/>
    <cellStyle name="Output 3 3 49 3" xfId="23428"/>
    <cellStyle name="Output 3 3 49 4" xfId="31615"/>
    <cellStyle name="Output 3 3 49 5" xfId="40896"/>
    <cellStyle name="Output 3 3 49 6" xfId="45280"/>
    <cellStyle name="Output 3 3 49 7" xfId="53221"/>
    <cellStyle name="Output 3 3 5" xfId="1349"/>
    <cellStyle name="Output 3 3 5 2" xfId="9172"/>
    <cellStyle name="Output 3 3 5 3" xfId="16600"/>
    <cellStyle name="Output 3 3 5 4" xfId="20076"/>
    <cellStyle name="Output 3 3 5 5" xfId="27310"/>
    <cellStyle name="Output 3 3 5 6" xfId="41963"/>
    <cellStyle name="Output 3 3 5 7" xfId="48297"/>
    <cellStyle name="Output 3 3 50" xfId="6833"/>
    <cellStyle name="Output 3 3 50 2" xfId="14550"/>
    <cellStyle name="Output 3 3 50 3" xfId="23543"/>
    <cellStyle name="Output 3 3 50 4" xfId="31730"/>
    <cellStyle name="Output 3 3 50 5" xfId="41004"/>
    <cellStyle name="Output 3 3 50 6" xfId="45395"/>
    <cellStyle name="Output 3 3 50 7" xfId="47274"/>
    <cellStyle name="Output 3 3 51" xfId="6946"/>
    <cellStyle name="Output 3 3 51 2" xfId="14663"/>
    <cellStyle name="Output 3 3 51 3" xfId="23656"/>
    <cellStyle name="Output 3 3 51 4" xfId="31843"/>
    <cellStyle name="Output 3 3 51 5" xfId="41112"/>
    <cellStyle name="Output 3 3 51 6" xfId="45508"/>
    <cellStyle name="Output 3 3 51 7" xfId="46934"/>
    <cellStyle name="Output 3 3 52" xfId="7058"/>
    <cellStyle name="Output 3 3 52 2" xfId="14775"/>
    <cellStyle name="Output 3 3 52 3" xfId="23768"/>
    <cellStyle name="Output 3 3 52 4" xfId="31955"/>
    <cellStyle name="Output 3 3 52 5" xfId="41218"/>
    <cellStyle name="Output 3 3 52 6" xfId="45620"/>
    <cellStyle name="Output 3 3 52 7" xfId="53464"/>
    <cellStyle name="Output 3 3 53" xfId="7204"/>
    <cellStyle name="Output 3 3 53 2" xfId="14921"/>
    <cellStyle name="Output 3 3 53 3" xfId="23914"/>
    <cellStyle name="Output 3 3 53 4" xfId="32101"/>
    <cellStyle name="Output 3 3 53 5" xfId="41361"/>
    <cellStyle name="Output 3 3 53 6" xfId="45766"/>
    <cellStyle name="Output 3 3 53 7" xfId="50840"/>
    <cellStyle name="Output 3 3 54" xfId="7303"/>
    <cellStyle name="Output 3 3 54 2" xfId="15020"/>
    <cellStyle name="Output 3 3 54 3" xfId="24013"/>
    <cellStyle name="Output 3 3 54 4" xfId="32200"/>
    <cellStyle name="Output 3 3 54 5" xfId="41456"/>
    <cellStyle name="Output 3 3 54 6" xfId="45865"/>
    <cellStyle name="Output 3 3 54 7" xfId="48916"/>
    <cellStyle name="Output 3 3 55" xfId="7455"/>
    <cellStyle name="Output 3 3 55 2" xfId="15172"/>
    <cellStyle name="Output 3 3 55 3" xfId="24165"/>
    <cellStyle name="Output 3 3 55 4" xfId="32352"/>
    <cellStyle name="Output 3 3 55 5" xfId="41601"/>
    <cellStyle name="Output 3 3 55 6" xfId="46017"/>
    <cellStyle name="Output 3 3 55 7" xfId="49846"/>
    <cellStyle name="Output 3 3 56" xfId="7576"/>
    <cellStyle name="Output 3 3 56 2" xfId="15293"/>
    <cellStyle name="Output 3 3 56 3" xfId="24286"/>
    <cellStyle name="Output 3 3 56 4" xfId="32473"/>
    <cellStyle name="Output 3 3 56 5" xfId="41716"/>
    <cellStyle name="Output 3 3 56 6" xfId="46138"/>
    <cellStyle name="Output 3 3 56 7" xfId="49430"/>
    <cellStyle name="Output 3 3 57" xfId="7852"/>
    <cellStyle name="Output 3 3 57 2" xfId="15569"/>
    <cellStyle name="Output 3 3 57 3" xfId="24556"/>
    <cellStyle name="Output 3 3 57 4" xfId="32749"/>
    <cellStyle name="Output 3 3 57 5" xfId="41981"/>
    <cellStyle name="Output 3 3 57 6" xfId="46414"/>
    <cellStyle name="Output 3 3 57 7" xfId="50765"/>
    <cellStyle name="Output 3 3 58" xfId="7990"/>
    <cellStyle name="Output 3 3 58 2" xfId="15707"/>
    <cellStyle name="Output 3 3 58 3" xfId="24692"/>
    <cellStyle name="Output 3 3 58 4" xfId="32887"/>
    <cellStyle name="Output 3 3 58 5" xfId="42113"/>
    <cellStyle name="Output 3 3 58 6" xfId="46552"/>
    <cellStyle name="Output 3 3 58 7" xfId="50864"/>
    <cellStyle name="Output 3 3 59" xfId="7658"/>
    <cellStyle name="Output 3 3 59 2" xfId="15375"/>
    <cellStyle name="Output 3 3 59 3" xfId="24367"/>
    <cellStyle name="Output 3 3 59 4" xfId="32555"/>
    <cellStyle name="Output 3 3 59 5" xfId="41796"/>
    <cellStyle name="Output 3 3 59 6" xfId="46220"/>
    <cellStyle name="Output 3 3 59 7" xfId="50007"/>
    <cellStyle name="Output 3 3 6" xfId="1472"/>
    <cellStyle name="Output 3 3 6 2" xfId="9295"/>
    <cellStyle name="Output 3 3 6 3" xfId="16723"/>
    <cellStyle name="Output 3 3 6 4" xfId="19554"/>
    <cellStyle name="Output 3 3 6 5" xfId="28697"/>
    <cellStyle name="Output 3 3 6 6" xfId="36596"/>
    <cellStyle name="Output 3 3 6 7" xfId="48674"/>
    <cellStyle name="Output 3 3 60" xfId="8128"/>
    <cellStyle name="Output 3 3 60 2" xfId="15845"/>
    <cellStyle name="Output 3 3 60 3" xfId="33025"/>
    <cellStyle name="Output 3 3 60 4" xfId="42245"/>
    <cellStyle name="Output 3 3 60 5" xfId="46690"/>
    <cellStyle name="Output 3 3 60 6" xfId="51093"/>
    <cellStyle name="Output 3 3 61" xfId="24941"/>
    <cellStyle name="Output 3 3 62" xfId="33276"/>
    <cellStyle name="Output 3 3 63" xfId="37451"/>
    <cellStyle name="Output 3 3 64" xfId="50659"/>
    <cellStyle name="Output 3 3 7" xfId="989"/>
    <cellStyle name="Output 3 3 7 2" xfId="8813"/>
    <cellStyle name="Output 3 3 7 3" xfId="16241"/>
    <cellStyle name="Output 3 3 7 4" xfId="25585"/>
    <cellStyle name="Output 3 3 7 5" xfId="34091"/>
    <cellStyle name="Output 3 3 7 6" xfId="36796"/>
    <cellStyle name="Output 3 3 7 7" xfId="52064"/>
    <cellStyle name="Output 3 3 8" xfId="1709"/>
    <cellStyle name="Output 3 3 8 2" xfId="9532"/>
    <cellStyle name="Output 3 3 8 3" xfId="16960"/>
    <cellStyle name="Output 3 3 8 4" xfId="26175"/>
    <cellStyle name="Output 3 3 8 5" xfId="34847"/>
    <cellStyle name="Output 3 3 8 6" xfId="38213"/>
    <cellStyle name="Output 3 3 8 7" xfId="53372"/>
    <cellStyle name="Output 3 3 9" xfId="1843"/>
    <cellStyle name="Output 3 3 9 2" xfId="9666"/>
    <cellStyle name="Output 3 3 9 3" xfId="17094"/>
    <cellStyle name="Output 3 3 9 4" xfId="26565"/>
    <cellStyle name="Output 3 3 9 5" xfId="35377"/>
    <cellStyle name="Output 3 3 9 6" xfId="37243"/>
    <cellStyle name="Output 3 3 9 7" xfId="54205"/>
    <cellStyle name="Output 3 30" xfId="7368"/>
    <cellStyle name="Output 3 30 2" xfId="15085"/>
    <cellStyle name="Output 3 30 3" xfId="24078"/>
    <cellStyle name="Output 3 30 4" xfId="32265"/>
    <cellStyle name="Output 3 30 5" xfId="41521"/>
    <cellStyle name="Output 3 30 6" xfId="45930"/>
    <cellStyle name="Output 3 30 7" xfId="49092"/>
    <cellStyle name="Output 3 31" xfId="7364"/>
    <cellStyle name="Output 3 31 2" xfId="15081"/>
    <cellStyle name="Output 3 31 3" xfId="24074"/>
    <cellStyle name="Output 3 31 4" xfId="32261"/>
    <cellStyle name="Output 3 31 5" xfId="41517"/>
    <cellStyle name="Output 3 31 6" xfId="45926"/>
    <cellStyle name="Output 3 31 7" xfId="49583"/>
    <cellStyle name="Output 3 32" xfId="7988"/>
    <cellStyle name="Output 3 32 2" xfId="15705"/>
    <cellStyle name="Output 3 32 3" xfId="24690"/>
    <cellStyle name="Output 3 32 4" xfId="32885"/>
    <cellStyle name="Output 3 32 5" xfId="42111"/>
    <cellStyle name="Output 3 32 6" xfId="46550"/>
    <cellStyle name="Output 3 32 7" xfId="51087"/>
    <cellStyle name="Output 3 33" xfId="25222"/>
    <cellStyle name="Output 3 34" xfId="33622"/>
    <cellStyle name="Output 3 35" xfId="36606"/>
    <cellStyle name="Output 3 36" xfId="51268"/>
    <cellStyle name="Output 3 4" xfId="565"/>
    <cellStyle name="Output 3 4 10" xfId="2012"/>
    <cellStyle name="Output 3 4 10 2" xfId="9835"/>
    <cellStyle name="Output 3 4 10 3" xfId="17263"/>
    <cellStyle name="Output 3 4 10 4" xfId="25301"/>
    <cellStyle name="Output 3 4 10 5" xfId="33717"/>
    <cellStyle name="Output 3 4 10 6" xfId="41657"/>
    <cellStyle name="Output 3 4 10 7" xfId="51429"/>
    <cellStyle name="Output 3 4 11" xfId="2129"/>
    <cellStyle name="Output 3 4 11 2" xfId="9952"/>
    <cellStyle name="Output 3 4 11 3" xfId="17380"/>
    <cellStyle name="Output 3 4 11 4" xfId="25645"/>
    <cellStyle name="Output 3 4 11 5" xfId="34166"/>
    <cellStyle name="Output 3 4 11 6" xfId="37347"/>
    <cellStyle name="Output 3 4 11 7" xfId="52193"/>
    <cellStyle name="Output 3 4 12" xfId="2243"/>
    <cellStyle name="Output 3 4 12 2" xfId="10066"/>
    <cellStyle name="Output 3 4 12 3" xfId="17494"/>
    <cellStyle name="Output 3 4 12 4" xfId="26242"/>
    <cellStyle name="Output 3 4 12 5" xfId="34933"/>
    <cellStyle name="Output 3 4 12 6" xfId="40450"/>
    <cellStyle name="Output 3 4 12 7" xfId="53519"/>
    <cellStyle name="Output 3 4 13" xfId="1055"/>
    <cellStyle name="Output 3 4 13 2" xfId="8879"/>
    <cellStyle name="Output 3 4 13 3" xfId="16307"/>
    <cellStyle name="Output 3 4 13 4" xfId="25734"/>
    <cellStyle name="Output 3 4 13 5" xfId="34283"/>
    <cellStyle name="Output 3 4 13 6" xfId="37324"/>
    <cellStyle name="Output 3 4 13 7" xfId="52401"/>
    <cellStyle name="Output 3 4 14" xfId="970"/>
    <cellStyle name="Output 3 4 14 2" xfId="8794"/>
    <cellStyle name="Output 3 4 14 3" xfId="16222"/>
    <cellStyle name="Output 3 4 14 4" xfId="26423"/>
    <cellStyle name="Output 3 4 14 5" xfId="35187"/>
    <cellStyle name="Output 3 4 14 6" xfId="37963"/>
    <cellStyle name="Output 3 4 14 7" xfId="53903"/>
    <cellStyle name="Output 3 4 15" xfId="2540"/>
    <cellStyle name="Output 3 4 15 2" xfId="10363"/>
    <cellStyle name="Output 3 4 15 3" xfId="17791"/>
    <cellStyle name="Output 3 4 15 4" xfId="19490"/>
    <cellStyle name="Output 3 4 15 5" xfId="27792"/>
    <cellStyle name="Output 3 4 15 6" xfId="41157"/>
    <cellStyle name="Output 3 4 15 7" xfId="47726"/>
    <cellStyle name="Output 3 4 16" xfId="2654"/>
    <cellStyle name="Output 3 4 16 2" xfId="10477"/>
    <cellStyle name="Output 3 4 16 3" xfId="17905"/>
    <cellStyle name="Output 3 4 16 4" xfId="24855"/>
    <cellStyle name="Output 3 4 16 5" xfId="28036"/>
    <cellStyle name="Output 3 4 16 6" xfId="37480"/>
    <cellStyle name="Output 3 4 16 7" xfId="49937"/>
    <cellStyle name="Output 3 4 17" xfId="2447"/>
    <cellStyle name="Output 3 4 17 2" xfId="10270"/>
    <cellStyle name="Output 3 4 17 3" xfId="17698"/>
    <cellStyle name="Output 3 4 17 4" xfId="19655"/>
    <cellStyle name="Output 3 4 17 5" xfId="28000"/>
    <cellStyle name="Output 3 4 17 6" xfId="42130"/>
    <cellStyle name="Output 3 4 17 7" xfId="48984"/>
    <cellStyle name="Output 3 4 18" xfId="2701"/>
    <cellStyle name="Output 3 4 18 2" xfId="10524"/>
    <cellStyle name="Output 3 4 18 3" xfId="17952"/>
    <cellStyle name="Output 3 4 18 4" xfId="25949"/>
    <cellStyle name="Output 3 4 18 5" xfId="34554"/>
    <cellStyle name="Output 3 4 18 6" xfId="36507"/>
    <cellStyle name="Output 3 4 18 7" xfId="52884"/>
    <cellStyle name="Output 3 4 19" xfId="2845"/>
    <cellStyle name="Output 3 4 19 2" xfId="10668"/>
    <cellStyle name="Output 3 4 19 3" xfId="18096"/>
    <cellStyle name="Output 3 4 19 4" xfId="26483"/>
    <cellStyle name="Output 3 4 19 5" xfId="35270"/>
    <cellStyle name="Output 3 4 19 6" xfId="39975"/>
    <cellStyle name="Output 3 4 19 7" xfId="54042"/>
    <cellStyle name="Output 3 4 2" xfId="713"/>
    <cellStyle name="Output 3 4 2 2" xfId="8537"/>
    <cellStyle name="Output 3 4 2 3" xfId="15965"/>
    <cellStyle name="Output 3 4 2 4" xfId="25733"/>
    <cellStyle name="Output 3 4 2 5" xfId="34281"/>
    <cellStyle name="Output 3 4 2 6" xfId="36330"/>
    <cellStyle name="Output 3 4 2 7" xfId="52396"/>
    <cellStyle name="Output 3 4 20" xfId="2952"/>
    <cellStyle name="Output 3 4 20 2" xfId="10775"/>
    <cellStyle name="Output 3 4 20 3" xfId="18203"/>
    <cellStyle name="Output 3 4 20 4" xfId="20024"/>
    <cellStyle name="Output 3 4 20 5" xfId="27198"/>
    <cellStyle name="Output 3 4 20 6" xfId="38946"/>
    <cellStyle name="Output 3 4 20 7" xfId="47539"/>
    <cellStyle name="Output 3 4 21" xfId="3329"/>
    <cellStyle name="Output 3 4 21 2" xfId="11122"/>
    <cellStyle name="Output 3 4 21 3" xfId="18450"/>
    <cellStyle name="Output 3 4 21 4" xfId="19099"/>
    <cellStyle name="Output 3 4 21 5" xfId="27493"/>
    <cellStyle name="Output 3 4 21 6" xfId="36727"/>
    <cellStyle name="Output 3 4 21 7" xfId="47865"/>
    <cellStyle name="Output 3 4 22" xfId="3448"/>
    <cellStyle name="Output 3 4 22 2" xfId="11239"/>
    <cellStyle name="Output 3 4 22 3" xfId="18561"/>
    <cellStyle name="Output 3 4 22 4" xfId="25924"/>
    <cellStyle name="Output 3 4 22 5" xfId="34526"/>
    <cellStyle name="Output 3 4 22 6" xfId="39620"/>
    <cellStyle name="Output 3 4 22 7" xfId="52831"/>
    <cellStyle name="Output 3 4 23" xfId="3608"/>
    <cellStyle name="Output 3 4 23 2" xfId="11394"/>
    <cellStyle name="Output 3 4 23 3" xfId="18668"/>
    <cellStyle name="Output 3 4 23 4" xfId="25181"/>
    <cellStyle name="Output 3 4 23 5" xfId="33564"/>
    <cellStyle name="Output 3 4 23 6" xfId="36454"/>
    <cellStyle name="Output 3 4 23 7" xfId="51179"/>
    <cellStyle name="Output 3 4 24" xfId="3721"/>
    <cellStyle name="Output 3 4 24 2" xfId="11506"/>
    <cellStyle name="Output 3 4 24 3" xfId="18778"/>
    <cellStyle name="Output 3 4 24 4" xfId="25444"/>
    <cellStyle name="Output 3 4 24 5" xfId="33904"/>
    <cellStyle name="Output 3 4 24 6" xfId="41430"/>
    <cellStyle name="Output 3 4 24 7" xfId="51738"/>
    <cellStyle name="Output 3 4 25" xfId="3850"/>
    <cellStyle name="Output 3 4 25 2" xfId="11632"/>
    <cellStyle name="Output 3 4 25 3" xfId="18888"/>
    <cellStyle name="Output 3 4 25 4" xfId="20566"/>
    <cellStyle name="Output 3 4 25 5" xfId="28735"/>
    <cellStyle name="Output 3 4 25 6" xfId="37420"/>
    <cellStyle name="Output 3 4 25 7" xfId="48948"/>
    <cellStyle name="Output 3 4 26" xfId="3969"/>
    <cellStyle name="Output 3 4 26 2" xfId="11748"/>
    <cellStyle name="Output 3 4 26 3" xfId="18997"/>
    <cellStyle name="Output 3 4 26 4" xfId="19806"/>
    <cellStyle name="Output 3 4 26 5" xfId="28177"/>
    <cellStyle name="Output 3 4 26 6" xfId="39825"/>
    <cellStyle name="Output 3 4 26 7" xfId="48091"/>
    <cellStyle name="Output 3 4 27" xfId="3149"/>
    <cellStyle name="Output 3 4 27 2" xfId="10953"/>
    <cellStyle name="Output 3 4 27 3" xfId="20286"/>
    <cellStyle name="Output 3 4 27 4" xfId="28379"/>
    <cellStyle name="Output 3 4 27 5" xfId="37765"/>
    <cellStyle name="Output 3 4 27 6" xfId="42413"/>
    <cellStyle name="Output 3 4 27 7" xfId="54474"/>
    <cellStyle name="Output 3 4 28" xfId="4165"/>
    <cellStyle name="Output 3 4 28 2" xfId="11924"/>
    <cellStyle name="Output 3 4 28 3" xfId="20875"/>
    <cellStyle name="Output 3 4 28 4" xfId="29062"/>
    <cellStyle name="Output 3 4 28 5" xfId="38438"/>
    <cellStyle name="Output 3 4 28 6" xfId="42727"/>
    <cellStyle name="Output 3 4 28 7" xfId="50114"/>
    <cellStyle name="Output 3 4 29" xfId="3036"/>
    <cellStyle name="Output 3 4 29 2" xfId="20205"/>
    <cellStyle name="Output 3 4 29 3" xfId="28296"/>
    <cellStyle name="Output 3 4 29 4" xfId="37676"/>
    <cellStyle name="Output 3 4 29 5" xfId="42364"/>
    <cellStyle name="Output 3 4 29 6" xfId="47389"/>
    <cellStyle name="Output 3 4 3" xfId="822"/>
    <cellStyle name="Output 3 4 3 2" xfId="8646"/>
    <cellStyle name="Output 3 4 3 3" xfId="16074"/>
    <cellStyle name="Output 3 4 3 4" xfId="26382"/>
    <cellStyle name="Output 3 4 3 5" xfId="35127"/>
    <cellStyle name="Output 3 4 3 6" xfId="37448"/>
    <cellStyle name="Output 3 4 3 7" xfId="53811"/>
    <cellStyle name="Output 3 4 30" xfId="4363"/>
    <cellStyle name="Output 3 4 30 2" xfId="12080"/>
    <cellStyle name="Output 3 4 30 3" xfId="21073"/>
    <cellStyle name="Output 3 4 30 4" xfId="29260"/>
    <cellStyle name="Output 3 4 30 5" xfId="38630"/>
    <cellStyle name="Output 3 4 30 6" xfId="42925"/>
    <cellStyle name="Output 3 4 30 7" xfId="52804"/>
    <cellStyle name="Output 3 4 31" xfId="4485"/>
    <cellStyle name="Output 3 4 31 2" xfId="12202"/>
    <cellStyle name="Output 3 4 31 3" xfId="21195"/>
    <cellStyle name="Output 3 4 31 4" xfId="29382"/>
    <cellStyle name="Output 3 4 31 5" xfId="38747"/>
    <cellStyle name="Output 3 4 31 6" xfId="43047"/>
    <cellStyle name="Output 3 4 31 7" xfId="53017"/>
    <cellStyle name="Output 3 4 32" xfId="4599"/>
    <cellStyle name="Output 3 4 32 2" xfId="12316"/>
    <cellStyle name="Output 3 4 32 3" xfId="21309"/>
    <cellStyle name="Output 3 4 32 4" xfId="29496"/>
    <cellStyle name="Output 3 4 32 5" xfId="38856"/>
    <cellStyle name="Output 3 4 32 6" xfId="43161"/>
    <cellStyle name="Output 3 4 32 7" xfId="49863"/>
    <cellStyle name="Output 3 4 33" xfId="4712"/>
    <cellStyle name="Output 3 4 33 2" xfId="12429"/>
    <cellStyle name="Output 3 4 33 3" xfId="21422"/>
    <cellStyle name="Output 3 4 33 4" xfId="29609"/>
    <cellStyle name="Output 3 4 33 5" xfId="38965"/>
    <cellStyle name="Output 3 4 33 6" xfId="43274"/>
    <cellStyle name="Output 3 4 33 7" xfId="53160"/>
    <cellStyle name="Output 3 4 34" xfId="4822"/>
    <cellStyle name="Output 3 4 34 2" xfId="12539"/>
    <cellStyle name="Output 3 4 34 3" xfId="21532"/>
    <cellStyle name="Output 3 4 34 4" xfId="29719"/>
    <cellStyle name="Output 3 4 34 5" xfId="39072"/>
    <cellStyle name="Output 3 4 34 6" xfId="43384"/>
    <cellStyle name="Output 3 4 34 7" xfId="49321"/>
    <cellStyle name="Output 3 4 35" xfId="4932"/>
    <cellStyle name="Output 3 4 35 2" xfId="12649"/>
    <cellStyle name="Output 3 4 35 3" xfId="21642"/>
    <cellStyle name="Output 3 4 35 4" xfId="29829"/>
    <cellStyle name="Output 3 4 35 5" xfId="39177"/>
    <cellStyle name="Output 3 4 35 6" xfId="43494"/>
    <cellStyle name="Output 3 4 35 7" xfId="47771"/>
    <cellStyle name="Output 3 4 36" xfId="5042"/>
    <cellStyle name="Output 3 4 36 2" xfId="12759"/>
    <cellStyle name="Output 3 4 36 3" xfId="21752"/>
    <cellStyle name="Output 3 4 36 4" xfId="29939"/>
    <cellStyle name="Output 3 4 36 5" xfId="39284"/>
    <cellStyle name="Output 3 4 36 6" xfId="43604"/>
    <cellStyle name="Output 3 4 36 7" xfId="49857"/>
    <cellStyle name="Output 3 4 37" xfId="5422"/>
    <cellStyle name="Output 3 4 37 2" xfId="13139"/>
    <cellStyle name="Output 3 4 37 3" xfId="22132"/>
    <cellStyle name="Output 3 4 37 4" xfId="30319"/>
    <cellStyle name="Output 3 4 37 5" xfId="39649"/>
    <cellStyle name="Output 3 4 37 6" xfId="43984"/>
    <cellStyle name="Output 3 4 37 7" xfId="49116"/>
    <cellStyle name="Output 3 4 38" xfId="5542"/>
    <cellStyle name="Output 3 4 38 2" xfId="13259"/>
    <cellStyle name="Output 3 4 38 3" xfId="22252"/>
    <cellStyle name="Output 3 4 38 4" xfId="30439"/>
    <cellStyle name="Output 3 4 38 5" xfId="39763"/>
    <cellStyle name="Output 3 4 38 6" xfId="44104"/>
    <cellStyle name="Output 3 4 38 7" xfId="47182"/>
    <cellStyle name="Output 3 4 39" xfId="5666"/>
    <cellStyle name="Output 3 4 39 2" xfId="13383"/>
    <cellStyle name="Output 3 4 39 3" xfId="22376"/>
    <cellStyle name="Output 3 4 39 4" xfId="30563"/>
    <cellStyle name="Output 3 4 39 5" xfId="39883"/>
    <cellStyle name="Output 3 4 39 6" xfId="44228"/>
    <cellStyle name="Output 3 4 39 7" xfId="46832"/>
    <cellStyle name="Output 3 4 4" xfId="932"/>
    <cellStyle name="Output 3 4 4 2" xfId="8756"/>
    <cellStyle name="Output 3 4 4 3" xfId="16184"/>
    <cellStyle name="Output 3 4 4 4" xfId="19801"/>
    <cellStyle name="Output 3 4 4 5" xfId="27502"/>
    <cellStyle name="Output 3 4 4 6" xfId="36876"/>
    <cellStyle name="Output 3 4 4 7" xfId="50324"/>
    <cellStyle name="Output 3 4 40" xfId="5782"/>
    <cellStyle name="Output 3 4 40 2" xfId="13499"/>
    <cellStyle name="Output 3 4 40 3" xfId="22492"/>
    <cellStyle name="Output 3 4 40 4" xfId="30679"/>
    <cellStyle name="Output 3 4 40 5" xfId="39995"/>
    <cellStyle name="Output 3 4 40 6" xfId="44344"/>
    <cellStyle name="Output 3 4 40 7" xfId="48853"/>
    <cellStyle name="Output 3 4 41" xfId="5899"/>
    <cellStyle name="Output 3 4 41 2" xfId="13616"/>
    <cellStyle name="Output 3 4 41 3" xfId="22609"/>
    <cellStyle name="Output 3 4 41 4" xfId="30796"/>
    <cellStyle name="Output 3 4 41 5" xfId="40109"/>
    <cellStyle name="Output 3 4 41 6" xfId="44461"/>
    <cellStyle name="Output 3 4 41 7" xfId="49306"/>
    <cellStyle name="Output 3 4 42" xfId="6027"/>
    <cellStyle name="Output 3 4 42 2" xfId="13744"/>
    <cellStyle name="Output 3 4 42 3" xfId="22737"/>
    <cellStyle name="Output 3 4 42 4" xfId="30924"/>
    <cellStyle name="Output 3 4 42 5" xfId="40232"/>
    <cellStyle name="Output 3 4 42 6" xfId="44589"/>
    <cellStyle name="Output 3 4 42 7" xfId="51565"/>
    <cellStyle name="Output 3 4 43" xfId="6154"/>
    <cellStyle name="Output 3 4 43 2" xfId="13871"/>
    <cellStyle name="Output 3 4 43 3" xfId="22864"/>
    <cellStyle name="Output 3 4 43 4" xfId="31051"/>
    <cellStyle name="Output 3 4 43 5" xfId="40352"/>
    <cellStyle name="Output 3 4 43 6" xfId="44716"/>
    <cellStyle name="Output 3 4 43 7" xfId="52988"/>
    <cellStyle name="Output 3 4 44" xfId="6283"/>
    <cellStyle name="Output 3 4 44 2" xfId="14000"/>
    <cellStyle name="Output 3 4 44 3" xfId="22993"/>
    <cellStyle name="Output 3 4 44 4" xfId="31180"/>
    <cellStyle name="Output 3 4 44 5" xfId="40480"/>
    <cellStyle name="Output 3 4 44 6" xfId="44845"/>
    <cellStyle name="Output 3 4 44 7" xfId="49849"/>
    <cellStyle name="Output 3 4 45" xfId="6398"/>
    <cellStyle name="Output 3 4 45 2" xfId="14115"/>
    <cellStyle name="Output 3 4 45 3" xfId="23108"/>
    <cellStyle name="Output 3 4 45 4" xfId="31295"/>
    <cellStyle name="Output 3 4 45 5" xfId="40591"/>
    <cellStyle name="Output 3 4 45 6" xfId="44960"/>
    <cellStyle name="Output 3 4 45 7" xfId="50045"/>
    <cellStyle name="Output 3 4 46" xfId="6510"/>
    <cellStyle name="Output 3 4 46 2" xfId="14227"/>
    <cellStyle name="Output 3 4 46 3" xfId="23220"/>
    <cellStyle name="Output 3 4 46 4" xfId="31407"/>
    <cellStyle name="Output 3 4 46 5" xfId="40699"/>
    <cellStyle name="Output 3 4 46 6" xfId="45072"/>
    <cellStyle name="Output 3 4 46 7" xfId="51803"/>
    <cellStyle name="Output 3 4 47" xfId="5657"/>
    <cellStyle name="Output 3 4 47 2" xfId="13374"/>
    <cellStyle name="Output 3 4 47 3" xfId="22367"/>
    <cellStyle name="Output 3 4 47 4" xfId="30554"/>
    <cellStyle name="Output 3 4 47 5" xfId="39874"/>
    <cellStyle name="Output 3 4 47 6" xfId="44219"/>
    <cellStyle name="Output 3 4 47 7" xfId="47112"/>
    <cellStyle name="Output 3 4 48" xfId="6657"/>
    <cellStyle name="Output 3 4 48 2" xfId="14374"/>
    <cellStyle name="Output 3 4 48 3" xfId="23367"/>
    <cellStyle name="Output 3 4 48 4" xfId="31554"/>
    <cellStyle name="Output 3 4 48 5" xfId="40839"/>
    <cellStyle name="Output 3 4 48 6" xfId="45219"/>
    <cellStyle name="Output 3 4 48 7" xfId="52486"/>
    <cellStyle name="Output 3 4 49" xfId="6768"/>
    <cellStyle name="Output 3 4 49 2" xfId="14485"/>
    <cellStyle name="Output 3 4 49 3" xfId="23478"/>
    <cellStyle name="Output 3 4 49 4" xfId="31665"/>
    <cellStyle name="Output 3 4 49 5" xfId="40944"/>
    <cellStyle name="Output 3 4 49 6" xfId="45330"/>
    <cellStyle name="Output 3 4 49 7" xfId="48129"/>
    <cellStyle name="Output 3 4 5" xfId="1400"/>
    <cellStyle name="Output 3 4 5 2" xfId="9223"/>
    <cellStyle name="Output 3 4 5 3" xfId="16651"/>
    <cellStyle name="Output 3 4 5 4" xfId="19111"/>
    <cellStyle name="Output 3 4 5 5" xfId="28079"/>
    <cellStyle name="Output 3 4 5 6" xfId="37198"/>
    <cellStyle name="Output 3 4 5 7" xfId="49912"/>
    <cellStyle name="Output 3 4 50" xfId="6883"/>
    <cellStyle name="Output 3 4 50 2" xfId="14600"/>
    <cellStyle name="Output 3 4 50 3" xfId="23593"/>
    <cellStyle name="Output 3 4 50 4" xfId="31780"/>
    <cellStyle name="Output 3 4 50 5" xfId="41053"/>
    <cellStyle name="Output 3 4 50 6" xfId="45445"/>
    <cellStyle name="Output 3 4 50 7" xfId="47062"/>
    <cellStyle name="Output 3 4 51" xfId="6996"/>
    <cellStyle name="Output 3 4 51 2" xfId="14713"/>
    <cellStyle name="Output 3 4 51 3" xfId="23706"/>
    <cellStyle name="Output 3 4 51 4" xfId="31893"/>
    <cellStyle name="Output 3 4 51 5" xfId="41161"/>
    <cellStyle name="Output 3 4 51 6" xfId="45558"/>
    <cellStyle name="Output 3 4 51 7" xfId="47206"/>
    <cellStyle name="Output 3 4 52" xfId="7106"/>
    <cellStyle name="Output 3 4 52 2" xfId="14823"/>
    <cellStyle name="Output 3 4 52 3" xfId="23816"/>
    <cellStyle name="Output 3 4 52 4" xfId="32003"/>
    <cellStyle name="Output 3 4 52 5" xfId="41265"/>
    <cellStyle name="Output 3 4 52 6" xfId="45668"/>
    <cellStyle name="Output 3 4 52 7" xfId="48568"/>
    <cellStyle name="Output 3 4 53" xfId="7170"/>
    <cellStyle name="Output 3 4 53 2" xfId="14887"/>
    <cellStyle name="Output 3 4 53 3" xfId="23880"/>
    <cellStyle name="Output 3 4 53 4" xfId="32067"/>
    <cellStyle name="Output 3 4 53 5" xfId="41329"/>
    <cellStyle name="Output 3 4 53 6" xfId="45732"/>
    <cellStyle name="Output 3 4 53 7" xfId="47931"/>
    <cellStyle name="Output 3 4 54" xfId="7211"/>
    <cellStyle name="Output 3 4 54 2" xfId="14928"/>
    <cellStyle name="Output 3 4 54 3" xfId="23921"/>
    <cellStyle name="Output 3 4 54 4" xfId="32108"/>
    <cellStyle name="Output 3 4 54 5" xfId="41368"/>
    <cellStyle name="Output 3 4 54 6" xfId="45773"/>
    <cellStyle name="Output 3 4 54 7" xfId="50232"/>
    <cellStyle name="Output 3 4 55" xfId="7503"/>
    <cellStyle name="Output 3 4 55 2" xfId="15220"/>
    <cellStyle name="Output 3 4 55 3" xfId="24213"/>
    <cellStyle name="Output 3 4 55 4" xfId="32400"/>
    <cellStyle name="Output 3 4 55 5" xfId="41648"/>
    <cellStyle name="Output 3 4 55 6" xfId="46065"/>
    <cellStyle name="Output 3 4 55 7" xfId="49924"/>
    <cellStyle name="Output 3 4 56" xfId="7624"/>
    <cellStyle name="Output 3 4 56 2" xfId="15341"/>
    <cellStyle name="Output 3 4 56 3" xfId="24334"/>
    <cellStyle name="Output 3 4 56 4" xfId="32521"/>
    <cellStyle name="Output 3 4 56 5" xfId="41763"/>
    <cellStyle name="Output 3 4 56 6" xfId="46186"/>
    <cellStyle name="Output 3 4 56 7" xfId="53728"/>
    <cellStyle name="Output 3 4 57" xfId="7901"/>
    <cellStyle name="Output 3 4 57 2" xfId="15618"/>
    <cellStyle name="Output 3 4 57 3" xfId="24605"/>
    <cellStyle name="Output 3 4 57 4" xfId="32798"/>
    <cellStyle name="Output 3 4 57 5" xfId="42029"/>
    <cellStyle name="Output 3 4 57 6" xfId="46463"/>
    <cellStyle name="Output 3 4 57 7" xfId="53053"/>
    <cellStyle name="Output 3 4 58" xfId="8029"/>
    <cellStyle name="Output 3 4 58 2" xfId="15746"/>
    <cellStyle name="Output 3 4 58 3" xfId="24731"/>
    <cellStyle name="Output 3 4 58 4" xfId="32926"/>
    <cellStyle name="Output 3 4 58 5" xfId="42151"/>
    <cellStyle name="Output 3 4 58 6" xfId="46591"/>
    <cellStyle name="Output 3 4 58 7" xfId="54260"/>
    <cellStyle name="Output 3 4 59" xfId="7929"/>
    <cellStyle name="Output 3 4 59 2" xfId="15646"/>
    <cellStyle name="Output 3 4 59 3" xfId="24633"/>
    <cellStyle name="Output 3 4 59 4" xfId="32826"/>
    <cellStyle name="Output 3 4 59 5" xfId="42057"/>
    <cellStyle name="Output 3 4 59 6" xfId="46491"/>
    <cellStyle name="Output 3 4 59 7" xfId="50030"/>
    <cellStyle name="Output 3 4 6" xfId="1523"/>
    <cellStyle name="Output 3 4 6 2" xfId="9346"/>
    <cellStyle name="Output 3 4 6 3" xfId="16774"/>
    <cellStyle name="Output 3 4 6 4" xfId="19127"/>
    <cellStyle name="Output 3 4 6 5" xfId="28482"/>
    <cellStyle name="Output 3 4 6 6" xfId="38844"/>
    <cellStyle name="Output 3 4 6 7" xfId="49881"/>
    <cellStyle name="Output 3 4 60" xfId="8176"/>
    <cellStyle name="Output 3 4 60 2" xfId="15893"/>
    <cellStyle name="Output 3 4 60 3" xfId="33073"/>
    <cellStyle name="Output 3 4 60 4" xfId="42292"/>
    <cellStyle name="Output 3 4 60 5" xfId="46738"/>
    <cellStyle name="Output 3 4 60 6" xfId="46878"/>
    <cellStyle name="Output 3 4 61" xfId="25908"/>
    <cellStyle name="Output 3 4 62" xfId="34504"/>
    <cellStyle name="Output 3 4 63" xfId="36300"/>
    <cellStyle name="Output 3 4 64" xfId="52796"/>
    <cellStyle name="Output 3 4 7" xfId="1143"/>
    <cellStyle name="Output 3 4 7 2" xfId="8966"/>
    <cellStyle name="Output 3 4 7 3" xfId="16394"/>
    <cellStyle name="Output 3 4 7 4" xfId="19059"/>
    <cellStyle name="Output 3 4 7 5" xfId="33168"/>
    <cellStyle name="Output 3 4 7 6" xfId="40507"/>
    <cellStyle name="Output 3 4 7 7" xfId="50472"/>
    <cellStyle name="Output 3 4 8" xfId="1760"/>
    <cellStyle name="Output 3 4 8 2" xfId="9583"/>
    <cellStyle name="Output 3 4 8 3" xfId="17011"/>
    <cellStyle name="Output 3 4 8 4" xfId="24927"/>
    <cellStyle name="Output 3 4 8 5" xfId="33257"/>
    <cellStyle name="Output 3 4 8 6" xfId="37649"/>
    <cellStyle name="Output 3 4 8 7" xfId="50626"/>
    <cellStyle name="Output 3 4 9" xfId="1893"/>
    <cellStyle name="Output 3 4 9 2" xfId="9716"/>
    <cellStyle name="Output 3 4 9 3" xfId="17144"/>
    <cellStyle name="Output 3 4 9 4" xfId="19571"/>
    <cellStyle name="Output 3 4 9 5" xfId="27476"/>
    <cellStyle name="Output 3 4 9 6" xfId="37751"/>
    <cellStyle name="Output 3 4 9 7" xfId="48755"/>
    <cellStyle name="Output 3 5" xfId="547"/>
    <cellStyle name="Output 3 5 10" xfId="1994"/>
    <cellStyle name="Output 3 5 10 2" xfId="9817"/>
    <cellStyle name="Output 3 5 10 3" xfId="17245"/>
    <cellStyle name="Output 3 5 10 4" xfId="26172"/>
    <cellStyle name="Output 3 5 10 5" xfId="34843"/>
    <cellStyle name="Output 3 5 10 6" xfId="40748"/>
    <cellStyle name="Output 3 5 10 7" xfId="53366"/>
    <cellStyle name="Output 3 5 11" xfId="2112"/>
    <cellStyle name="Output 3 5 11 2" xfId="9935"/>
    <cellStyle name="Output 3 5 11 3" xfId="17363"/>
    <cellStyle name="Output 3 5 11 4" xfId="26432"/>
    <cellStyle name="Output 3 5 11 5" xfId="35200"/>
    <cellStyle name="Output 3 5 11 6" xfId="38760"/>
    <cellStyle name="Output 3 5 11 7" xfId="53923"/>
    <cellStyle name="Output 3 5 12" xfId="2225"/>
    <cellStyle name="Output 3 5 12 2" xfId="10048"/>
    <cellStyle name="Output 3 5 12 3" xfId="17476"/>
    <cellStyle name="Output 3 5 12 4" xfId="19071"/>
    <cellStyle name="Output 3 5 12 5" xfId="33154"/>
    <cellStyle name="Output 3 5 12 6" xfId="42197"/>
    <cellStyle name="Output 3 5 12 7" xfId="50440"/>
    <cellStyle name="Output 3 5 13" xfId="2003"/>
    <cellStyle name="Output 3 5 13 2" xfId="9826"/>
    <cellStyle name="Output 3 5 13 3" xfId="17254"/>
    <cellStyle name="Output 3 5 13 4" xfId="25804"/>
    <cellStyle name="Output 3 5 13 5" xfId="34381"/>
    <cellStyle name="Output 3 5 13 6" xfId="36987"/>
    <cellStyle name="Output 3 5 13 7" xfId="52576"/>
    <cellStyle name="Output 3 5 14" xfId="2306"/>
    <cellStyle name="Output 3 5 14 2" xfId="10129"/>
    <cellStyle name="Output 3 5 14 3" xfId="17557"/>
    <cellStyle name="Output 3 5 14 4" xfId="19177"/>
    <cellStyle name="Output 3 5 14 5" xfId="26910"/>
    <cellStyle name="Output 3 5 14 6" xfId="36687"/>
    <cellStyle name="Output 3 5 14 7" xfId="49182"/>
    <cellStyle name="Output 3 5 15" xfId="2523"/>
    <cellStyle name="Output 3 5 15 2" xfId="10346"/>
    <cellStyle name="Output 3 5 15 3" xfId="17774"/>
    <cellStyle name="Output 3 5 15 4" xfId="20621"/>
    <cellStyle name="Output 3 5 15 5" xfId="27641"/>
    <cellStyle name="Output 3 5 15 6" xfId="41549"/>
    <cellStyle name="Output 3 5 15 7" xfId="47955"/>
    <cellStyle name="Output 3 5 16" xfId="2636"/>
    <cellStyle name="Output 3 5 16 2" xfId="10459"/>
    <cellStyle name="Output 3 5 16 3" xfId="17887"/>
    <cellStyle name="Output 3 5 16 4" xfId="25798"/>
    <cellStyle name="Output 3 5 16 5" xfId="34371"/>
    <cellStyle name="Output 3 5 16 6" xfId="38770"/>
    <cellStyle name="Output 3 5 16 7" xfId="52559"/>
    <cellStyle name="Output 3 5 17" xfId="2387"/>
    <cellStyle name="Output 3 5 17 2" xfId="10210"/>
    <cellStyle name="Output 3 5 17 3" xfId="17638"/>
    <cellStyle name="Output 3 5 17 4" xfId="24985"/>
    <cellStyle name="Output 3 5 17 5" xfId="33329"/>
    <cellStyle name="Output 3 5 17 6" xfId="41012"/>
    <cellStyle name="Output 3 5 17 7" xfId="50759"/>
    <cellStyle name="Output 3 5 18" xfId="2729"/>
    <cellStyle name="Output 3 5 18 2" xfId="10552"/>
    <cellStyle name="Output 3 5 18 3" xfId="17980"/>
    <cellStyle name="Output 3 5 18 4" xfId="19496"/>
    <cellStyle name="Output 3 5 18 5" xfId="27143"/>
    <cellStyle name="Output 3 5 18 6" xfId="36910"/>
    <cellStyle name="Output 3 5 18 7" xfId="50001"/>
    <cellStyle name="Output 3 5 19" xfId="2829"/>
    <cellStyle name="Output 3 5 19 2" xfId="10652"/>
    <cellStyle name="Output 3 5 19 3" xfId="18080"/>
    <cellStyle name="Output 3 5 19 4" xfId="26176"/>
    <cellStyle name="Output 3 5 19 5" xfId="34848"/>
    <cellStyle name="Output 3 5 19 6" xfId="41496"/>
    <cellStyle name="Output 3 5 19 7" xfId="53373"/>
    <cellStyle name="Output 3 5 2" xfId="697"/>
    <cellStyle name="Output 3 5 2 2" xfId="8521"/>
    <cellStyle name="Output 3 5 2 3" xfId="15949"/>
    <cellStyle name="Output 3 5 2 4" xfId="26543"/>
    <cellStyle name="Output 3 5 2 5" xfId="35346"/>
    <cellStyle name="Output 3 5 2 6" xfId="38094"/>
    <cellStyle name="Output 3 5 2 7" xfId="54159"/>
    <cellStyle name="Output 3 5 20" xfId="2936"/>
    <cellStyle name="Output 3 5 20 2" xfId="10759"/>
    <cellStyle name="Output 3 5 20 3" xfId="18187"/>
    <cellStyle name="Output 3 5 20 4" xfId="25795"/>
    <cellStyle name="Output 3 5 20 5" xfId="34366"/>
    <cellStyle name="Output 3 5 20 6" xfId="40284"/>
    <cellStyle name="Output 3 5 20 7" xfId="52551"/>
    <cellStyle name="Output 3 5 21" xfId="3312"/>
    <cellStyle name="Output 3 5 21 2" xfId="11105"/>
    <cellStyle name="Output 3 5 21 3" xfId="18434"/>
    <cellStyle name="Output 3 5 21 4" xfId="20689"/>
    <cellStyle name="Output 3 5 21 5" xfId="27585"/>
    <cellStyle name="Output 3 5 21 6" xfId="38427"/>
    <cellStyle name="Output 3 5 21 7" xfId="47499"/>
    <cellStyle name="Output 3 5 22" xfId="3432"/>
    <cellStyle name="Output 3 5 22 2" xfId="11223"/>
    <cellStyle name="Output 3 5 22 3" xfId="18545"/>
    <cellStyle name="Output 3 5 22 4" xfId="26639"/>
    <cellStyle name="Output 3 5 22 5" xfId="35475"/>
    <cellStyle name="Output 3 5 22 6" xfId="41024"/>
    <cellStyle name="Output 3 5 22 7" xfId="54363"/>
    <cellStyle name="Output 3 5 23" xfId="2981"/>
    <cellStyle name="Output 3 5 23 2" xfId="10803"/>
    <cellStyle name="Output 3 5 23 3" xfId="18230"/>
    <cellStyle name="Output 3 5 23 4" xfId="20115"/>
    <cellStyle name="Output 3 5 23 5" xfId="28127"/>
    <cellStyle name="Output 3 5 23 6" xfId="36983"/>
    <cellStyle name="Output 3 5 23 7" xfId="49660"/>
    <cellStyle name="Output 3 5 24" xfId="3703"/>
    <cellStyle name="Output 3 5 24 2" xfId="11488"/>
    <cellStyle name="Output 3 5 24 3" xfId="18761"/>
    <cellStyle name="Output 3 5 24 4" xfId="20125"/>
    <cellStyle name="Output 3 5 24 5" xfId="27951"/>
    <cellStyle name="Output 3 5 24 6" xfId="39394"/>
    <cellStyle name="Output 3 5 24 7" xfId="47746"/>
    <cellStyle name="Output 3 5 25" xfId="3833"/>
    <cellStyle name="Output 3 5 25 2" xfId="11615"/>
    <cellStyle name="Output 3 5 25 3" xfId="18872"/>
    <cellStyle name="Output 3 5 25 4" xfId="25138"/>
    <cellStyle name="Output 3 5 25 5" xfId="33511"/>
    <cellStyle name="Output 3 5 25 6" xfId="38554"/>
    <cellStyle name="Output 3 5 25 7" xfId="51085"/>
    <cellStyle name="Output 3 5 26" xfId="3951"/>
    <cellStyle name="Output 3 5 26 2" xfId="11731"/>
    <cellStyle name="Output 3 5 26 3" xfId="18981"/>
    <cellStyle name="Output 3 5 26 4" xfId="19524"/>
    <cellStyle name="Output 3 5 26 5" xfId="27274"/>
    <cellStyle name="Output 3 5 26 6" xfId="41592"/>
    <cellStyle name="Output 3 5 26 7" xfId="48558"/>
    <cellStyle name="Output 3 5 27" xfId="3526"/>
    <cellStyle name="Output 3 5 27 2" xfId="11317"/>
    <cellStyle name="Output 3 5 27 3" xfId="20498"/>
    <cellStyle name="Output 3 5 27 4" xfId="28623"/>
    <cellStyle name="Output 3 5 27 5" xfId="37999"/>
    <cellStyle name="Output 3 5 27 6" xfId="42496"/>
    <cellStyle name="Output 3 5 27 7" xfId="52364"/>
    <cellStyle name="Output 3 5 28" xfId="4148"/>
    <cellStyle name="Output 3 5 28 2" xfId="11907"/>
    <cellStyle name="Output 3 5 28 3" xfId="20858"/>
    <cellStyle name="Output 3 5 28 4" xfId="29045"/>
    <cellStyle name="Output 3 5 28 5" xfId="38421"/>
    <cellStyle name="Output 3 5 28 6" xfId="42710"/>
    <cellStyle name="Output 3 5 28 7" xfId="47373"/>
    <cellStyle name="Output 3 5 29" xfId="4237"/>
    <cellStyle name="Output 3 5 29 2" xfId="20947"/>
    <cellStyle name="Output 3 5 29 3" xfId="29134"/>
    <cellStyle name="Output 3 5 29 4" xfId="38508"/>
    <cellStyle name="Output 3 5 29 5" xfId="42799"/>
    <cellStyle name="Output 3 5 29 6" xfId="49480"/>
    <cellStyle name="Output 3 5 3" xfId="805"/>
    <cellStyle name="Output 3 5 3 2" xfId="8629"/>
    <cellStyle name="Output 3 5 3 3" xfId="16057"/>
    <cellStyle name="Output 3 5 3 4" xfId="20539"/>
    <cellStyle name="Output 3 5 3 5" xfId="28384"/>
    <cellStyle name="Output 3 5 3 6" xfId="36961"/>
    <cellStyle name="Output 3 5 3 7" xfId="48261"/>
    <cellStyle name="Output 3 5 30" xfId="4345"/>
    <cellStyle name="Output 3 5 30 2" xfId="12062"/>
    <cellStyle name="Output 3 5 30 3" xfId="21055"/>
    <cellStyle name="Output 3 5 30 4" xfId="29242"/>
    <cellStyle name="Output 3 5 30 5" xfId="38612"/>
    <cellStyle name="Output 3 5 30 6" xfId="42907"/>
    <cellStyle name="Output 3 5 30 7" xfId="54473"/>
    <cellStyle name="Output 3 5 31" xfId="4468"/>
    <cellStyle name="Output 3 5 31 2" xfId="12185"/>
    <cellStyle name="Output 3 5 31 3" xfId="21178"/>
    <cellStyle name="Output 3 5 31 4" xfId="29365"/>
    <cellStyle name="Output 3 5 31 5" xfId="38730"/>
    <cellStyle name="Output 3 5 31 6" xfId="43030"/>
    <cellStyle name="Output 3 5 31 7" xfId="48512"/>
    <cellStyle name="Output 3 5 32" xfId="4582"/>
    <cellStyle name="Output 3 5 32 2" xfId="12299"/>
    <cellStyle name="Output 3 5 32 3" xfId="21292"/>
    <cellStyle name="Output 3 5 32 4" xfId="29479"/>
    <cellStyle name="Output 3 5 32 5" xfId="38839"/>
    <cellStyle name="Output 3 5 32 6" xfId="43144"/>
    <cellStyle name="Output 3 5 32 7" xfId="51483"/>
    <cellStyle name="Output 3 5 33" xfId="4695"/>
    <cellStyle name="Output 3 5 33 2" xfId="12412"/>
    <cellStyle name="Output 3 5 33 3" xfId="21405"/>
    <cellStyle name="Output 3 5 33 4" xfId="29592"/>
    <cellStyle name="Output 3 5 33 5" xfId="38948"/>
    <cellStyle name="Output 3 5 33 6" xfId="43257"/>
    <cellStyle name="Output 3 5 33 7" xfId="50085"/>
    <cellStyle name="Output 3 5 34" xfId="4806"/>
    <cellStyle name="Output 3 5 34 2" xfId="12523"/>
    <cellStyle name="Output 3 5 34 3" xfId="21516"/>
    <cellStyle name="Output 3 5 34 4" xfId="29703"/>
    <cellStyle name="Output 3 5 34 5" xfId="39056"/>
    <cellStyle name="Output 3 5 34 6" xfId="43368"/>
    <cellStyle name="Output 3 5 34 7" xfId="51014"/>
    <cellStyle name="Output 3 5 35" xfId="4915"/>
    <cellStyle name="Output 3 5 35 2" xfId="12632"/>
    <cellStyle name="Output 3 5 35 3" xfId="21625"/>
    <cellStyle name="Output 3 5 35 4" xfId="29812"/>
    <cellStyle name="Output 3 5 35 5" xfId="39160"/>
    <cellStyle name="Output 3 5 35 6" xfId="43477"/>
    <cellStyle name="Output 3 5 35 7" xfId="47007"/>
    <cellStyle name="Output 3 5 36" xfId="5026"/>
    <cellStyle name="Output 3 5 36 2" xfId="12743"/>
    <cellStyle name="Output 3 5 36 3" xfId="21736"/>
    <cellStyle name="Output 3 5 36 4" xfId="29923"/>
    <cellStyle name="Output 3 5 36 5" xfId="39268"/>
    <cellStyle name="Output 3 5 36 6" xfId="43588"/>
    <cellStyle name="Output 3 5 36 7" xfId="51370"/>
    <cellStyle name="Output 3 5 37" xfId="5405"/>
    <cellStyle name="Output 3 5 37 2" xfId="13122"/>
    <cellStyle name="Output 3 5 37 3" xfId="22115"/>
    <cellStyle name="Output 3 5 37 4" xfId="30302"/>
    <cellStyle name="Output 3 5 37 5" xfId="39632"/>
    <cellStyle name="Output 3 5 37 6" xfId="43967"/>
    <cellStyle name="Output 3 5 37 7" xfId="50628"/>
    <cellStyle name="Output 3 5 38" xfId="5525"/>
    <cellStyle name="Output 3 5 38 2" xfId="13242"/>
    <cellStyle name="Output 3 5 38 3" xfId="22235"/>
    <cellStyle name="Output 3 5 38 4" xfId="30422"/>
    <cellStyle name="Output 3 5 38 5" xfId="39746"/>
    <cellStyle name="Output 3 5 38 6" xfId="44087"/>
    <cellStyle name="Output 3 5 38 7" xfId="50078"/>
    <cellStyle name="Output 3 5 39" xfId="5649"/>
    <cellStyle name="Output 3 5 39 2" xfId="13366"/>
    <cellStyle name="Output 3 5 39 3" xfId="22359"/>
    <cellStyle name="Output 3 5 39 4" xfId="30546"/>
    <cellStyle name="Output 3 5 39 5" xfId="39866"/>
    <cellStyle name="Output 3 5 39 6" xfId="44211"/>
    <cellStyle name="Output 3 5 39 7" xfId="47198"/>
    <cellStyle name="Output 3 5 4" xfId="916"/>
    <cellStyle name="Output 3 5 4 2" xfId="8740"/>
    <cellStyle name="Output 3 5 4 3" xfId="16168"/>
    <cellStyle name="Output 3 5 4 4" xfId="25720"/>
    <cellStyle name="Output 3 5 4 5" xfId="34264"/>
    <cellStyle name="Output 3 5 4 6" xfId="37887"/>
    <cellStyle name="Output 3 5 4 7" xfId="52360"/>
    <cellStyle name="Output 3 5 40" xfId="5765"/>
    <cellStyle name="Output 3 5 40 2" xfId="13482"/>
    <cellStyle name="Output 3 5 40 3" xfId="22475"/>
    <cellStyle name="Output 3 5 40 4" xfId="30662"/>
    <cellStyle name="Output 3 5 40 5" xfId="39978"/>
    <cellStyle name="Output 3 5 40 6" xfId="44327"/>
    <cellStyle name="Output 3 5 40 7" xfId="50680"/>
    <cellStyle name="Output 3 5 41" xfId="5881"/>
    <cellStyle name="Output 3 5 41 2" xfId="13598"/>
    <cellStyle name="Output 3 5 41 3" xfId="22591"/>
    <cellStyle name="Output 3 5 41 4" xfId="30778"/>
    <cellStyle name="Output 3 5 41 5" xfId="40091"/>
    <cellStyle name="Output 3 5 41 6" xfId="44443"/>
    <cellStyle name="Output 3 5 41 7" xfId="51180"/>
    <cellStyle name="Output 3 5 42" xfId="6010"/>
    <cellStyle name="Output 3 5 42 2" xfId="13727"/>
    <cellStyle name="Output 3 5 42 3" xfId="22720"/>
    <cellStyle name="Output 3 5 42 4" xfId="30907"/>
    <cellStyle name="Output 3 5 42 5" xfId="40215"/>
    <cellStyle name="Output 3 5 42 6" xfId="44572"/>
    <cellStyle name="Output 3 5 42 7" xfId="53398"/>
    <cellStyle name="Output 3 5 43" xfId="6137"/>
    <cellStyle name="Output 3 5 43 2" xfId="13854"/>
    <cellStyle name="Output 3 5 43 3" xfId="22847"/>
    <cellStyle name="Output 3 5 43 4" xfId="31034"/>
    <cellStyle name="Output 3 5 43 5" xfId="40335"/>
    <cellStyle name="Output 3 5 43 6" xfId="44699"/>
    <cellStyle name="Output 3 5 43 7" xfId="48483"/>
    <cellStyle name="Output 3 5 44" xfId="6266"/>
    <cellStyle name="Output 3 5 44 2" xfId="13983"/>
    <cellStyle name="Output 3 5 44 3" xfId="22976"/>
    <cellStyle name="Output 3 5 44 4" xfId="31163"/>
    <cellStyle name="Output 3 5 44 5" xfId="40463"/>
    <cellStyle name="Output 3 5 44 6" xfId="44828"/>
    <cellStyle name="Output 3 5 44 7" xfId="47273"/>
    <cellStyle name="Output 3 5 45" xfId="6382"/>
    <cellStyle name="Output 3 5 45 2" xfId="14099"/>
    <cellStyle name="Output 3 5 45 3" xfId="23092"/>
    <cellStyle name="Output 3 5 45 4" xfId="31279"/>
    <cellStyle name="Output 3 5 45 5" xfId="40576"/>
    <cellStyle name="Output 3 5 45 6" xfId="44944"/>
    <cellStyle name="Output 3 5 45 7" xfId="51907"/>
    <cellStyle name="Output 3 5 46" xfId="6493"/>
    <cellStyle name="Output 3 5 46 2" xfId="14210"/>
    <cellStyle name="Output 3 5 46 3" xfId="23203"/>
    <cellStyle name="Output 3 5 46 4" xfId="31390"/>
    <cellStyle name="Output 3 5 46 5" xfId="40683"/>
    <cellStyle name="Output 3 5 46 6" xfId="45055"/>
    <cellStyle name="Output 3 5 46 7" xfId="53758"/>
    <cellStyle name="Output 3 5 47" xfId="5938"/>
    <cellStyle name="Output 3 5 47 2" xfId="13655"/>
    <cellStyle name="Output 3 5 47 3" xfId="22648"/>
    <cellStyle name="Output 3 5 47 4" xfId="30835"/>
    <cellStyle name="Output 3 5 47 5" xfId="40146"/>
    <cellStyle name="Output 3 5 47 6" xfId="44500"/>
    <cellStyle name="Output 3 5 47 7" xfId="53531"/>
    <cellStyle name="Output 3 5 48" xfId="6639"/>
    <cellStyle name="Output 3 5 48 2" xfId="14356"/>
    <cellStyle name="Output 3 5 48 3" xfId="23349"/>
    <cellStyle name="Output 3 5 48 4" xfId="31536"/>
    <cellStyle name="Output 3 5 48 5" xfId="40822"/>
    <cellStyle name="Output 3 5 48 6" xfId="45201"/>
    <cellStyle name="Output 3 5 48 7" xfId="54085"/>
    <cellStyle name="Output 3 5 49" xfId="6751"/>
    <cellStyle name="Output 3 5 49 2" xfId="14468"/>
    <cellStyle name="Output 3 5 49 3" xfId="23461"/>
    <cellStyle name="Output 3 5 49 4" xfId="31648"/>
    <cellStyle name="Output 3 5 49 5" xfId="40928"/>
    <cellStyle name="Output 3 5 49 6" xfId="45313"/>
    <cellStyle name="Output 3 5 49 7" xfId="49510"/>
    <cellStyle name="Output 3 5 5" xfId="1382"/>
    <cellStyle name="Output 3 5 5 2" xfId="9205"/>
    <cellStyle name="Output 3 5 5 3" xfId="16633"/>
    <cellStyle name="Output 3 5 5 4" xfId="25558"/>
    <cellStyle name="Output 3 5 5 5" xfId="34054"/>
    <cellStyle name="Output 3 5 5 6" xfId="38371"/>
    <cellStyle name="Output 3 5 5 7" xfId="51998"/>
    <cellStyle name="Output 3 5 50" xfId="6866"/>
    <cellStyle name="Output 3 5 50 2" xfId="14583"/>
    <cellStyle name="Output 3 5 50 3" xfId="23576"/>
    <cellStyle name="Output 3 5 50 4" xfId="31763"/>
    <cellStyle name="Output 3 5 50 5" xfId="41036"/>
    <cellStyle name="Output 3 5 50 6" xfId="45428"/>
    <cellStyle name="Output 3 5 50 7" xfId="47068"/>
    <cellStyle name="Output 3 5 51" xfId="6979"/>
    <cellStyle name="Output 3 5 51 2" xfId="14696"/>
    <cellStyle name="Output 3 5 51 3" xfId="23689"/>
    <cellStyle name="Output 3 5 51 4" xfId="31876"/>
    <cellStyle name="Output 3 5 51 5" xfId="41144"/>
    <cellStyle name="Output 3 5 51 6" xfId="45541"/>
    <cellStyle name="Output 3 5 51 7" xfId="47023"/>
    <cellStyle name="Output 3 5 52" xfId="7090"/>
    <cellStyle name="Output 3 5 52 2" xfId="14807"/>
    <cellStyle name="Output 3 5 52 3" xfId="23800"/>
    <cellStyle name="Output 3 5 52 4" xfId="31987"/>
    <cellStyle name="Output 3 5 52 5" xfId="41249"/>
    <cellStyle name="Output 3 5 52 6" xfId="45652"/>
    <cellStyle name="Output 3 5 52 7" xfId="49699"/>
    <cellStyle name="Output 3 5 53" xfId="7187"/>
    <cellStyle name="Output 3 5 53 2" xfId="14904"/>
    <cellStyle name="Output 3 5 53 3" xfId="23897"/>
    <cellStyle name="Output 3 5 53 4" xfId="32084"/>
    <cellStyle name="Output 3 5 53 5" xfId="41345"/>
    <cellStyle name="Output 3 5 53 6" xfId="45749"/>
    <cellStyle name="Output 3 5 53 7" xfId="52863"/>
    <cellStyle name="Output 3 5 54" xfId="7334"/>
    <cellStyle name="Output 3 5 54 2" xfId="15051"/>
    <cellStyle name="Output 3 5 54 3" xfId="24044"/>
    <cellStyle name="Output 3 5 54 4" xfId="32231"/>
    <cellStyle name="Output 3 5 54 5" xfId="41487"/>
    <cellStyle name="Output 3 5 54 6" xfId="45896"/>
    <cellStyle name="Output 3 5 54 7" xfId="53086"/>
    <cellStyle name="Output 3 5 55" xfId="7487"/>
    <cellStyle name="Output 3 5 55 2" xfId="15204"/>
    <cellStyle name="Output 3 5 55 3" xfId="24197"/>
    <cellStyle name="Output 3 5 55 4" xfId="32384"/>
    <cellStyle name="Output 3 5 55 5" xfId="41632"/>
    <cellStyle name="Output 3 5 55 6" xfId="46049"/>
    <cellStyle name="Output 3 5 55 7" xfId="51544"/>
    <cellStyle name="Output 3 5 56" xfId="7608"/>
    <cellStyle name="Output 3 5 56 2" xfId="15325"/>
    <cellStyle name="Output 3 5 56 3" xfId="24318"/>
    <cellStyle name="Output 3 5 56 4" xfId="32505"/>
    <cellStyle name="Output 3 5 56 5" xfId="41747"/>
    <cellStyle name="Output 3 5 56 6" xfId="46170"/>
    <cellStyle name="Output 3 5 56 7" xfId="46880"/>
    <cellStyle name="Output 3 5 57" xfId="7884"/>
    <cellStyle name="Output 3 5 57 2" xfId="15601"/>
    <cellStyle name="Output 3 5 57 3" xfId="24588"/>
    <cellStyle name="Output 3 5 57 4" xfId="32781"/>
    <cellStyle name="Output 3 5 57 5" xfId="42012"/>
    <cellStyle name="Output 3 5 57 6" xfId="46446"/>
    <cellStyle name="Output 3 5 57 7" xfId="48549"/>
    <cellStyle name="Output 3 5 58" xfId="8012"/>
    <cellStyle name="Output 3 5 58 2" xfId="15729"/>
    <cellStyle name="Output 3 5 58 3" xfId="24714"/>
    <cellStyle name="Output 3 5 58 4" xfId="32909"/>
    <cellStyle name="Output 3 5 58 5" xfId="42135"/>
    <cellStyle name="Output 3 5 58 6" xfId="46574"/>
    <cellStyle name="Output 3 5 58 7" xfId="48633"/>
    <cellStyle name="Output 3 5 59" xfId="8008"/>
    <cellStyle name="Output 3 5 59 2" xfId="15725"/>
    <cellStyle name="Output 3 5 59 3" xfId="24710"/>
    <cellStyle name="Output 3 5 59 4" xfId="32905"/>
    <cellStyle name="Output 3 5 59 5" xfId="42131"/>
    <cellStyle name="Output 3 5 59 6" xfId="46570"/>
    <cellStyle name="Output 3 5 59 7" xfId="47784"/>
    <cellStyle name="Output 3 5 6" xfId="1505"/>
    <cellStyle name="Output 3 5 6 2" xfId="9328"/>
    <cellStyle name="Output 3 5 6 3" xfId="16756"/>
    <cellStyle name="Output 3 5 6 4" xfId="25541"/>
    <cellStyle name="Output 3 5 6 5" xfId="34032"/>
    <cellStyle name="Output 3 5 6 6" xfId="36785"/>
    <cellStyle name="Output 3 5 6 7" xfId="51966"/>
    <cellStyle name="Output 3 5 60" xfId="8160"/>
    <cellStyle name="Output 3 5 60 2" xfId="15877"/>
    <cellStyle name="Output 3 5 60 3" xfId="33057"/>
    <cellStyle name="Output 3 5 60 4" xfId="42276"/>
    <cellStyle name="Output 3 5 60 5" xfId="46722"/>
    <cellStyle name="Output 3 5 60 6" xfId="47912"/>
    <cellStyle name="Output 3 5 61" xfId="20010"/>
    <cellStyle name="Output 3 5 62" xfId="27599"/>
    <cellStyle name="Output 3 5 63" xfId="36293"/>
    <cellStyle name="Output 3 5 64" xfId="48269"/>
    <cellStyle name="Output 3 5 7" xfId="1144"/>
    <cellStyle name="Output 3 5 7 2" xfId="8967"/>
    <cellStyle name="Output 3 5 7 3" xfId="16395"/>
    <cellStyle name="Output 3 5 7 4" xfId="19355"/>
    <cellStyle name="Output 3 5 7 5" xfId="26780"/>
    <cellStyle name="Output 3 5 7 6" xfId="40685"/>
    <cellStyle name="Output 3 5 7 7" xfId="50361"/>
    <cellStyle name="Output 3 5 8" xfId="1742"/>
    <cellStyle name="Output 3 5 8 2" xfId="9565"/>
    <cellStyle name="Output 3 5 8 3" xfId="16993"/>
    <cellStyle name="Output 3 5 8 4" xfId="24854"/>
    <cellStyle name="Output 3 5 8 5" xfId="27035"/>
    <cellStyle name="Output 3 5 8 6" xfId="40575"/>
    <cellStyle name="Output 3 5 8 7" xfId="49919"/>
    <cellStyle name="Output 3 5 9" xfId="1876"/>
    <cellStyle name="Output 3 5 9 2" xfId="9699"/>
    <cellStyle name="Output 3 5 9 3" xfId="17127"/>
    <cellStyle name="Output 3 5 9 4" xfId="24907"/>
    <cellStyle name="Output 3 5 9 5" xfId="33229"/>
    <cellStyle name="Output 3 5 9 6" xfId="36522"/>
    <cellStyle name="Output 3 5 9 7" xfId="50578"/>
    <cellStyle name="Output 3 6" xfId="593"/>
    <cellStyle name="Output 3 6 10" xfId="2039"/>
    <cellStyle name="Output 3 6 10 2" xfId="9862"/>
    <cellStyle name="Output 3 6 10 3" xfId="17290"/>
    <cellStyle name="Output 3 6 10 4" xfId="19304"/>
    <cellStyle name="Output 3 6 10 5" xfId="28033"/>
    <cellStyle name="Output 3 6 10 6" xfId="38756"/>
    <cellStyle name="Output 3 6 10 7" xfId="48657"/>
    <cellStyle name="Output 3 6 11" xfId="2153"/>
    <cellStyle name="Output 3 6 11 2" xfId="9976"/>
    <cellStyle name="Output 3 6 11 3" xfId="17404"/>
    <cellStyle name="Output 3 6 11 4" xfId="19637"/>
    <cellStyle name="Output 3 6 11 5" xfId="28717"/>
    <cellStyle name="Output 3 6 11 6" xfId="42094"/>
    <cellStyle name="Output 3 6 11 7" xfId="49417"/>
    <cellStyle name="Output 3 6 12" xfId="2270"/>
    <cellStyle name="Output 3 6 12 2" xfId="10093"/>
    <cellStyle name="Output 3 6 12 3" xfId="17521"/>
    <cellStyle name="Output 3 6 12 4" xfId="26039"/>
    <cellStyle name="Output 3 6 12 5" xfId="34673"/>
    <cellStyle name="Output 3 6 12 6" xfId="37868"/>
    <cellStyle name="Output 3 6 12 7" xfId="53074"/>
    <cellStyle name="Output 3 6 13" xfId="1614"/>
    <cellStyle name="Output 3 6 13 2" xfId="9437"/>
    <cellStyle name="Output 3 6 13 3" xfId="16865"/>
    <cellStyle name="Output 3 6 13 4" xfId="20517"/>
    <cellStyle name="Output 3 6 13 5" xfId="28100"/>
    <cellStyle name="Output 3 6 13 6" xfId="37483"/>
    <cellStyle name="Output 3 6 13 7" xfId="48625"/>
    <cellStyle name="Output 3 6 14" xfId="976"/>
    <cellStyle name="Output 3 6 14 2" xfId="8800"/>
    <cellStyle name="Output 3 6 14 3" xfId="16228"/>
    <cellStyle name="Output 3 6 14 4" xfId="26100"/>
    <cellStyle name="Output 3 6 14 5" xfId="34753"/>
    <cellStyle name="Output 3 6 14 6" xfId="36921"/>
    <cellStyle name="Output 3 6 14 7" xfId="53210"/>
    <cellStyle name="Output 3 6 15" xfId="2566"/>
    <cellStyle name="Output 3 6 15 2" xfId="10389"/>
    <cellStyle name="Output 3 6 15 3" xfId="17817"/>
    <cellStyle name="Output 3 6 15 4" xfId="26028"/>
    <cellStyle name="Output 3 6 15 5" xfId="34658"/>
    <cellStyle name="Output 3 6 15 6" xfId="36493"/>
    <cellStyle name="Output 3 6 15 7" xfId="53051"/>
    <cellStyle name="Output 3 6 16" xfId="2680"/>
    <cellStyle name="Output 3 6 16 2" xfId="10503"/>
    <cellStyle name="Output 3 6 16 3" xfId="17931"/>
    <cellStyle name="Output 3 6 16 4" xfId="25996"/>
    <cellStyle name="Output 3 6 16 5" xfId="34618"/>
    <cellStyle name="Output 3 6 16 6" xfId="41953"/>
    <cellStyle name="Output 3 6 16 7" xfId="52984"/>
    <cellStyle name="Output 3 6 17" xfId="1795"/>
    <cellStyle name="Output 3 6 17 2" xfId="9618"/>
    <cellStyle name="Output 3 6 17 3" xfId="17046"/>
    <cellStyle name="Output 3 6 17 4" xfId="25393"/>
    <cellStyle name="Output 3 6 17 5" xfId="33841"/>
    <cellStyle name="Output 3 6 17 6" xfId="41442"/>
    <cellStyle name="Output 3 6 17 7" xfId="51627"/>
    <cellStyle name="Output 3 6 18" xfId="2389"/>
    <cellStyle name="Output 3 6 18 2" xfId="10212"/>
    <cellStyle name="Output 3 6 18 3" xfId="17640"/>
    <cellStyle name="Output 3 6 18 4" xfId="19965"/>
    <cellStyle name="Output 3 6 18 5" xfId="33108"/>
    <cellStyle name="Output 3 6 18 6" xfId="40799"/>
    <cellStyle name="Output 3 6 18 7" xfId="49689"/>
    <cellStyle name="Output 3 6 19" xfId="2869"/>
    <cellStyle name="Output 3 6 19 2" xfId="10692"/>
    <cellStyle name="Output 3 6 19 3" xfId="18120"/>
    <cellStyle name="Output 3 6 19 4" xfId="25534"/>
    <cellStyle name="Output 3 6 19 5" xfId="34023"/>
    <cellStyle name="Output 3 6 19 6" xfId="36426"/>
    <cellStyle name="Output 3 6 19 7" xfId="51953"/>
    <cellStyle name="Output 3 6 2" xfId="736"/>
    <cellStyle name="Output 3 6 2 2" xfId="8560"/>
    <cellStyle name="Output 3 6 2 3" xfId="15988"/>
    <cellStyle name="Output 3 6 2 4" xfId="19118"/>
    <cellStyle name="Output 3 6 2 5" xfId="26984"/>
    <cellStyle name="Output 3 6 2 6" xfId="37211"/>
    <cellStyle name="Output 3 6 2 7" xfId="49854"/>
    <cellStyle name="Output 3 6 20" xfId="2975"/>
    <cellStyle name="Output 3 6 20 2" xfId="10798"/>
    <cellStyle name="Output 3 6 20 3" xfId="18226"/>
    <cellStyle name="Output 3 6 20 4" xfId="25062"/>
    <cellStyle name="Output 3 6 20 5" xfId="33422"/>
    <cellStyle name="Output 3 6 20 6" xfId="36576"/>
    <cellStyle name="Output 3 6 20 7" xfId="50933"/>
    <cellStyle name="Output 3 6 21" xfId="3356"/>
    <cellStyle name="Output 3 6 21 2" xfId="11149"/>
    <cellStyle name="Output 3 6 21 3" xfId="18475"/>
    <cellStyle name="Output 3 6 21 4" xfId="19386"/>
    <cellStyle name="Output 3 6 21 5" xfId="28541"/>
    <cellStyle name="Output 3 6 21 6" xfId="41334"/>
    <cellStyle name="Output 3 6 21 7" xfId="47896"/>
    <cellStyle name="Output 3 6 22" xfId="3475"/>
    <cellStyle name="Output 3 6 22 2" xfId="11266"/>
    <cellStyle name="Output 3 6 22 3" xfId="18585"/>
    <cellStyle name="Output 3 6 22 4" xfId="20557"/>
    <cellStyle name="Output 3 6 22 5" xfId="28133"/>
    <cellStyle name="Output 3 6 22 6" xfId="36579"/>
    <cellStyle name="Output 3 6 22 7" xfId="50052"/>
    <cellStyle name="Output 3 6 23" xfId="3633"/>
    <cellStyle name="Output 3 6 23 2" xfId="11418"/>
    <cellStyle name="Output 3 6 23 3" xfId="18691"/>
    <cellStyle name="Output 3 6 23 4" xfId="19360"/>
    <cellStyle name="Output 3 6 23 5" xfId="28493"/>
    <cellStyle name="Output 3 6 23 6" xfId="41828"/>
    <cellStyle name="Output 3 6 23 7" xfId="48728"/>
    <cellStyle name="Output 3 6 24" xfId="3748"/>
    <cellStyle name="Output 3 6 24 2" xfId="11533"/>
    <cellStyle name="Output 3 6 24 3" xfId="18803"/>
    <cellStyle name="Output 3 6 24 4" xfId="26145"/>
    <cellStyle name="Output 3 6 24 5" xfId="34811"/>
    <cellStyle name="Output 3 6 24 6" xfId="40044"/>
    <cellStyle name="Output 3 6 24 7" xfId="53308"/>
    <cellStyle name="Output 3 6 25" xfId="3877"/>
    <cellStyle name="Output 3 6 25 2" xfId="11658"/>
    <cellStyle name="Output 3 6 25 3" xfId="18912"/>
    <cellStyle name="Output 3 6 25 4" xfId="26358"/>
    <cellStyle name="Output 3 6 25 5" xfId="35090"/>
    <cellStyle name="Output 3 6 25 6" xfId="41695"/>
    <cellStyle name="Output 3 6 25 7" xfId="53752"/>
    <cellStyle name="Output 3 6 26" xfId="3996"/>
    <cellStyle name="Output 3 6 26 2" xfId="11775"/>
    <cellStyle name="Output 3 6 26 3" xfId="19020"/>
    <cellStyle name="Output 3 6 26 4" xfId="20127"/>
    <cellStyle name="Output 3 6 26 5" xfId="28856"/>
    <cellStyle name="Output 3 6 26 6" xfId="37431"/>
    <cellStyle name="Output 3 6 26 7" xfId="50294"/>
    <cellStyle name="Output 3 6 27" xfId="3730"/>
    <cellStyle name="Output 3 6 27 2" xfId="11515"/>
    <cellStyle name="Output 3 6 27 3" xfId="20595"/>
    <cellStyle name="Output 3 6 27 4" xfId="28744"/>
    <cellStyle name="Output 3 6 27 5" xfId="38129"/>
    <cellStyle name="Output 3 6 27 6" xfId="42526"/>
    <cellStyle name="Output 3 6 27 7" xfId="47782"/>
    <cellStyle name="Output 3 6 28" xfId="4190"/>
    <cellStyle name="Output 3 6 28 2" xfId="11949"/>
    <cellStyle name="Output 3 6 28 3" xfId="20900"/>
    <cellStyle name="Output 3 6 28 4" xfId="29087"/>
    <cellStyle name="Output 3 6 28 5" xfId="38463"/>
    <cellStyle name="Output 3 6 28 6" xfId="42752"/>
    <cellStyle name="Output 3 6 28 7" xfId="52919"/>
    <cellStyle name="Output 3 6 29" xfId="4268"/>
    <cellStyle name="Output 3 6 29 2" xfId="20978"/>
    <cellStyle name="Output 3 6 29 3" xfId="29165"/>
    <cellStyle name="Output 3 6 29 4" xfId="38538"/>
    <cellStyle name="Output 3 6 29 5" xfId="42830"/>
    <cellStyle name="Output 3 6 29 6" xfId="52452"/>
    <cellStyle name="Output 3 6 3" xfId="847"/>
    <cellStyle name="Output 3 6 3 2" xfId="8671"/>
    <cellStyle name="Output 3 6 3 3" xfId="16099"/>
    <cellStyle name="Output 3 6 3 4" xfId="25135"/>
    <cellStyle name="Output 3 6 3 5" xfId="33508"/>
    <cellStyle name="Output 3 6 3 6" xfId="36706"/>
    <cellStyle name="Output 3 6 3 7" xfId="51081"/>
    <cellStyle name="Output 3 6 30" xfId="4391"/>
    <cellStyle name="Output 3 6 30 2" xfId="12108"/>
    <cellStyle name="Output 3 6 30 3" xfId="21101"/>
    <cellStyle name="Output 3 6 30 4" xfId="29288"/>
    <cellStyle name="Output 3 6 30 5" xfId="38658"/>
    <cellStyle name="Output 3 6 30 6" xfId="42953"/>
    <cellStyle name="Output 3 6 30 7" xfId="49910"/>
    <cellStyle name="Output 3 6 31" xfId="4510"/>
    <cellStyle name="Output 3 6 31 2" xfId="12227"/>
    <cellStyle name="Output 3 6 31 3" xfId="21220"/>
    <cellStyle name="Output 3 6 31 4" xfId="29407"/>
    <cellStyle name="Output 3 6 31 5" xfId="38771"/>
    <cellStyle name="Output 3 6 31 6" xfId="43072"/>
    <cellStyle name="Output 3 6 31 7" xfId="49770"/>
    <cellStyle name="Output 3 6 32" xfId="4624"/>
    <cellStyle name="Output 3 6 32 2" xfId="12341"/>
    <cellStyle name="Output 3 6 32 3" xfId="21334"/>
    <cellStyle name="Output 3 6 32 4" xfId="29521"/>
    <cellStyle name="Output 3 6 32 5" xfId="38880"/>
    <cellStyle name="Output 3 6 32 6" xfId="43186"/>
    <cellStyle name="Output 3 6 32 7" xfId="48367"/>
    <cellStyle name="Output 3 6 33" xfId="4737"/>
    <cellStyle name="Output 3 6 33 2" xfId="12454"/>
    <cellStyle name="Output 3 6 33 3" xfId="21447"/>
    <cellStyle name="Output 3 6 33 4" xfId="29634"/>
    <cellStyle name="Output 3 6 33 5" xfId="38989"/>
    <cellStyle name="Output 3 6 33 6" xfId="43299"/>
    <cellStyle name="Output 3 6 33 7" xfId="50706"/>
    <cellStyle name="Output 3 6 34" xfId="4846"/>
    <cellStyle name="Output 3 6 34 2" xfId="12563"/>
    <cellStyle name="Output 3 6 34 3" xfId="21556"/>
    <cellStyle name="Output 3 6 34 4" xfId="29743"/>
    <cellStyle name="Output 3 6 34 5" xfId="39094"/>
    <cellStyle name="Output 3 6 34 6" xfId="43408"/>
    <cellStyle name="Output 3 6 34 7" xfId="54405"/>
    <cellStyle name="Output 3 6 35" xfId="4957"/>
    <cellStyle name="Output 3 6 35 2" xfId="12674"/>
    <cellStyle name="Output 3 6 35 3" xfId="21667"/>
    <cellStyle name="Output 3 6 35 4" xfId="29854"/>
    <cellStyle name="Output 3 6 35 5" xfId="39201"/>
    <cellStyle name="Output 3 6 35 6" xfId="43519"/>
    <cellStyle name="Output 3 6 35 7" xfId="52251"/>
    <cellStyle name="Output 3 6 36" xfId="5065"/>
    <cellStyle name="Output 3 6 36 2" xfId="12782"/>
    <cellStyle name="Output 3 6 36 3" xfId="21775"/>
    <cellStyle name="Output 3 6 36 4" xfId="29962"/>
    <cellStyle name="Output 3 6 36 5" xfId="39305"/>
    <cellStyle name="Output 3 6 36 6" xfId="43627"/>
    <cellStyle name="Output 3 6 36 7" xfId="54449"/>
    <cellStyle name="Output 3 6 37" xfId="5448"/>
    <cellStyle name="Output 3 6 37 2" xfId="13165"/>
    <cellStyle name="Output 3 6 37 3" xfId="22158"/>
    <cellStyle name="Output 3 6 37 4" xfId="30345"/>
    <cellStyle name="Output 3 6 37 5" xfId="39674"/>
    <cellStyle name="Output 3 6 37 6" xfId="44010"/>
    <cellStyle name="Output 3 6 37 7" xfId="53945"/>
    <cellStyle name="Output 3 6 38" xfId="5567"/>
    <cellStyle name="Output 3 6 38 2" xfId="13284"/>
    <cellStyle name="Output 3 6 38 3" xfId="22277"/>
    <cellStyle name="Output 3 6 38 4" xfId="30464"/>
    <cellStyle name="Output 3 6 38 5" xfId="39787"/>
    <cellStyle name="Output 3 6 38 6" xfId="44129"/>
    <cellStyle name="Output 3 6 38 7" xfId="47161"/>
    <cellStyle name="Output 3 6 39" xfId="5693"/>
    <cellStyle name="Output 3 6 39 2" xfId="13410"/>
    <cellStyle name="Output 3 6 39 3" xfId="22403"/>
    <cellStyle name="Output 3 6 39 4" xfId="30590"/>
    <cellStyle name="Output 3 6 39 5" xfId="39908"/>
    <cellStyle name="Output 3 6 39 6" xfId="44255"/>
    <cellStyle name="Output 3 6 39 7" xfId="47086"/>
    <cellStyle name="Output 3 6 4" xfId="955"/>
    <cellStyle name="Output 3 6 4 2" xfId="8779"/>
    <cellStyle name="Output 3 6 4 3" xfId="16207"/>
    <cellStyle name="Output 3 6 4 4" xfId="26095"/>
    <cellStyle name="Output 3 6 4 5" xfId="34745"/>
    <cellStyle name="Output 3 6 4 6" xfId="36329"/>
    <cellStyle name="Output 3 6 4 7" xfId="53197"/>
    <cellStyle name="Output 3 6 40" xfId="5807"/>
    <cellStyle name="Output 3 6 40 2" xfId="13524"/>
    <cellStyle name="Output 3 6 40 3" xfId="22517"/>
    <cellStyle name="Output 3 6 40 4" xfId="30704"/>
    <cellStyle name="Output 3 6 40 5" xfId="40019"/>
    <cellStyle name="Output 3 6 40 6" xfId="44369"/>
    <cellStyle name="Output 3 6 40 7" xfId="52719"/>
    <cellStyle name="Output 3 6 41" xfId="5926"/>
    <cellStyle name="Output 3 6 41 2" xfId="13643"/>
    <cellStyle name="Output 3 6 41 3" xfId="22636"/>
    <cellStyle name="Output 3 6 41 4" xfId="30823"/>
    <cellStyle name="Output 3 6 41 5" xfId="40135"/>
    <cellStyle name="Output 3 6 41 6" xfId="44488"/>
    <cellStyle name="Output 3 6 41 7" xfId="53622"/>
    <cellStyle name="Output 3 6 42" xfId="6052"/>
    <cellStyle name="Output 3 6 42 2" xfId="13769"/>
    <cellStyle name="Output 3 6 42 3" xfId="22762"/>
    <cellStyle name="Output 3 6 42 4" xfId="30949"/>
    <cellStyle name="Output 3 6 42 5" xfId="40256"/>
    <cellStyle name="Output 3 6 42 6" xfId="44614"/>
    <cellStyle name="Output 3 6 42 7" xfId="48700"/>
    <cellStyle name="Output 3 6 43" xfId="6179"/>
    <cellStyle name="Output 3 6 43 2" xfId="13896"/>
    <cellStyle name="Output 3 6 43 3" xfId="22889"/>
    <cellStyle name="Output 3 6 43 4" xfId="31076"/>
    <cellStyle name="Output 3 6 43 5" xfId="40377"/>
    <cellStyle name="Output 3 6 43 6" xfId="44741"/>
    <cellStyle name="Output 3 6 43 7" xfId="50341"/>
    <cellStyle name="Output 3 6 44" xfId="6308"/>
    <cellStyle name="Output 3 6 44 2" xfId="14025"/>
    <cellStyle name="Output 3 6 44 3" xfId="23018"/>
    <cellStyle name="Output 3 6 44 4" xfId="31205"/>
    <cellStyle name="Output 3 6 44 5" xfId="40505"/>
    <cellStyle name="Output 3 6 44 6" xfId="44870"/>
    <cellStyle name="Output 3 6 44 7" xfId="48111"/>
    <cellStyle name="Output 3 6 45" xfId="6422"/>
    <cellStyle name="Output 3 6 45 2" xfId="14139"/>
    <cellStyle name="Output 3 6 45 3" xfId="23132"/>
    <cellStyle name="Output 3 6 45 4" xfId="31319"/>
    <cellStyle name="Output 3 6 45 5" xfId="40614"/>
    <cellStyle name="Output 3 6 45 6" xfId="44984"/>
    <cellStyle name="Output 3 6 45 7" xfId="54182"/>
    <cellStyle name="Output 3 6 46" xfId="6536"/>
    <cellStyle name="Output 3 6 46 2" xfId="14253"/>
    <cellStyle name="Output 3 6 46 3" xfId="23246"/>
    <cellStyle name="Output 3 6 46 4" xfId="31433"/>
    <cellStyle name="Output 3 6 46 5" xfId="40724"/>
    <cellStyle name="Output 3 6 46 6" xfId="45098"/>
    <cellStyle name="Output 3 6 46 7" xfId="50328"/>
    <cellStyle name="Output 3 6 47" xfId="6097"/>
    <cellStyle name="Output 3 6 47 2" xfId="13814"/>
    <cellStyle name="Output 3 6 47 3" xfId="22807"/>
    <cellStyle name="Output 3 6 47 4" xfId="30994"/>
    <cellStyle name="Output 3 6 47 5" xfId="40297"/>
    <cellStyle name="Output 3 6 47 6" xfId="44659"/>
    <cellStyle name="Output 3 6 47 7" xfId="51528"/>
    <cellStyle name="Output 3 6 48" xfId="6681"/>
    <cellStyle name="Output 3 6 48 2" xfId="14398"/>
    <cellStyle name="Output 3 6 48 3" xfId="23391"/>
    <cellStyle name="Output 3 6 48 4" xfId="31578"/>
    <cellStyle name="Output 3 6 48 5" xfId="40862"/>
    <cellStyle name="Output 3 6 48 6" xfId="45243"/>
    <cellStyle name="Output 3 6 48 7" xfId="49579"/>
    <cellStyle name="Output 3 6 49" xfId="6794"/>
    <cellStyle name="Output 3 6 49 2" xfId="14511"/>
    <cellStyle name="Output 3 6 49 3" xfId="23504"/>
    <cellStyle name="Output 3 6 49 4" xfId="31691"/>
    <cellStyle name="Output 3 6 49 5" xfId="40970"/>
    <cellStyle name="Output 3 6 49 6" xfId="45356"/>
    <cellStyle name="Output 3 6 49 7" xfId="52791"/>
    <cellStyle name="Output 3 6 5" xfId="1427"/>
    <cellStyle name="Output 3 6 5 2" xfId="9250"/>
    <cellStyle name="Output 3 6 5 3" xfId="16678"/>
    <cellStyle name="Output 3 6 5 4" xfId="26182"/>
    <cellStyle name="Output 3 6 5 5" xfId="34855"/>
    <cellStyle name="Output 3 6 5 6" xfId="41206"/>
    <cellStyle name="Output 3 6 5 7" xfId="53382"/>
    <cellStyle name="Output 3 6 50" xfId="6908"/>
    <cellStyle name="Output 3 6 50 2" xfId="14625"/>
    <cellStyle name="Output 3 6 50 3" xfId="23618"/>
    <cellStyle name="Output 3 6 50 4" xfId="31805"/>
    <cellStyle name="Output 3 6 50 5" xfId="41077"/>
    <cellStyle name="Output 3 6 50 6" xfId="45470"/>
    <cellStyle name="Output 3 6 50 7" xfId="46885"/>
    <cellStyle name="Output 3 6 51" xfId="7021"/>
    <cellStyle name="Output 3 6 51 2" xfId="14738"/>
    <cellStyle name="Output 3 6 51 3" xfId="23731"/>
    <cellStyle name="Output 3 6 51 4" xfId="31918"/>
    <cellStyle name="Output 3 6 51 5" xfId="41185"/>
    <cellStyle name="Output 3 6 51 6" xfId="45583"/>
    <cellStyle name="Output 3 6 51 7" xfId="54546"/>
    <cellStyle name="Output 3 6 52" xfId="7129"/>
    <cellStyle name="Output 3 6 52 2" xfId="14846"/>
    <cellStyle name="Output 3 6 52 3" xfId="23839"/>
    <cellStyle name="Output 3 6 52 4" xfId="32026"/>
    <cellStyle name="Output 3 6 52 5" xfId="41288"/>
    <cellStyle name="Output 3 6 52 6" xfId="45691"/>
    <cellStyle name="Output 3 6 52 7" xfId="52478"/>
    <cellStyle name="Output 3 6 53" xfId="7379"/>
    <cellStyle name="Output 3 6 53 2" xfId="15096"/>
    <cellStyle name="Output 3 6 53 3" xfId="24089"/>
    <cellStyle name="Output 3 6 53 4" xfId="32276"/>
    <cellStyle name="Output 3 6 53 5" xfId="41532"/>
    <cellStyle name="Output 3 6 53 6" xfId="45941"/>
    <cellStyle name="Output 3 6 53 7" xfId="52341"/>
    <cellStyle name="Output 3 6 54" xfId="7254"/>
    <cellStyle name="Output 3 6 54 2" xfId="14971"/>
    <cellStyle name="Output 3 6 54 3" xfId="23964"/>
    <cellStyle name="Output 3 6 54 4" xfId="32151"/>
    <cellStyle name="Output 3 6 54 5" xfId="41407"/>
    <cellStyle name="Output 3 6 54 6" xfId="45816"/>
    <cellStyle name="Output 3 6 54 7" xfId="54257"/>
    <cellStyle name="Output 3 6 55" xfId="7526"/>
    <cellStyle name="Output 3 6 55 2" xfId="15243"/>
    <cellStyle name="Output 3 6 55 3" xfId="24236"/>
    <cellStyle name="Output 3 6 55 4" xfId="32423"/>
    <cellStyle name="Output 3 6 55 5" xfId="41669"/>
    <cellStyle name="Output 3 6 55 6" xfId="46088"/>
    <cellStyle name="Output 3 6 55 7" xfId="47984"/>
    <cellStyle name="Output 3 6 56" xfId="7647"/>
    <cellStyle name="Output 3 6 56 2" xfId="15364"/>
    <cellStyle name="Output 3 6 56 3" xfId="24357"/>
    <cellStyle name="Output 3 6 56 4" xfId="32544"/>
    <cellStyle name="Output 3 6 56 5" xfId="41786"/>
    <cellStyle name="Output 3 6 56 6" xfId="46209"/>
    <cellStyle name="Output 3 6 56 7" xfId="51091"/>
    <cellStyle name="Output 3 6 57" xfId="7926"/>
    <cellStyle name="Output 3 6 57 2" xfId="15643"/>
    <cellStyle name="Output 3 6 57 3" xfId="24630"/>
    <cellStyle name="Output 3 6 57 4" xfId="32823"/>
    <cellStyle name="Output 3 6 57 5" xfId="42054"/>
    <cellStyle name="Output 3 6 57 6" xfId="46488"/>
    <cellStyle name="Output 3 6 57 7" xfId="50408"/>
    <cellStyle name="Output 3 6 58" xfId="8054"/>
    <cellStyle name="Output 3 6 58 2" xfId="15771"/>
    <cellStyle name="Output 3 6 58 3" xfId="24756"/>
    <cellStyle name="Output 3 6 58 4" xfId="32951"/>
    <cellStyle name="Output 3 6 58 5" xfId="42176"/>
    <cellStyle name="Output 3 6 58 6" xfId="46616"/>
    <cellStyle name="Output 3 6 58 7" xfId="51471"/>
    <cellStyle name="Output 3 6 59" xfId="8091"/>
    <cellStyle name="Output 3 6 59 2" xfId="15808"/>
    <cellStyle name="Output 3 6 59 3" xfId="24792"/>
    <cellStyle name="Output 3 6 59 4" xfId="32988"/>
    <cellStyle name="Output 3 6 59 5" xfId="42210"/>
    <cellStyle name="Output 3 6 59 6" xfId="46653"/>
    <cellStyle name="Output 3 6 59 7" xfId="49044"/>
    <cellStyle name="Output 3 6 6" xfId="1549"/>
    <cellStyle name="Output 3 6 6 2" xfId="9372"/>
    <cellStyle name="Output 3 6 6 3" xfId="16800"/>
    <cellStyle name="Output 3 6 6 4" xfId="19392"/>
    <cellStyle name="Output 3 6 6 5" xfId="27232"/>
    <cellStyle name="Output 3 6 6 6" xfId="36348"/>
    <cellStyle name="Output 3 6 6 7" xfId="47341"/>
    <cellStyle name="Output 3 6 60" xfId="8199"/>
    <cellStyle name="Output 3 6 60 2" xfId="15916"/>
    <cellStyle name="Output 3 6 60 3" xfId="33096"/>
    <cellStyle name="Output 3 6 60 4" xfId="42315"/>
    <cellStyle name="Output 3 6 60 5" xfId="46761"/>
    <cellStyle name="Output 3 6 60 6" xfId="46857"/>
    <cellStyle name="Output 3 6 61" xfId="20570"/>
    <cellStyle name="Output 3 6 62" xfId="26856"/>
    <cellStyle name="Output 3 6 63" xfId="37900"/>
    <cellStyle name="Output 3 6 64" xfId="47421"/>
    <cellStyle name="Output 3 6 7" xfId="1121"/>
    <cellStyle name="Output 3 6 7 2" xfId="8944"/>
    <cellStyle name="Output 3 6 7 3" xfId="16372"/>
    <cellStyle name="Output 3 6 7 4" xfId="25938"/>
    <cellStyle name="Output 3 6 7 5" xfId="34543"/>
    <cellStyle name="Output 3 6 7 6" xfId="36698"/>
    <cellStyle name="Output 3 6 7 7" xfId="52867"/>
    <cellStyle name="Output 3 6 8" xfId="1788"/>
    <cellStyle name="Output 3 6 8 2" xfId="9611"/>
    <cellStyle name="Output 3 6 8 3" xfId="17039"/>
    <cellStyle name="Output 3 6 8 4" xfId="25681"/>
    <cellStyle name="Output 3 6 8 5" xfId="34214"/>
    <cellStyle name="Output 3 6 8 6" xfId="42060"/>
    <cellStyle name="Output 3 6 8 7" xfId="52267"/>
    <cellStyle name="Output 3 6 9" xfId="1920"/>
    <cellStyle name="Output 3 6 9 2" xfId="9743"/>
    <cellStyle name="Output 3 6 9 3" xfId="17171"/>
    <cellStyle name="Output 3 6 9 4" xfId="19825"/>
    <cellStyle name="Output 3 6 9 5" xfId="28228"/>
    <cellStyle name="Output 3 6 9 6" xfId="42195"/>
    <cellStyle name="Output 3 6 9 7" xfId="47360"/>
    <cellStyle name="Output 3 7" xfId="622"/>
    <cellStyle name="Output 3 7 2" xfId="8446"/>
    <cellStyle name="Output 3 7 3" xfId="8399"/>
    <cellStyle name="Output 3 7 4" xfId="20657"/>
    <cellStyle name="Output 3 7 5" xfId="27758"/>
    <cellStyle name="Output 3 7 6" xfId="37556"/>
    <cellStyle name="Output 3 7 7" xfId="48974"/>
    <cellStyle name="Output 3 8" xfId="219"/>
    <cellStyle name="Output 3 8 2" xfId="8324"/>
    <cellStyle name="Output 3 8 3" xfId="8311"/>
    <cellStyle name="Output 3 8 4" xfId="25187"/>
    <cellStyle name="Output 3 8 5" xfId="33570"/>
    <cellStyle name="Output 3 8 6" xfId="37509"/>
    <cellStyle name="Output 3 8 7" xfId="51188"/>
    <cellStyle name="Output 3 9" xfId="1221"/>
    <cellStyle name="Output 3 9 2" xfId="9044"/>
    <cellStyle name="Output 3 9 3" xfId="16472"/>
    <cellStyle name="Output 3 9 4" xfId="20444"/>
    <cellStyle name="Output 3 9 5" xfId="27298"/>
    <cellStyle name="Output 3 9 6" xfId="39069"/>
    <cellStyle name="Output 3 9 7" xfId="49439"/>
    <cellStyle name="Percent" xfId="8" builtinId="5"/>
    <cellStyle name="Percent 10" xfId="205"/>
    <cellStyle name="Percent 10 2" xfId="439"/>
    <cellStyle name="Percent 10 3" xfId="438"/>
    <cellStyle name="Percent 10 4" xfId="54563"/>
    <cellStyle name="Percent 11" xfId="8210"/>
    <cellStyle name="Percent 11 2" xfId="54564"/>
    <cellStyle name="Percent 11 3" xfId="54571"/>
    <cellStyle name="Percent 12" xfId="8204"/>
    <cellStyle name="Percent 13" xfId="54570"/>
    <cellStyle name="Percent 2" xfId="11"/>
    <cellStyle name="Percent 2 2" xfId="19"/>
    <cellStyle name="Percent 2 2 2" xfId="440"/>
    <cellStyle name="Percent 2 3" xfId="74"/>
    <cellStyle name="Percent 2 3 2" xfId="441"/>
    <cellStyle name="Percent 2 4" xfId="75"/>
    <cellStyle name="Percent 2 4 2" xfId="442"/>
    <cellStyle name="Percent 2 5" xfId="76"/>
    <cellStyle name="Percent 2 5 2" xfId="443"/>
    <cellStyle name="Percent 2 6" xfId="444"/>
    <cellStyle name="Percent 2 7" xfId="445"/>
    <cellStyle name="Percent 3" xfId="4"/>
    <cellStyle name="Percent 4" xfId="18"/>
    <cellStyle name="Percent 4 2" xfId="206"/>
    <cellStyle name="Percent 5" xfId="161"/>
    <cellStyle name="Percent 5 2" xfId="207"/>
    <cellStyle name="Percent 6" xfId="168"/>
    <cellStyle name="Percent 7" xfId="180"/>
    <cellStyle name="Percent 7 2" xfId="208"/>
    <cellStyle name="Percent 8" xfId="182"/>
    <cellStyle name="Percent 8 2" xfId="209"/>
    <cellStyle name="Percent 8 2 2" xfId="446"/>
    <cellStyle name="Percent 8 3" xfId="447"/>
    <cellStyle name="Percent 9" xfId="187"/>
    <cellStyle name="Percent 9 2" xfId="270"/>
    <cellStyle name="Percent 9 2 2" xfId="449"/>
    <cellStyle name="Percent 9 3" xfId="450"/>
    <cellStyle name="Percent 9 4" xfId="448"/>
    <cellStyle name="Percent 9 5" xfId="239"/>
    <cellStyle name="Title 2" xfId="163"/>
    <cellStyle name="Title 3" xfId="162"/>
    <cellStyle name="Total 2" xfId="165"/>
    <cellStyle name="Total 2 10" xfId="1240"/>
    <cellStyle name="Total 2 10 2" xfId="9063"/>
    <cellStyle name="Total 2 10 3" xfId="16491"/>
    <cellStyle name="Total 2 10 4" xfId="19671"/>
    <cellStyle name="Total 2 10 5" xfId="28320"/>
    <cellStyle name="Total 2 10 6" xfId="36694"/>
    <cellStyle name="Total 2 10 7" xfId="47781"/>
    <cellStyle name="Total 2 11" xfId="1593"/>
    <cellStyle name="Total 2 11 2" xfId="9416"/>
    <cellStyle name="Total 2 11 3" xfId="16844"/>
    <cellStyle name="Total 2 11 4" xfId="20452"/>
    <cellStyle name="Total 2 11 5" xfId="27185"/>
    <cellStyle name="Total 2 11 6" xfId="39116"/>
    <cellStyle name="Total 2 11 7" xfId="47503"/>
    <cellStyle name="Total 2 12" xfId="1053"/>
    <cellStyle name="Total 2 12 2" xfId="8877"/>
    <cellStyle name="Total 2 12 3" xfId="16305"/>
    <cellStyle name="Total 2 12 4" xfId="25835"/>
    <cellStyle name="Total 2 12 5" xfId="34420"/>
    <cellStyle name="Total 2 12 6" xfId="36436"/>
    <cellStyle name="Total 2 12 7" xfId="52644"/>
    <cellStyle name="Total 2 13" xfId="2343"/>
    <cellStyle name="Total 2 13 2" xfId="10166"/>
    <cellStyle name="Total 2 13 3" xfId="17594"/>
    <cellStyle name="Total 2 13 4" xfId="25405"/>
    <cellStyle name="Total 2 13 5" xfId="33860"/>
    <cellStyle name="Total 2 13 6" xfId="39000"/>
    <cellStyle name="Total 2 13 7" xfId="51657"/>
    <cellStyle name="Total 2 14" xfId="1670"/>
    <cellStyle name="Total 2 14 2" xfId="9493"/>
    <cellStyle name="Total 2 14 3" xfId="16921"/>
    <cellStyle name="Total 2 14 4" xfId="19570"/>
    <cellStyle name="Total 2 14 5" xfId="27196"/>
    <cellStyle name="Total 2 14 6" xfId="38723"/>
    <cellStyle name="Total 2 14 7" xfId="49649"/>
    <cellStyle name="Total 2 15" xfId="3166"/>
    <cellStyle name="Total 2 15 2" xfId="10968"/>
    <cellStyle name="Total 2 15 3" xfId="18335"/>
    <cellStyle name="Total 2 15 4" xfId="25959"/>
    <cellStyle name="Total 2 15 5" xfId="34567"/>
    <cellStyle name="Total 2 15 6" xfId="38373"/>
    <cellStyle name="Total 2 15 7" xfId="52909"/>
    <cellStyle name="Total 2 16" xfId="3176"/>
    <cellStyle name="Total 2 16 2" xfId="10977"/>
    <cellStyle name="Total 2 16 3" xfId="20308"/>
    <cellStyle name="Total 2 16 4" xfId="25557"/>
    <cellStyle name="Total 2 16 5" xfId="34053"/>
    <cellStyle name="Total 2 16 6" xfId="36403"/>
    <cellStyle name="Total 2 16 7" xfId="51997"/>
    <cellStyle name="Total 2 17" xfId="4015"/>
    <cellStyle name="Total 2 17 2" xfId="20725"/>
    <cellStyle name="Total 2 17 3" xfId="28912"/>
    <cellStyle name="Total 2 17 4" xfId="38295"/>
    <cellStyle name="Total 2 17 5" xfId="42577"/>
    <cellStyle name="Total 2 17 6" xfId="51837"/>
    <cellStyle name="Total 2 18" xfId="4055"/>
    <cellStyle name="Total 2 18 2" xfId="11822"/>
    <cellStyle name="Total 2 18 3" xfId="20765"/>
    <cellStyle name="Total 2 18 4" xfId="28952"/>
    <cellStyle name="Total 2 18 5" xfId="38331"/>
    <cellStyle name="Total 2 18 6" xfId="42617"/>
    <cellStyle name="Total 2 18 7" xfId="51925"/>
    <cellStyle name="Total 2 19" xfId="4195"/>
    <cellStyle name="Total 2 19 2" xfId="11953"/>
    <cellStyle name="Total 2 19 3" xfId="20905"/>
    <cellStyle name="Total 2 19 4" xfId="29092"/>
    <cellStyle name="Total 2 19 5" xfId="38468"/>
    <cellStyle name="Total 2 19 6" xfId="42757"/>
    <cellStyle name="Total 2 19 7" xfId="52464"/>
    <cellStyle name="Total 2 2" xfId="264"/>
    <cellStyle name="Total 2 2 10" xfId="1132"/>
    <cellStyle name="Total 2 2 10 2" xfId="8955"/>
    <cellStyle name="Total 2 2 10 3" xfId="16383"/>
    <cellStyle name="Total 2 2 10 4" xfId="25327"/>
    <cellStyle name="Total 2 2 10 5" xfId="33757"/>
    <cellStyle name="Total 2 2 10 6" xfId="42014"/>
    <cellStyle name="Total 2 2 10 7" xfId="51490"/>
    <cellStyle name="Total 2 2 11" xfId="1066"/>
    <cellStyle name="Total 2 2 11 2" xfId="8890"/>
    <cellStyle name="Total 2 2 11 3" xfId="16318"/>
    <cellStyle name="Total 2 2 11 4" xfId="25119"/>
    <cellStyle name="Total 2 2 11 5" xfId="33491"/>
    <cellStyle name="Total 2 2 11 6" xfId="37705"/>
    <cellStyle name="Total 2 2 11 7" xfId="51055"/>
    <cellStyle name="Total 2 2 12" xfId="1046"/>
    <cellStyle name="Total 2 2 12 2" xfId="8870"/>
    <cellStyle name="Total 2 2 12 3" xfId="16298"/>
    <cellStyle name="Total 2 2 12 4" xfId="26098"/>
    <cellStyle name="Total 2 2 12 5" xfId="34751"/>
    <cellStyle name="Total 2 2 12 6" xfId="38262"/>
    <cellStyle name="Total 2 2 12 7" xfId="53207"/>
    <cellStyle name="Total 2 2 13" xfId="1171"/>
    <cellStyle name="Total 2 2 13 2" xfId="8994"/>
    <cellStyle name="Total 2 2 13 3" xfId="16422"/>
    <cellStyle name="Total 2 2 13 4" xfId="19266"/>
    <cellStyle name="Total 2 2 13 5" xfId="27688"/>
    <cellStyle name="Total 2 2 13 6" xfId="38024"/>
    <cellStyle name="Total 2 2 13 7" xfId="47705"/>
    <cellStyle name="Total 2 2 14" xfId="1028"/>
    <cellStyle name="Total 2 2 14 2" xfId="8852"/>
    <cellStyle name="Total 2 2 14 3" xfId="16280"/>
    <cellStyle name="Total 2 2 14 4" xfId="25402"/>
    <cellStyle name="Total 2 2 14 5" xfId="33857"/>
    <cellStyle name="Total 2 2 14 6" xfId="36712"/>
    <cellStyle name="Total 2 2 14 7" xfId="51650"/>
    <cellStyle name="Total 2 2 15" xfId="1018"/>
    <cellStyle name="Total 2 2 15 2" xfId="8842"/>
    <cellStyle name="Total 2 2 15 3" xfId="16270"/>
    <cellStyle name="Total 2 2 15 4" xfId="20635"/>
    <cellStyle name="Total 2 2 15 5" xfId="28830"/>
    <cellStyle name="Total 2 2 15 6" xfId="37726"/>
    <cellStyle name="Total 2 2 15 7" xfId="48822"/>
    <cellStyle name="Total 2 2 16" xfId="996"/>
    <cellStyle name="Total 2 2 16 2" xfId="8820"/>
    <cellStyle name="Total 2 2 16 3" xfId="16248"/>
    <cellStyle name="Total 2 2 16 4" xfId="25121"/>
    <cellStyle name="Total 2 2 16 5" xfId="33494"/>
    <cellStyle name="Total 2 2 16 6" xfId="37957"/>
    <cellStyle name="Total 2 2 16 7" xfId="51058"/>
    <cellStyle name="Total 2 2 17" xfId="1669"/>
    <cellStyle name="Total 2 2 17 2" xfId="9492"/>
    <cellStyle name="Total 2 2 17 3" xfId="16920"/>
    <cellStyle name="Total 2 2 17 4" xfId="19546"/>
    <cellStyle name="Total 2 2 17 5" xfId="27576"/>
    <cellStyle name="Total 2 2 17 6" xfId="38832"/>
    <cellStyle name="Total 2 2 17 7" xfId="50252"/>
    <cellStyle name="Total 2 2 18" xfId="1278"/>
    <cellStyle name="Total 2 2 18 2" xfId="9101"/>
    <cellStyle name="Total 2 2 18 3" xfId="16529"/>
    <cellStyle name="Total 2 2 18 4" xfId="19829"/>
    <cellStyle name="Total 2 2 18 5" xfId="28696"/>
    <cellStyle name="Total 2 2 18 6" xfId="40438"/>
    <cellStyle name="Total 2 2 18 7" xfId="47189"/>
    <cellStyle name="Total 2 2 19" xfId="1628"/>
    <cellStyle name="Total 2 2 19 2" xfId="9451"/>
    <cellStyle name="Total 2 2 19 3" xfId="16879"/>
    <cellStyle name="Total 2 2 19 4" xfId="19253"/>
    <cellStyle name="Total 2 2 19 5" xfId="28152"/>
    <cellStyle name="Total 2 2 19 6" xfId="36577"/>
    <cellStyle name="Total 2 2 19 7" xfId="48248"/>
    <cellStyle name="Total 2 2 2" xfId="538"/>
    <cellStyle name="Total 2 2 2 10" xfId="1985"/>
    <cellStyle name="Total 2 2 2 10 2" xfId="9808"/>
    <cellStyle name="Total 2 2 2 10 3" xfId="17236"/>
    <cellStyle name="Total 2 2 2 10 4" xfId="19108"/>
    <cellStyle name="Total 2 2 2 10 5" xfId="27104"/>
    <cellStyle name="Total 2 2 2 10 6" xfId="37366"/>
    <cellStyle name="Total 2 2 2 10 7" xfId="48193"/>
    <cellStyle name="Total 2 2 2 11" xfId="2103"/>
    <cellStyle name="Total 2 2 2 11 2" xfId="9926"/>
    <cellStyle name="Total 2 2 2 11 3" xfId="17354"/>
    <cellStyle name="Total 2 2 2 11 4" xfId="26325"/>
    <cellStyle name="Total 2 2 2 11 5" xfId="35049"/>
    <cellStyle name="Total 2 2 2 11 6" xfId="39896"/>
    <cellStyle name="Total 2 2 2 11 7" xfId="53691"/>
    <cellStyle name="Total 2 2 2 12" xfId="2216"/>
    <cellStyle name="Total 2 2 2 12 2" xfId="10039"/>
    <cellStyle name="Total 2 2 2 12 3" xfId="17467"/>
    <cellStyle name="Total 2 2 2 12 4" xfId="25216"/>
    <cellStyle name="Total 2 2 2 12 5" xfId="33615"/>
    <cellStyle name="Total 2 2 2 12 6" xfId="37518"/>
    <cellStyle name="Total 2 2 2 12 7" xfId="51253"/>
    <cellStyle name="Total 2 2 2 13" xfId="2345"/>
    <cellStyle name="Total 2 2 2 13 2" xfId="10168"/>
    <cellStyle name="Total 2 2 2 13 3" xfId="17596"/>
    <cellStyle name="Total 2 2 2 13 4" xfId="25368"/>
    <cellStyle name="Total 2 2 2 13 5" xfId="33811"/>
    <cellStyle name="Total 2 2 2 13 6" xfId="38784"/>
    <cellStyle name="Total 2 2 2 13 7" xfId="51582"/>
    <cellStyle name="Total 2 2 2 14" xfId="2432"/>
    <cellStyle name="Total 2 2 2 14 2" xfId="10255"/>
    <cellStyle name="Total 2 2 2 14 3" xfId="17683"/>
    <cellStyle name="Total 2 2 2 14 4" xfId="24966"/>
    <cellStyle name="Total 2 2 2 14 5" xfId="33305"/>
    <cellStyle name="Total 2 2 2 14 6" xfId="37153"/>
    <cellStyle name="Total 2 2 2 14 7" xfId="50710"/>
    <cellStyle name="Total 2 2 2 15" xfId="2514"/>
    <cellStyle name="Total 2 2 2 15 2" xfId="10337"/>
    <cellStyle name="Total 2 2 2 15 3" xfId="17765"/>
    <cellStyle name="Total 2 2 2 15 4" xfId="19602"/>
    <cellStyle name="Total 2 2 2 15 5" xfId="27543"/>
    <cellStyle name="Total 2 2 2 15 6" xfId="36277"/>
    <cellStyle name="Total 2 2 2 15 7" xfId="49349"/>
    <cellStyle name="Total 2 2 2 16" xfId="2627"/>
    <cellStyle name="Total 2 2 2 16 2" xfId="10450"/>
    <cellStyle name="Total 2 2 2 16 3" xfId="17878"/>
    <cellStyle name="Total 2 2 2 16 4" xfId="26131"/>
    <cellStyle name="Total 2 2 2 16 5" xfId="34793"/>
    <cellStyle name="Total 2 2 2 16 6" xfId="39907"/>
    <cellStyle name="Total 2 2 2 16 7" xfId="53274"/>
    <cellStyle name="Total 2 2 2 17" xfId="2731"/>
    <cellStyle name="Total 2 2 2 17 2" xfId="10554"/>
    <cellStyle name="Total 2 2 2 17 3" xfId="17982"/>
    <cellStyle name="Total 2 2 2 17 4" xfId="19114"/>
    <cellStyle name="Total 2 2 2 17 5" xfId="27816"/>
    <cellStyle name="Total 2 2 2 17 6" xfId="37193"/>
    <cellStyle name="Total 2 2 2 17 7" xfId="49524"/>
    <cellStyle name="Total 2 2 2 18" xfId="2757"/>
    <cellStyle name="Total 2 2 2 18 2" xfId="10580"/>
    <cellStyle name="Total 2 2 2 18 3" xfId="18008"/>
    <cellStyle name="Total 2 2 2 18 4" xfId="26528"/>
    <cellStyle name="Total 2 2 2 18 5" xfId="35328"/>
    <cellStyle name="Total 2 2 2 18 6" xfId="41336"/>
    <cellStyle name="Total 2 2 2 18 7" xfId="54132"/>
    <cellStyle name="Total 2 2 2 19" xfId="2820"/>
    <cellStyle name="Total 2 2 2 19 2" xfId="10643"/>
    <cellStyle name="Total 2 2 2 19 3" xfId="18071"/>
    <cellStyle name="Total 2 2 2 19 4" xfId="19944"/>
    <cellStyle name="Total 2 2 2 19 5" xfId="28479"/>
    <cellStyle name="Total 2 2 2 19 6" xfId="36580"/>
    <cellStyle name="Total 2 2 2 19 7" xfId="47803"/>
    <cellStyle name="Total 2 2 2 2" xfId="688"/>
    <cellStyle name="Total 2 2 2 2 2" xfId="8512"/>
    <cellStyle name="Total 2 2 2 2 3" xfId="15940"/>
    <cellStyle name="Total 2 2 2 2 4" xfId="19336"/>
    <cellStyle name="Total 2 2 2 2 5" xfId="28538"/>
    <cellStyle name="Total 2 2 2 2 6" xfId="37020"/>
    <cellStyle name="Total 2 2 2 2 7" xfId="48620"/>
    <cellStyle name="Total 2 2 2 20" xfId="2927"/>
    <cellStyle name="Total 2 2 2 20 2" xfId="10750"/>
    <cellStyle name="Total 2 2 2 20 3" xfId="18178"/>
    <cellStyle name="Total 2 2 2 20 4" xfId="26126"/>
    <cellStyle name="Total 2 2 2 20 5" xfId="34787"/>
    <cellStyle name="Total 2 2 2 20 6" xfId="41630"/>
    <cellStyle name="Total 2 2 2 20 7" xfId="53265"/>
    <cellStyle name="Total 2 2 2 21" xfId="3303"/>
    <cellStyle name="Total 2 2 2 21 2" xfId="11096"/>
    <cellStyle name="Total 2 2 2 21 3" xfId="18425"/>
    <cellStyle name="Total 2 2 2 21 4" xfId="25391"/>
    <cellStyle name="Total 2 2 2 21 5" xfId="33839"/>
    <cellStyle name="Total 2 2 2 21 6" xfId="39274"/>
    <cellStyle name="Total 2 2 2 21 7" xfId="51622"/>
    <cellStyle name="Total 2 2 2 22" xfId="3423"/>
    <cellStyle name="Total 2 2 2 22 2" xfId="11214"/>
    <cellStyle name="Total 2 2 2 22 3" xfId="18536"/>
    <cellStyle name="Total 2 2 2 22 4" xfId="25484"/>
    <cellStyle name="Total 2 2 2 22 5" xfId="33958"/>
    <cellStyle name="Total 2 2 2 22 6" xfId="42116"/>
    <cellStyle name="Total 2 2 2 22 7" xfId="51840"/>
    <cellStyle name="Total 2 2 2 23" xfId="3125"/>
    <cellStyle name="Total 2 2 2 23 2" xfId="10930"/>
    <cellStyle name="Total 2 2 2 23 3" xfId="18308"/>
    <cellStyle name="Total 2 2 2 23 4" xfId="19382"/>
    <cellStyle name="Total 2 2 2 23 5" xfId="28202"/>
    <cellStyle name="Total 2 2 2 23 6" xfId="37009"/>
    <cellStyle name="Total 2 2 2 23 7" xfId="48006"/>
    <cellStyle name="Total 2 2 2 24" xfId="3694"/>
    <cellStyle name="Total 2 2 2 24 2" xfId="11479"/>
    <cellStyle name="Total 2 2 2 24 3" xfId="18752"/>
    <cellStyle name="Total 2 2 2 24 4" xfId="19696"/>
    <cellStyle name="Total 2 2 2 24 5" xfId="28099"/>
    <cellStyle name="Total 2 2 2 24 6" xfId="36900"/>
    <cellStyle name="Total 2 2 2 24 7" xfId="50012"/>
    <cellStyle name="Total 2 2 2 25" xfId="3824"/>
    <cellStyle name="Total 2 2 2 25 2" xfId="11606"/>
    <cellStyle name="Total 2 2 2 25 3" xfId="18863"/>
    <cellStyle name="Total 2 2 2 25 4" xfId="25650"/>
    <cellStyle name="Total 2 2 2 25 5" xfId="34172"/>
    <cellStyle name="Total 2 2 2 25 6" xfId="36508"/>
    <cellStyle name="Total 2 2 2 25 7" xfId="52199"/>
    <cellStyle name="Total 2 2 2 26" xfId="3942"/>
    <cellStyle name="Total 2 2 2 26 2" xfId="11722"/>
    <cellStyle name="Total 2 2 2 26 3" xfId="18972"/>
    <cellStyle name="Total 2 2 2 26 4" xfId="26464"/>
    <cellStyle name="Total 2 2 2 26 5" xfId="35243"/>
    <cellStyle name="Total 2 2 2 26 6" xfId="36943"/>
    <cellStyle name="Total 2 2 2 26 7" xfId="53994"/>
    <cellStyle name="Total 2 2 2 27" xfId="4040"/>
    <cellStyle name="Total 2 2 2 27 2" xfId="11811"/>
    <cellStyle name="Total 2 2 2 27 3" xfId="20750"/>
    <cellStyle name="Total 2 2 2 27 4" xfId="28937"/>
    <cellStyle name="Total 2 2 2 27 5" xfId="38316"/>
    <cellStyle name="Total 2 2 2 27 6" xfId="42602"/>
    <cellStyle name="Total 2 2 2 27 7" xfId="53192"/>
    <cellStyle name="Total 2 2 2 28" xfId="4139"/>
    <cellStyle name="Total 2 2 2 28 2" xfId="11898"/>
    <cellStyle name="Total 2 2 2 28 3" xfId="20849"/>
    <cellStyle name="Total 2 2 2 28 4" xfId="29036"/>
    <cellStyle name="Total 2 2 2 28 5" xfId="38413"/>
    <cellStyle name="Total 2 2 2 28 6" xfId="42701"/>
    <cellStyle name="Total 2 2 2 28 7" xfId="50142"/>
    <cellStyle name="Total 2 2 2 29" xfId="4265"/>
    <cellStyle name="Total 2 2 2 29 2" xfId="20975"/>
    <cellStyle name="Total 2 2 2 29 3" xfId="29162"/>
    <cellStyle name="Total 2 2 2 29 4" xfId="38535"/>
    <cellStyle name="Total 2 2 2 29 5" xfId="42827"/>
    <cellStyle name="Total 2 2 2 29 6" xfId="52695"/>
    <cellStyle name="Total 2 2 2 3" xfId="796"/>
    <cellStyle name="Total 2 2 2 3 2" xfId="8620"/>
    <cellStyle name="Total 2 2 2 3 3" xfId="16048"/>
    <cellStyle name="Total 2 2 2 3 4" xfId="19121"/>
    <cellStyle name="Total 2 2 2 3 5" xfId="28836"/>
    <cellStyle name="Total 2 2 2 3 6" xfId="37770"/>
    <cellStyle name="Total 2 2 2 3 7" xfId="49927"/>
    <cellStyle name="Total 2 2 2 30" xfId="4336"/>
    <cellStyle name="Total 2 2 2 30 2" xfId="12053"/>
    <cellStyle name="Total 2 2 2 30 3" xfId="21046"/>
    <cellStyle name="Total 2 2 2 30 4" xfId="29233"/>
    <cellStyle name="Total 2 2 2 30 5" xfId="38604"/>
    <cellStyle name="Total 2 2 2 30 6" xfId="42898"/>
    <cellStyle name="Total 2 2 2 30 7" xfId="47862"/>
    <cellStyle name="Total 2 2 2 31" xfId="4459"/>
    <cellStyle name="Total 2 2 2 31 2" xfId="12176"/>
    <cellStyle name="Total 2 2 2 31 3" xfId="21169"/>
    <cellStyle name="Total 2 2 2 31 4" xfId="29356"/>
    <cellStyle name="Total 2 2 2 31 5" xfId="38722"/>
    <cellStyle name="Total 2 2 2 31 6" xfId="43021"/>
    <cellStyle name="Total 2 2 2 31 7" xfId="48799"/>
    <cellStyle name="Total 2 2 2 32" xfId="4573"/>
    <cellStyle name="Total 2 2 2 32 2" xfId="12290"/>
    <cellStyle name="Total 2 2 2 32 3" xfId="21283"/>
    <cellStyle name="Total 2 2 2 32 4" xfId="29470"/>
    <cellStyle name="Total 2 2 2 32 5" xfId="38831"/>
    <cellStyle name="Total 2 2 2 32 6" xfId="43135"/>
    <cellStyle name="Total 2 2 2 32 7" xfId="51689"/>
    <cellStyle name="Total 2 2 2 33" xfId="4686"/>
    <cellStyle name="Total 2 2 2 33 2" xfId="12403"/>
    <cellStyle name="Total 2 2 2 33 3" xfId="21396"/>
    <cellStyle name="Total 2 2 2 33 4" xfId="29583"/>
    <cellStyle name="Total 2 2 2 33 5" xfId="38940"/>
    <cellStyle name="Total 2 2 2 33 6" xfId="43248"/>
    <cellStyle name="Total 2 2 2 33 7" xfId="51679"/>
    <cellStyle name="Total 2 2 2 34" xfId="4797"/>
    <cellStyle name="Total 2 2 2 34 2" xfId="12514"/>
    <cellStyle name="Total 2 2 2 34 3" xfId="21507"/>
    <cellStyle name="Total 2 2 2 34 4" xfId="29694"/>
    <cellStyle name="Total 2 2 2 34 5" xfId="39048"/>
    <cellStyle name="Total 2 2 2 34 6" xfId="43359"/>
    <cellStyle name="Total 2 2 2 34 7" xfId="52126"/>
    <cellStyle name="Total 2 2 2 35" xfId="4906"/>
    <cellStyle name="Total 2 2 2 35 2" xfId="12623"/>
    <cellStyle name="Total 2 2 2 35 3" xfId="21616"/>
    <cellStyle name="Total 2 2 2 35 4" xfId="29803"/>
    <cellStyle name="Total 2 2 2 35 5" xfId="39152"/>
    <cellStyle name="Total 2 2 2 35 6" xfId="43468"/>
    <cellStyle name="Total 2 2 2 35 7" xfId="47927"/>
    <cellStyle name="Total 2 2 2 36" xfId="5017"/>
    <cellStyle name="Total 2 2 2 36 2" xfId="12734"/>
    <cellStyle name="Total 2 2 2 36 3" xfId="21727"/>
    <cellStyle name="Total 2 2 2 36 4" xfId="29914"/>
    <cellStyle name="Total 2 2 2 36 5" xfId="39260"/>
    <cellStyle name="Total 2 2 2 36 6" xfId="43579"/>
    <cellStyle name="Total 2 2 2 36 7" xfId="52506"/>
    <cellStyle name="Total 2 2 2 37" xfId="5396"/>
    <cellStyle name="Total 2 2 2 37 2" xfId="13113"/>
    <cellStyle name="Total 2 2 2 37 3" xfId="22106"/>
    <cellStyle name="Total 2 2 2 37 4" xfId="30293"/>
    <cellStyle name="Total 2 2 2 37 5" xfId="39624"/>
    <cellStyle name="Total 2 2 2 37 6" xfId="43958"/>
    <cellStyle name="Total 2 2 2 37 7" xfId="51956"/>
    <cellStyle name="Total 2 2 2 38" xfId="5516"/>
    <cellStyle name="Total 2 2 2 38 2" xfId="13233"/>
    <cellStyle name="Total 2 2 2 38 3" xfId="22226"/>
    <cellStyle name="Total 2 2 2 38 4" xfId="30413"/>
    <cellStyle name="Total 2 2 2 38 5" xfId="39738"/>
    <cellStyle name="Total 2 2 2 38 6" xfId="44078"/>
    <cellStyle name="Total 2 2 2 38 7" xfId="49696"/>
    <cellStyle name="Total 2 2 2 39" xfId="5640"/>
    <cellStyle name="Total 2 2 2 39 2" xfId="13357"/>
    <cellStyle name="Total 2 2 2 39 3" xfId="22350"/>
    <cellStyle name="Total 2 2 2 39 4" xfId="30537"/>
    <cellStyle name="Total 2 2 2 39 5" xfId="39858"/>
    <cellStyle name="Total 2 2 2 39 6" xfId="44202"/>
    <cellStyle name="Total 2 2 2 39 7" xfId="47209"/>
    <cellStyle name="Total 2 2 2 4" xfId="907"/>
    <cellStyle name="Total 2 2 2 4 2" xfId="8731"/>
    <cellStyle name="Total 2 2 2 4 3" xfId="16159"/>
    <cellStyle name="Total 2 2 2 4 4" xfId="20650"/>
    <cellStyle name="Total 2 2 2 4 5" xfId="27382"/>
    <cellStyle name="Total 2 2 2 4 6" xfId="36855"/>
    <cellStyle name="Total 2 2 2 4 7" xfId="48103"/>
    <cellStyle name="Total 2 2 2 40" xfId="5756"/>
    <cellStyle name="Total 2 2 2 40 2" xfId="13473"/>
    <cellStyle name="Total 2 2 2 40 3" xfId="22466"/>
    <cellStyle name="Total 2 2 2 40 4" xfId="30653"/>
    <cellStyle name="Total 2 2 2 40 5" xfId="39970"/>
    <cellStyle name="Total 2 2 2 40 6" xfId="44318"/>
    <cellStyle name="Total 2 2 2 40 7" xfId="51513"/>
    <cellStyle name="Total 2 2 2 41" xfId="5872"/>
    <cellStyle name="Total 2 2 2 41 2" xfId="13589"/>
    <cellStyle name="Total 2 2 2 41 3" xfId="22582"/>
    <cellStyle name="Total 2 2 2 41 4" xfId="30769"/>
    <cellStyle name="Total 2 2 2 41 5" xfId="40083"/>
    <cellStyle name="Total 2 2 2 41 6" xfId="44434"/>
    <cellStyle name="Total 2 2 2 41 7" xfId="52297"/>
    <cellStyle name="Total 2 2 2 42" xfId="6001"/>
    <cellStyle name="Total 2 2 2 42 2" xfId="13718"/>
    <cellStyle name="Total 2 2 2 42 3" xfId="22711"/>
    <cellStyle name="Total 2 2 2 42 4" xfId="30898"/>
    <cellStyle name="Total 2 2 2 42 5" xfId="40207"/>
    <cellStyle name="Total 2 2 2 42 6" xfId="44563"/>
    <cellStyle name="Total 2 2 2 42 7" xfId="48228"/>
    <cellStyle name="Total 2 2 2 43" xfId="5232"/>
    <cellStyle name="Total 2 2 2 43 2" xfId="12949"/>
    <cellStyle name="Total 2 2 2 43 3" xfId="21942"/>
    <cellStyle name="Total 2 2 2 43 4" xfId="30129"/>
    <cellStyle name="Total 2 2 2 43 5" xfId="39464"/>
    <cellStyle name="Total 2 2 2 43 6" xfId="43794"/>
    <cellStyle name="Total 2 2 2 43 7" xfId="53676"/>
    <cellStyle name="Total 2 2 2 44" xfId="6257"/>
    <cellStyle name="Total 2 2 2 44 2" xfId="13974"/>
    <cellStyle name="Total 2 2 2 44 3" xfId="22967"/>
    <cellStyle name="Total 2 2 2 44 4" xfId="31154"/>
    <cellStyle name="Total 2 2 2 44 5" xfId="40455"/>
    <cellStyle name="Total 2 2 2 44 6" xfId="44819"/>
    <cellStyle name="Total 2 2 2 44 7" xfId="49375"/>
    <cellStyle name="Total 2 2 2 45" xfId="6373"/>
    <cellStyle name="Total 2 2 2 45 2" xfId="14090"/>
    <cellStyle name="Total 2 2 2 45 3" xfId="23083"/>
    <cellStyle name="Total 2 2 2 45 4" xfId="31270"/>
    <cellStyle name="Total 2 2 2 45 5" xfId="40568"/>
    <cellStyle name="Total 2 2 2 45 6" xfId="44935"/>
    <cellStyle name="Total 2 2 2 45 7" xfId="52825"/>
    <cellStyle name="Total 2 2 2 46" xfId="6484"/>
    <cellStyle name="Total 2 2 2 46 2" xfId="14201"/>
    <cellStyle name="Total 2 2 2 46 3" xfId="23194"/>
    <cellStyle name="Total 2 2 2 46 4" xfId="31381"/>
    <cellStyle name="Total 2 2 2 46 5" xfId="40675"/>
    <cellStyle name="Total 2 2 2 46 6" xfId="45046"/>
    <cellStyle name="Total 2 2 2 46 7" xfId="50597"/>
    <cellStyle name="Total 2 2 2 47" xfId="6569"/>
    <cellStyle name="Total 2 2 2 47 2" xfId="14286"/>
    <cellStyle name="Total 2 2 2 47 3" xfId="23279"/>
    <cellStyle name="Total 2 2 2 47 4" xfId="31466"/>
    <cellStyle name="Total 2 2 2 47 5" xfId="40754"/>
    <cellStyle name="Total 2 2 2 47 6" xfId="45131"/>
    <cellStyle name="Total 2 2 2 47 7" xfId="54027"/>
    <cellStyle name="Total 2 2 2 48" xfId="6630"/>
    <cellStyle name="Total 2 2 2 48 2" xfId="14347"/>
    <cellStyle name="Total 2 2 2 48 3" xfId="23340"/>
    <cellStyle name="Total 2 2 2 48 4" xfId="31527"/>
    <cellStyle name="Total 2 2 2 48 5" xfId="40814"/>
    <cellStyle name="Total 2 2 2 48 6" xfId="45192"/>
    <cellStyle name="Total 2 2 2 48 7" xfId="51859"/>
    <cellStyle name="Total 2 2 2 49" xfId="6742"/>
    <cellStyle name="Total 2 2 2 49 2" xfId="14459"/>
    <cellStyle name="Total 2 2 2 49 3" xfId="23452"/>
    <cellStyle name="Total 2 2 2 49 4" xfId="31639"/>
    <cellStyle name="Total 2 2 2 49 5" xfId="40920"/>
    <cellStyle name="Total 2 2 2 49 6" xfId="45304"/>
    <cellStyle name="Total 2 2 2 49 7" xfId="50127"/>
    <cellStyle name="Total 2 2 2 5" xfId="1373"/>
    <cellStyle name="Total 2 2 2 5 2" xfId="9196"/>
    <cellStyle name="Total 2 2 2 5 3" xfId="16624"/>
    <cellStyle name="Total 2 2 2 5 4" xfId="25960"/>
    <cellStyle name="Total 2 2 2 5 5" xfId="34568"/>
    <cellStyle name="Total 2 2 2 5 6" xfId="39217"/>
    <cellStyle name="Total 2 2 2 5 7" xfId="52910"/>
    <cellStyle name="Total 2 2 2 50" xfId="6857"/>
    <cellStyle name="Total 2 2 2 50 2" xfId="14574"/>
    <cellStyle name="Total 2 2 2 50 3" xfId="23567"/>
    <cellStyle name="Total 2 2 2 50 4" xfId="31754"/>
    <cellStyle name="Total 2 2 2 50 5" xfId="41028"/>
    <cellStyle name="Total 2 2 2 50 6" xfId="45419"/>
    <cellStyle name="Total 2 2 2 50 7" xfId="54533"/>
    <cellStyle name="Total 2 2 2 51" xfId="6970"/>
    <cellStyle name="Total 2 2 2 51 2" xfId="14687"/>
    <cellStyle name="Total 2 2 2 51 3" xfId="23680"/>
    <cellStyle name="Total 2 2 2 51 4" xfId="31867"/>
    <cellStyle name="Total 2 2 2 51 5" xfId="41136"/>
    <cellStyle name="Total 2 2 2 51 6" xfId="45532"/>
    <cellStyle name="Total 2 2 2 51 7" xfId="46807"/>
    <cellStyle name="Total 2 2 2 52" xfId="7081"/>
    <cellStyle name="Total 2 2 2 52 2" xfId="14798"/>
    <cellStyle name="Total 2 2 2 52 3" xfId="23791"/>
    <cellStyle name="Total 2 2 2 52 4" xfId="31978"/>
    <cellStyle name="Total 2 2 2 52 5" xfId="41241"/>
    <cellStyle name="Total 2 2 2 52 6" xfId="45643"/>
    <cellStyle name="Total 2 2 2 52 7" xfId="50999"/>
    <cellStyle name="Total 2 2 2 53" xfId="7198"/>
    <cellStyle name="Total 2 2 2 53 2" xfId="14915"/>
    <cellStyle name="Total 2 2 2 53 3" xfId="23908"/>
    <cellStyle name="Total 2 2 2 53 4" xfId="32095"/>
    <cellStyle name="Total 2 2 2 53 5" xfId="41355"/>
    <cellStyle name="Total 2 2 2 53 6" xfId="45760"/>
    <cellStyle name="Total 2 2 2 53 7" xfId="51486"/>
    <cellStyle name="Total 2 2 2 54" xfId="7404"/>
    <cellStyle name="Total 2 2 2 54 2" xfId="15121"/>
    <cellStyle name="Total 2 2 2 54 3" xfId="24114"/>
    <cellStyle name="Total 2 2 2 54 4" xfId="32301"/>
    <cellStyle name="Total 2 2 2 54 5" xfId="41553"/>
    <cellStyle name="Total 2 2 2 54 6" xfId="45966"/>
    <cellStyle name="Total 2 2 2 54 7" xfId="53043"/>
    <cellStyle name="Total 2 2 2 55" xfId="7478"/>
    <cellStyle name="Total 2 2 2 55 2" xfId="15195"/>
    <cellStyle name="Total 2 2 2 55 3" xfId="24188"/>
    <cellStyle name="Total 2 2 2 55 4" xfId="32375"/>
    <cellStyle name="Total 2 2 2 55 5" xfId="41624"/>
    <cellStyle name="Total 2 2 2 55 6" xfId="46040"/>
    <cellStyle name="Total 2 2 2 55 7" xfId="52710"/>
    <cellStyle name="Total 2 2 2 56" xfId="7599"/>
    <cellStyle name="Total 2 2 2 56 2" xfId="15316"/>
    <cellStyle name="Total 2 2 2 56 3" xfId="24309"/>
    <cellStyle name="Total 2 2 2 56 4" xfId="32496"/>
    <cellStyle name="Total 2 2 2 56 5" xfId="41739"/>
    <cellStyle name="Total 2 2 2 56 6" xfId="46161"/>
    <cellStyle name="Total 2 2 2 56 7" xfId="49796"/>
    <cellStyle name="Total 2 2 2 57" xfId="7875"/>
    <cellStyle name="Total 2 2 2 57 2" xfId="15592"/>
    <cellStyle name="Total 2 2 2 57 3" xfId="24579"/>
    <cellStyle name="Total 2 2 2 57 4" xfId="32772"/>
    <cellStyle name="Total 2 2 2 57 5" xfId="42004"/>
    <cellStyle name="Total 2 2 2 57 6" xfId="46437"/>
    <cellStyle name="Total 2 2 2 57 7" xfId="53522"/>
    <cellStyle name="Total 2 2 2 58" xfId="7973"/>
    <cellStyle name="Total 2 2 2 58 2" xfId="15690"/>
    <cellStyle name="Total 2 2 2 58 3" xfId="24675"/>
    <cellStyle name="Total 2 2 2 58 4" xfId="32870"/>
    <cellStyle name="Total 2 2 2 58 5" xfId="42097"/>
    <cellStyle name="Total 2 2 2 58 6" xfId="46535"/>
    <cellStyle name="Total 2 2 2 58 7" xfId="52887"/>
    <cellStyle name="Total 2 2 2 59" xfId="8077"/>
    <cellStyle name="Total 2 2 2 59 2" xfId="15794"/>
    <cellStyle name="Total 2 2 2 59 3" xfId="24778"/>
    <cellStyle name="Total 2 2 2 59 4" xfId="32974"/>
    <cellStyle name="Total 2 2 2 59 5" xfId="42196"/>
    <cellStyle name="Total 2 2 2 59 6" xfId="46639"/>
    <cellStyle name="Total 2 2 2 59 7" xfId="49097"/>
    <cellStyle name="Total 2 2 2 6" xfId="1496"/>
    <cellStyle name="Total 2 2 2 6 2" xfId="9319"/>
    <cellStyle name="Total 2 2 2 6 3" xfId="16747"/>
    <cellStyle name="Total 2 2 2 6 4" xfId="25944"/>
    <cellStyle name="Total 2 2 2 6 5" xfId="34549"/>
    <cellStyle name="Total 2 2 2 6 6" xfId="41752"/>
    <cellStyle name="Total 2 2 2 6 7" xfId="52878"/>
    <cellStyle name="Total 2 2 2 60" xfId="8151"/>
    <cellStyle name="Total 2 2 2 60 2" xfId="15868"/>
    <cellStyle name="Total 2 2 2 60 3" xfId="33048"/>
    <cellStyle name="Total 2 2 2 60 4" xfId="42268"/>
    <cellStyle name="Total 2 2 2 60 5" xfId="46713"/>
    <cellStyle name="Total 2 2 2 60 6" xfId="48750"/>
    <cellStyle name="Total 2 2 2 61" xfId="19879"/>
    <cellStyle name="Total 2 2 2 62" xfId="26891"/>
    <cellStyle name="Total 2 2 2 63" xfId="36887"/>
    <cellStyle name="Total 2 2 2 64" xfId="49723"/>
    <cellStyle name="Total 2 2 2 7" xfId="1648"/>
    <cellStyle name="Total 2 2 2 7 2" xfId="9471"/>
    <cellStyle name="Total 2 2 2 7 3" xfId="16899"/>
    <cellStyle name="Total 2 2 2 7 4" xfId="25471"/>
    <cellStyle name="Total 2 2 2 7 5" xfId="33940"/>
    <cellStyle name="Total 2 2 2 7 6" xfId="41029"/>
    <cellStyle name="Total 2 2 2 7 7" xfId="51808"/>
    <cellStyle name="Total 2 2 2 8" xfId="1733"/>
    <cellStyle name="Total 2 2 2 8 2" xfId="9556"/>
    <cellStyle name="Total 2 2 2 8 3" xfId="16984"/>
    <cellStyle name="Total 2 2 2 8 4" xfId="19646"/>
    <cellStyle name="Total 2 2 2 8 5" xfId="28859"/>
    <cellStyle name="Total 2 2 2 8 6" xfId="41348"/>
    <cellStyle name="Total 2 2 2 8 7" xfId="47541"/>
    <cellStyle name="Total 2 2 2 9" xfId="1867"/>
    <cellStyle name="Total 2 2 2 9 2" xfId="9690"/>
    <cellStyle name="Total 2 2 2 9 3" xfId="17118"/>
    <cellStyle name="Total 2 2 2 9 4" xfId="25294"/>
    <cellStyle name="Total 2 2 2 9 5" xfId="33708"/>
    <cellStyle name="Total 2 2 2 9 6" xfId="40649"/>
    <cellStyle name="Total 2 2 2 9 7" xfId="51416"/>
    <cellStyle name="Total 2 2 20" xfId="986"/>
    <cellStyle name="Total 2 2 20 2" xfId="8810"/>
    <cellStyle name="Total 2 2 20 3" xfId="16238"/>
    <cellStyle name="Total 2 2 20 4" xfId="25686"/>
    <cellStyle name="Total 2 2 20 5" xfId="34223"/>
    <cellStyle name="Total 2 2 20 6" xfId="36985"/>
    <cellStyle name="Total 2 2 20 7" xfId="52283"/>
    <cellStyle name="Total 2 2 21" xfId="2297"/>
    <cellStyle name="Total 2 2 21 2" xfId="10120"/>
    <cellStyle name="Total 2 2 21 3" xfId="17548"/>
    <cellStyle name="Total 2 2 21 4" xfId="19110"/>
    <cellStyle name="Total 2 2 21 5" xfId="27529"/>
    <cellStyle name="Total 2 2 21 6" xfId="39581"/>
    <cellStyle name="Total 2 2 21 7" xfId="50199"/>
    <cellStyle name="Total 2 2 22" xfId="1075"/>
    <cellStyle name="Total 2 2 22 2" xfId="8899"/>
    <cellStyle name="Total 2 2 22 3" xfId="16327"/>
    <cellStyle name="Total 2 2 22 4" xfId="19580"/>
    <cellStyle name="Total 2 2 22 5" xfId="27371"/>
    <cellStyle name="Total 2 2 22 6" xfId="37031"/>
    <cellStyle name="Total 2 2 22 7" xfId="50225"/>
    <cellStyle name="Total 2 2 23" xfId="1852"/>
    <cellStyle name="Total 2 2 23 2" xfId="9675"/>
    <cellStyle name="Total 2 2 23 3" xfId="17103"/>
    <cellStyle name="Total 2 2 23 4" xfId="26067"/>
    <cellStyle name="Total 2 2 23 5" xfId="34712"/>
    <cellStyle name="Total 2 2 23 6" xfId="42073"/>
    <cellStyle name="Total 2 2 23 7" xfId="53142"/>
    <cellStyle name="Total 2 2 24" xfId="2428"/>
    <cellStyle name="Total 2 2 24 2" xfId="10251"/>
    <cellStyle name="Total 2 2 24 3" xfId="17679"/>
    <cellStyle name="Total 2 2 24 4" xfId="25102"/>
    <cellStyle name="Total 2 2 24 5" xfId="33466"/>
    <cellStyle name="Total 2 2 24 6" xfId="37380"/>
    <cellStyle name="Total 2 2 24 7" xfId="51013"/>
    <cellStyle name="Total 2 2 25" xfId="1259"/>
    <cellStyle name="Total 2 2 25 2" xfId="9082"/>
    <cellStyle name="Total 2 2 25 3" xfId="16510"/>
    <cellStyle name="Total 2 2 25 4" xfId="19593"/>
    <cellStyle name="Total 2 2 25 5" xfId="28115"/>
    <cellStyle name="Total 2 2 25 6" xfId="42252"/>
    <cellStyle name="Total 2 2 25 7" xfId="47196"/>
    <cellStyle name="Total 2 2 26" xfId="3114"/>
    <cellStyle name="Total 2 2 26 2" xfId="10919"/>
    <cellStyle name="Total 2 2 26 3" xfId="18300"/>
    <cellStyle name="Total 2 2 26 4" xfId="19051"/>
    <cellStyle name="Total 2 2 26 5" xfId="26923"/>
    <cellStyle name="Total 2 2 26 6" xfId="36275"/>
    <cellStyle name="Total 2 2 26 7" xfId="49151"/>
    <cellStyle name="Total 2 2 27" xfId="3063"/>
    <cellStyle name="Total 2 2 27 2" xfId="10872"/>
    <cellStyle name="Total 2 2 27 3" xfId="18267"/>
    <cellStyle name="Total 2 2 27 4" xfId="26612"/>
    <cellStyle name="Total 2 2 27 5" xfId="35440"/>
    <cellStyle name="Total 2 2 27 6" xfId="40650"/>
    <cellStyle name="Total 2 2 27 7" xfId="54307"/>
    <cellStyle name="Total 2 2 28" xfId="3035"/>
    <cellStyle name="Total 2 2 28 2" xfId="10850"/>
    <cellStyle name="Total 2 2 28 3" xfId="18261"/>
    <cellStyle name="Total 2 2 28 4" xfId="20078"/>
    <cellStyle name="Total 2 2 28 5" xfId="27467"/>
    <cellStyle name="Total 2 2 28 6" xfId="37471"/>
    <cellStyle name="Total 2 2 28 7" xfId="49505"/>
    <cellStyle name="Total 2 2 29" xfId="3060"/>
    <cellStyle name="Total 2 2 29 2" xfId="10870"/>
    <cellStyle name="Total 2 2 29 3" xfId="18266"/>
    <cellStyle name="Total 2 2 29 4" xfId="20667"/>
    <cellStyle name="Total 2 2 29 5" xfId="28056"/>
    <cellStyle name="Total 2 2 29 6" xfId="40790"/>
    <cellStyle name="Total 2 2 29 7" xfId="48287"/>
    <cellStyle name="Total 2 2 3" xfId="503"/>
    <cellStyle name="Total 2 2 3 10" xfId="1950"/>
    <cellStyle name="Total 2 2 3 10 2" xfId="9773"/>
    <cellStyle name="Total 2 2 3 10 3" xfId="17201"/>
    <cellStyle name="Total 2 2 3 10 4" xfId="25498"/>
    <cellStyle name="Total 2 2 3 10 5" xfId="33974"/>
    <cellStyle name="Total 2 2 3 10 6" xfId="40528"/>
    <cellStyle name="Total 2 2 3 10 7" xfId="51866"/>
    <cellStyle name="Total 2 2 3 11" xfId="2068"/>
    <cellStyle name="Total 2 2 3 11 2" xfId="9891"/>
    <cellStyle name="Total 2 2 3 11 3" xfId="17319"/>
    <cellStyle name="Total 2 2 3 11 4" xfId="25621"/>
    <cellStyle name="Total 2 2 3 11 5" xfId="34135"/>
    <cellStyle name="Total 2 2 3 11 6" xfId="39566"/>
    <cellStyle name="Total 2 2 3 11 7" xfId="52131"/>
    <cellStyle name="Total 2 2 3 12" xfId="2181"/>
    <cellStyle name="Total 2 2 3 12 2" xfId="10004"/>
    <cellStyle name="Total 2 2 3 12 3" xfId="17432"/>
    <cellStyle name="Total 2 2 3 12 4" xfId="26413"/>
    <cellStyle name="Total 2 2 3 12 5" xfId="35173"/>
    <cellStyle name="Total 2 2 3 12 6" xfId="39122"/>
    <cellStyle name="Total 2 2 3 12 7" xfId="53884"/>
    <cellStyle name="Total 2 2 3 13" xfId="1634"/>
    <cellStyle name="Total 2 2 3 13 2" xfId="9457"/>
    <cellStyle name="Total 2 2 3 13 3" xfId="16885"/>
    <cellStyle name="Total 2 2 3 13 4" xfId="26435"/>
    <cellStyle name="Total 2 2 3 13 5" xfId="35204"/>
    <cellStyle name="Total 2 2 3 13 6" xfId="36965"/>
    <cellStyle name="Total 2 2 3 13 7" xfId="53926"/>
    <cellStyle name="Total 2 2 3 14" xfId="1299"/>
    <cellStyle name="Total 2 2 3 14 2" xfId="9122"/>
    <cellStyle name="Total 2 2 3 14 3" xfId="16550"/>
    <cellStyle name="Total 2 2 3 14 4" xfId="26659"/>
    <cellStyle name="Total 2 2 3 14 5" xfId="35504"/>
    <cellStyle name="Total 2 2 3 14 6" xfId="38238"/>
    <cellStyle name="Total 2 2 3 14 7" xfId="54410"/>
    <cellStyle name="Total 2 2 3 15" xfId="2479"/>
    <cellStyle name="Total 2 2 3 15 2" xfId="10302"/>
    <cellStyle name="Total 2 2 3 15 3" xfId="17730"/>
    <cellStyle name="Total 2 2 3 15 4" xfId="26068"/>
    <cellStyle name="Total 2 2 3 15 5" xfId="34713"/>
    <cellStyle name="Total 2 2 3 15 6" xfId="38592"/>
    <cellStyle name="Total 2 2 3 15 7" xfId="53143"/>
    <cellStyle name="Total 2 2 3 16" xfId="2592"/>
    <cellStyle name="Total 2 2 3 16 2" xfId="10415"/>
    <cellStyle name="Total 2 2 3 16 3" xfId="17843"/>
    <cellStyle name="Total 2 2 3 16 4" xfId="24880"/>
    <cellStyle name="Total 2 2 3 16 5" xfId="33194"/>
    <cellStyle name="Total 2 2 3 16 6" xfId="40856"/>
    <cellStyle name="Total 2 2 3 16 7" xfId="50518"/>
    <cellStyle name="Total 2 2 3 17" xfId="2401"/>
    <cellStyle name="Total 2 2 3 17 2" xfId="10224"/>
    <cellStyle name="Total 2 2 3 17 3" xfId="17652"/>
    <cellStyle name="Total 2 2 3 17 4" xfId="26451"/>
    <cellStyle name="Total 2 2 3 17 5" xfId="35226"/>
    <cellStyle name="Total 2 2 3 17 6" xfId="36529"/>
    <cellStyle name="Total 2 2 3 17 7" xfId="53962"/>
    <cellStyle name="Total 2 2 3 18" xfId="2398"/>
    <cellStyle name="Total 2 2 3 18 2" xfId="10221"/>
    <cellStyle name="Total 2 2 3 18 3" xfId="17649"/>
    <cellStyle name="Total 2 2 3 18 4" xfId="26476"/>
    <cellStyle name="Total 2 2 3 18 5" xfId="35259"/>
    <cellStyle name="Total 2 2 3 18 6" xfId="40068"/>
    <cellStyle name="Total 2 2 3 18 7" xfId="54023"/>
    <cellStyle name="Total 2 2 3 19" xfId="2786"/>
    <cellStyle name="Total 2 2 3 19 2" xfId="10609"/>
    <cellStyle name="Total 2 2 3 19 3" xfId="18037"/>
    <cellStyle name="Total 2 2 3 19 4" xfId="25933"/>
    <cellStyle name="Total 2 2 3 19 5" xfId="34538"/>
    <cellStyle name="Total 2 2 3 19 6" xfId="38430"/>
    <cellStyle name="Total 2 2 3 19 7" xfId="52858"/>
    <cellStyle name="Total 2 2 3 2" xfId="654"/>
    <cellStyle name="Total 2 2 3 2 2" xfId="8478"/>
    <cellStyle name="Total 2 2 3 2 3" xfId="8282"/>
    <cellStyle name="Total 2 2 3 2 4" xfId="25692"/>
    <cellStyle name="Total 2 2 3 2 5" xfId="34230"/>
    <cellStyle name="Total 2 2 3 2 6" xfId="36623"/>
    <cellStyle name="Total 2 2 3 2 7" xfId="52299"/>
    <cellStyle name="Total 2 2 3 20" xfId="2893"/>
    <cellStyle name="Total 2 2 3 20 2" xfId="10716"/>
    <cellStyle name="Total 2 2 3 20 3" xfId="18144"/>
    <cellStyle name="Total 2 2 3 20 4" xfId="19311"/>
    <cellStyle name="Total 2 2 3 20 5" xfId="28233"/>
    <cellStyle name="Total 2 2 3 20 6" xfId="38350"/>
    <cellStyle name="Total 2 2 3 20 7" xfId="48482"/>
    <cellStyle name="Total 2 2 3 21" xfId="3269"/>
    <cellStyle name="Total 2 2 3 21 2" xfId="11062"/>
    <cellStyle name="Total 2 2 3 21 3" xfId="18391"/>
    <cellStyle name="Total 2 2 3 21 4" xfId="19574"/>
    <cellStyle name="Total 2 2 3 21 5" xfId="27270"/>
    <cellStyle name="Total 2 2 3 21 6" xfId="38542"/>
    <cellStyle name="Total 2 2 3 21 7" xfId="48786"/>
    <cellStyle name="Total 2 2 3 22" xfId="3389"/>
    <cellStyle name="Total 2 2 3 22 2" xfId="11180"/>
    <cellStyle name="Total 2 2 3 22 3" xfId="18502"/>
    <cellStyle name="Total 2 2 3 22 4" xfId="25176"/>
    <cellStyle name="Total 2 2 3 22 5" xfId="33557"/>
    <cellStyle name="Total 2 2 3 22 6" xfId="38120"/>
    <cellStyle name="Total 2 2 3 22 7" xfId="51168"/>
    <cellStyle name="Total 2 2 3 23" xfId="3220"/>
    <cellStyle name="Total 2 2 3 23 2" xfId="11016"/>
    <cellStyle name="Total 2 2 3 23 3" xfId="18356"/>
    <cellStyle name="Total 2 2 3 23 4" xfId="26302"/>
    <cellStyle name="Total 2 2 3 23 5" xfId="35019"/>
    <cellStyle name="Total 2 2 3 23 6" xfId="40410"/>
    <cellStyle name="Total 2 2 3 23 7" xfId="53651"/>
    <cellStyle name="Total 2 2 3 24" xfId="3659"/>
    <cellStyle name="Total 2 2 3 24 2" xfId="11444"/>
    <cellStyle name="Total 2 2 3 24 3" xfId="18717"/>
    <cellStyle name="Total 2 2 3 24 4" xfId="26214"/>
    <cellStyle name="Total 2 2 3 24 5" xfId="34898"/>
    <cellStyle name="Total 2 2 3 24 6" xfId="40437"/>
    <cellStyle name="Total 2 2 3 24 7" xfId="53454"/>
    <cellStyle name="Total 2 2 3 25" xfId="3790"/>
    <cellStyle name="Total 2 2 3 25 2" xfId="11572"/>
    <cellStyle name="Total 2 2 3 25 3" xfId="18829"/>
    <cellStyle name="Total 2 2 3 25 4" xfId="19910"/>
    <cellStyle name="Total 2 2 3 25 5" xfId="26762"/>
    <cellStyle name="Total 2 2 3 25 6" xfId="39541"/>
    <cellStyle name="Total 2 2 3 25 7" xfId="49101"/>
    <cellStyle name="Total 2 2 3 26" xfId="3907"/>
    <cellStyle name="Total 2 2 3 26 2" xfId="11687"/>
    <cellStyle name="Total 2 2 3 26 3" xfId="18938"/>
    <cellStyle name="Total 2 2 3 26 4" xfId="24955"/>
    <cellStyle name="Total 2 2 3 26 5" xfId="33291"/>
    <cellStyle name="Total 2 2 3 26 6" xfId="38047"/>
    <cellStyle name="Total 2 2 3 26 7" xfId="50679"/>
    <cellStyle name="Total 2 2 3 27" xfId="3244"/>
    <cellStyle name="Total 2 2 3 27 2" xfId="11037"/>
    <cellStyle name="Total 2 2 3 27 3" xfId="20360"/>
    <cellStyle name="Total 2 2 3 27 4" xfId="28449"/>
    <cellStyle name="Total 2 2 3 27 5" xfId="37842"/>
    <cellStyle name="Total 2 2 3 27 6" xfId="42462"/>
    <cellStyle name="Total 2 2 3 27 7" xfId="51237"/>
    <cellStyle name="Total 2 2 3 28" xfId="4104"/>
    <cellStyle name="Total 2 2 3 28 2" xfId="11864"/>
    <cellStyle name="Total 2 2 3 28 3" xfId="20814"/>
    <cellStyle name="Total 2 2 3 28 4" xfId="29001"/>
    <cellStyle name="Total 2 2 3 28 5" xfId="38379"/>
    <cellStyle name="Total 2 2 3 28 6" xfId="42666"/>
    <cellStyle name="Total 2 2 3 28 7" xfId="48132"/>
    <cellStyle name="Total 2 2 3 29" xfId="3015"/>
    <cellStyle name="Total 2 2 3 29 2" xfId="20189"/>
    <cellStyle name="Total 2 2 3 29 3" xfId="28279"/>
    <cellStyle name="Total 2 2 3 29 4" xfId="37660"/>
    <cellStyle name="Total 2 2 3 29 5" xfId="42354"/>
    <cellStyle name="Total 2 2 3 29 6" xfId="51954"/>
    <cellStyle name="Total 2 2 3 3" xfId="761"/>
    <cellStyle name="Total 2 2 3 3 2" xfId="8585"/>
    <cellStyle name="Total 2 2 3 3 3" xfId="16013"/>
    <cellStyle name="Total 2 2 3 3 4" xfId="26252"/>
    <cellStyle name="Total 2 2 3 3 5" xfId="34949"/>
    <cellStyle name="Total 2 2 3 3 6" xfId="36736"/>
    <cellStyle name="Total 2 2 3 3 7" xfId="53544"/>
    <cellStyle name="Total 2 2 3 30" xfId="4301"/>
    <cellStyle name="Total 2 2 3 30 2" xfId="12018"/>
    <cellStyle name="Total 2 2 3 30 3" xfId="21011"/>
    <cellStyle name="Total 2 2 3 30 4" xfId="29198"/>
    <cellStyle name="Total 2 2 3 30 5" xfId="38570"/>
    <cellStyle name="Total 2 2 3 30 6" xfId="42863"/>
    <cellStyle name="Total 2 2 3 30 7" xfId="47719"/>
    <cellStyle name="Total 2 2 3 31" xfId="4424"/>
    <cellStyle name="Total 2 2 3 31 2" xfId="12141"/>
    <cellStyle name="Total 2 2 3 31 3" xfId="21134"/>
    <cellStyle name="Total 2 2 3 31 4" xfId="29321"/>
    <cellStyle name="Total 2 2 3 31 5" xfId="38688"/>
    <cellStyle name="Total 2 2 3 31 6" xfId="42986"/>
    <cellStyle name="Total 2 2 3 31 7" xfId="51769"/>
    <cellStyle name="Total 2 2 3 32" xfId="4538"/>
    <cellStyle name="Total 2 2 3 32 2" xfId="12255"/>
    <cellStyle name="Total 2 2 3 32 3" xfId="21248"/>
    <cellStyle name="Total 2 2 3 32 4" xfId="29435"/>
    <cellStyle name="Total 2 2 3 32 5" xfId="38797"/>
    <cellStyle name="Total 2 2 3 32 6" xfId="43100"/>
    <cellStyle name="Total 2 2 3 32 7" xfId="46979"/>
    <cellStyle name="Total 2 2 3 33" xfId="4651"/>
    <cellStyle name="Total 2 2 3 33 2" xfId="12368"/>
    <cellStyle name="Total 2 2 3 33 3" xfId="21361"/>
    <cellStyle name="Total 2 2 3 33 4" xfId="29548"/>
    <cellStyle name="Total 2 2 3 33 5" xfId="38905"/>
    <cellStyle name="Total 2 2 3 33 6" xfId="43213"/>
    <cellStyle name="Total 2 2 3 33 7" xfId="52062"/>
    <cellStyle name="Total 2 2 3 34" xfId="4763"/>
    <cellStyle name="Total 2 2 3 34 2" xfId="12480"/>
    <cellStyle name="Total 2 2 3 34 3" xfId="21473"/>
    <cellStyle name="Total 2 2 3 34 4" xfId="29660"/>
    <cellStyle name="Total 2 2 3 34 5" xfId="39014"/>
    <cellStyle name="Total 2 2 3 34 6" xfId="43325"/>
    <cellStyle name="Total 2 2 3 34 7" xfId="50792"/>
    <cellStyle name="Total 2 2 3 35" xfId="4871"/>
    <cellStyle name="Total 2 2 3 35 2" xfId="12588"/>
    <cellStyle name="Total 2 2 3 35 3" xfId="21581"/>
    <cellStyle name="Total 2 2 3 35 4" xfId="29768"/>
    <cellStyle name="Total 2 2 3 35 5" xfId="39117"/>
    <cellStyle name="Total 2 2 3 35 6" xfId="43433"/>
    <cellStyle name="Total 2 2 3 35 7" xfId="47626"/>
    <cellStyle name="Total 2 2 3 36" xfId="4983"/>
    <cellStyle name="Total 2 2 3 36 2" xfId="12700"/>
    <cellStyle name="Total 2 2 3 36 3" xfId="21693"/>
    <cellStyle name="Total 2 2 3 36 4" xfId="29880"/>
    <cellStyle name="Total 2 2 3 36 5" xfId="39226"/>
    <cellStyle name="Total 2 2 3 36 6" xfId="43545"/>
    <cellStyle name="Total 2 2 3 36 7" xfId="47757"/>
    <cellStyle name="Total 2 2 3 37" xfId="5128"/>
    <cellStyle name="Total 2 2 3 37 2" xfId="12845"/>
    <cellStyle name="Total 2 2 3 37 3" xfId="21838"/>
    <cellStyle name="Total 2 2 3 37 4" xfId="30025"/>
    <cellStyle name="Total 2 2 3 37 5" xfId="39366"/>
    <cellStyle name="Total 2 2 3 37 6" xfId="43690"/>
    <cellStyle name="Total 2 2 3 37 7" xfId="51656"/>
    <cellStyle name="Total 2 2 3 38" xfId="5481"/>
    <cellStyle name="Total 2 2 3 38 2" xfId="13198"/>
    <cellStyle name="Total 2 2 3 38 3" xfId="22191"/>
    <cellStyle name="Total 2 2 3 38 4" xfId="30378"/>
    <cellStyle name="Total 2 2 3 38 5" xfId="39704"/>
    <cellStyle name="Total 2 2 3 38 6" xfId="44043"/>
    <cellStyle name="Total 2 2 3 38 7" xfId="50587"/>
    <cellStyle name="Total 2 2 3 39" xfId="5606"/>
    <cellStyle name="Total 2 2 3 39 2" xfId="13323"/>
    <cellStyle name="Total 2 2 3 39 3" xfId="22316"/>
    <cellStyle name="Total 2 2 3 39 4" xfId="30503"/>
    <cellStyle name="Total 2 2 3 39 5" xfId="39824"/>
    <cellStyle name="Total 2 2 3 39 6" xfId="44168"/>
    <cellStyle name="Total 2 2 3 39 7" xfId="47136"/>
    <cellStyle name="Total 2 2 3 4" xfId="873"/>
    <cellStyle name="Total 2 2 3 4 2" xfId="8697"/>
    <cellStyle name="Total 2 2 3 4 3" xfId="16125"/>
    <cellStyle name="Total 2 2 3 4 4" xfId="26305"/>
    <cellStyle name="Total 2 2 3 4 5" xfId="35023"/>
    <cellStyle name="Total 2 2 3 4 6" xfId="37277"/>
    <cellStyle name="Total 2 2 3 4 7" xfId="53656"/>
    <cellStyle name="Total 2 2 3 40" xfId="5721"/>
    <cellStyle name="Total 2 2 3 40 2" xfId="13438"/>
    <cellStyle name="Total 2 2 3 40 3" xfId="22431"/>
    <cellStyle name="Total 2 2 3 40 4" xfId="30618"/>
    <cellStyle name="Total 2 2 3 40 5" xfId="39935"/>
    <cellStyle name="Total 2 2 3 40 6" xfId="44283"/>
    <cellStyle name="Total 2 2 3 40 7" xfId="46901"/>
    <cellStyle name="Total 2 2 3 41" xfId="5838"/>
    <cellStyle name="Total 2 2 3 41 2" xfId="13555"/>
    <cellStyle name="Total 2 2 3 41 3" xfId="22548"/>
    <cellStyle name="Total 2 2 3 41 4" xfId="30735"/>
    <cellStyle name="Total 2 2 3 41 5" xfId="40049"/>
    <cellStyle name="Total 2 2 3 41 6" xfId="44400"/>
    <cellStyle name="Total 2 2 3 41 7" xfId="49284"/>
    <cellStyle name="Total 2 2 3 42" xfId="5966"/>
    <cellStyle name="Total 2 2 3 42 2" xfId="13683"/>
    <cellStyle name="Total 2 2 3 42 3" xfId="22676"/>
    <cellStyle name="Total 2 2 3 42 4" xfId="30863"/>
    <cellStyle name="Total 2 2 3 42 5" xfId="40173"/>
    <cellStyle name="Total 2 2 3 42 6" xfId="44528"/>
    <cellStyle name="Total 2 2 3 42 7" xfId="50728"/>
    <cellStyle name="Total 2 2 3 43" xfId="5185"/>
    <cellStyle name="Total 2 2 3 43 2" xfId="12902"/>
    <cellStyle name="Total 2 2 3 43 3" xfId="21895"/>
    <cellStyle name="Total 2 2 3 43 4" xfId="30082"/>
    <cellStyle name="Total 2 2 3 43 5" xfId="39421"/>
    <cellStyle name="Total 2 2 3 43 6" xfId="43747"/>
    <cellStyle name="Total 2 2 3 43 7" xfId="50839"/>
    <cellStyle name="Total 2 2 3 44" xfId="6222"/>
    <cellStyle name="Total 2 2 3 44 2" xfId="13939"/>
    <cellStyle name="Total 2 2 3 44 3" xfId="22932"/>
    <cellStyle name="Total 2 2 3 44 4" xfId="31119"/>
    <cellStyle name="Total 2 2 3 44 5" xfId="40420"/>
    <cellStyle name="Total 2 2 3 44 6" xfId="44784"/>
    <cellStyle name="Total 2 2 3 44 7" xfId="48061"/>
    <cellStyle name="Total 2 2 3 45" xfId="6339"/>
    <cellStyle name="Total 2 2 3 45 2" xfId="14056"/>
    <cellStyle name="Total 2 2 3 45 3" xfId="23049"/>
    <cellStyle name="Total 2 2 3 45 4" xfId="31236"/>
    <cellStyle name="Total 2 2 3 45 5" xfId="40534"/>
    <cellStyle name="Total 2 2 3 45 6" xfId="44901"/>
    <cellStyle name="Total 2 2 3 45 7" xfId="49946"/>
    <cellStyle name="Total 2 2 3 46" xfId="6449"/>
    <cellStyle name="Total 2 2 3 46 2" xfId="14166"/>
    <cellStyle name="Total 2 2 3 46 3" xfId="23159"/>
    <cellStyle name="Total 2 2 3 46 4" xfId="31346"/>
    <cellStyle name="Total 2 2 3 46 5" xfId="40640"/>
    <cellStyle name="Total 2 2 3 46 6" xfId="45011"/>
    <cellStyle name="Total 2 2 3 46 7" xfId="51073"/>
    <cellStyle name="Total 2 2 3 47" xfId="5583"/>
    <cellStyle name="Total 2 2 3 47 2" xfId="13300"/>
    <cellStyle name="Total 2 2 3 47 3" xfId="22293"/>
    <cellStyle name="Total 2 2 3 47 4" xfId="30480"/>
    <cellStyle name="Total 2 2 3 47 5" xfId="39802"/>
    <cellStyle name="Total 2 2 3 47 6" xfId="44145"/>
    <cellStyle name="Total 2 2 3 47 7" xfId="47154"/>
    <cellStyle name="Total 2 2 3 48" xfId="6596"/>
    <cellStyle name="Total 2 2 3 48 2" xfId="14313"/>
    <cellStyle name="Total 2 2 3 48 3" xfId="23306"/>
    <cellStyle name="Total 2 2 3 48 4" xfId="31493"/>
    <cellStyle name="Total 2 2 3 48 5" xfId="40780"/>
    <cellStyle name="Total 2 2 3 48 6" xfId="45158"/>
    <cellStyle name="Total 2 2 3 48 7" xfId="51327"/>
    <cellStyle name="Total 2 2 3 49" xfId="6707"/>
    <cellStyle name="Total 2 2 3 49 2" xfId="14424"/>
    <cellStyle name="Total 2 2 3 49 3" xfId="23417"/>
    <cellStyle name="Total 2 2 3 49 4" xfId="31604"/>
    <cellStyle name="Total 2 2 3 49 5" xfId="40886"/>
    <cellStyle name="Total 2 2 3 49 6" xfId="45269"/>
    <cellStyle name="Total 2 2 3 49 7" xfId="54437"/>
    <cellStyle name="Total 2 2 3 5" xfId="1338"/>
    <cellStyle name="Total 2 2 3 5 2" xfId="9161"/>
    <cellStyle name="Total 2 2 3 5 3" xfId="16589"/>
    <cellStyle name="Total 2 2 3 5 4" xfId="20093"/>
    <cellStyle name="Total 2 2 3 5 5" xfId="28231"/>
    <cellStyle name="Total 2 2 3 5 6" xfId="41367"/>
    <cellStyle name="Total 2 2 3 5 7" xfId="50213"/>
    <cellStyle name="Total 2 2 3 50" xfId="6822"/>
    <cellStyle name="Total 2 2 3 50 2" xfId="14539"/>
    <cellStyle name="Total 2 2 3 50 3" xfId="23532"/>
    <cellStyle name="Total 2 2 3 50 4" xfId="31719"/>
    <cellStyle name="Total 2 2 3 50 5" xfId="40994"/>
    <cellStyle name="Total 2 2 3 50 6" xfId="45384"/>
    <cellStyle name="Total 2 2 3 50 7" xfId="47416"/>
    <cellStyle name="Total 2 2 3 51" xfId="6935"/>
    <cellStyle name="Total 2 2 3 51 2" xfId="14652"/>
    <cellStyle name="Total 2 2 3 51 3" xfId="23645"/>
    <cellStyle name="Total 2 2 3 51 4" xfId="31832"/>
    <cellStyle name="Total 2 2 3 51 5" xfId="41102"/>
    <cellStyle name="Total 2 2 3 51 6" xfId="45497"/>
    <cellStyle name="Total 2 2 3 51 7" xfId="47041"/>
    <cellStyle name="Total 2 2 3 52" xfId="7047"/>
    <cellStyle name="Total 2 2 3 52 2" xfId="14764"/>
    <cellStyle name="Total 2 2 3 52 3" xfId="23757"/>
    <cellStyle name="Total 2 2 3 52 4" xfId="31944"/>
    <cellStyle name="Total 2 2 3 52 5" xfId="41208"/>
    <cellStyle name="Total 2 2 3 52 6" xfId="45609"/>
    <cellStyle name="Total 2 2 3 52 7" xfId="48415"/>
    <cellStyle name="Total 2 2 3 53" xfId="7318"/>
    <cellStyle name="Total 2 2 3 53 2" xfId="15035"/>
    <cellStyle name="Total 2 2 3 53 3" xfId="24028"/>
    <cellStyle name="Total 2 2 3 53 4" xfId="32215"/>
    <cellStyle name="Total 2 2 3 53 5" xfId="41471"/>
    <cellStyle name="Total 2 2 3 53 6" xfId="45880"/>
    <cellStyle name="Total 2 2 3 53 7" xfId="48459"/>
    <cellStyle name="Total 2 2 3 54" xfId="7387"/>
    <cellStyle name="Total 2 2 3 54 2" xfId="15104"/>
    <cellStyle name="Total 2 2 3 54 3" xfId="24097"/>
    <cellStyle name="Total 2 2 3 54 4" xfId="32284"/>
    <cellStyle name="Total 2 2 3 54 5" xfId="41540"/>
    <cellStyle name="Total 2 2 3 54 6" xfId="45949"/>
    <cellStyle name="Total 2 2 3 54 7" xfId="48539"/>
    <cellStyle name="Total 2 2 3 55" xfId="7444"/>
    <cellStyle name="Total 2 2 3 55 2" xfId="15161"/>
    <cellStyle name="Total 2 2 3 55 3" xfId="24154"/>
    <cellStyle name="Total 2 2 3 55 4" xfId="32341"/>
    <cellStyle name="Total 2 2 3 55 5" xfId="41591"/>
    <cellStyle name="Total 2 2 3 55 6" xfId="46006"/>
    <cellStyle name="Total 2 2 3 55 7" xfId="48761"/>
    <cellStyle name="Total 2 2 3 56" xfId="7565"/>
    <cellStyle name="Total 2 2 3 56 2" xfId="15282"/>
    <cellStyle name="Total 2 2 3 56 3" xfId="24275"/>
    <cellStyle name="Total 2 2 3 56 4" xfId="32462"/>
    <cellStyle name="Total 2 2 3 56 5" xfId="41706"/>
    <cellStyle name="Total 2 2 3 56 6" xfId="46127"/>
    <cellStyle name="Total 2 2 3 56 7" xfId="50570"/>
    <cellStyle name="Total 2 2 3 57" xfId="7841"/>
    <cellStyle name="Total 2 2 3 57 2" xfId="15558"/>
    <cellStyle name="Total 2 2 3 57 3" xfId="24545"/>
    <cellStyle name="Total 2 2 3 57 4" xfId="32738"/>
    <cellStyle name="Total 2 2 3 57 5" xfId="41971"/>
    <cellStyle name="Total 2 2 3 57 6" xfId="46403"/>
    <cellStyle name="Total 2 2 3 57 7" xfId="52146"/>
    <cellStyle name="Total 2 2 3 58" xfId="7943"/>
    <cellStyle name="Total 2 2 3 58 2" xfId="15660"/>
    <cellStyle name="Total 2 2 3 58 3" xfId="24646"/>
    <cellStyle name="Total 2 2 3 58 4" xfId="32840"/>
    <cellStyle name="Total 2 2 3 58 5" xfId="42069"/>
    <cellStyle name="Total 2 2 3 58 6" xfId="46505"/>
    <cellStyle name="Total 2 2 3 58 7" xfId="47293"/>
    <cellStyle name="Total 2 2 3 59" xfId="7688"/>
    <cellStyle name="Total 2 2 3 59 2" xfId="15405"/>
    <cellStyle name="Total 2 2 3 59 3" xfId="24396"/>
    <cellStyle name="Total 2 2 3 59 4" xfId="32585"/>
    <cellStyle name="Total 2 2 3 59 5" xfId="41823"/>
    <cellStyle name="Total 2 2 3 59 6" xfId="46250"/>
    <cellStyle name="Total 2 2 3 59 7" xfId="48100"/>
    <cellStyle name="Total 2 2 3 6" xfId="1461"/>
    <cellStyle name="Total 2 2 3 6 2" xfId="9284"/>
    <cellStyle name="Total 2 2 3 6 3" xfId="16712"/>
    <cellStyle name="Total 2 2 3 6 4" xfId="24832"/>
    <cellStyle name="Total 2 2 3 6 5" xfId="28804"/>
    <cellStyle name="Total 2 2 3 6 6" xfId="37995"/>
    <cellStyle name="Total 2 2 3 6 7" xfId="49565"/>
    <cellStyle name="Total 2 2 3 60" xfId="8117"/>
    <cellStyle name="Total 2 2 3 60 2" xfId="15834"/>
    <cellStyle name="Total 2 2 3 60 3" xfId="33014"/>
    <cellStyle name="Total 2 2 3 60 4" xfId="42235"/>
    <cellStyle name="Total 2 2 3 60 5" xfId="46679"/>
    <cellStyle name="Total 2 2 3 60 6" xfId="52438"/>
    <cellStyle name="Total 2 2 3 61" xfId="25537"/>
    <cellStyle name="Total 2 2 3 62" xfId="34026"/>
    <cellStyle name="Total 2 2 3 63" xfId="38248"/>
    <cellStyle name="Total 2 2 3 64" xfId="51958"/>
    <cellStyle name="Total 2 2 3 7" xfId="1169"/>
    <cellStyle name="Total 2 2 3 7 2" xfId="8992"/>
    <cellStyle name="Total 2 2 3 7 3" xfId="16420"/>
    <cellStyle name="Total 2 2 3 7 4" xfId="19621"/>
    <cellStyle name="Total 2 2 3 7 5" xfId="27264"/>
    <cellStyle name="Total 2 2 3 7 6" xfId="38112"/>
    <cellStyle name="Total 2 2 3 7 7" xfId="47790"/>
    <cellStyle name="Total 2 2 3 8" xfId="1698"/>
    <cellStyle name="Total 2 2 3 8 2" xfId="9521"/>
    <cellStyle name="Total 2 2 3 8 3" xfId="16949"/>
    <cellStyle name="Total 2 2 3 8 4" xfId="19605"/>
    <cellStyle name="Total 2 2 3 8 5" xfId="27627"/>
    <cellStyle name="Total 2 2 3 8 6" xfId="36924"/>
    <cellStyle name="Total 2 2 3 8 7" xfId="47681"/>
    <cellStyle name="Total 2 2 3 9" xfId="1832"/>
    <cellStyle name="Total 2 2 3 9 2" xfId="9655"/>
    <cellStyle name="Total 2 2 3 9 3" xfId="17083"/>
    <cellStyle name="Total 2 2 3 9 4" xfId="20451"/>
    <cellStyle name="Total 2 2 3 9 5" xfId="27910"/>
    <cellStyle name="Total 2 2 3 9 6" xfId="37956"/>
    <cellStyle name="Total 2 2 3 9 7" xfId="48013"/>
    <cellStyle name="Total 2 2 30" xfId="3679"/>
    <cellStyle name="Total 2 2 30 2" xfId="11464"/>
    <cellStyle name="Total 2 2 30 3" xfId="18737"/>
    <cellStyle name="Total 2 2 30 4" xfId="25293"/>
    <cellStyle name="Total 2 2 30 5" xfId="33707"/>
    <cellStyle name="Total 2 2 30 6" xfId="37634"/>
    <cellStyle name="Total 2 2 30 7" xfId="51414"/>
    <cellStyle name="Total 2 2 31" xfId="3168"/>
    <cellStyle name="Total 2 2 31 2" xfId="10970"/>
    <cellStyle name="Total 2 2 31 3" xfId="18337"/>
    <cellStyle name="Total 2 2 31 4" xfId="25861"/>
    <cellStyle name="Total 2 2 31 5" xfId="34449"/>
    <cellStyle name="Total 2 2 31 6" xfId="38224"/>
    <cellStyle name="Total 2 2 31 7" xfId="52697"/>
    <cellStyle name="Total 2 2 32" xfId="3755"/>
    <cellStyle name="Total 2 2 32 2" xfId="11540"/>
    <cellStyle name="Total 2 2 32 3" xfId="20605"/>
    <cellStyle name="Total 2 2 32 4" xfId="28755"/>
    <cellStyle name="Total 2 2 32 5" xfId="38143"/>
    <cellStyle name="Total 2 2 32 6" xfId="42531"/>
    <cellStyle name="Total 2 2 32 7" xfId="52750"/>
    <cellStyle name="Total 2 2 33" xfId="3479"/>
    <cellStyle name="Total 2 2 33 2" xfId="11270"/>
    <cellStyle name="Total 2 2 33 3" xfId="20466"/>
    <cellStyle name="Total 2 2 33 4" xfId="28588"/>
    <cellStyle name="Total 2 2 33 5" xfId="37967"/>
    <cellStyle name="Total 2 2 33 6" xfId="42477"/>
    <cellStyle name="Total 2 2 33 7" xfId="49473"/>
    <cellStyle name="Total 2 2 34" xfId="4221"/>
    <cellStyle name="Total 2 2 34 2" xfId="20931"/>
    <cellStyle name="Total 2 2 34 3" xfId="29118"/>
    <cellStyle name="Total 2 2 34 4" xfId="38493"/>
    <cellStyle name="Total 2 2 34 5" xfId="42783"/>
    <cellStyle name="Total 2 2 34 6" xfId="47439"/>
    <cellStyle name="Total 2 2 35" xfId="3485"/>
    <cellStyle name="Total 2 2 35 2" xfId="11276"/>
    <cellStyle name="Total 2 2 35 3" xfId="20472"/>
    <cellStyle name="Total 2 2 35 4" xfId="28593"/>
    <cellStyle name="Total 2 2 35 5" xfId="37971"/>
    <cellStyle name="Total 2 2 35 6" xfId="42482"/>
    <cellStyle name="Total 2 2 35 7" xfId="47818"/>
    <cellStyle name="Total 2 2 36" xfId="4276"/>
    <cellStyle name="Total 2 2 36 2" xfId="11993"/>
    <cellStyle name="Total 2 2 36 3" xfId="20986"/>
    <cellStyle name="Total 2 2 36 4" xfId="29173"/>
    <cellStyle name="Total 2 2 36 5" xfId="38546"/>
    <cellStyle name="Total 2 2 36 6" xfId="42838"/>
    <cellStyle name="Total 2 2 36 7" xfId="51425"/>
    <cellStyle name="Total 2 2 37" xfId="4400"/>
    <cellStyle name="Total 2 2 37 2" xfId="12117"/>
    <cellStyle name="Total 2 2 37 3" xfId="21110"/>
    <cellStyle name="Total 2 2 37 4" xfId="29297"/>
    <cellStyle name="Total 2 2 37 5" xfId="38667"/>
    <cellStyle name="Total 2 2 37 6" xfId="42962"/>
    <cellStyle name="Total 2 2 37 7" xfId="47692"/>
    <cellStyle name="Total 2 2 38" xfId="4590"/>
    <cellStyle name="Total 2 2 38 2" xfId="12307"/>
    <cellStyle name="Total 2 2 38 3" xfId="21300"/>
    <cellStyle name="Total 2 2 38 4" xfId="29487"/>
    <cellStyle name="Total 2 2 38 5" xfId="38847"/>
    <cellStyle name="Total 2 2 38 6" xfId="43152"/>
    <cellStyle name="Total 2 2 38 7" xfId="47483"/>
    <cellStyle name="Total 2 2 39" xfId="4628"/>
    <cellStyle name="Total 2 2 39 2" xfId="12345"/>
    <cellStyle name="Total 2 2 39 3" xfId="21338"/>
    <cellStyle name="Total 2 2 39 4" xfId="29525"/>
    <cellStyle name="Total 2 2 39 5" xfId="38884"/>
    <cellStyle name="Total 2 2 39 6" xfId="43190"/>
    <cellStyle name="Total 2 2 39 7" xfId="53999"/>
    <cellStyle name="Total 2 2 4" xfId="492"/>
    <cellStyle name="Total 2 2 4 10" xfId="1939"/>
    <cellStyle name="Total 2 2 4 10 2" xfId="9762"/>
    <cellStyle name="Total 2 2 4 10 3" xfId="17190"/>
    <cellStyle name="Total 2 2 4 10 4" xfId="25989"/>
    <cellStyle name="Total 2 2 4 10 5" xfId="34611"/>
    <cellStyle name="Total 2 2 4 10 6" xfId="41585"/>
    <cellStyle name="Total 2 2 4 10 7" xfId="52974"/>
    <cellStyle name="Total 2 2 4 11" xfId="2057"/>
    <cellStyle name="Total 2 2 4 11 2" xfId="9880"/>
    <cellStyle name="Total 2 2 4 11 3" xfId="17308"/>
    <cellStyle name="Total 2 2 4 11 4" xfId="26082"/>
    <cellStyle name="Total 2 2 4 11 5" xfId="34729"/>
    <cellStyle name="Total 2 2 4 11 6" xfId="37475"/>
    <cellStyle name="Total 2 2 4 11 7" xfId="53170"/>
    <cellStyle name="Total 2 2 4 12" xfId="2170"/>
    <cellStyle name="Total 2 2 4 12 2" xfId="9993"/>
    <cellStyle name="Total 2 2 4 12 3" xfId="17421"/>
    <cellStyle name="Total 2 2 4 12 4" xfId="25451"/>
    <cellStyle name="Total 2 2 4 12 5" xfId="33913"/>
    <cellStyle name="Total 2 2 4 12 6" xfId="40425"/>
    <cellStyle name="Total 2 2 4 12 7" xfId="51758"/>
    <cellStyle name="Total 2 2 4 13" xfId="1434"/>
    <cellStyle name="Total 2 2 4 13 2" xfId="9257"/>
    <cellStyle name="Total 2 2 4 13 3" xfId="16685"/>
    <cellStyle name="Total 2 2 4 13 4" xfId="25921"/>
    <cellStyle name="Total 2 2 4 13 5" xfId="34522"/>
    <cellStyle name="Total 2 2 4 13 6" xfId="40638"/>
    <cellStyle name="Total 2 2 4 13 7" xfId="52822"/>
    <cellStyle name="Total 2 2 4 14" xfId="2362"/>
    <cellStyle name="Total 2 2 4 14 2" xfId="10185"/>
    <cellStyle name="Total 2 2 4 14 3" xfId="17613"/>
    <cellStyle name="Total 2 2 4 14 4" xfId="24928"/>
    <cellStyle name="Total 2 2 4 14 5" xfId="33259"/>
    <cellStyle name="Total 2 2 4 14 6" xfId="36713"/>
    <cellStyle name="Total 2 2 4 14 7" xfId="50631"/>
    <cellStyle name="Total 2 2 4 15" xfId="2468"/>
    <cellStyle name="Total 2 2 4 15 2" xfId="10291"/>
    <cellStyle name="Total 2 2 4 15 3" xfId="17719"/>
    <cellStyle name="Total 2 2 4 15 4" xfId="26657"/>
    <cellStyle name="Total 2 2 4 15 5" xfId="35501"/>
    <cellStyle name="Total 2 2 4 15 6" xfId="39958"/>
    <cellStyle name="Total 2 2 4 15 7" xfId="54407"/>
    <cellStyle name="Total 2 2 4 16" xfId="2581"/>
    <cellStyle name="Total 2 2 4 16 2" xfId="10404"/>
    <cellStyle name="Total 2 2 4 16 3" xfId="17832"/>
    <cellStyle name="Total 2 2 4 16 4" xfId="25351"/>
    <cellStyle name="Total 2 2 4 16 5" xfId="33786"/>
    <cellStyle name="Total 2 2 4 16 6" xfId="37467"/>
    <cellStyle name="Total 2 2 4 16 7" xfId="51535"/>
    <cellStyle name="Total 2 2 4 17" xfId="2683"/>
    <cellStyle name="Total 2 2 4 17 2" xfId="10506"/>
    <cellStyle name="Total 2 2 4 17 3" xfId="17934"/>
    <cellStyle name="Total 2 2 4 17 4" xfId="19730"/>
    <cellStyle name="Total 2 2 4 17 5" xfId="27917"/>
    <cellStyle name="Total 2 2 4 17 6" xfId="41505"/>
    <cellStyle name="Total 2 2 4 17 7" xfId="48250"/>
    <cellStyle name="Total 2 2 4 18" xfId="2720"/>
    <cellStyle name="Total 2 2 4 18 2" xfId="10543"/>
    <cellStyle name="Total 2 2 4 18 3" xfId="17971"/>
    <cellStyle name="Total 2 2 4 18 4" xfId="24930"/>
    <cellStyle name="Total 2 2 4 18 5" xfId="33261"/>
    <cellStyle name="Total 2 2 4 18 6" xfId="37909"/>
    <cellStyle name="Total 2 2 4 18 7" xfId="50634"/>
    <cellStyle name="Total 2 2 4 19" xfId="2775"/>
    <cellStyle name="Total 2 2 4 19 2" xfId="10598"/>
    <cellStyle name="Total 2 2 4 19 3" xfId="18026"/>
    <cellStyle name="Total 2 2 4 19 4" xfId="26422"/>
    <cellStyle name="Total 2 2 4 19 5" xfId="35186"/>
    <cellStyle name="Total 2 2 4 19 6" xfId="39755"/>
    <cellStyle name="Total 2 2 4 19 7" xfId="53902"/>
    <cellStyle name="Total 2 2 4 2" xfId="643"/>
    <cellStyle name="Total 2 2 4 2 2" xfId="8467"/>
    <cellStyle name="Total 2 2 4 2 3" xfId="8291"/>
    <cellStyle name="Total 2 2 4 2 4" xfId="26154"/>
    <cellStyle name="Total 2 2 4 2 5" xfId="34823"/>
    <cellStyle name="Total 2 2 4 2 6" xfId="38065"/>
    <cellStyle name="Total 2 2 4 2 7" xfId="53330"/>
    <cellStyle name="Total 2 2 4 20" xfId="2882"/>
    <cellStyle name="Total 2 2 4 20 2" xfId="10705"/>
    <cellStyle name="Total 2 2 4 20 3" xfId="18133"/>
    <cellStyle name="Total 2 2 4 20 4" xfId="19060"/>
    <cellStyle name="Total 2 2 4 20 5" xfId="33167"/>
    <cellStyle name="Total 2 2 4 20 6" xfId="37067"/>
    <cellStyle name="Total 2 2 4 20 7" xfId="50470"/>
    <cellStyle name="Total 2 2 4 21" xfId="3258"/>
    <cellStyle name="Total 2 2 4 21 2" xfId="11051"/>
    <cellStyle name="Total 2 2 4 21 3" xfId="18380"/>
    <cellStyle name="Total 2 2 4 21 4" xfId="24853"/>
    <cellStyle name="Total 2 2 4 21 5" xfId="28529"/>
    <cellStyle name="Total 2 2 4 21 6" xfId="37136"/>
    <cellStyle name="Total 2 2 4 21 7" xfId="49931"/>
    <cellStyle name="Total 2 2 4 22" xfId="3378"/>
    <cellStyle name="Total 2 2 4 22 2" xfId="11169"/>
    <cellStyle name="Total 2 2 4 22 3" xfId="18491"/>
    <cellStyle name="Total 2 2 4 22 4" xfId="25783"/>
    <cellStyle name="Total 2 2 4 22 5" xfId="34346"/>
    <cellStyle name="Total 2 2 4 22 6" xfId="39066"/>
    <cellStyle name="Total 2 2 4 22 7" xfId="52514"/>
    <cellStyle name="Total 2 2 4 23" xfId="3520"/>
    <cellStyle name="Total 2 2 4 23 2" xfId="11311"/>
    <cellStyle name="Total 2 2 4 23 3" xfId="18608"/>
    <cellStyle name="Total 2 2 4 23 4" xfId="25975"/>
    <cellStyle name="Total 2 2 4 23 5" xfId="34588"/>
    <cellStyle name="Total 2 2 4 23 6" xfId="41064"/>
    <cellStyle name="Total 2 2 4 23 7" xfId="52939"/>
    <cellStyle name="Total 2 2 4 24" xfId="3648"/>
    <cellStyle name="Total 2 2 4 24 2" xfId="11433"/>
    <cellStyle name="Total 2 2 4 24 3" xfId="18706"/>
    <cellStyle name="Total 2 2 4 24 4" xfId="20424"/>
    <cellStyle name="Total 2 2 4 24 5" xfId="27838"/>
    <cellStyle name="Total 2 2 4 24 6" xfId="41484"/>
    <cellStyle name="Total 2 2 4 24 7" xfId="47985"/>
    <cellStyle name="Total 2 2 4 25" xfId="3779"/>
    <cellStyle name="Total 2 2 4 25 2" xfId="11561"/>
    <cellStyle name="Total 2 2 4 25 3" xfId="18818"/>
    <cellStyle name="Total 2 2 4 25 4" xfId="19726"/>
    <cellStyle name="Total 2 2 4 25 5" xfId="27726"/>
    <cellStyle name="Total 2 2 4 25 6" xfId="37309"/>
    <cellStyle name="Total 2 2 4 25 7" xfId="50221"/>
    <cellStyle name="Total 2 2 4 26" xfId="3896"/>
    <cellStyle name="Total 2 2 4 26 2" xfId="11676"/>
    <cellStyle name="Total 2 2 4 26 3" xfId="18927"/>
    <cellStyle name="Total 2 2 4 26 4" xfId="25550"/>
    <cellStyle name="Total 2 2 4 26 5" xfId="34043"/>
    <cellStyle name="Total 2 2 4 26 6" xfId="39813"/>
    <cellStyle name="Total 2 2 4 26 7" xfId="51977"/>
    <cellStyle name="Total 2 2 4 27" xfId="3537"/>
    <cellStyle name="Total 2 2 4 27 2" xfId="11327"/>
    <cellStyle name="Total 2 2 4 27 3" xfId="20506"/>
    <cellStyle name="Total 2 2 4 27 4" xfId="28632"/>
    <cellStyle name="Total 2 2 4 27 5" xfId="38009"/>
    <cellStyle name="Total 2 2 4 27 6" xfId="42502"/>
    <cellStyle name="Total 2 2 4 27 7" xfId="51032"/>
    <cellStyle name="Total 2 2 4 28" xfId="4093"/>
    <cellStyle name="Total 2 2 4 28 2" xfId="11853"/>
    <cellStyle name="Total 2 2 4 28 3" xfId="20803"/>
    <cellStyle name="Total 2 2 4 28 4" xfId="28990"/>
    <cellStyle name="Total 2 2 4 28 5" xfId="38369"/>
    <cellStyle name="Total 2 2 4 28 6" xfId="42655"/>
    <cellStyle name="Total 2 2 4 28 7" xfId="51830"/>
    <cellStyle name="Total 2 2 4 29" xfId="4078"/>
    <cellStyle name="Total 2 2 4 29 2" xfId="20788"/>
    <cellStyle name="Total 2 2 4 29 3" xfId="28975"/>
    <cellStyle name="Total 2 2 4 29 4" xfId="38354"/>
    <cellStyle name="Total 2 2 4 29 5" xfId="42640"/>
    <cellStyle name="Total 2 2 4 29 6" xfId="48279"/>
    <cellStyle name="Total 2 2 4 3" xfId="750"/>
    <cellStyle name="Total 2 2 4 3 2" xfId="8574"/>
    <cellStyle name="Total 2 2 4 3 3" xfId="16002"/>
    <cellStyle name="Total 2 2 4 3 4" xfId="19712"/>
    <cellStyle name="Total 2 2 4 3 5" xfId="27060"/>
    <cellStyle name="Total 2 2 4 3 6" xfId="38057"/>
    <cellStyle name="Total 2 2 4 3 7" xfId="48560"/>
    <cellStyle name="Total 2 2 4 30" xfId="4290"/>
    <cellStyle name="Total 2 2 4 30 2" xfId="12007"/>
    <cellStyle name="Total 2 2 4 30 3" xfId="21000"/>
    <cellStyle name="Total 2 2 4 30 4" xfId="29187"/>
    <cellStyle name="Total 2 2 4 30 5" xfId="38560"/>
    <cellStyle name="Total 2 2 4 30 6" xfId="42852"/>
    <cellStyle name="Total 2 2 4 30 7" xfId="50137"/>
    <cellStyle name="Total 2 2 4 31" xfId="4413"/>
    <cellStyle name="Total 2 2 4 31 2" xfId="12130"/>
    <cellStyle name="Total 2 2 4 31 3" xfId="21123"/>
    <cellStyle name="Total 2 2 4 31 4" xfId="29310"/>
    <cellStyle name="Total 2 2 4 31 5" xfId="38680"/>
    <cellStyle name="Total 2 2 4 31 6" xfId="42975"/>
    <cellStyle name="Total 2 2 4 31 7" xfId="54235"/>
    <cellStyle name="Total 2 2 4 32" xfId="4527"/>
    <cellStyle name="Total 2 2 4 32 2" xfId="12244"/>
    <cellStyle name="Total 2 2 4 32 3" xfId="21237"/>
    <cellStyle name="Total 2 2 4 32 4" xfId="29424"/>
    <cellStyle name="Total 2 2 4 32 5" xfId="38788"/>
    <cellStyle name="Total 2 2 4 32 6" xfId="43089"/>
    <cellStyle name="Total 2 2 4 32 7" xfId="48840"/>
    <cellStyle name="Total 2 2 4 33" xfId="4640"/>
    <cellStyle name="Total 2 2 4 33 2" xfId="12357"/>
    <cellStyle name="Total 2 2 4 33 3" xfId="21350"/>
    <cellStyle name="Total 2 2 4 33 4" xfId="29537"/>
    <cellStyle name="Total 2 2 4 33 5" xfId="38896"/>
    <cellStyle name="Total 2 2 4 33 6" xfId="43202"/>
    <cellStyle name="Total 2 2 4 33 7" xfId="52997"/>
    <cellStyle name="Total 2 2 4 34" xfId="4752"/>
    <cellStyle name="Total 2 2 4 34 2" xfId="12469"/>
    <cellStyle name="Total 2 2 4 34 3" xfId="21462"/>
    <cellStyle name="Total 2 2 4 34 4" xfId="29649"/>
    <cellStyle name="Total 2 2 4 34 5" xfId="39004"/>
    <cellStyle name="Total 2 2 4 34 6" xfId="43314"/>
    <cellStyle name="Total 2 2 4 34 7" xfId="49164"/>
    <cellStyle name="Total 2 2 4 35" xfId="4860"/>
    <cellStyle name="Total 2 2 4 35 2" xfId="12577"/>
    <cellStyle name="Total 2 2 4 35 3" xfId="21570"/>
    <cellStyle name="Total 2 2 4 35 4" xfId="29757"/>
    <cellStyle name="Total 2 2 4 35 5" xfId="39108"/>
    <cellStyle name="Total 2 2 4 35 6" xfId="43422"/>
    <cellStyle name="Total 2 2 4 35 7" xfId="48064"/>
    <cellStyle name="Total 2 2 4 36" xfId="4972"/>
    <cellStyle name="Total 2 2 4 36 2" xfId="12689"/>
    <cellStyle name="Total 2 2 4 36 3" xfId="21682"/>
    <cellStyle name="Total 2 2 4 36 4" xfId="29869"/>
    <cellStyle name="Total 2 2 4 36 5" xfId="39216"/>
    <cellStyle name="Total 2 2 4 36 6" xfId="43534"/>
    <cellStyle name="Total 2 2 4 36 7" xfId="50333"/>
    <cellStyle name="Total 2 2 4 37" xfId="5141"/>
    <cellStyle name="Total 2 2 4 37 2" xfId="12858"/>
    <cellStyle name="Total 2 2 4 37 3" xfId="21851"/>
    <cellStyle name="Total 2 2 4 37 4" xfId="30038"/>
    <cellStyle name="Total 2 2 4 37 5" xfId="39378"/>
    <cellStyle name="Total 2 2 4 37 6" xfId="43703"/>
    <cellStyle name="Total 2 2 4 37 7" xfId="54135"/>
    <cellStyle name="Total 2 2 4 38" xfId="5470"/>
    <cellStyle name="Total 2 2 4 38 2" xfId="13187"/>
    <cellStyle name="Total 2 2 4 38 3" xfId="22180"/>
    <cellStyle name="Total 2 2 4 38 4" xfId="30367"/>
    <cellStyle name="Total 2 2 4 38 5" xfId="39695"/>
    <cellStyle name="Total 2 2 4 38 6" xfId="44032"/>
    <cellStyle name="Total 2 2 4 38 7" xfId="51879"/>
    <cellStyle name="Total 2 2 4 39" xfId="5595"/>
    <cellStyle name="Total 2 2 4 39 2" xfId="13312"/>
    <cellStyle name="Total 2 2 4 39 3" xfId="22305"/>
    <cellStyle name="Total 2 2 4 39 4" xfId="30492"/>
    <cellStyle name="Total 2 2 4 39 5" xfId="39814"/>
    <cellStyle name="Total 2 2 4 39 6" xfId="44157"/>
    <cellStyle name="Total 2 2 4 39 7" xfId="47144"/>
    <cellStyle name="Total 2 2 4 4" xfId="862"/>
    <cellStyle name="Total 2 2 4 4 2" xfId="8686"/>
    <cellStyle name="Total 2 2 4 4 3" xfId="16114"/>
    <cellStyle name="Total 2 2 4 4 4" xfId="20013"/>
    <cellStyle name="Total 2 2 4 4 5" xfId="28476"/>
    <cellStyle name="Total 2 2 4 4 6" xfId="37820"/>
    <cellStyle name="Total 2 2 4 4 7" xfId="49420"/>
    <cellStyle name="Total 2 2 4 40" xfId="5710"/>
    <cellStyle name="Total 2 2 4 40 2" xfId="13427"/>
    <cellStyle name="Total 2 2 4 40 3" xfId="22420"/>
    <cellStyle name="Total 2 2 4 40 4" xfId="30607"/>
    <cellStyle name="Total 2 2 4 40 5" xfId="39925"/>
    <cellStyle name="Total 2 2 4 40 6" xfId="44272"/>
    <cellStyle name="Total 2 2 4 40 7" xfId="46925"/>
    <cellStyle name="Total 2 2 4 41" xfId="5827"/>
    <cellStyle name="Total 2 2 4 41 2" xfId="13544"/>
    <cellStyle name="Total 2 2 4 41 3" xfId="22537"/>
    <cellStyle name="Total 2 2 4 41 4" xfId="30724"/>
    <cellStyle name="Total 2 2 4 41 5" xfId="40039"/>
    <cellStyle name="Total 2 2 4 41 6" xfId="44389"/>
    <cellStyle name="Total 2 2 4 41 7" xfId="50538"/>
    <cellStyle name="Total 2 2 4 42" xfId="5955"/>
    <cellStyle name="Total 2 2 4 42 2" xfId="13672"/>
    <cellStyle name="Total 2 2 4 42 3" xfId="22665"/>
    <cellStyle name="Total 2 2 4 42 4" xfId="30852"/>
    <cellStyle name="Total 2 2 4 42 5" xfId="40163"/>
    <cellStyle name="Total 2 2 4 42 6" xfId="44517"/>
    <cellStyle name="Total 2 2 4 42 7" xfId="52026"/>
    <cellStyle name="Total 2 2 4 43" xfId="6058"/>
    <cellStyle name="Total 2 2 4 43 2" xfId="13775"/>
    <cellStyle name="Total 2 2 4 43 3" xfId="22768"/>
    <cellStyle name="Total 2 2 4 43 4" xfId="30955"/>
    <cellStyle name="Total 2 2 4 43 5" xfId="40262"/>
    <cellStyle name="Total 2 2 4 43 6" xfId="44620"/>
    <cellStyle name="Total 2 2 4 43 7" xfId="51795"/>
    <cellStyle name="Total 2 2 4 44" xfId="6211"/>
    <cellStyle name="Total 2 2 4 44 2" xfId="13928"/>
    <cellStyle name="Total 2 2 4 44 3" xfId="22921"/>
    <cellStyle name="Total 2 2 4 44 4" xfId="31108"/>
    <cellStyle name="Total 2 2 4 44 5" xfId="40409"/>
    <cellStyle name="Total 2 2 4 44 6" xfId="44773"/>
    <cellStyle name="Total 2 2 4 44 7" xfId="48176"/>
    <cellStyle name="Total 2 2 4 45" xfId="6328"/>
    <cellStyle name="Total 2 2 4 45 2" xfId="14045"/>
    <cellStyle name="Total 2 2 4 45 3" xfId="23038"/>
    <cellStyle name="Total 2 2 4 45 4" xfId="31225"/>
    <cellStyle name="Total 2 2 4 45 5" xfId="40524"/>
    <cellStyle name="Total 2 2 4 45 6" xfId="44890"/>
    <cellStyle name="Total 2 2 4 45 7" xfId="51035"/>
    <cellStyle name="Total 2 2 4 46" xfId="6438"/>
    <cellStyle name="Total 2 2 4 46 2" xfId="14155"/>
    <cellStyle name="Total 2 2 4 46 3" xfId="23148"/>
    <cellStyle name="Total 2 2 4 46 4" xfId="31335"/>
    <cellStyle name="Total 2 2 4 46 5" xfId="40630"/>
    <cellStyle name="Total 2 2 4 46 6" xfId="45000"/>
    <cellStyle name="Total 2 2 4 46 7" xfId="52419"/>
    <cellStyle name="Total 2 2 4 47" xfId="6133"/>
    <cellStyle name="Total 2 2 4 47 2" xfId="13850"/>
    <cellStyle name="Total 2 2 4 47 3" xfId="22843"/>
    <cellStyle name="Total 2 2 4 47 4" xfId="31030"/>
    <cellStyle name="Total 2 2 4 47 5" xfId="40331"/>
    <cellStyle name="Total 2 2 4 47 6" xfId="44695"/>
    <cellStyle name="Total 2 2 4 47 7" xfId="50084"/>
    <cellStyle name="Total 2 2 4 48" xfId="6585"/>
    <cellStyle name="Total 2 2 4 48 2" xfId="14302"/>
    <cellStyle name="Total 2 2 4 48 3" xfId="23295"/>
    <cellStyle name="Total 2 2 4 48 4" xfId="31482"/>
    <cellStyle name="Total 2 2 4 48 5" xfId="40770"/>
    <cellStyle name="Total 2 2 4 48 6" xfId="45147"/>
    <cellStyle name="Total 2 2 4 48 7" xfId="52701"/>
    <cellStyle name="Total 2 2 4 49" xfId="6696"/>
    <cellStyle name="Total 2 2 4 49 2" xfId="14413"/>
    <cellStyle name="Total 2 2 4 49 3" xfId="23406"/>
    <cellStyle name="Total 2 2 4 49 4" xfId="31593"/>
    <cellStyle name="Total 2 2 4 49 5" xfId="40876"/>
    <cellStyle name="Total 2 2 4 49 6" xfId="45258"/>
    <cellStyle name="Total 2 2 4 49 7" xfId="50777"/>
    <cellStyle name="Total 2 2 4 5" xfId="1327"/>
    <cellStyle name="Total 2 2 4 5 2" xfId="9150"/>
    <cellStyle name="Total 2 2 4 5 3" xfId="16578"/>
    <cellStyle name="Total 2 2 4 5 4" xfId="25218"/>
    <cellStyle name="Total 2 2 4 5 5" xfId="33617"/>
    <cellStyle name="Total 2 2 4 5 6" xfId="37670"/>
    <cellStyle name="Total 2 2 4 5 7" xfId="51257"/>
    <cellStyle name="Total 2 2 4 50" xfId="6811"/>
    <cellStyle name="Total 2 2 4 50 2" xfId="14528"/>
    <cellStyle name="Total 2 2 4 50 3" xfId="23521"/>
    <cellStyle name="Total 2 2 4 50 4" xfId="31708"/>
    <cellStyle name="Total 2 2 4 50 5" xfId="40984"/>
    <cellStyle name="Total 2 2 4 50 6" xfId="45373"/>
    <cellStyle name="Total 2 2 4 50 7" xfId="47519"/>
    <cellStyle name="Total 2 2 4 51" xfId="6924"/>
    <cellStyle name="Total 2 2 4 51 2" xfId="14641"/>
    <cellStyle name="Total 2 2 4 51 3" xfId="23634"/>
    <cellStyle name="Total 2 2 4 51 4" xfId="31821"/>
    <cellStyle name="Total 2 2 4 51 5" xfId="41092"/>
    <cellStyle name="Total 2 2 4 51 6" xfId="45486"/>
    <cellStyle name="Total 2 2 4 51 7" xfId="54524"/>
    <cellStyle name="Total 2 2 4 52" xfId="7036"/>
    <cellStyle name="Total 2 2 4 52 2" xfId="14753"/>
    <cellStyle name="Total 2 2 4 52 3" xfId="23746"/>
    <cellStyle name="Total 2 2 4 52 4" xfId="31933"/>
    <cellStyle name="Total 2 2 4 52 5" xfId="41198"/>
    <cellStyle name="Total 2 2 4 52 6" xfId="45598"/>
    <cellStyle name="Total 2 2 4 52 7" xfId="47217"/>
    <cellStyle name="Total 2 2 4 53" xfId="7322"/>
    <cellStyle name="Total 2 2 4 53 2" xfId="15039"/>
    <cellStyle name="Total 2 2 4 53 3" xfId="24032"/>
    <cellStyle name="Total 2 2 4 53 4" xfId="32219"/>
    <cellStyle name="Total 2 2 4 53 5" xfId="41475"/>
    <cellStyle name="Total 2 2 4 53 6" xfId="45884"/>
    <cellStyle name="Total 2 2 4 53 7" xfId="54015"/>
    <cellStyle name="Total 2 2 4 54" xfId="7149"/>
    <cellStyle name="Total 2 2 4 54 2" xfId="14866"/>
    <cellStyle name="Total 2 2 4 54 3" xfId="23859"/>
    <cellStyle name="Total 2 2 4 54 4" xfId="32046"/>
    <cellStyle name="Total 2 2 4 54 5" xfId="41308"/>
    <cellStyle name="Total 2 2 4 54 6" xfId="45711"/>
    <cellStyle name="Total 2 2 4 54 7" xfId="50304"/>
    <cellStyle name="Total 2 2 4 55" xfId="7433"/>
    <cellStyle name="Total 2 2 4 55 2" xfId="15150"/>
    <cellStyle name="Total 2 2 4 55 3" xfId="24143"/>
    <cellStyle name="Total 2 2 4 55 4" xfId="32330"/>
    <cellStyle name="Total 2 2 4 55 5" xfId="41581"/>
    <cellStyle name="Total 2 2 4 55 6" xfId="45995"/>
    <cellStyle name="Total 2 2 4 55 7" xfId="49906"/>
    <cellStyle name="Total 2 2 4 56" xfId="7554"/>
    <cellStyle name="Total 2 2 4 56 2" xfId="15271"/>
    <cellStyle name="Total 2 2 4 56 3" xfId="24264"/>
    <cellStyle name="Total 2 2 4 56 4" xfId="32451"/>
    <cellStyle name="Total 2 2 4 56 5" xfId="41696"/>
    <cellStyle name="Total 2 2 4 56 6" xfId="46116"/>
    <cellStyle name="Total 2 2 4 56 7" xfId="52097"/>
    <cellStyle name="Total 2 2 4 57" xfId="7830"/>
    <cellStyle name="Total 2 2 4 57 2" xfId="15547"/>
    <cellStyle name="Total 2 2 4 57 3" xfId="24534"/>
    <cellStyle name="Total 2 2 4 57 4" xfId="32727"/>
    <cellStyle name="Total 2 2 4 57 5" xfId="41962"/>
    <cellStyle name="Total 2 2 4 57 6" xfId="46392"/>
    <cellStyle name="Total 2 2 4 57 7" xfId="53184"/>
    <cellStyle name="Total 2 2 4 58" xfId="7967"/>
    <cellStyle name="Total 2 2 4 58 2" xfId="15684"/>
    <cellStyle name="Total 2 2 4 58 3" xfId="24670"/>
    <cellStyle name="Total 2 2 4 58 4" xfId="32864"/>
    <cellStyle name="Total 2 2 4 58 5" xfId="42091"/>
    <cellStyle name="Total 2 2 4 58 6" xfId="46529"/>
    <cellStyle name="Total 2 2 4 58 7" xfId="53342"/>
    <cellStyle name="Total 2 2 4 59" xfId="7660"/>
    <cellStyle name="Total 2 2 4 59 2" xfId="15377"/>
    <cellStyle name="Total 2 2 4 59 3" xfId="24369"/>
    <cellStyle name="Total 2 2 4 59 4" xfId="32557"/>
    <cellStyle name="Total 2 2 4 59 5" xfId="41798"/>
    <cellStyle name="Total 2 2 4 59 6" xfId="46222"/>
    <cellStyle name="Total 2 2 4 59 7" xfId="49530"/>
    <cellStyle name="Total 2 2 4 6" xfId="1450"/>
    <cellStyle name="Total 2 2 4 6 2" xfId="9273"/>
    <cellStyle name="Total 2 2 4 6 3" xfId="16701"/>
    <cellStyle name="Total 2 2 4 6 4" xfId="25053"/>
    <cellStyle name="Total 2 2 4 6 5" xfId="33413"/>
    <cellStyle name="Total 2 2 4 6 6" xfId="38795"/>
    <cellStyle name="Total 2 2 4 6 7" xfId="50905"/>
    <cellStyle name="Total 2 2 4 60" xfId="8106"/>
    <cellStyle name="Total 2 2 4 60 2" xfId="15823"/>
    <cellStyle name="Total 2 2 4 60 3" xfId="33003"/>
    <cellStyle name="Total 2 2 4 60 4" xfId="42225"/>
    <cellStyle name="Total 2 2 4 60 5" xfId="46668"/>
    <cellStyle name="Total 2 2 4 60 6" xfId="53451"/>
    <cellStyle name="Total 2 2 4 61" xfId="26007"/>
    <cellStyle name="Total 2 2 4 62" xfId="34632"/>
    <cellStyle name="Total 2 2 4 63" xfId="37025"/>
    <cellStyle name="Total 2 2 4 64" xfId="53010"/>
    <cellStyle name="Total 2 2 4 7" xfId="1562"/>
    <cellStyle name="Total 2 2 4 7 2" xfId="9385"/>
    <cellStyle name="Total 2 2 4 7 3" xfId="16813"/>
    <cellStyle name="Total 2 2 4 7 4" xfId="26493"/>
    <cellStyle name="Total 2 2 4 7 5" xfId="35285"/>
    <cellStyle name="Total 2 2 4 7 6" xfId="36873"/>
    <cellStyle name="Total 2 2 4 7 7" xfId="54061"/>
    <cellStyle name="Total 2 2 4 8" xfId="1687"/>
    <cellStyle name="Total 2 2 4 8 2" xfId="9510"/>
    <cellStyle name="Total 2 2 4 8 3" xfId="16938"/>
    <cellStyle name="Total 2 2 4 8 4" xfId="25479"/>
    <cellStyle name="Total 2 2 4 8 5" xfId="33952"/>
    <cellStyle name="Total 2 2 4 8 6" xfId="37499"/>
    <cellStyle name="Total 2 2 4 8 7" xfId="51828"/>
    <cellStyle name="Total 2 2 4 9" xfId="1821"/>
    <cellStyle name="Total 2 2 4 9 2" xfId="9644"/>
    <cellStyle name="Total 2 2 4 9 3" xfId="17072"/>
    <cellStyle name="Total 2 2 4 9 4" xfId="19698"/>
    <cellStyle name="Total 2 2 4 9 5" xfId="28648"/>
    <cellStyle name="Total 2 2 4 9 6" xfId="38748"/>
    <cellStyle name="Total 2 2 4 9 7" xfId="47974"/>
    <cellStyle name="Total 2 2 40" xfId="4007"/>
    <cellStyle name="Total 2 2 40 2" xfId="11786"/>
    <cellStyle name="Total 2 2 40 3" xfId="20717"/>
    <cellStyle name="Total 2 2 40 4" xfId="28904"/>
    <cellStyle name="Total 2 2 40 5" xfId="38287"/>
    <cellStyle name="Total 2 2 40 6" xfId="42569"/>
    <cellStyle name="Total 2 2 40 7" xfId="49171"/>
    <cellStyle name="Total 2 2 41" xfId="4848"/>
    <cellStyle name="Total 2 2 41 2" xfId="12565"/>
    <cellStyle name="Total 2 2 41 3" xfId="21558"/>
    <cellStyle name="Total 2 2 41 4" xfId="29745"/>
    <cellStyle name="Total 2 2 41 5" xfId="39096"/>
    <cellStyle name="Total 2 2 41 6" xfId="43410"/>
    <cellStyle name="Total 2 2 41 7" xfId="54320"/>
    <cellStyle name="Total 2 2 42" xfId="5189"/>
    <cellStyle name="Total 2 2 42 2" xfId="12906"/>
    <cellStyle name="Total 2 2 42 3" xfId="21899"/>
    <cellStyle name="Total 2 2 42 4" xfId="30086"/>
    <cellStyle name="Total 2 2 42 5" xfId="39425"/>
    <cellStyle name="Total 2 2 42 6" xfId="43751"/>
    <cellStyle name="Total 2 2 42 7" xfId="50563"/>
    <cellStyle name="Total 2 2 43" xfId="5152"/>
    <cellStyle name="Total 2 2 43 2" xfId="12869"/>
    <cellStyle name="Total 2 2 43 3" xfId="21862"/>
    <cellStyle name="Total 2 2 43 4" xfId="30049"/>
    <cellStyle name="Total 2 2 43 5" xfId="39388"/>
    <cellStyle name="Total 2 2 43 6" xfId="43714"/>
    <cellStyle name="Total 2 2 43 7" xfId="54041"/>
    <cellStyle name="Total 2 2 44" xfId="5533"/>
    <cellStyle name="Total 2 2 44 2" xfId="13250"/>
    <cellStyle name="Total 2 2 44 3" xfId="22243"/>
    <cellStyle name="Total 2 2 44 4" xfId="30430"/>
    <cellStyle name="Total 2 2 44 5" xfId="39754"/>
    <cellStyle name="Total 2 2 44 6" xfId="44095"/>
    <cellStyle name="Total 2 2 44 7" xfId="47946"/>
    <cellStyle name="Total 2 2 45" xfId="5098"/>
    <cellStyle name="Total 2 2 45 2" xfId="12815"/>
    <cellStyle name="Total 2 2 45 3" xfId="21808"/>
    <cellStyle name="Total 2 2 45 4" xfId="29995"/>
    <cellStyle name="Total 2 2 45 5" xfId="39337"/>
    <cellStyle name="Total 2 2 45 6" xfId="43660"/>
    <cellStyle name="Total 2 2 45 7" xfId="51083"/>
    <cellStyle name="Total 2 2 46" xfId="5212"/>
    <cellStyle name="Total 2 2 46 2" xfId="12929"/>
    <cellStyle name="Total 2 2 46 3" xfId="21922"/>
    <cellStyle name="Total 2 2 46 4" xfId="30109"/>
    <cellStyle name="Total 2 2 46 5" xfId="39444"/>
    <cellStyle name="Total 2 2 46 6" xfId="43774"/>
    <cellStyle name="Total 2 2 46 7" xfId="53130"/>
    <cellStyle name="Total 2 2 47" xfId="5172"/>
    <cellStyle name="Total 2 2 47 2" xfId="12889"/>
    <cellStyle name="Total 2 2 47 3" xfId="21882"/>
    <cellStyle name="Total 2 2 47 4" xfId="30069"/>
    <cellStyle name="Total 2 2 47 5" xfId="39408"/>
    <cellStyle name="Total 2 2 47 6" xfId="43734"/>
    <cellStyle name="Total 2 2 47 7" xfId="52407"/>
    <cellStyle name="Total 2 2 48" xfId="5198"/>
    <cellStyle name="Total 2 2 48 2" xfId="12915"/>
    <cellStyle name="Total 2 2 48 3" xfId="21908"/>
    <cellStyle name="Total 2 2 48 4" xfId="30095"/>
    <cellStyle name="Total 2 2 48 5" xfId="39432"/>
    <cellStyle name="Total 2 2 48 6" xfId="43760"/>
    <cellStyle name="Total 2 2 48 7" xfId="47385"/>
    <cellStyle name="Total 2 2 49" xfId="5804"/>
    <cellStyle name="Total 2 2 49 2" xfId="13521"/>
    <cellStyle name="Total 2 2 49 3" xfId="22514"/>
    <cellStyle name="Total 2 2 49 4" xfId="30701"/>
    <cellStyle name="Total 2 2 49 5" xfId="40016"/>
    <cellStyle name="Total 2 2 49 6" xfId="44366"/>
    <cellStyle name="Total 2 2 49 7" xfId="52257"/>
    <cellStyle name="Total 2 2 5" xfId="495"/>
    <cellStyle name="Total 2 2 5 10" xfId="1942"/>
    <cellStyle name="Total 2 2 5 10 2" xfId="9765"/>
    <cellStyle name="Total 2 2 5 10 3" xfId="17193"/>
    <cellStyle name="Total 2 2 5 10 4" xfId="25854"/>
    <cellStyle name="Total 2 2 5 10 5" xfId="34441"/>
    <cellStyle name="Total 2 2 5 10 6" xfId="41202"/>
    <cellStyle name="Total 2 2 5 10 7" xfId="52676"/>
    <cellStyle name="Total 2 2 5 11" xfId="2060"/>
    <cellStyle name="Total 2 2 5 11 2" xfId="9883"/>
    <cellStyle name="Total 2 2 5 11 3" xfId="17311"/>
    <cellStyle name="Total 2 2 5 11 4" xfId="25970"/>
    <cellStyle name="Total 2 2 5 11 5" xfId="34580"/>
    <cellStyle name="Total 2 2 5 11 6" xfId="36647"/>
    <cellStyle name="Total 2 2 5 11 7" xfId="52926"/>
    <cellStyle name="Total 2 2 5 12" xfId="2173"/>
    <cellStyle name="Total 2 2 5 12 2" xfId="9996"/>
    <cellStyle name="Total 2 2 5 12 3" xfId="17424"/>
    <cellStyle name="Total 2 2 5 12 4" xfId="24910"/>
    <cellStyle name="Total 2 2 5 12 5" xfId="33233"/>
    <cellStyle name="Total 2 2 5 12 6" xfId="40178"/>
    <cellStyle name="Total 2 2 5 12 7" xfId="50590"/>
    <cellStyle name="Total 2 2 5 13" xfId="1600"/>
    <cellStyle name="Total 2 2 5 13 2" xfId="9423"/>
    <cellStyle name="Total 2 2 5 13 3" xfId="16851"/>
    <cellStyle name="Total 2 2 5 13 4" xfId="19337"/>
    <cellStyle name="Total 2 2 5 13 5" xfId="28857"/>
    <cellStyle name="Total 2 2 5 13 6" xfId="36459"/>
    <cellStyle name="Total 2 2 5 13 7" xfId="49651"/>
    <cellStyle name="Total 2 2 5 14" xfId="2355"/>
    <cellStyle name="Total 2 2 5 14 2" xfId="10178"/>
    <cellStyle name="Total 2 2 5 14 3" xfId="17606"/>
    <cellStyle name="Total 2 2 5 14 4" xfId="25219"/>
    <cellStyle name="Total 2 2 5 14 5" xfId="33618"/>
    <cellStyle name="Total 2 2 5 14 6" xfId="37785"/>
    <cellStyle name="Total 2 2 5 14 7" xfId="51259"/>
    <cellStyle name="Total 2 2 5 15" xfId="2471"/>
    <cellStyle name="Total 2 2 5 15 2" xfId="10294"/>
    <cellStyle name="Total 2 2 5 15 3" xfId="17722"/>
    <cellStyle name="Total 2 2 5 15 4" xfId="26441"/>
    <cellStyle name="Total 2 2 5 15 5" xfId="35214"/>
    <cellStyle name="Total 2 2 5 15 6" xfId="39726"/>
    <cellStyle name="Total 2 2 5 15 7" xfId="53942"/>
    <cellStyle name="Total 2 2 5 16" xfId="2584"/>
    <cellStyle name="Total 2 2 5 16 2" xfId="10407"/>
    <cellStyle name="Total 2 2 5 16 3" xfId="17835"/>
    <cellStyle name="Total 2 2 5 16 4" xfId="25202"/>
    <cellStyle name="Total 2 2 5 16 5" xfId="33591"/>
    <cellStyle name="Total 2 2 5 16 6" xfId="37069"/>
    <cellStyle name="Total 2 2 5 16 7" xfId="51220"/>
    <cellStyle name="Total 2 2 5 17" xfId="2374"/>
    <cellStyle name="Total 2 2 5 17 2" xfId="10197"/>
    <cellStyle name="Total 2 2 5 17 3" xfId="17625"/>
    <cellStyle name="Total 2 2 5 17 4" xfId="24799"/>
    <cellStyle name="Total 2 2 5 17 5" xfId="28530"/>
    <cellStyle name="Total 2 2 5 17 6" xfId="36674"/>
    <cellStyle name="Total 2 2 5 17 7" xfId="47949"/>
    <cellStyle name="Total 2 2 5 18" xfId="2726"/>
    <cellStyle name="Total 2 2 5 18 2" xfId="10549"/>
    <cellStyle name="Total 2 2 5 18 3" xfId="17977"/>
    <cellStyle name="Total 2 2 5 18 4" xfId="19317"/>
    <cellStyle name="Total 2 2 5 18 5" xfId="27456"/>
    <cellStyle name="Total 2 2 5 18 6" xfId="36930"/>
    <cellStyle name="Total 2 2 5 18 7" xfId="50254"/>
    <cellStyle name="Total 2 2 5 19" xfId="2778"/>
    <cellStyle name="Total 2 2 5 19 2" xfId="10601"/>
    <cellStyle name="Total 2 2 5 19 3" xfId="18029"/>
    <cellStyle name="Total 2 2 5 19 4" xfId="26319"/>
    <cellStyle name="Total 2 2 5 19 5" xfId="35042"/>
    <cellStyle name="Total 2 2 5 19 6" xfId="39169"/>
    <cellStyle name="Total 2 2 5 19 7" xfId="53683"/>
    <cellStyle name="Total 2 2 5 2" xfId="646"/>
    <cellStyle name="Total 2 2 5 2 2" xfId="8470"/>
    <cellStyle name="Total 2 2 5 2 3" xfId="8290"/>
    <cellStyle name="Total 2 2 5 2 4" xfId="26056"/>
    <cellStyle name="Total 2 2 5 2 5" xfId="34700"/>
    <cellStyle name="Total 2 2 5 2 6" xfId="37624"/>
    <cellStyle name="Total 2 2 5 2 7" xfId="53119"/>
    <cellStyle name="Total 2 2 5 20" xfId="2885"/>
    <cellStyle name="Total 2 2 5 20 2" xfId="10708"/>
    <cellStyle name="Total 2 2 5 20 3" xfId="18136"/>
    <cellStyle name="Total 2 2 5 20 4" xfId="19139"/>
    <cellStyle name="Total 2 2 5 20 5" xfId="26975"/>
    <cellStyle name="Total 2 2 5 20 6" xfId="37000"/>
    <cellStyle name="Total 2 2 5 20 7" xfId="49823"/>
    <cellStyle name="Total 2 2 5 21" xfId="3261"/>
    <cellStyle name="Total 2 2 5 21 2" xfId="11054"/>
    <cellStyle name="Total 2 2 5 21 3" xfId="18383"/>
    <cellStyle name="Total 2 2 5 21 4" xfId="20558"/>
    <cellStyle name="Total 2 2 5 21 5" xfId="28685"/>
    <cellStyle name="Total 2 2 5 21 6" xfId="39418"/>
    <cellStyle name="Total 2 2 5 21 7" xfId="49466"/>
    <cellStyle name="Total 2 2 5 22" xfId="3381"/>
    <cellStyle name="Total 2 2 5 22 2" xfId="11172"/>
    <cellStyle name="Total 2 2 5 22 3" xfId="18494"/>
    <cellStyle name="Total 2 2 5 22 4" xfId="25636"/>
    <cellStyle name="Total 2 2 5 22 5" xfId="34155"/>
    <cellStyle name="Total 2 2 5 22 6" xfId="38741"/>
    <cellStyle name="Total 2 2 5 22 7" xfId="52175"/>
    <cellStyle name="Total 2 2 5 23" xfId="3538"/>
    <cellStyle name="Total 2 2 5 23 2" xfId="11328"/>
    <cellStyle name="Total 2 2 5 23 3" xfId="18618"/>
    <cellStyle name="Total 2 2 5 23 4" xfId="25058"/>
    <cellStyle name="Total 2 2 5 23 5" xfId="33418"/>
    <cellStyle name="Total 2 2 5 23 6" xfId="39188"/>
    <cellStyle name="Total 2 2 5 23 7" xfId="50918"/>
    <cellStyle name="Total 2 2 5 24" xfId="3651"/>
    <cellStyle name="Total 2 2 5 24 2" xfId="11436"/>
    <cellStyle name="Total 2 2 5 24 3" xfId="18709"/>
    <cellStyle name="Total 2 2 5 24 4" xfId="26611"/>
    <cellStyle name="Total 2 2 5 24 5" xfId="35439"/>
    <cellStyle name="Total 2 2 5 24 6" xfId="41118"/>
    <cellStyle name="Total 2 2 5 24 7" xfId="54304"/>
    <cellStyle name="Total 2 2 5 25" xfId="3782"/>
    <cellStyle name="Total 2 2 5 25 2" xfId="11564"/>
    <cellStyle name="Total 2 2 5 25 3" xfId="18821"/>
    <cellStyle name="Total 2 2 5 25 4" xfId="20249"/>
    <cellStyle name="Total 2 2 5 25 5" xfId="27049"/>
    <cellStyle name="Total 2 2 5 25 6" xfId="37139"/>
    <cellStyle name="Total 2 2 5 25 7" xfId="49969"/>
    <cellStyle name="Total 2 2 5 26" xfId="3899"/>
    <cellStyle name="Total 2 2 5 26 2" xfId="11679"/>
    <cellStyle name="Total 2 2 5 26 3" xfId="18930"/>
    <cellStyle name="Total 2 2 5 26 4" xfId="25292"/>
    <cellStyle name="Total 2 2 5 26 5" xfId="33705"/>
    <cellStyle name="Total 2 2 5 26 6" xfId="39377"/>
    <cellStyle name="Total 2 2 5 26 7" xfId="51407"/>
    <cellStyle name="Total 2 2 5 27" xfId="3017"/>
    <cellStyle name="Total 2 2 5 27 2" xfId="10833"/>
    <cellStyle name="Total 2 2 5 27 3" xfId="20191"/>
    <cellStyle name="Total 2 2 5 27 4" xfId="28281"/>
    <cellStyle name="Total 2 2 5 27 5" xfId="37662"/>
    <cellStyle name="Total 2 2 5 27 6" xfId="42356"/>
    <cellStyle name="Total 2 2 5 27 7" xfId="51489"/>
    <cellStyle name="Total 2 2 5 28" xfId="4096"/>
    <cellStyle name="Total 2 2 5 28 2" xfId="11856"/>
    <cellStyle name="Total 2 2 5 28 3" xfId="20806"/>
    <cellStyle name="Total 2 2 5 28 4" xfId="28993"/>
    <cellStyle name="Total 2 2 5 28 5" xfId="38372"/>
    <cellStyle name="Total 2 2 5 28 6" xfId="42658"/>
    <cellStyle name="Total 2 2 5 28 7" xfId="50601"/>
    <cellStyle name="Total 2 2 5 29" xfId="3883"/>
    <cellStyle name="Total 2 2 5 29 2" xfId="20653"/>
    <cellStyle name="Total 2 2 5 29 3" xfId="28824"/>
    <cellStyle name="Total 2 2 5 29 4" xfId="38216"/>
    <cellStyle name="Total 2 2 5 29 5" xfId="42551"/>
    <cellStyle name="Total 2 2 5 29 6" xfId="53028"/>
    <cellStyle name="Total 2 2 5 3" xfId="753"/>
    <cellStyle name="Total 2 2 5 3 2" xfId="8577"/>
    <cellStyle name="Total 2 2 5 3 3" xfId="16005"/>
    <cellStyle name="Total 2 2 5 3 4" xfId="26698"/>
    <cellStyle name="Total 2 2 5 3 5" xfId="35550"/>
    <cellStyle name="Total 2 2 5 3 6" xfId="37617"/>
    <cellStyle name="Total 2 2 5 3 7" xfId="54489"/>
    <cellStyle name="Total 2 2 5 30" xfId="4293"/>
    <cellStyle name="Total 2 2 5 30 2" xfId="12010"/>
    <cellStyle name="Total 2 2 5 30 3" xfId="21003"/>
    <cellStyle name="Total 2 2 5 30 4" xfId="29190"/>
    <cellStyle name="Total 2 2 5 30 5" xfId="38563"/>
    <cellStyle name="Total 2 2 5 30 6" xfId="42855"/>
    <cellStyle name="Total 2 2 5 30 7" xfId="49546"/>
    <cellStyle name="Total 2 2 5 31" xfId="4416"/>
    <cellStyle name="Total 2 2 5 31 2" xfId="12133"/>
    <cellStyle name="Total 2 2 5 31 3" xfId="21126"/>
    <cellStyle name="Total 2 2 5 31 4" xfId="29313"/>
    <cellStyle name="Total 2 2 5 31 5" xfId="38682"/>
    <cellStyle name="Total 2 2 5 31 6" xfId="42978"/>
    <cellStyle name="Total 2 2 5 31 7" xfId="53727"/>
    <cellStyle name="Total 2 2 5 32" xfId="4530"/>
    <cellStyle name="Total 2 2 5 32 2" xfId="12247"/>
    <cellStyle name="Total 2 2 5 32 3" xfId="21240"/>
    <cellStyle name="Total 2 2 5 32 4" xfId="29427"/>
    <cellStyle name="Total 2 2 5 32 5" xfId="38790"/>
    <cellStyle name="Total 2 2 5 32 6" xfId="43092"/>
    <cellStyle name="Total 2 2 5 32 7" xfId="47255"/>
    <cellStyle name="Total 2 2 5 33" xfId="4643"/>
    <cellStyle name="Total 2 2 5 33 2" xfId="12360"/>
    <cellStyle name="Total 2 2 5 33 3" xfId="21353"/>
    <cellStyle name="Total 2 2 5 33 4" xfId="29540"/>
    <cellStyle name="Total 2 2 5 33 5" xfId="38898"/>
    <cellStyle name="Total 2 2 5 33 6" xfId="43205"/>
    <cellStyle name="Total 2 2 5 33 7" xfId="52857"/>
    <cellStyle name="Total 2 2 5 34" xfId="4755"/>
    <cellStyle name="Total 2 2 5 34 2" xfId="12472"/>
    <cellStyle name="Total 2 2 5 34 3" xfId="21465"/>
    <cellStyle name="Total 2 2 5 34 4" xfId="29652"/>
    <cellStyle name="Total 2 2 5 34 5" xfId="39007"/>
    <cellStyle name="Total 2 2 5 34 6" xfId="43317"/>
    <cellStyle name="Total 2 2 5 34 7" xfId="48879"/>
    <cellStyle name="Total 2 2 5 35" xfId="4863"/>
    <cellStyle name="Total 2 2 5 35 2" xfId="12580"/>
    <cellStyle name="Total 2 2 5 35 3" xfId="21573"/>
    <cellStyle name="Total 2 2 5 35 4" xfId="29760"/>
    <cellStyle name="Total 2 2 5 35 5" xfId="39110"/>
    <cellStyle name="Total 2 2 5 35 6" xfId="43425"/>
    <cellStyle name="Total 2 2 5 35 7" xfId="52793"/>
    <cellStyle name="Total 2 2 5 36" xfId="4975"/>
    <cellStyle name="Total 2 2 5 36 2" xfId="12692"/>
    <cellStyle name="Total 2 2 5 36 3" xfId="21685"/>
    <cellStyle name="Total 2 2 5 36 4" xfId="29872"/>
    <cellStyle name="Total 2 2 5 36 5" xfId="39218"/>
    <cellStyle name="Total 2 2 5 36 6" xfId="43537"/>
    <cellStyle name="Total 2 2 5 36 7" xfId="50309"/>
    <cellStyle name="Total 2 2 5 37" xfId="5136"/>
    <cellStyle name="Total 2 2 5 37 2" xfId="12853"/>
    <cellStyle name="Total 2 2 5 37 3" xfId="21846"/>
    <cellStyle name="Total 2 2 5 37 4" xfId="30033"/>
    <cellStyle name="Total 2 2 5 37 5" xfId="39374"/>
    <cellStyle name="Total 2 2 5 37 6" xfId="43698"/>
    <cellStyle name="Total 2 2 5 37 7" xfId="47352"/>
    <cellStyle name="Total 2 2 5 38" xfId="5473"/>
    <cellStyle name="Total 2 2 5 38 2" xfId="13190"/>
    <cellStyle name="Total 2 2 5 38 3" xfId="22183"/>
    <cellStyle name="Total 2 2 5 38 4" xfId="30370"/>
    <cellStyle name="Total 2 2 5 38 5" xfId="39697"/>
    <cellStyle name="Total 2 2 5 38 6" xfId="44035"/>
    <cellStyle name="Total 2 2 5 38 7" xfId="51316"/>
    <cellStyle name="Total 2 2 5 39" xfId="5598"/>
    <cellStyle name="Total 2 2 5 39 2" xfId="13315"/>
    <cellStyle name="Total 2 2 5 39 3" xfId="22308"/>
    <cellStyle name="Total 2 2 5 39 4" xfId="30495"/>
    <cellStyle name="Total 2 2 5 39 5" xfId="39817"/>
    <cellStyle name="Total 2 2 5 39 6" xfId="44160"/>
    <cellStyle name="Total 2 2 5 39 7" xfId="46841"/>
    <cellStyle name="Total 2 2 5 4" xfId="865"/>
    <cellStyle name="Total 2 2 5 4 2" xfId="8689"/>
    <cellStyle name="Total 2 2 5 4 3" xfId="16117"/>
    <cellStyle name="Total 2 2 5 4 4" xfId="19045"/>
    <cellStyle name="Total 2 2 5 4 5" xfId="28165"/>
    <cellStyle name="Total 2 2 5 4 6" xfId="37601"/>
    <cellStyle name="Total 2 2 5 4 7" xfId="49234"/>
    <cellStyle name="Total 2 2 5 40" xfId="5713"/>
    <cellStyle name="Total 2 2 5 40 2" xfId="13430"/>
    <cellStyle name="Total 2 2 5 40 3" xfId="22423"/>
    <cellStyle name="Total 2 2 5 40 4" xfId="30610"/>
    <cellStyle name="Total 2 2 5 40 5" xfId="39928"/>
    <cellStyle name="Total 2 2 5 40 6" xfId="44275"/>
    <cellStyle name="Total 2 2 5 40 7" xfId="46854"/>
    <cellStyle name="Total 2 2 5 41" xfId="5830"/>
    <cellStyle name="Total 2 2 5 41 2" xfId="13547"/>
    <cellStyle name="Total 2 2 5 41 3" xfId="22540"/>
    <cellStyle name="Total 2 2 5 41 4" xfId="30727"/>
    <cellStyle name="Total 2 2 5 41 5" xfId="40042"/>
    <cellStyle name="Total 2 2 5 41 6" xfId="44392"/>
    <cellStyle name="Total 2 2 5 41 7" xfId="50196"/>
    <cellStyle name="Total 2 2 5 42" xfId="5958"/>
    <cellStyle name="Total 2 2 5 42 2" xfId="13675"/>
    <cellStyle name="Total 2 2 5 42 3" xfId="22668"/>
    <cellStyle name="Total 2 2 5 42 4" xfId="30855"/>
    <cellStyle name="Total 2 2 5 42 5" xfId="40165"/>
    <cellStyle name="Total 2 2 5 42 6" xfId="44520"/>
    <cellStyle name="Total 2 2 5 42 7" xfId="51456"/>
    <cellStyle name="Total 2 2 5 43" xfId="5227"/>
    <cellStyle name="Total 2 2 5 43 2" xfId="12944"/>
    <cellStyle name="Total 2 2 5 43 3" xfId="21937"/>
    <cellStyle name="Total 2 2 5 43 4" xfId="30124"/>
    <cellStyle name="Total 2 2 5 43 5" xfId="39459"/>
    <cellStyle name="Total 2 2 5 43 6" xfId="43789"/>
    <cellStyle name="Total 2 2 5 43 7" xfId="48134"/>
    <cellStyle name="Total 2 2 5 44" xfId="6214"/>
    <cellStyle name="Total 2 2 5 44 2" xfId="13931"/>
    <cellStyle name="Total 2 2 5 44 3" xfId="22924"/>
    <cellStyle name="Total 2 2 5 44 4" xfId="31111"/>
    <cellStyle name="Total 2 2 5 44 5" xfId="40412"/>
    <cellStyle name="Total 2 2 5 44 6" xfId="44776"/>
    <cellStyle name="Total 2 2 5 44 7" xfId="54201"/>
    <cellStyle name="Total 2 2 5 45" xfId="6331"/>
    <cellStyle name="Total 2 2 5 45 2" xfId="14048"/>
    <cellStyle name="Total 2 2 5 45 3" xfId="23041"/>
    <cellStyle name="Total 2 2 5 45 4" xfId="31228"/>
    <cellStyle name="Total 2 2 5 45 5" xfId="40526"/>
    <cellStyle name="Total 2 2 5 45 6" xfId="44893"/>
    <cellStyle name="Total 2 2 5 45 7" xfId="50800"/>
    <cellStyle name="Total 2 2 5 46" xfId="6441"/>
    <cellStyle name="Total 2 2 5 46 2" xfId="14158"/>
    <cellStyle name="Total 2 2 5 46 3" xfId="23151"/>
    <cellStyle name="Total 2 2 5 46 4" xfId="31338"/>
    <cellStyle name="Total 2 2 5 46 5" xfId="40633"/>
    <cellStyle name="Total 2 2 5 46 6" xfId="45003"/>
    <cellStyle name="Total 2 2 5 46 7" xfId="47603"/>
    <cellStyle name="Total 2 2 5 47" xfId="6163"/>
    <cellStyle name="Total 2 2 5 47 2" xfId="13880"/>
    <cellStyle name="Total 2 2 5 47 3" xfId="22873"/>
    <cellStyle name="Total 2 2 5 47 4" xfId="31060"/>
    <cellStyle name="Total 2 2 5 47 5" xfId="40361"/>
    <cellStyle name="Total 2 2 5 47 6" xfId="44725"/>
    <cellStyle name="Total 2 2 5 47 7" xfId="47577"/>
    <cellStyle name="Total 2 2 5 48" xfId="6588"/>
    <cellStyle name="Total 2 2 5 48 2" xfId="14305"/>
    <cellStyle name="Total 2 2 5 48 3" xfId="23298"/>
    <cellStyle name="Total 2 2 5 48 4" xfId="31485"/>
    <cellStyle name="Total 2 2 5 48 5" xfId="40773"/>
    <cellStyle name="Total 2 2 5 48 6" xfId="45150"/>
    <cellStyle name="Total 2 2 5 48 7" xfId="52336"/>
    <cellStyle name="Total 2 2 5 49" xfId="6699"/>
    <cellStyle name="Total 2 2 5 49 2" xfId="14416"/>
    <cellStyle name="Total 2 2 5 49 3" xfId="23409"/>
    <cellStyle name="Total 2 2 5 49 4" xfId="31596"/>
    <cellStyle name="Total 2 2 5 49 5" xfId="40879"/>
    <cellStyle name="Total 2 2 5 49 6" xfId="45261"/>
    <cellStyle name="Total 2 2 5 49 7" xfId="50806"/>
    <cellStyle name="Total 2 2 5 5" xfId="1330"/>
    <cellStyle name="Total 2 2 5 5 2" xfId="9153"/>
    <cellStyle name="Total 2 2 5 5 3" xfId="16581"/>
    <cellStyle name="Total 2 2 5 5 4" xfId="25061"/>
    <cellStyle name="Total 2 2 5 5 5" xfId="33421"/>
    <cellStyle name="Total 2 2 5 5 6" xfId="36384"/>
    <cellStyle name="Total 2 2 5 5 7" xfId="50929"/>
    <cellStyle name="Total 2 2 5 50" xfId="6814"/>
    <cellStyle name="Total 2 2 5 50 2" xfId="14531"/>
    <cellStyle name="Total 2 2 5 50 3" xfId="23524"/>
    <cellStyle name="Total 2 2 5 50 4" xfId="31711"/>
    <cellStyle name="Total 2 2 5 50 5" xfId="40987"/>
    <cellStyle name="Total 2 2 5 50 6" xfId="45376"/>
    <cellStyle name="Total 2 2 5 50 7" xfId="50579"/>
    <cellStyle name="Total 2 2 5 51" xfId="6927"/>
    <cellStyle name="Total 2 2 5 51 2" xfId="14644"/>
    <cellStyle name="Total 2 2 5 51 3" xfId="23637"/>
    <cellStyle name="Total 2 2 5 51 4" xfId="31824"/>
    <cellStyle name="Total 2 2 5 51 5" xfId="41094"/>
    <cellStyle name="Total 2 2 5 51 6" xfId="45489"/>
    <cellStyle name="Total 2 2 5 51 7" xfId="47046"/>
    <cellStyle name="Total 2 2 5 52" xfId="7039"/>
    <cellStyle name="Total 2 2 5 52 2" xfId="14756"/>
    <cellStyle name="Total 2 2 5 52 3" xfId="23749"/>
    <cellStyle name="Total 2 2 5 52 4" xfId="31936"/>
    <cellStyle name="Total 2 2 5 52 5" xfId="41201"/>
    <cellStyle name="Total 2 2 5 52 6" xfId="45601"/>
    <cellStyle name="Total 2 2 5 52 7" xfId="47018"/>
    <cellStyle name="Total 2 2 5 53" xfId="7246"/>
    <cellStyle name="Total 2 2 5 53 2" xfId="14963"/>
    <cellStyle name="Total 2 2 5 53 3" xfId="23956"/>
    <cellStyle name="Total 2 2 5 53 4" xfId="32143"/>
    <cellStyle name="Total 2 2 5 53 5" xfId="41399"/>
    <cellStyle name="Total 2 2 5 53 6" xfId="45808"/>
    <cellStyle name="Total 2 2 5 53 7" xfId="53524"/>
    <cellStyle name="Total 2 2 5 54" xfId="7298"/>
    <cellStyle name="Total 2 2 5 54 2" xfId="15015"/>
    <cellStyle name="Total 2 2 5 54 3" xfId="24008"/>
    <cellStyle name="Total 2 2 5 54 4" xfId="32195"/>
    <cellStyle name="Total 2 2 5 54 5" xfId="41451"/>
    <cellStyle name="Total 2 2 5 54 6" xfId="45860"/>
    <cellStyle name="Total 2 2 5 54 7" xfId="49089"/>
    <cellStyle name="Total 2 2 5 55" xfId="7436"/>
    <cellStyle name="Total 2 2 5 55 2" xfId="15153"/>
    <cellStyle name="Total 2 2 5 55 3" xfId="24146"/>
    <cellStyle name="Total 2 2 5 55 4" xfId="32333"/>
    <cellStyle name="Total 2 2 5 55 5" xfId="41583"/>
    <cellStyle name="Total 2 2 5 55 6" xfId="45998"/>
    <cellStyle name="Total 2 2 5 55 7" xfId="49442"/>
    <cellStyle name="Total 2 2 5 56" xfId="7557"/>
    <cellStyle name="Total 2 2 5 56 2" xfId="15274"/>
    <cellStyle name="Total 2 2 5 56 3" xfId="24267"/>
    <cellStyle name="Total 2 2 5 56 4" xfId="32454"/>
    <cellStyle name="Total 2 2 5 56 5" xfId="41698"/>
    <cellStyle name="Total 2 2 5 56 6" xfId="46119"/>
    <cellStyle name="Total 2 2 5 56 7" xfId="51515"/>
    <cellStyle name="Total 2 2 5 57" xfId="7833"/>
    <cellStyle name="Total 2 2 5 57 2" xfId="15550"/>
    <cellStyle name="Total 2 2 5 57 3" xfId="24537"/>
    <cellStyle name="Total 2 2 5 57 4" xfId="32730"/>
    <cellStyle name="Total 2 2 5 57 5" xfId="41964"/>
    <cellStyle name="Total 2 2 5 57 6" xfId="46395"/>
    <cellStyle name="Total 2 2 5 57 7" xfId="52940"/>
    <cellStyle name="Total 2 2 5 58" xfId="7768"/>
    <cellStyle name="Total 2 2 5 58 2" xfId="15485"/>
    <cellStyle name="Total 2 2 5 58 3" xfId="24474"/>
    <cellStyle name="Total 2 2 5 58 4" xfId="32665"/>
    <cellStyle name="Total 2 2 5 58 5" xfId="41901"/>
    <cellStyle name="Total 2 2 5 58 6" xfId="46330"/>
    <cellStyle name="Total 2 2 5 58 7" xfId="51171"/>
    <cellStyle name="Total 2 2 5 59" xfId="7793"/>
    <cellStyle name="Total 2 2 5 59 2" xfId="15510"/>
    <cellStyle name="Total 2 2 5 59 3" xfId="24498"/>
    <cellStyle name="Total 2 2 5 59 4" xfId="32690"/>
    <cellStyle name="Total 2 2 5 59 5" xfId="41925"/>
    <cellStyle name="Total 2 2 5 59 6" xfId="46355"/>
    <cellStyle name="Total 2 2 5 59 7" xfId="48609"/>
    <cellStyle name="Total 2 2 5 6" xfId="1453"/>
    <cellStyle name="Total 2 2 5 6 2" xfId="9276"/>
    <cellStyle name="Total 2 2 5 6 3" xfId="16704"/>
    <cellStyle name="Total 2 2 5 6 4" xfId="24970"/>
    <cellStyle name="Total 2 2 5 6 5" xfId="33310"/>
    <cellStyle name="Total 2 2 5 6 6" xfId="38154"/>
    <cellStyle name="Total 2 2 5 6 7" xfId="50717"/>
    <cellStyle name="Total 2 2 5 60" xfId="8109"/>
    <cellStyle name="Total 2 2 5 60 2" xfId="15826"/>
    <cellStyle name="Total 2 2 5 60 3" xfId="33006"/>
    <cellStyle name="Total 2 2 5 60 4" xfId="42227"/>
    <cellStyle name="Total 2 2 5 60 5" xfId="46671"/>
    <cellStyle name="Total 2 2 5 60 6" xfId="48060"/>
    <cellStyle name="Total 2 2 5 61" xfId="25892"/>
    <cellStyle name="Total 2 2 5 62" xfId="34487"/>
    <cellStyle name="Total 2 2 5 63" xfId="36584"/>
    <cellStyle name="Total 2 2 5 64" xfId="52767"/>
    <cellStyle name="Total 2 2 5 7" xfId="1554"/>
    <cellStyle name="Total 2 2 5 7 2" xfId="9377"/>
    <cellStyle name="Total 2 2 5 7 3" xfId="16805"/>
    <cellStyle name="Total 2 2 5 7 4" xfId="26412"/>
    <cellStyle name="Total 2 2 5 7 5" xfId="35172"/>
    <cellStyle name="Total 2 2 5 7 6" xfId="38494"/>
    <cellStyle name="Total 2 2 5 7 7" xfId="53883"/>
    <cellStyle name="Total 2 2 5 8" xfId="1690"/>
    <cellStyle name="Total 2 2 5 8 2" xfId="9513"/>
    <cellStyle name="Total 2 2 5 8 3" xfId="16941"/>
    <cellStyle name="Total 2 2 5 8 4" xfId="25493"/>
    <cellStyle name="Total 2 2 5 8 5" xfId="33968"/>
    <cellStyle name="Total 2 2 5 8 6" xfId="37327"/>
    <cellStyle name="Total 2 2 5 8 7" xfId="51855"/>
    <cellStyle name="Total 2 2 5 9" xfId="1824"/>
    <cellStyle name="Total 2 2 5 9 2" xfId="9647"/>
    <cellStyle name="Total 2 2 5 9 3" xfId="17075"/>
    <cellStyle name="Total 2 2 5 9 4" xfId="19713"/>
    <cellStyle name="Total 2 2 5 9 5" xfId="27132"/>
    <cellStyle name="Total 2 2 5 9 6" xfId="36497"/>
    <cellStyle name="Total 2 2 5 9 7" xfId="48614"/>
    <cellStyle name="Total 2 2 50" xfId="5930"/>
    <cellStyle name="Total 2 2 50 2" xfId="13647"/>
    <cellStyle name="Total 2 2 50 3" xfId="22640"/>
    <cellStyle name="Total 2 2 50 4" xfId="30827"/>
    <cellStyle name="Total 2 2 50 5" xfId="40139"/>
    <cellStyle name="Total 2 2 50 6" xfId="44492"/>
    <cellStyle name="Total 2 2 50 7" xfId="54502"/>
    <cellStyle name="Total 2 2 51" xfId="6122"/>
    <cellStyle name="Total 2 2 51 2" xfId="13839"/>
    <cellStyle name="Total 2 2 51 3" xfId="22832"/>
    <cellStyle name="Total 2 2 51 4" xfId="31019"/>
    <cellStyle name="Total 2 2 51 5" xfId="40321"/>
    <cellStyle name="Total 2 2 51 6" xfId="44684"/>
    <cellStyle name="Total 2 2 51 7" xfId="48954"/>
    <cellStyle name="Total 2 2 52" xfId="5917"/>
    <cellStyle name="Total 2 2 52 2" xfId="13634"/>
    <cellStyle name="Total 2 2 52 3" xfId="22627"/>
    <cellStyle name="Total 2 2 52 4" xfId="30814"/>
    <cellStyle name="Total 2 2 52 5" xfId="40126"/>
    <cellStyle name="Total 2 2 52 6" xfId="44479"/>
    <cellStyle name="Total 2 2 52 7" xfId="49807"/>
    <cellStyle name="Total 2 2 53" xfId="5942"/>
    <cellStyle name="Total 2 2 53 2" xfId="13659"/>
    <cellStyle name="Total 2 2 53 3" xfId="22652"/>
    <cellStyle name="Total 2 2 53 4" xfId="30839"/>
    <cellStyle name="Total 2 2 53 5" xfId="40150"/>
    <cellStyle name="Total 2 2 53 6" xfId="44504"/>
    <cellStyle name="Total 2 2 53 7" xfId="48106"/>
    <cellStyle name="Total 2 2 54" xfId="5362"/>
    <cellStyle name="Total 2 2 54 2" xfId="13079"/>
    <cellStyle name="Total 2 2 54 3" xfId="22072"/>
    <cellStyle name="Total 2 2 54 4" xfId="30259"/>
    <cellStyle name="Total 2 2 54 5" xfId="39591"/>
    <cellStyle name="Total 2 2 54 6" xfId="43924"/>
    <cellStyle name="Total 2 2 54 7" xfId="49768"/>
    <cellStyle name="Total 2 2 55" xfId="6683"/>
    <cellStyle name="Total 2 2 55 2" xfId="14400"/>
    <cellStyle name="Total 2 2 55 3" xfId="23393"/>
    <cellStyle name="Total 2 2 55 4" xfId="31580"/>
    <cellStyle name="Total 2 2 55 5" xfId="40864"/>
    <cellStyle name="Total 2 2 55 6" xfId="45245"/>
    <cellStyle name="Total 2 2 55 7" xfId="49478"/>
    <cellStyle name="Total 2 2 56" xfId="6798"/>
    <cellStyle name="Total 2 2 56 2" xfId="14515"/>
    <cellStyle name="Total 2 2 56 3" xfId="23508"/>
    <cellStyle name="Total 2 2 56 4" xfId="31695"/>
    <cellStyle name="Total 2 2 56 5" xfId="40974"/>
    <cellStyle name="Total 2 2 56 6" xfId="45360"/>
    <cellStyle name="Total 2 2 56 7" xfId="52318"/>
    <cellStyle name="Total 2 2 57" xfId="6912"/>
    <cellStyle name="Total 2 2 57 2" xfId="14629"/>
    <cellStyle name="Total 2 2 57 3" xfId="23622"/>
    <cellStyle name="Total 2 2 57 4" xfId="31809"/>
    <cellStyle name="Total 2 2 57 5" xfId="41081"/>
    <cellStyle name="Total 2 2 57 6" xfId="45474"/>
    <cellStyle name="Total 2 2 57 7" xfId="47051"/>
    <cellStyle name="Total 2 2 58" xfId="7305"/>
    <cellStyle name="Total 2 2 58 2" xfId="15022"/>
    <cellStyle name="Total 2 2 58 3" xfId="24015"/>
    <cellStyle name="Total 2 2 58 4" xfId="32202"/>
    <cellStyle name="Total 2 2 58 5" xfId="41458"/>
    <cellStyle name="Total 2 2 58 6" xfId="45867"/>
    <cellStyle name="Total 2 2 58 7" xfId="48699"/>
    <cellStyle name="Total 2 2 59" xfId="7350"/>
    <cellStyle name="Total 2 2 59 2" xfId="15067"/>
    <cellStyle name="Total 2 2 59 3" xfId="24060"/>
    <cellStyle name="Total 2 2 59 4" xfId="32247"/>
    <cellStyle name="Total 2 2 59 5" xfId="41503"/>
    <cellStyle name="Total 2 2 59 6" xfId="45912"/>
    <cellStyle name="Total 2 2 59 7" xfId="51254"/>
    <cellStyle name="Total 2 2 6" xfId="575"/>
    <cellStyle name="Total 2 2 6 10" xfId="2022"/>
    <cellStyle name="Total 2 2 6 10 2" xfId="9845"/>
    <cellStyle name="Total 2 2 6 10 3" xfId="17273"/>
    <cellStyle name="Total 2 2 6 10 4" xfId="24879"/>
    <cellStyle name="Total 2 2 6 10 5" xfId="33193"/>
    <cellStyle name="Total 2 2 6 10 6" xfId="40709"/>
    <cellStyle name="Total 2 2 6 10 7" xfId="50517"/>
    <cellStyle name="Total 2 2 6 11" xfId="2138"/>
    <cellStyle name="Total 2 2 6 11 2" xfId="9961"/>
    <cellStyle name="Total 2 2 6 11 3" xfId="17389"/>
    <cellStyle name="Total 2 2 6 11 4" xfId="25132"/>
    <cellStyle name="Total 2 2 6 11 5" xfId="33505"/>
    <cellStyle name="Total 2 2 6 11 6" xfId="38661"/>
    <cellStyle name="Total 2 2 6 11 7" xfId="51078"/>
    <cellStyle name="Total 2 2 6 12" xfId="2252"/>
    <cellStyle name="Total 2 2 6 12 2" xfId="10075"/>
    <cellStyle name="Total 2 2 6 12 3" xfId="17503"/>
    <cellStyle name="Total 2 2 6 12 4" xfId="25491"/>
    <cellStyle name="Total 2 2 6 12 5" xfId="33966"/>
    <cellStyle name="Total 2 2 6 12 6" xfId="39619"/>
    <cellStyle name="Total 2 2 6 12 7" xfId="51852"/>
    <cellStyle name="Total 2 2 6 13" xfId="1250"/>
    <cellStyle name="Total 2 2 6 13 2" xfId="9073"/>
    <cellStyle name="Total 2 2 6 13 3" xfId="16501"/>
    <cellStyle name="Total 2 2 6 13 4" xfId="20254"/>
    <cellStyle name="Total 2 2 6 13 5" xfId="28234"/>
    <cellStyle name="Total 2 2 6 13 6" xfId="41897"/>
    <cellStyle name="Total 2 2 6 13 7" xfId="47768"/>
    <cellStyle name="Total 2 2 6 14" xfId="1036"/>
    <cellStyle name="Total 2 2 6 14 2" xfId="8860"/>
    <cellStyle name="Total 2 2 6 14 3" xfId="16288"/>
    <cellStyle name="Total 2 2 6 14 4" xfId="19724"/>
    <cellStyle name="Total 2 2 6 14 5" xfId="28154"/>
    <cellStyle name="Total 2 2 6 14 6" xfId="36309"/>
    <cellStyle name="Total 2 2 6 14 7" xfId="48139"/>
    <cellStyle name="Total 2 2 6 15" xfId="2550"/>
    <cellStyle name="Total 2 2 6 15 2" xfId="10373"/>
    <cellStyle name="Total 2 2 6 15 3" xfId="17801"/>
    <cellStyle name="Total 2 2 6 15 4" xfId="20340"/>
    <cellStyle name="Total 2 2 6 15 5" xfId="27169"/>
    <cellStyle name="Total 2 2 6 15 6" xfId="40316"/>
    <cellStyle name="Total 2 2 6 15 7" xfId="48421"/>
    <cellStyle name="Total 2 2 6 16" xfId="2664"/>
    <cellStyle name="Total 2 2 6 16 2" xfId="10487"/>
    <cellStyle name="Total 2 2 6 16 3" xfId="17915"/>
    <cellStyle name="Total 2 2 6 16 4" xfId="19537"/>
    <cellStyle name="Total 2 2 6 16 5" xfId="27219"/>
    <cellStyle name="Total 2 2 6 16 6" xfId="39504"/>
    <cellStyle name="Total 2 2 6 16 7" xfId="49461"/>
    <cellStyle name="Total 2 2 6 17" xfId="2314"/>
    <cellStyle name="Total 2 2 6 17 2" xfId="10137"/>
    <cellStyle name="Total 2 2 6 17 3" xfId="17565"/>
    <cellStyle name="Total 2 2 6 17 4" xfId="25463"/>
    <cellStyle name="Total 2 2 6 17 5" xfId="33928"/>
    <cellStyle name="Total 2 2 6 17 6" xfId="41923"/>
    <cellStyle name="Total 2 2 6 17 7" xfId="51786"/>
    <cellStyle name="Total 2 2 6 18" xfId="2388"/>
    <cellStyle name="Total 2 2 6 18 2" xfId="10211"/>
    <cellStyle name="Total 2 2 6 18 3" xfId="17639"/>
    <cellStyle name="Total 2 2 6 18 4" xfId="24990"/>
    <cellStyle name="Total 2 2 6 18 5" xfId="33336"/>
    <cellStyle name="Total 2 2 6 18 6" xfId="40904"/>
    <cellStyle name="Total 2 2 6 18 7" xfId="50772"/>
    <cellStyle name="Total 2 2 6 19" xfId="2854"/>
    <cellStyle name="Total 2 2 6 19 2" xfId="10677"/>
    <cellStyle name="Total 2 2 6 19 3" xfId="18105"/>
    <cellStyle name="Total 2 2 6 19 4" xfId="26102"/>
    <cellStyle name="Total 2 2 6 19 5" xfId="34756"/>
    <cellStyle name="Total 2 2 6 19 6" xfId="38836"/>
    <cellStyle name="Total 2 2 6 19 7" xfId="53216"/>
    <cellStyle name="Total 2 2 6 2" xfId="722"/>
    <cellStyle name="Total 2 2 6 2 2" xfId="8546"/>
    <cellStyle name="Total 2 2 6 2 3" xfId="15974"/>
    <cellStyle name="Total 2 2 6 2 4" xfId="25220"/>
    <cellStyle name="Total 2 2 6 2 5" xfId="33620"/>
    <cellStyle name="Total 2 2 6 2 6" xfId="38173"/>
    <cellStyle name="Total 2 2 6 2 7" xfId="51264"/>
    <cellStyle name="Total 2 2 6 20" xfId="2961"/>
    <cellStyle name="Total 2 2 6 20 2" xfId="10784"/>
    <cellStyle name="Total 2 2 6 20 3" xfId="18212"/>
    <cellStyle name="Total 2 2 6 20 4" xfId="19122"/>
    <cellStyle name="Total 2 2 6 20 5" xfId="27791"/>
    <cellStyle name="Total 2 2 6 20 6" xfId="38187"/>
    <cellStyle name="Total 2 2 6 20 7" xfId="49917"/>
    <cellStyle name="Total 2 2 6 21" xfId="3339"/>
    <cellStyle name="Total 2 2 6 21 2" xfId="11132"/>
    <cellStyle name="Total 2 2 6 21 3" xfId="18459"/>
    <cellStyle name="Total 2 2 6 21 4" xfId="26245"/>
    <cellStyle name="Total 2 2 6 21 5" xfId="34937"/>
    <cellStyle name="Total 2 2 6 21 6" xfId="37793"/>
    <cellStyle name="Total 2 2 6 21 7" xfId="53525"/>
    <cellStyle name="Total 2 2 6 22" xfId="3458"/>
    <cellStyle name="Total 2 2 6 22 2" xfId="11249"/>
    <cellStyle name="Total 2 2 6 22 3" xfId="18570"/>
    <cellStyle name="Total 2 2 6 22 4" xfId="25521"/>
    <cellStyle name="Total 2 2 6 22 5" xfId="34002"/>
    <cellStyle name="Total 2 2 6 22 6" xfId="38409"/>
    <cellStyle name="Total 2 2 6 22 7" xfId="51913"/>
    <cellStyle name="Total 2 2 6 23" xfId="3617"/>
    <cellStyle name="Total 2 2 6 23 2" xfId="11403"/>
    <cellStyle name="Total 2 2 6 23 3" xfId="18677"/>
    <cellStyle name="Total 2 2 6 23 4" xfId="20495"/>
    <cellStyle name="Total 2 2 6 23 5" xfId="26777"/>
    <cellStyle name="Total 2 2 6 23 6" xfId="37846"/>
    <cellStyle name="Total 2 2 6 23 7" xfId="50366"/>
    <cellStyle name="Total 2 2 6 24" xfId="3731"/>
    <cellStyle name="Total 2 2 6 24 2" xfId="11516"/>
    <cellStyle name="Total 2 2 6 24 3" xfId="18787"/>
    <cellStyle name="Total 2 2 6 24 4" xfId="20692"/>
    <cellStyle name="Total 2 2 6 24 5" xfId="28214"/>
    <cellStyle name="Total 2 2 6 24 6" xfId="41701"/>
    <cellStyle name="Total 2 2 6 24 7" xfId="47898"/>
    <cellStyle name="Total 2 2 6 25" xfId="3860"/>
    <cellStyle name="Total 2 2 6 25 2" xfId="11642"/>
    <cellStyle name="Total 2 2 6 25 3" xfId="18897"/>
    <cellStyle name="Total 2 2 6 25 4" xfId="26474"/>
    <cellStyle name="Total 2 2 6 25 5" xfId="35254"/>
    <cellStyle name="Total 2 2 6 25 6" xfId="39442"/>
    <cellStyle name="Total 2 2 6 25 7" xfId="54014"/>
    <cellStyle name="Total 2 2 6 26" xfId="3978"/>
    <cellStyle name="Total 2 2 6 26 2" xfId="11757"/>
    <cellStyle name="Total 2 2 6 26 3" xfId="19006"/>
    <cellStyle name="Total 2 2 6 26 4" xfId="25667"/>
    <cellStyle name="Total 2 2 6 26 5" xfId="34199"/>
    <cellStyle name="Total 2 2 6 26 6" xfId="38689"/>
    <cellStyle name="Total 2 2 6 26 7" xfId="52237"/>
    <cellStyle name="Total 2 2 6 27" xfId="3750"/>
    <cellStyle name="Total 2 2 6 27 2" xfId="11535"/>
    <cellStyle name="Total 2 2 6 27 3" xfId="20601"/>
    <cellStyle name="Total 2 2 6 27 4" xfId="28750"/>
    <cellStyle name="Total 2 2 6 27 5" xfId="38139"/>
    <cellStyle name="Total 2 2 6 27 6" xfId="42528"/>
    <cellStyle name="Total 2 2 6 27 7" xfId="53097"/>
    <cellStyle name="Total 2 2 6 28" xfId="4174"/>
    <cellStyle name="Total 2 2 6 28 2" xfId="11933"/>
    <cellStyle name="Total 2 2 6 28 3" xfId="20884"/>
    <cellStyle name="Total 2 2 6 28 4" xfId="29071"/>
    <cellStyle name="Total 2 2 6 28 5" xfId="38447"/>
    <cellStyle name="Total 2 2 6 28 6" xfId="42736"/>
    <cellStyle name="Total 2 2 6 28 7" xfId="54060"/>
    <cellStyle name="Total 2 2 6 29" xfId="3531"/>
    <cellStyle name="Total 2 2 6 29 2" xfId="20502"/>
    <cellStyle name="Total 2 2 6 29 3" xfId="28627"/>
    <cellStyle name="Total 2 2 6 29 4" xfId="38003"/>
    <cellStyle name="Total 2 2 6 29 5" xfId="42499"/>
    <cellStyle name="Total 2 2 6 29 6" xfId="51916"/>
    <cellStyle name="Total 2 2 6 3" xfId="831"/>
    <cellStyle name="Total 2 2 6 3 2" xfId="8655"/>
    <cellStyle name="Total 2 2 6 3 3" xfId="16083"/>
    <cellStyle name="Total 2 2 6 3 4" xfId="25494"/>
    <cellStyle name="Total 2 2 6 3 5" xfId="33969"/>
    <cellStyle name="Total 2 2 6 3 6" xfId="36699"/>
    <cellStyle name="Total 2 2 6 3 7" xfId="51858"/>
    <cellStyle name="Total 2 2 6 30" xfId="4373"/>
    <cellStyle name="Total 2 2 6 30 2" xfId="12090"/>
    <cellStyle name="Total 2 2 6 30 3" xfId="21083"/>
    <cellStyle name="Total 2 2 6 30 4" xfId="29270"/>
    <cellStyle name="Total 2 2 6 30 5" xfId="38640"/>
    <cellStyle name="Total 2 2 6 30 6" xfId="42935"/>
    <cellStyle name="Total 2 2 6 30 7" xfId="51885"/>
    <cellStyle name="Total 2 2 6 31" xfId="4494"/>
    <cellStyle name="Total 2 2 6 31 2" xfId="12211"/>
    <cellStyle name="Total 2 2 6 31 3" xfId="21204"/>
    <cellStyle name="Total 2 2 6 31 4" xfId="29391"/>
    <cellStyle name="Total 2 2 6 31 5" xfId="38755"/>
    <cellStyle name="Total 2 2 6 31 6" xfId="43056"/>
    <cellStyle name="Total 2 2 6 31 7" xfId="52301"/>
    <cellStyle name="Total 2 2 6 32" xfId="4608"/>
    <cellStyle name="Total 2 2 6 32 2" xfId="12325"/>
    <cellStyle name="Total 2 2 6 32 3" xfId="21318"/>
    <cellStyle name="Total 2 2 6 32 4" xfId="29505"/>
    <cellStyle name="Total 2 2 6 32 5" xfId="38864"/>
    <cellStyle name="Total 2 2 6 32 6" xfId="43170"/>
    <cellStyle name="Total 2 2 6 32 7" xfId="48123"/>
    <cellStyle name="Total 2 2 6 33" xfId="4721"/>
    <cellStyle name="Total 2 2 6 33 2" xfId="12438"/>
    <cellStyle name="Total 2 2 6 33 3" xfId="21431"/>
    <cellStyle name="Total 2 2 6 33 4" xfId="29618"/>
    <cellStyle name="Total 2 2 6 33 5" xfId="38973"/>
    <cellStyle name="Total 2 2 6 33 6" xfId="43283"/>
    <cellStyle name="Total 2 2 6 33 7" xfId="52461"/>
    <cellStyle name="Total 2 2 6 34" xfId="4831"/>
    <cellStyle name="Total 2 2 6 34 2" xfId="12548"/>
    <cellStyle name="Total 2 2 6 34 3" xfId="21541"/>
    <cellStyle name="Total 2 2 6 34 4" xfId="29728"/>
    <cellStyle name="Total 2 2 6 34 5" xfId="39080"/>
    <cellStyle name="Total 2 2 6 34 6" xfId="43393"/>
    <cellStyle name="Total 2 2 6 34 7" xfId="47301"/>
    <cellStyle name="Total 2 2 6 35" xfId="4941"/>
    <cellStyle name="Total 2 2 6 35 2" xfId="12658"/>
    <cellStyle name="Total 2 2 6 35 3" xfId="21651"/>
    <cellStyle name="Total 2 2 6 35 4" xfId="29838"/>
    <cellStyle name="Total 2 2 6 35 5" xfId="39185"/>
    <cellStyle name="Total 2 2 6 35 6" xfId="43503"/>
    <cellStyle name="Total 2 2 6 35 7" xfId="53509"/>
    <cellStyle name="Total 2 2 6 36" xfId="5051"/>
    <cellStyle name="Total 2 2 6 36 2" xfId="12768"/>
    <cellStyle name="Total 2 2 6 36 3" xfId="21761"/>
    <cellStyle name="Total 2 2 6 36 4" xfId="29948"/>
    <cellStyle name="Total 2 2 6 36 5" xfId="39292"/>
    <cellStyle name="Total 2 2 6 36 6" xfId="43613"/>
    <cellStyle name="Total 2 2 6 36 7" xfId="48318"/>
    <cellStyle name="Total 2 2 6 37" xfId="5431"/>
    <cellStyle name="Total 2 2 6 37 2" xfId="13148"/>
    <cellStyle name="Total 2 2 6 37 3" xfId="22141"/>
    <cellStyle name="Total 2 2 6 37 4" xfId="30328"/>
    <cellStyle name="Total 2 2 6 37 5" xfId="39657"/>
    <cellStyle name="Total 2 2 6 37 6" xfId="43993"/>
    <cellStyle name="Total 2 2 6 37 7" xfId="49674"/>
    <cellStyle name="Total 2 2 6 38" xfId="5551"/>
    <cellStyle name="Total 2 2 6 38 2" xfId="13268"/>
    <cellStyle name="Total 2 2 6 38 3" xfId="22261"/>
    <cellStyle name="Total 2 2 6 38 4" xfId="30448"/>
    <cellStyle name="Total 2 2 6 38 5" xfId="39771"/>
    <cellStyle name="Total 2 2 6 38 6" xfId="44113"/>
    <cellStyle name="Total 2 2 6 38 7" xfId="47177"/>
    <cellStyle name="Total 2 2 6 39" xfId="5676"/>
    <cellStyle name="Total 2 2 6 39 2" xfId="13393"/>
    <cellStyle name="Total 2 2 6 39 3" xfId="22386"/>
    <cellStyle name="Total 2 2 6 39 4" xfId="30573"/>
    <cellStyle name="Total 2 2 6 39 5" xfId="39892"/>
    <cellStyle name="Total 2 2 6 39 6" xfId="44238"/>
    <cellStyle name="Total 2 2 6 39 7" xfId="47097"/>
    <cellStyle name="Total 2 2 6 4" xfId="941"/>
    <cellStyle name="Total 2 2 6 4 2" xfId="8765"/>
    <cellStyle name="Total 2 2 6 4 3" xfId="16193"/>
    <cellStyle name="Total 2 2 6 4 4" xfId="19933"/>
    <cellStyle name="Total 2 2 6 4 5" xfId="27319"/>
    <cellStyle name="Total 2 2 6 4 6" xfId="37926"/>
    <cellStyle name="Total 2 2 6 4 7" xfId="49472"/>
    <cellStyle name="Total 2 2 6 40" xfId="5791"/>
    <cellStyle name="Total 2 2 6 40 2" xfId="13508"/>
    <cellStyle name="Total 2 2 6 40 3" xfId="22501"/>
    <cellStyle name="Total 2 2 6 40 4" xfId="30688"/>
    <cellStyle name="Total 2 2 6 40 5" xfId="40004"/>
    <cellStyle name="Total 2 2 6 40 6" xfId="44353"/>
    <cellStyle name="Total 2 2 6 40 7" xfId="54022"/>
    <cellStyle name="Total 2 2 6 41" xfId="5909"/>
    <cellStyle name="Total 2 2 6 41 2" xfId="13626"/>
    <cellStyle name="Total 2 2 6 41 3" xfId="22619"/>
    <cellStyle name="Total 2 2 6 41 4" xfId="30806"/>
    <cellStyle name="Total 2 2 6 41 5" xfId="40119"/>
    <cellStyle name="Total 2 2 6 41 6" xfId="44471"/>
    <cellStyle name="Total 2 2 6 41 7" xfId="53662"/>
    <cellStyle name="Total 2 2 6 42" xfId="6036"/>
    <cellStyle name="Total 2 2 6 42 2" xfId="13753"/>
    <cellStyle name="Total 2 2 6 42 3" xfId="22746"/>
    <cellStyle name="Total 2 2 6 42 4" xfId="30933"/>
    <cellStyle name="Total 2 2 6 42 5" xfId="40241"/>
    <cellStyle name="Total 2 2 6 42 6" xfId="44598"/>
    <cellStyle name="Total 2 2 6 42 7" xfId="50735"/>
    <cellStyle name="Total 2 2 6 43" xfId="6164"/>
    <cellStyle name="Total 2 2 6 43 2" xfId="13881"/>
    <cellStyle name="Total 2 2 6 43 3" xfId="22874"/>
    <cellStyle name="Total 2 2 6 43 4" xfId="31061"/>
    <cellStyle name="Total 2 2 6 43 5" xfId="40362"/>
    <cellStyle name="Total 2 2 6 43 6" xfId="44726"/>
    <cellStyle name="Total 2 2 6 43 7" xfId="52053"/>
    <cellStyle name="Total 2 2 6 44" xfId="6292"/>
    <cellStyle name="Total 2 2 6 44 2" xfId="14009"/>
    <cellStyle name="Total 2 2 6 44 3" xfId="23002"/>
    <cellStyle name="Total 2 2 6 44 4" xfId="31189"/>
    <cellStyle name="Total 2 2 6 44 5" xfId="40489"/>
    <cellStyle name="Total 2 2 6 44 6" xfId="44854"/>
    <cellStyle name="Total 2 2 6 44 7" xfId="46991"/>
    <cellStyle name="Total 2 2 6 45" xfId="6407"/>
    <cellStyle name="Total 2 2 6 45 2" xfId="14124"/>
    <cellStyle name="Total 2 2 6 45 3" xfId="23117"/>
    <cellStyle name="Total 2 2 6 45 4" xfId="31304"/>
    <cellStyle name="Total 2 2 6 45 5" xfId="40600"/>
    <cellStyle name="Total 2 2 6 45 6" xfId="44969"/>
    <cellStyle name="Total 2 2 6 45 7" xfId="47721"/>
    <cellStyle name="Total 2 2 6 46" xfId="6519"/>
    <cellStyle name="Total 2 2 6 46 2" xfId="14236"/>
    <cellStyle name="Total 2 2 6 46 3" xfId="23229"/>
    <cellStyle name="Total 2 2 6 46 4" xfId="31416"/>
    <cellStyle name="Total 2 2 6 46 5" xfId="40708"/>
    <cellStyle name="Total 2 2 6 46 6" xfId="45081"/>
    <cellStyle name="Total 2 2 6 46 7" xfId="51654"/>
    <cellStyle name="Total 2 2 6 47" xfId="5296"/>
    <cellStyle name="Total 2 2 6 47 2" xfId="13013"/>
    <cellStyle name="Total 2 2 6 47 3" xfId="22006"/>
    <cellStyle name="Total 2 2 6 47 4" xfId="30193"/>
    <cellStyle name="Total 2 2 6 47 5" xfId="39527"/>
    <cellStyle name="Total 2 2 6 47 6" xfId="43858"/>
    <cellStyle name="Total 2 2 6 47 7" xfId="54422"/>
    <cellStyle name="Total 2 2 6 48" xfId="6666"/>
    <cellStyle name="Total 2 2 6 48 2" xfId="14383"/>
    <cellStyle name="Total 2 2 6 48 3" xfId="23376"/>
    <cellStyle name="Total 2 2 6 48 4" xfId="31563"/>
    <cellStyle name="Total 2 2 6 48 5" xfId="40847"/>
    <cellStyle name="Total 2 2 6 48 6" xfId="45228"/>
    <cellStyle name="Total 2 2 6 48 7" xfId="51354"/>
    <cellStyle name="Total 2 2 6 49" xfId="6777"/>
    <cellStyle name="Total 2 2 6 49 2" xfId="14494"/>
    <cellStyle name="Total 2 2 6 49 3" xfId="23487"/>
    <cellStyle name="Total 2 2 6 49 4" xfId="31674"/>
    <cellStyle name="Total 2 2 6 49 5" xfId="40953"/>
    <cellStyle name="Total 2 2 6 49 6" xfId="45339"/>
    <cellStyle name="Total 2 2 6 49 7" xfId="54460"/>
    <cellStyle name="Total 2 2 6 5" xfId="1409"/>
    <cellStyle name="Total 2 2 6 5 2" xfId="9232"/>
    <cellStyle name="Total 2 2 6 5 3" xfId="16660"/>
    <cellStyle name="Total 2 2 6 5 4" xfId="19896"/>
    <cellStyle name="Total 2 2 6 5 5" xfId="27649"/>
    <cellStyle name="Total 2 2 6 5 6" xfId="39449"/>
    <cellStyle name="Total 2 2 6 5 7" xfId="48665"/>
    <cellStyle name="Total 2 2 6 50" xfId="6892"/>
    <cellStyle name="Total 2 2 6 50 2" xfId="14609"/>
    <cellStyle name="Total 2 2 6 50 3" xfId="23602"/>
    <cellStyle name="Total 2 2 6 50 4" xfId="31789"/>
    <cellStyle name="Total 2 2 6 50 5" xfId="41061"/>
    <cellStyle name="Total 2 2 6 50 6" xfId="45454"/>
    <cellStyle name="Total 2 2 6 50 7" xfId="47058"/>
    <cellStyle name="Total 2 2 6 51" xfId="7005"/>
    <cellStyle name="Total 2 2 6 51 2" xfId="14722"/>
    <cellStyle name="Total 2 2 6 51 3" xfId="23715"/>
    <cellStyle name="Total 2 2 6 51 4" xfId="31902"/>
    <cellStyle name="Total 2 2 6 51 5" xfId="41169"/>
    <cellStyle name="Total 2 2 6 51 6" xfId="45567"/>
    <cellStyle name="Total 2 2 6 51 7" xfId="46988"/>
    <cellStyle name="Total 2 2 6 52" xfId="7115"/>
    <cellStyle name="Total 2 2 6 52 2" xfId="14832"/>
    <cellStyle name="Total 2 2 6 52 3" xfId="23825"/>
    <cellStyle name="Total 2 2 6 52 4" xfId="32012"/>
    <cellStyle name="Total 2 2 6 52 5" xfId="41274"/>
    <cellStyle name="Total 2 2 6 52 6" xfId="45677"/>
    <cellStyle name="Total 2 2 6 52 7" xfId="53861"/>
    <cellStyle name="Total 2 2 6 53" xfId="7161"/>
    <cellStyle name="Total 2 2 6 53 2" xfId="14878"/>
    <cellStyle name="Total 2 2 6 53 3" xfId="23871"/>
    <cellStyle name="Total 2 2 6 53 4" xfId="32058"/>
    <cellStyle name="Total 2 2 6 53 5" xfId="41320"/>
    <cellStyle name="Total 2 2 6 53 6" xfId="45723"/>
    <cellStyle name="Total 2 2 6 53 7" xfId="47796"/>
    <cellStyle name="Total 2 2 6 54" xfId="7359"/>
    <cellStyle name="Total 2 2 6 54 2" xfId="15076"/>
    <cellStyle name="Total 2 2 6 54 3" xfId="24069"/>
    <cellStyle name="Total 2 2 6 54 4" xfId="32256"/>
    <cellStyle name="Total 2 2 6 54 5" xfId="41512"/>
    <cellStyle name="Total 2 2 6 54 6" xfId="45921"/>
    <cellStyle name="Total 2 2 6 54 7" xfId="50442"/>
    <cellStyle name="Total 2 2 6 55" xfId="7512"/>
    <cellStyle name="Total 2 2 6 55 2" xfId="15229"/>
    <cellStyle name="Total 2 2 6 55 3" xfId="24222"/>
    <cellStyle name="Total 2 2 6 55 4" xfId="32409"/>
    <cellStyle name="Total 2 2 6 55 5" xfId="41656"/>
    <cellStyle name="Total 2 2 6 55 6" xfId="46074"/>
    <cellStyle name="Total 2 2 6 55 7" xfId="48348"/>
    <cellStyle name="Total 2 2 6 56" xfId="7633"/>
    <cellStyle name="Total 2 2 6 56 2" xfId="15350"/>
    <cellStyle name="Total 2 2 6 56 3" xfId="24343"/>
    <cellStyle name="Total 2 2 6 56 4" xfId="32530"/>
    <cellStyle name="Total 2 2 6 56 5" xfId="41772"/>
    <cellStyle name="Total 2 2 6 56 6" xfId="46195"/>
    <cellStyle name="Total 2 2 6 56 7" xfId="52787"/>
    <cellStyle name="Total 2 2 6 57" xfId="7910"/>
    <cellStyle name="Total 2 2 6 57 2" xfId="15627"/>
    <cellStyle name="Total 2 2 6 57 3" xfId="24614"/>
    <cellStyle name="Total 2 2 6 57 4" xfId="32807"/>
    <cellStyle name="Total 2 2 6 57 5" xfId="42038"/>
    <cellStyle name="Total 2 2 6 57 6" xfId="46472"/>
    <cellStyle name="Total 2 2 6 57 7" xfId="47643"/>
    <cellStyle name="Total 2 2 6 58" xfId="8038"/>
    <cellStyle name="Total 2 2 6 58 2" xfId="15755"/>
    <cellStyle name="Total 2 2 6 58 3" xfId="24740"/>
    <cellStyle name="Total 2 2 6 58 4" xfId="32935"/>
    <cellStyle name="Total 2 2 6 58 5" xfId="42160"/>
    <cellStyle name="Total 2 2 6 58 6" xfId="46600"/>
    <cellStyle name="Total 2 2 6 58 7" xfId="53200"/>
    <cellStyle name="Total 2 2 6 59" xfId="7802"/>
    <cellStyle name="Total 2 2 6 59 2" xfId="15519"/>
    <cellStyle name="Total 2 2 6 59 3" xfId="24506"/>
    <cellStyle name="Total 2 2 6 59 4" xfId="32699"/>
    <cellStyle name="Total 2 2 6 59 5" xfId="41934"/>
    <cellStyle name="Total 2 2 6 59 6" xfId="46364"/>
    <cellStyle name="Total 2 2 6 59 7" xfId="51772"/>
    <cellStyle name="Total 2 2 6 6" xfId="1532"/>
    <cellStyle name="Total 2 2 6 6 2" xfId="9355"/>
    <cellStyle name="Total 2 2 6 6 3" xfId="16783"/>
    <cellStyle name="Total 2 2 6 6 4" xfId="19581"/>
    <cellStyle name="Total 2 2 6 6 5" xfId="28753"/>
    <cellStyle name="Total 2 2 6 6 6" xfId="38113"/>
    <cellStyle name="Total 2 2 6 6 7" xfId="47737"/>
    <cellStyle name="Total 2 2 6 60" xfId="8185"/>
    <cellStyle name="Total 2 2 6 60 2" xfId="15902"/>
    <cellStyle name="Total 2 2 6 60 3" xfId="33082"/>
    <cellStyle name="Total 2 2 6 60 4" xfId="42301"/>
    <cellStyle name="Total 2 2 6 60 5" xfId="46747"/>
    <cellStyle name="Total 2 2 6 60 6" xfId="46871"/>
    <cellStyle name="Total 2 2 6 61" xfId="25346"/>
    <cellStyle name="Total 2 2 6 62" xfId="33780"/>
    <cellStyle name="Total 2 2 6 63" xfId="36297"/>
    <cellStyle name="Total 2 2 6 64" xfId="51523"/>
    <cellStyle name="Total 2 2 6 7" xfId="1013"/>
    <cellStyle name="Total 2 2 6 7 2" xfId="8837"/>
    <cellStyle name="Total 2 2 6 7 3" xfId="16265"/>
    <cellStyle name="Total 2 2 6 7 4" xfId="19445"/>
    <cellStyle name="Total 2 2 6 7 5" xfId="27525"/>
    <cellStyle name="Total 2 2 6 7 6" xfId="36688"/>
    <cellStyle name="Total 2 2 6 7 7" xfId="49017"/>
    <cellStyle name="Total 2 2 6 8" xfId="1770"/>
    <cellStyle name="Total 2 2 6 8 2" xfId="9593"/>
    <cellStyle name="Total 2 2 6 8 3" xfId="17021"/>
    <cellStyle name="Total 2 2 6 8 4" xfId="20394"/>
    <cellStyle name="Total 2 2 6 8 5" xfId="27051"/>
    <cellStyle name="Total 2 2 6 8 6" xfId="37875"/>
    <cellStyle name="Total 2 2 6 8 7" xfId="48152"/>
    <cellStyle name="Total 2 2 6 9" xfId="1903"/>
    <cellStyle name="Total 2 2 6 9 2" xfId="9726"/>
    <cellStyle name="Total 2 2 6 9 3" xfId="17154"/>
    <cellStyle name="Total 2 2 6 9 4" xfId="24794"/>
    <cellStyle name="Total 2 2 6 9 5" xfId="27208"/>
    <cellStyle name="Total 2 2 6 9 6" xfId="37373"/>
    <cellStyle name="Total 2 2 6 9 7" xfId="47760"/>
    <cellStyle name="Total 2 2 60" xfId="7139"/>
    <cellStyle name="Total 2 2 60 2" xfId="14856"/>
    <cellStyle name="Total 2 2 60 3" xfId="23849"/>
    <cellStyle name="Total 2 2 60 4" xfId="32036"/>
    <cellStyle name="Total 2 2 60 5" xfId="41298"/>
    <cellStyle name="Total 2 2 60 6" xfId="45701"/>
    <cellStyle name="Total 2 2 60 7" xfId="51241"/>
    <cellStyle name="Total 2 2 61" xfId="7537"/>
    <cellStyle name="Total 2 2 61 2" xfId="15254"/>
    <cellStyle name="Total 2 2 61 3" xfId="24247"/>
    <cellStyle name="Total 2 2 61 4" xfId="32434"/>
    <cellStyle name="Total 2 2 61 5" xfId="41680"/>
    <cellStyle name="Total 2 2 61 6" xfId="46099"/>
    <cellStyle name="Total 2 2 61 7" xfId="53747"/>
    <cellStyle name="Total 2 2 62" xfId="7738"/>
    <cellStyle name="Total 2 2 62 2" xfId="15455"/>
    <cellStyle name="Total 2 2 62 3" xfId="24446"/>
    <cellStyle name="Total 2 2 62 4" xfId="32635"/>
    <cellStyle name="Total 2 2 62 5" xfId="41871"/>
    <cellStyle name="Total 2 2 62 6" xfId="46300"/>
    <cellStyle name="Total 2 2 62 7" xfId="54431"/>
    <cellStyle name="Total 2 2 63" xfId="7676"/>
    <cellStyle name="Total 2 2 63 2" xfId="15393"/>
    <cellStyle name="Total 2 2 63 3" xfId="24384"/>
    <cellStyle name="Total 2 2 63 4" xfId="32573"/>
    <cellStyle name="Total 2 2 63 5" xfId="41812"/>
    <cellStyle name="Total 2 2 63 6" xfId="46238"/>
    <cellStyle name="Total 2 2 63 7" xfId="54496"/>
    <cellStyle name="Total 2 2 64" xfId="7803"/>
    <cellStyle name="Total 2 2 64 2" xfId="15520"/>
    <cellStyle name="Total 2 2 64 3" xfId="24507"/>
    <cellStyle name="Total 2 2 64 4" xfId="32700"/>
    <cellStyle name="Total 2 2 64 5" xfId="41935"/>
    <cellStyle name="Total 2 2 64 6" xfId="46365"/>
    <cellStyle name="Total 2 2 64 7" xfId="50089"/>
    <cellStyle name="Total 2 2 65" xfId="7790"/>
    <cellStyle name="Total 2 2 65 2" xfId="15507"/>
    <cellStyle name="Total 2 2 65 3" xfId="32687"/>
    <cellStyle name="Total 2 2 65 4" xfId="41922"/>
    <cellStyle name="Total 2 2 65 5" xfId="46352"/>
    <cellStyle name="Total 2 2 65 6" xfId="47924"/>
    <cellStyle name="Total 2 2 66" xfId="26352"/>
    <cellStyle name="Total 2 2 67" xfId="35081"/>
    <cellStyle name="Total 2 2 68" xfId="37337"/>
    <cellStyle name="Total 2 2 69" xfId="53740"/>
    <cellStyle name="Total 2 2 7" xfId="605"/>
    <cellStyle name="Total 2 2 7 2" xfId="8429"/>
    <cellStyle name="Total 2 2 7 3" xfId="8409"/>
    <cellStyle name="Total 2 2 7 4" xfId="19297"/>
    <cellStyle name="Total 2 2 7 5" xfId="27469"/>
    <cellStyle name="Total 2 2 7 6" xfId="37128"/>
    <cellStyle name="Total 2 2 7 7" xfId="48128"/>
    <cellStyle name="Total 2 2 8" xfId="614"/>
    <cellStyle name="Total 2 2 8 2" xfId="8438"/>
    <cellStyle name="Total 2 2 8 3" xfId="8410"/>
    <cellStyle name="Total 2 2 8 4" xfId="19887"/>
    <cellStyle name="Total 2 2 8 5" xfId="27148"/>
    <cellStyle name="Total 2 2 8 6" xfId="38253"/>
    <cellStyle name="Total 2 2 8 7" xfId="47844"/>
    <cellStyle name="Total 2 2 9" xfId="781"/>
    <cellStyle name="Total 2 2 9 2" xfId="8605"/>
    <cellStyle name="Total 2 2 9 3" xfId="16033"/>
    <cellStyle name="Total 2 2 9 4" xfId="25309"/>
    <cellStyle name="Total 2 2 9 5" xfId="33725"/>
    <cellStyle name="Total 2 2 9 6" xfId="37591"/>
    <cellStyle name="Total 2 2 9 7" xfId="51443"/>
    <cellStyle name="Total 2 20" xfId="3029"/>
    <cellStyle name="Total 2 20 2" xfId="10844"/>
    <cellStyle name="Total 2 20 3" xfId="20200"/>
    <cellStyle name="Total 2 20 4" xfId="28291"/>
    <cellStyle name="Total 2 20 5" xfId="37671"/>
    <cellStyle name="Total 2 20 6" xfId="42363"/>
    <cellStyle name="Total 2 20 7" xfId="50360"/>
    <cellStyle name="Total 2 21" xfId="4263"/>
    <cellStyle name="Total 2 21 2" xfId="11984"/>
    <cellStyle name="Total 2 21 3" xfId="20973"/>
    <cellStyle name="Total 2 21 4" xfId="29160"/>
    <cellStyle name="Total 2 21 5" xfId="38533"/>
    <cellStyle name="Total 2 21 6" xfId="42825"/>
    <cellStyle name="Total 2 21 7" xfId="52907"/>
    <cellStyle name="Total 2 22" xfId="4206"/>
    <cellStyle name="Total 2 22 2" xfId="11956"/>
    <cellStyle name="Total 2 22 3" xfId="20916"/>
    <cellStyle name="Total 2 22 4" xfId="29103"/>
    <cellStyle name="Total 2 22 5" xfId="38479"/>
    <cellStyle name="Total 2 22 6" xfId="42768"/>
    <cellStyle name="Total 2 22 7" xfId="51119"/>
    <cellStyle name="Total 2 23" xfId="5068"/>
    <cellStyle name="Total 2 23 2" xfId="12785"/>
    <cellStyle name="Total 2 23 3" xfId="21778"/>
    <cellStyle name="Total 2 23 4" xfId="29965"/>
    <cellStyle name="Total 2 23 5" xfId="39308"/>
    <cellStyle name="Total 2 23 6" xfId="43630"/>
    <cellStyle name="Total 2 23 7" xfId="54091"/>
    <cellStyle name="Total 2 24" xfId="5225"/>
    <cellStyle name="Total 2 24 2" xfId="12942"/>
    <cellStyle name="Total 2 24 3" xfId="21935"/>
    <cellStyle name="Total 2 24 4" xfId="30122"/>
    <cellStyle name="Total 2 24 5" xfId="39457"/>
    <cellStyle name="Total 2 24 6" xfId="43787"/>
    <cellStyle name="Total 2 24 7" xfId="54012"/>
    <cellStyle name="Total 2 25" xfId="5200"/>
    <cellStyle name="Total 2 25 2" xfId="12917"/>
    <cellStyle name="Total 2 25 3" xfId="21910"/>
    <cellStyle name="Total 2 25 4" xfId="30097"/>
    <cellStyle name="Total 2 25 5" xfId="39434"/>
    <cellStyle name="Total 2 25 6" xfId="43762"/>
    <cellStyle name="Total 2 25 7" xfId="49363"/>
    <cellStyle name="Total 2 26" xfId="5684"/>
    <cellStyle name="Total 2 26 2" xfId="13401"/>
    <cellStyle name="Total 2 26 3" xfId="22394"/>
    <cellStyle name="Total 2 26 4" xfId="30581"/>
    <cellStyle name="Total 2 26 5" xfId="39899"/>
    <cellStyle name="Total 2 26 6" xfId="44246"/>
    <cellStyle name="Total 2 26 7" xfId="47092"/>
    <cellStyle name="Total 2 27" xfId="6145"/>
    <cellStyle name="Total 2 27 2" xfId="13862"/>
    <cellStyle name="Total 2 27 3" xfId="22855"/>
    <cellStyle name="Total 2 27 4" xfId="31042"/>
    <cellStyle name="Total 2 27 5" xfId="40343"/>
    <cellStyle name="Total 2 27 6" xfId="44707"/>
    <cellStyle name="Total 2 27 7" xfId="53892"/>
    <cellStyle name="Total 2 28" xfId="5195"/>
    <cellStyle name="Total 2 28 2" xfId="12912"/>
    <cellStyle name="Total 2 28 3" xfId="21905"/>
    <cellStyle name="Total 2 28 4" xfId="30092"/>
    <cellStyle name="Total 2 28 5" xfId="39429"/>
    <cellStyle name="Total 2 28 6" xfId="43757"/>
    <cellStyle name="Total 2 28 7" xfId="49978"/>
    <cellStyle name="Total 2 29" xfId="7294"/>
    <cellStyle name="Total 2 29 2" xfId="15011"/>
    <cellStyle name="Total 2 29 3" xfId="24004"/>
    <cellStyle name="Total 2 29 4" xfId="32191"/>
    <cellStyle name="Total 2 29 5" xfId="41447"/>
    <cellStyle name="Total 2 29 6" xfId="45856"/>
    <cellStyle name="Total 2 29 7" xfId="49586"/>
    <cellStyle name="Total 2 3" xfId="518"/>
    <cellStyle name="Total 2 3 10" xfId="1965"/>
    <cellStyle name="Total 2 3 10 2" xfId="9788"/>
    <cellStyle name="Total 2 3 10 3" xfId="17216"/>
    <cellStyle name="Total 2 3 10 4" xfId="19032"/>
    <cellStyle name="Total 2 3 10 5" xfId="33119"/>
    <cellStyle name="Total 2 3 10 6" xfId="38792"/>
    <cellStyle name="Total 2 3 10 7" xfId="49821"/>
    <cellStyle name="Total 2 3 11" xfId="2083"/>
    <cellStyle name="Total 2 3 11 2" xfId="9906"/>
    <cellStyle name="Total 2 3 11 3" xfId="17334"/>
    <cellStyle name="Total 2 3 11 4" xfId="19433"/>
    <cellStyle name="Total 2 3 11 5" xfId="33146"/>
    <cellStyle name="Total 2 3 11 6" xfId="42043"/>
    <cellStyle name="Total 2 3 11 7" xfId="50420"/>
    <cellStyle name="Total 2 3 12" xfId="2196"/>
    <cellStyle name="Total 2 3 12 2" xfId="10019"/>
    <cellStyle name="Total 2 3 12 3" xfId="17447"/>
    <cellStyle name="Total 2 3 12 4" xfId="26188"/>
    <cellStyle name="Total 2 3 12 5" xfId="34865"/>
    <cellStyle name="Total 2 3 12 6" xfId="37922"/>
    <cellStyle name="Total 2 3 12 7" xfId="53399"/>
    <cellStyle name="Total 2 3 13" xfId="1160"/>
    <cellStyle name="Total 2 3 13 2" xfId="8983"/>
    <cellStyle name="Total 2 3 13 3" xfId="16411"/>
    <cellStyle name="Total 2 3 13 4" xfId="19272"/>
    <cellStyle name="Total 2 3 13 5" xfId="27413"/>
    <cellStyle name="Total 2 3 13 6" xfId="38841"/>
    <cellStyle name="Total 2 3 13 7" xfId="48612"/>
    <cellStyle name="Total 2 3 14" xfId="2323"/>
    <cellStyle name="Total 2 3 14 2" xfId="10146"/>
    <cellStyle name="Total 2 3 14 3" xfId="17574"/>
    <cellStyle name="Total 2 3 14 4" xfId="20706"/>
    <cellStyle name="Total 2 3 14 5" xfId="27152"/>
    <cellStyle name="Total 2 3 14 6" xfId="41089"/>
    <cellStyle name="Total 2 3 14 7" xfId="48474"/>
    <cellStyle name="Total 2 3 15" xfId="2494"/>
    <cellStyle name="Total 2 3 15 2" xfId="10317"/>
    <cellStyle name="Total 2 3 15 3" xfId="17745"/>
    <cellStyle name="Total 2 3 15 4" xfId="25295"/>
    <cellStyle name="Total 2 3 15 5" xfId="33709"/>
    <cellStyle name="Total 2 3 15 6" xfId="37517"/>
    <cellStyle name="Total 2 3 15 7" xfId="51417"/>
    <cellStyle name="Total 2 3 16" xfId="2607"/>
    <cellStyle name="Total 2 3 16 2" xfId="10430"/>
    <cellStyle name="Total 2 3 16 3" xfId="17858"/>
    <cellStyle name="Total 2 3 16 4" xfId="20039"/>
    <cellStyle name="Total 2 3 16 5" xfId="27732"/>
    <cellStyle name="Total 2 3 16 6" xfId="42053"/>
    <cellStyle name="Total 2 3 16 7" xfId="47882"/>
    <cellStyle name="Total 2 3 17" xfId="1025"/>
    <cellStyle name="Total 2 3 17 2" xfId="8849"/>
    <cellStyle name="Total 2 3 17 3" xfId="16277"/>
    <cellStyle name="Total 2 3 17 4" xfId="25430"/>
    <cellStyle name="Total 2 3 17 5" xfId="33889"/>
    <cellStyle name="Total 2 3 17 6" xfId="36394"/>
    <cellStyle name="Total 2 3 17 7" xfId="51707"/>
    <cellStyle name="Total 2 3 18" xfId="2730"/>
    <cellStyle name="Total 2 3 18 2" xfId="10553"/>
    <cellStyle name="Total 2 3 18 3" xfId="17981"/>
    <cellStyle name="Total 2 3 18 4" xfId="19034"/>
    <cellStyle name="Total 2 3 18 5" xfId="27991"/>
    <cellStyle name="Total 2 3 18 6" xfId="36642"/>
    <cellStyle name="Total 2 3 18 7" xfId="49888"/>
    <cellStyle name="Total 2 3 19" xfId="2801"/>
    <cellStyle name="Total 2 3 19 2" xfId="10624"/>
    <cellStyle name="Total 2 3 19 3" xfId="18052"/>
    <cellStyle name="Total 2 3 19 4" xfId="25174"/>
    <cellStyle name="Total 2 3 19 5" xfId="33555"/>
    <cellStyle name="Total 2 3 19 6" xfId="37400"/>
    <cellStyle name="Total 2 3 19 7" xfId="51165"/>
    <cellStyle name="Total 2 3 2" xfId="669"/>
    <cellStyle name="Total 2 3 2 2" xfId="8493"/>
    <cellStyle name="Total 2 3 2 3" xfId="8265"/>
    <cellStyle name="Total 2 3 2 4" xfId="24943"/>
    <cellStyle name="Total 2 3 2 5" xfId="33279"/>
    <cellStyle name="Total 2 3 2 6" xfId="37750"/>
    <cellStyle name="Total 2 3 2 7" xfId="50664"/>
    <cellStyle name="Total 2 3 20" xfId="2908"/>
    <cellStyle name="Total 2 3 20 2" xfId="10731"/>
    <cellStyle name="Total 2 3 20 3" xfId="18159"/>
    <cellStyle name="Total 2 3 20 4" xfId="25442"/>
    <cellStyle name="Total 2 3 20 5" xfId="33902"/>
    <cellStyle name="Total 2 3 20 6" xfId="37334"/>
    <cellStyle name="Total 2 3 20 7" xfId="51733"/>
    <cellStyle name="Total 2 3 21" xfId="3284"/>
    <cellStyle name="Total 2 3 21 2" xfId="11077"/>
    <cellStyle name="Total 2 3 21 3" xfId="18406"/>
    <cellStyle name="Total 2 3 21 4" xfId="26284"/>
    <cellStyle name="Total 2 3 21 5" xfId="34991"/>
    <cellStyle name="Total 2 3 21 6" xfId="41255"/>
    <cellStyle name="Total 2 3 21 7" xfId="53612"/>
    <cellStyle name="Total 2 3 22" xfId="3404"/>
    <cellStyle name="Total 2 3 22 2" xfId="11195"/>
    <cellStyle name="Total 2 3 22 3" xfId="18517"/>
    <cellStyle name="Total 2 3 22 4" xfId="20380"/>
    <cellStyle name="Total 2 3 22 5" xfId="27737"/>
    <cellStyle name="Total 2 3 22 6" xfId="37176"/>
    <cellStyle name="Total 2 3 22 7" xfId="49500"/>
    <cellStyle name="Total 2 3 23" xfId="3037"/>
    <cellStyle name="Total 2 3 23 2" xfId="10851"/>
    <cellStyle name="Total 2 3 23 3" xfId="18262"/>
    <cellStyle name="Total 2 3 23 4" xfId="19634"/>
    <cellStyle name="Total 2 3 23 5" xfId="27279"/>
    <cellStyle name="Total 2 3 23 6" xfId="36591"/>
    <cellStyle name="Total 2 3 23 7" xfId="49404"/>
    <cellStyle name="Total 2 3 24" xfId="3674"/>
    <cellStyle name="Total 2 3 24 2" xfId="11459"/>
    <cellStyle name="Total 2 3 24 3" xfId="18732"/>
    <cellStyle name="Total 2 3 24 4" xfId="25604"/>
    <cellStyle name="Total 2 3 24 5" xfId="34115"/>
    <cellStyle name="Total 2 3 24 6" xfId="38704"/>
    <cellStyle name="Total 2 3 24 7" xfId="52101"/>
    <cellStyle name="Total 2 3 25" xfId="3805"/>
    <cellStyle name="Total 2 3 25 2" xfId="11587"/>
    <cellStyle name="Total 2 3 25 3" xfId="18844"/>
    <cellStyle name="Total 2 3 25 4" xfId="26561"/>
    <cellStyle name="Total 2 3 25 5" xfId="35370"/>
    <cellStyle name="Total 2 3 25 6" xfId="41576"/>
    <cellStyle name="Total 2 3 25 7" xfId="54193"/>
    <cellStyle name="Total 2 3 26" xfId="3922"/>
    <cellStyle name="Total 2 3 26 2" xfId="11702"/>
    <cellStyle name="Total 2 3 26 3" xfId="18953"/>
    <cellStyle name="Total 2 3 26 4" xfId="19209"/>
    <cellStyle name="Total 2 3 26 5" xfId="26727"/>
    <cellStyle name="Total 2 3 26 6" xfId="37314"/>
    <cellStyle name="Total 2 3 26 7" xfId="49137"/>
    <cellStyle name="Total 2 3 27" xfId="3053"/>
    <cellStyle name="Total 2 3 27 2" xfId="10865"/>
    <cellStyle name="Total 2 3 27 3" xfId="20219"/>
    <cellStyle name="Total 2 3 27 4" xfId="28311"/>
    <cellStyle name="Total 2 3 27 5" xfId="37691"/>
    <cellStyle name="Total 2 3 27 6" xfId="42376"/>
    <cellStyle name="Total 2 3 27 7" xfId="47694"/>
    <cellStyle name="Total 2 3 28" xfId="4119"/>
    <cellStyle name="Total 2 3 28 2" xfId="11879"/>
    <cellStyle name="Total 2 3 28 3" xfId="20829"/>
    <cellStyle name="Total 2 3 28 4" xfId="29016"/>
    <cellStyle name="Total 2 3 28 5" xfId="38393"/>
    <cellStyle name="Total 2 3 28 6" xfId="42681"/>
    <cellStyle name="Total 2 3 28 7" xfId="52637"/>
    <cellStyle name="Total 2 3 29" xfId="3626"/>
    <cellStyle name="Total 2 3 29 2" xfId="20553"/>
    <cellStyle name="Total 2 3 29 3" xfId="28686"/>
    <cellStyle name="Total 2 3 29 4" xfId="38073"/>
    <cellStyle name="Total 2 3 29 5" xfId="42523"/>
    <cellStyle name="Total 2 3 29 6" xfId="49341"/>
    <cellStyle name="Total 2 3 3" xfId="776"/>
    <cellStyle name="Total 2 3 3 2" xfId="8600"/>
    <cellStyle name="Total 2 3 3 3" xfId="16028"/>
    <cellStyle name="Total 2 3 3 4" xfId="19774"/>
    <cellStyle name="Total 2 3 3 5" xfId="27030"/>
    <cellStyle name="Total 2 3 3 6" xfId="38167"/>
    <cellStyle name="Total 2 3 3 7" xfId="47653"/>
    <cellStyle name="Total 2 3 30" xfId="4316"/>
    <cellStyle name="Total 2 3 30 2" xfId="12033"/>
    <cellStyle name="Total 2 3 30 3" xfId="21026"/>
    <cellStyle name="Total 2 3 30 4" xfId="29213"/>
    <cellStyle name="Total 2 3 30 5" xfId="38584"/>
    <cellStyle name="Total 2 3 30 6" xfId="42878"/>
    <cellStyle name="Total 2 3 30 7" xfId="47021"/>
    <cellStyle name="Total 2 3 31" xfId="4439"/>
    <cellStyle name="Total 2 3 31 2" xfId="12156"/>
    <cellStyle name="Total 2 3 31 3" xfId="21149"/>
    <cellStyle name="Total 2 3 31 4" xfId="29336"/>
    <cellStyle name="Total 2 3 31 5" xfId="38702"/>
    <cellStyle name="Total 2 3 31 6" xfId="43001"/>
    <cellStyle name="Total 2 3 31 7" xfId="51341"/>
    <cellStyle name="Total 2 3 32" xfId="4553"/>
    <cellStyle name="Total 2 3 32 2" xfId="12270"/>
    <cellStyle name="Total 2 3 32 3" xfId="21263"/>
    <cellStyle name="Total 2 3 32 4" xfId="29450"/>
    <cellStyle name="Total 2 3 32 5" xfId="38811"/>
    <cellStyle name="Total 2 3 32 6" xfId="43115"/>
    <cellStyle name="Total 2 3 32 7" xfId="54427"/>
    <cellStyle name="Total 2 3 33" xfId="4666"/>
    <cellStyle name="Total 2 3 33 2" xfId="12383"/>
    <cellStyle name="Total 2 3 33 3" xfId="21376"/>
    <cellStyle name="Total 2 3 33 4" xfId="29563"/>
    <cellStyle name="Total 2 3 33 5" xfId="38920"/>
    <cellStyle name="Total 2 3 33 6" xfId="43228"/>
    <cellStyle name="Total 2 3 33 7" xfId="50462"/>
    <cellStyle name="Total 2 3 34" xfId="4778"/>
    <cellStyle name="Total 2 3 34 2" xfId="12495"/>
    <cellStyle name="Total 2 3 34 3" xfId="21488"/>
    <cellStyle name="Total 2 3 34 4" xfId="29675"/>
    <cellStyle name="Total 2 3 34 5" xfId="39029"/>
    <cellStyle name="Total 2 3 34 6" xfId="43340"/>
    <cellStyle name="Total 2 3 34 7" xfId="53963"/>
    <cellStyle name="Total 2 3 35" xfId="4886"/>
    <cellStyle name="Total 2 3 35 2" xfId="12603"/>
    <cellStyle name="Total 2 3 35 3" xfId="21596"/>
    <cellStyle name="Total 2 3 35 4" xfId="29783"/>
    <cellStyle name="Total 2 3 35 5" xfId="39132"/>
    <cellStyle name="Total 2 3 35 6" xfId="43448"/>
    <cellStyle name="Total 2 3 35 7" xfId="50391"/>
    <cellStyle name="Total 2 3 36" xfId="4998"/>
    <cellStyle name="Total 2 3 36 2" xfId="12715"/>
    <cellStyle name="Total 2 3 36 3" xfId="21708"/>
    <cellStyle name="Total 2 3 36 4" xfId="29895"/>
    <cellStyle name="Total 2 3 36 5" xfId="39241"/>
    <cellStyle name="Total 2 3 36 6" xfId="43560"/>
    <cellStyle name="Total 2 3 36 7" xfId="54114"/>
    <cellStyle name="Total 2 3 37" xfId="5115"/>
    <cellStyle name="Total 2 3 37 2" xfId="12832"/>
    <cellStyle name="Total 2 3 37 3" xfId="21825"/>
    <cellStyle name="Total 2 3 37 4" xfId="30012"/>
    <cellStyle name="Total 2 3 37 5" xfId="39353"/>
    <cellStyle name="Total 2 3 37 6" xfId="43677"/>
    <cellStyle name="Total 2 3 37 7" xfId="49048"/>
    <cellStyle name="Total 2 3 38" xfId="5496"/>
    <cellStyle name="Total 2 3 38 2" xfId="13213"/>
    <cellStyle name="Total 2 3 38 3" xfId="22206"/>
    <cellStyle name="Total 2 3 38 4" xfId="30393"/>
    <cellStyle name="Total 2 3 38 5" xfId="39718"/>
    <cellStyle name="Total 2 3 38 6" xfId="44058"/>
    <cellStyle name="Total 2 3 38 7" xfId="49056"/>
    <cellStyle name="Total 2 3 39" xfId="5621"/>
    <cellStyle name="Total 2 3 39 2" xfId="13338"/>
    <cellStyle name="Total 2 3 39 3" xfId="22331"/>
    <cellStyle name="Total 2 3 39 4" xfId="30518"/>
    <cellStyle name="Total 2 3 39 5" xfId="39839"/>
    <cellStyle name="Total 2 3 39 6" xfId="44183"/>
    <cellStyle name="Total 2 3 39 7" xfId="46905"/>
    <cellStyle name="Total 2 3 4" xfId="888"/>
    <cellStyle name="Total 2 3 4 2" xfId="8712"/>
    <cellStyle name="Total 2 3 4 3" xfId="16140"/>
    <cellStyle name="Total 2 3 4 4" xfId="26475"/>
    <cellStyle name="Total 2 3 4 5" xfId="35256"/>
    <cellStyle name="Total 2 3 4 6" xfId="37728"/>
    <cellStyle name="Total 2 3 4 7" xfId="54018"/>
    <cellStyle name="Total 2 3 40" xfId="5736"/>
    <cellStyle name="Total 2 3 40 2" xfId="13453"/>
    <cellStyle name="Total 2 3 40 3" xfId="22446"/>
    <cellStyle name="Total 2 3 40 4" xfId="30633"/>
    <cellStyle name="Total 2 3 40 5" xfId="39950"/>
    <cellStyle name="Total 2 3 40 6" xfId="44298"/>
    <cellStyle name="Total 2 3 40 7" xfId="53636"/>
    <cellStyle name="Total 2 3 41" xfId="5853"/>
    <cellStyle name="Total 2 3 41 2" xfId="13570"/>
    <cellStyle name="Total 2 3 41 3" xfId="22563"/>
    <cellStyle name="Total 2 3 41 4" xfId="30750"/>
    <cellStyle name="Total 2 3 41 5" xfId="40064"/>
    <cellStyle name="Total 2 3 41 6" xfId="44415"/>
    <cellStyle name="Total 2 3 41 7" xfId="54108"/>
    <cellStyle name="Total 2 3 42" xfId="5981"/>
    <cellStyle name="Total 2 3 42 2" xfId="13698"/>
    <cellStyle name="Total 2 3 42 3" xfId="22691"/>
    <cellStyle name="Total 2 3 42 4" xfId="30878"/>
    <cellStyle name="Total 2 3 42 5" xfId="40187"/>
    <cellStyle name="Total 2 3 42 6" xfId="44543"/>
    <cellStyle name="Total 2 3 42 7" xfId="48259"/>
    <cellStyle name="Total 2 3 43" xfId="5226"/>
    <cellStyle name="Total 2 3 43 2" xfId="12943"/>
    <cellStyle name="Total 2 3 43 3" xfId="21936"/>
    <cellStyle name="Total 2 3 43 4" xfId="30123"/>
    <cellStyle name="Total 2 3 43 5" xfId="39458"/>
    <cellStyle name="Total 2 3 43 6" xfId="43788"/>
    <cellStyle name="Total 2 3 43 7" xfId="54225"/>
    <cellStyle name="Total 2 3 44" xfId="6237"/>
    <cellStyle name="Total 2 3 44 2" xfId="13954"/>
    <cellStyle name="Total 2 3 44 3" xfId="22947"/>
    <cellStyle name="Total 2 3 44 4" xfId="31134"/>
    <cellStyle name="Total 2 3 44 5" xfId="40435"/>
    <cellStyle name="Total 2 3 44 6" xfId="44799"/>
    <cellStyle name="Total 2 3 44 7" xfId="51517"/>
    <cellStyle name="Total 2 3 45" xfId="6354"/>
    <cellStyle name="Total 2 3 45 2" xfId="14071"/>
    <cellStyle name="Total 2 3 45 3" xfId="23064"/>
    <cellStyle name="Total 2 3 45 4" xfId="31251"/>
    <cellStyle name="Total 2 3 45 5" xfId="40549"/>
    <cellStyle name="Total 2 3 45 6" xfId="44916"/>
    <cellStyle name="Total 2 3 45 7" xfId="48440"/>
    <cellStyle name="Total 2 3 46" xfId="6464"/>
    <cellStyle name="Total 2 3 46 2" xfId="14181"/>
    <cellStyle name="Total 2 3 46 3" xfId="23174"/>
    <cellStyle name="Total 2 3 46 4" xfId="31361"/>
    <cellStyle name="Total 2 3 46 5" xfId="40655"/>
    <cellStyle name="Total 2 3 46 6" xfId="45026"/>
    <cellStyle name="Total 2 3 46 7" xfId="49412"/>
    <cellStyle name="Total 2 3 47" xfId="5375"/>
    <cellStyle name="Total 2 3 47 2" xfId="13092"/>
    <cellStyle name="Total 2 3 47 3" xfId="22085"/>
    <cellStyle name="Total 2 3 47 4" xfId="30272"/>
    <cellStyle name="Total 2 3 47 5" xfId="39603"/>
    <cellStyle name="Total 2 3 47 6" xfId="43937"/>
    <cellStyle name="Total 2 3 47 7" xfId="53912"/>
    <cellStyle name="Total 2 3 48" xfId="6611"/>
    <cellStyle name="Total 2 3 48 2" xfId="14328"/>
    <cellStyle name="Total 2 3 48 3" xfId="23321"/>
    <cellStyle name="Total 2 3 48 4" xfId="31508"/>
    <cellStyle name="Total 2 3 48 5" xfId="40795"/>
    <cellStyle name="Total 2 3 48 6" xfId="45173"/>
    <cellStyle name="Total 2 3 48 7" xfId="49552"/>
    <cellStyle name="Total 2 3 49" xfId="6722"/>
    <cellStyle name="Total 2 3 49 2" xfId="14439"/>
    <cellStyle name="Total 2 3 49 3" xfId="23432"/>
    <cellStyle name="Total 2 3 49 4" xfId="31619"/>
    <cellStyle name="Total 2 3 49 5" xfId="40900"/>
    <cellStyle name="Total 2 3 49 6" xfId="45284"/>
    <cellStyle name="Total 2 3 49 7" xfId="51661"/>
    <cellStyle name="Total 2 3 5" xfId="1353"/>
    <cellStyle name="Total 2 3 5 2" xfId="9176"/>
    <cellStyle name="Total 2 3 5 3" xfId="16604"/>
    <cellStyle name="Total 2 3 5 4" xfId="19502"/>
    <cellStyle name="Total 2 3 5 5" xfId="28585"/>
    <cellStyle name="Total 2 3 5 6" xfId="41477"/>
    <cellStyle name="Total 2 3 5 7" xfId="47332"/>
    <cellStyle name="Total 2 3 50" xfId="6837"/>
    <cellStyle name="Total 2 3 50 2" xfId="14554"/>
    <cellStyle name="Total 2 3 50 3" xfId="23547"/>
    <cellStyle name="Total 2 3 50 4" xfId="31734"/>
    <cellStyle name="Total 2 3 50 5" xfId="41008"/>
    <cellStyle name="Total 2 3 50 6" xfId="45399"/>
    <cellStyle name="Total 2 3 50 7" xfId="48472"/>
    <cellStyle name="Total 2 3 51" xfId="6950"/>
    <cellStyle name="Total 2 3 51 2" xfId="14667"/>
    <cellStyle name="Total 2 3 51 3" xfId="23660"/>
    <cellStyle name="Total 2 3 51 4" xfId="31847"/>
    <cellStyle name="Total 2 3 51 5" xfId="41116"/>
    <cellStyle name="Total 2 3 51 6" xfId="45512"/>
    <cellStyle name="Total 2 3 51 7" xfId="47037"/>
    <cellStyle name="Total 2 3 52" xfId="7062"/>
    <cellStyle name="Total 2 3 52 2" xfId="14779"/>
    <cellStyle name="Total 2 3 52 3" xfId="23772"/>
    <cellStyle name="Total 2 3 52 4" xfId="31959"/>
    <cellStyle name="Total 2 3 52 5" xfId="41222"/>
    <cellStyle name="Total 2 3 52 6" xfId="45624"/>
    <cellStyle name="Total 2 3 52 7" xfId="53150"/>
    <cellStyle name="Total 2 3 53" xfId="7372"/>
    <cellStyle name="Total 2 3 53 2" xfId="15089"/>
    <cellStyle name="Total 2 3 53 3" xfId="24082"/>
    <cellStyle name="Total 2 3 53 4" xfId="32269"/>
    <cellStyle name="Total 2 3 53 5" xfId="41525"/>
    <cellStyle name="Total 2 3 53 6" xfId="45934"/>
    <cellStyle name="Total 2 3 53 7" xfId="48696"/>
    <cellStyle name="Total 2 3 54" xfId="7250"/>
    <cellStyle name="Total 2 3 54 2" xfId="14967"/>
    <cellStyle name="Total 2 3 54 3" xfId="23960"/>
    <cellStyle name="Total 2 3 54 4" xfId="32147"/>
    <cellStyle name="Total 2 3 54 5" xfId="41403"/>
    <cellStyle name="Total 2 3 54 6" xfId="45812"/>
    <cellStyle name="Total 2 3 54 7" xfId="54512"/>
    <cellStyle name="Total 2 3 55" xfId="7459"/>
    <cellStyle name="Total 2 3 55 2" xfId="15176"/>
    <cellStyle name="Total 2 3 55 3" xfId="24169"/>
    <cellStyle name="Total 2 3 55 4" xfId="32356"/>
    <cellStyle name="Total 2 3 55 5" xfId="41605"/>
    <cellStyle name="Total 2 3 55 6" xfId="46021"/>
    <cellStyle name="Total 2 3 55 7" xfId="47832"/>
    <cellStyle name="Total 2 3 56" xfId="7580"/>
    <cellStyle name="Total 2 3 56 2" xfId="15297"/>
    <cellStyle name="Total 2 3 56 3" xfId="24290"/>
    <cellStyle name="Total 2 3 56 4" xfId="32477"/>
    <cellStyle name="Total 2 3 56 5" xfId="41720"/>
    <cellStyle name="Total 2 3 56 6" xfId="46142"/>
    <cellStyle name="Total 2 3 56 7" xfId="49140"/>
    <cellStyle name="Total 2 3 57" xfId="7856"/>
    <cellStyle name="Total 2 3 57 2" xfId="15573"/>
    <cellStyle name="Total 2 3 57 3" xfId="24560"/>
    <cellStyle name="Total 2 3 57 4" xfId="32753"/>
    <cellStyle name="Total 2 3 57 5" xfId="41985"/>
    <cellStyle name="Total 2 3 57 6" xfId="46418"/>
    <cellStyle name="Total 2 3 57 7" xfId="50435"/>
    <cellStyle name="Total 2 3 58" xfId="7918"/>
    <cellStyle name="Total 2 3 58 2" xfId="15635"/>
    <cellStyle name="Total 2 3 58 3" xfId="24622"/>
    <cellStyle name="Total 2 3 58 4" xfId="32815"/>
    <cellStyle name="Total 2 3 58 5" xfId="42046"/>
    <cellStyle name="Total 2 3 58 6" xfId="46480"/>
    <cellStyle name="Total 2 3 58 7" xfId="51114"/>
    <cellStyle name="Total 2 3 59" xfId="7718"/>
    <cellStyle name="Total 2 3 59 2" xfId="15435"/>
    <cellStyle name="Total 2 3 59 3" xfId="24426"/>
    <cellStyle name="Total 2 3 59 4" xfId="32615"/>
    <cellStyle name="Total 2 3 59 5" xfId="41852"/>
    <cellStyle name="Total 2 3 59 6" xfId="46280"/>
    <cellStyle name="Total 2 3 59 7" xfId="50047"/>
    <cellStyle name="Total 2 3 6" xfId="1476"/>
    <cellStyle name="Total 2 3 6 2" xfId="9299"/>
    <cellStyle name="Total 2 3 6 3" xfId="16727"/>
    <cellStyle name="Total 2 3 6 4" xfId="26346"/>
    <cellStyle name="Total 2 3 6 5" xfId="35072"/>
    <cellStyle name="Total 2 3 6 6" xfId="36320"/>
    <cellStyle name="Total 2 3 6 7" xfId="53726"/>
    <cellStyle name="Total 2 3 60" xfId="8132"/>
    <cellStyle name="Total 2 3 60 2" xfId="15849"/>
    <cellStyle name="Total 2 3 60 3" xfId="33029"/>
    <cellStyle name="Total 2 3 60 4" xfId="42249"/>
    <cellStyle name="Total 2 3 60 5" xfId="46694"/>
    <cellStyle name="Total 2 3 60 6" xfId="49745"/>
    <cellStyle name="Total 2 3 61" xfId="20046"/>
    <cellStyle name="Total 2 3 62" xfId="27514"/>
    <cellStyle name="Total 2 3 63" xfId="37222"/>
    <cellStyle name="Total 2 3 64" xfId="50239"/>
    <cellStyle name="Total 2 3 7" xfId="1258"/>
    <cellStyle name="Total 2 3 7 2" xfId="9081"/>
    <cellStyle name="Total 2 3 7 3" xfId="16509"/>
    <cellStyle name="Total 2 3 7 4" xfId="19541"/>
    <cellStyle name="Total 2 3 7 5" xfId="28092"/>
    <cellStyle name="Total 2 3 7 6" xfId="36874"/>
    <cellStyle name="Total 2 3 7 7" xfId="47197"/>
    <cellStyle name="Total 2 3 8" xfId="1713"/>
    <cellStyle name="Total 2 3 8 2" xfId="9536"/>
    <cellStyle name="Total 2 3 8 3" xfId="16964"/>
    <cellStyle name="Total 2 3 8 4" xfId="26030"/>
    <cellStyle name="Total 2 3 8 5" xfId="34661"/>
    <cellStyle name="Total 2 3 8 6" xfId="36600"/>
    <cellStyle name="Total 2 3 8 7" xfId="53056"/>
    <cellStyle name="Total 2 3 9" xfId="1847"/>
    <cellStyle name="Total 2 3 9 2" xfId="9670"/>
    <cellStyle name="Total 2 3 9 3" xfId="17098"/>
    <cellStyle name="Total 2 3 9 4" xfId="26265"/>
    <cellStyle name="Total 2 3 9 5" xfId="34963"/>
    <cellStyle name="Total 2 3 9 6" xfId="37017"/>
    <cellStyle name="Total 2 3 9 7" xfId="53570"/>
    <cellStyle name="Total 2 30" xfId="7268"/>
    <cellStyle name="Total 2 30 2" xfId="14985"/>
    <cellStyle name="Total 2 30 3" xfId="23978"/>
    <cellStyle name="Total 2 30 4" xfId="32165"/>
    <cellStyle name="Total 2 30 5" xfId="41421"/>
    <cellStyle name="Total 2 30 6" xfId="45830"/>
    <cellStyle name="Total 2 30 7" xfId="52738"/>
    <cellStyle name="Total 2 31" xfId="7272"/>
    <cellStyle name="Total 2 31 2" xfId="14989"/>
    <cellStyle name="Total 2 31 3" xfId="23982"/>
    <cellStyle name="Total 2 31 4" xfId="32169"/>
    <cellStyle name="Total 2 31 5" xfId="41425"/>
    <cellStyle name="Total 2 31 6" xfId="45834"/>
    <cellStyle name="Total 2 31 7" xfId="52264"/>
    <cellStyle name="Total 2 32" xfId="7705"/>
    <cellStyle name="Total 2 32 2" xfId="15422"/>
    <cellStyle name="Total 2 32 3" xfId="24413"/>
    <cellStyle name="Total 2 32 4" xfId="32602"/>
    <cellStyle name="Total 2 32 5" xfId="41839"/>
    <cellStyle name="Total 2 32 6" xfId="46267"/>
    <cellStyle name="Total 2 32 7" xfId="51345"/>
    <cellStyle name="Total 2 33" xfId="19711"/>
    <cellStyle name="Total 2 34" xfId="28192"/>
    <cellStyle name="Total 2 35" xfId="37060"/>
    <cellStyle name="Total 2 36" xfId="49961"/>
    <cellStyle name="Total 2 4" xfId="563"/>
    <cellStyle name="Total 2 4 10" xfId="2010"/>
    <cellStyle name="Total 2 4 10 2" xfId="9833"/>
    <cellStyle name="Total 2 4 10 3" xfId="17261"/>
    <cellStyle name="Total 2 4 10 4" xfId="25507"/>
    <cellStyle name="Total 2 4 10 5" xfId="33985"/>
    <cellStyle name="Total 2 4 10 6" xfId="42039"/>
    <cellStyle name="Total 2 4 10 7" xfId="51888"/>
    <cellStyle name="Total 2 4 11" xfId="2127"/>
    <cellStyle name="Total 2 4 11 2" xfId="9950"/>
    <cellStyle name="Total 2 4 11 3" xfId="17378"/>
    <cellStyle name="Total 2 4 11 4" xfId="25746"/>
    <cellStyle name="Total 2 4 11 5" xfId="34297"/>
    <cellStyle name="Total 2 4 11 6" xfId="37574"/>
    <cellStyle name="Total 2 4 11 7" xfId="52424"/>
    <cellStyle name="Total 2 4 12" xfId="2241"/>
    <cellStyle name="Total 2 4 12 2" xfId="10064"/>
    <cellStyle name="Total 2 4 12 3" xfId="17492"/>
    <cellStyle name="Total 2 4 12 4" xfId="19220"/>
    <cellStyle name="Total 2 4 12 5" xfId="27432"/>
    <cellStyle name="Total 2 4 12 6" xfId="40670"/>
    <cellStyle name="Total 2 4 12 7" xfId="48693"/>
    <cellStyle name="Total 2 4 13" xfId="1577"/>
    <cellStyle name="Total 2 4 13 2" xfId="9400"/>
    <cellStyle name="Total 2 4 13 3" xfId="16828"/>
    <cellStyle name="Total 2 4 13 4" xfId="25849"/>
    <cellStyle name="Total 2 4 13 5" xfId="34436"/>
    <cellStyle name="Total 2 4 13 6" xfId="40779"/>
    <cellStyle name="Total 2 4 13 7" xfId="52668"/>
    <cellStyle name="Total 2 4 14" xfId="1926"/>
    <cellStyle name="Total 2 4 14 2" xfId="9749"/>
    <cellStyle name="Total 2 4 14 3" xfId="17177"/>
    <cellStyle name="Total 2 4 14 4" xfId="26650"/>
    <cellStyle name="Total 2 4 14 5" xfId="35494"/>
    <cellStyle name="Total 2 4 14 6" xfId="41374"/>
    <cellStyle name="Total 2 4 14 7" xfId="54393"/>
    <cellStyle name="Total 2 4 15" xfId="2538"/>
    <cellStyle name="Total 2 4 15 2" xfId="10361"/>
    <cellStyle name="Total 2 4 15 3" xfId="17789"/>
    <cellStyle name="Total 2 4 15 4" xfId="20086"/>
    <cellStyle name="Total 2 4 15 5" xfId="26736"/>
    <cellStyle name="Total 2 4 15 6" xfId="41332"/>
    <cellStyle name="Total 2 4 15 7" xfId="49752"/>
    <cellStyle name="Total 2 4 16" xfId="2652"/>
    <cellStyle name="Total 2 4 16 2" xfId="10475"/>
    <cellStyle name="Total 2 4 16 3" xfId="17903"/>
    <cellStyle name="Total 2 4 16 4" xfId="20293"/>
    <cellStyle name="Total 2 4 16 5" xfId="27091"/>
    <cellStyle name="Total 2 4 16 6" xfId="37261"/>
    <cellStyle name="Total 2 4 16 7" xfId="47548"/>
    <cellStyle name="Total 2 4 17" xfId="1793"/>
    <cellStyle name="Total 2 4 17 2" xfId="9616"/>
    <cellStyle name="Total 2 4 17 3" xfId="17044"/>
    <cellStyle name="Total 2 4 17 4" xfId="25589"/>
    <cellStyle name="Total 2 4 17 5" xfId="34098"/>
    <cellStyle name="Total 2 4 17 6" xfId="41765"/>
    <cellStyle name="Total 2 4 17 7" xfId="52074"/>
    <cellStyle name="Total 2 4 18" xfId="2713"/>
    <cellStyle name="Total 2 4 18 2" xfId="10536"/>
    <cellStyle name="Total 2 4 18 3" xfId="17964"/>
    <cellStyle name="Total 2 4 18 4" xfId="25339"/>
    <cellStyle name="Total 2 4 18 5" xfId="33771"/>
    <cellStyle name="Total 2 4 18 6" xfId="38360"/>
    <cellStyle name="Total 2 4 18 7" xfId="51508"/>
    <cellStyle name="Total 2 4 19" xfId="2843"/>
    <cellStyle name="Total 2 4 19 2" xfId="10666"/>
    <cellStyle name="Total 2 4 19 3" xfId="18094"/>
    <cellStyle name="Total 2 4 19 4" xfId="26642"/>
    <cellStyle name="Total 2 4 19 5" xfId="35480"/>
    <cellStyle name="Total 2 4 19 6" xfId="40212"/>
    <cellStyle name="Total 2 4 19 7" xfId="54373"/>
    <cellStyle name="Total 2 4 2" xfId="711"/>
    <cellStyle name="Total 2 4 2 2" xfId="8535"/>
    <cellStyle name="Total 2 4 2 3" xfId="15963"/>
    <cellStyle name="Total 2 4 2 4" xfId="25833"/>
    <cellStyle name="Total 2 4 2 5" xfId="34417"/>
    <cellStyle name="Total 2 4 2 6" xfId="37149"/>
    <cellStyle name="Total 2 4 2 7" xfId="52638"/>
    <cellStyle name="Total 2 4 20" xfId="2950"/>
    <cellStyle name="Total 2 4 20 2" xfId="10773"/>
    <cellStyle name="Total 2 4 20 3" xfId="18201"/>
    <cellStyle name="Total 2 4 20 4" xfId="25044"/>
    <cellStyle name="Total 2 4 20 5" xfId="33403"/>
    <cellStyle name="Total 2 4 20 6" xfId="39158"/>
    <cellStyle name="Total 2 4 20 7" xfId="50892"/>
    <cellStyle name="Total 2 4 21" xfId="3327"/>
    <cellStyle name="Total 2 4 21 2" xfId="11120"/>
    <cellStyle name="Total 2 4 21 3" xfId="18448"/>
    <cellStyle name="Total 2 4 21 4" xfId="19165"/>
    <cellStyle name="Total 2 4 21 5" xfId="28714"/>
    <cellStyle name="Total 2 4 21 6" xfId="37398"/>
    <cellStyle name="Total 2 4 21 7" xfId="49229"/>
    <cellStyle name="Total 2 4 22" xfId="3446"/>
    <cellStyle name="Total 2 4 22 2" xfId="11237"/>
    <cellStyle name="Total 2 4 22 3" xfId="18559"/>
    <cellStyle name="Total 2 4 22 4" xfId="25480"/>
    <cellStyle name="Total 2 4 22 5" xfId="33953"/>
    <cellStyle name="Total 2 4 22 6" xfId="36533"/>
    <cellStyle name="Total 2 4 22 7" xfId="51832"/>
    <cellStyle name="Total 2 4 23" xfId="3606"/>
    <cellStyle name="Total 2 4 23 2" xfId="11392"/>
    <cellStyle name="Total 2 4 23 3" xfId="18666"/>
    <cellStyle name="Total 2 4 23 4" xfId="25280"/>
    <cellStyle name="Total 2 4 23 5" xfId="33692"/>
    <cellStyle name="Total 2 4 23 6" xfId="38557"/>
    <cellStyle name="Total 2 4 23 7" xfId="51389"/>
    <cellStyle name="Total 2 4 24" xfId="3719"/>
    <cellStyle name="Total 2 4 24 2" xfId="11504"/>
    <cellStyle name="Total 2 4 24 3" xfId="18776"/>
    <cellStyle name="Total 2 4 24 4" xfId="19651"/>
    <cellStyle name="Total 2 4 24 5" xfId="27268"/>
    <cellStyle name="Total 2 4 24 6" xfId="41445"/>
    <cellStyle name="Total 2 4 24 7" xfId="47006"/>
    <cellStyle name="Total 2 4 25" xfId="3848"/>
    <cellStyle name="Total 2 4 25 2" xfId="11630"/>
    <cellStyle name="Total 2 4 25 3" xfId="18886"/>
    <cellStyle name="Total 2 4 25 4" xfId="19895"/>
    <cellStyle name="Total 2 4 25 5" xfId="28210"/>
    <cellStyle name="Total 2 4 25 6" xfId="36884"/>
    <cellStyle name="Total 2 4 25 7" xfId="47407"/>
    <cellStyle name="Total 2 4 26" xfId="3967"/>
    <cellStyle name="Total 2 4 26 2" xfId="11746"/>
    <cellStyle name="Total 2 4 26 3" xfId="18995"/>
    <cellStyle name="Total 2 4 26 4" xfId="26079"/>
    <cellStyle name="Total 2 4 26 5" xfId="34726"/>
    <cellStyle name="Total 2 4 26 6" xfId="40050"/>
    <cellStyle name="Total 2 4 26 7" xfId="53167"/>
    <cellStyle name="Total 2 4 27" xfId="3765"/>
    <cellStyle name="Total 2 4 27 2" xfId="11549"/>
    <cellStyle name="Total 2 4 27 3" xfId="20615"/>
    <cellStyle name="Total 2 4 27 4" xfId="28765"/>
    <cellStyle name="Total 2 4 27 5" xfId="38153"/>
    <cellStyle name="Total 2 4 27 6" xfId="42541"/>
    <cellStyle name="Total 2 4 27 7" xfId="51644"/>
    <cellStyle name="Total 2 4 28" xfId="4163"/>
    <cellStyle name="Total 2 4 28 2" xfId="11922"/>
    <cellStyle name="Total 2 4 28 3" xfId="20873"/>
    <cellStyle name="Total 2 4 28 4" xfId="29060"/>
    <cellStyle name="Total 2 4 28 5" xfId="38436"/>
    <cellStyle name="Total 2 4 28 6" xfId="42725"/>
    <cellStyle name="Total 2 4 28 7" xfId="49622"/>
    <cellStyle name="Total 2 4 29" xfId="4242"/>
    <cellStyle name="Total 2 4 29 2" xfId="20952"/>
    <cellStyle name="Total 2 4 29 3" xfId="29139"/>
    <cellStyle name="Total 2 4 29 4" xfId="38513"/>
    <cellStyle name="Total 2 4 29 5" xfId="42804"/>
    <cellStyle name="Total 2 4 29 6" xfId="47982"/>
    <cellStyle name="Total 2 4 3" xfId="820"/>
    <cellStyle name="Total 2 4 3 2" xfId="8644"/>
    <cellStyle name="Total 2 4 3 3" xfId="16072"/>
    <cellStyle name="Total 2 4 3 4" xfId="26558"/>
    <cellStyle name="Total 2 4 3 5" xfId="35367"/>
    <cellStyle name="Total 2 4 3 6" xfId="37514"/>
    <cellStyle name="Total 2 4 3 7" xfId="54189"/>
    <cellStyle name="Total 2 4 30" xfId="4361"/>
    <cellStyle name="Total 2 4 30 2" xfId="12078"/>
    <cellStyle name="Total 2 4 30 3" xfId="21071"/>
    <cellStyle name="Total 2 4 30 4" xfId="29258"/>
    <cellStyle name="Total 2 4 30 5" xfId="38628"/>
    <cellStyle name="Total 2 4 30 6" xfId="42923"/>
    <cellStyle name="Total 2 4 30 7" xfId="52524"/>
    <cellStyle name="Total 2 4 31" xfId="4483"/>
    <cellStyle name="Total 2 4 31 2" xfId="12200"/>
    <cellStyle name="Total 2 4 31 3" xfId="21193"/>
    <cellStyle name="Total 2 4 31 4" xfId="29380"/>
    <cellStyle name="Total 2 4 31 5" xfId="38745"/>
    <cellStyle name="Total 2 4 31 6" xfId="43045"/>
    <cellStyle name="Total 2 4 31 7" xfId="53227"/>
    <cellStyle name="Total 2 4 32" xfId="4597"/>
    <cellStyle name="Total 2 4 32 2" xfId="12314"/>
    <cellStyle name="Total 2 4 32 3" xfId="21307"/>
    <cellStyle name="Total 2 4 32 4" xfId="29494"/>
    <cellStyle name="Total 2 4 32 5" xfId="38854"/>
    <cellStyle name="Total 2 4 32 6" xfId="43159"/>
    <cellStyle name="Total 2 4 32 7" xfId="50105"/>
    <cellStyle name="Total 2 4 33" xfId="4710"/>
    <cellStyle name="Total 2 4 33 2" xfId="12427"/>
    <cellStyle name="Total 2 4 33 3" xfId="21420"/>
    <cellStyle name="Total 2 4 33 4" xfId="29607"/>
    <cellStyle name="Total 2 4 33 5" xfId="38963"/>
    <cellStyle name="Total 2 4 33 6" xfId="43272"/>
    <cellStyle name="Total 2 4 33 7" xfId="53371"/>
    <cellStyle name="Total 2 4 34" xfId="4820"/>
    <cellStyle name="Total 2 4 34 2" xfId="12537"/>
    <cellStyle name="Total 2 4 34 3" xfId="21530"/>
    <cellStyle name="Total 2 4 34 4" xfId="29717"/>
    <cellStyle name="Total 2 4 34 5" xfId="39070"/>
    <cellStyle name="Total 2 4 34 6" xfId="43382"/>
    <cellStyle name="Total 2 4 34 7" xfId="47441"/>
    <cellStyle name="Total 2 4 35" xfId="4930"/>
    <cellStyle name="Total 2 4 35 2" xfId="12647"/>
    <cellStyle name="Total 2 4 35 3" xfId="21640"/>
    <cellStyle name="Total 2 4 35 4" xfId="29827"/>
    <cellStyle name="Total 2 4 35 5" xfId="39175"/>
    <cellStyle name="Total 2 4 35 6" xfId="43492"/>
    <cellStyle name="Total 2 4 35 7" xfId="48573"/>
    <cellStyle name="Total 2 4 36" xfId="5040"/>
    <cellStyle name="Total 2 4 36 2" xfId="12757"/>
    <cellStyle name="Total 2 4 36 3" xfId="21750"/>
    <cellStyle name="Total 2 4 36 4" xfId="29937"/>
    <cellStyle name="Total 2 4 36 5" xfId="39282"/>
    <cellStyle name="Total 2 4 36 6" xfId="43602"/>
    <cellStyle name="Total 2 4 36 7" xfId="50098"/>
    <cellStyle name="Total 2 4 37" xfId="5420"/>
    <cellStyle name="Total 2 4 37 2" xfId="13137"/>
    <cellStyle name="Total 2 4 37 3" xfId="22130"/>
    <cellStyle name="Total 2 4 37 4" xfId="30317"/>
    <cellStyle name="Total 2 4 37 5" xfId="39647"/>
    <cellStyle name="Total 2 4 37 6" xfId="43982"/>
    <cellStyle name="Total 2 4 37 7" xfId="49310"/>
    <cellStyle name="Total 2 4 38" xfId="5540"/>
    <cellStyle name="Total 2 4 38 2" xfId="13257"/>
    <cellStyle name="Total 2 4 38 3" xfId="22250"/>
    <cellStyle name="Total 2 4 38 4" xfId="30437"/>
    <cellStyle name="Total 2 4 38 5" xfId="39761"/>
    <cellStyle name="Total 2 4 38 6" xfId="44102"/>
    <cellStyle name="Total 2 4 38 7" xfId="47184"/>
    <cellStyle name="Total 2 4 39" xfId="5664"/>
    <cellStyle name="Total 2 4 39 2" xfId="13381"/>
    <cellStyle name="Total 2 4 39 3" xfId="22374"/>
    <cellStyle name="Total 2 4 39 4" xfId="30561"/>
    <cellStyle name="Total 2 4 39 5" xfId="39881"/>
    <cellStyle name="Total 2 4 39 6" xfId="44226"/>
    <cellStyle name="Total 2 4 39 7" xfId="46827"/>
    <cellStyle name="Total 2 4 4" xfId="930"/>
    <cellStyle name="Total 2 4 4 2" xfId="8754"/>
    <cellStyle name="Total 2 4 4 3" xfId="16182"/>
    <cellStyle name="Total 2 4 4 4" xfId="19773"/>
    <cellStyle name="Total 2 4 4 5" xfId="28051"/>
    <cellStyle name="Total 2 4 4 6" xfId="37019"/>
    <cellStyle name="Total 2 4 4 7" xfId="50119"/>
    <cellStyle name="Total 2 4 40" xfId="5780"/>
    <cellStyle name="Total 2 4 40 2" xfId="13497"/>
    <cellStyle name="Total 2 4 40 3" xfId="22490"/>
    <cellStyle name="Total 2 4 40 4" xfId="30677"/>
    <cellStyle name="Total 2 4 40 5" xfId="39993"/>
    <cellStyle name="Total 2 4 40 6" xfId="44342"/>
    <cellStyle name="Total 2 4 40 7" xfId="49024"/>
    <cellStyle name="Total 2 4 41" xfId="5897"/>
    <cellStyle name="Total 2 4 41 2" xfId="13614"/>
    <cellStyle name="Total 2 4 41 3" xfId="22607"/>
    <cellStyle name="Total 2 4 41 4" xfId="30794"/>
    <cellStyle name="Total 2 4 41 5" xfId="40107"/>
    <cellStyle name="Total 2 4 41 6" xfId="44459"/>
    <cellStyle name="Total 2 4 41 7" xfId="49411"/>
    <cellStyle name="Total 2 4 42" xfId="6025"/>
    <cellStyle name="Total 2 4 42 2" xfId="13742"/>
    <cellStyle name="Total 2 4 42 3" xfId="22735"/>
    <cellStyle name="Total 2 4 42 4" xfId="30922"/>
    <cellStyle name="Total 2 4 42 5" xfId="40230"/>
    <cellStyle name="Total 2 4 42 6" xfId="44587"/>
    <cellStyle name="Total 2 4 42 7" xfId="52032"/>
    <cellStyle name="Total 2 4 43" xfId="6152"/>
    <cellStyle name="Total 2 4 43 2" xfId="13869"/>
    <cellStyle name="Total 2 4 43 3" xfId="22862"/>
    <cellStyle name="Total 2 4 43 4" xfId="31049"/>
    <cellStyle name="Total 2 4 43 5" xfId="40350"/>
    <cellStyle name="Total 2 4 43 6" xfId="44714"/>
    <cellStyle name="Total 2 4 43 7" xfId="48015"/>
    <cellStyle name="Total 2 4 44" xfId="6281"/>
    <cellStyle name="Total 2 4 44 2" xfId="13998"/>
    <cellStyle name="Total 2 4 44 3" xfId="22991"/>
    <cellStyle name="Total 2 4 44 4" xfId="31178"/>
    <cellStyle name="Total 2 4 44 5" xfId="40478"/>
    <cellStyle name="Total 2 4 44 6" xfId="44843"/>
    <cellStyle name="Total 2 4 44 7" xfId="49776"/>
    <cellStyle name="Total 2 4 45" xfId="6396"/>
    <cellStyle name="Total 2 4 45 2" xfId="14113"/>
    <cellStyle name="Total 2 4 45 3" xfId="23106"/>
    <cellStyle name="Total 2 4 45 4" xfId="31293"/>
    <cellStyle name="Total 2 4 45 5" xfId="40589"/>
    <cellStyle name="Total 2 4 45 6" xfId="44958"/>
    <cellStyle name="Total 2 4 45 7" xfId="50301"/>
    <cellStyle name="Total 2 4 46" xfId="6508"/>
    <cellStyle name="Total 2 4 46 2" xfId="14225"/>
    <cellStyle name="Total 2 4 46 3" xfId="23218"/>
    <cellStyle name="Total 2 4 46 4" xfId="31405"/>
    <cellStyle name="Total 2 4 46 5" xfId="40697"/>
    <cellStyle name="Total 2 4 46 6" xfId="45070"/>
    <cellStyle name="Total 2 4 46 7" xfId="53196"/>
    <cellStyle name="Total 2 4 47" xfId="6055"/>
    <cellStyle name="Total 2 4 47 2" xfId="13772"/>
    <cellStyle name="Total 2 4 47 3" xfId="22765"/>
    <cellStyle name="Total 2 4 47 4" xfId="30952"/>
    <cellStyle name="Total 2 4 47 5" xfId="40259"/>
    <cellStyle name="Total 2 4 47 6" xfId="44617"/>
    <cellStyle name="Total 2 4 47 7" xfId="48692"/>
    <cellStyle name="Total 2 4 48" xfId="6655"/>
    <cellStyle name="Total 2 4 48 2" xfId="14372"/>
    <cellStyle name="Total 2 4 48 3" xfId="23365"/>
    <cellStyle name="Total 2 4 48 4" xfId="31552"/>
    <cellStyle name="Total 2 4 48 5" xfId="40837"/>
    <cellStyle name="Total 2 4 48 6" xfId="45217"/>
    <cellStyle name="Total 2 4 48 7" xfId="52729"/>
    <cellStyle name="Total 2 4 49" xfId="6766"/>
    <cellStyle name="Total 2 4 49 2" xfId="14483"/>
    <cellStyle name="Total 2 4 49 3" xfId="23476"/>
    <cellStyle name="Total 2 4 49 4" xfId="31663"/>
    <cellStyle name="Total 2 4 49 5" xfId="40942"/>
    <cellStyle name="Total 2 4 49 6" xfId="45328"/>
    <cellStyle name="Total 2 4 49 7" xfId="49763"/>
    <cellStyle name="Total 2 4 5" xfId="1398"/>
    <cellStyle name="Total 2 4 5 2" xfId="9221"/>
    <cellStyle name="Total 2 4 5 3" xfId="16649"/>
    <cellStyle name="Total 2 4 5 4" xfId="19553"/>
    <cellStyle name="Total 2 4 5 5" xfId="28579"/>
    <cellStyle name="Total 2 4 5 6" xfId="37068"/>
    <cellStyle name="Total 2 4 5 7" xfId="49591"/>
    <cellStyle name="Total 2 4 50" xfId="6881"/>
    <cellStyle name="Total 2 4 50 2" xfId="14598"/>
    <cellStyle name="Total 2 4 50 3" xfId="23591"/>
    <cellStyle name="Total 2 4 50 4" xfId="31778"/>
    <cellStyle name="Total 2 4 50 5" xfId="41051"/>
    <cellStyle name="Total 2 4 50 6" xfId="45443"/>
    <cellStyle name="Total 2 4 50 7" xfId="47064"/>
    <cellStyle name="Total 2 4 51" xfId="6994"/>
    <cellStyle name="Total 2 4 51 2" xfId="14711"/>
    <cellStyle name="Total 2 4 51 3" xfId="23704"/>
    <cellStyle name="Total 2 4 51 4" xfId="31891"/>
    <cellStyle name="Total 2 4 51 5" xfId="41159"/>
    <cellStyle name="Total 2 4 51 6" xfId="45556"/>
    <cellStyle name="Total 2 4 51 7" xfId="54552"/>
    <cellStyle name="Total 2 4 52" xfId="7104"/>
    <cellStyle name="Total 2 4 52 2" xfId="14821"/>
    <cellStyle name="Total 2 4 52 3" xfId="23814"/>
    <cellStyle name="Total 2 4 52 4" xfId="32001"/>
    <cellStyle name="Total 2 4 52 5" xfId="41263"/>
    <cellStyle name="Total 2 4 52 6" xfId="45666"/>
    <cellStyle name="Total 2 4 52 7" xfId="48652"/>
    <cellStyle name="Total 2 4 53" xfId="7172"/>
    <cellStyle name="Total 2 4 53 2" xfId="14889"/>
    <cellStyle name="Total 2 4 53 3" xfId="23882"/>
    <cellStyle name="Total 2 4 53 4" xfId="32069"/>
    <cellStyle name="Total 2 4 53 5" xfId="41330"/>
    <cellStyle name="Total 2 4 53 6" xfId="45734"/>
    <cellStyle name="Total 2 4 53 7" xfId="48146"/>
    <cellStyle name="Total 2 4 54" xfId="7137"/>
    <cellStyle name="Total 2 4 54 2" xfId="14854"/>
    <cellStyle name="Total 2 4 54 3" xfId="23847"/>
    <cellStyle name="Total 2 4 54 4" xfId="32034"/>
    <cellStyle name="Total 2 4 54 5" xfId="41296"/>
    <cellStyle name="Total 2 4 54 6" xfId="45699"/>
    <cellStyle name="Total 2 4 54 7" xfId="51451"/>
    <cellStyle name="Total 2 4 55" xfId="7501"/>
    <cellStyle name="Total 2 4 55 2" xfId="15218"/>
    <cellStyle name="Total 2 4 55 3" xfId="24211"/>
    <cellStyle name="Total 2 4 55 4" xfId="32398"/>
    <cellStyle name="Total 2 4 55 5" xfId="41646"/>
    <cellStyle name="Total 2 4 55 6" xfId="46063"/>
    <cellStyle name="Total 2 4 55 7" xfId="50187"/>
    <cellStyle name="Total 2 4 56" xfId="7622"/>
    <cellStyle name="Total 2 4 56 2" xfId="15339"/>
    <cellStyle name="Total 2 4 56 3" xfId="24332"/>
    <cellStyle name="Total 2 4 56 4" xfId="32519"/>
    <cellStyle name="Total 2 4 56 5" xfId="41761"/>
    <cellStyle name="Total 2 4 56 6" xfId="46184"/>
    <cellStyle name="Total 2 4 56 7" xfId="53820"/>
    <cellStyle name="Total 2 4 57" xfId="7899"/>
    <cellStyle name="Total 2 4 57 2" xfId="15616"/>
    <cellStyle name="Total 2 4 57 3" xfId="24603"/>
    <cellStyle name="Total 2 4 57 4" xfId="32796"/>
    <cellStyle name="Total 2 4 57 5" xfId="42027"/>
    <cellStyle name="Total 2 4 57 6" xfId="46461"/>
    <cellStyle name="Total 2 4 57 7" xfId="48081"/>
    <cellStyle name="Total 2 4 58" xfId="8027"/>
    <cellStyle name="Total 2 4 58 2" xfId="15744"/>
    <cellStyle name="Total 2 4 58 3" xfId="24729"/>
    <cellStyle name="Total 2 4 58 4" xfId="32924"/>
    <cellStyle name="Total 2 4 58 5" xfId="42149"/>
    <cellStyle name="Total 2 4 58 6" xfId="46589"/>
    <cellStyle name="Total 2 4 58 7" xfId="54415"/>
    <cellStyle name="Total 2 4 59" xfId="7686"/>
    <cellStyle name="Total 2 4 59 2" xfId="15403"/>
    <cellStyle name="Total 2 4 59 3" xfId="24394"/>
    <cellStyle name="Total 2 4 59 4" xfId="32583"/>
    <cellStyle name="Total 2 4 59 5" xfId="41821"/>
    <cellStyle name="Total 2 4 59 6" xfId="46248"/>
    <cellStyle name="Total 2 4 59 7" xfId="53387"/>
    <cellStyle name="Total 2 4 6" xfId="1521"/>
    <cellStyle name="Total 2 4 6 2" xfId="9344"/>
    <cellStyle name="Total 2 4 6 3" xfId="16772"/>
    <cellStyle name="Total 2 4 6 4" xfId="19610"/>
    <cellStyle name="Total 2 4 6 5" xfId="26749"/>
    <cellStyle name="Total 2 4 6 6" xfId="39061"/>
    <cellStyle name="Total 2 4 6 7" xfId="49739"/>
    <cellStyle name="Total 2 4 60" xfId="8174"/>
    <cellStyle name="Total 2 4 60 2" xfId="15891"/>
    <cellStyle name="Total 2 4 60 3" xfId="33071"/>
    <cellStyle name="Total 2 4 60 4" xfId="42290"/>
    <cellStyle name="Total 2 4 60 5" xfId="46736"/>
    <cellStyle name="Total 2 4 60 6" xfId="48331"/>
    <cellStyle name="Total 2 4 61" xfId="25983"/>
    <cellStyle name="Total 2 4 62" xfId="34602"/>
    <cellStyle name="Total 2 4 63" xfId="36301"/>
    <cellStyle name="Total 2 4 64" xfId="52960"/>
    <cellStyle name="Total 2 4 7" xfId="1305"/>
    <cellStyle name="Total 2 4 7 2" xfId="9128"/>
    <cellStyle name="Total 2 4 7 3" xfId="16556"/>
    <cellStyle name="Total 2 4 7 4" xfId="26351"/>
    <cellStyle name="Total 2 4 7 5" xfId="35080"/>
    <cellStyle name="Total 2 4 7 6" xfId="37864"/>
    <cellStyle name="Total 2 4 7 7" xfId="53736"/>
    <cellStyle name="Total 2 4 8" xfId="1758"/>
    <cellStyle name="Total 2 4 8 2" xfId="9581"/>
    <cellStyle name="Total 2 4 8 3" xfId="17009"/>
    <cellStyle name="Total 2 4 8 4" xfId="19102"/>
    <cellStyle name="Total 2 4 8 5" xfId="28513"/>
    <cellStyle name="Total 2 4 8 6" xfId="38729"/>
    <cellStyle name="Total 2 4 8 7" xfId="49958"/>
    <cellStyle name="Total 2 4 9" xfId="1891"/>
    <cellStyle name="Total 2 4 9 2" xfId="9714"/>
    <cellStyle name="Total 2 4 9 3" xfId="17142"/>
    <cellStyle name="Total 2 4 9 4" xfId="20366"/>
    <cellStyle name="Total 2 4 9 5" xfId="27516"/>
    <cellStyle name="Total 2 4 9 6" xfId="38169"/>
    <cellStyle name="Total 2 4 9 7" xfId="48952"/>
    <cellStyle name="Total 2 5" xfId="484"/>
    <cellStyle name="Total 2 5 10" xfId="1931"/>
    <cellStyle name="Total 2 5 10 2" xfId="9754"/>
    <cellStyle name="Total 2 5 10 3" xfId="17182"/>
    <cellStyle name="Total 2 5 10 4" xfId="26341"/>
    <cellStyle name="Total 2 5 10 5" xfId="35067"/>
    <cellStyle name="Total 2 5 10 6" xfId="36685"/>
    <cellStyle name="Total 2 5 10 7" xfId="53720"/>
    <cellStyle name="Total 2 5 11" xfId="2049"/>
    <cellStyle name="Total 2 5 11 2" xfId="9872"/>
    <cellStyle name="Total 2 5 11 3" xfId="17300"/>
    <cellStyle name="Total 2 5 11 4" xfId="26454"/>
    <cellStyle name="Total 2 5 11 5" xfId="35230"/>
    <cellStyle name="Total 2 5 11 6" xfId="38044"/>
    <cellStyle name="Total 2 5 11 7" xfId="53968"/>
    <cellStyle name="Total 2 5 12" xfId="2162"/>
    <cellStyle name="Total 2 5 12 2" xfId="9985"/>
    <cellStyle name="Total 2 5 12 3" xfId="17413"/>
    <cellStyle name="Total 2 5 12 4" xfId="20347"/>
    <cellStyle name="Total 2 5 12 5" xfId="28155"/>
    <cellStyle name="Total 2 5 12 6" xfId="41107"/>
    <cellStyle name="Total 2 5 12 7" xfId="48624"/>
    <cellStyle name="Total 2 5 13" xfId="2266"/>
    <cellStyle name="Total 2 5 13 2" xfId="10089"/>
    <cellStyle name="Total 2 5 13 3" xfId="17517"/>
    <cellStyle name="Total 2 5 13 4" xfId="26183"/>
    <cellStyle name="Total 2 5 13 5" xfId="34857"/>
    <cellStyle name="Total 2 5 13 6" xfId="38101"/>
    <cellStyle name="Total 2 5 13 7" xfId="53389"/>
    <cellStyle name="Total 2 5 14" xfId="1262"/>
    <cellStyle name="Total 2 5 14 2" xfId="9085"/>
    <cellStyle name="Total 2 5 14 3" xfId="16513"/>
    <cellStyle name="Total 2 5 14 4" xfId="19642"/>
    <cellStyle name="Total 2 5 14 5" xfId="27074"/>
    <cellStyle name="Total 2 5 14 6" xfId="41847"/>
    <cellStyle name="Total 2 5 14 7" xfId="47194"/>
    <cellStyle name="Total 2 5 15" xfId="2460"/>
    <cellStyle name="Total 2 5 15 2" xfId="10283"/>
    <cellStyle name="Total 2 5 15 3" xfId="17711"/>
    <cellStyle name="Total 2 5 15 4" xfId="20625"/>
    <cellStyle name="Total 2 5 15 5" xfId="28596"/>
    <cellStyle name="Total 2 5 15 6" xfId="40752"/>
    <cellStyle name="Total 2 5 15 7" xfId="49033"/>
    <cellStyle name="Total 2 5 16" xfId="2573"/>
    <cellStyle name="Total 2 5 16 2" xfId="10396"/>
    <cellStyle name="Total 2 5 16 3" xfId="17824"/>
    <cellStyle name="Total 2 5 16 4" xfId="25793"/>
    <cellStyle name="Total 2 5 16 5" xfId="34363"/>
    <cellStyle name="Total 2 5 16 6" xfId="38033"/>
    <cellStyle name="Total 2 5 16 7" xfId="52548"/>
    <cellStyle name="Total 2 5 17" xfId="1076"/>
    <cellStyle name="Total 2 5 17 2" xfId="8900"/>
    <cellStyle name="Total 2 5 17 3" xfId="16328"/>
    <cellStyle name="Total 2 5 17 4" xfId="20060"/>
    <cellStyle name="Total 2 5 17 5" xfId="28855"/>
    <cellStyle name="Total 2 5 17 6" xfId="36962"/>
    <cellStyle name="Total 2 5 17 7" xfId="50109"/>
    <cellStyle name="Total 2 5 18" xfId="2276"/>
    <cellStyle name="Total 2 5 18 2" xfId="10099"/>
    <cellStyle name="Total 2 5 18 3" xfId="17527"/>
    <cellStyle name="Total 2 5 18 4" xfId="25771"/>
    <cellStyle name="Total 2 5 18 5" xfId="34329"/>
    <cellStyle name="Total 2 5 18 6" xfId="37446"/>
    <cellStyle name="Total 2 5 18 7" xfId="52479"/>
    <cellStyle name="Total 2 5 19" xfId="2767"/>
    <cellStyle name="Total 2 5 19 2" xfId="10590"/>
    <cellStyle name="Total 2 5 19 3" xfId="18018"/>
    <cellStyle name="Total 2 5 19 4" xfId="20489"/>
    <cellStyle name="Total 2 5 19 5" xfId="28789"/>
    <cellStyle name="Total 2 5 19 6" xfId="40472"/>
    <cellStyle name="Total 2 5 19 7" xfId="48368"/>
    <cellStyle name="Total 2 5 2" xfId="635"/>
    <cellStyle name="Total 2 5 2 2" xfId="8459"/>
    <cellStyle name="Total 2 5 2 3" xfId="8299"/>
    <cellStyle name="Total 2 5 2 4" xfId="26647"/>
    <cellStyle name="Total 2 5 2 5" xfId="35489"/>
    <cellStyle name="Total 2 5 2 6" xfId="36662"/>
    <cellStyle name="Total 2 5 2 7" xfId="54385"/>
    <cellStyle name="Total 2 5 20" xfId="2874"/>
    <cellStyle name="Total 2 5 20 2" xfId="10697"/>
    <cellStyle name="Total 2 5 20 3" xfId="18125"/>
    <cellStyle name="Total 2 5 20 4" xfId="25177"/>
    <cellStyle name="Total 2 5 20 5" xfId="33558"/>
    <cellStyle name="Total 2 5 20 6" xfId="37391"/>
    <cellStyle name="Total 2 5 20 7" xfId="51172"/>
    <cellStyle name="Total 2 5 21" xfId="3250"/>
    <cellStyle name="Total 2 5 21 2" xfId="11043"/>
    <cellStyle name="Total 2 5 21 3" xfId="18372"/>
    <cellStyle name="Total 2 5 21 4" xfId="24971"/>
    <cellStyle name="Total 2 5 21 5" xfId="33311"/>
    <cellStyle name="Total 2 5 21 6" xfId="37526"/>
    <cellStyle name="Total 2 5 21 7" xfId="50719"/>
    <cellStyle name="Total 2 5 22" xfId="3370"/>
    <cellStyle name="Total 2 5 22 2" xfId="11161"/>
    <cellStyle name="Total 2 5 22 3" xfId="18483"/>
    <cellStyle name="Total 2 5 22 4" xfId="26050"/>
    <cellStyle name="Total 2 5 22 5" xfId="34690"/>
    <cellStyle name="Total 2 5 22 6" xfId="40103"/>
    <cellStyle name="Total 2 5 22 7" xfId="53105"/>
    <cellStyle name="Total 2 5 23" xfId="3590"/>
    <cellStyle name="Total 2 5 23 2" xfId="11376"/>
    <cellStyle name="Total 2 5 23 3" xfId="18651"/>
    <cellStyle name="Total 2 5 23 4" xfId="26008"/>
    <cellStyle name="Total 2 5 23 5" xfId="34633"/>
    <cellStyle name="Total 2 5 23 6" xfId="40406"/>
    <cellStyle name="Total 2 5 23 7" xfId="53012"/>
    <cellStyle name="Total 2 5 24" xfId="3640"/>
    <cellStyle name="Total 2 5 24 2" xfId="11425"/>
    <cellStyle name="Total 2 5 24 3" xfId="18698"/>
    <cellStyle name="Total 2 5 24 4" xfId="24811"/>
    <cellStyle name="Total 2 5 24 5" xfId="27693"/>
    <cellStyle name="Total 2 5 24 6" xfId="42251"/>
    <cellStyle name="Total 2 5 24 7" xfId="47680"/>
    <cellStyle name="Total 2 5 25" xfId="3771"/>
    <cellStyle name="Total 2 5 25 2" xfId="11553"/>
    <cellStyle name="Total 2 5 25 3" xfId="18810"/>
    <cellStyle name="Total 2 5 25 4" xfId="25068"/>
    <cellStyle name="Total 2 5 25 5" xfId="33428"/>
    <cellStyle name="Total 2 5 25 6" xfId="37852"/>
    <cellStyle name="Total 2 5 25 7" xfId="50945"/>
    <cellStyle name="Total 2 5 26" xfId="3888"/>
    <cellStyle name="Total 2 5 26 2" xfId="11668"/>
    <cellStyle name="Total 2 5 26 3" xfId="18919"/>
    <cellStyle name="Total 2 5 26 4" xfId="25855"/>
    <cellStyle name="Total 2 5 26 5" xfId="34442"/>
    <cellStyle name="Total 2 5 26 6" xfId="40629"/>
    <cellStyle name="Total 2 5 26 7" xfId="52677"/>
    <cellStyle name="Total 2 5 27" xfId="3986"/>
    <cellStyle name="Total 2 5 27 2" xfId="11765"/>
    <cellStyle name="Total 2 5 27 3" xfId="20699"/>
    <cellStyle name="Total 2 5 27 4" xfId="28887"/>
    <cellStyle name="Total 2 5 27 5" xfId="38272"/>
    <cellStyle name="Total 2 5 27 6" xfId="42556"/>
    <cellStyle name="Total 2 5 27 7" xfId="51231"/>
    <cellStyle name="Total 2 5 28" xfId="4085"/>
    <cellStyle name="Total 2 5 28 2" xfId="11845"/>
    <cellStyle name="Total 2 5 28 3" xfId="20795"/>
    <cellStyle name="Total 2 5 28 4" xfId="28982"/>
    <cellStyle name="Total 2 5 28 5" xfId="38361"/>
    <cellStyle name="Total 2 5 28 6" xfId="42647"/>
    <cellStyle name="Total 2 5 28 7" xfId="48697"/>
    <cellStyle name="Total 2 5 29" xfId="3143"/>
    <cellStyle name="Total 2 5 29 2" xfId="20281"/>
    <cellStyle name="Total 2 5 29 3" xfId="28375"/>
    <cellStyle name="Total 2 5 29 4" xfId="37759"/>
    <cellStyle name="Total 2 5 29 5" xfId="42410"/>
    <cellStyle name="Total 2 5 29 6" xfId="47822"/>
    <cellStyle name="Total 2 5 3" xfId="742"/>
    <cellStyle name="Total 2 5 3 2" xfId="8566"/>
    <cellStyle name="Total 2 5 3 3" xfId="15994"/>
    <cellStyle name="Total 2 5 3 4" xfId="19049"/>
    <cellStyle name="Total 2 5 3 5" xfId="26902"/>
    <cellStyle name="Total 2 5 3 6" xfId="36567"/>
    <cellStyle name="Total 2 5 3 7" xfId="49204"/>
    <cellStyle name="Total 2 5 30" xfId="4282"/>
    <cellStyle name="Total 2 5 30 2" xfId="11999"/>
    <cellStyle name="Total 2 5 30 3" xfId="20992"/>
    <cellStyle name="Total 2 5 30 4" xfId="29179"/>
    <cellStyle name="Total 2 5 30 5" xfId="38552"/>
    <cellStyle name="Total 2 5 30 6" xfId="42844"/>
    <cellStyle name="Total 2 5 30 7" xfId="50171"/>
    <cellStyle name="Total 2 5 31" xfId="4405"/>
    <cellStyle name="Total 2 5 31 2" xfId="12122"/>
    <cellStyle name="Total 2 5 31 3" xfId="21115"/>
    <cellStyle name="Total 2 5 31 4" xfId="29302"/>
    <cellStyle name="Total 2 5 31 5" xfId="38672"/>
    <cellStyle name="Total 2 5 31 6" xfId="42967"/>
    <cellStyle name="Total 2 5 31 7" xfId="48563"/>
    <cellStyle name="Total 2 5 32" xfId="4519"/>
    <cellStyle name="Total 2 5 32 2" xfId="12236"/>
    <cellStyle name="Total 2 5 32 3" xfId="21229"/>
    <cellStyle name="Total 2 5 32 4" xfId="29416"/>
    <cellStyle name="Total 2 5 32 5" xfId="38780"/>
    <cellStyle name="Total 2 5 32 6" xfId="43081"/>
    <cellStyle name="Total 2 5 32 7" xfId="47399"/>
    <cellStyle name="Total 2 5 33" xfId="4632"/>
    <cellStyle name="Total 2 5 33 2" xfId="12349"/>
    <cellStyle name="Total 2 5 33 3" xfId="21342"/>
    <cellStyle name="Total 2 5 33 4" xfId="29529"/>
    <cellStyle name="Total 2 5 33 5" xfId="38888"/>
    <cellStyle name="Total 2 5 33 6" xfId="43194"/>
    <cellStyle name="Total 2 5 33 7" xfId="53901"/>
    <cellStyle name="Total 2 5 34" xfId="4744"/>
    <cellStyle name="Total 2 5 34 2" xfId="12461"/>
    <cellStyle name="Total 2 5 34 3" xfId="21454"/>
    <cellStyle name="Total 2 5 34 4" xfId="29641"/>
    <cellStyle name="Total 2 5 34 5" xfId="38996"/>
    <cellStyle name="Total 2 5 34 6" xfId="43306"/>
    <cellStyle name="Total 2 5 34 7" xfId="50032"/>
    <cellStyle name="Total 2 5 35" xfId="4852"/>
    <cellStyle name="Total 2 5 35 2" xfId="12569"/>
    <cellStyle name="Total 2 5 35 3" xfId="21562"/>
    <cellStyle name="Total 2 5 35 4" xfId="29749"/>
    <cellStyle name="Total 2 5 35 5" xfId="39100"/>
    <cellStyle name="Total 2 5 35 6" xfId="43414"/>
    <cellStyle name="Total 2 5 35 7" xfId="53826"/>
    <cellStyle name="Total 2 5 36" xfId="4964"/>
    <cellStyle name="Total 2 5 36 2" xfId="12681"/>
    <cellStyle name="Total 2 5 36 3" xfId="21674"/>
    <cellStyle name="Total 2 5 36 4" xfId="29861"/>
    <cellStyle name="Total 2 5 36 5" xfId="39208"/>
    <cellStyle name="Total 2 5 36 6" xfId="43526"/>
    <cellStyle name="Total 2 5 36 7" xfId="51350"/>
    <cellStyle name="Total 2 5 37" xfId="5149"/>
    <cellStyle name="Total 2 5 37 2" xfId="12866"/>
    <cellStyle name="Total 2 5 37 3" xfId="21859"/>
    <cellStyle name="Total 2 5 37 4" xfId="30046"/>
    <cellStyle name="Total 2 5 37 5" xfId="39385"/>
    <cellStyle name="Total 2 5 37 6" xfId="43711"/>
    <cellStyle name="Total 2 5 37 7" xfId="48253"/>
    <cellStyle name="Total 2 5 38" xfId="5462"/>
    <cellStyle name="Total 2 5 38 2" xfId="13179"/>
    <cellStyle name="Total 2 5 38 3" xfId="22172"/>
    <cellStyle name="Total 2 5 38 4" xfId="30359"/>
    <cellStyle name="Total 2 5 38 5" xfId="39687"/>
    <cellStyle name="Total 2 5 38 6" xfId="44024"/>
    <cellStyle name="Total 2 5 38 7" xfId="52045"/>
    <cellStyle name="Total 2 5 39" xfId="5587"/>
    <cellStyle name="Total 2 5 39 2" xfId="13304"/>
    <cellStyle name="Total 2 5 39 3" xfId="22297"/>
    <cellStyle name="Total 2 5 39 4" xfId="30484"/>
    <cellStyle name="Total 2 5 39 5" xfId="39806"/>
    <cellStyle name="Total 2 5 39 6" xfId="44149"/>
    <cellStyle name="Total 2 5 39 7" xfId="47151"/>
    <cellStyle name="Total 2 5 4" xfId="854"/>
    <cellStyle name="Total 2 5 4 2" xfId="8678"/>
    <cellStyle name="Total 2 5 4 3" xfId="16106"/>
    <cellStyle name="Total 2 5 4 4" xfId="24865"/>
    <cellStyle name="Total 2 5 4 5" xfId="33178"/>
    <cellStyle name="Total 2 5 4 6" xfId="36901"/>
    <cellStyle name="Total 2 5 4 7" xfId="50487"/>
    <cellStyle name="Total 2 5 40" xfId="5702"/>
    <cellStyle name="Total 2 5 40 2" xfId="13419"/>
    <cellStyle name="Total 2 5 40 3" xfId="22412"/>
    <cellStyle name="Total 2 5 40 4" xfId="30599"/>
    <cellStyle name="Total 2 5 40 5" xfId="39917"/>
    <cellStyle name="Total 2 5 40 6" xfId="44264"/>
    <cellStyle name="Total 2 5 40 7" xfId="47078"/>
    <cellStyle name="Total 2 5 41" xfId="5819"/>
    <cellStyle name="Total 2 5 41 2" xfId="13536"/>
    <cellStyle name="Total 2 5 41 3" xfId="22529"/>
    <cellStyle name="Total 2 5 41 4" xfId="30716"/>
    <cellStyle name="Total 2 5 41 5" xfId="40031"/>
    <cellStyle name="Total 2 5 41 6" xfId="44381"/>
    <cellStyle name="Total 2 5 41 7" xfId="51239"/>
    <cellStyle name="Total 2 5 42" xfId="5947"/>
    <cellStyle name="Total 2 5 42 2" xfId="13664"/>
    <cellStyle name="Total 2 5 42 3" xfId="22657"/>
    <cellStyle name="Total 2 5 42 4" xfId="30844"/>
    <cellStyle name="Total 2 5 42 5" xfId="40155"/>
    <cellStyle name="Total 2 5 42 6" xfId="44509"/>
    <cellStyle name="Total 2 5 42 7" xfId="52833"/>
    <cellStyle name="Total 2 5 43" xfId="5094"/>
    <cellStyle name="Total 2 5 43 2" xfId="12811"/>
    <cellStyle name="Total 2 5 43 3" xfId="21804"/>
    <cellStyle name="Total 2 5 43 4" xfId="29991"/>
    <cellStyle name="Total 2 5 43 5" xfId="39333"/>
    <cellStyle name="Total 2 5 43 6" xfId="43656"/>
    <cellStyle name="Total 2 5 43 7" xfId="51507"/>
    <cellStyle name="Total 2 5 44" xfId="6203"/>
    <cellStyle name="Total 2 5 44 2" xfId="13920"/>
    <cellStyle name="Total 2 5 44 3" xfId="22913"/>
    <cellStyle name="Total 2 5 44 4" xfId="31100"/>
    <cellStyle name="Total 2 5 44 5" xfId="40401"/>
    <cellStyle name="Total 2 5 44 6" xfId="44765"/>
    <cellStyle name="Total 2 5 44 7" xfId="47795"/>
    <cellStyle name="Total 2 5 45" xfId="6320"/>
    <cellStyle name="Total 2 5 45 2" xfId="14037"/>
    <cellStyle name="Total 2 5 45 3" xfId="23030"/>
    <cellStyle name="Total 2 5 45 4" xfId="31217"/>
    <cellStyle name="Total 2 5 45 5" xfId="40517"/>
    <cellStyle name="Total 2 5 45 6" xfId="44882"/>
    <cellStyle name="Total 2 5 45 7" xfId="52149"/>
    <cellStyle name="Total 2 5 46" xfId="6430"/>
    <cellStyle name="Total 2 5 46 2" xfId="14147"/>
    <cellStyle name="Total 2 5 46 3" xfId="23140"/>
    <cellStyle name="Total 2 5 46 4" xfId="31327"/>
    <cellStyle name="Total 2 5 46 5" xfId="40622"/>
    <cellStyle name="Total 2 5 46 6" xfId="44992"/>
    <cellStyle name="Total 2 5 46 7" xfId="48041"/>
    <cellStyle name="Total 2 5 47" xfId="6532"/>
    <cellStyle name="Total 2 5 47 2" xfId="14249"/>
    <cellStyle name="Total 2 5 47 3" xfId="23242"/>
    <cellStyle name="Total 2 5 47 4" xfId="31429"/>
    <cellStyle name="Total 2 5 47 5" xfId="40720"/>
    <cellStyle name="Total 2 5 47 6" xfId="45094"/>
    <cellStyle name="Total 2 5 47 7" xfId="50588"/>
    <cellStyle name="Total 2 5 48" xfId="6577"/>
    <cellStyle name="Total 2 5 48 2" xfId="14294"/>
    <cellStyle name="Total 2 5 48 3" xfId="23287"/>
    <cellStyle name="Total 2 5 48 4" xfId="31474"/>
    <cellStyle name="Total 2 5 48 5" xfId="40762"/>
    <cellStyle name="Total 2 5 48 6" xfId="45139"/>
    <cellStyle name="Total 2 5 48 7" xfId="53368"/>
    <cellStyle name="Total 2 5 49" xfId="6688"/>
    <cellStyle name="Total 2 5 49 2" xfId="14405"/>
    <cellStyle name="Total 2 5 49 3" xfId="23398"/>
    <cellStyle name="Total 2 5 49 4" xfId="31585"/>
    <cellStyle name="Total 2 5 49 5" xfId="40869"/>
    <cellStyle name="Total 2 5 49 6" xfId="45250"/>
    <cellStyle name="Total 2 5 49 7" xfId="47939"/>
    <cellStyle name="Total 2 5 5" xfId="1319"/>
    <cellStyle name="Total 2 5 5 2" xfId="9142"/>
    <cellStyle name="Total 2 5 5 3" xfId="16570"/>
    <cellStyle name="Total 2 5 5 4" xfId="25679"/>
    <cellStyle name="Total 2 5 5 5" xfId="34212"/>
    <cellStyle name="Total 2 5 5 6" xfId="40138"/>
    <cellStyle name="Total 2 5 5 7" xfId="52263"/>
    <cellStyle name="Total 2 5 50" xfId="6803"/>
    <cellStyle name="Total 2 5 50 2" xfId="14520"/>
    <cellStyle name="Total 2 5 50 3" xfId="23513"/>
    <cellStyle name="Total 2 5 50 4" xfId="31700"/>
    <cellStyle name="Total 2 5 50 5" xfId="40978"/>
    <cellStyle name="Total 2 5 50 6" xfId="45365"/>
    <cellStyle name="Total 2 5 50 7" xfId="51873"/>
    <cellStyle name="Total 2 5 51" xfId="6916"/>
    <cellStyle name="Total 2 5 51 2" xfId="14633"/>
    <cellStyle name="Total 2 5 51 3" xfId="23626"/>
    <cellStyle name="Total 2 5 51 4" xfId="31813"/>
    <cellStyle name="Total 2 5 51 5" xfId="41085"/>
    <cellStyle name="Total 2 5 51 6" xfId="45478"/>
    <cellStyle name="Total 2 5 51 7" xfId="47049"/>
    <cellStyle name="Total 2 5 52" xfId="7028"/>
    <cellStyle name="Total 2 5 52 2" xfId="14745"/>
    <cellStyle name="Total 2 5 52 3" xfId="23738"/>
    <cellStyle name="Total 2 5 52 4" xfId="31925"/>
    <cellStyle name="Total 2 5 52 5" xfId="41192"/>
    <cellStyle name="Total 2 5 52 6" xfId="45590"/>
    <cellStyle name="Total 2 5 52 7" xfId="47221"/>
    <cellStyle name="Total 2 5 53" xfId="7231"/>
    <cellStyle name="Total 2 5 53 2" xfId="14948"/>
    <cellStyle name="Total 2 5 53 3" xfId="23941"/>
    <cellStyle name="Total 2 5 53 4" xfId="32128"/>
    <cellStyle name="Total 2 5 53 5" xfId="41386"/>
    <cellStyle name="Total 2 5 53 6" xfId="45793"/>
    <cellStyle name="Total 2 5 53 7" xfId="51729"/>
    <cellStyle name="Total 2 5 54" xfId="7140"/>
    <cellStyle name="Total 2 5 54 2" xfId="14857"/>
    <cellStyle name="Total 2 5 54 3" xfId="23850"/>
    <cellStyle name="Total 2 5 54 4" xfId="32037"/>
    <cellStyle name="Total 2 5 54 5" xfId="41299"/>
    <cellStyle name="Total 2 5 54 6" xfId="45702"/>
    <cellStyle name="Total 2 5 54 7" xfId="51133"/>
    <cellStyle name="Total 2 5 55" xfId="7425"/>
    <cellStyle name="Total 2 5 55 2" xfId="15142"/>
    <cellStyle name="Total 2 5 55 3" xfId="24135"/>
    <cellStyle name="Total 2 5 55 4" xfId="32322"/>
    <cellStyle name="Total 2 5 55 5" xfId="41574"/>
    <cellStyle name="Total 2 5 55 6" xfId="45987"/>
    <cellStyle name="Total 2 5 55 7" xfId="50131"/>
    <cellStyle name="Total 2 5 56" xfId="7546"/>
    <cellStyle name="Total 2 5 56 2" xfId="15263"/>
    <cellStyle name="Total 2 5 56 3" xfId="24256"/>
    <cellStyle name="Total 2 5 56 4" xfId="32443"/>
    <cellStyle name="Total 2 5 56 5" xfId="41689"/>
    <cellStyle name="Total 2 5 56 6" xfId="46108"/>
    <cellStyle name="Total 2 5 56 7" xfId="52892"/>
    <cellStyle name="Total 2 5 57" xfId="7822"/>
    <cellStyle name="Total 2 5 57 2" xfId="15539"/>
    <cellStyle name="Total 2 5 57 3" xfId="24526"/>
    <cellStyle name="Total 2 5 57 4" xfId="32719"/>
    <cellStyle name="Total 2 5 57 5" xfId="41954"/>
    <cellStyle name="Total 2 5 57 6" xfId="46384"/>
    <cellStyle name="Total 2 5 57 7" xfId="53982"/>
    <cellStyle name="Total 2 5 58" xfId="7662"/>
    <cellStyle name="Total 2 5 58 2" xfId="15379"/>
    <cellStyle name="Total 2 5 58 3" xfId="24371"/>
    <cellStyle name="Total 2 5 58 4" xfId="32559"/>
    <cellStyle name="Total 2 5 58 5" xfId="41800"/>
    <cellStyle name="Total 2 5 58 6" xfId="46224"/>
    <cellStyle name="Total 2 5 58 7" xfId="49429"/>
    <cellStyle name="Total 2 5 59" xfId="8001"/>
    <cellStyle name="Total 2 5 59 2" xfId="15718"/>
    <cellStyle name="Total 2 5 59 3" xfId="24703"/>
    <cellStyle name="Total 2 5 59 4" xfId="32898"/>
    <cellStyle name="Total 2 5 59 5" xfId="42124"/>
    <cellStyle name="Total 2 5 59 6" xfId="46563"/>
    <cellStyle name="Total 2 5 59 7" xfId="49526"/>
    <cellStyle name="Total 2 5 6" xfId="1442"/>
    <cellStyle name="Total 2 5 6 2" xfId="9265"/>
    <cellStyle name="Total 2 5 6 3" xfId="16693"/>
    <cellStyle name="Total 2 5 6 4" xfId="25569"/>
    <cellStyle name="Total 2 5 6 5" xfId="34067"/>
    <cellStyle name="Total 2 5 6 6" xfId="39822"/>
    <cellStyle name="Total 2 5 6 7" xfId="52015"/>
    <cellStyle name="Total 2 5 60" xfId="8098"/>
    <cellStyle name="Total 2 5 60 2" xfId="15815"/>
    <cellStyle name="Total 2 5 60 3" xfId="32995"/>
    <cellStyle name="Total 2 5 60 4" xfId="42217"/>
    <cellStyle name="Total 2 5 60 5" xfId="46660"/>
    <cellStyle name="Total 2 5 60 6" xfId="48175"/>
    <cellStyle name="Total 2 5 61" xfId="26376"/>
    <cellStyle name="Total 2 5 62" xfId="35119"/>
    <cellStyle name="Total 2 5 63" xfId="37081"/>
    <cellStyle name="Total 2 5 64" xfId="53800"/>
    <cellStyle name="Total 2 5 7" xfId="1230"/>
    <cellStyle name="Total 2 5 7 2" xfId="9053"/>
    <cellStyle name="Total 2 5 7 3" xfId="16481"/>
    <cellStyle name="Total 2 5 7 4" xfId="19388"/>
    <cellStyle name="Total 2 5 7 5" xfId="28699"/>
    <cellStyle name="Total 2 5 7 6" xfId="38265"/>
    <cellStyle name="Total 2 5 7 7" xfId="48647"/>
    <cellStyle name="Total 2 5 8" xfId="1679"/>
    <cellStyle name="Total 2 5 8 2" xfId="9502"/>
    <cellStyle name="Total 2 5 8 3" xfId="16930"/>
    <cellStyle name="Total 2 5 8 4" xfId="19195"/>
    <cellStyle name="Total 2 5 8 5" xfId="26757"/>
    <cellStyle name="Total 2 5 8 6" xfId="37744"/>
    <cellStyle name="Total 2 5 8 7" xfId="49130"/>
    <cellStyle name="Total 2 5 9" xfId="1813"/>
    <cellStyle name="Total 2 5 9 2" xfId="9636"/>
    <cellStyle name="Total 2 5 9 3" xfId="17064"/>
    <cellStyle name="Total 2 5 9 4" xfId="19952"/>
    <cellStyle name="Total 2 5 9 5" xfId="27131"/>
    <cellStyle name="Total 2 5 9 6" xfId="36555"/>
    <cellStyle name="Total 2 5 9 7" xfId="49508"/>
    <cellStyle name="Total 2 6" xfId="511"/>
    <cellStyle name="Total 2 6 10" xfId="1958"/>
    <cellStyle name="Total 2 6 10 2" xfId="9781"/>
    <cellStyle name="Total 2 6 10 3" xfId="17209"/>
    <cellStyle name="Total 2 6 10 4" xfId="19916"/>
    <cellStyle name="Total 2 6 10 5" xfId="27081"/>
    <cellStyle name="Total 2 6 10 6" xfId="36515"/>
    <cellStyle name="Total 2 6 10 7" xfId="47512"/>
    <cellStyle name="Total 2 6 11" xfId="2076"/>
    <cellStyle name="Total 2 6 11 2" xfId="9899"/>
    <cellStyle name="Total 2 6 11 3" xfId="17327"/>
    <cellStyle name="Total 2 6 11 4" xfId="25105"/>
    <cellStyle name="Total 2 6 11 5" xfId="33470"/>
    <cellStyle name="Total 2 6 11 6" xfId="36988"/>
    <cellStyle name="Total 2 6 11 7" xfId="51019"/>
    <cellStyle name="Total 2 6 12" xfId="2189"/>
    <cellStyle name="Total 2 6 12 2" xfId="10012"/>
    <cellStyle name="Total 2 6 12 3" xfId="17440"/>
    <cellStyle name="Total 2 6 12 4" xfId="26641"/>
    <cellStyle name="Total 2 6 12 5" xfId="35479"/>
    <cellStyle name="Total 2 6 12 6" xfId="38384"/>
    <cellStyle name="Total 2 6 12 7" xfId="54372"/>
    <cellStyle name="Total 2 6 13" xfId="1603"/>
    <cellStyle name="Total 2 6 13 2" xfId="9426"/>
    <cellStyle name="Total 2 6 13 3" xfId="16854"/>
    <cellStyle name="Total 2 6 13 4" xfId="19458"/>
    <cellStyle name="Total 2 6 13 5" xfId="27880"/>
    <cellStyle name="Total 2 6 13 6" xfId="38227"/>
    <cellStyle name="Total 2 6 13 7" xfId="49519"/>
    <cellStyle name="Total 2 6 14" xfId="1617"/>
    <cellStyle name="Total 2 6 14 2" xfId="9440"/>
    <cellStyle name="Total 2 6 14 3" xfId="16868"/>
    <cellStyle name="Total 2 6 14 4" xfId="26322"/>
    <cellStyle name="Total 2 6 14 5" xfId="35045"/>
    <cellStyle name="Total 2 6 14 6" xfId="37306"/>
    <cellStyle name="Total 2 6 14 7" xfId="53686"/>
    <cellStyle name="Total 2 6 15" xfId="2487"/>
    <cellStyle name="Total 2 6 15 2" xfId="10310"/>
    <cellStyle name="Total 2 6 15 3" xfId="17738"/>
    <cellStyle name="Total 2 6 15 4" xfId="25705"/>
    <cellStyle name="Total 2 6 15 5" xfId="34245"/>
    <cellStyle name="Total 2 6 15 6" xfId="37819"/>
    <cellStyle name="Total 2 6 15 7" xfId="52322"/>
    <cellStyle name="Total 2 6 16" xfId="2600"/>
    <cellStyle name="Total 2 6 16 2" xfId="10423"/>
    <cellStyle name="Total 2 6 16 3" xfId="17851"/>
    <cellStyle name="Total 2 6 16 4" xfId="19421"/>
    <cellStyle name="Total 2 6 16 5" xfId="28299"/>
    <cellStyle name="Total 2 6 16 6" xfId="36992"/>
    <cellStyle name="Total 2 6 16 7" xfId="47433"/>
    <cellStyle name="Total 2 6 17" xfId="1252"/>
    <cellStyle name="Total 2 6 17 2" xfId="9075"/>
    <cellStyle name="Total 2 6 17 3" xfId="16503"/>
    <cellStyle name="Total 2 6 17 4" xfId="19222"/>
    <cellStyle name="Total 2 6 17 5" xfId="27406"/>
    <cellStyle name="Total 2 6 17 6" xfId="41827"/>
    <cellStyle name="Total 2 6 17 7" xfId="47944"/>
    <cellStyle name="Total 2 6 18" xfId="1102"/>
    <cellStyle name="Total 2 6 18 2" xfId="8926"/>
    <cellStyle name="Total 2 6 18 3" xfId="16354"/>
    <cellStyle name="Total 2 6 18 4" xfId="20543"/>
    <cellStyle name="Total 2 6 18 5" xfId="27676"/>
    <cellStyle name="Total 2 6 18 6" xfId="36690"/>
    <cellStyle name="Total 2 6 18 7" xfId="48503"/>
    <cellStyle name="Total 2 6 19" xfId="2794"/>
    <cellStyle name="Total 2 6 19 2" xfId="10617"/>
    <cellStyle name="Total 2 6 19 3" xfId="18045"/>
    <cellStyle name="Total 2 6 19 4" xfId="25584"/>
    <cellStyle name="Total 2 6 19 5" xfId="34090"/>
    <cellStyle name="Total 2 6 19 6" xfId="37882"/>
    <cellStyle name="Total 2 6 19 7" xfId="52063"/>
    <cellStyle name="Total 2 6 2" xfId="662"/>
    <cellStyle name="Total 2 6 2 2" xfId="8486"/>
    <cellStyle name="Total 2 6 2 3" xfId="8274"/>
    <cellStyle name="Total 2 6 2 4" xfId="25232"/>
    <cellStyle name="Total 2 6 2 5" xfId="33635"/>
    <cellStyle name="Total 2 6 2 6" xfId="36823"/>
    <cellStyle name="Total 2 6 2 7" xfId="51289"/>
    <cellStyle name="Total 2 6 20" xfId="2901"/>
    <cellStyle name="Total 2 6 20 2" xfId="10724"/>
    <cellStyle name="Total 2 6 20 3" xfId="18152"/>
    <cellStyle name="Total 2 6 20 4" xfId="20226"/>
    <cellStyle name="Total 2 6 20 5" xfId="27425"/>
    <cellStyle name="Total 2 6 20 6" xfId="36804"/>
    <cellStyle name="Total 2 6 20 7" xfId="47243"/>
    <cellStyle name="Total 2 6 21" xfId="3277"/>
    <cellStyle name="Total 2 6 21 2" xfId="11070"/>
    <cellStyle name="Total 2 6 21 3" xfId="18399"/>
    <cellStyle name="Total 2 6 21 4" xfId="26598"/>
    <cellStyle name="Total 2 6 21 5" xfId="35424"/>
    <cellStyle name="Total 2 6 21 6" xfId="41911"/>
    <cellStyle name="Total 2 6 21 7" xfId="54276"/>
    <cellStyle name="Total 2 6 22" xfId="3397"/>
    <cellStyle name="Total 2 6 22 2" xfId="11188"/>
    <cellStyle name="Total 2 6 22 3" xfId="18510"/>
    <cellStyle name="Total 2 6 22 4" xfId="19061"/>
    <cellStyle name="Total 2 6 22 5" xfId="33166"/>
    <cellStyle name="Total 2 6 22 6" xfId="37492"/>
    <cellStyle name="Total 2 6 22 7" xfId="50466"/>
    <cellStyle name="Total 2 6 23" xfId="3180"/>
    <cellStyle name="Total 2 6 23 2" xfId="10981"/>
    <cellStyle name="Total 2 6 23 3" xfId="18342"/>
    <cellStyle name="Total 2 6 23 4" xfId="25249"/>
    <cellStyle name="Total 2 6 23 5" xfId="33654"/>
    <cellStyle name="Total 2 6 23 6" xfId="37426"/>
    <cellStyle name="Total 2 6 23 7" xfId="51323"/>
    <cellStyle name="Total 2 6 24" xfId="3667"/>
    <cellStyle name="Total 2 6 24 2" xfId="11452"/>
    <cellStyle name="Total 2 6 24 3" xfId="18725"/>
    <cellStyle name="Total 2 6 24 4" xfId="25905"/>
    <cellStyle name="Total 2 6 24 5" xfId="34501"/>
    <cellStyle name="Total 2 6 24 6" xfId="39720"/>
    <cellStyle name="Total 2 6 24 7" xfId="52792"/>
    <cellStyle name="Total 2 6 25" xfId="3798"/>
    <cellStyle name="Total 2 6 25 2" xfId="11580"/>
    <cellStyle name="Total 2 6 25 3" xfId="18837"/>
    <cellStyle name="Total 2 6 25 4" xfId="20505"/>
    <cellStyle name="Total 2 6 25 5" xfId="27155"/>
    <cellStyle name="Total 2 6 25 6" xfId="42219"/>
    <cellStyle name="Total 2 6 25 7" xfId="48394"/>
    <cellStyle name="Total 2 6 26" xfId="3915"/>
    <cellStyle name="Total 2 6 26 2" xfId="11695"/>
    <cellStyle name="Total 2 6 26 3" xfId="18946"/>
    <cellStyle name="Total 2 6 26 4" xfId="24841"/>
    <cellStyle name="Total 2 6 26 5" xfId="27776"/>
    <cellStyle name="Total 2 6 26 6" xfId="37988"/>
    <cellStyle name="Total 2 6 26 7" xfId="49892"/>
    <cellStyle name="Total 2 6 27" xfId="3478"/>
    <cellStyle name="Total 2 6 27 2" xfId="11269"/>
    <cellStyle name="Total 2 6 27 3" xfId="20465"/>
    <cellStyle name="Total 2 6 27 4" xfId="28587"/>
    <cellStyle name="Total 2 6 27 5" xfId="37966"/>
    <cellStyle name="Total 2 6 27 6" xfId="42476"/>
    <cellStyle name="Total 2 6 27 7" xfId="47456"/>
    <cellStyle name="Total 2 6 28" xfId="4112"/>
    <cellStyle name="Total 2 6 28 2" xfId="11872"/>
    <cellStyle name="Total 2 6 28 3" xfId="20822"/>
    <cellStyle name="Total 2 6 28 4" xfId="29009"/>
    <cellStyle name="Total 2 6 28 5" xfId="38387"/>
    <cellStyle name="Total 2 6 28 6" xfId="42674"/>
    <cellStyle name="Total 2 6 28 7" xfId="53201"/>
    <cellStyle name="Total 2 6 29" xfId="3959"/>
    <cellStyle name="Total 2 6 29 2" xfId="20690"/>
    <cellStyle name="Total 2 6 29 3" xfId="28871"/>
    <cellStyle name="Total 2 6 29 4" xfId="38259"/>
    <cellStyle name="Total 2 6 29 5" xfId="42554"/>
    <cellStyle name="Total 2 6 29 6" xfId="54230"/>
    <cellStyle name="Total 2 6 3" xfId="769"/>
    <cellStyle name="Total 2 6 3 2" xfId="8593"/>
    <cellStyle name="Total 2 6 3 3" xfId="16021"/>
    <cellStyle name="Total 2 6 3 4" xfId="25969"/>
    <cellStyle name="Total 2 6 3 5" xfId="34579"/>
    <cellStyle name="Total 2 6 3 6" xfId="36944"/>
    <cellStyle name="Total 2 6 3 7" xfId="52925"/>
    <cellStyle name="Total 2 6 30" xfId="4309"/>
    <cellStyle name="Total 2 6 30 2" xfId="12026"/>
    <cellStyle name="Total 2 6 30 3" xfId="21019"/>
    <cellStyle name="Total 2 6 30 4" xfId="29206"/>
    <cellStyle name="Total 2 6 30 5" xfId="38578"/>
    <cellStyle name="Total 2 6 30 6" xfId="42871"/>
    <cellStyle name="Total 2 6 30 7" xfId="48691"/>
    <cellStyle name="Total 2 6 31" xfId="4432"/>
    <cellStyle name="Total 2 6 31 2" xfId="12149"/>
    <cellStyle name="Total 2 6 31 3" xfId="21142"/>
    <cellStyle name="Total 2 6 31 4" xfId="29329"/>
    <cellStyle name="Total 2 6 31 5" xfId="38696"/>
    <cellStyle name="Total 2 6 31 6" xfId="42994"/>
    <cellStyle name="Total 2 6 31 7" xfId="52242"/>
    <cellStyle name="Total 2 6 32" xfId="4546"/>
    <cellStyle name="Total 2 6 32 2" xfId="12263"/>
    <cellStyle name="Total 2 6 32 3" xfId="21256"/>
    <cellStyle name="Total 2 6 32 4" xfId="29443"/>
    <cellStyle name="Total 2 6 32 5" xfId="38805"/>
    <cellStyle name="Total 2 6 32 6" xfId="43108"/>
    <cellStyle name="Total 2 6 32 7" xfId="53882"/>
    <cellStyle name="Total 2 6 33" xfId="4659"/>
    <cellStyle name="Total 2 6 33 2" xfId="12376"/>
    <cellStyle name="Total 2 6 33 3" xfId="21369"/>
    <cellStyle name="Total 2 6 33 4" xfId="29556"/>
    <cellStyle name="Total 2 6 33 5" xfId="38913"/>
    <cellStyle name="Total 2 6 33 6" xfId="43221"/>
    <cellStyle name="Total 2 6 33 7" xfId="51056"/>
    <cellStyle name="Total 2 6 34" xfId="4771"/>
    <cellStyle name="Total 2 6 34 2" xfId="12488"/>
    <cellStyle name="Total 2 6 34 3" xfId="21481"/>
    <cellStyle name="Total 2 6 34 4" xfId="29668"/>
    <cellStyle name="Total 2 6 34 5" xfId="39022"/>
    <cellStyle name="Total 2 6 34 6" xfId="43333"/>
    <cellStyle name="Total 2 6 34 7" xfId="47829"/>
    <cellStyle name="Total 2 6 35" xfId="4879"/>
    <cellStyle name="Total 2 6 35 2" xfId="12596"/>
    <cellStyle name="Total 2 6 35 3" xfId="21589"/>
    <cellStyle name="Total 2 6 35 4" xfId="29776"/>
    <cellStyle name="Total 2 6 35 5" xfId="39125"/>
    <cellStyle name="Total 2 6 35 6" xfId="43441"/>
    <cellStyle name="Total 2 6 35 7" xfId="50990"/>
    <cellStyle name="Total 2 6 36" xfId="4991"/>
    <cellStyle name="Total 2 6 36 2" xfId="12708"/>
    <cellStyle name="Total 2 6 36 3" xfId="21701"/>
    <cellStyle name="Total 2 6 36 4" xfId="29888"/>
    <cellStyle name="Total 2 6 36 5" xfId="39234"/>
    <cellStyle name="Total 2 6 36 6" xfId="43553"/>
    <cellStyle name="Total 2 6 36 7" xfId="48685"/>
    <cellStyle name="Total 2 6 37" xfId="5120"/>
    <cellStyle name="Total 2 6 37 2" xfId="12837"/>
    <cellStyle name="Total 2 6 37 3" xfId="21830"/>
    <cellStyle name="Total 2 6 37 4" xfId="30017"/>
    <cellStyle name="Total 2 6 37 5" xfId="39358"/>
    <cellStyle name="Total 2 6 37 6" xfId="43682"/>
    <cellStyle name="Total 2 6 37 7" xfId="47884"/>
    <cellStyle name="Total 2 6 38" xfId="5489"/>
    <cellStyle name="Total 2 6 38 2" xfId="13206"/>
    <cellStyle name="Total 2 6 38 3" xfId="22199"/>
    <cellStyle name="Total 2 6 38 4" xfId="30386"/>
    <cellStyle name="Total 2 6 38 5" xfId="39712"/>
    <cellStyle name="Total 2 6 38 6" xfId="44051"/>
    <cellStyle name="Total 2 6 38 7" xfId="49541"/>
    <cellStyle name="Total 2 6 39" xfId="5614"/>
    <cellStyle name="Total 2 6 39 2" xfId="13331"/>
    <cellStyle name="Total 2 6 39 3" xfId="22324"/>
    <cellStyle name="Total 2 6 39 4" xfId="30511"/>
    <cellStyle name="Total 2 6 39 5" xfId="39832"/>
    <cellStyle name="Total 2 6 39 6" xfId="44176"/>
    <cellStyle name="Total 2 6 39 7" xfId="46801"/>
    <cellStyle name="Total 2 6 4" xfId="881"/>
    <cellStyle name="Total 2 6 4 2" xfId="8705"/>
    <cellStyle name="Total 2 6 4 3" xfId="16133"/>
    <cellStyle name="Total 2 6 4 4" xfId="25005"/>
    <cellStyle name="Total 2 6 4 5" xfId="33357"/>
    <cellStyle name="Total 2 6 4 6" xfId="36843"/>
    <cellStyle name="Total 2 6 4 7" xfId="50809"/>
    <cellStyle name="Total 2 6 40" xfId="5729"/>
    <cellStyle name="Total 2 6 40 2" xfId="13446"/>
    <cellStyle name="Total 2 6 40 3" xfId="22439"/>
    <cellStyle name="Total 2 6 40 4" xfId="30626"/>
    <cellStyle name="Total 2 6 40 5" xfId="39943"/>
    <cellStyle name="Total 2 6 40 6" xfId="44291"/>
    <cellStyle name="Total 2 6 40 7" xfId="54455"/>
    <cellStyle name="Total 2 6 41" xfId="5846"/>
    <cellStyle name="Total 2 6 41 2" xfId="13563"/>
    <cellStyle name="Total 2 6 41 3" xfId="22556"/>
    <cellStyle name="Total 2 6 41 4" xfId="30743"/>
    <cellStyle name="Total 2 6 41 5" xfId="40057"/>
    <cellStyle name="Total 2 6 41 6" xfId="44408"/>
    <cellStyle name="Total 2 6 41 7" xfId="54090"/>
    <cellStyle name="Total 2 6 42" xfId="5974"/>
    <cellStyle name="Total 2 6 42 2" xfId="13691"/>
    <cellStyle name="Total 2 6 42 3" xfId="22684"/>
    <cellStyle name="Total 2 6 42 4" xfId="30871"/>
    <cellStyle name="Total 2 6 42 5" xfId="40181"/>
    <cellStyle name="Total 2 6 42 6" xfId="44536"/>
    <cellStyle name="Total 2 6 42 7" xfId="49576"/>
    <cellStyle name="Total 2 6 43" xfId="5260"/>
    <cellStyle name="Total 2 6 43 2" xfId="12977"/>
    <cellStyle name="Total 2 6 43 3" xfId="21970"/>
    <cellStyle name="Total 2 6 43 4" xfId="30157"/>
    <cellStyle name="Total 2 6 43 5" xfId="39492"/>
    <cellStyle name="Total 2 6 43 6" xfId="43822"/>
    <cellStyle name="Total 2 6 43 7" xfId="47474"/>
    <cellStyle name="Total 2 6 44" xfId="6230"/>
    <cellStyle name="Total 2 6 44 2" xfId="13947"/>
    <cellStyle name="Total 2 6 44 3" xfId="22940"/>
    <cellStyle name="Total 2 6 44 4" xfId="31127"/>
    <cellStyle name="Total 2 6 44 5" xfId="40428"/>
    <cellStyle name="Total 2 6 44 6" xfId="44792"/>
    <cellStyle name="Total 2 6 44 7" xfId="52439"/>
    <cellStyle name="Total 2 6 45" xfId="6347"/>
    <cellStyle name="Total 2 6 45 2" xfId="14064"/>
    <cellStyle name="Total 2 6 45 3" xfId="23057"/>
    <cellStyle name="Total 2 6 45 4" xfId="31244"/>
    <cellStyle name="Total 2 6 45 5" xfId="40542"/>
    <cellStyle name="Total 2 6 45 6" xfId="44909"/>
    <cellStyle name="Total 2 6 45 7" xfId="47725"/>
    <cellStyle name="Total 2 6 46" xfId="6457"/>
    <cellStyle name="Total 2 6 46 2" xfId="14174"/>
    <cellStyle name="Total 2 6 46 3" xfId="23167"/>
    <cellStyle name="Total 2 6 46 4" xfId="31354"/>
    <cellStyle name="Total 2 6 46 5" xfId="40648"/>
    <cellStyle name="Total 2 6 46 6" xfId="45019"/>
    <cellStyle name="Total 2 6 46 7" xfId="50368"/>
    <cellStyle name="Total 2 6 47" xfId="5194"/>
    <cellStyle name="Total 2 6 47 2" xfId="12911"/>
    <cellStyle name="Total 2 6 47 3" xfId="21904"/>
    <cellStyle name="Total 2 6 47 4" xfId="30091"/>
    <cellStyle name="Total 2 6 47 5" xfId="39428"/>
    <cellStyle name="Total 2 6 47 6" xfId="43756"/>
    <cellStyle name="Total 2 6 47 7" xfId="50107"/>
    <cellStyle name="Total 2 6 48" xfId="6604"/>
    <cellStyle name="Total 2 6 48 2" xfId="14321"/>
    <cellStyle name="Total 2 6 48 3" xfId="23314"/>
    <cellStyle name="Total 2 6 48 4" xfId="31501"/>
    <cellStyle name="Total 2 6 48 5" xfId="40788"/>
    <cellStyle name="Total 2 6 48 6" xfId="45166"/>
    <cellStyle name="Total 2 6 48 7" xfId="49653"/>
    <cellStyle name="Total 2 6 49" xfId="6715"/>
    <cellStyle name="Total 2 6 49 2" xfId="14432"/>
    <cellStyle name="Total 2 6 49 3" xfId="23425"/>
    <cellStyle name="Total 2 6 49 4" xfId="31612"/>
    <cellStyle name="Total 2 6 49 5" xfId="40894"/>
    <cellStyle name="Total 2 6 49 6" xfId="45277"/>
    <cellStyle name="Total 2 6 49 7" xfId="53591"/>
    <cellStyle name="Total 2 6 5" xfId="1346"/>
    <cellStyle name="Total 2 6 5 2" xfId="9169"/>
    <cellStyle name="Total 2 6 5 3" xfId="16597"/>
    <cellStyle name="Total 2 6 5 4" xfId="20271"/>
    <cellStyle name="Total 2 6 5 5" xfId="28884"/>
    <cellStyle name="Total 2 6 5 6" xfId="41792"/>
    <cellStyle name="Total 2 6 5 7" xfId="49302"/>
    <cellStyle name="Total 2 6 50" xfId="6830"/>
    <cellStyle name="Total 2 6 50 2" xfId="14547"/>
    <cellStyle name="Total 2 6 50 3" xfId="23540"/>
    <cellStyle name="Total 2 6 50 4" xfId="31727"/>
    <cellStyle name="Total 2 6 50 5" xfId="41002"/>
    <cellStyle name="Total 2 6 50 6" xfId="45392"/>
    <cellStyle name="Total 2 6 50 7" xfId="48858"/>
    <cellStyle name="Total 2 6 51" xfId="6943"/>
    <cellStyle name="Total 2 6 51 2" xfId="14660"/>
    <cellStyle name="Total 2 6 51 3" xfId="23653"/>
    <cellStyle name="Total 2 6 51 4" xfId="31840"/>
    <cellStyle name="Total 2 6 51 5" xfId="41110"/>
    <cellStyle name="Total 2 6 51 6" xfId="45505"/>
    <cellStyle name="Total 2 6 51 7" xfId="47040"/>
    <cellStyle name="Total 2 6 52" xfId="7055"/>
    <cellStyle name="Total 2 6 52 2" xfId="14772"/>
    <cellStyle name="Total 2 6 52 3" xfId="23765"/>
    <cellStyle name="Total 2 6 52 4" xfId="31952"/>
    <cellStyle name="Total 2 6 52 5" xfId="41216"/>
    <cellStyle name="Total 2 6 52 6" xfId="45617"/>
    <cellStyle name="Total 2 6 52 7" xfId="53835"/>
    <cellStyle name="Total 2 6 53" xfId="7323"/>
    <cellStyle name="Total 2 6 53 2" xfId="15040"/>
    <cellStyle name="Total 2 6 53 3" xfId="24033"/>
    <cellStyle name="Total 2 6 53 4" xfId="32220"/>
    <cellStyle name="Total 2 6 53 5" xfId="41476"/>
    <cellStyle name="Total 2 6 53 6" xfId="45885"/>
    <cellStyle name="Total 2 6 53 7" xfId="54374"/>
    <cellStyle name="Total 2 6 54" xfId="7356"/>
    <cellStyle name="Total 2 6 54 2" xfId="15073"/>
    <cellStyle name="Total 2 6 54 3" xfId="24066"/>
    <cellStyle name="Total 2 6 54 4" xfId="32253"/>
    <cellStyle name="Total 2 6 54 5" xfId="41509"/>
    <cellStyle name="Total 2 6 54 6" xfId="45918"/>
    <cellStyle name="Total 2 6 54 7" xfId="50737"/>
    <cellStyle name="Total 2 6 55" xfId="7452"/>
    <cellStyle name="Total 2 6 55 2" xfId="15169"/>
    <cellStyle name="Total 2 6 55 3" xfId="24162"/>
    <cellStyle name="Total 2 6 55 4" xfId="32349"/>
    <cellStyle name="Total 2 6 55 5" xfId="41599"/>
    <cellStyle name="Total 2 6 55 6" xfId="46014"/>
    <cellStyle name="Total 2 6 55 7" xfId="50794"/>
    <cellStyle name="Total 2 6 56" xfId="7573"/>
    <cellStyle name="Total 2 6 56 2" xfId="15290"/>
    <cellStyle name="Total 2 6 56 3" xfId="24283"/>
    <cellStyle name="Total 2 6 56 4" xfId="32470"/>
    <cellStyle name="Total 2 6 56 5" xfId="41714"/>
    <cellStyle name="Total 2 6 56 6" xfId="46135"/>
    <cellStyle name="Total 2 6 56 7" xfId="49895"/>
    <cellStyle name="Total 2 6 57" xfId="7849"/>
    <cellStyle name="Total 2 6 57 2" xfId="15566"/>
    <cellStyle name="Total 2 6 57 3" xfId="24553"/>
    <cellStyle name="Total 2 6 57 4" xfId="32746"/>
    <cellStyle name="Total 2 6 57 5" xfId="41979"/>
    <cellStyle name="Total 2 6 57 6" xfId="46411"/>
    <cellStyle name="Total 2 6 57 7" xfId="51033"/>
    <cellStyle name="Total 2 6 58" xfId="7957"/>
    <cellStyle name="Total 2 6 58 2" xfId="15674"/>
    <cellStyle name="Total 2 6 58 3" xfId="24660"/>
    <cellStyle name="Total 2 6 58 4" xfId="32854"/>
    <cellStyle name="Total 2 6 58 5" xfId="42082"/>
    <cellStyle name="Total 2 6 58 6" xfId="46519"/>
    <cellStyle name="Total 2 6 58 7" xfId="54452"/>
    <cellStyle name="Total 2 6 59" xfId="8064"/>
    <cellStyle name="Total 2 6 59 2" xfId="15781"/>
    <cellStyle name="Total 2 6 59 3" xfId="24766"/>
    <cellStyle name="Total 2 6 59 4" xfId="32961"/>
    <cellStyle name="Total 2 6 59 5" xfId="42185"/>
    <cellStyle name="Total 2 6 59 6" xfId="46626"/>
    <cellStyle name="Total 2 6 59 7" xfId="49665"/>
    <cellStyle name="Total 2 6 6" xfId="1469"/>
    <cellStyle name="Total 2 6 6 2" xfId="9292"/>
    <cellStyle name="Total 2 6 6 3" xfId="16720"/>
    <cellStyle name="Total 2 6 6 4" xfId="20356"/>
    <cellStyle name="Total 2 6 6 5" xfId="28181"/>
    <cellStyle name="Total 2 6 6 6" xfId="37429"/>
    <cellStyle name="Total 2 6 6 7" xfId="47770"/>
    <cellStyle name="Total 2 6 60" xfId="8125"/>
    <cellStyle name="Total 2 6 60 2" xfId="15842"/>
    <cellStyle name="Total 2 6 60 3" xfId="33022"/>
    <cellStyle name="Total 2 6 60 4" xfId="42243"/>
    <cellStyle name="Total 2 6 60 5" xfId="46687"/>
    <cellStyle name="Total 2 6 60 6" xfId="51411"/>
    <cellStyle name="Total 2 6 61" xfId="25022"/>
    <cellStyle name="Total 2 6 62" xfId="33377"/>
    <cellStyle name="Total 2 6 63" xfId="37551"/>
    <cellStyle name="Total 2 6 64" xfId="50847"/>
    <cellStyle name="Total 2 6 7" xfId="969"/>
    <cellStyle name="Total 2 6 7 2" xfId="8793"/>
    <cellStyle name="Total 2 6 7 3" xfId="16221"/>
    <cellStyle name="Total 2 6 7 4" xfId="26547"/>
    <cellStyle name="Total 2 6 7 5" xfId="35351"/>
    <cellStyle name="Total 2 6 7 6" xfId="38074"/>
    <cellStyle name="Total 2 6 7 7" xfId="54167"/>
    <cellStyle name="Total 2 6 8" xfId="1706"/>
    <cellStyle name="Total 2 6 8 2" xfId="9529"/>
    <cellStyle name="Total 2 6 8 3" xfId="16957"/>
    <cellStyle name="Total 2 6 8 4" xfId="26293"/>
    <cellStyle name="Total 2 6 8 5" xfId="35005"/>
    <cellStyle name="Total 2 6 8 6" xfId="36292"/>
    <cellStyle name="Total 2 6 8 7" xfId="53627"/>
    <cellStyle name="Total 2 6 9" xfId="1840"/>
    <cellStyle name="Total 2 6 9 2" xfId="9663"/>
    <cellStyle name="Total 2 6 9 3" xfId="17091"/>
    <cellStyle name="Total 2 6 9 4" xfId="19286"/>
    <cellStyle name="Total 2 6 9 5" xfId="27288"/>
    <cellStyle name="Total 2 6 9 6" xfId="37407"/>
    <cellStyle name="Total 2 6 9 7" xfId="48180"/>
    <cellStyle name="Total 2 7" xfId="620"/>
    <cellStyle name="Total 2 7 2" xfId="8444"/>
    <cellStyle name="Total 2 7 3" xfId="8406"/>
    <cellStyle name="Total 2 7 4" xfId="20143"/>
    <cellStyle name="Total 2 7 5" xfId="26893"/>
    <cellStyle name="Total 2 7 6" xfId="37612"/>
    <cellStyle name="Total 2 7 7" xfId="49714"/>
    <cellStyle name="Total 2 8" xfId="225"/>
    <cellStyle name="Total 2 8 2" xfId="8329"/>
    <cellStyle name="Total 2 8 3" xfId="8373"/>
    <cellStyle name="Total 2 8 4" xfId="24948"/>
    <cellStyle name="Total 2 8 5" xfId="33284"/>
    <cellStyle name="Total 2 8 6" xfId="37032"/>
    <cellStyle name="Total 2 8 7" xfId="50670"/>
    <cellStyle name="Total 2 9" xfId="1216"/>
    <cellStyle name="Total 2 9 2" xfId="9039"/>
    <cellStyle name="Total 2 9 3" xfId="16467"/>
    <cellStyle name="Total 2 9 4" xfId="19479"/>
    <cellStyle name="Total 2 9 5" xfId="26739"/>
    <cellStyle name="Total 2 9 6" xfId="36552"/>
    <cellStyle name="Total 2 9 7" xfId="49734"/>
    <cellStyle name="Total 3" xfId="164"/>
    <cellStyle name="Total 3 10" xfId="1239"/>
    <cellStyle name="Total 3 10 2" xfId="9062"/>
    <cellStyle name="Total 3 10 3" xfId="16490"/>
    <cellStyle name="Total 3 10 4" xfId="19422"/>
    <cellStyle name="Total 3 10 5" xfId="27153"/>
    <cellStyle name="Total 3 10 6" xfId="37566"/>
    <cellStyle name="Total 3 10 7" xfId="47761"/>
    <cellStyle name="Total 3 11" xfId="1054"/>
    <cellStyle name="Total 3 11 2" xfId="8878"/>
    <cellStyle name="Total 3 11 3" xfId="16306"/>
    <cellStyle name="Total 3 11 4" xfId="25777"/>
    <cellStyle name="Total 3 11 5" xfId="34336"/>
    <cellStyle name="Total 3 11 6" xfId="37563"/>
    <cellStyle name="Total 3 11 7" xfId="52499"/>
    <cellStyle name="Total 3 12" xfId="1902"/>
    <cellStyle name="Total 3 12 2" xfId="9725"/>
    <cellStyle name="Total 3 12 3" xfId="17153"/>
    <cellStyle name="Total 3 12 4" xfId="19274"/>
    <cellStyle name="Total 3 12 5" xfId="27550"/>
    <cellStyle name="Total 3 12 6" xfId="37434"/>
    <cellStyle name="Total 3 12 7" xfId="47772"/>
    <cellStyle name="Total 3 13" xfId="2331"/>
    <cellStyle name="Total 3 13 2" xfId="10154"/>
    <cellStyle name="Total 3 13 3" xfId="17582"/>
    <cellStyle name="Total 3 13 4" xfId="26418"/>
    <cellStyle name="Total 3 13 5" xfId="35178"/>
    <cellStyle name="Total 3 13 6" xfId="40405"/>
    <cellStyle name="Total 3 13 7" xfId="53890"/>
    <cellStyle name="Total 3 14" xfId="2424"/>
    <cellStyle name="Total 3 14 2" xfId="10247"/>
    <cellStyle name="Total 3 14 3" xfId="17675"/>
    <cellStyle name="Total 3 14 4" xfId="25306"/>
    <cellStyle name="Total 3 14 5" xfId="33722"/>
    <cellStyle name="Total 3 14 6" xfId="37544"/>
    <cellStyle name="Total 3 14 7" xfId="51438"/>
    <cellStyle name="Total 3 15" xfId="3104"/>
    <cellStyle name="Total 3 15 2" xfId="10909"/>
    <cellStyle name="Total 3 15 3" xfId="18290"/>
    <cellStyle name="Total 3 15 4" xfId="19560"/>
    <cellStyle name="Total 3 15 5" xfId="26751"/>
    <cellStyle name="Total 3 15 6" xfId="37086"/>
    <cellStyle name="Total 3 15 7" xfId="49733"/>
    <cellStyle name="Total 3 16" xfId="3044"/>
    <cellStyle name="Total 3 16 2" xfId="10857"/>
    <cellStyle name="Total 3 16 3" xfId="20210"/>
    <cellStyle name="Total 3 16 4" xfId="19292"/>
    <cellStyle name="Total 3 16 5" xfId="28194"/>
    <cellStyle name="Total 3 16 6" xfId="36948"/>
    <cellStyle name="Total 3 16 7" xfId="48829"/>
    <cellStyle name="Total 3 17" xfId="4045"/>
    <cellStyle name="Total 3 17 2" xfId="20755"/>
    <cellStyle name="Total 3 17 3" xfId="28942"/>
    <cellStyle name="Total 3 17 4" xfId="38321"/>
    <cellStyle name="Total 3 17 5" xfId="42607"/>
    <cellStyle name="Total 3 17 6" xfId="52842"/>
    <cellStyle name="Total 3 18" xfId="3230"/>
    <cellStyle name="Total 3 18 2" xfId="11026"/>
    <cellStyle name="Total 3 18 3" xfId="20350"/>
    <cellStyle name="Total 3 18 4" xfId="28440"/>
    <cellStyle name="Total 3 18 5" xfId="37831"/>
    <cellStyle name="Total 3 18 6" xfId="42455"/>
    <cellStyle name="Total 3 18 7" xfId="52824"/>
    <cellStyle name="Total 3 19" xfId="3752"/>
    <cellStyle name="Total 3 19 2" xfId="11537"/>
    <cellStyle name="Total 3 19 3" xfId="20603"/>
    <cellStyle name="Total 3 19 4" xfId="28752"/>
    <cellStyle name="Total 3 19 5" xfId="38141"/>
    <cellStyle name="Total 3 19 6" xfId="42530"/>
    <cellStyle name="Total 3 19 7" xfId="48020"/>
    <cellStyle name="Total 3 2" xfId="263"/>
    <cellStyle name="Total 3 2 10" xfId="1131"/>
    <cellStyle name="Total 3 2 10 2" xfId="8954"/>
    <cellStyle name="Total 3 2 10 3" xfId="16382"/>
    <cellStyle name="Total 3 2 10 4" xfId="25395"/>
    <cellStyle name="Total 3 2 10 5" xfId="33843"/>
    <cellStyle name="Total 3 2 10 6" xfId="36844"/>
    <cellStyle name="Total 3 2 10 7" xfId="51629"/>
    <cellStyle name="Total 3 2 11" xfId="1065"/>
    <cellStyle name="Total 3 2 11 2" xfId="8889"/>
    <cellStyle name="Total 3 2 11 3" xfId="16317"/>
    <cellStyle name="Total 3 2 11 4" xfId="25173"/>
    <cellStyle name="Total 3 2 11 5" xfId="33554"/>
    <cellStyle name="Total 3 2 11 6" xfId="37702"/>
    <cellStyle name="Total 3 2 11 7" xfId="51163"/>
    <cellStyle name="Total 3 2 12" xfId="1061"/>
    <cellStyle name="Total 3 2 12 2" xfId="8885"/>
    <cellStyle name="Total 3 2 12 3" xfId="16313"/>
    <cellStyle name="Total 3 2 12 4" xfId="25400"/>
    <cellStyle name="Total 3 2 12 5" xfId="33852"/>
    <cellStyle name="Total 3 2 12 6" xfId="37236"/>
    <cellStyle name="Total 3 2 12 7" xfId="51642"/>
    <cellStyle name="Total 3 2 13" xfId="1311"/>
    <cellStyle name="Total 3 2 13 2" xfId="9134"/>
    <cellStyle name="Total 3 2 13 3" xfId="16562"/>
    <cellStyle name="Total 3 2 13 4" xfId="26044"/>
    <cellStyle name="Total 3 2 13 5" xfId="34680"/>
    <cellStyle name="Total 3 2 13 6" xfId="37441"/>
    <cellStyle name="Total 3 2 13 7" xfId="53088"/>
    <cellStyle name="Total 3 2 14" xfId="1032"/>
    <cellStyle name="Total 3 2 14 2" xfId="8856"/>
    <cellStyle name="Total 3 2 14 3" xfId="16284"/>
    <cellStyle name="Total 3 2 14 4" xfId="19747"/>
    <cellStyle name="Total 3 2 14 5" xfId="27027"/>
    <cellStyle name="Total 3 2 14 6" xfId="36570"/>
    <cellStyle name="Total 3 2 14 7" xfId="48492"/>
    <cellStyle name="Total 3 2 15" xfId="995"/>
    <cellStyle name="Total 3 2 15 2" xfId="8819"/>
    <cellStyle name="Total 3 2 15 3" xfId="16247"/>
    <cellStyle name="Total 3 2 15 4" xfId="25175"/>
    <cellStyle name="Total 3 2 15 5" xfId="33556"/>
    <cellStyle name="Total 3 2 15 6" xfId="38068"/>
    <cellStyle name="Total 3 2 15 7" xfId="51166"/>
    <cellStyle name="Total 3 2 16" xfId="1165"/>
    <cellStyle name="Total 3 2 16 2" xfId="8988"/>
    <cellStyle name="Total 3 2 16 3" xfId="16416"/>
    <cellStyle name="Total 3 2 16 4" xfId="19836"/>
    <cellStyle name="Total 3 2 16 5" xfId="26890"/>
    <cellStyle name="Total 3 2 16 6" xfId="38423"/>
    <cellStyle name="Total 3 2 16 7" xfId="49724"/>
    <cellStyle name="Total 3 2 17" xfId="971"/>
    <cellStyle name="Total 3 2 17 2" xfId="8795"/>
    <cellStyle name="Total 3 2 17 3" xfId="16223"/>
    <cellStyle name="Total 3 2 17 4" xfId="26372"/>
    <cellStyle name="Total 3 2 17 5" xfId="35110"/>
    <cellStyle name="Total 3 2 17 6" xfId="37897"/>
    <cellStyle name="Total 3 2 17 7" xfId="53789"/>
    <cellStyle name="Total 3 2 18" xfId="1584"/>
    <cellStyle name="Total 3 2 18 2" xfId="9407"/>
    <cellStyle name="Total 3 2 18 3" xfId="16835"/>
    <cellStyle name="Total 3 2 18 4" xfId="25543"/>
    <cellStyle name="Total 3 2 18 5" xfId="34034"/>
    <cellStyle name="Total 3 2 18 6" xfId="40278"/>
    <cellStyle name="Total 3 2 18 7" xfId="51968"/>
    <cellStyle name="Total 3 2 19" xfId="1437"/>
    <cellStyle name="Total 3 2 19 2" xfId="9260"/>
    <cellStyle name="Total 3 2 19 3" xfId="16688"/>
    <cellStyle name="Total 3 2 19 4" xfId="25770"/>
    <cellStyle name="Total 3 2 19 5" xfId="34327"/>
    <cellStyle name="Total 3 2 19 6" xfId="39417"/>
    <cellStyle name="Total 3 2 19 7" xfId="52472"/>
    <cellStyle name="Total 3 2 2" xfId="537"/>
    <cellStyle name="Total 3 2 2 10" xfId="1984"/>
    <cellStyle name="Total 3 2 2 10 2" xfId="9807"/>
    <cellStyle name="Total 3 2 2 10 3" xfId="17235"/>
    <cellStyle name="Total 3 2 2 10 4" xfId="26691"/>
    <cellStyle name="Total 3 2 2 10 5" xfId="35543"/>
    <cellStyle name="Total 3 2 2 10 6" xfId="37427"/>
    <cellStyle name="Total 3 2 2 10 7" xfId="54476"/>
    <cellStyle name="Total 3 2 2 11" xfId="2102"/>
    <cellStyle name="Total 3 2 2 11 2" xfId="9925"/>
    <cellStyle name="Total 3 2 2 11 3" xfId="17353"/>
    <cellStyle name="Total 3 2 2 11 4" xfId="26364"/>
    <cellStyle name="Total 3 2 2 11 5" xfId="35099"/>
    <cellStyle name="Total 3 2 2 11 6" xfId="40008"/>
    <cellStyle name="Total 3 2 2 11 7" xfId="53773"/>
    <cellStyle name="Total 3 2 2 12" xfId="2215"/>
    <cellStyle name="Total 3 2 2 12 2" xfId="10038"/>
    <cellStyle name="Total 3 2 2 12 3" xfId="17466"/>
    <cellStyle name="Total 3 2 2 12 4" xfId="25266"/>
    <cellStyle name="Total 3 2 2 12 5" xfId="33674"/>
    <cellStyle name="Total 3 2 2 12 6" xfId="36566"/>
    <cellStyle name="Total 3 2 2 12 7" xfId="51358"/>
    <cellStyle name="Total 3 2 2 13" xfId="2292"/>
    <cellStyle name="Total 3 2 2 13 2" xfId="10115"/>
    <cellStyle name="Total 3 2 2 13 3" xfId="17543"/>
    <cellStyle name="Total 3 2 2 13 4" xfId="24972"/>
    <cellStyle name="Total 3 2 2 13 5" xfId="33312"/>
    <cellStyle name="Total 3 2 2 13 6" xfId="36684"/>
    <cellStyle name="Total 3 2 2 13 7" xfId="50724"/>
    <cellStyle name="Total 3 2 2 14" xfId="2383"/>
    <cellStyle name="Total 3 2 2 14 2" xfId="10206"/>
    <cellStyle name="Total 3 2 2 14 3" xfId="17634"/>
    <cellStyle name="Total 3 2 2 14 4" xfId="25217"/>
    <cellStyle name="Total 3 2 2 14 5" xfId="33616"/>
    <cellStyle name="Total 3 2 2 14 6" xfId="41493"/>
    <cellStyle name="Total 3 2 2 14 7" xfId="51255"/>
    <cellStyle name="Total 3 2 2 15" xfId="2513"/>
    <cellStyle name="Total 3 2 2 15 2" xfId="10336"/>
    <cellStyle name="Total 3 2 2 15 3" xfId="17764"/>
    <cellStyle name="Total 3 2 2 15 4" xfId="19779"/>
    <cellStyle name="Total 3 2 2 15 5" xfId="27575"/>
    <cellStyle name="Total 3 2 2 15 6" xfId="37792"/>
    <cellStyle name="Total 3 2 2 15 7" xfId="49376"/>
    <cellStyle name="Total 3 2 2 16" xfId="2626"/>
    <cellStyle name="Total 3 2 2 16 2" xfId="10449"/>
    <cellStyle name="Total 3 2 2 16 3" xfId="17877"/>
    <cellStyle name="Total 3 2 2 16 4" xfId="26179"/>
    <cellStyle name="Total 3 2 2 16 5" xfId="34852"/>
    <cellStyle name="Total 3 2 2 16 6" xfId="40018"/>
    <cellStyle name="Total 3 2 2 16 7" xfId="53379"/>
    <cellStyle name="Total 3 2 2 17" xfId="2698"/>
    <cellStyle name="Total 3 2 2 17 2" xfId="10521"/>
    <cellStyle name="Total 3 2 2 17 3" xfId="17949"/>
    <cellStyle name="Total 3 2 2 17 4" xfId="26016"/>
    <cellStyle name="Total 3 2 2 17 5" xfId="34643"/>
    <cellStyle name="Total 3 2 2 17 6" xfId="40030"/>
    <cellStyle name="Total 3 2 2 17 7" xfId="53024"/>
    <cellStyle name="Total 3 2 2 18" xfId="2744"/>
    <cellStyle name="Total 3 2 2 18 2" xfId="10567"/>
    <cellStyle name="Total 3 2 2 18 3" xfId="17995"/>
    <cellStyle name="Total 3 2 2 18 4" xfId="25726"/>
    <cellStyle name="Total 3 2 2 18 5" xfId="34272"/>
    <cellStyle name="Total 3 2 2 18 6" xfId="37669"/>
    <cellStyle name="Total 3 2 2 18 7" xfId="52378"/>
    <cellStyle name="Total 3 2 2 19" xfId="2819"/>
    <cellStyle name="Total 3 2 2 19 2" xfId="10642"/>
    <cellStyle name="Total 3 2 2 19 3" xfId="18070"/>
    <cellStyle name="Total 3 2 2 19 4" xfId="20560"/>
    <cellStyle name="Total 3 2 2 19 5" xfId="26999"/>
    <cellStyle name="Total 3 2 2 19 6" xfId="36966"/>
    <cellStyle name="Total 3 2 2 19 7" xfId="48976"/>
    <cellStyle name="Total 3 2 2 2" xfId="687"/>
    <cellStyle name="Total 3 2 2 2 2" xfId="8511"/>
    <cellStyle name="Total 3 2 2 2 3" xfId="15939"/>
    <cellStyle name="Total 3 2 2 2 4" xfId="20620"/>
    <cellStyle name="Total 3 2 2 2 5" xfId="28182"/>
    <cellStyle name="Total 3 2 2 2 6" xfId="36377"/>
    <cellStyle name="Total 3 2 2 2 7" xfId="48731"/>
    <cellStyle name="Total 3 2 2 20" xfId="2926"/>
    <cellStyle name="Total 3 2 2 20 2" xfId="10749"/>
    <cellStyle name="Total 3 2 2 20 3" xfId="18177"/>
    <cellStyle name="Total 3 2 2 20 4" xfId="26174"/>
    <cellStyle name="Total 3 2 2 20 5" xfId="34846"/>
    <cellStyle name="Total 3 2 2 20 6" xfId="41745"/>
    <cellStyle name="Total 3 2 2 20 7" xfId="53370"/>
    <cellStyle name="Total 3 2 2 21" xfId="3302"/>
    <cellStyle name="Total 3 2 2 21 2" xfId="11095"/>
    <cellStyle name="Total 3 2 2 21 3" xfId="18424"/>
    <cellStyle name="Total 3 2 2 21 4" xfId="25540"/>
    <cellStyle name="Total 3 2 2 21 5" xfId="34031"/>
    <cellStyle name="Total 3 2 2 21 6" xfId="39638"/>
    <cellStyle name="Total 3 2 2 21 7" xfId="51964"/>
    <cellStyle name="Total 3 2 2 22" xfId="3422"/>
    <cellStyle name="Total 3 2 2 22 2" xfId="11213"/>
    <cellStyle name="Total 3 2 2 22 3" xfId="18535"/>
    <cellStyle name="Total 3 2 2 22 4" xfId="25780"/>
    <cellStyle name="Total 3 2 2 22 5" xfId="34342"/>
    <cellStyle name="Total 3 2 2 22 6" xfId="42114"/>
    <cellStyle name="Total 3 2 2 22 7" xfId="52509"/>
    <cellStyle name="Total 3 2 2 23" xfId="3129"/>
    <cellStyle name="Total 3 2 2 23 2" xfId="10934"/>
    <cellStyle name="Total 3 2 2 23 3" xfId="18312"/>
    <cellStyle name="Total 3 2 2 23 4" xfId="19267"/>
    <cellStyle name="Total 3 2 2 23 5" xfId="28570"/>
    <cellStyle name="Total 3 2 2 23 6" xfId="42192"/>
    <cellStyle name="Total 3 2 2 23 7" xfId="48112"/>
    <cellStyle name="Total 3 2 2 24" xfId="3693"/>
    <cellStyle name="Total 3 2 2 24 2" xfId="11478"/>
    <cellStyle name="Total 3 2 2 24 3" xfId="18751"/>
    <cellStyle name="Total 3 2 2 24 4" xfId="19302"/>
    <cellStyle name="Total 3 2 2 24 5" xfId="28880"/>
    <cellStyle name="Total 3 2 2 24 6" xfId="37378"/>
    <cellStyle name="Total 3 2 2 24 7" xfId="50132"/>
    <cellStyle name="Total 3 2 2 25" xfId="3823"/>
    <cellStyle name="Total 3 2 2 25 2" xfId="11605"/>
    <cellStyle name="Total 3 2 2 25 3" xfId="18862"/>
    <cellStyle name="Total 3 2 2 25 4" xfId="25700"/>
    <cellStyle name="Total 3 2 2 25 5" xfId="34240"/>
    <cellStyle name="Total 3 2 2 25 6" xfId="39808"/>
    <cellStyle name="Total 3 2 2 25 7" xfId="52309"/>
    <cellStyle name="Total 3 2 2 26" xfId="3941"/>
    <cellStyle name="Total 3 2 2 26 2" xfId="11721"/>
    <cellStyle name="Total 3 2 2 26 3" xfId="18971"/>
    <cellStyle name="Total 3 2 2 26 4" xfId="20463"/>
    <cellStyle name="Total 3 2 2 26 5" xfId="27678"/>
    <cellStyle name="Total 3 2 2 26 6" xfId="37014"/>
    <cellStyle name="Total 3 2 2 26 7" xfId="47347"/>
    <cellStyle name="Total 3 2 2 27" xfId="4009"/>
    <cellStyle name="Total 3 2 2 27 2" xfId="11788"/>
    <cellStyle name="Total 3 2 2 27 3" xfId="20719"/>
    <cellStyle name="Total 3 2 2 27 4" xfId="28906"/>
    <cellStyle name="Total 3 2 2 27 5" xfId="38289"/>
    <cellStyle name="Total 3 2 2 27 6" xfId="42571"/>
    <cellStyle name="Total 3 2 2 27 7" xfId="48592"/>
    <cellStyle name="Total 3 2 2 28" xfId="4138"/>
    <cellStyle name="Total 3 2 2 28 2" xfId="11897"/>
    <cellStyle name="Total 3 2 2 28 3" xfId="20848"/>
    <cellStyle name="Total 3 2 2 28 4" xfId="29035"/>
    <cellStyle name="Total 3 2 2 28 5" xfId="38412"/>
    <cellStyle name="Total 3 2 2 28 6" xfId="42700"/>
    <cellStyle name="Total 3 2 2 28 7" xfId="50639"/>
    <cellStyle name="Total 3 2 2 29" xfId="3152"/>
    <cellStyle name="Total 3 2 2 29 2" xfId="20288"/>
    <cellStyle name="Total 3 2 2 29 3" xfId="28382"/>
    <cellStyle name="Total 3 2 2 29 4" xfId="37768"/>
    <cellStyle name="Total 3 2 2 29 5" xfId="42415"/>
    <cellStyle name="Total 3 2 2 29 6" xfId="54111"/>
    <cellStyle name="Total 3 2 2 3" xfId="795"/>
    <cellStyle name="Total 3 2 2 3 2" xfId="8619"/>
    <cellStyle name="Total 3 2 2 3 3" xfId="16047"/>
    <cellStyle name="Total 3 2 2 3 4" xfId="19263"/>
    <cellStyle name="Total 3 2 2 3 5" xfId="27949"/>
    <cellStyle name="Total 3 2 2 3 6" xfId="37773"/>
    <cellStyle name="Total 3 2 2 3 7" xfId="50040"/>
    <cellStyle name="Total 3 2 2 30" xfId="4335"/>
    <cellStyle name="Total 3 2 2 30 2" xfId="12052"/>
    <cellStyle name="Total 3 2 2 30 3" xfId="21045"/>
    <cellStyle name="Total 3 2 2 30 4" xfId="29232"/>
    <cellStyle name="Total 3 2 2 30 5" xfId="38603"/>
    <cellStyle name="Total 3 2 2 30 6" xfId="42897"/>
    <cellStyle name="Total 3 2 2 30 7" xfId="47861"/>
    <cellStyle name="Total 3 2 2 31" xfId="4458"/>
    <cellStyle name="Total 3 2 2 31 2" xfId="12175"/>
    <cellStyle name="Total 3 2 2 31 3" xfId="21168"/>
    <cellStyle name="Total 3 2 2 31 4" xfId="29355"/>
    <cellStyle name="Total 3 2 2 31 5" xfId="38721"/>
    <cellStyle name="Total 3 2 2 31 6" xfId="43020"/>
    <cellStyle name="Total 3 2 2 31 7" xfId="48980"/>
    <cellStyle name="Total 3 2 2 32" xfId="4572"/>
    <cellStyle name="Total 3 2 2 32 2" xfId="12289"/>
    <cellStyle name="Total 3 2 2 32 3" xfId="21282"/>
    <cellStyle name="Total 3 2 2 32 4" xfId="29469"/>
    <cellStyle name="Total 3 2 2 32 5" xfId="38830"/>
    <cellStyle name="Total 3 2 2 32 6" xfId="43134"/>
    <cellStyle name="Total 3 2 2 32 7" xfId="52648"/>
    <cellStyle name="Total 3 2 2 33" xfId="4685"/>
    <cellStyle name="Total 3 2 2 33 2" xfId="12402"/>
    <cellStyle name="Total 3 2 2 33 3" xfId="21395"/>
    <cellStyle name="Total 3 2 2 33 4" xfId="29582"/>
    <cellStyle name="Total 3 2 2 33 5" xfId="38939"/>
    <cellStyle name="Total 3 2 2 33 6" xfId="43247"/>
    <cellStyle name="Total 3 2 2 33 7" xfId="47235"/>
    <cellStyle name="Total 3 2 2 34" xfId="4796"/>
    <cellStyle name="Total 3 2 2 34 2" xfId="12513"/>
    <cellStyle name="Total 3 2 2 34 3" xfId="21506"/>
    <cellStyle name="Total 3 2 2 34 4" xfId="29693"/>
    <cellStyle name="Total 3 2 2 34 5" xfId="39047"/>
    <cellStyle name="Total 3 2 2 34 6" xfId="43358"/>
    <cellStyle name="Total 3 2 2 34 7" xfId="52235"/>
    <cellStyle name="Total 3 2 2 35" xfId="4905"/>
    <cellStyle name="Total 3 2 2 35 2" xfId="12622"/>
    <cellStyle name="Total 3 2 2 35 3" xfId="21615"/>
    <cellStyle name="Total 3 2 2 35 4" xfId="29802"/>
    <cellStyle name="Total 3 2 2 35 5" xfId="39151"/>
    <cellStyle name="Total 3 2 2 35 6" xfId="43467"/>
    <cellStyle name="Total 3 2 2 35 7" xfId="47706"/>
    <cellStyle name="Total 3 2 2 36" xfId="5016"/>
    <cellStyle name="Total 3 2 2 36 2" xfId="12733"/>
    <cellStyle name="Total 3 2 2 36 3" xfId="21726"/>
    <cellStyle name="Total 3 2 2 36 4" xfId="29913"/>
    <cellStyle name="Total 3 2 2 36 5" xfId="39259"/>
    <cellStyle name="Total 3 2 2 36 6" xfId="43578"/>
    <cellStyle name="Total 3 2 2 36 7" xfId="52568"/>
    <cellStyle name="Total 3 2 2 37" xfId="5395"/>
    <cellStyle name="Total 3 2 2 37 2" xfId="13112"/>
    <cellStyle name="Total 3 2 2 37 3" xfId="22105"/>
    <cellStyle name="Total 3 2 2 37 4" xfId="30292"/>
    <cellStyle name="Total 3 2 2 37 5" xfId="39623"/>
    <cellStyle name="Total 3 2 2 37 6" xfId="43957"/>
    <cellStyle name="Total 3 2 2 37 7" xfId="47597"/>
    <cellStyle name="Total 3 2 2 38" xfId="5515"/>
    <cellStyle name="Total 3 2 2 38 2" xfId="13232"/>
    <cellStyle name="Total 3 2 2 38 3" xfId="22225"/>
    <cellStyle name="Total 3 2 2 38 4" xfId="30412"/>
    <cellStyle name="Total 3 2 2 38 5" xfId="39737"/>
    <cellStyle name="Total 3 2 2 38 6" xfId="44077"/>
    <cellStyle name="Total 3 2 2 38 7" xfId="50447"/>
    <cellStyle name="Total 3 2 2 39" xfId="5639"/>
    <cellStyle name="Total 3 2 2 39 2" xfId="13356"/>
    <cellStyle name="Total 3 2 2 39 3" xfId="22349"/>
    <cellStyle name="Total 3 2 2 39 4" xfId="30536"/>
    <cellStyle name="Total 3 2 2 39 5" xfId="39857"/>
    <cellStyle name="Total 3 2 2 39 6" xfId="44201"/>
    <cellStyle name="Total 3 2 2 39 7" xfId="54513"/>
    <cellStyle name="Total 3 2 2 4" xfId="906"/>
    <cellStyle name="Total 3 2 2 4 2" xfId="8730"/>
    <cellStyle name="Total 3 2 2 4 3" xfId="16158"/>
    <cellStyle name="Total 3 2 2 4 4" xfId="26137"/>
    <cellStyle name="Total 3 2 2 4 5" xfId="34801"/>
    <cellStyle name="Total 3 2 2 4 6" xfId="36652"/>
    <cellStyle name="Total 3 2 2 4 7" xfId="53285"/>
    <cellStyle name="Total 3 2 2 40" xfId="5755"/>
    <cellStyle name="Total 3 2 2 40 2" xfId="13472"/>
    <cellStyle name="Total 3 2 2 40 3" xfId="22465"/>
    <cellStyle name="Total 3 2 2 40 4" xfId="30652"/>
    <cellStyle name="Total 3 2 2 40 5" xfId="39969"/>
    <cellStyle name="Total 3 2 2 40 6" xfId="44317"/>
    <cellStyle name="Total 3 2 2 40 7" xfId="51868"/>
    <cellStyle name="Total 3 2 2 41" xfId="5871"/>
    <cellStyle name="Total 3 2 2 41 2" xfId="13588"/>
    <cellStyle name="Total 3 2 2 41 3" xfId="22581"/>
    <cellStyle name="Total 3 2 2 41 4" xfId="30768"/>
    <cellStyle name="Total 3 2 2 41 5" xfId="40082"/>
    <cellStyle name="Total 3 2 2 41 6" xfId="44433"/>
    <cellStyle name="Total 3 2 2 41 7" xfId="52418"/>
    <cellStyle name="Total 3 2 2 42" xfId="6000"/>
    <cellStyle name="Total 3 2 2 42 2" xfId="13717"/>
    <cellStyle name="Total 3 2 2 42 3" xfId="22710"/>
    <cellStyle name="Total 3 2 2 42 4" xfId="30897"/>
    <cellStyle name="Total 3 2 2 42 5" xfId="40206"/>
    <cellStyle name="Total 3 2 2 42 6" xfId="44562"/>
    <cellStyle name="Total 3 2 2 42 7" xfId="54507"/>
    <cellStyle name="Total 3 2 2 43" xfId="5087"/>
    <cellStyle name="Total 3 2 2 43 2" xfId="12804"/>
    <cellStyle name="Total 3 2 2 43 3" xfId="21797"/>
    <cellStyle name="Total 3 2 2 43 4" xfId="29984"/>
    <cellStyle name="Total 3 2 2 43 5" xfId="39327"/>
    <cellStyle name="Total 3 2 2 43 6" xfId="43649"/>
    <cellStyle name="Total 3 2 2 43 7" xfId="52428"/>
    <cellStyle name="Total 3 2 2 44" xfId="6256"/>
    <cellStyle name="Total 3 2 2 44 2" xfId="13973"/>
    <cellStyle name="Total 3 2 2 44 3" xfId="22966"/>
    <cellStyle name="Total 3 2 2 44 4" xfId="31153"/>
    <cellStyle name="Total 3 2 2 44 5" xfId="40454"/>
    <cellStyle name="Total 3 2 2 44 6" xfId="44818"/>
    <cellStyle name="Total 3 2 2 44 7" xfId="49432"/>
    <cellStyle name="Total 3 2 2 45" xfId="6372"/>
    <cellStyle name="Total 3 2 2 45 2" xfId="14089"/>
    <cellStyle name="Total 3 2 2 45 3" xfId="23082"/>
    <cellStyle name="Total 3 2 2 45 4" xfId="31269"/>
    <cellStyle name="Total 3 2 2 45 5" xfId="40567"/>
    <cellStyle name="Total 3 2 2 45 6" xfId="44934"/>
    <cellStyle name="Total 3 2 2 45 7" xfId="52930"/>
    <cellStyle name="Total 3 2 2 46" xfId="6483"/>
    <cellStyle name="Total 3 2 2 46 2" xfId="14200"/>
    <cellStyle name="Total 3 2 2 46 3" xfId="23193"/>
    <cellStyle name="Total 3 2 2 46 4" xfId="31380"/>
    <cellStyle name="Total 3 2 2 46 5" xfId="40674"/>
    <cellStyle name="Total 3 2 2 46 6" xfId="45045"/>
    <cellStyle name="Total 3 2 2 46 7" xfId="50608"/>
    <cellStyle name="Total 3 2 2 47" xfId="6546"/>
    <cellStyle name="Total 3 2 2 47 2" xfId="14263"/>
    <cellStyle name="Total 3 2 2 47 3" xfId="23256"/>
    <cellStyle name="Total 3 2 2 47 4" xfId="31443"/>
    <cellStyle name="Total 3 2 2 47 5" xfId="40733"/>
    <cellStyle name="Total 3 2 2 47 6" xfId="45108"/>
    <cellStyle name="Total 3 2 2 47 7" xfId="49049"/>
    <cellStyle name="Total 3 2 2 48" xfId="6629"/>
    <cellStyle name="Total 3 2 2 48 2" xfId="14346"/>
    <cellStyle name="Total 3 2 2 48 3" xfId="23339"/>
    <cellStyle name="Total 3 2 2 48 4" xfId="31526"/>
    <cellStyle name="Total 3 2 2 48 5" xfId="40813"/>
    <cellStyle name="Total 3 2 2 48 6" xfId="45191"/>
    <cellStyle name="Total 3 2 2 48 7" xfId="51651"/>
    <cellStyle name="Total 3 2 2 49" xfId="6741"/>
    <cellStyle name="Total 3 2 2 49 2" xfId="14458"/>
    <cellStyle name="Total 3 2 2 49 3" xfId="23451"/>
    <cellStyle name="Total 3 2 2 49 4" xfId="31638"/>
    <cellStyle name="Total 3 2 2 49 5" xfId="40919"/>
    <cellStyle name="Total 3 2 2 49 6" xfId="45303"/>
    <cellStyle name="Total 3 2 2 49 7" xfId="47494"/>
    <cellStyle name="Total 3 2 2 5" xfId="1372"/>
    <cellStyle name="Total 3 2 2 5 2" xfId="9195"/>
    <cellStyle name="Total 3 2 2 5 3" xfId="16623"/>
    <cellStyle name="Total 3 2 2 5 4" xfId="25730"/>
    <cellStyle name="Total 3 2 2 5 5" xfId="34278"/>
    <cellStyle name="Total 3 2 2 5 6" xfId="39376"/>
    <cellStyle name="Total 3 2 2 5 7" xfId="52387"/>
    <cellStyle name="Total 3 2 2 50" xfId="6856"/>
    <cellStyle name="Total 3 2 2 50 2" xfId="14573"/>
    <cellStyle name="Total 3 2 2 50 3" xfId="23566"/>
    <cellStyle name="Total 3 2 2 50 4" xfId="31753"/>
    <cellStyle name="Total 3 2 2 50 5" xfId="41027"/>
    <cellStyle name="Total 3 2 2 50 6" xfId="45418"/>
    <cellStyle name="Total 3 2 2 50 7" xfId="47830"/>
    <cellStyle name="Total 3 2 2 51" xfId="6969"/>
    <cellStyle name="Total 3 2 2 51 2" xfId="14686"/>
    <cellStyle name="Total 3 2 2 51 3" xfId="23679"/>
    <cellStyle name="Total 3 2 2 51 4" xfId="31866"/>
    <cellStyle name="Total 3 2 2 51 5" xfId="41135"/>
    <cellStyle name="Total 3 2 2 51 6" xfId="45531"/>
    <cellStyle name="Total 3 2 2 51 7" xfId="47029"/>
    <cellStyle name="Total 3 2 2 52" xfId="7080"/>
    <cellStyle name="Total 3 2 2 52 2" xfId="14797"/>
    <cellStyle name="Total 3 2 2 52 3" xfId="23790"/>
    <cellStyle name="Total 3 2 2 52 4" xfId="31977"/>
    <cellStyle name="Total 3 2 2 52 5" xfId="41240"/>
    <cellStyle name="Total 3 2 2 52 6" xfId="45642"/>
    <cellStyle name="Total 3 2 2 52 7" xfId="51106"/>
    <cellStyle name="Total 3 2 2 53" xfId="7197"/>
    <cellStyle name="Total 3 2 2 53 2" xfId="14914"/>
    <cellStyle name="Total 3 2 2 53 3" xfId="23907"/>
    <cellStyle name="Total 3 2 2 53 4" xfId="32094"/>
    <cellStyle name="Total 3 2 2 53 5" xfId="41354"/>
    <cellStyle name="Total 3 2 2 53 6" xfId="45759"/>
    <cellStyle name="Total 3 2 2 53 7" xfId="51633"/>
    <cellStyle name="Total 3 2 2 54" xfId="7283"/>
    <cellStyle name="Total 3 2 2 54 2" xfId="15000"/>
    <cellStyle name="Total 3 2 2 54 3" xfId="23993"/>
    <cellStyle name="Total 3 2 2 54 4" xfId="32180"/>
    <cellStyle name="Total 3 2 2 54 5" xfId="41436"/>
    <cellStyle name="Total 3 2 2 54 6" xfId="45845"/>
    <cellStyle name="Total 3 2 2 54 7" xfId="50930"/>
    <cellStyle name="Total 3 2 2 55" xfId="7477"/>
    <cellStyle name="Total 3 2 2 55 2" xfId="15194"/>
    <cellStyle name="Total 3 2 2 55 3" xfId="24187"/>
    <cellStyle name="Total 3 2 2 55 4" xfId="32374"/>
    <cellStyle name="Total 3 2 2 55 5" xfId="41623"/>
    <cellStyle name="Total 3 2 2 55 6" xfId="46039"/>
    <cellStyle name="Total 3 2 2 55 7" xfId="52817"/>
    <cellStyle name="Total 3 2 2 56" xfId="7598"/>
    <cellStyle name="Total 3 2 2 56 2" xfId="15315"/>
    <cellStyle name="Total 3 2 2 56 3" xfId="24308"/>
    <cellStyle name="Total 3 2 2 56 4" xfId="32495"/>
    <cellStyle name="Total 3 2 2 56 5" xfId="41738"/>
    <cellStyle name="Total 3 2 2 56 6" xfId="46160"/>
    <cellStyle name="Total 3 2 2 56 7" xfId="50153"/>
    <cellStyle name="Total 3 2 2 57" xfId="7874"/>
    <cellStyle name="Total 3 2 2 57 2" xfId="15591"/>
    <cellStyle name="Total 3 2 2 57 3" xfId="24578"/>
    <cellStyle name="Total 3 2 2 57 4" xfId="32771"/>
    <cellStyle name="Total 3 2 2 57 5" xfId="42003"/>
    <cellStyle name="Total 3 2 2 57 6" xfId="46436"/>
    <cellStyle name="Total 3 2 2 57 7" xfId="53507"/>
    <cellStyle name="Total 3 2 2 58" xfId="7952"/>
    <cellStyle name="Total 3 2 2 58 2" xfId="15669"/>
    <cellStyle name="Total 3 2 2 58 3" xfId="24655"/>
    <cellStyle name="Total 3 2 2 58 4" xfId="32849"/>
    <cellStyle name="Total 3 2 2 58 5" xfId="42077"/>
    <cellStyle name="Total 3 2 2 58 6" xfId="46514"/>
    <cellStyle name="Total 3 2 2 58 7" xfId="50636"/>
    <cellStyle name="Total 3 2 2 59" xfId="8084"/>
    <cellStyle name="Total 3 2 2 59 2" xfId="15801"/>
    <cellStyle name="Total 3 2 2 59 3" xfId="24785"/>
    <cellStyle name="Total 3 2 2 59 4" xfId="32981"/>
    <cellStyle name="Total 3 2 2 59 5" xfId="42203"/>
    <cellStyle name="Total 3 2 2 59 6" xfId="46646"/>
    <cellStyle name="Total 3 2 2 59 7" xfId="49803"/>
    <cellStyle name="Total 3 2 2 6" xfId="1495"/>
    <cellStyle name="Total 3 2 2 6 2" xfId="9318"/>
    <cellStyle name="Total 3 2 2 6 3" xfId="16746"/>
    <cellStyle name="Total 3 2 2 6 4" xfId="25469"/>
    <cellStyle name="Total 3 2 2 6 5" xfId="33937"/>
    <cellStyle name="Total 3 2 2 6 6" xfId="42017"/>
    <cellStyle name="Total 3 2 2 6 7" xfId="51805"/>
    <cellStyle name="Total 3 2 2 60" xfId="8150"/>
    <cellStyle name="Total 3 2 2 60 2" xfId="15867"/>
    <cellStyle name="Total 3 2 2 60 3" xfId="33047"/>
    <cellStyle name="Total 3 2 2 60 4" xfId="42267"/>
    <cellStyle name="Total 3 2 2 60 5" xfId="46712"/>
    <cellStyle name="Total 3 2 2 60 6" xfId="48856"/>
    <cellStyle name="Total 3 2 2 61" xfId="19324"/>
    <cellStyle name="Total 3 2 2 62" xfId="28244"/>
    <cellStyle name="Total 3 2 2 63" xfId="36622"/>
    <cellStyle name="Total 3 2 2 64" xfId="49593"/>
    <cellStyle name="Total 3 2 2 7" xfId="1586"/>
    <cellStyle name="Total 3 2 2 7 2" xfId="9409"/>
    <cellStyle name="Total 3 2 2 7 3" xfId="16837"/>
    <cellStyle name="Total 3 2 2 7 4" xfId="25335"/>
    <cellStyle name="Total 3 2 2 7 5" xfId="33766"/>
    <cellStyle name="Total 3 2 2 7 6" xfId="40048"/>
    <cellStyle name="Total 3 2 2 7 7" xfId="51503"/>
    <cellStyle name="Total 3 2 2 8" xfId="1732"/>
    <cellStyle name="Total 3 2 2 8 2" xfId="9555"/>
    <cellStyle name="Total 3 2 2 8 3" xfId="16983"/>
    <cellStyle name="Total 3 2 2 8 4" xfId="25045"/>
    <cellStyle name="Total 3 2 2 8 5" xfId="33404"/>
    <cellStyle name="Total 3 2 2 8 6" xfId="41383"/>
    <cellStyle name="Total 3 2 2 8 7" xfId="50894"/>
    <cellStyle name="Total 3 2 2 9" xfId="1866"/>
    <cellStyle name="Total 3 2 2 9 2" xfId="9689"/>
    <cellStyle name="Total 3 2 2 9 3" xfId="17117"/>
    <cellStyle name="Total 3 2 2 9 4" xfId="25344"/>
    <cellStyle name="Total 3 2 2 9 5" xfId="33778"/>
    <cellStyle name="Total 3 2 2 9 6" xfId="40386"/>
    <cellStyle name="Total 3 2 2 9 7" xfId="51521"/>
    <cellStyle name="Total 3 2 20" xfId="1643"/>
    <cellStyle name="Total 3 2 20 2" xfId="9466"/>
    <cellStyle name="Total 3 2 20 3" xfId="16894"/>
    <cellStyle name="Total 3 2 20 4" xfId="26015"/>
    <cellStyle name="Total 3 2 20 5" xfId="34642"/>
    <cellStyle name="Total 3 2 20 6" xfId="41625"/>
    <cellStyle name="Total 3 2 20 7" xfId="53022"/>
    <cellStyle name="Total 3 2 21" xfId="1086"/>
    <cellStyle name="Total 3 2 21 2" xfId="8910"/>
    <cellStyle name="Total 3 2 21 3" xfId="16338"/>
    <cellStyle name="Total 3 2 21 4" xfId="20532"/>
    <cellStyle name="Total 3 2 21 5" xfId="28116"/>
    <cellStyle name="Total 3 2 21 6" xfId="37937"/>
    <cellStyle name="Total 3 2 21 7" xfId="49005"/>
    <cellStyle name="Total 3 2 22" xfId="2313"/>
    <cellStyle name="Total 3 2 22 2" xfId="10136"/>
    <cellStyle name="Total 3 2 22 3" xfId="17564"/>
    <cellStyle name="Total 3 2 22 4" xfId="25441"/>
    <cellStyle name="Total 3 2 22 5" xfId="33901"/>
    <cellStyle name="Total 3 2 22 6" xfId="41803"/>
    <cellStyle name="Total 3 2 22 7" xfId="51732"/>
    <cellStyle name="Total 3 2 23" xfId="2380"/>
    <cellStyle name="Total 3 2 23 2" xfId="10203"/>
    <cellStyle name="Total 3 2 23 3" xfId="17631"/>
    <cellStyle name="Total 3 2 23 4" xfId="20261"/>
    <cellStyle name="Total 3 2 23 5" xfId="27645"/>
    <cellStyle name="Total 3 2 23 6" xfId="41989"/>
    <cellStyle name="Total 3 2 23 7" xfId="48309"/>
    <cellStyle name="Total 3 2 24" xfId="968"/>
    <cellStyle name="Total 3 2 24 2" xfId="8792"/>
    <cellStyle name="Total 3 2 24 3" xfId="16220"/>
    <cellStyle name="Total 3 2 24 4" xfId="26517"/>
    <cellStyle name="Total 3 2 24 5" xfId="35314"/>
    <cellStyle name="Total 3 2 24 6" xfId="38135"/>
    <cellStyle name="Total 3 2 24 7" xfId="54105"/>
    <cellStyle name="Total 3 2 25" xfId="2736"/>
    <cellStyle name="Total 3 2 25 2" xfId="10559"/>
    <cellStyle name="Total 3 2 25 3" xfId="17987"/>
    <cellStyle name="Total 3 2 25 4" xfId="19163"/>
    <cellStyle name="Total 3 2 25 5" xfId="28050"/>
    <cellStyle name="Total 3 2 25 6" xfId="37810"/>
    <cellStyle name="Total 3 2 25 7" xfId="49237"/>
    <cellStyle name="Total 3 2 26" xfId="3113"/>
    <cellStyle name="Total 3 2 26 2" xfId="10918"/>
    <cellStyle name="Total 3 2 26 3" xfId="18299"/>
    <cellStyle name="Total 3 2 26 4" xfId="19155"/>
    <cellStyle name="Total 3 2 26 5" xfId="28572"/>
    <cellStyle name="Total 3 2 26 6" xfId="36283"/>
    <cellStyle name="Total 3 2 26 7" xfId="49256"/>
    <cellStyle name="Total 3 2 27" xfId="2983"/>
    <cellStyle name="Total 3 2 27 2" xfId="10805"/>
    <cellStyle name="Total 3 2 27 3" xfId="18232"/>
    <cellStyle name="Total 3 2 27 4" xfId="19077"/>
    <cellStyle name="Total 3 2 27 5" xfId="26873"/>
    <cellStyle name="Total 3 2 27 6" xfId="42293"/>
    <cellStyle name="Total 3 2 27 7" xfId="49794"/>
    <cellStyle name="Total 3 2 28" xfId="3359"/>
    <cellStyle name="Total 3 2 28 2" xfId="11152"/>
    <cellStyle name="Total 3 2 28 3" xfId="18478"/>
    <cellStyle name="Total 3 2 28 4" xfId="26609"/>
    <cellStyle name="Total 3 2 28 5" xfId="35436"/>
    <cellStyle name="Total 3 2 28 6" xfId="41047"/>
    <cellStyle name="Total 3 2 28 7" xfId="54301"/>
    <cellStyle name="Total 3 2 29" xfId="3074"/>
    <cellStyle name="Total 3 2 29 2" xfId="10882"/>
    <cellStyle name="Total 3 2 29 3" xfId="18275"/>
    <cellStyle name="Total 3 2 29 4" xfId="26071"/>
    <cellStyle name="Total 3 2 29 5" xfId="34716"/>
    <cellStyle name="Total 3 2 29 6" xfId="39356"/>
    <cellStyle name="Total 3 2 29 7" xfId="53147"/>
    <cellStyle name="Total 3 2 3" xfId="506"/>
    <cellStyle name="Total 3 2 3 10" xfId="1953"/>
    <cellStyle name="Total 3 2 3 10 2" xfId="9776"/>
    <cellStyle name="Total 3 2 3 10 3" xfId="17204"/>
    <cellStyle name="Total 3 2 3 10 4" xfId="25242"/>
    <cellStyle name="Total 3 2 3 10 5" xfId="33646"/>
    <cellStyle name="Total 3 2 3 10 6" xfId="40274"/>
    <cellStyle name="Total 3 2 3 10 7" xfId="51302"/>
    <cellStyle name="Total 3 2 3 11" xfId="2071"/>
    <cellStyle name="Total 3 2 3 11 2" xfId="9894"/>
    <cellStyle name="Total 3 2 3 11 3" xfId="17322"/>
    <cellStyle name="Total 3 2 3 11 4" xfId="25358"/>
    <cellStyle name="Total 3 2 3 11 5" xfId="33794"/>
    <cellStyle name="Total 3 2 3 11 6" xfId="39472"/>
    <cellStyle name="Total 3 2 3 11 7" xfId="51548"/>
    <cellStyle name="Total 3 2 3 12" xfId="2184"/>
    <cellStyle name="Total 3 2 3 12 2" xfId="10007"/>
    <cellStyle name="Total 3 2 3 12 3" xfId="17435"/>
    <cellStyle name="Total 3 2 3 12 4" xfId="19493"/>
    <cellStyle name="Total 3 2 3 12 5" xfId="27573"/>
    <cellStyle name="Total 3 2 3 12 6" xfId="38802"/>
    <cellStyle name="Total 3 2 3 12 7" xfId="48457"/>
    <cellStyle name="Total 3 2 3 13" xfId="1625"/>
    <cellStyle name="Total 3 2 3 13 2" xfId="9448"/>
    <cellStyle name="Total 3 2 3 13 3" xfId="16876"/>
    <cellStyle name="Total 3 2 3 13 4" xfId="25462"/>
    <cellStyle name="Total 3 2 3 13 5" xfId="33927"/>
    <cellStyle name="Total 3 2 3 13 6" xfId="37898"/>
    <cellStyle name="Total 3 2 3 13 7" xfId="51785"/>
    <cellStyle name="Total 3 2 3 14" xfId="1557"/>
    <cellStyle name="Total 3 2 3 14 2" xfId="9380"/>
    <cellStyle name="Total 3 2 3 14 3" xfId="16808"/>
    <cellStyle name="Total 3 2 3 14 4" xfId="19371"/>
    <cellStyle name="Total 3 2 3 14 5" xfId="27684"/>
    <cellStyle name="Total 3 2 3 14 6" xfId="37703"/>
    <cellStyle name="Total 3 2 3 14 7" xfId="48389"/>
    <cellStyle name="Total 3 2 3 15" xfId="2482"/>
    <cellStyle name="Total 3 2 3 15 2" xfId="10305"/>
    <cellStyle name="Total 3 2 3 15 3" xfId="17733"/>
    <cellStyle name="Total 3 2 3 15 4" xfId="25955"/>
    <cellStyle name="Total 3 2 3 15 5" xfId="34562"/>
    <cellStyle name="Total 3 2 3 15 6" xfId="38401"/>
    <cellStyle name="Total 3 2 3 15 7" xfId="52899"/>
    <cellStyle name="Total 3 2 3 16" xfId="2595"/>
    <cellStyle name="Total 3 2 3 16 2" xfId="10418"/>
    <cellStyle name="Total 3 2 3 16 3" xfId="17846"/>
    <cellStyle name="Total 3 2 3 16 4" xfId="19027"/>
    <cellStyle name="Total 3 2 3 16 5" xfId="26974"/>
    <cellStyle name="Total 3 2 3 16 6" xfId="40223"/>
    <cellStyle name="Total 3 2 3 16 7" xfId="49843"/>
    <cellStyle name="Total 3 2 3 17" xfId="1219"/>
    <cellStyle name="Total 3 2 3 17 2" xfId="9042"/>
    <cellStyle name="Total 3 2 3 17 3" xfId="16470"/>
    <cellStyle name="Total 3 2 3 17 4" xfId="19583"/>
    <cellStyle name="Total 3 2 3 17 5" xfId="28401"/>
    <cellStyle name="Total 3 2 3 17 6" xfId="39281"/>
    <cellStyle name="Total 3 2 3 17 7" xfId="49540"/>
    <cellStyle name="Total 3 2 3 18" xfId="2392"/>
    <cellStyle name="Total 3 2 3 18 2" xfId="10215"/>
    <cellStyle name="Total 3 2 3 18 3" xfId="17643"/>
    <cellStyle name="Total 3 2 3 18 4" xfId="20389"/>
    <cellStyle name="Total 3 2 3 18 5" xfId="27295"/>
    <cellStyle name="Total 3 2 3 18 6" xfId="40659"/>
    <cellStyle name="Total 3 2 3 18 7" xfId="50316"/>
    <cellStyle name="Total 3 2 3 19" xfId="2789"/>
    <cellStyle name="Total 3 2 3 19 2" xfId="10612"/>
    <cellStyle name="Total 3 2 3 19 3" xfId="18040"/>
    <cellStyle name="Total 3 2 3 19 4" xfId="25460"/>
    <cellStyle name="Total 3 2 3 19 5" xfId="33925"/>
    <cellStyle name="Total 3 2 3 19 6" xfId="38196"/>
    <cellStyle name="Total 3 2 3 19 7" xfId="51778"/>
    <cellStyle name="Total 3 2 3 2" xfId="657"/>
    <cellStyle name="Total 3 2 3 2 2" xfId="8481"/>
    <cellStyle name="Total 3 2 3 2 3" xfId="8277"/>
    <cellStyle name="Total 3 2 3 2 4" xfId="25592"/>
    <cellStyle name="Total 3 2 3 2 5" xfId="34101"/>
    <cellStyle name="Total 3 2 3 2 6" xfId="37117"/>
    <cellStyle name="Total 3 2 3 2 7" xfId="52080"/>
    <cellStyle name="Total 3 2 3 20" xfId="2896"/>
    <cellStyle name="Total 3 2 3 20 2" xfId="10719"/>
    <cellStyle name="Total 3 2 3 20 3" xfId="18147"/>
    <cellStyle name="Total 3 2 3 20 4" xfId="20525"/>
    <cellStyle name="Total 3 2 3 20 5" xfId="28327"/>
    <cellStyle name="Total 3 2 3 20 6" xfId="37774"/>
    <cellStyle name="Total 3 2 3 20 7" xfId="48977"/>
    <cellStyle name="Total 3 2 3 21" xfId="3272"/>
    <cellStyle name="Total 3 2 3 21 2" xfId="11065"/>
    <cellStyle name="Total 3 2 3 21 3" xfId="18394"/>
    <cellStyle name="Total 3 2 3 21 4" xfId="20018"/>
    <cellStyle name="Total 3 2 3 21 5" xfId="28725"/>
    <cellStyle name="Total 3 2 3 21 6" xfId="36973"/>
    <cellStyle name="Total 3 2 3 21 7" xfId="48511"/>
    <cellStyle name="Total 3 2 3 22" xfId="3392"/>
    <cellStyle name="Total 3 2 3 22 2" xfId="11183"/>
    <cellStyle name="Total 3 2 3 22 3" xfId="18505"/>
    <cellStyle name="Total 3 2 3 22 4" xfId="25018"/>
    <cellStyle name="Total 3 2 3 22 5" xfId="33373"/>
    <cellStyle name="Total 3 2 3 22 6" xfId="37951"/>
    <cellStyle name="Total 3 2 3 22 7" xfId="50838"/>
    <cellStyle name="Total 3 2 3 23" xfId="2996"/>
    <cellStyle name="Total 3 2 3 23 2" xfId="10815"/>
    <cellStyle name="Total 3 2 3 23 3" xfId="18240"/>
    <cellStyle name="Total 3 2 3 23 4" xfId="26243"/>
    <cellStyle name="Total 3 2 3 23 5" xfId="34934"/>
    <cellStyle name="Total 3 2 3 23 6" xfId="40945"/>
    <cellStyle name="Total 3 2 3 23 7" xfId="53520"/>
    <cellStyle name="Total 3 2 3 24" xfId="3662"/>
    <cellStyle name="Total 3 2 3 24 2" xfId="11447"/>
    <cellStyle name="Total 3 2 3 24 3" xfId="18720"/>
    <cellStyle name="Total 3 2 3 24 4" xfId="26066"/>
    <cellStyle name="Total 3 2 3 24 5" xfId="34711"/>
    <cellStyle name="Total 3 2 3 24 6" xfId="40189"/>
    <cellStyle name="Total 3 2 3 24 7" xfId="53140"/>
    <cellStyle name="Total 3 2 3 25" xfId="3793"/>
    <cellStyle name="Total 3 2 3 25 2" xfId="11575"/>
    <cellStyle name="Total 3 2 3 25 3" xfId="18832"/>
    <cellStyle name="Total 3 2 3 25 4" xfId="19400"/>
    <cellStyle name="Total 3 2 3 25 5" xfId="27646"/>
    <cellStyle name="Total 3 2 3 25 6" xfId="39542"/>
    <cellStyle name="Total 3 2 3 25 7" xfId="48816"/>
    <cellStyle name="Total 3 2 3 26" xfId="3910"/>
    <cellStyle name="Total 3 2 3 26 2" xfId="11690"/>
    <cellStyle name="Total 3 2 3 26 3" xfId="18941"/>
    <cellStyle name="Total 3 2 3 26 4" xfId="20408"/>
    <cellStyle name="Total 3 2 3 26 5" xfId="33127"/>
    <cellStyle name="Total 3 2 3 26 6" xfId="37808"/>
    <cellStyle name="Total 3 2 3 26 7" xfId="50383"/>
    <cellStyle name="Total 3 2 3 27" xfId="3739"/>
    <cellStyle name="Total 3 2 3 27 2" xfId="11524"/>
    <cellStyle name="Total 3 2 3 27 3" xfId="20596"/>
    <cellStyle name="Total 3 2 3 27 4" xfId="28746"/>
    <cellStyle name="Total 3 2 3 27 5" xfId="38133"/>
    <cellStyle name="Total 3 2 3 27 6" xfId="42527"/>
    <cellStyle name="Total 3 2 3 27 7" xfId="54128"/>
    <cellStyle name="Total 3 2 3 28" xfId="4107"/>
    <cellStyle name="Total 3 2 3 28 2" xfId="11867"/>
    <cellStyle name="Total 3 2 3 28 3" xfId="20817"/>
    <cellStyle name="Total 3 2 3 28 4" xfId="29004"/>
    <cellStyle name="Total 3 2 3 28 5" xfId="38382"/>
    <cellStyle name="Total 3 2 3 28 6" xfId="42669"/>
    <cellStyle name="Total 3 2 3 28 7" xfId="53779"/>
    <cellStyle name="Total 3 2 3 29" xfId="3068"/>
    <cellStyle name="Total 3 2 3 29 2" xfId="20232"/>
    <cellStyle name="Total 3 2 3 29 3" xfId="28322"/>
    <cellStyle name="Total 3 2 3 29 4" xfId="37704"/>
    <cellStyle name="Total 3 2 3 29 5" xfId="42384"/>
    <cellStyle name="Total 3 2 3 29 6" xfId="53832"/>
    <cellStyle name="Total 3 2 3 3" xfId="764"/>
    <cellStyle name="Total 3 2 3 3 2" xfId="8588"/>
    <cellStyle name="Total 3 2 3 3 3" xfId="16016"/>
    <cellStyle name="Total 3 2 3 3 4" xfId="26132"/>
    <cellStyle name="Total 3 2 3 3 5" xfId="34794"/>
    <cellStyle name="Total 3 2 3 3 6" xfId="37108"/>
    <cellStyle name="Total 3 2 3 3 7" xfId="53275"/>
    <cellStyle name="Total 3 2 3 30" xfId="4304"/>
    <cellStyle name="Total 3 2 3 30 2" xfId="12021"/>
    <cellStyle name="Total 3 2 3 30 3" xfId="21014"/>
    <cellStyle name="Total 3 2 3 30 4" xfId="29201"/>
    <cellStyle name="Total 3 2 3 30 5" xfId="38573"/>
    <cellStyle name="Total 3 2 3 30 6" xfId="42866"/>
    <cellStyle name="Total 3 2 3 30 7" xfId="48653"/>
    <cellStyle name="Total 3 2 3 31" xfId="4427"/>
    <cellStyle name="Total 3 2 3 31 2" xfId="12144"/>
    <cellStyle name="Total 3 2 3 31 3" xfId="21137"/>
    <cellStyle name="Total 3 2 3 31 4" xfId="29324"/>
    <cellStyle name="Total 3 2 3 31 5" xfId="38691"/>
    <cellStyle name="Total 3 2 3 31 6" xfId="42989"/>
    <cellStyle name="Total 3 2 3 31 7" xfId="52716"/>
    <cellStyle name="Total 3 2 3 32" xfId="4541"/>
    <cellStyle name="Total 3 2 3 32 2" xfId="12258"/>
    <cellStyle name="Total 3 2 3 32 3" xfId="21251"/>
    <cellStyle name="Total 3 2 3 32 4" xfId="29438"/>
    <cellStyle name="Total 3 2 3 32 5" xfId="38800"/>
    <cellStyle name="Total 3 2 3 32 6" xfId="43103"/>
    <cellStyle name="Total 3 2 3 32 7" xfId="54017"/>
    <cellStyle name="Total 3 2 3 33" xfId="4654"/>
    <cellStyle name="Total 3 2 3 33 2" xfId="12371"/>
    <cellStyle name="Total 3 2 3 33 3" xfId="21364"/>
    <cellStyle name="Total 3 2 3 33 4" xfId="29551"/>
    <cellStyle name="Total 3 2 3 33 5" xfId="38908"/>
    <cellStyle name="Total 3 2 3 33 6" xfId="43216"/>
    <cellStyle name="Total 3 2 3 33 7" xfId="51639"/>
    <cellStyle name="Total 3 2 3 34" xfId="4766"/>
    <cellStyle name="Total 3 2 3 34 2" xfId="12483"/>
    <cellStyle name="Total 3 2 3 34 3" xfId="21476"/>
    <cellStyle name="Total 3 2 3 34 4" xfId="29663"/>
    <cellStyle name="Total 3 2 3 34 5" xfId="39017"/>
    <cellStyle name="Total 3 2 3 34 6" xfId="43328"/>
    <cellStyle name="Total 3 2 3 34 7" xfId="50101"/>
    <cellStyle name="Total 3 2 3 35" xfId="4874"/>
    <cellStyle name="Total 3 2 3 35 2" xfId="12591"/>
    <cellStyle name="Total 3 2 3 35 3" xfId="21584"/>
    <cellStyle name="Total 3 2 3 35 4" xfId="29771"/>
    <cellStyle name="Total 3 2 3 35 5" xfId="39120"/>
    <cellStyle name="Total 3 2 3 35 6" xfId="43436"/>
    <cellStyle name="Total 3 2 3 35 7" xfId="51520"/>
    <cellStyle name="Total 3 2 3 36" xfId="4986"/>
    <cellStyle name="Total 3 2 3 36 2" xfId="12703"/>
    <cellStyle name="Total 3 2 3 36 3" xfId="21696"/>
    <cellStyle name="Total 3 2 3 36 4" xfId="29883"/>
    <cellStyle name="Total 3 2 3 36 5" xfId="39229"/>
    <cellStyle name="Total 3 2 3 36 6" xfId="43548"/>
    <cellStyle name="Total 3 2 3 36 7" xfId="49186"/>
    <cellStyle name="Total 3 2 3 37" xfId="5127"/>
    <cellStyle name="Total 3 2 3 37 2" xfId="12844"/>
    <cellStyle name="Total 3 2 3 37 3" xfId="21837"/>
    <cellStyle name="Total 3 2 3 37 4" xfId="30024"/>
    <cellStyle name="Total 3 2 3 37 5" xfId="39365"/>
    <cellStyle name="Total 3 2 3 37 6" xfId="43689"/>
    <cellStyle name="Total 3 2 3 37 7" xfId="51790"/>
    <cellStyle name="Total 3 2 3 38" xfId="5484"/>
    <cellStyle name="Total 3 2 3 38 2" xfId="13201"/>
    <cellStyle name="Total 3 2 3 38 3" xfId="22194"/>
    <cellStyle name="Total 3 2 3 38 4" xfId="30381"/>
    <cellStyle name="Total 3 2 3 38 5" xfId="39707"/>
    <cellStyle name="Total 3 2 3 38 6" xfId="44046"/>
    <cellStyle name="Total 3 2 3 38 7" xfId="50272"/>
    <cellStyle name="Total 3 2 3 39" xfId="5609"/>
    <cellStyle name="Total 3 2 3 39 2" xfId="13326"/>
    <cellStyle name="Total 3 2 3 39 3" xfId="22319"/>
    <cellStyle name="Total 3 2 3 39 4" xfId="30506"/>
    <cellStyle name="Total 3 2 3 39 5" xfId="39827"/>
    <cellStyle name="Total 3 2 3 39 6" xfId="44171"/>
    <cellStyle name="Total 3 2 3 39 7" xfId="47133"/>
    <cellStyle name="Total 3 2 3 4" xfId="876"/>
    <cellStyle name="Total 3 2 3 4 2" xfId="8700"/>
    <cellStyle name="Total 3 2 3 4 3" xfId="16128"/>
    <cellStyle name="Total 3 2 3 4 4" xfId="25628"/>
    <cellStyle name="Total 3 2 3 4 5" xfId="34143"/>
    <cellStyle name="Total 3 2 3 4 6" xfId="37094"/>
    <cellStyle name="Total 3 2 3 4 7" xfId="52148"/>
    <cellStyle name="Total 3 2 3 40" xfId="5724"/>
    <cellStyle name="Total 3 2 3 40 2" xfId="13441"/>
    <cellStyle name="Total 3 2 3 40 3" xfId="22434"/>
    <cellStyle name="Total 3 2 3 40 4" xfId="30621"/>
    <cellStyle name="Total 3 2 3 40 5" xfId="39938"/>
    <cellStyle name="Total 3 2 3 40 6" xfId="44286"/>
    <cellStyle name="Total 3 2 3 40 7" xfId="46965"/>
    <cellStyle name="Total 3 2 3 41" xfId="5841"/>
    <cellStyle name="Total 3 2 3 41 2" xfId="13558"/>
    <cellStyle name="Total 3 2 3 41 3" xfId="22551"/>
    <cellStyle name="Total 3 2 3 41 4" xfId="30738"/>
    <cellStyle name="Total 3 2 3 41 5" xfId="40052"/>
    <cellStyle name="Total 3 2 3 41 6" xfId="44403"/>
    <cellStyle name="Total 3 2 3 41 7" xfId="48270"/>
    <cellStyle name="Total 3 2 3 42" xfId="5969"/>
    <cellStyle name="Total 3 2 3 42 2" xfId="13686"/>
    <cellStyle name="Total 3 2 3 42 3" xfId="22679"/>
    <cellStyle name="Total 3 2 3 42 4" xfId="30866"/>
    <cellStyle name="Total 3 2 3 42 5" xfId="40176"/>
    <cellStyle name="Total 3 2 3 42 6" xfId="44531"/>
    <cellStyle name="Total 3 2 3 42 7" xfId="50433"/>
    <cellStyle name="Total 3 2 3 43" xfId="5741"/>
    <cellStyle name="Total 3 2 3 43 2" xfId="13458"/>
    <cellStyle name="Total 3 2 3 43 3" xfId="22451"/>
    <cellStyle name="Total 3 2 3 43 4" xfId="30638"/>
    <cellStyle name="Total 3 2 3 43 5" xfId="39955"/>
    <cellStyle name="Total 3 2 3 43 6" xfId="44303"/>
    <cellStyle name="Total 3 2 3 43 7" xfId="48057"/>
    <cellStyle name="Total 3 2 3 44" xfId="6225"/>
    <cellStyle name="Total 3 2 3 44 2" xfId="13942"/>
    <cellStyle name="Total 3 2 3 44 3" xfId="22935"/>
    <cellStyle name="Total 3 2 3 44 4" xfId="31122"/>
    <cellStyle name="Total 3 2 3 44 5" xfId="40423"/>
    <cellStyle name="Total 3 2 3 44 6" xfId="44787"/>
    <cellStyle name="Total 3 2 3 44 7" xfId="52979"/>
    <cellStyle name="Total 3 2 3 45" xfId="6342"/>
    <cellStyle name="Total 3 2 3 45 2" xfId="14059"/>
    <cellStyle name="Total 3 2 3 45 3" xfId="23052"/>
    <cellStyle name="Total 3 2 3 45 4" xfId="31239"/>
    <cellStyle name="Total 3 2 3 45 5" xfId="40537"/>
    <cellStyle name="Total 3 2 3 45 6" xfId="44904"/>
    <cellStyle name="Total 3 2 3 45 7" xfId="49479"/>
    <cellStyle name="Total 3 2 3 46" xfId="6452"/>
    <cellStyle name="Total 3 2 3 46 2" xfId="14169"/>
    <cellStyle name="Total 3 2 3 46 3" xfId="23162"/>
    <cellStyle name="Total 3 2 3 46 4" xfId="31349"/>
    <cellStyle name="Total 3 2 3 46 5" xfId="40643"/>
    <cellStyle name="Total 3 2 3 46 6" xfId="45014"/>
    <cellStyle name="Total 3 2 3 46 7" xfId="47497"/>
    <cellStyle name="Total 3 2 3 47" xfId="5081"/>
    <cellStyle name="Total 3 2 3 47 2" xfId="12798"/>
    <cellStyle name="Total 3 2 3 47 3" xfId="21791"/>
    <cellStyle name="Total 3 2 3 47 4" xfId="29978"/>
    <cellStyle name="Total 3 2 3 47 5" xfId="39321"/>
    <cellStyle name="Total 3 2 3 47 6" xfId="43643"/>
    <cellStyle name="Total 3 2 3 47 7" xfId="51743"/>
    <cellStyle name="Total 3 2 3 48" xfId="6599"/>
    <cellStyle name="Total 3 2 3 48 2" xfId="14316"/>
    <cellStyle name="Total 3 2 3 48 3" xfId="23309"/>
    <cellStyle name="Total 3 2 3 48 4" xfId="31496"/>
    <cellStyle name="Total 3 2 3 48 5" xfId="40783"/>
    <cellStyle name="Total 3 2 3 48 6" xfId="45161"/>
    <cellStyle name="Total 3 2 3 48 7" xfId="51006"/>
    <cellStyle name="Total 3 2 3 49" xfId="6710"/>
    <cellStyle name="Total 3 2 3 49 2" xfId="14427"/>
    <cellStyle name="Total 3 2 3 49 3" xfId="23420"/>
    <cellStyle name="Total 3 2 3 49 4" xfId="31607"/>
    <cellStyle name="Total 3 2 3 49 5" xfId="40889"/>
    <cellStyle name="Total 3 2 3 49 6" xfId="45272"/>
    <cellStyle name="Total 3 2 3 49 7" xfId="54310"/>
    <cellStyle name="Total 3 2 3 5" xfId="1341"/>
    <cellStyle name="Total 3 2 3 5 2" xfId="9164"/>
    <cellStyle name="Total 3 2 3 5 3" xfId="16592"/>
    <cellStyle name="Total 3 2 3 5 4" xfId="19250"/>
    <cellStyle name="Total 3 2 3 5 5" xfId="27218"/>
    <cellStyle name="Total 3 2 3 5 6" xfId="37008"/>
    <cellStyle name="Total 3 2 3 5 7" xfId="49585"/>
    <cellStyle name="Total 3 2 3 50" xfId="6825"/>
    <cellStyle name="Total 3 2 3 50 2" xfId="14542"/>
    <cellStyle name="Total 3 2 3 50 3" xfId="23535"/>
    <cellStyle name="Total 3 2 3 50 4" xfId="31722"/>
    <cellStyle name="Total 3 2 3 50 5" xfId="40997"/>
    <cellStyle name="Total 3 2 3 50 6" xfId="45387"/>
    <cellStyle name="Total 3 2 3 50 7" xfId="49332"/>
    <cellStyle name="Total 3 2 3 51" xfId="6938"/>
    <cellStyle name="Total 3 2 3 51 2" xfId="14655"/>
    <cellStyle name="Total 3 2 3 51 3" xfId="23648"/>
    <cellStyle name="Total 3 2 3 51 4" xfId="31835"/>
    <cellStyle name="Total 3 2 3 51 5" xfId="41105"/>
    <cellStyle name="Total 3 2 3 51 6" xfId="45500"/>
    <cellStyle name="Total 3 2 3 51 7" xfId="46943"/>
    <cellStyle name="Total 3 2 3 52" xfId="7050"/>
    <cellStyle name="Total 3 2 3 52 2" xfId="14767"/>
    <cellStyle name="Total 3 2 3 52 3" xfId="23760"/>
    <cellStyle name="Total 3 2 3 52 4" xfId="31947"/>
    <cellStyle name="Total 3 2 3 52 5" xfId="41211"/>
    <cellStyle name="Total 3 2 3 52 6" xfId="45612"/>
    <cellStyle name="Total 3 2 3 52 7" xfId="48188"/>
    <cellStyle name="Total 3 2 3 53" xfId="7247"/>
    <cellStyle name="Total 3 2 3 53 2" xfId="14964"/>
    <cellStyle name="Total 3 2 3 53 3" xfId="23957"/>
    <cellStyle name="Total 3 2 3 53 4" xfId="32144"/>
    <cellStyle name="Total 3 2 3 53 5" xfId="41400"/>
    <cellStyle name="Total 3 2 3 53 6" xfId="45809"/>
    <cellStyle name="Total 3 2 3 53 7" xfId="48587"/>
    <cellStyle name="Total 3 2 3 54" xfId="7394"/>
    <cellStyle name="Total 3 2 3 54 2" xfId="15111"/>
    <cellStyle name="Total 3 2 3 54 3" xfId="24104"/>
    <cellStyle name="Total 3 2 3 54 4" xfId="32291"/>
    <cellStyle name="Total 3 2 3 54 5" xfId="41545"/>
    <cellStyle name="Total 3 2 3 54 6" xfId="45956"/>
    <cellStyle name="Total 3 2 3 54 7" xfId="54211"/>
    <cellStyle name="Total 3 2 3 55" xfId="7447"/>
    <cellStyle name="Total 3 2 3 55 2" xfId="15164"/>
    <cellStyle name="Total 3 2 3 55 3" xfId="24157"/>
    <cellStyle name="Total 3 2 3 55 4" xfId="32344"/>
    <cellStyle name="Total 3 2 3 55 5" xfId="41594"/>
    <cellStyle name="Total 3 2 3 55 6" xfId="46009"/>
    <cellStyle name="Total 3 2 3 55 7" xfId="50635"/>
    <cellStyle name="Total 3 2 3 56" xfId="7568"/>
    <cellStyle name="Total 3 2 3 56 2" xfId="15285"/>
    <cellStyle name="Total 3 2 3 56 3" xfId="24278"/>
    <cellStyle name="Total 3 2 3 56 4" xfId="32465"/>
    <cellStyle name="Total 3 2 3 56 5" xfId="41709"/>
    <cellStyle name="Total 3 2 3 56 6" xfId="46130"/>
    <cellStyle name="Total 3 2 3 56 7" xfId="50498"/>
    <cellStyle name="Total 3 2 3 57" xfId="7844"/>
    <cellStyle name="Total 3 2 3 57 2" xfId="15561"/>
    <cellStyle name="Total 3 2 3 57 3" xfId="24548"/>
    <cellStyle name="Total 3 2 3 57 4" xfId="32741"/>
    <cellStyle name="Total 3 2 3 57 5" xfId="41974"/>
    <cellStyle name="Total 3 2 3 57 6" xfId="46406"/>
    <cellStyle name="Total 3 2 3 57 7" xfId="51562"/>
    <cellStyle name="Total 3 2 3 58" xfId="7997"/>
    <cellStyle name="Total 3 2 3 58 2" xfId="15714"/>
    <cellStyle name="Total 3 2 3 58 3" xfId="24699"/>
    <cellStyle name="Total 3 2 3 58 4" xfId="32894"/>
    <cellStyle name="Total 3 2 3 58 5" xfId="42120"/>
    <cellStyle name="Total 3 2 3 58 6" xfId="46559"/>
    <cellStyle name="Total 3 2 3 58 7" xfId="50257"/>
    <cellStyle name="Total 3 2 3 59" xfId="8059"/>
    <cellStyle name="Total 3 2 3 59 2" xfId="15776"/>
    <cellStyle name="Total 3 2 3 59 3" xfId="24761"/>
    <cellStyle name="Total 3 2 3 59 4" xfId="32956"/>
    <cellStyle name="Total 3 2 3 59 5" xfId="42181"/>
    <cellStyle name="Total 3 2 3 59 6" xfId="46621"/>
    <cellStyle name="Total 3 2 3 59 7" xfId="50941"/>
    <cellStyle name="Total 3 2 3 6" xfId="1464"/>
    <cellStyle name="Total 3 2 3 6 2" xfId="9287"/>
    <cellStyle name="Total 3 2 3 6 3" xfId="16715"/>
    <cellStyle name="Total 3 2 3 6 4" xfId="19579"/>
    <cellStyle name="Total 3 2 3 6 5" xfId="27289"/>
    <cellStyle name="Total 3 2 3 6 6" xfId="37588"/>
    <cellStyle name="Total 3 2 3 6 7" xfId="49323"/>
    <cellStyle name="Total 3 2 3 60" xfId="8120"/>
    <cellStyle name="Total 3 2 3 60 2" xfId="15837"/>
    <cellStyle name="Total 3 2 3 60 3" xfId="33017"/>
    <cellStyle name="Total 3 2 3 60 4" xfId="42238"/>
    <cellStyle name="Total 3 2 3 60 5" xfId="46682"/>
    <cellStyle name="Total 3 2 3 60 6" xfId="47622"/>
    <cellStyle name="Total 3 2 3 61" xfId="25279"/>
    <cellStyle name="Total 3 2 3 62" xfId="33691"/>
    <cellStyle name="Total 3 2 3 63" xfId="37745"/>
    <cellStyle name="Total 3 2 3 64" xfId="51387"/>
    <cellStyle name="Total 3 2 3 7" xfId="1163"/>
    <cellStyle name="Total 3 2 3 7 2" xfId="8986"/>
    <cellStyle name="Total 3 2 3 7 3" xfId="16414"/>
    <cellStyle name="Total 3 2 3 7 4" xfId="19717"/>
    <cellStyle name="Total 3 2 3 7 5" xfId="27598"/>
    <cellStyle name="Total 3 2 3 7 6" xfId="38476"/>
    <cellStyle name="Total 3 2 3 7 7" xfId="49645"/>
    <cellStyle name="Total 3 2 3 8" xfId="1701"/>
    <cellStyle name="Total 3 2 3 8 2" xfId="9524"/>
    <cellStyle name="Total 3 2 3 8 3" xfId="16952"/>
    <cellStyle name="Total 3 2 3 8 4" xfId="26496"/>
    <cellStyle name="Total 3 2 3 8 5" xfId="35289"/>
    <cellStyle name="Total 3 2 3 8 6" xfId="36601"/>
    <cellStyle name="Total 3 2 3 8 7" xfId="54067"/>
    <cellStyle name="Total 3 2 3 9" xfId="1835"/>
    <cellStyle name="Total 3 2 3 9 2" xfId="9658"/>
    <cellStyle name="Total 3 2 3 9 3" xfId="17086"/>
    <cellStyle name="Total 3 2 3 9 4" xfId="19565"/>
    <cellStyle name="Total 3 2 3 9 5" xfId="28523"/>
    <cellStyle name="Total 3 2 3 9 6" xfId="36443"/>
    <cellStyle name="Total 3 2 3 9 7" xfId="48321"/>
    <cellStyle name="Total 3 2 30" xfId="3636"/>
    <cellStyle name="Total 3 2 30 2" xfId="11421"/>
    <cellStyle name="Total 3 2 30 3" xfId="18694"/>
    <cellStyle name="Total 3 2 30 4" xfId="19133"/>
    <cellStyle name="Total 3 2 30 5" xfId="33114"/>
    <cellStyle name="Total 3 2 30 6" xfId="39310"/>
    <cellStyle name="Total 3 2 30 7" xfId="49847"/>
    <cellStyle name="Total 3 2 31" xfId="3496"/>
    <cellStyle name="Total 3 2 31 2" xfId="11287"/>
    <cellStyle name="Total 3 2 31 3" xfId="18592"/>
    <cellStyle name="Total 3 2 31 4" xfId="25443"/>
    <cellStyle name="Total 3 2 31 5" xfId="33903"/>
    <cellStyle name="Total 3 2 31 6" xfId="38465"/>
    <cellStyle name="Total 3 2 31 7" xfId="51735"/>
    <cellStyle name="Total 3 2 32" xfId="3549"/>
    <cellStyle name="Total 3 2 32 2" xfId="11338"/>
    <cellStyle name="Total 3 2 32 3" xfId="20513"/>
    <cellStyle name="Total 3 2 32 4" xfId="28640"/>
    <cellStyle name="Total 3 2 32 5" xfId="38018"/>
    <cellStyle name="Total 3 2 32 6" xfId="42507"/>
    <cellStyle name="Total 3 2 32 7" xfId="49942"/>
    <cellStyle name="Total 3 2 33" xfId="3530"/>
    <cellStyle name="Total 3 2 33 2" xfId="11321"/>
    <cellStyle name="Total 3 2 33 3" xfId="20501"/>
    <cellStyle name="Total 3 2 33 4" xfId="28626"/>
    <cellStyle name="Total 3 2 33 5" xfId="38002"/>
    <cellStyle name="Total 3 2 33 6" xfId="42498"/>
    <cellStyle name="Total 3 2 33 7" xfId="52027"/>
    <cellStyle name="Total 3 2 34" xfId="4069"/>
    <cellStyle name="Total 3 2 34 2" xfId="20779"/>
    <cellStyle name="Total 3 2 34 3" xfId="28966"/>
    <cellStyle name="Total 3 2 34 4" xfId="38345"/>
    <cellStyle name="Total 3 2 34 5" xfId="42631"/>
    <cellStyle name="Total 3 2 34 6" xfId="50321"/>
    <cellStyle name="Total 3 2 35" xfId="4243"/>
    <cellStyle name="Total 3 2 35 2" xfId="11973"/>
    <cellStyle name="Total 3 2 35 3" xfId="20953"/>
    <cellStyle name="Total 3 2 35 4" xfId="29140"/>
    <cellStyle name="Total 3 2 35 5" xfId="38514"/>
    <cellStyle name="Total 3 2 35 6" xfId="42805"/>
    <cellStyle name="Total 3 2 35 7" xfId="48542"/>
    <cellStyle name="Total 3 2 36" xfId="4381"/>
    <cellStyle name="Total 3 2 36 2" xfId="12098"/>
    <cellStyle name="Total 3 2 36 3" xfId="21091"/>
    <cellStyle name="Total 3 2 36 4" xfId="29278"/>
    <cellStyle name="Total 3 2 36 5" xfId="38648"/>
    <cellStyle name="Total 3 2 36 6" xfId="42943"/>
    <cellStyle name="Total 3 2 36 7" xfId="49648"/>
    <cellStyle name="Total 3 2 37" xfId="4503"/>
    <cellStyle name="Total 3 2 37 2" xfId="12220"/>
    <cellStyle name="Total 3 2 37 3" xfId="21213"/>
    <cellStyle name="Total 3 2 37 4" xfId="29400"/>
    <cellStyle name="Total 3 2 37 5" xfId="38764"/>
    <cellStyle name="Total 3 2 37 6" xfId="43065"/>
    <cellStyle name="Total 3 2 37 7" xfId="51184"/>
    <cellStyle name="Total 3 2 38" xfId="4558"/>
    <cellStyle name="Total 3 2 38 2" xfId="12275"/>
    <cellStyle name="Total 3 2 38 3" xfId="21268"/>
    <cellStyle name="Total 3 2 38 4" xfId="29455"/>
    <cellStyle name="Total 3 2 38 5" xfId="38816"/>
    <cellStyle name="Total 3 2 38 6" xfId="43120"/>
    <cellStyle name="Total 3 2 38 7" xfId="54168"/>
    <cellStyle name="Total 3 2 39" xfId="4730"/>
    <cellStyle name="Total 3 2 39 2" xfId="12447"/>
    <cellStyle name="Total 3 2 39 3" xfId="21440"/>
    <cellStyle name="Total 3 2 39 4" xfId="29627"/>
    <cellStyle name="Total 3 2 39 5" xfId="38982"/>
    <cellStyle name="Total 3 2 39 6" xfId="43292"/>
    <cellStyle name="Total 3 2 39 7" xfId="51330"/>
    <cellStyle name="Total 3 2 4" xfId="586"/>
    <cellStyle name="Total 3 2 4 10" xfId="2032"/>
    <cellStyle name="Total 3 2 4 10 2" xfId="9855"/>
    <cellStyle name="Total 3 2 4 10 3" xfId="17283"/>
    <cellStyle name="Total 3 2 4 10 4" xfId="20441"/>
    <cellStyle name="Total 3 2 4 10 5" xfId="26950"/>
    <cellStyle name="Total 3 2 4 10 6" xfId="39772"/>
    <cellStyle name="Total 3 2 4 10 7" xfId="49072"/>
    <cellStyle name="Total 3 2 4 11" xfId="2148"/>
    <cellStyle name="Total 3 2 4 11 2" xfId="9971"/>
    <cellStyle name="Total 3 2 4 11 3" xfId="17399"/>
    <cellStyle name="Total 3 2 4 11 4" xfId="19837"/>
    <cellStyle name="Total 3 2 4 11 5" xfId="27316"/>
    <cellStyle name="Total 3 2 4 11 6" xfId="37016"/>
    <cellStyle name="Total 3 2 4 11 7" xfId="49610"/>
    <cellStyle name="Total 3 2 4 12" xfId="2263"/>
    <cellStyle name="Total 3 2 4 12 2" xfId="10086"/>
    <cellStyle name="Total 3 2 4 12 3" xfId="17514"/>
    <cellStyle name="Total 3 2 4 12 4" xfId="26362"/>
    <cellStyle name="Total 3 2 4 12 5" xfId="35097"/>
    <cellStyle name="Total 3 2 4 12 6" xfId="37655"/>
    <cellStyle name="Total 3 2 4 12 7" xfId="53766"/>
    <cellStyle name="Total 3 2 4 13" xfId="1154"/>
    <cellStyle name="Total 3 2 4 13 2" xfId="8977"/>
    <cellStyle name="Total 3 2 4 13 3" xfId="16405"/>
    <cellStyle name="Total 3 2 4 13 4" xfId="19203"/>
    <cellStyle name="Total 3 2 4 13 5" xfId="27662"/>
    <cellStyle name="Total 3 2 4 13 6" xfId="39748"/>
    <cellStyle name="Total 3 2 4 13 7" xfId="49220"/>
    <cellStyle name="Total 3 2 4 14" xfId="1157"/>
    <cellStyle name="Total 3 2 4 14 2" xfId="8980"/>
    <cellStyle name="Total 3 2 4 14 3" xfId="16408"/>
    <cellStyle name="Total 3 2 4 14 4" xfId="19763"/>
    <cellStyle name="Total 3 2 4 14 5" xfId="28829"/>
    <cellStyle name="Total 3 2 4 14 6" xfId="39162"/>
    <cellStyle name="Total 3 2 4 14 7" xfId="48316"/>
    <cellStyle name="Total 3 2 4 15" xfId="2561"/>
    <cellStyle name="Total 3 2 4 15 2" xfId="10384"/>
    <cellStyle name="Total 3 2 4 15 3" xfId="17812"/>
    <cellStyle name="Total 3 2 4 15 4" xfId="26259"/>
    <cellStyle name="Total 3 2 4 15 5" xfId="34957"/>
    <cellStyle name="Total 3 2 4 15 6" xfId="38961"/>
    <cellStyle name="Total 3 2 4 15 7" xfId="53557"/>
    <cellStyle name="Total 3 2 4 16" xfId="2674"/>
    <cellStyle name="Total 3 2 4 16 2" xfId="10497"/>
    <cellStyle name="Total 3 2 4 16 3" xfId="17925"/>
    <cellStyle name="Total 3 2 4 16 4" xfId="19119"/>
    <cellStyle name="Total 3 2 4 16 5" xfId="26968"/>
    <cellStyle name="Total 3 2 4 16 6" xfId="36594"/>
    <cellStyle name="Total 3 2 4 16 7" xfId="47304"/>
    <cellStyle name="Total 3 2 4 17" xfId="2375"/>
    <cellStyle name="Total 3 2 4 17 2" xfId="10198"/>
    <cellStyle name="Total 3 2 4 17 3" xfId="17626"/>
    <cellStyle name="Total 3 2 4 17 4" xfId="19589"/>
    <cellStyle name="Total 3 2 4 17 5" xfId="27021"/>
    <cellStyle name="Total 3 2 4 17 6" xfId="42253"/>
    <cellStyle name="Total 3 2 4 17 7" xfId="48584"/>
    <cellStyle name="Total 3 2 4 18" xfId="2286"/>
    <cellStyle name="Total 3 2 4 18 2" xfId="10109"/>
    <cellStyle name="Total 3 2 4 18 3" xfId="17537"/>
    <cellStyle name="Total 3 2 4 18 4" xfId="25211"/>
    <cellStyle name="Total 3 2 4 18 5" xfId="33607"/>
    <cellStyle name="Total 3 2 4 18 6" xfId="36659"/>
    <cellStyle name="Total 3 2 4 18 7" xfId="51242"/>
    <cellStyle name="Total 3 2 4 19" xfId="2864"/>
    <cellStyle name="Total 3 2 4 19 2" xfId="10687"/>
    <cellStyle name="Total 3 2 4 19 3" xfId="18115"/>
    <cellStyle name="Total 3 2 4 19 4" xfId="25738"/>
    <cellStyle name="Total 3 2 4 19 5" xfId="34288"/>
    <cellStyle name="Total 3 2 4 19 6" xfId="37817"/>
    <cellStyle name="Total 3 2 4 19 7" xfId="52410"/>
    <cellStyle name="Total 3 2 4 2" xfId="731"/>
    <cellStyle name="Total 3 2 4 2 2" xfId="8555"/>
    <cellStyle name="Total 3 2 4 2 3" xfId="15983"/>
    <cellStyle name="Total 3 2 4 2 4" xfId="19066"/>
    <cellStyle name="Total 3 2 4 2 5" xfId="33161"/>
    <cellStyle name="Total 3 2 4 2 6" xfId="37482"/>
    <cellStyle name="Total 3 2 4 2 7" xfId="50456"/>
    <cellStyle name="Total 3 2 4 20" xfId="2970"/>
    <cellStyle name="Total 3 2 4 20 2" xfId="10793"/>
    <cellStyle name="Total 3 2 4 20 3" xfId="18221"/>
    <cellStyle name="Total 3 2 4 20 4" xfId="20402"/>
    <cellStyle name="Total 3 2 4 20 5" xfId="27225"/>
    <cellStyle name="Total 3 2 4 20 6" xfId="37495"/>
    <cellStyle name="Total 3 2 4 20 7" xfId="48263"/>
    <cellStyle name="Total 3 2 4 21" xfId="3350"/>
    <cellStyle name="Total 3 2 4 21 2" xfId="11143"/>
    <cellStyle name="Total 3 2 4 21 3" xfId="18469"/>
    <cellStyle name="Total 3 2 4 21 4" xfId="26411"/>
    <cellStyle name="Total 3 2 4 21 5" xfId="35171"/>
    <cellStyle name="Total 3 2 4 21 6" xfId="41914"/>
    <cellStyle name="Total 3 2 4 21 7" xfId="53881"/>
    <cellStyle name="Total 3 2 4 22" xfId="3469"/>
    <cellStyle name="Total 3 2 4 22 2" xfId="11260"/>
    <cellStyle name="Total 3 2 4 22 3" xfId="18579"/>
    <cellStyle name="Total 3 2 4 22 4" xfId="20704"/>
    <cellStyle name="Total 3 2 4 22 5" xfId="28052"/>
    <cellStyle name="Total 3 2 4 22 6" xfId="37548"/>
    <cellStyle name="Total 3 2 4 22 7" xfId="50073"/>
    <cellStyle name="Total 3 2 4 23" xfId="3627"/>
    <cellStyle name="Total 3 2 4 23 2" xfId="11412"/>
    <cellStyle name="Total 3 2 4 23 3" xfId="18686"/>
    <cellStyle name="Total 3 2 4 23 4" xfId="19791"/>
    <cellStyle name="Total 3 2 4 23 5" xfId="27309"/>
    <cellStyle name="Total 3 2 4 23 6" xfId="37196"/>
    <cellStyle name="Total 3 2 4 23 7" xfId="49019"/>
    <cellStyle name="Total 3 2 4 24" xfId="3742"/>
    <cellStyle name="Total 3 2 4 24 2" xfId="11527"/>
    <cellStyle name="Total 3 2 4 24 3" xfId="18797"/>
    <cellStyle name="Total 3 2 4 24 4" xfId="26544"/>
    <cellStyle name="Total 3 2 4 24 5" xfId="35347"/>
    <cellStyle name="Total 3 2 4 24 6" xfId="40635"/>
    <cellStyle name="Total 3 2 4 24 7" xfId="54161"/>
    <cellStyle name="Total 3 2 4 25" xfId="3870"/>
    <cellStyle name="Total 3 2 4 25 2" xfId="11652"/>
    <cellStyle name="Total 3 2 4 25 3" xfId="18907"/>
    <cellStyle name="Total 3 2 4 25 4" xfId="26658"/>
    <cellStyle name="Total 3 2 4 25 5" xfId="35503"/>
    <cellStyle name="Total 3 2 4 25 6" xfId="36869"/>
    <cellStyle name="Total 3 2 4 25 7" xfId="54409"/>
    <cellStyle name="Total 3 2 4 26" xfId="3989"/>
    <cellStyle name="Total 3 2 4 26 2" xfId="11768"/>
    <cellStyle name="Total 3 2 4 26 3" xfId="19015"/>
    <cellStyle name="Total 3 2 4 26 4" xfId="25049"/>
    <cellStyle name="Total 3 2 4 26 5" xfId="33409"/>
    <cellStyle name="Total 3 2 4 26 6" xfId="37920"/>
    <cellStyle name="Total 3 2 4 26 7" xfId="50901"/>
    <cellStyle name="Total 3 2 4 27" xfId="3764"/>
    <cellStyle name="Total 3 2 4 27 2" xfId="11548"/>
    <cellStyle name="Total 3 2 4 27 3" xfId="20614"/>
    <cellStyle name="Total 3 2 4 27 4" xfId="28764"/>
    <cellStyle name="Total 3 2 4 27 5" xfId="38152"/>
    <cellStyle name="Total 3 2 4 27 6" xfId="42540"/>
    <cellStyle name="Total 3 2 4 27 7" xfId="51941"/>
    <cellStyle name="Total 3 2 4 28" xfId="4185"/>
    <cellStyle name="Total 3 2 4 28 2" xfId="11944"/>
    <cellStyle name="Total 3 2 4 28 3" xfId="20895"/>
    <cellStyle name="Total 3 2 4 28 4" xfId="29082"/>
    <cellStyle name="Total 3 2 4 28 5" xfId="38458"/>
    <cellStyle name="Total 3 2 4 28 6" xfId="42747"/>
    <cellStyle name="Total 3 2 4 28 7" xfId="53269"/>
    <cellStyle name="Total 3 2 4 29" xfId="4031"/>
    <cellStyle name="Total 3 2 4 29 2" xfId="20741"/>
    <cellStyle name="Total 3 2 4 29 3" xfId="28928"/>
    <cellStyle name="Total 3 2 4 29 4" xfId="38308"/>
    <cellStyle name="Total 3 2 4 29 5" xfId="42593"/>
    <cellStyle name="Total 3 2 4 29 6" xfId="48232"/>
    <cellStyle name="Total 3 2 4 3" xfId="841"/>
    <cellStyle name="Total 3 2 4 3 2" xfId="8665"/>
    <cellStyle name="Total 3 2 4 3 3" xfId="16093"/>
    <cellStyle name="Total 3 2 4 3 4" xfId="25545"/>
    <cellStyle name="Total 3 2 4 3 5" xfId="34036"/>
    <cellStyle name="Total 3 2 4 3 6" xfId="37809"/>
    <cellStyle name="Total 3 2 4 3 7" xfId="51970"/>
    <cellStyle name="Total 3 2 4 30" xfId="4384"/>
    <cellStyle name="Total 3 2 4 30 2" xfId="12101"/>
    <cellStyle name="Total 3 2 4 30 3" xfId="21094"/>
    <cellStyle name="Total 3 2 4 30 4" xfId="29281"/>
    <cellStyle name="Total 3 2 4 30 5" xfId="38651"/>
    <cellStyle name="Total 3 2 4 30 6" xfId="42946"/>
    <cellStyle name="Total 3 2 4 30 7" xfId="49746"/>
    <cellStyle name="Total 3 2 4 31" xfId="4504"/>
    <cellStyle name="Total 3 2 4 31 2" xfId="12221"/>
    <cellStyle name="Total 3 2 4 31 3" xfId="21214"/>
    <cellStyle name="Total 3 2 4 31 4" xfId="29401"/>
    <cellStyle name="Total 3 2 4 31 5" xfId="38765"/>
    <cellStyle name="Total 3 2 4 31 6" xfId="43066"/>
    <cellStyle name="Total 3 2 4 31 7" xfId="51076"/>
    <cellStyle name="Total 3 2 4 32" xfId="4618"/>
    <cellStyle name="Total 3 2 4 32 2" xfId="12335"/>
    <cellStyle name="Total 3 2 4 32 3" xfId="21328"/>
    <cellStyle name="Total 3 2 4 32 4" xfId="29515"/>
    <cellStyle name="Total 3 2 4 32 5" xfId="38874"/>
    <cellStyle name="Total 3 2 4 32 6" xfId="43180"/>
    <cellStyle name="Total 3 2 4 32 7" xfId="51824"/>
    <cellStyle name="Total 3 2 4 33" xfId="4731"/>
    <cellStyle name="Total 3 2 4 33 2" xfId="12448"/>
    <cellStyle name="Total 3 2 4 33 3" xfId="21441"/>
    <cellStyle name="Total 3 2 4 33 4" xfId="29628"/>
    <cellStyle name="Total 3 2 4 33 5" xfId="38983"/>
    <cellStyle name="Total 3 2 4 33 6" xfId="43293"/>
    <cellStyle name="Total 3 2 4 33 7" xfId="51224"/>
    <cellStyle name="Total 3 2 4 34" xfId="4841"/>
    <cellStyle name="Total 3 2 4 34 2" xfId="12558"/>
    <cellStyle name="Total 3 2 4 34 3" xfId="21551"/>
    <cellStyle name="Total 3 2 4 34 4" xfId="29738"/>
    <cellStyle name="Total 3 2 4 34 5" xfId="39089"/>
    <cellStyle name="Total 3 2 4 34 6" xfId="43403"/>
    <cellStyle name="Total 3 2 4 34 7" xfId="48908"/>
    <cellStyle name="Total 3 2 4 35" xfId="4951"/>
    <cellStyle name="Total 3 2 4 35 2" xfId="12668"/>
    <cellStyle name="Total 3 2 4 35 3" xfId="21661"/>
    <cellStyle name="Total 3 2 4 35 4" xfId="29848"/>
    <cellStyle name="Total 3 2 4 35 5" xfId="39195"/>
    <cellStyle name="Total 3 2 4 35 6" xfId="43513"/>
    <cellStyle name="Total 3 2 4 35 7" xfId="52832"/>
    <cellStyle name="Total 3 2 4 36" xfId="5060"/>
    <cellStyle name="Total 3 2 4 36 2" xfId="12777"/>
    <cellStyle name="Total 3 2 4 36 3" xfId="21770"/>
    <cellStyle name="Total 3 2 4 36 4" xfId="29957"/>
    <cellStyle name="Total 3 2 4 36 5" xfId="39300"/>
    <cellStyle name="Total 3 2 4 36 6" xfId="43622"/>
    <cellStyle name="Total 3 2 4 36 7" xfId="53718"/>
    <cellStyle name="Total 3 2 4 37" xfId="5442"/>
    <cellStyle name="Total 3 2 4 37 2" xfId="13159"/>
    <cellStyle name="Total 3 2 4 37 3" xfId="22152"/>
    <cellStyle name="Total 3 2 4 37 4" xfId="30339"/>
    <cellStyle name="Total 3 2 4 37 5" xfId="39668"/>
    <cellStyle name="Total 3 2 4 37 6" xfId="44004"/>
    <cellStyle name="Total 3 2 4 37 7" xfId="54467"/>
    <cellStyle name="Total 3 2 4 38" xfId="5561"/>
    <cellStyle name="Total 3 2 4 38 2" xfId="13278"/>
    <cellStyle name="Total 3 2 4 38 3" xfId="22271"/>
    <cellStyle name="Total 3 2 4 38 4" xfId="30458"/>
    <cellStyle name="Total 3 2 4 38 5" xfId="39781"/>
    <cellStyle name="Total 3 2 4 38 6" xfId="44123"/>
    <cellStyle name="Total 3 2 4 38 7" xfId="47171"/>
    <cellStyle name="Total 3 2 4 39" xfId="5687"/>
    <cellStyle name="Total 3 2 4 39 2" xfId="13404"/>
    <cellStyle name="Total 3 2 4 39 3" xfId="22397"/>
    <cellStyle name="Total 3 2 4 39 4" xfId="30584"/>
    <cellStyle name="Total 3 2 4 39 5" xfId="39902"/>
    <cellStyle name="Total 3 2 4 39 6" xfId="44249"/>
    <cellStyle name="Total 3 2 4 39 7" xfId="46983"/>
    <cellStyle name="Total 3 2 4 4" xfId="950"/>
    <cellStyle name="Total 3 2 4 4 2" xfId="8774"/>
    <cellStyle name="Total 3 2 4 4 3" xfId="16202"/>
    <cellStyle name="Total 3 2 4 4 4" xfId="20145"/>
    <cellStyle name="Total 3 2 4 4 5" xfId="28031"/>
    <cellStyle name="Total 3 2 4 4 6" xfId="37308"/>
    <cellStyle name="Total 3 2 4 4 7" xfId="48683"/>
    <cellStyle name="Total 3 2 4 40" xfId="5801"/>
    <cellStyle name="Total 3 2 4 40 2" xfId="13518"/>
    <cellStyle name="Total 3 2 4 40 3" xfId="22511"/>
    <cellStyle name="Total 3 2 4 40 4" xfId="30698"/>
    <cellStyle name="Total 3 2 4 40 5" xfId="40013"/>
    <cellStyle name="Total 3 2 4 40 6" xfId="44363"/>
    <cellStyle name="Total 3 2 4 40 7" xfId="48099"/>
    <cellStyle name="Total 3 2 4 41" xfId="5920"/>
    <cellStyle name="Total 3 2 4 41 2" xfId="13637"/>
    <cellStyle name="Total 3 2 4 41 3" xfId="22630"/>
    <cellStyle name="Total 3 2 4 41 4" xfId="30817"/>
    <cellStyle name="Total 3 2 4 41 5" xfId="40129"/>
    <cellStyle name="Total 3 2 4 41 6" xfId="44482"/>
    <cellStyle name="Total 3 2 4 41 7" xfId="47337"/>
    <cellStyle name="Total 3 2 4 42" xfId="6046"/>
    <cellStyle name="Total 3 2 4 42 2" xfId="13763"/>
    <cellStyle name="Total 3 2 4 42 3" xfId="22756"/>
    <cellStyle name="Total 3 2 4 42 4" xfId="30943"/>
    <cellStyle name="Total 3 2 4 42 5" xfId="40250"/>
    <cellStyle name="Total 3 2 4 42 6" xfId="44608"/>
    <cellStyle name="Total 3 2 4 42 7" xfId="49481"/>
    <cellStyle name="Total 3 2 4 43" xfId="6173"/>
    <cellStyle name="Total 3 2 4 43 2" xfId="13890"/>
    <cellStyle name="Total 3 2 4 43 3" xfId="22883"/>
    <cellStyle name="Total 3 2 4 43 4" xfId="31070"/>
    <cellStyle name="Total 3 2 4 43 5" xfId="40371"/>
    <cellStyle name="Total 3 2 4 43 6" xfId="44735"/>
    <cellStyle name="Total 3 2 4 43 7" xfId="50825"/>
    <cellStyle name="Total 3 2 4 44" xfId="6302"/>
    <cellStyle name="Total 3 2 4 44 2" xfId="14019"/>
    <cellStyle name="Total 3 2 4 44 3" xfId="23012"/>
    <cellStyle name="Total 3 2 4 44 4" xfId="31199"/>
    <cellStyle name="Total 3 2 4 44 5" xfId="40499"/>
    <cellStyle name="Total 3 2 4 44 6" xfId="44864"/>
    <cellStyle name="Total 3 2 4 44 7" xfId="53870"/>
    <cellStyle name="Total 3 2 4 45" xfId="6417"/>
    <cellStyle name="Total 3 2 4 45 2" xfId="14134"/>
    <cellStyle name="Total 3 2 4 45 3" xfId="23127"/>
    <cellStyle name="Total 3 2 4 45 4" xfId="31314"/>
    <cellStyle name="Total 3 2 4 45 5" xfId="40609"/>
    <cellStyle name="Total 3 2 4 45 6" xfId="44979"/>
    <cellStyle name="Total 3 2 4 45 7" xfId="47874"/>
    <cellStyle name="Total 3 2 4 46" xfId="6529"/>
    <cellStyle name="Total 3 2 4 46 2" xfId="14246"/>
    <cellStyle name="Total 3 2 4 46 3" xfId="23239"/>
    <cellStyle name="Total 3 2 4 46 4" xfId="31426"/>
    <cellStyle name="Total 3 2 4 46 5" xfId="40717"/>
    <cellStyle name="Total 3 2 4 46 6" xfId="45091"/>
    <cellStyle name="Total 3 2 4 46 7" xfId="50935"/>
    <cellStyle name="Total 3 2 4 47" xfId="5290"/>
    <cellStyle name="Total 3 2 4 47 2" xfId="13007"/>
    <cellStyle name="Total 3 2 4 47 3" xfId="22000"/>
    <cellStyle name="Total 3 2 4 47 4" xfId="30187"/>
    <cellStyle name="Total 3 2 4 47 5" xfId="39521"/>
    <cellStyle name="Total 3 2 4 47 6" xfId="43852"/>
    <cellStyle name="Total 3 2 4 47 7" xfId="51404"/>
    <cellStyle name="Total 3 2 4 48" xfId="6676"/>
    <cellStyle name="Total 3 2 4 48 2" xfId="14393"/>
    <cellStyle name="Total 3 2 4 48 3" xfId="23386"/>
    <cellStyle name="Total 3 2 4 48 4" xfId="31573"/>
    <cellStyle name="Total 3 2 4 48 5" xfId="40857"/>
    <cellStyle name="Total 3 2 4 48 6" xfId="45238"/>
    <cellStyle name="Total 3 2 4 48 7" xfId="50436"/>
    <cellStyle name="Total 3 2 4 49" xfId="6788"/>
    <cellStyle name="Total 3 2 4 49 2" xfId="14505"/>
    <cellStyle name="Total 3 2 4 49 3" xfId="23498"/>
    <cellStyle name="Total 3 2 4 49 4" xfId="31685"/>
    <cellStyle name="Total 3 2 4 49 5" xfId="40964"/>
    <cellStyle name="Total 3 2 4 49 6" xfId="45350"/>
    <cellStyle name="Total 3 2 4 49 7" xfId="53245"/>
    <cellStyle name="Total 3 2 4 5" xfId="1420"/>
    <cellStyle name="Total 3 2 4 5 2" xfId="9243"/>
    <cellStyle name="Total 3 2 4 5 3" xfId="16671"/>
    <cellStyle name="Total 3 2 4 5 4" xfId="26635"/>
    <cellStyle name="Total 3 2 4 5 5" xfId="35470"/>
    <cellStyle name="Total 3 2 4 5 6" xfId="41834"/>
    <cellStyle name="Total 3 2 4 5 7" xfId="54354"/>
    <cellStyle name="Total 3 2 4 50" xfId="6902"/>
    <cellStyle name="Total 3 2 4 50 2" xfId="14619"/>
    <cellStyle name="Total 3 2 4 50 3" xfId="23612"/>
    <cellStyle name="Total 3 2 4 50 4" xfId="31799"/>
    <cellStyle name="Total 3 2 4 50 5" xfId="41071"/>
    <cellStyle name="Total 3 2 4 50 6" xfId="45464"/>
    <cellStyle name="Total 3 2 4 50 7" xfId="46822"/>
    <cellStyle name="Total 3 2 4 51" xfId="7015"/>
    <cellStyle name="Total 3 2 4 51 2" xfId="14732"/>
    <cellStyle name="Total 3 2 4 51 3" xfId="23725"/>
    <cellStyle name="Total 3 2 4 51 4" xfId="31912"/>
    <cellStyle name="Total 3 2 4 51 5" xfId="41179"/>
    <cellStyle name="Total 3 2 4 51 6" xfId="45577"/>
    <cellStyle name="Total 3 2 4 51 7" xfId="54544"/>
    <cellStyle name="Total 3 2 4 52" xfId="7124"/>
    <cellStyle name="Total 3 2 4 52 2" xfId="14841"/>
    <cellStyle name="Total 3 2 4 52 3" xfId="23834"/>
    <cellStyle name="Total 3 2 4 52 4" xfId="32021"/>
    <cellStyle name="Total 3 2 4 52 5" xfId="41283"/>
    <cellStyle name="Total 3 2 4 52 6" xfId="45686"/>
    <cellStyle name="Total 3 2 4 52 7" xfId="52743"/>
    <cellStyle name="Total 3 2 4 53" xfId="7374"/>
    <cellStyle name="Total 3 2 4 53 2" xfId="15091"/>
    <cellStyle name="Total 3 2 4 53 3" xfId="24084"/>
    <cellStyle name="Total 3 2 4 53 4" xfId="32271"/>
    <cellStyle name="Total 3 2 4 53 5" xfId="41527"/>
    <cellStyle name="Total 3 2 4 53 6" xfId="45936"/>
    <cellStyle name="Total 3 2 4 53 7" xfId="48803"/>
    <cellStyle name="Total 3 2 4 54" xfId="7398"/>
    <cellStyle name="Total 3 2 4 54 2" xfId="15115"/>
    <cellStyle name="Total 3 2 4 54 3" xfId="24108"/>
    <cellStyle name="Total 3 2 4 54 4" xfId="32295"/>
    <cellStyle name="Total 3 2 4 54 5" xfId="41548"/>
    <cellStyle name="Total 3 2 4 54 6" xfId="45960"/>
    <cellStyle name="Total 3 2 4 54 7" xfId="53565"/>
    <cellStyle name="Total 3 2 4 55" xfId="7521"/>
    <cellStyle name="Total 3 2 4 55 2" xfId="15238"/>
    <cellStyle name="Total 3 2 4 55 3" xfId="24231"/>
    <cellStyle name="Total 3 2 4 55 4" xfId="32418"/>
    <cellStyle name="Total 3 2 4 55 5" xfId="41664"/>
    <cellStyle name="Total 3 2 4 55 6" xfId="46083"/>
    <cellStyle name="Total 3 2 4 55 7" xfId="49381"/>
    <cellStyle name="Total 3 2 4 56" xfId="7642"/>
    <cellStyle name="Total 3 2 4 56 2" xfId="15359"/>
    <cellStyle name="Total 3 2 4 56 3" xfId="24352"/>
    <cellStyle name="Total 3 2 4 56 4" xfId="32539"/>
    <cellStyle name="Total 3 2 4 56 5" xfId="41781"/>
    <cellStyle name="Total 3 2 4 56 6" xfId="46204"/>
    <cellStyle name="Total 3 2 4 56 7" xfId="51869"/>
    <cellStyle name="Total 3 2 4 57" xfId="7920"/>
    <cellStyle name="Total 3 2 4 57 2" xfId="15637"/>
    <cellStyle name="Total 3 2 4 57 3" xfId="24624"/>
    <cellStyle name="Total 3 2 4 57 4" xfId="32817"/>
    <cellStyle name="Total 3 2 4 57 5" xfId="42048"/>
    <cellStyle name="Total 3 2 4 57 6" xfId="46482"/>
    <cellStyle name="Total 3 2 4 57 7" xfId="50891"/>
    <cellStyle name="Total 3 2 4 58" xfId="8048"/>
    <cellStyle name="Total 3 2 4 58 2" xfId="15765"/>
    <cellStyle name="Total 3 2 4 58 3" xfId="24750"/>
    <cellStyle name="Total 3 2 4 58 4" xfId="32945"/>
    <cellStyle name="Total 3 2 4 58 5" xfId="42170"/>
    <cellStyle name="Total 3 2 4 58 6" xfId="46610"/>
    <cellStyle name="Total 3 2 4 58 7" xfId="52273"/>
    <cellStyle name="Total 3 2 4 59" xfId="7747"/>
    <cellStyle name="Total 3 2 4 59 2" xfId="15464"/>
    <cellStyle name="Total 3 2 4 59 3" xfId="24455"/>
    <cellStyle name="Total 3 2 4 59 4" xfId="32644"/>
    <cellStyle name="Total 3 2 4 59 5" xfId="41880"/>
    <cellStyle name="Total 3 2 4 59 6" xfId="46309"/>
    <cellStyle name="Total 3 2 4 59 7" xfId="53423"/>
    <cellStyle name="Total 3 2 4 6" xfId="1543"/>
    <cellStyle name="Total 3 2 4 6 2" xfId="9366"/>
    <cellStyle name="Total 3 2 4 6 3" xfId="16794"/>
    <cellStyle name="Total 3 2 4 6 4" xfId="25378"/>
    <cellStyle name="Total 3 2 4 6 5" xfId="33825"/>
    <cellStyle name="Total 3 2 4 6 6" xfId="37397"/>
    <cellStyle name="Total 3 2 4 6 7" xfId="51603"/>
    <cellStyle name="Total 3 2 4 60" xfId="8194"/>
    <cellStyle name="Total 3 2 4 60 2" xfId="15911"/>
    <cellStyle name="Total 3 2 4 60 3" xfId="33091"/>
    <cellStyle name="Total 3 2 4 60 4" xfId="42310"/>
    <cellStyle name="Total 3 2 4 60 5" xfId="46756"/>
    <cellStyle name="Total 3 2 4 60 6" xfId="46860"/>
    <cellStyle name="Total 3 2 4 61" xfId="24874"/>
    <cellStyle name="Total 3 2 4 62" xfId="33188"/>
    <cellStyle name="Total 3 2 4 63" xfId="36563"/>
    <cellStyle name="Total 3 2 4 64" xfId="50506"/>
    <cellStyle name="Total 3 2 4 7" xfId="1118"/>
    <cellStyle name="Total 3 2 4 7 2" xfId="8941"/>
    <cellStyle name="Total 3 2 4 7 3" xfId="16369"/>
    <cellStyle name="Total 3 2 4 7 4" xfId="26053"/>
    <cellStyle name="Total 3 2 4 7 5" xfId="34694"/>
    <cellStyle name="Total 3 2 4 7 6" xfId="36621"/>
    <cellStyle name="Total 3 2 4 7 7" xfId="53111"/>
    <cellStyle name="Total 3 2 4 8" xfId="1781"/>
    <cellStyle name="Total 3 2 4 8 2" xfId="9604"/>
    <cellStyle name="Total 3 2 4 8 3" xfId="17032"/>
    <cellStyle name="Total 3 2 4 8 4" xfId="20665"/>
    <cellStyle name="Total 3 2 4 8 5" xfId="28364"/>
    <cellStyle name="Total 3 2 4 8 6" xfId="37166"/>
    <cellStyle name="Total 3 2 4 8 7" xfId="48036"/>
    <cellStyle name="Total 3 2 4 9" xfId="1913"/>
    <cellStyle name="Total 3 2 4 9 2" xfId="9736"/>
    <cellStyle name="Total 3 2 4 9 3" xfId="17164"/>
    <cellStyle name="Total 3 2 4 9 4" xfId="19840"/>
    <cellStyle name="Total 3 2 4 9 5" xfId="28612"/>
    <cellStyle name="Total 3 2 4 9 6" xfId="41418"/>
    <cellStyle name="Total 3 2 4 9 7" xfId="48931"/>
    <cellStyle name="Total 3 2 40" xfId="4077"/>
    <cellStyle name="Total 3 2 40 2" xfId="11839"/>
    <cellStyle name="Total 3 2 40 3" xfId="20787"/>
    <cellStyle name="Total 3 2 40 4" xfId="28974"/>
    <cellStyle name="Total 3 2 40 5" xfId="38353"/>
    <cellStyle name="Total 3 2 40 6" xfId="42639"/>
    <cellStyle name="Total 3 2 40 7" xfId="48930"/>
    <cellStyle name="Total 3 2 41" xfId="4950"/>
    <cellStyle name="Total 3 2 41 2" xfId="12667"/>
    <cellStyle name="Total 3 2 41 3" xfId="21660"/>
    <cellStyle name="Total 3 2 41 4" xfId="29847"/>
    <cellStyle name="Total 3 2 41 5" xfId="39194"/>
    <cellStyle name="Total 3 2 41 6" xfId="43512"/>
    <cellStyle name="Total 3 2 41 7" xfId="52937"/>
    <cellStyle name="Total 3 2 42" xfId="5175"/>
    <cellStyle name="Total 3 2 42 2" xfId="12892"/>
    <cellStyle name="Total 3 2 42 3" xfId="21885"/>
    <cellStyle name="Total 3 2 42 4" xfId="30072"/>
    <cellStyle name="Total 3 2 42 5" xfId="39411"/>
    <cellStyle name="Total 3 2 42 6" xfId="43737"/>
    <cellStyle name="Total 3 2 42 7" xfId="52067"/>
    <cellStyle name="Total 3 2 43" xfId="5441"/>
    <cellStyle name="Total 3 2 43 2" xfId="13158"/>
    <cellStyle name="Total 3 2 43 3" xfId="22151"/>
    <cellStyle name="Total 3 2 43 4" xfId="30338"/>
    <cellStyle name="Total 3 2 43 5" xfId="39667"/>
    <cellStyle name="Total 3 2 43 6" xfId="44003"/>
    <cellStyle name="Total 3 2 43 7" xfId="48306"/>
    <cellStyle name="Total 3 2 44" xfId="5501"/>
    <cellStyle name="Total 3 2 44 2" xfId="13218"/>
    <cellStyle name="Total 3 2 44 3" xfId="22211"/>
    <cellStyle name="Total 3 2 44 4" xfId="30398"/>
    <cellStyle name="Total 3 2 44 5" xfId="39723"/>
    <cellStyle name="Total 3 2 44 6" xfId="44063"/>
    <cellStyle name="Total 3 2 44 7" xfId="47281"/>
    <cellStyle name="Total 3 2 45" xfId="5090"/>
    <cellStyle name="Total 3 2 45 2" xfId="12807"/>
    <cellStyle name="Total 3 2 45 3" xfId="21800"/>
    <cellStyle name="Total 3 2 45 4" xfId="29987"/>
    <cellStyle name="Total 3 2 45 5" xfId="39330"/>
    <cellStyle name="Total 3 2 45 6" xfId="43652"/>
    <cellStyle name="Total 3 2 45 7" xfId="52089"/>
    <cellStyle name="Total 3 2 46" xfId="5373"/>
    <cellStyle name="Total 3 2 46 2" xfId="13090"/>
    <cellStyle name="Total 3 2 46 3" xfId="22083"/>
    <cellStyle name="Total 3 2 46 4" xfId="30270"/>
    <cellStyle name="Total 3 2 46 5" xfId="39601"/>
    <cellStyle name="Total 3 2 46 6" xfId="43935"/>
    <cellStyle name="Total 3 2 46 7" xfId="48151"/>
    <cellStyle name="Total 3 2 47" xfId="5101"/>
    <cellStyle name="Total 3 2 47 2" xfId="12818"/>
    <cellStyle name="Total 3 2 47 3" xfId="21811"/>
    <cellStyle name="Total 3 2 47 4" xfId="29998"/>
    <cellStyle name="Total 3 2 47 5" xfId="39339"/>
    <cellStyle name="Total 3 2 47 6" xfId="43663"/>
    <cellStyle name="Total 3 2 47 7" xfId="49634"/>
    <cellStyle name="Total 3 2 48" xfId="5315"/>
    <cellStyle name="Total 3 2 48 2" xfId="13032"/>
    <cellStyle name="Total 3 2 48 3" xfId="22025"/>
    <cellStyle name="Total 3 2 48 4" xfId="30212"/>
    <cellStyle name="Total 3 2 48 5" xfId="39546"/>
    <cellStyle name="Total 3 2 48 6" xfId="43877"/>
    <cellStyle name="Total 3 2 48 7" xfId="52643"/>
    <cellStyle name="Total 3 2 49" xfId="5321"/>
    <cellStyle name="Total 3 2 49 2" xfId="13038"/>
    <cellStyle name="Total 3 2 49 3" xfId="22031"/>
    <cellStyle name="Total 3 2 49 4" xfId="30218"/>
    <cellStyle name="Total 3 2 49 5" xfId="39552"/>
    <cellStyle name="Total 3 2 49 6" xfId="43883"/>
    <cellStyle name="Total 3 2 49 7" xfId="52060"/>
    <cellStyle name="Total 3 2 5" xfId="573"/>
    <cellStyle name="Total 3 2 5 10" xfId="2020"/>
    <cellStyle name="Total 3 2 5 10 2" xfId="9843"/>
    <cellStyle name="Total 3 2 5 10 3" xfId="17271"/>
    <cellStyle name="Total 3 2 5 10 4" xfId="24962"/>
    <cellStyle name="Total 3 2 5 10 5" xfId="33300"/>
    <cellStyle name="Total 3 2 5 10 6" xfId="36797"/>
    <cellStyle name="Total 3 2 5 10 7" xfId="50701"/>
    <cellStyle name="Total 3 2 5 11" xfId="2137"/>
    <cellStyle name="Total 3 2 5 11 2" xfId="9960"/>
    <cellStyle name="Total 3 2 5 11 3" xfId="17388"/>
    <cellStyle name="Total 3 2 5 11 4" xfId="25185"/>
    <cellStyle name="Total 3 2 5 11 5" xfId="33568"/>
    <cellStyle name="Total 3 2 5 11 6" xfId="36366"/>
    <cellStyle name="Total 3 2 5 11 7" xfId="51186"/>
    <cellStyle name="Total 3 2 5 12" xfId="2251"/>
    <cellStyle name="Total 3 2 5 12 2" xfId="10074"/>
    <cellStyle name="Total 3 2 5 12 3" xfId="17502"/>
    <cellStyle name="Total 3 2 5 12 4" xfId="25782"/>
    <cellStyle name="Total 3 2 5 12 5" xfId="34345"/>
    <cellStyle name="Total 3 2 5 12 6" xfId="39733"/>
    <cellStyle name="Total 3 2 5 12 7" xfId="52512"/>
    <cellStyle name="Total 3 2 5 13" xfId="1649"/>
    <cellStyle name="Total 3 2 5 13 2" xfId="9472"/>
    <cellStyle name="Total 3 2 5 13 3" xfId="16900"/>
    <cellStyle name="Total 3 2 5 13 4" xfId="25749"/>
    <cellStyle name="Total 3 2 5 13 5" xfId="34300"/>
    <cellStyle name="Total 3 2 5 13 6" xfId="40921"/>
    <cellStyle name="Total 3 2 5 13 7" xfId="52427"/>
    <cellStyle name="Total 3 2 5 14" xfId="1024"/>
    <cellStyle name="Total 3 2 5 14 2" xfId="8848"/>
    <cellStyle name="Total 3 2 5 14 3" xfId="16276"/>
    <cellStyle name="Total 3 2 5 14 4" xfId="25409"/>
    <cellStyle name="Total 3 2 5 14 5" xfId="33865"/>
    <cellStyle name="Total 3 2 5 14 6" xfId="36908"/>
    <cellStyle name="Total 3 2 5 14 7" xfId="51670"/>
    <cellStyle name="Total 3 2 5 15" xfId="2548"/>
    <cellStyle name="Total 3 2 5 15 2" xfId="10371"/>
    <cellStyle name="Total 3 2 5 15 3" xfId="17799"/>
    <cellStyle name="Total 3 2 5 15 4" xfId="19665"/>
    <cellStyle name="Total 3 2 5 15 5" xfId="28252"/>
    <cellStyle name="Total 3 2 5 15 6" xfId="40476"/>
    <cellStyle name="Total 3 2 5 15 7" xfId="47357"/>
    <cellStyle name="Total 3 2 5 16" xfId="2662"/>
    <cellStyle name="Total 3 2 5 16 2" xfId="10485"/>
    <cellStyle name="Total 3 2 5 16 3" xfId="17913"/>
    <cellStyle name="Total 3 2 5 16 4" xfId="19775"/>
    <cellStyle name="Total 3 2 5 16 5" xfId="27206"/>
    <cellStyle name="Total 3 2 5 16 6" xfId="40249"/>
    <cellStyle name="Total 3 2 5 16 7" xfId="49562"/>
    <cellStyle name="Total 3 2 5 17" xfId="1924"/>
    <cellStyle name="Total 3 2 5 17 2" xfId="9747"/>
    <cellStyle name="Total 3 2 5 17 3" xfId="17175"/>
    <cellStyle name="Total 3 2 5 17 4" xfId="26682"/>
    <cellStyle name="Total 3 2 5 17 5" xfId="35529"/>
    <cellStyle name="Total 3 2 5 17 6" xfId="41867"/>
    <cellStyle name="Total 3 2 5 17 7" xfId="54453"/>
    <cellStyle name="Total 3 2 5 18" xfId="1433"/>
    <cellStyle name="Total 3 2 5 18 2" xfId="9256"/>
    <cellStyle name="Total 3 2 5 18 3" xfId="16684"/>
    <cellStyle name="Total 3 2 5 18 4" xfId="25971"/>
    <cellStyle name="Total 3 2 5 18 5" xfId="34581"/>
    <cellStyle name="Total 3 2 5 18 6" xfId="40392"/>
    <cellStyle name="Total 3 2 5 18 7" xfId="52927"/>
    <cellStyle name="Total 3 2 5 19" xfId="2853"/>
    <cellStyle name="Total 3 2 5 19 2" xfId="10676"/>
    <cellStyle name="Total 3 2 5 19 3" xfId="18104"/>
    <cellStyle name="Total 3 2 5 19 4" xfId="26150"/>
    <cellStyle name="Total 3 2 5 19 5" xfId="34819"/>
    <cellStyle name="Total 3 2 5 19 6" xfId="38945"/>
    <cellStyle name="Total 3 2 5 19 7" xfId="53320"/>
    <cellStyle name="Total 3 2 5 2" xfId="721"/>
    <cellStyle name="Total 3 2 5 2 2" xfId="8545"/>
    <cellStyle name="Total 3 2 5 2 3" xfId="15973"/>
    <cellStyle name="Total 3 2 5 2 4" xfId="25269"/>
    <cellStyle name="Total 3 2 5 2 5" xfId="33677"/>
    <cellStyle name="Total 3 2 5 2 6" xfId="38236"/>
    <cellStyle name="Total 3 2 5 2 7" xfId="51367"/>
    <cellStyle name="Total 3 2 5 20" xfId="2960"/>
    <cellStyle name="Total 3 2 5 20 2" xfId="10783"/>
    <cellStyle name="Total 3 2 5 20 3" xfId="18211"/>
    <cellStyle name="Total 3 2 5 20 4" xfId="19977"/>
    <cellStyle name="Total 3 2 5 20 5" xfId="28808"/>
    <cellStyle name="Total 3 2 5 20 6" xfId="38251"/>
    <cellStyle name="Total 3 2 5 20 7" xfId="50031"/>
    <cellStyle name="Total 3 2 5 21" xfId="3337"/>
    <cellStyle name="Total 3 2 5 21 2" xfId="11130"/>
    <cellStyle name="Total 3 2 5 21 3" xfId="18458"/>
    <cellStyle name="Total 3 2 5 21 4" xfId="26480"/>
    <cellStyle name="Total 3 2 5 21 5" xfId="35264"/>
    <cellStyle name="Total 3 2 5 21 6" xfId="38302"/>
    <cellStyle name="Total 3 2 5 21 7" xfId="54031"/>
    <cellStyle name="Total 3 2 5 22" xfId="3456"/>
    <cellStyle name="Total 3 2 5 22 2" xfId="11247"/>
    <cellStyle name="Total 3 2 5 22 3" xfId="18569"/>
    <cellStyle name="Total 3 2 5 22 4" xfId="20456"/>
    <cellStyle name="Total 3 2 5 22 5" xfId="28540"/>
    <cellStyle name="Total 3 2 5 22 6" xfId="38327"/>
    <cellStyle name="Total 3 2 5 22 7" xfId="47664"/>
    <cellStyle name="Total 3 2 5 23" xfId="3616"/>
    <cellStyle name="Total 3 2 5 23 2" xfId="11402"/>
    <cellStyle name="Total 3 2 5 23 3" xfId="18676"/>
    <cellStyle name="Total 3 2 5 23 4" xfId="19056"/>
    <cellStyle name="Total 3 2 5 23 5" xfId="33171"/>
    <cellStyle name="Total 3 2 5 23 6" xfId="37912"/>
    <cellStyle name="Total 3 2 5 23 7" xfId="50477"/>
    <cellStyle name="Total 3 2 5 24" xfId="3729"/>
    <cellStyle name="Total 3 2 5 24 2" xfId="11514"/>
    <cellStyle name="Total 3 2 5 24 3" xfId="18786"/>
    <cellStyle name="Total 3 2 5 24 4" xfId="24995"/>
    <cellStyle name="Total 3 2 5 24 5" xfId="33344"/>
    <cellStyle name="Total 3 2 5 24 6" xfId="36816"/>
    <cellStyle name="Total 3 2 5 24 7" xfId="50783"/>
    <cellStyle name="Total 3 2 5 25" xfId="3858"/>
    <cellStyle name="Total 3 2 5 25 2" xfId="11640"/>
    <cellStyle name="Total 3 2 5 25 3" xfId="18896"/>
    <cellStyle name="Total 3 2 5 25 4" xfId="20066"/>
    <cellStyle name="Total 3 2 5 25 5" xfId="27818"/>
    <cellStyle name="Total 3 2 5 25 6" xfId="39495"/>
    <cellStyle name="Total 3 2 5 25 7" xfId="48631"/>
    <cellStyle name="Total 3 2 5 26" xfId="3977"/>
    <cellStyle name="Total 3 2 5 26 2" xfId="11756"/>
    <cellStyle name="Total 3 2 5 26 3" xfId="19005"/>
    <cellStyle name="Total 3 2 5 26 4" xfId="25714"/>
    <cellStyle name="Total 3 2 5 26 5" xfId="34256"/>
    <cellStyle name="Total 3 2 5 26 6" xfId="38798"/>
    <cellStyle name="Total 3 2 5 26 7" xfId="52347"/>
    <cellStyle name="Total 3 2 5 27" xfId="3171"/>
    <cellStyle name="Total 3 2 5 27 2" xfId="10972"/>
    <cellStyle name="Total 3 2 5 27 3" xfId="20304"/>
    <cellStyle name="Total 3 2 5 27 4" xfId="28394"/>
    <cellStyle name="Total 3 2 5 27 5" xfId="37782"/>
    <cellStyle name="Total 3 2 5 27 6" xfId="42421"/>
    <cellStyle name="Total 3 2 5 27 7" xfId="52454"/>
    <cellStyle name="Total 3 2 5 28" xfId="4173"/>
    <cellStyle name="Total 3 2 5 28 2" xfId="11932"/>
    <cellStyle name="Total 3 2 5 28 3" xfId="20883"/>
    <cellStyle name="Total 3 2 5 28 4" xfId="29070"/>
    <cellStyle name="Total 3 2 5 28 5" xfId="38446"/>
    <cellStyle name="Total 3 2 5 28 6" xfId="42735"/>
    <cellStyle name="Total 3 2 5 28 7" xfId="54483"/>
    <cellStyle name="Total 3 2 5 29" xfId="4227"/>
    <cellStyle name="Total 3 2 5 29 2" xfId="20937"/>
    <cellStyle name="Total 3 2 5 29 3" xfId="29124"/>
    <cellStyle name="Total 3 2 5 29 4" xfId="38499"/>
    <cellStyle name="Total 3 2 5 29 5" xfId="42789"/>
    <cellStyle name="Total 3 2 5 29 6" xfId="48971"/>
    <cellStyle name="Total 3 2 5 3" xfId="830"/>
    <cellStyle name="Total 3 2 5 3 2" xfId="8654"/>
    <cellStyle name="Total 3 2 5 3 3" xfId="16082"/>
    <cellStyle name="Total 3 2 5 3 4" xfId="26014"/>
    <cellStyle name="Total 3 2 5 3 5" xfId="34641"/>
    <cellStyle name="Total 3 2 5 3 6" xfId="37279"/>
    <cellStyle name="Total 3 2 5 3 7" xfId="53021"/>
    <cellStyle name="Total 3 2 5 30" xfId="4371"/>
    <cellStyle name="Total 3 2 5 30 2" xfId="12088"/>
    <cellStyle name="Total 3 2 5 30 3" xfId="21081"/>
    <cellStyle name="Total 3 2 5 30 4" xfId="29268"/>
    <cellStyle name="Total 3 2 5 30 5" xfId="38638"/>
    <cellStyle name="Total 3 2 5 30 6" xfId="42933"/>
    <cellStyle name="Total 3 2 5 30 7" xfId="47637"/>
    <cellStyle name="Total 3 2 5 31" xfId="4493"/>
    <cellStyle name="Total 3 2 5 31 2" xfId="12210"/>
    <cellStyle name="Total 3 2 5 31 3" xfId="21203"/>
    <cellStyle name="Total 3 2 5 31 4" xfId="29390"/>
    <cellStyle name="Total 3 2 5 31 5" xfId="38754"/>
    <cellStyle name="Total 3 2 5 31 6" xfId="43055"/>
    <cellStyle name="Total 3 2 5 31 7" xfId="52422"/>
    <cellStyle name="Total 3 2 5 32" xfId="4607"/>
    <cellStyle name="Total 3 2 5 32 2" xfId="12324"/>
    <cellStyle name="Total 3 2 5 32 3" xfId="21317"/>
    <cellStyle name="Total 3 2 5 32 4" xfId="29504"/>
    <cellStyle name="Total 3 2 5 32 5" xfId="38863"/>
    <cellStyle name="Total 3 2 5 32 6" xfId="43169"/>
    <cellStyle name="Total 3 2 5 32 7" xfId="49003"/>
    <cellStyle name="Total 3 2 5 33" xfId="4720"/>
    <cellStyle name="Total 3 2 5 33 2" xfId="12437"/>
    <cellStyle name="Total 3 2 5 33 3" xfId="21430"/>
    <cellStyle name="Total 3 2 5 33 4" xfId="29617"/>
    <cellStyle name="Total 3 2 5 33 5" xfId="38972"/>
    <cellStyle name="Total 3 2 5 33 6" xfId="43282"/>
    <cellStyle name="Total 3 2 5 33 7" xfId="52552"/>
    <cellStyle name="Total 3 2 5 34" xfId="4830"/>
    <cellStyle name="Total 3 2 5 34 2" xfId="12547"/>
    <cellStyle name="Total 3 2 5 34 3" xfId="21540"/>
    <cellStyle name="Total 3 2 5 34 4" xfId="29727"/>
    <cellStyle name="Total 3 2 5 34 5" xfId="39079"/>
    <cellStyle name="Total 3 2 5 34 6" xfId="43392"/>
    <cellStyle name="Total 3 2 5 34 7" xfId="48668"/>
    <cellStyle name="Total 3 2 5 35" xfId="4940"/>
    <cellStyle name="Total 3 2 5 35 2" xfId="12657"/>
    <cellStyle name="Total 3 2 5 35 3" xfId="21650"/>
    <cellStyle name="Total 3 2 5 35 4" xfId="29837"/>
    <cellStyle name="Total 3 2 5 35 5" xfId="39184"/>
    <cellStyle name="Total 3 2 5 35 6" xfId="43502"/>
    <cellStyle name="Total 3 2 5 35 7" xfId="53865"/>
    <cellStyle name="Total 3 2 5 36" xfId="5050"/>
    <cellStyle name="Total 3 2 5 36 2" xfId="12767"/>
    <cellStyle name="Total 3 2 5 36 3" xfId="21760"/>
    <cellStyle name="Total 3 2 5 36 4" xfId="29947"/>
    <cellStyle name="Total 3 2 5 36 5" xfId="39291"/>
    <cellStyle name="Total 3 2 5 36 6" xfId="43612"/>
    <cellStyle name="Total 3 2 5 36 7" xfId="47704"/>
    <cellStyle name="Total 3 2 5 37" xfId="5430"/>
    <cellStyle name="Total 3 2 5 37 2" xfId="13147"/>
    <cellStyle name="Total 3 2 5 37 3" xfId="22140"/>
    <cellStyle name="Total 3 2 5 37 4" xfId="30327"/>
    <cellStyle name="Total 3 2 5 37 5" xfId="39656"/>
    <cellStyle name="Total 3 2 5 37 6" xfId="43992"/>
    <cellStyle name="Total 3 2 5 37 7" xfId="49687"/>
    <cellStyle name="Total 3 2 5 38" xfId="5550"/>
    <cellStyle name="Total 3 2 5 38 2" xfId="13267"/>
    <cellStyle name="Total 3 2 5 38 3" xfId="22260"/>
    <cellStyle name="Total 3 2 5 38 4" xfId="30447"/>
    <cellStyle name="Total 3 2 5 38 5" xfId="39770"/>
    <cellStyle name="Total 3 2 5 38 6" xfId="44112"/>
    <cellStyle name="Total 3 2 5 38 7" xfId="46846"/>
    <cellStyle name="Total 3 2 5 39" xfId="5674"/>
    <cellStyle name="Total 3 2 5 39 2" xfId="13391"/>
    <cellStyle name="Total 3 2 5 39 3" xfId="22384"/>
    <cellStyle name="Total 3 2 5 39 4" xfId="30571"/>
    <cellStyle name="Total 3 2 5 39 5" xfId="39891"/>
    <cellStyle name="Total 3 2 5 39 6" xfId="44236"/>
    <cellStyle name="Total 3 2 5 39 7" xfId="47099"/>
    <cellStyle name="Total 3 2 5 4" xfId="940"/>
    <cellStyle name="Total 3 2 5 4 2" xfId="8764"/>
    <cellStyle name="Total 3 2 5 4 3" xfId="16192"/>
    <cellStyle name="Total 3 2 5 4 4" xfId="20147"/>
    <cellStyle name="Total 3 2 5 4 5" xfId="28848"/>
    <cellStyle name="Total 3 2 5 4 6" xfId="37652"/>
    <cellStyle name="Total 3 2 5 4 7" xfId="47455"/>
    <cellStyle name="Total 3 2 5 40" xfId="5790"/>
    <cellStyle name="Total 3 2 5 40 2" xfId="13507"/>
    <cellStyle name="Total 3 2 5 40 3" xfId="22500"/>
    <cellStyle name="Total 3 2 5 40 4" xfId="30687"/>
    <cellStyle name="Total 3 2 5 40 5" xfId="40003"/>
    <cellStyle name="Total 3 2 5 40 6" xfId="44352"/>
    <cellStyle name="Total 3 2 5 40 7" xfId="48214"/>
    <cellStyle name="Total 3 2 5 41" xfId="5907"/>
    <cellStyle name="Total 3 2 5 41 2" xfId="13624"/>
    <cellStyle name="Total 3 2 5 41 3" xfId="22617"/>
    <cellStyle name="Total 3 2 5 41 4" xfId="30804"/>
    <cellStyle name="Total 3 2 5 41 5" xfId="40117"/>
    <cellStyle name="Total 3 2 5 41 6" xfId="44469"/>
    <cellStyle name="Total 3 2 5 41 7" xfId="47251"/>
    <cellStyle name="Total 3 2 5 42" xfId="6035"/>
    <cellStyle name="Total 3 2 5 42 2" xfId="13752"/>
    <cellStyle name="Total 3 2 5 42 3" xfId="22745"/>
    <cellStyle name="Total 3 2 5 42 4" xfId="30932"/>
    <cellStyle name="Total 3 2 5 42 5" xfId="40240"/>
    <cellStyle name="Total 3 2 5 42 6" xfId="44597"/>
    <cellStyle name="Total 3 2 5 42 7" xfId="50760"/>
    <cellStyle name="Total 3 2 5 43" xfId="6162"/>
    <cellStyle name="Total 3 2 5 43 2" xfId="13879"/>
    <cellStyle name="Total 3 2 5 43 3" xfId="22872"/>
    <cellStyle name="Total 3 2 5 43 4" xfId="31059"/>
    <cellStyle name="Total 3 2 5 43 5" xfId="40360"/>
    <cellStyle name="Total 3 2 5 43 6" xfId="44724"/>
    <cellStyle name="Total 3 2 5 43 7" xfId="52162"/>
    <cellStyle name="Total 3 2 5 44" xfId="6291"/>
    <cellStyle name="Total 3 2 5 44 2" xfId="14008"/>
    <cellStyle name="Total 3 2 5 44 3" xfId="23001"/>
    <cellStyle name="Total 3 2 5 44 4" xfId="31188"/>
    <cellStyle name="Total 3 2 5 44 5" xfId="40488"/>
    <cellStyle name="Total 3 2 5 44 6" xfId="44853"/>
    <cellStyle name="Total 3 2 5 44 7" xfId="46969"/>
    <cellStyle name="Total 3 2 5 45" xfId="6406"/>
    <cellStyle name="Total 3 2 5 45 2" xfId="14123"/>
    <cellStyle name="Total 3 2 5 45 3" xfId="23116"/>
    <cellStyle name="Total 3 2 5 45 4" xfId="31303"/>
    <cellStyle name="Total 3 2 5 45 5" xfId="40599"/>
    <cellStyle name="Total 3 2 5 45 6" xfId="44968"/>
    <cellStyle name="Total 3 2 5 45 7" xfId="49178"/>
    <cellStyle name="Total 3 2 5 46" xfId="6518"/>
    <cellStyle name="Total 3 2 5 46 2" xfId="14235"/>
    <cellStyle name="Total 3 2 5 46 3" xfId="23228"/>
    <cellStyle name="Total 3 2 5 46 4" xfId="31415"/>
    <cellStyle name="Total 3 2 5 46 5" xfId="40707"/>
    <cellStyle name="Total 3 2 5 46 6" xfId="45080"/>
    <cellStyle name="Total 3 2 5 46 7" xfId="51580"/>
    <cellStyle name="Total 3 2 5 47" xfId="6129"/>
    <cellStyle name="Total 3 2 5 47 2" xfId="13846"/>
    <cellStyle name="Total 3 2 5 47 3" xfId="22839"/>
    <cellStyle name="Total 3 2 5 47 4" xfId="31026"/>
    <cellStyle name="Total 3 2 5 47 5" xfId="40327"/>
    <cellStyle name="Total 3 2 5 47 6" xfId="44691"/>
    <cellStyle name="Total 3 2 5 47 7" xfId="49827"/>
    <cellStyle name="Total 3 2 5 48" xfId="6665"/>
    <cellStyle name="Total 3 2 5 48 2" xfId="14382"/>
    <cellStyle name="Total 3 2 5 48 3" xfId="23375"/>
    <cellStyle name="Total 3 2 5 48 4" xfId="31562"/>
    <cellStyle name="Total 3 2 5 48 5" xfId="40846"/>
    <cellStyle name="Total 3 2 5 48 6" xfId="45227"/>
    <cellStyle name="Total 3 2 5 48 7" xfId="51459"/>
    <cellStyle name="Total 3 2 5 49" xfId="6776"/>
    <cellStyle name="Total 3 2 5 49 2" xfId="14493"/>
    <cellStyle name="Total 3 2 5 49 3" xfId="23486"/>
    <cellStyle name="Total 3 2 5 49 4" xfId="31673"/>
    <cellStyle name="Total 3 2 5 49 5" xfId="40952"/>
    <cellStyle name="Total 3 2 5 49 6" xfId="45338"/>
    <cellStyle name="Total 3 2 5 49 7" xfId="48291"/>
    <cellStyle name="Total 3 2 5 5" xfId="1408"/>
    <cellStyle name="Total 3 2 5 5 2" xfId="9231"/>
    <cellStyle name="Total 3 2 5 5 3" xfId="16659"/>
    <cellStyle name="Total 3 2 5 5 4" xfId="20297"/>
    <cellStyle name="Total 3 2 5 5 5" xfId="28255"/>
    <cellStyle name="Total 3 2 5 5 6" xfId="39578"/>
    <cellStyle name="Total 3 2 5 5 7" xfId="48949"/>
    <cellStyle name="Total 3 2 5 50" xfId="6891"/>
    <cellStyle name="Total 3 2 5 50 2" xfId="14608"/>
    <cellStyle name="Total 3 2 5 50 3" xfId="23601"/>
    <cellStyle name="Total 3 2 5 50 4" xfId="31788"/>
    <cellStyle name="Total 3 2 5 50 5" xfId="41060"/>
    <cellStyle name="Total 3 2 5 50 6" xfId="45453"/>
    <cellStyle name="Total 3 2 5 50 7" xfId="47059"/>
    <cellStyle name="Total 3 2 5 51" xfId="7004"/>
    <cellStyle name="Total 3 2 5 51 2" xfId="14721"/>
    <cellStyle name="Total 3 2 5 51 3" xfId="23714"/>
    <cellStyle name="Total 3 2 5 51 4" xfId="31901"/>
    <cellStyle name="Total 3 2 5 51 5" xfId="41168"/>
    <cellStyle name="Total 3 2 5 51 6" xfId="45566"/>
    <cellStyle name="Total 3 2 5 51 7" xfId="54538"/>
    <cellStyle name="Total 3 2 5 52" xfId="7114"/>
    <cellStyle name="Total 3 2 5 52 2" xfId="14831"/>
    <cellStyle name="Total 3 2 5 52 3" xfId="23824"/>
    <cellStyle name="Total 3 2 5 52 4" xfId="32011"/>
    <cellStyle name="Total 3 2 5 52 5" xfId="41273"/>
    <cellStyle name="Total 3 2 5 52 6" xfId="45676"/>
    <cellStyle name="Total 3 2 5 52 7" xfId="53975"/>
    <cellStyle name="Total 3 2 5 53" xfId="7163"/>
    <cellStyle name="Total 3 2 5 53 2" xfId="14880"/>
    <cellStyle name="Total 3 2 5 53 3" xfId="23873"/>
    <cellStyle name="Total 3 2 5 53 4" xfId="32060"/>
    <cellStyle name="Total 3 2 5 53 5" xfId="41322"/>
    <cellStyle name="Total 3 2 5 53 6" xfId="45725"/>
    <cellStyle name="Total 3 2 5 53 7" xfId="48790"/>
    <cellStyle name="Total 3 2 5 54" xfId="7229"/>
    <cellStyle name="Total 3 2 5 54 2" xfId="14946"/>
    <cellStyle name="Total 3 2 5 54 3" xfId="23939"/>
    <cellStyle name="Total 3 2 5 54 4" xfId="32126"/>
    <cellStyle name="Total 3 2 5 54 5" xfId="41384"/>
    <cellStyle name="Total 3 2 5 54 6" xfId="45791"/>
    <cellStyle name="Total 3 2 5 54 7" xfId="53508"/>
    <cellStyle name="Total 3 2 5 55" xfId="7511"/>
    <cellStyle name="Total 3 2 5 55 2" xfId="15228"/>
    <cellStyle name="Total 3 2 5 55 3" xfId="24221"/>
    <cellStyle name="Total 3 2 5 55 4" xfId="32408"/>
    <cellStyle name="Total 3 2 5 55 5" xfId="41655"/>
    <cellStyle name="Total 3 2 5 55 6" xfId="46073"/>
    <cellStyle name="Total 3 2 5 55 7" xfId="48464"/>
    <cellStyle name="Total 3 2 5 56" xfId="7632"/>
    <cellStyle name="Total 3 2 5 56 2" xfId="15349"/>
    <cellStyle name="Total 3 2 5 56 3" xfId="24342"/>
    <cellStyle name="Total 3 2 5 56 4" xfId="32529"/>
    <cellStyle name="Total 3 2 5 56 5" xfId="41771"/>
    <cellStyle name="Total 3 2 5 56 6" xfId="46194"/>
    <cellStyle name="Total 3 2 5 56 7" xfId="52891"/>
    <cellStyle name="Total 3 2 5 57" xfId="7909"/>
    <cellStyle name="Total 3 2 5 57 2" xfId="15626"/>
    <cellStyle name="Total 3 2 5 57 3" xfId="24613"/>
    <cellStyle name="Total 3 2 5 57 4" xfId="32806"/>
    <cellStyle name="Total 3 2 5 57 5" xfId="42037"/>
    <cellStyle name="Total 3 2 5 57 6" xfId="46471"/>
    <cellStyle name="Total 3 2 5 57 7" xfId="52228"/>
    <cellStyle name="Total 3 2 5 58" xfId="8037"/>
    <cellStyle name="Total 3 2 5 58 2" xfId="15754"/>
    <cellStyle name="Total 3 2 5 58 3" xfId="24739"/>
    <cellStyle name="Total 3 2 5 58 4" xfId="32934"/>
    <cellStyle name="Total 3 2 5 58 5" xfId="42159"/>
    <cellStyle name="Total 3 2 5 58 6" xfId="46599"/>
    <cellStyle name="Total 3 2 5 58 7" xfId="53304"/>
    <cellStyle name="Total 3 2 5 59" xfId="7707"/>
    <cellStyle name="Total 3 2 5 59 2" xfId="15424"/>
    <cellStyle name="Total 3 2 5 59 3" xfId="24415"/>
    <cellStyle name="Total 3 2 5 59 4" xfId="32604"/>
    <cellStyle name="Total 3 2 5 59 5" xfId="41841"/>
    <cellStyle name="Total 3 2 5 59 6" xfId="46269"/>
    <cellStyle name="Total 3 2 5 59 7" xfId="51132"/>
    <cellStyle name="Total 3 2 5 6" xfId="1531"/>
    <cellStyle name="Total 3 2 5 6 2" xfId="9354"/>
    <cellStyle name="Total 3 2 5 6 3" xfId="16782"/>
    <cellStyle name="Total 3 2 5 6 4" xfId="19827"/>
    <cellStyle name="Total 3 2 5 6 5" xfId="27053"/>
    <cellStyle name="Total 3 2 5 6 6" xfId="38192"/>
    <cellStyle name="Total 3 2 5 6 7" xfId="47913"/>
    <cellStyle name="Total 3 2 5 60" xfId="8184"/>
    <cellStyle name="Total 3 2 5 60 2" xfId="15901"/>
    <cellStyle name="Total 3 2 5 60 3" xfId="33081"/>
    <cellStyle name="Total 3 2 5 60 4" xfId="42300"/>
    <cellStyle name="Total 3 2 5 60 5" xfId="46746"/>
    <cellStyle name="Total 3 2 5 60 6" xfId="46870"/>
    <cellStyle name="Total 3 2 5 61" xfId="25554"/>
    <cellStyle name="Total 3 2 5 62" xfId="34049"/>
    <cellStyle name="Total 3 2 5 63" xfId="42318"/>
    <cellStyle name="Total 3 2 5 64" xfId="51988"/>
    <cellStyle name="Total 3 2 5 7" xfId="1140"/>
    <cellStyle name="Total 3 2 5 7 2" xfId="8963"/>
    <cellStyle name="Total 3 2 5 7 3" xfId="16391"/>
    <cellStyle name="Total 3 2 5 7 4" xfId="20483"/>
    <cellStyle name="Total 3 2 5 7 5" xfId="27956"/>
    <cellStyle name="Total 3 2 5 7 6" xfId="40930"/>
    <cellStyle name="Total 3 2 5 7 7" xfId="49625"/>
    <cellStyle name="Total 3 2 5 8" xfId="1768"/>
    <cellStyle name="Total 3 2 5 8 2" xfId="9591"/>
    <cellStyle name="Total 3 2 5 8 3" xfId="17019"/>
    <cellStyle name="Total 3 2 5 8 4" xfId="19700"/>
    <cellStyle name="Total 3 2 5 8 5" xfId="27050"/>
    <cellStyle name="Total 3 2 5 8 6" xfId="38022"/>
    <cellStyle name="Total 3 2 5 8 7" xfId="47678"/>
    <cellStyle name="Total 3 2 5 9" xfId="1901"/>
    <cellStyle name="Total 3 2 5 9 2" xfId="9724"/>
    <cellStyle name="Total 3 2 5 9 3" xfId="17152"/>
    <cellStyle name="Total 3 2 5 9 4" xfId="19623"/>
    <cellStyle name="Total 3 2 5 9 5" xfId="27396"/>
    <cellStyle name="Total 3 2 5 9 6" xfId="37316"/>
    <cellStyle name="Total 3 2 5 9 7" xfId="48445"/>
    <cellStyle name="Total 3 2 50" xfId="5345"/>
    <cellStyle name="Total 3 2 50 2" xfId="13062"/>
    <cellStyle name="Total 3 2 50 3" xfId="22055"/>
    <cellStyle name="Total 3 2 50 4" xfId="30242"/>
    <cellStyle name="Total 3 2 50 5" xfId="39574"/>
    <cellStyle name="Total 3 2 50 6" xfId="43907"/>
    <cellStyle name="Total 3 2 50 7" xfId="49393"/>
    <cellStyle name="Total 3 2 51" xfId="6050"/>
    <cellStyle name="Total 3 2 51 2" xfId="13767"/>
    <cellStyle name="Total 3 2 51 3" xfId="22760"/>
    <cellStyle name="Total 3 2 51 4" xfId="30947"/>
    <cellStyle name="Total 3 2 51 5" xfId="40254"/>
    <cellStyle name="Total 3 2 51 6" xfId="44612"/>
    <cellStyle name="Total 3 2 51 7" xfId="49194"/>
    <cellStyle name="Total 3 2 52" xfId="5578"/>
    <cellStyle name="Total 3 2 52 2" xfId="13295"/>
    <cellStyle name="Total 3 2 52 3" xfId="22288"/>
    <cellStyle name="Total 3 2 52 4" xfId="30475"/>
    <cellStyle name="Total 3 2 52 5" xfId="39797"/>
    <cellStyle name="Total 3 2 52 6" xfId="44140"/>
    <cellStyle name="Total 3 2 52 7" xfId="46787"/>
    <cellStyle name="Total 3 2 53" xfId="5334"/>
    <cellStyle name="Total 3 2 53 2" xfId="13051"/>
    <cellStyle name="Total 3 2 53 3" xfId="22044"/>
    <cellStyle name="Total 3 2 53 4" xfId="30231"/>
    <cellStyle name="Total 3 2 53 5" xfId="39565"/>
    <cellStyle name="Total 3 2 53 6" xfId="43896"/>
    <cellStyle name="Total 3 2 53 7" xfId="50644"/>
    <cellStyle name="Total 3 2 54" xfId="5279"/>
    <cellStyle name="Total 3 2 54 2" xfId="12996"/>
    <cellStyle name="Total 3 2 54 3" xfId="21989"/>
    <cellStyle name="Total 3 2 54 4" xfId="30176"/>
    <cellStyle name="Total 3 2 54 5" xfId="39510"/>
    <cellStyle name="Total 3 2 54 6" xfId="43841"/>
    <cellStyle name="Total 3 2 54 7" xfId="48815"/>
    <cellStyle name="Total 3 2 55" xfId="6787"/>
    <cellStyle name="Total 3 2 55 2" xfId="14504"/>
    <cellStyle name="Total 3 2 55 3" xfId="23497"/>
    <cellStyle name="Total 3 2 55 4" xfId="31684"/>
    <cellStyle name="Total 3 2 55 5" xfId="40963"/>
    <cellStyle name="Total 3 2 55 6" xfId="45349"/>
    <cellStyle name="Total 3 2 55 7" xfId="53350"/>
    <cellStyle name="Total 3 2 56" xfId="6901"/>
    <cellStyle name="Total 3 2 56 2" xfId="14618"/>
    <cellStyle name="Total 3 2 56 3" xfId="23611"/>
    <cellStyle name="Total 3 2 56 4" xfId="31798"/>
    <cellStyle name="Total 3 2 56 5" xfId="41070"/>
    <cellStyle name="Total 3 2 56 6" xfId="45463"/>
    <cellStyle name="Total 3 2 56 7" xfId="47054"/>
    <cellStyle name="Total 3 2 57" xfId="7014"/>
    <cellStyle name="Total 3 2 57 2" xfId="14731"/>
    <cellStyle name="Total 3 2 57 3" xfId="23724"/>
    <cellStyle name="Total 3 2 57 4" xfId="31911"/>
    <cellStyle name="Total 3 2 57 5" xfId="41178"/>
    <cellStyle name="Total 3 2 57 6" xfId="45576"/>
    <cellStyle name="Total 3 2 57 7" xfId="54541"/>
    <cellStyle name="Total 3 2 58" xfId="7306"/>
    <cellStyle name="Total 3 2 58 2" xfId="15023"/>
    <cellStyle name="Total 3 2 58 3" xfId="24016"/>
    <cellStyle name="Total 3 2 58 4" xfId="32203"/>
    <cellStyle name="Total 3 2 58 5" xfId="41459"/>
    <cellStyle name="Total 3 2 58 6" xfId="45868"/>
    <cellStyle name="Total 3 2 58 7" xfId="47333"/>
    <cellStyle name="Total 3 2 59" xfId="7131"/>
    <cellStyle name="Total 3 2 59 2" xfId="14848"/>
    <cellStyle name="Total 3 2 59 3" xfId="23841"/>
    <cellStyle name="Total 3 2 59 4" xfId="32028"/>
    <cellStyle name="Total 3 2 59 5" xfId="41290"/>
    <cellStyle name="Total 3 2 59 6" xfId="45693"/>
    <cellStyle name="Total 3 2 59 7" xfId="52247"/>
    <cellStyle name="Total 3 2 6" xfId="485"/>
    <cellStyle name="Total 3 2 6 10" xfId="1932"/>
    <cellStyle name="Total 3 2 6 10 2" xfId="9755"/>
    <cellStyle name="Total 3 2 6 10 3" xfId="17183"/>
    <cellStyle name="Total 3 2 6 10 4" xfId="26333"/>
    <cellStyle name="Total 3 2 6 10 5" xfId="35057"/>
    <cellStyle name="Total 3 2 6 10 6" xfId="42229"/>
    <cellStyle name="Total 3 2 6 10 7" xfId="53705"/>
    <cellStyle name="Total 3 2 6 11" xfId="2050"/>
    <cellStyle name="Total 3 2 6 11 2" xfId="9873"/>
    <cellStyle name="Total 3 2 6 11 3" xfId="17301"/>
    <cellStyle name="Total 3 2 6 11 4" xfId="26403"/>
    <cellStyle name="Total 3 2 6 11 5" xfId="35155"/>
    <cellStyle name="Total 3 2 6 11 6" xfId="37959"/>
    <cellStyle name="Total 3 2 6 11 7" xfId="53854"/>
    <cellStyle name="Total 3 2 6 12" xfId="2163"/>
    <cellStyle name="Total 3 2 6 12 2" xfId="9986"/>
    <cellStyle name="Total 3 2 6 12 3" xfId="17414"/>
    <cellStyle name="Total 3 2 6 12 4" xfId="19612"/>
    <cellStyle name="Total 3 2 6 12 5" xfId="28057"/>
    <cellStyle name="Total 3 2 6 12 6" xfId="40999"/>
    <cellStyle name="Total 3 2 6 12 7" xfId="47257"/>
    <cellStyle name="Total 3 2 6 13" xfId="1792"/>
    <cellStyle name="Total 3 2 6 13 2" xfId="9615"/>
    <cellStyle name="Total 3 2 6 13 3" xfId="17043"/>
    <cellStyle name="Total 3 2 6 13 4" xfId="19270"/>
    <cellStyle name="Total 3 2 6 13 5" xfId="27824"/>
    <cellStyle name="Total 3 2 6 13 6" xfId="42031"/>
    <cellStyle name="Total 3 2 6 13 7" xfId="47598"/>
    <cellStyle name="Total 3 2 6 14" xfId="1277"/>
    <cellStyle name="Total 3 2 6 14 2" xfId="9100"/>
    <cellStyle name="Total 3 2 6 14 3" xfId="16528"/>
    <cellStyle name="Total 3 2 6 14 4" xfId="20020"/>
    <cellStyle name="Total 3 2 6 14 5" xfId="27931"/>
    <cellStyle name="Total 3 2 6 14 6" xfId="40552"/>
    <cellStyle name="Total 3 2 6 14 7" xfId="46851"/>
    <cellStyle name="Total 3 2 6 15" xfId="2461"/>
    <cellStyle name="Total 3 2 6 15 2" xfId="10284"/>
    <cellStyle name="Total 3 2 6 15 3" xfId="17712"/>
    <cellStyle name="Total 3 2 6 15 4" xfId="19816"/>
    <cellStyle name="Total 3 2 6 15 5" xfId="27938"/>
    <cellStyle name="Total 3 2 6 15 6" xfId="40663"/>
    <cellStyle name="Total 3 2 6 15 7" xfId="47811"/>
    <cellStyle name="Total 3 2 6 16" xfId="2574"/>
    <cellStyle name="Total 3 2 6 16 2" xfId="10397"/>
    <cellStyle name="Total 3 2 6 16 3" xfId="17825"/>
    <cellStyle name="Total 3 2 6 16 4" xfId="25762"/>
    <cellStyle name="Total 3 2 6 16 5" xfId="34316"/>
    <cellStyle name="Total 3 2 6 16 6" xfId="37952"/>
    <cellStyle name="Total 3 2 6 16 7" xfId="52457"/>
    <cellStyle name="Total 3 2 6 17" xfId="2644"/>
    <cellStyle name="Total 3 2 6 17 2" xfId="10467"/>
    <cellStyle name="Total 3 2 6 17 3" xfId="17895"/>
    <cellStyle name="Total 3 2 6 17 4" xfId="25356"/>
    <cellStyle name="Total 3 2 6 17 5" xfId="33792"/>
    <cellStyle name="Total 3 2 6 17 6" xfId="38137"/>
    <cellStyle name="Total 3 2 6 17 7" xfId="51546"/>
    <cellStyle name="Total 3 2 6 18" xfId="2045"/>
    <cellStyle name="Total 3 2 6 18 2" xfId="9868"/>
    <cellStyle name="Total 3 2 6 18 3" xfId="17296"/>
    <cellStyle name="Total 3 2 6 18 4" xfId="20421"/>
    <cellStyle name="Total 3 2 6 18 5" xfId="27443"/>
    <cellStyle name="Total 3 2 6 18 6" xfId="38270"/>
    <cellStyle name="Total 3 2 6 18 7" xfId="48209"/>
    <cellStyle name="Total 3 2 6 19" xfId="2768"/>
    <cellStyle name="Total 3 2 6 19 2" xfId="10591"/>
    <cellStyle name="Total 3 2 6 19 3" xfId="18019"/>
    <cellStyle name="Total 3 2 6 19 4" xfId="20415"/>
    <cellStyle name="Total 3 2 6 19 5" xfId="27076"/>
    <cellStyle name="Total 3 2 6 19 6" xfId="40344"/>
    <cellStyle name="Total 3 2 6 19 7" xfId="47928"/>
    <cellStyle name="Total 3 2 6 2" xfId="636"/>
    <cellStyle name="Total 3 2 6 2 2" xfId="8460"/>
    <cellStyle name="Total 3 2 6 2 3" xfId="8300"/>
    <cellStyle name="Total 3 2 6 2 4" xfId="26601"/>
    <cellStyle name="Total 3 2 6 2 5" xfId="35428"/>
    <cellStyle name="Total 3 2 6 2 6" xfId="36856"/>
    <cellStyle name="Total 3 2 6 2 7" xfId="54286"/>
    <cellStyle name="Total 3 2 6 20" xfId="2875"/>
    <cellStyle name="Total 3 2 6 20 2" xfId="10698"/>
    <cellStyle name="Total 3 2 6 20 3" xfId="18126"/>
    <cellStyle name="Total 3 2 6 20 4" xfId="25123"/>
    <cellStyle name="Total 3 2 6 20 5" xfId="33496"/>
    <cellStyle name="Total 3 2 6 20 6" xfId="37298"/>
    <cellStyle name="Total 3 2 6 20 7" xfId="51064"/>
    <cellStyle name="Total 3 2 6 21" xfId="3251"/>
    <cellStyle name="Total 3 2 6 21 2" xfId="11044"/>
    <cellStyle name="Total 3 2 6 21 3" xfId="18373"/>
    <cellStyle name="Total 3 2 6 21 4" xfId="20012"/>
    <cellStyle name="Total 3 2 6 21 5" xfId="33106"/>
    <cellStyle name="Total 3 2 6 21 6" xfId="37343"/>
    <cellStyle name="Total 3 2 6 21 7" xfId="49691"/>
    <cellStyle name="Total 3 2 6 22" xfId="3371"/>
    <cellStyle name="Total 3 2 6 22 2" xfId="11162"/>
    <cellStyle name="Total 3 2 6 22 3" xfId="18484"/>
    <cellStyle name="Total 3 2 6 22 4" xfId="26002"/>
    <cellStyle name="Total 3 2 6 22 5" xfId="34626"/>
    <cellStyle name="Total 3 2 6 22 6" xfId="39989"/>
    <cellStyle name="Total 3 2 6 22 7" xfId="53001"/>
    <cellStyle name="Total 3 2 6 23" xfId="3552"/>
    <cellStyle name="Total 3 2 6 23 2" xfId="11341"/>
    <cellStyle name="Total 3 2 6 23 3" xfId="18627"/>
    <cellStyle name="Total 3 2 6 23 4" xfId="19902"/>
    <cellStyle name="Total 3 2 6 23 5" xfId="27854"/>
    <cellStyle name="Total 3 2 6 23 6" xfId="38046"/>
    <cellStyle name="Total 3 2 6 23 7" xfId="49476"/>
    <cellStyle name="Total 3 2 6 24" xfId="3641"/>
    <cellStyle name="Total 3 2 6 24 2" xfId="11426"/>
    <cellStyle name="Total 3 2 6 24 3" xfId="18699"/>
    <cellStyle name="Total 3 2 6 24 4" xfId="19462"/>
    <cellStyle name="Total 3 2 6 24 5" xfId="27455"/>
    <cellStyle name="Total 3 2 6 24 6" xfId="41849"/>
    <cellStyle name="Total 3 2 6 24 7" xfId="49378"/>
    <cellStyle name="Total 3 2 6 25" xfId="3772"/>
    <cellStyle name="Total 3 2 6 25 2" xfId="11554"/>
    <cellStyle name="Total 3 2 6 25 3" xfId="18811"/>
    <cellStyle name="Total 3 2 6 25 4" xfId="25014"/>
    <cellStyle name="Total 3 2 6 25 5" xfId="33367"/>
    <cellStyle name="Total 3 2 6 25 6" xfId="37587"/>
    <cellStyle name="Total 3 2 6 25 7" xfId="50830"/>
    <cellStyle name="Total 3 2 6 26" xfId="3889"/>
    <cellStyle name="Total 3 2 6 26 2" xfId="11669"/>
    <cellStyle name="Total 3 2 6 26 3" xfId="18920"/>
    <cellStyle name="Total 3 2 6 26 4" xfId="25474"/>
    <cellStyle name="Total 3 2 6 26 5" xfId="33944"/>
    <cellStyle name="Total 3 2 6 26 6" xfId="40523"/>
    <cellStyle name="Total 3 2 6 26 7" xfId="51814"/>
    <cellStyle name="Total 3 2 6 27" xfId="3992"/>
    <cellStyle name="Total 3 2 6 27 2" xfId="11771"/>
    <cellStyle name="Total 3 2 6 27 3" xfId="20703"/>
    <cellStyle name="Total 3 2 6 27 4" xfId="28890"/>
    <cellStyle name="Total 3 2 6 27 5" xfId="38275"/>
    <cellStyle name="Total 3 2 6 27 6" xfId="42558"/>
    <cellStyle name="Total 3 2 6 27 7" xfId="50713"/>
    <cellStyle name="Total 3 2 6 28" xfId="4086"/>
    <cellStyle name="Total 3 2 6 28 2" xfId="11846"/>
    <cellStyle name="Total 3 2 6 28 3" xfId="20796"/>
    <cellStyle name="Total 3 2 6 28 4" xfId="28983"/>
    <cellStyle name="Total 3 2 6 28 5" xfId="38362"/>
    <cellStyle name="Total 3 2 6 28 6" xfId="42648"/>
    <cellStyle name="Total 3 2 6 28 7" xfId="47331"/>
    <cellStyle name="Total 3 2 6 29" xfId="3151"/>
    <cellStyle name="Total 3 2 6 29 2" xfId="20287"/>
    <cellStyle name="Total 3 2 6 29 3" xfId="28381"/>
    <cellStyle name="Total 3 2 6 29 4" xfId="37767"/>
    <cellStyle name="Total 3 2 6 29 5" xfId="42414"/>
    <cellStyle name="Total 3 2 6 29 6" xfId="54336"/>
    <cellStyle name="Total 3 2 6 3" xfId="743"/>
    <cellStyle name="Total 3 2 6 3 2" xfId="8567"/>
    <cellStyle name="Total 3 2 6 3 3" xfId="15995"/>
    <cellStyle name="Total 3 2 6 3 4" xfId="20247"/>
    <cellStyle name="Total 3 2 6 3 5" xfId="26940"/>
    <cellStyle name="Total 3 2 6 3 6" xfId="36847"/>
    <cellStyle name="Total 3 2 6 3 7" xfId="49099"/>
    <cellStyle name="Total 3 2 6 30" xfId="4283"/>
    <cellStyle name="Total 3 2 6 30 2" xfId="12000"/>
    <cellStyle name="Total 3 2 6 30 3" xfId="20993"/>
    <cellStyle name="Total 3 2 6 30 4" xfId="29180"/>
    <cellStyle name="Total 3 2 6 30 5" xfId="38553"/>
    <cellStyle name="Total 3 2 6 30 6" xfId="42845"/>
    <cellStyle name="Total 3 2 6 30 7" xfId="47531"/>
    <cellStyle name="Total 3 2 6 31" xfId="4406"/>
    <cellStyle name="Total 3 2 6 31 2" xfId="12123"/>
    <cellStyle name="Total 3 2 6 31 3" xfId="21116"/>
    <cellStyle name="Total 3 2 6 31 4" xfId="29303"/>
    <cellStyle name="Total 3 2 6 31 5" xfId="38673"/>
    <cellStyle name="Total 3 2 6 31 6" xfId="42968"/>
    <cellStyle name="Total 3 2 6 31 7" xfId="48438"/>
    <cellStyle name="Total 3 2 6 32" xfId="4520"/>
    <cellStyle name="Total 3 2 6 32 2" xfId="12237"/>
    <cellStyle name="Total 3 2 6 32 3" xfId="21230"/>
    <cellStyle name="Total 3 2 6 32 4" xfId="29417"/>
    <cellStyle name="Total 3 2 6 32 5" xfId="38781"/>
    <cellStyle name="Total 3 2 6 32 6" xfId="43082"/>
    <cellStyle name="Total 3 2 6 32 7" xfId="49415"/>
    <cellStyle name="Total 3 2 6 33" xfId="4633"/>
    <cellStyle name="Total 3 2 6 33 2" xfId="12350"/>
    <cellStyle name="Total 3 2 6 33 3" xfId="21343"/>
    <cellStyle name="Total 3 2 6 33 4" xfId="29530"/>
    <cellStyle name="Total 3 2 6 33 5" xfId="38889"/>
    <cellStyle name="Total 3 2 6 33 6" xfId="43195"/>
    <cellStyle name="Total 3 2 6 33 7" xfId="53787"/>
    <cellStyle name="Total 3 2 6 34" xfId="4745"/>
    <cellStyle name="Total 3 2 6 34 2" xfId="12462"/>
    <cellStyle name="Total 3 2 6 34 3" xfId="21455"/>
    <cellStyle name="Total 3 2 6 34 4" xfId="29642"/>
    <cellStyle name="Total 3 2 6 34 5" xfId="38997"/>
    <cellStyle name="Total 3 2 6 34 6" xfId="43307"/>
    <cellStyle name="Total 3 2 6 34 7" xfId="49918"/>
    <cellStyle name="Total 3 2 6 35" xfId="4853"/>
    <cellStyle name="Total 3 2 6 35 2" xfId="12570"/>
    <cellStyle name="Total 3 2 6 35 3" xfId="21563"/>
    <cellStyle name="Total 3 2 6 35 4" xfId="29750"/>
    <cellStyle name="Total 3 2 6 35 5" xfId="39101"/>
    <cellStyle name="Total 3 2 6 35 6" xfId="43415"/>
    <cellStyle name="Total 3 2 6 35 7" xfId="53510"/>
    <cellStyle name="Total 3 2 6 36" xfId="4965"/>
    <cellStyle name="Total 3 2 6 36 2" xfId="12682"/>
    <cellStyle name="Total 3 2 6 36 3" xfId="21675"/>
    <cellStyle name="Total 3 2 6 36 4" xfId="29862"/>
    <cellStyle name="Total 3 2 6 36 5" xfId="39209"/>
    <cellStyle name="Total 3 2 6 36 6" xfId="43527"/>
    <cellStyle name="Total 3 2 6 36 7" xfId="51245"/>
    <cellStyle name="Total 3 2 6 37" xfId="5146"/>
    <cellStyle name="Total 3 2 6 37 2" xfId="12863"/>
    <cellStyle name="Total 3 2 6 37 3" xfId="21856"/>
    <cellStyle name="Total 3 2 6 37 4" xfId="30043"/>
    <cellStyle name="Total 3 2 6 37 5" xfId="39382"/>
    <cellStyle name="Total 3 2 6 37 6" xfId="43708"/>
    <cellStyle name="Total 3 2 6 37 7" xfId="53642"/>
    <cellStyle name="Total 3 2 6 38" xfId="5463"/>
    <cellStyle name="Total 3 2 6 38 2" xfId="13180"/>
    <cellStyle name="Total 3 2 6 38 3" xfId="22173"/>
    <cellStyle name="Total 3 2 6 38 4" xfId="30360"/>
    <cellStyle name="Total 3 2 6 38 5" xfId="39688"/>
    <cellStyle name="Total 3 2 6 38 6" xfId="44025"/>
    <cellStyle name="Total 3 2 6 38 7" xfId="52541"/>
    <cellStyle name="Total 3 2 6 39" xfId="5588"/>
    <cellStyle name="Total 3 2 6 39 2" xfId="13305"/>
    <cellStyle name="Total 3 2 6 39 3" xfId="22298"/>
    <cellStyle name="Total 3 2 6 39 4" xfId="30485"/>
    <cellStyle name="Total 3 2 6 39 5" xfId="39807"/>
    <cellStyle name="Total 3 2 6 39 6" xfId="44150"/>
    <cellStyle name="Total 3 2 6 39 7" xfId="47150"/>
    <cellStyle name="Total 3 2 6 4" xfId="855"/>
    <cellStyle name="Total 3 2 6 4 2" xfId="8679"/>
    <cellStyle name="Total 3 2 6 4 3" xfId="16107"/>
    <cellStyle name="Total 3 2 6 4 4" xfId="19402"/>
    <cellStyle name="Total 3 2 6 4 5" xfId="33123"/>
    <cellStyle name="Total 3 2 6 4 6" xfId="36830"/>
    <cellStyle name="Total 3 2 6 4 7" xfId="50376"/>
    <cellStyle name="Total 3 2 6 40" xfId="5703"/>
    <cellStyle name="Total 3 2 6 40 2" xfId="13420"/>
    <cellStyle name="Total 3 2 6 40 3" xfId="22413"/>
    <cellStyle name="Total 3 2 6 40 4" xfId="30600"/>
    <cellStyle name="Total 3 2 6 40 5" xfId="39918"/>
    <cellStyle name="Total 3 2 6 40 6" xfId="44265"/>
    <cellStyle name="Total 3 2 6 40 7" xfId="46826"/>
    <cellStyle name="Total 3 2 6 41" xfId="5820"/>
    <cellStyle name="Total 3 2 6 41 2" xfId="13537"/>
    <cellStyle name="Total 3 2 6 41 3" xfId="22530"/>
    <cellStyle name="Total 3 2 6 41 4" xfId="30717"/>
    <cellStyle name="Total 3 2 6 41 5" xfId="40032"/>
    <cellStyle name="Total 3 2 6 41 6" xfId="44382"/>
    <cellStyle name="Total 3 2 6 41 7" xfId="51131"/>
    <cellStyle name="Total 3 2 6 42" xfId="5948"/>
    <cellStyle name="Total 3 2 6 42 2" xfId="13665"/>
    <cellStyle name="Total 3 2 6 42 3" xfId="22658"/>
    <cellStyle name="Total 3 2 6 42 4" xfId="30845"/>
    <cellStyle name="Total 3 2 6 42 5" xfId="40156"/>
    <cellStyle name="Total 3 2 6 42 6" xfId="44510"/>
    <cellStyle name="Total 3 2 6 42 7" xfId="52726"/>
    <cellStyle name="Total 3 2 6 43" xfId="5244"/>
    <cellStyle name="Total 3 2 6 43 2" xfId="12961"/>
    <cellStyle name="Total 3 2 6 43 3" xfId="21954"/>
    <cellStyle name="Total 3 2 6 43 4" xfId="30141"/>
    <cellStyle name="Total 3 2 6 43 5" xfId="39476"/>
    <cellStyle name="Total 3 2 6 43 6" xfId="43806"/>
    <cellStyle name="Total 3 2 6 43 7" xfId="52503"/>
    <cellStyle name="Total 3 2 6 44" xfId="6204"/>
    <cellStyle name="Total 3 2 6 44 2" xfId="13921"/>
    <cellStyle name="Total 3 2 6 44 3" xfId="22914"/>
    <cellStyle name="Total 3 2 6 44 4" xfId="31101"/>
    <cellStyle name="Total 3 2 6 44 5" xfId="40402"/>
    <cellStyle name="Total 3 2 6 44 6" xfId="44766"/>
    <cellStyle name="Total 3 2 6 44 7" xfId="49191"/>
    <cellStyle name="Total 3 2 6 45" xfId="6321"/>
    <cellStyle name="Total 3 2 6 45 2" xfId="14038"/>
    <cellStyle name="Total 3 2 6 45 3" xfId="23031"/>
    <cellStyle name="Total 3 2 6 45 4" xfId="31218"/>
    <cellStyle name="Total 3 2 6 45 5" xfId="40518"/>
    <cellStyle name="Total 3 2 6 45 6" xfId="44883"/>
    <cellStyle name="Total 3 2 6 45 7" xfId="52030"/>
    <cellStyle name="Total 3 2 6 46" xfId="6431"/>
    <cellStyle name="Total 3 2 6 46 2" xfId="14148"/>
    <cellStyle name="Total 3 2 6 46 3" xfId="23141"/>
    <cellStyle name="Total 3 2 6 46 4" xfId="31328"/>
    <cellStyle name="Total 3 2 6 46 5" xfId="40623"/>
    <cellStyle name="Total 3 2 6 46 6" xfId="44993"/>
    <cellStyle name="Total 3 2 6 46 7" xfId="53118"/>
    <cellStyle name="Total 3 2 6 47" xfId="5274"/>
    <cellStyle name="Total 3 2 6 47 2" xfId="12991"/>
    <cellStyle name="Total 3 2 6 47 3" xfId="21984"/>
    <cellStyle name="Total 3 2 6 47 4" xfId="30171"/>
    <cellStyle name="Total 3 2 6 47 5" xfId="39506"/>
    <cellStyle name="Total 3 2 6 47 6" xfId="43836"/>
    <cellStyle name="Total 3 2 6 47 7" xfId="49295"/>
    <cellStyle name="Total 3 2 6 48" xfId="6578"/>
    <cellStyle name="Total 3 2 6 48 2" xfId="14295"/>
    <cellStyle name="Total 3 2 6 48 3" xfId="23288"/>
    <cellStyle name="Total 3 2 6 48 4" xfId="31475"/>
    <cellStyle name="Total 3 2 6 48 5" xfId="40763"/>
    <cellStyle name="Total 3 2 6 48 6" xfId="45140"/>
    <cellStyle name="Total 3 2 6 48 7" xfId="53263"/>
    <cellStyle name="Total 3 2 6 49" xfId="6689"/>
    <cellStyle name="Total 3 2 6 49 2" xfId="14406"/>
    <cellStyle name="Total 3 2 6 49 3" xfId="23399"/>
    <cellStyle name="Total 3 2 6 49 4" xfId="31586"/>
    <cellStyle name="Total 3 2 6 49 5" xfId="40870"/>
    <cellStyle name="Total 3 2 6 49 6" xfId="45251"/>
    <cellStyle name="Total 3 2 6 49 7" xfId="48702"/>
    <cellStyle name="Total 3 2 6 5" xfId="1320"/>
    <cellStyle name="Total 3 2 6 5 2" xfId="9143"/>
    <cellStyle name="Total 3 2 6 5 3" xfId="16571"/>
    <cellStyle name="Total 3 2 6 5 4" xfId="19818"/>
    <cellStyle name="Total 3 2 6 5 5" xfId="27709"/>
    <cellStyle name="Total 3 2 6 5 6" xfId="40749"/>
    <cellStyle name="Total 3 2 6 5 7" xfId="47675"/>
    <cellStyle name="Total 3 2 6 50" xfId="6804"/>
    <cellStyle name="Total 3 2 6 50 2" xfId="14521"/>
    <cellStyle name="Total 3 2 6 50 3" xfId="23514"/>
    <cellStyle name="Total 3 2 6 50 4" xfId="31701"/>
    <cellStyle name="Total 3 2 6 50 5" xfId="40979"/>
    <cellStyle name="Total 3 2 6 50 6" xfId="45366"/>
    <cellStyle name="Total 3 2 6 50 7" xfId="51518"/>
    <cellStyle name="Total 3 2 6 51" xfId="6917"/>
    <cellStyle name="Total 3 2 6 51 2" xfId="14634"/>
    <cellStyle name="Total 3 2 6 51 3" xfId="23627"/>
    <cellStyle name="Total 3 2 6 51 4" xfId="31814"/>
    <cellStyle name="Total 3 2 6 51 5" xfId="41086"/>
    <cellStyle name="Total 3 2 6 51 6" xfId="45479"/>
    <cellStyle name="Total 3 2 6 51 7" xfId="47048"/>
    <cellStyle name="Total 3 2 6 52" xfId="7029"/>
    <cellStyle name="Total 3 2 6 52 2" xfId="14746"/>
    <cellStyle name="Total 3 2 6 52 3" xfId="23739"/>
    <cellStyle name="Total 3 2 6 52 4" xfId="31926"/>
    <cellStyle name="Total 3 2 6 52 5" xfId="41193"/>
    <cellStyle name="Total 3 2 6 52 6" xfId="45591"/>
    <cellStyle name="Total 3 2 6 52 7" xfId="47020"/>
    <cellStyle name="Total 3 2 6 53" xfId="7312"/>
    <cellStyle name="Total 3 2 6 53 2" xfId="15029"/>
    <cellStyle name="Total 3 2 6 53 3" xfId="24022"/>
    <cellStyle name="Total 3 2 6 53 4" xfId="32209"/>
    <cellStyle name="Total 3 2 6 53 5" xfId="41465"/>
    <cellStyle name="Total 3 2 6 53 6" xfId="45874"/>
    <cellStyle name="Total 3 2 6 53 7" xfId="52982"/>
    <cellStyle name="Total 3 2 6 54" xfId="7285"/>
    <cellStyle name="Total 3 2 6 54 2" xfId="15002"/>
    <cellStyle name="Total 3 2 6 54 3" xfId="23995"/>
    <cellStyle name="Total 3 2 6 54 4" xfId="32182"/>
    <cellStyle name="Total 3 2 6 54 5" xfId="41438"/>
    <cellStyle name="Total 3 2 6 54 6" xfId="45847"/>
    <cellStyle name="Total 3 2 6 54 7" xfId="50815"/>
    <cellStyle name="Total 3 2 6 55" xfId="7426"/>
    <cellStyle name="Total 3 2 6 55 2" xfId="15143"/>
    <cellStyle name="Total 3 2 6 55 3" xfId="24136"/>
    <cellStyle name="Total 3 2 6 55 4" xfId="32323"/>
    <cellStyle name="Total 3 2 6 55 5" xfId="41575"/>
    <cellStyle name="Total 3 2 6 55 6" xfId="45988"/>
    <cellStyle name="Total 3 2 6 55 7" xfId="50694"/>
    <cellStyle name="Total 3 2 6 56" xfId="7547"/>
    <cellStyle name="Total 3 2 6 56 2" xfId="15264"/>
    <cellStyle name="Total 3 2 6 56 3" xfId="24257"/>
    <cellStyle name="Total 3 2 6 56 4" xfId="32444"/>
    <cellStyle name="Total 3 2 6 56 5" xfId="41690"/>
    <cellStyle name="Total 3 2 6 56 6" xfId="46109"/>
    <cellStyle name="Total 3 2 6 56 7" xfId="52788"/>
    <cellStyle name="Total 3 2 6 57" xfId="7823"/>
    <cellStyle name="Total 3 2 6 57 2" xfId="15540"/>
    <cellStyle name="Total 3 2 6 57 3" xfId="24527"/>
    <cellStyle name="Total 3 2 6 57 4" xfId="32720"/>
    <cellStyle name="Total 3 2 6 57 5" xfId="41955"/>
    <cellStyle name="Total 3 2 6 57 6" xfId="46385"/>
    <cellStyle name="Total 3 2 6 57 7" xfId="53868"/>
    <cellStyle name="Total 3 2 6 58" xfId="7974"/>
    <cellStyle name="Total 3 2 6 58 2" xfId="15691"/>
    <cellStyle name="Total 3 2 6 58 3" xfId="24676"/>
    <cellStyle name="Total 3 2 6 58 4" xfId="32871"/>
    <cellStyle name="Total 3 2 6 58 5" xfId="42098"/>
    <cellStyle name="Total 3 2 6 58 6" xfId="46536"/>
    <cellStyle name="Total 3 2 6 58 7" xfId="52783"/>
    <cellStyle name="Total 3 2 6 59" xfId="7719"/>
    <cellStyle name="Total 3 2 6 59 2" xfId="15436"/>
    <cellStyle name="Total 3 2 6 59 3" xfId="24427"/>
    <cellStyle name="Total 3 2 6 59 4" xfId="32616"/>
    <cellStyle name="Total 3 2 6 59 5" xfId="41853"/>
    <cellStyle name="Total 3 2 6 59 6" xfId="46281"/>
    <cellStyle name="Total 3 2 6 59 7" xfId="49934"/>
    <cellStyle name="Total 3 2 6 6" xfId="1443"/>
    <cellStyle name="Total 3 2 6 6 2" xfId="9266"/>
    <cellStyle name="Total 3 2 6 6 3" xfId="16694"/>
    <cellStyle name="Total 3 2 6 6 4" xfId="25517"/>
    <cellStyle name="Total 3 2 6 6 5" xfId="33995"/>
    <cellStyle name="Total 3 2 6 6 6" xfId="36516"/>
    <cellStyle name="Total 3 2 6 6 7" xfId="51904"/>
    <cellStyle name="Total 3 2 6 60" xfId="8099"/>
    <cellStyle name="Total 3 2 6 60 2" xfId="15816"/>
    <cellStyle name="Total 3 2 6 60 3" xfId="32996"/>
    <cellStyle name="Total 3 2 6 60 4" xfId="42218"/>
    <cellStyle name="Total 3 2 6 60 5" xfId="46661"/>
    <cellStyle name="Total 3 2 6 60 6" xfId="54398"/>
    <cellStyle name="Total 3 2 6 61" xfId="26356"/>
    <cellStyle name="Total 3 2 6 62" xfId="35088"/>
    <cellStyle name="Total 3 2 6 63" xfId="36322"/>
    <cellStyle name="Total 3 2 6 64" xfId="53750"/>
    <cellStyle name="Total 3 2 6 7" xfId="1005"/>
    <cellStyle name="Total 3 2 6 7 2" xfId="8829"/>
    <cellStyle name="Total 3 2 6 7 3" xfId="16257"/>
    <cellStyle name="Total 3 2 6 7 4" xfId="20694"/>
    <cellStyle name="Total 3 2 6 7 5" xfId="27192"/>
    <cellStyle name="Total 3 2 6 7 6" xfId="36891"/>
    <cellStyle name="Total 3 2 6 7 7" xfId="50228"/>
    <cellStyle name="Total 3 2 6 8" xfId="1680"/>
    <cellStyle name="Total 3 2 6 8 2" xfId="9503"/>
    <cellStyle name="Total 3 2 6 8 3" xfId="16931"/>
    <cellStyle name="Total 3 2 6 8 4" xfId="20418"/>
    <cellStyle name="Total 3 2 6 8 5" xfId="27987"/>
    <cellStyle name="Total 3 2 6 8 6" xfId="38019"/>
    <cellStyle name="Total 3 2 6 8 7" xfId="49007"/>
    <cellStyle name="Total 3 2 6 9" xfId="1814"/>
    <cellStyle name="Total 3 2 6 9 2" xfId="9637"/>
    <cellStyle name="Total 3 2 6 9 3" xfId="17065"/>
    <cellStyle name="Total 3 2 6 9 4" xfId="19387"/>
    <cellStyle name="Total 3 2 6 9 5" xfId="27844"/>
    <cellStyle name="Total 3 2 6 9 6" xfId="39764"/>
    <cellStyle name="Total 3 2 6 9 7" xfId="47392"/>
    <cellStyle name="Total 3 2 60" xfId="7383"/>
    <cellStyle name="Total 3 2 60 2" xfId="15100"/>
    <cellStyle name="Total 3 2 60 3" xfId="24093"/>
    <cellStyle name="Total 3 2 60 4" xfId="32280"/>
    <cellStyle name="Total 3 2 60 5" xfId="41536"/>
    <cellStyle name="Total 3 2 60 6" xfId="45945"/>
    <cellStyle name="Total 3 2 60 7" xfId="51658"/>
    <cellStyle name="Total 3 2 61" xfId="7536"/>
    <cellStyle name="Total 3 2 61 2" xfId="15253"/>
    <cellStyle name="Total 3 2 61 3" xfId="24246"/>
    <cellStyle name="Total 3 2 61 4" xfId="32433"/>
    <cellStyle name="Total 3 2 61 5" xfId="41679"/>
    <cellStyle name="Total 3 2 61 6" xfId="46098"/>
    <cellStyle name="Total 3 2 61 7" xfId="53821"/>
    <cellStyle name="Total 3 2 62" xfId="7737"/>
    <cellStyle name="Total 3 2 62 2" xfId="15454"/>
    <cellStyle name="Total 3 2 62 3" xfId="24445"/>
    <cellStyle name="Total 3 2 62 4" xfId="32634"/>
    <cellStyle name="Total 3 2 62 5" xfId="41870"/>
    <cellStyle name="Total 3 2 62 6" xfId="46299"/>
    <cellStyle name="Total 3 2 62 7" xfId="47929"/>
    <cellStyle name="Total 3 2 63" xfId="7809"/>
    <cellStyle name="Total 3 2 63 2" xfId="15526"/>
    <cellStyle name="Total 3 2 63 3" xfId="24513"/>
    <cellStyle name="Total 3 2 63 4" xfId="32706"/>
    <cellStyle name="Total 3 2 63 5" xfId="41941"/>
    <cellStyle name="Total 3 2 63 6" xfId="46371"/>
    <cellStyle name="Total 3 2 63 7" xfId="54129"/>
    <cellStyle name="Total 3 2 64" xfId="7806"/>
    <cellStyle name="Total 3 2 64 2" xfId="15523"/>
    <cellStyle name="Total 3 2 64 3" xfId="24510"/>
    <cellStyle name="Total 3 2 64 4" xfId="32703"/>
    <cellStyle name="Total 3 2 64 5" xfId="41938"/>
    <cellStyle name="Total 3 2 64 6" xfId="46368"/>
    <cellStyle name="Total 3 2 64 7" xfId="46978"/>
    <cellStyle name="Total 3 2 65" xfId="7937"/>
    <cellStyle name="Total 3 2 65 2" xfId="15654"/>
    <cellStyle name="Total 3 2 65 3" xfId="32834"/>
    <cellStyle name="Total 3 2 65 4" xfId="42064"/>
    <cellStyle name="Total 3 2 65 5" xfId="46499"/>
    <cellStyle name="Total 3 2 65 6" xfId="49162"/>
    <cellStyle name="Total 3 2 66" xfId="26414"/>
    <cellStyle name="Total 3 2 67" xfId="35174"/>
    <cellStyle name="Total 3 2 68" xfId="37730"/>
    <cellStyle name="Total 3 2 69" xfId="53885"/>
    <cellStyle name="Total 3 2 7" xfId="604"/>
    <cellStyle name="Total 3 2 7 2" xfId="8428"/>
    <cellStyle name="Total 3 2 7 3" xfId="11975"/>
    <cellStyle name="Total 3 2 7 4" xfId="19232"/>
    <cellStyle name="Total 3 2 7 5" xfId="27900"/>
    <cellStyle name="Total 3 2 7 6" xfId="37190"/>
    <cellStyle name="Total 3 2 7 7" xfId="47279"/>
    <cellStyle name="Total 3 2 8" xfId="615"/>
    <cellStyle name="Total 3 2 8 2" xfId="8439"/>
    <cellStyle name="Total 3 2 8 3" xfId="10985"/>
    <cellStyle name="Total 3 2 8 4" xfId="19425"/>
    <cellStyle name="Total 3 2 8 5" xfId="28302"/>
    <cellStyle name="Total 3 2 8 6" xfId="38189"/>
    <cellStyle name="Total 3 2 8 7" xfId="47010"/>
    <cellStyle name="Total 3 2 9" xfId="738"/>
    <cellStyle name="Total 3 2 9 2" xfId="8562"/>
    <cellStyle name="Total 3 2 9 3" xfId="15990"/>
    <cellStyle name="Total 3 2 9 4" xfId="20448"/>
    <cellStyle name="Total 3 2 9 5" xfId="27614"/>
    <cellStyle name="Total 3 2 9 6" xfId="37090"/>
    <cellStyle name="Total 3 2 9 7" xfId="47374"/>
    <cellStyle name="Total 3 20" xfId="3145"/>
    <cellStyle name="Total 3 20 2" xfId="10949"/>
    <cellStyle name="Total 3 20 3" xfId="20283"/>
    <cellStyle name="Total 3 20 4" xfId="28376"/>
    <cellStyle name="Total 3 20 5" xfId="37761"/>
    <cellStyle name="Total 3 20 6" xfId="42411"/>
    <cellStyle name="Total 3 20 7" xfId="47367"/>
    <cellStyle name="Total 3 21" xfId="3118"/>
    <cellStyle name="Total 3 21 2" xfId="10923"/>
    <cellStyle name="Total 3 21 3" xfId="20265"/>
    <cellStyle name="Total 3 21 4" xfId="28360"/>
    <cellStyle name="Total 3 21 5" xfId="37739"/>
    <cellStyle name="Total 3 21 6" xfId="42403"/>
    <cellStyle name="Total 3 21 7" xfId="48760"/>
    <cellStyle name="Total 3 22" xfId="4063"/>
    <cellStyle name="Total 3 22 2" xfId="11829"/>
    <cellStyle name="Total 3 22 3" xfId="20773"/>
    <cellStyle name="Total 3 22 4" xfId="28960"/>
    <cellStyle name="Total 3 22 5" xfId="38339"/>
    <cellStyle name="Total 3 22 6" xfId="42625"/>
    <cellStyle name="Total 3 22 7" xfId="50754"/>
    <cellStyle name="Total 3 23" xfId="5100"/>
    <cellStyle name="Total 3 23 2" xfId="12817"/>
    <cellStyle name="Total 3 23 3" xfId="21810"/>
    <cellStyle name="Total 3 23 4" xfId="29997"/>
    <cellStyle name="Total 3 23 5" xfId="39338"/>
    <cellStyle name="Total 3 23 6" xfId="43662"/>
    <cellStyle name="Total 3 23 7" xfId="50860"/>
    <cellStyle name="Total 3 24" xfId="5355"/>
    <cellStyle name="Total 3 24 2" xfId="13072"/>
    <cellStyle name="Total 3 24 3" xfId="22065"/>
    <cellStyle name="Total 3 24 4" xfId="30252"/>
    <cellStyle name="Total 3 24 5" xfId="39584"/>
    <cellStyle name="Total 3 24 6" xfId="43917"/>
    <cellStyle name="Total 3 24 7" xfId="47233"/>
    <cellStyle name="Total 3 25" xfId="5357"/>
    <cellStyle name="Total 3 25 2" xfId="13074"/>
    <cellStyle name="Total 3 25 3" xfId="22067"/>
    <cellStyle name="Total 3 25 4" xfId="30254"/>
    <cellStyle name="Total 3 25 5" xfId="39586"/>
    <cellStyle name="Total 3 25 6" xfId="43919"/>
    <cellStyle name="Total 3 25 7" xfId="50979"/>
    <cellStyle name="Total 3 26" xfId="5455"/>
    <cellStyle name="Total 3 26 2" xfId="13172"/>
    <cellStyle name="Total 3 26 3" xfId="22165"/>
    <cellStyle name="Total 3 26 4" xfId="30352"/>
    <cellStyle name="Total 3 26 5" xfId="39680"/>
    <cellStyle name="Total 3 26 6" xfId="44017"/>
    <cellStyle name="Total 3 26 7" xfId="53146"/>
    <cellStyle name="Total 3 27" xfId="6554"/>
    <cellStyle name="Total 3 27 2" xfId="14271"/>
    <cellStyle name="Total 3 27 3" xfId="23264"/>
    <cellStyle name="Total 3 27 4" xfId="31451"/>
    <cellStyle name="Total 3 27 5" xfId="40740"/>
    <cellStyle name="Total 3 27 6" xfId="45116"/>
    <cellStyle name="Total 3 27 7" xfId="53623"/>
    <cellStyle name="Total 3 28" xfId="5197"/>
    <cellStyle name="Total 3 28 2" xfId="12914"/>
    <cellStyle name="Total 3 28 3" xfId="21907"/>
    <cellStyle name="Total 3 28 4" xfId="30094"/>
    <cellStyle name="Total 3 28 5" xfId="39431"/>
    <cellStyle name="Total 3 28 6" xfId="43759"/>
    <cellStyle name="Total 3 28 7" xfId="49501"/>
    <cellStyle name="Total 3 29" xfId="7295"/>
    <cellStyle name="Total 3 29 2" xfId="15012"/>
    <cellStyle name="Total 3 29 3" xfId="24005"/>
    <cellStyle name="Total 3 29 4" xfId="32192"/>
    <cellStyle name="Total 3 29 5" xfId="41448"/>
    <cellStyle name="Total 3 29 6" xfId="45857"/>
    <cellStyle name="Total 3 29 7" xfId="47468"/>
    <cellStyle name="Total 3 3" xfId="517"/>
    <cellStyle name="Total 3 3 10" xfId="1964"/>
    <cellStyle name="Total 3 3 10 2" xfId="9787"/>
    <cellStyle name="Total 3 3 10 3" xfId="17215"/>
    <cellStyle name="Total 3 3 10 4" xfId="20273"/>
    <cellStyle name="Total 3 3 10 5" xfId="28826"/>
    <cellStyle name="Total 3 3 10 6" xfId="38900"/>
    <cellStyle name="Total 3 3 10 7" xfId="50258"/>
    <cellStyle name="Total 3 3 11" xfId="2082"/>
    <cellStyle name="Total 3 3 11 2" xfId="9905"/>
    <cellStyle name="Total 3 3 11 3" xfId="17333"/>
    <cellStyle name="Total 3 3 11 4" xfId="24887"/>
    <cellStyle name="Total 3 3 11 5" xfId="33201"/>
    <cellStyle name="Total 3 3 11 6" xfId="36862"/>
    <cellStyle name="Total 3 3 11 7" xfId="50533"/>
    <cellStyle name="Total 3 3 12" xfId="2195"/>
    <cellStyle name="Total 3 3 12 2" xfId="10018"/>
    <cellStyle name="Total 3 3 12 3" xfId="17446"/>
    <cellStyle name="Total 3 3 12 4" xfId="26237"/>
    <cellStyle name="Total 3 3 12 5" xfId="34927"/>
    <cellStyle name="Total 3 3 12 6" xfId="37997"/>
    <cellStyle name="Total 3 3 12 7" xfId="53501"/>
    <cellStyle name="Total 3 3 13" xfId="973"/>
    <cellStyle name="Total 3 3 13 2" xfId="8797"/>
    <cellStyle name="Total 3 3 13 3" xfId="16225"/>
    <cellStyle name="Total 3 3 13 4" xfId="26285"/>
    <cellStyle name="Total 3 3 13 5" xfId="34992"/>
    <cellStyle name="Total 3 3 13 6" xfId="36448"/>
    <cellStyle name="Total 3 3 13 7" xfId="53613"/>
    <cellStyle name="Total 3 3 14" xfId="1174"/>
    <cellStyle name="Total 3 3 14 2" xfId="8997"/>
    <cellStyle name="Total 3 3 14 3" xfId="16425"/>
    <cellStyle name="Total 3 3 14 4" xfId="20381"/>
    <cellStyle name="Total 3 3 14 5" xfId="27562"/>
    <cellStyle name="Total 3 3 14 6" xfId="37614"/>
    <cellStyle name="Total 3 3 14 7" xfId="48330"/>
    <cellStyle name="Total 3 3 15" xfId="2493"/>
    <cellStyle name="Total 3 3 15 2" xfId="10316"/>
    <cellStyle name="Total 3 3 15 3" xfId="17744"/>
    <cellStyle name="Total 3 3 15 4" xfId="25345"/>
    <cellStyle name="Total 3 3 15 5" xfId="33779"/>
    <cellStyle name="Total 3 3 15 6" xfId="37546"/>
    <cellStyle name="Total 3 3 15 7" xfId="51522"/>
    <cellStyle name="Total 3 3 16" xfId="2606"/>
    <cellStyle name="Total 3 3 16 2" xfId="10429"/>
    <cellStyle name="Total 3 3 16 3" xfId="17857"/>
    <cellStyle name="Total 3 3 16 4" xfId="19663"/>
    <cellStyle name="Total 3 3 16 5" xfId="26995"/>
    <cellStyle name="Total 3 3 16 6" xfId="36864"/>
    <cellStyle name="Total 3 3 16 7" xfId="48664"/>
    <cellStyle name="Total 3 3 17" xfId="2421"/>
    <cellStyle name="Total 3 3 17 2" xfId="10244"/>
    <cellStyle name="Total 3 3 17 3" xfId="17672"/>
    <cellStyle name="Total 3 3 17 4" xfId="25564"/>
    <cellStyle name="Total 3 3 17 5" xfId="34062"/>
    <cellStyle name="Total 3 3 17 6" xfId="37865"/>
    <cellStyle name="Total 3 3 17 7" xfId="52008"/>
    <cellStyle name="Total 3 3 18" xfId="2569"/>
    <cellStyle name="Total 3 3 18 2" xfId="10392"/>
    <cellStyle name="Total 3 3 18 3" xfId="17820"/>
    <cellStyle name="Total 3 3 18 4" xfId="25962"/>
    <cellStyle name="Total 3 3 18 5" xfId="34570"/>
    <cellStyle name="Total 3 3 18 6" xfId="38264"/>
    <cellStyle name="Total 3 3 18 7" xfId="52912"/>
    <cellStyle name="Total 3 3 19" xfId="2800"/>
    <cellStyle name="Total 3 3 19 2" xfId="10623"/>
    <cellStyle name="Total 3 3 19 3" xfId="18051"/>
    <cellStyle name="Total 3 3 19 4" xfId="25224"/>
    <cellStyle name="Total 3 3 19 5" xfId="33624"/>
    <cellStyle name="Total 3 3 19 6" xfId="37464"/>
    <cellStyle name="Total 3 3 19 7" xfId="51272"/>
    <cellStyle name="Total 3 3 2" xfId="668"/>
    <cellStyle name="Total 3 3 2 2" xfId="8492"/>
    <cellStyle name="Total 3 3 2 3" xfId="8268"/>
    <cellStyle name="Total 3 3 2 4" xfId="24883"/>
    <cellStyle name="Total 3 3 2 5" xfId="33197"/>
    <cellStyle name="Total 3 3 2 6" xfId="38092"/>
    <cellStyle name="Total 3 3 2 7" xfId="50524"/>
    <cellStyle name="Total 3 3 20" xfId="2907"/>
    <cellStyle name="Total 3 3 20 2" xfId="10730"/>
    <cellStyle name="Total 3 3 20 3" xfId="18158"/>
    <cellStyle name="Total 3 3 20 4" xfId="25511"/>
    <cellStyle name="Total 3 3 20 5" xfId="33989"/>
    <cellStyle name="Total 3 3 20 6" xfId="37332"/>
    <cellStyle name="Total 3 3 20 7" xfId="51895"/>
    <cellStyle name="Total 3 3 21" xfId="3283"/>
    <cellStyle name="Total 3 3 21 2" xfId="11076"/>
    <cellStyle name="Total 3 3 21 3" xfId="18405"/>
    <cellStyle name="Total 3 3 21 4" xfId="26332"/>
    <cellStyle name="Total 3 3 21 5" xfId="35056"/>
    <cellStyle name="Total 3 3 21 6" xfId="41339"/>
    <cellStyle name="Total 3 3 21 7" xfId="53702"/>
    <cellStyle name="Total 3 3 22" xfId="3403"/>
    <cellStyle name="Total 3 3 22 2" xfId="11194"/>
    <cellStyle name="Total 3 3 22 3" xfId="18516"/>
    <cellStyle name="Total 3 3 22 4" xfId="19093"/>
    <cellStyle name="Total 3 3 22 5" xfId="26804"/>
    <cellStyle name="Total 3 3 22 6" xfId="37237"/>
    <cellStyle name="Total 3 3 22 7" xfId="49864"/>
    <cellStyle name="Total 3 3 23" xfId="3004"/>
    <cellStyle name="Total 3 3 23 2" xfId="10823"/>
    <cellStyle name="Total 3 3 23 3" xfId="18246"/>
    <cellStyle name="Total 3 3 23 4" xfId="25827"/>
    <cellStyle name="Total 3 3 23 5" xfId="34410"/>
    <cellStyle name="Total 3 3 23 6" xfId="40319"/>
    <cellStyle name="Total 3 3 23 7" xfId="52622"/>
    <cellStyle name="Total 3 3 24" xfId="3673"/>
    <cellStyle name="Total 3 3 24 2" xfId="11458"/>
    <cellStyle name="Total 3 3 24 3" xfId="18731"/>
    <cellStyle name="Total 3 3 24 4" xfId="25655"/>
    <cellStyle name="Total 3 3 24 5" xfId="34177"/>
    <cellStyle name="Total 3 3 24 6" xfId="38813"/>
    <cellStyle name="Total 3 3 24 7" xfId="52210"/>
    <cellStyle name="Total 3 3 25" xfId="3804"/>
    <cellStyle name="Total 3 3 25 2" xfId="11586"/>
    <cellStyle name="Total 3 3 25 3" xfId="18843"/>
    <cellStyle name="Total 3 3 25 4" xfId="24809"/>
    <cellStyle name="Total 3 3 25 5" xfId="28144"/>
    <cellStyle name="Total 3 3 25 6" xfId="41691"/>
    <cellStyle name="Total 3 3 25 7" xfId="48167"/>
    <cellStyle name="Total 3 3 26" xfId="3921"/>
    <cellStyle name="Total 3 3 26 2" xfId="11701"/>
    <cellStyle name="Total 3 3 26 3" xfId="18952"/>
    <cellStyle name="Total 3 3 26 4" xfId="19160"/>
    <cellStyle name="Total 3 3 26 5" xfId="27769"/>
    <cellStyle name="Total 3 3 26 6" xfId="37191"/>
    <cellStyle name="Total 3 3 26 7" xfId="49242"/>
    <cellStyle name="Total 3 3 27" xfId="3581"/>
    <cellStyle name="Total 3 3 27 2" xfId="11370"/>
    <cellStyle name="Total 3 3 27 3" xfId="20537"/>
    <cellStyle name="Total 3 3 27 4" xfId="28662"/>
    <cellStyle name="Total 3 3 27 5" xfId="38045"/>
    <cellStyle name="Total 3 3 27 6" xfId="42517"/>
    <cellStyle name="Total 3 3 27 7" xfId="54180"/>
    <cellStyle name="Total 3 3 28" xfId="4118"/>
    <cellStyle name="Total 3 3 28 2" xfId="11878"/>
    <cellStyle name="Total 3 3 28 3" xfId="20828"/>
    <cellStyle name="Total 3 3 28 4" xfId="29015"/>
    <cellStyle name="Total 3 3 28 5" xfId="38392"/>
    <cellStyle name="Total 3 3 28 6" xfId="42680"/>
    <cellStyle name="Total 3 3 28 7" xfId="52747"/>
    <cellStyle name="Total 3 3 29" xfId="3097"/>
    <cellStyle name="Total 3 3 29 2" xfId="20256"/>
    <cellStyle name="Total 3 3 29 3" xfId="28346"/>
    <cellStyle name="Total 3 3 29 4" xfId="37725"/>
    <cellStyle name="Total 3 3 29 5" xfId="42399"/>
    <cellStyle name="Total 3 3 29 6" xfId="50596"/>
    <cellStyle name="Total 3 3 3" xfId="775"/>
    <cellStyle name="Total 3 3 3 2" xfId="8599"/>
    <cellStyle name="Total 3 3 3 3" xfId="16027"/>
    <cellStyle name="Total 3 3 3 4" xfId="25669"/>
    <cellStyle name="Total 3 3 3 5" xfId="34201"/>
    <cellStyle name="Total 3 3 3 6" xfId="38229"/>
    <cellStyle name="Total 3 3 3 7" xfId="52239"/>
    <cellStyle name="Total 3 3 30" xfId="4315"/>
    <cellStyle name="Total 3 3 30 2" xfId="12032"/>
    <cellStyle name="Total 3 3 30 3" xfId="21025"/>
    <cellStyle name="Total 3 3 30 4" xfId="29212"/>
    <cellStyle name="Total 3 3 30 5" xfId="38583"/>
    <cellStyle name="Total 3 3 30 6" xfId="42877"/>
    <cellStyle name="Total 3 3 30 7" xfId="47853"/>
    <cellStyle name="Total 3 3 31" xfId="4438"/>
    <cellStyle name="Total 3 3 31 2" xfId="12155"/>
    <cellStyle name="Total 3 3 31 3" xfId="21148"/>
    <cellStyle name="Total 3 3 31 4" xfId="29335"/>
    <cellStyle name="Total 3 3 31 5" xfId="38701"/>
    <cellStyle name="Total 3 3 31 6" xfId="43000"/>
    <cellStyle name="Total 3 3 31 7" xfId="51446"/>
    <cellStyle name="Total 3 3 32" xfId="4552"/>
    <cellStyle name="Total 3 3 32 2" xfId="12269"/>
    <cellStyle name="Total 3 3 32 3" xfId="21262"/>
    <cellStyle name="Total 3 3 32 4" xfId="29449"/>
    <cellStyle name="Total 3 3 32 5" xfId="38810"/>
    <cellStyle name="Total 3 3 32 6" xfId="43114"/>
    <cellStyle name="Total 3 3 32 7" xfId="48244"/>
    <cellStyle name="Total 3 3 33" xfId="4665"/>
    <cellStyle name="Total 3 3 33 2" xfId="12382"/>
    <cellStyle name="Total 3 3 33 3" xfId="21375"/>
    <cellStyle name="Total 3 3 33 4" xfId="29562"/>
    <cellStyle name="Total 3 3 33 5" xfId="38919"/>
    <cellStyle name="Total 3 3 33 6" xfId="43227"/>
    <cellStyle name="Total 3 3 33 7" xfId="49697"/>
    <cellStyle name="Total 3 3 34" xfId="4777"/>
    <cellStyle name="Total 3 3 34 2" xfId="12494"/>
    <cellStyle name="Total 3 3 34 3" xfId="21487"/>
    <cellStyle name="Total 3 3 34 4" xfId="29674"/>
    <cellStyle name="Total 3 3 34 5" xfId="39028"/>
    <cellStyle name="Total 3 3 34 6" xfId="43339"/>
    <cellStyle name="Total 3 3 34 7" xfId="54228"/>
    <cellStyle name="Total 3 3 35" xfId="4885"/>
    <cellStyle name="Total 3 3 35 2" xfId="12602"/>
    <cellStyle name="Total 3 3 35 3" xfId="21595"/>
    <cellStyle name="Total 3 3 35 4" xfId="29782"/>
    <cellStyle name="Total 3 3 35 5" xfId="39131"/>
    <cellStyle name="Total 3 3 35 6" xfId="43447"/>
    <cellStyle name="Total 3 3 35 7" xfId="50503"/>
    <cellStyle name="Total 3 3 36" xfId="4997"/>
    <cellStyle name="Total 3 3 36 2" xfId="12714"/>
    <cellStyle name="Total 3 3 36 3" xfId="21707"/>
    <cellStyle name="Total 3 3 36 4" xfId="29894"/>
    <cellStyle name="Total 3 3 36 5" xfId="39240"/>
    <cellStyle name="Total 3 3 36 6" xfId="43559"/>
    <cellStyle name="Total 3 3 36 7" xfId="54382"/>
    <cellStyle name="Total 3 3 37" xfId="5114"/>
    <cellStyle name="Total 3 3 37 2" xfId="12831"/>
    <cellStyle name="Total 3 3 37 3" xfId="21824"/>
    <cellStyle name="Total 3 3 37 4" xfId="30011"/>
    <cellStyle name="Total 3 3 37 5" xfId="39352"/>
    <cellStyle name="Total 3 3 37 6" xfId="43676"/>
    <cellStyle name="Total 3 3 37 7" xfId="49422"/>
    <cellStyle name="Total 3 3 38" xfId="5495"/>
    <cellStyle name="Total 3 3 38 2" xfId="13212"/>
    <cellStyle name="Total 3 3 38 3" xfId="22205"/>
    <cellStyle name="Total 3 3 38 4" xfId="30392"/>
    <cellStyle name="Total 3 3 38 5" xfId="39717"/>
    <cellStyle name="Total 3 3 38 6" xfId="44057"/>
    <cellStyle name="Total 3 3 38 7" xfId="49150"/>
    <cellStyle name="Total 3 3 39" xfId="5620"/>
    <cellStyle name="Total 3 3 39 2" xfId="13337"/>
    <cellStyle name="Total 3 3 39 3" xfId="22330"/>
    <cellStyle name="Total 3 3 39 4" xfId="30517"/>
    <cellStyle name="Total 3 3 39 5" xfId="39838"/>
    <cellStyle name="Total 3 3 39 6" xfId="44182"/>
    <cellStyle name="Total 3 3 39 7" xfId="47127"/>
    <cellStyle name="Total 3 3 4" xfId="887"/>
    <cellStyle name="Total 3 3 4 2" xfId="8711"/>
    <cellStyle name="Total 3 3 4 3" xfId="16139"/>
    <cellStyle name="Total 3 3 4 4" xfId="26533"/>
    <cellStyle name="Total 3 3 4 5" xfId="35333"/>
    <cellStyle name="Total 3 3 4 6" xfId="38111"/>
    <cellStyle name="Total 3 3 4 7" xfId="54140"/>
    <cellStyle name="Total 3 3 40" xfId="5735"/>
    <cellStyle name="Total 3 3 40 2" xfId="13452"/>
    <cellStyle name="Total 3 3 40 3" xfId="22445"/>
    <cellStyle name="Total 3 3 40 4" xfId="30632"/>
    <cellStyle name="Total 3 3 40 5" xfId="39949"/>
    <cellStyle name="Total 3 3 40 6" xfId="44297"/>
    <cellStyle name="Total 3 3 40 7" xfId="53819"/>
    <cellStyle name="Total 3 3 41" xfId="5852"/>
    <cellStyle name="Total 3 3 41 2" xfId="13569"/>
    <cellStyle name="Total 3 3 41 3" xfId="22562"/>
    <cellStyle name="Total 3 3 41 4" xfId="30749"/>
    <cellStyle name="Total 3 3 41 5" xfId="40063"/>
    <cellStyle name="Total 3 3 41 6" xfId="44414"/>
    <cellStyle name="Total 3 3 41 7" xfId="48155"/>
    <cellStyle name="Total 3 3 42" xfId="5980"/>
    <cellStyle name="Total 3 3 42 2" xfId="13697"/>
    <cellStyle name="Total 3 3 42 3" xfId="22690"/>
    <cellStyle name="Total 3 3 42 4" xfId="30877"/>
    <cellStyle name="Total 3 3 42 5" xfId="40186"/>
    <cellStyle name="Total 3 3 42 6" xfId="44542"/>
    <cellStyle name="Total 3 3 42 7" xfId="49187"/>
    <cellStyle name="Total 3 3 43" xfId="5339"/>
    <cellStyle name="Total 3 3 43 2" xfId="13056"/>
    <cellStyle name="Total 3 3 43 3" xfId="22049"/>
    <cellStyle name="Total 3 3 43 4" xfId="30236"/>
    <cellStyle name="Total 3 3 43 5" xfId="39569"/>
    <cellStyle name="Total 3 3 43 6" xfId="43901"/>
    <cellStyle name="Total 3 3 43 7" xfId="50159"/>
    <cellStyle name="Total 3 3 44" xfId="6236"/>
    <cellStyle name="Total 3 3 44 2" xfId="13953"/>
    <cellStyle name="Total 3 3 44 3" xfId="22946"/>
    <cellStyle name="Total 3 3 44 4" xfId="31133"/>
    <cellStyle name="Total 3 3 44 5" xfId="40434"/>
    <cellStyle name="Total 3 3 44 6" xfId="44798"/>
    <cellStyle name="Total 3 3 44 7" xfId="51872"/>
    <cellStyle name="Total 3 3 45" xfId="6353"/>
    <cellStyle name="Total 3 3 45 2" xfId="14070"/>
    <cellStyle name="Total 3 3 45 3" xfId="23063"/>
    <cellStyle name="Total 3 3 45 4" xfId="31250"/>
    <cellStyle name="Total 3 3 45 5" xfId="40548"/>
    <cellStyle name="Total 3 3 45 6" xfId="44915"/>
    <cellStyle name="Total 3 3 45 7" xfId="48565"/>
    <cellStyle name="Total 3 3 46" xfId="6463"/>
    <cellStyle name="Total 3 3 46 2" xfId="14180"/>
    <cellStyle name="Total 3 3 46 3" xfId="23173"/>
    <cellStyle name="Total 3 3 46 4" xfId="31360"/>
    <cellStyle name="Total 3 3 46 5" xfId="40654"/>
    <cellStyle name="Total 3 3 46 6" xfId="45025"/>
    <cellStyle name="Total 3 3 46 7" xfId="47396"/>
    <cellStyle name="Total 3 3 47" xfId="5085"/>
    <cellStyle name="Total 3 3 47 2" xfId="12802"/>
    <cellStyle name="Total 3 3 47 3" xfId="21795"/>
    <cellStyle name="Total 3 3 47 4" xfId="29982"/>
    <cellStyle name="Total 3 3 47 5" xfId="39325"/>
    <cellStyle name="Total 3 3 47 6" xfId="43647"/>
    <cellStyle name="Total 3 3 47 7" xfId="51680"/>
    <cellStyle name="Total 3 3 48" xfId="6610"/>
    <cellStyle name="Total 3 3 48 2" xfId="14327"/>
    <cellStyle name="Total 3 3 48 3" xfId="23320"/>
    <cellStyle name="Total 3 3 48 4" xfId="31507"/>
    <cellStyle name="Total 3 3 48 5" xfId="40794"/>
    <cellStyle name="Total 3 3 48 6" xfId="45172"/>
    <cellStyle name="Total 3 3 48 7" xfId="49915"/>
    <cellStyle name="Total 3 3 49" xfId="6721"/>
    <cellStyle name="Total 3 3 49 2" xfId="14438"/>
    <cellStyle name="Total 3 3 49 3" xfId="23431"/>
    <cellStyle name="Total 3 3 49 4" xfId="31618"/>
    <cellStyle name="Total 3 3 49 5" xfId="40899"/>
    <cellStyle name="Total 3 3 49 6" xfId="45283"/>
    <cellStyle name="Total 3 3 49 7" xfId="53011"/>
    <cellStyle name="Total 3 3 5" xfId="1352"/>
    <cellStyle name="Total 3 3 5 2" xfId="9175"/>
    <cellStyle name="Total 3 3 5 3" xfId="16603"/>
    <cellStyle name="Total 3 3 5 4" xfId="19750"/>
    <cellStyle name="Total 3 3 5 5" xfId="28732"/>
    <cellStyle name="Total 3 3 5 6" xfId="41546"/>
    <cellStyle name="Total 3 3 5 7" xfId="48698"/>
    <cellStyle name="Total 3 3 50" xfId="6836"/>
    <cellStyle name="Total 3 3 50 2" xfId="14553"/>
    <cellStyle name="Total 3 3 50 3" xfId="23546"/>
    <cellStyle name="Total 3 3 50 4" xfId="31733"/>
    <cellStyle name="Total 3 3 50 5" xfId="41007"/>
    <cellStyle name="Total 3 3 50 6" xfId="45398"/>
    <cellStyle name="Total 3 3 50 7" xfId="47798"/>
    <cellStyle name="Total 3 3 51" xfId="6949"/>
    <cellStyle name="Total 3 3 51 2" xfId="14666"/>
    <cellStyle name="Total 3 3 51 3" xfId="23659"/>
    <cellStyle name="Total 3 3 51 4" xfId="31846"/>
    <cellStyle name="Total 3 3 51 5" xfId="41115"/>
    <cellStyle name="Total 3 3 51 6" xfId="45511"/>
    <cellStyle name="Total 3 3 51 7" xfId="46804"/>
    <cellStyle name="Total 3 3 52" xfId="7061"/>
    <cellStyle name="Total 3 3 52 2" xfId="14778"/>
    <cellStyle name="Total 3 3 52 3" xfId="23771"/>
    <cellStyle name="Total 3 3 52 4" xfId="31958"/>
    <cellStyle name="Total 3 3 52 5" xfId="41221"/>
    <cellStyle name="Total 3 3 52 6" xfId="45623"/>
    <cellStyle name="Total 3 3 52 7" xfId="48073"/>
    <cellStyle name="Total 3 3 53" xfId="7337"/>
    <cellStyle name="Total 3 3 53 2" xfId="15054"/>
    <cellStyle name="Total 3 3 53 3" xfId="24047"/>
    <cellStyle name="Total 3 3 53 4" xfId="32234"/>
    <cellStyle name="Total 3 3 53 5" xfId="41490"/>
    <cellStyle name="Total 3 3 53 6" xfId="45899"/>
    <cellStyle name="Total 3 3 53 7" xfId="52841"/>
    <cellStyle name="Total 3 3 54" xfId="7302"/>
    <cellStyle name="Total 3 3 54 2" xfId="15019"/>
    <cellStyle name="Total 3 3 54 3" xfId="24012"/>
    <cellStyle name="Total 3 3 54 4" xfId="32199"/>
    <cellStyle name="Total 3 3 54 5" xfId="41455"/>
    <cellStyle name="Total 3 3 54 6" xfId="45864"/>
    <cellStyle name="Total 3 3 54 7" xfId="48260"/>
    <cellStyle name="Total 3 3 55" xfId="7458"/>
    <cellStyle name="Total 3 3 55 2" xfId="15175"/>
    <cellStyle name="Total 3 3 55 3" xfId="24168"/>
    <cellStyle name="Total 3 3 55 4" xfId="32355"/>
    <cellStyle name="Total 3 3 55 5" xfId="41604"/>
    <cellStyle name="Total 3 3 55 6" xfId="46020"/>
    <cellStyle name="Total 3 3 55 7" xfId="48432"/>
    <cellStyle name="Total 3 3 56" xfId="7579"/>
    <cellStyle name="Total 3 3 56 2" xfId="15296"/>
    <cellStyle name="Total 3 3 56 3" xfId="24289"/>
    <cellStyle name="Total 3 3 56 4" xfId="32476"/>
    <cellStyle name="Total 3 3 56 5" xfId="41719"/>
    <cellStyle name="Total 3 3 56 6" xfId="46141"/>
    <cellStyle name="Total 3 3 56 7" xfId="49245"/>
    <cellStyle name="Total 3 3 57" xfId="7855"/>
    <cellStyle name="Total 3 3 57 2" xfId="15572"/>
    <cellStyle name="Total 3 3 57 3" xfId="24559"/>
    <cellStyle name="Total 3 3 57 4" xfId="32752"/>
    <cellStyle name="Total 3 3 57 5" xfId="41984"/>
    <cellStyle name="Total 3 3 57 6" xfId="46417"/>
    <cellStyle name="Total 3 3 57 7" xfId="50547"/>
    <cellStyle name="Total 3 3 58" xfId="7975"/>
    <cellStyle name="Total 3 3 58 2" xfId="15692"/>
    <cellStyle name="Total 3 3 58 3" xfId="24677"/>
    <cellStyle name="Total 3 3 58 4" xfId="32872"/>
    <cellStyle name="Total 3 3 58 5" xfId="42099"/>
    <cellStyle name="Total 3 3 58 6" xfId="46537"/>
    <cellStyle name="Total 3 3 58 7" xfId="52675"/>
    <cellStyle name="Total 3 3 59" xfId="8067"/>
    <cellStyle name="Total 3 3 59 2" xfId="15784"/>
    <cellStyle name="Total 3 3 59 3" xfId="24769"/>
    <cellStyle name="Total 3 3 59 4" xfId="32964"/>
    <cellStyle name="Total 3 3 59 5" xfId="42188"/>
    <cellStyle name="Total 3 3 59 6" xfId="46629"/>
    <cellStyle name="Total 3 3 59 7" xfId="50217"/>
    <cellStyle name="Total 3 3 6" xfId="1475"/>
    <cellStyle name="Total 3 3 6 2" xfId="9298"/>
    <cellStyle name="Total 3 3 6 3" xfId="16726"/>
    <cellStyle name="Total 3 3 6 4" xfId="26342"/>
    <cellStyle name="Total 3 3 6 5" xfId="35068"/>
    <cellStyle name="Total 3 3 6 6" xfId="37079"/>
    <cellStyle name="Total 3 3 6 7" xfId="53722"/>
    <cellStyle name="Total 3 3 60" xfId="8131"/>
    <cellStyle name="Total 3 3 60 2" xfId="15848"/>
    <cellStyle name="Total 3 3 60 3" xfId="33028"/>
    <cellStyle name="Total 3 3 60 4" xfId="42248"/>
    <cellStyle name="Total 3 3 60 5" xfId="46693"/>
    <cellStyle name="Total 3 3 60 6" xfId="47517"/>
    <cellStyle name="Total 3 3 61" xfId="20618"/>
    <cellStyle name="Total 3 3 62" xfId="26779"/>
    <cellStyle name="Total 3 3 63" xfId="37295"/>
    <cellStyle name="Total 3 3 64" xfId="50364"/>
    <cellStyle name="Total 3 3 7" xfId="1164"/>
    <cellStyle name="Total 3 3 7 2" xfId="8987"/>
    <cellStyle name="Total 3 3 7 3" xfId="16415"/>
    <cellStyle name="Total 3 3 7 4" xfId="19453"/>
    <cellStyle name="Total 3 3 7 5" xfId="27635"/>
    <cellStyle name="Total 3 3 7 6" xfId="36485"/>
    <cellStyle name="Total 3 3 7 7" xfId="49673"/>
    <cellStyle name="Total 3 3 8" xfId="1712"/>
    <cellStyle name="Total 3 3 8 2" xfId="9535"/>
    <cellStyle name="Total 3 3 8 3" xfId="16963"/>
    <cellStyle name="Total 3 3 8 4" xfId="26076"/>
    <cellStyle name="Total 3 3 8 5" xfId="34722"/>
    <cellStyle name="Total 3 3 8 6" xfId="37381"/>
    <cellStyle name="Total 3 3 8 7" xfId="53161"/>
    <cellStyle name="Total 3 3 9" xfId="1846"/>
    <cellStyle name="Total 3 3 9 2" xfId="9669"/>
    <cellStyle name="Total 3 3 9 3" xfId="17097"/>
    <cellStyle name="Total 3 3 9 4" xfId="26274"/>
    <cellStyle name="Total 3 3 9 5" xfId="34975"/>
    <cellStyle name="Total 3 3 9 6" xfId="36360"/>
    <cellStyle name="Total 3 3 9 7" xfId="53585"/>
    <cellStyle name="Total 3 30" xfId="7212"/>
    <cellStyle name="Total 3 30 2" xfId="14929"/>
    <cellStyle name="Total 3 30 3" xfId="23922"/>
    <cellStyle name="Total 3 30 4" xfId="32109"/>
    <cellStyle name="Total 3 30 5" xfId="41369"/>
    <cellStyle name="Total 3 30 6" xfId="45774"/>
    <cellStyle name="Total 3 30 7" xfId="49618"/>
    <cellStyle name="Total 3 31" xfId="7385"/>
    <cellStyle name="Total 3 31 2" xfId="15102"/>
    <cellStyle name="Total 3 31 3" xfId="24095"/>
    <cellStyle name="Total 3 31 4" xfId="32282"/>
    <cellStyle name="Total 3 31 5" xfId="41538"/>
    <cellStyle name="Total 3 31 6" xfId="45947"/>
    <cellStyle name="Total 3 31 7" xfId="50787"/>
    <cellStyle name="Total 3 32" xfId="7752"/>
    <cellStyle name="Total 3 32 2" xfId="15469"/>
    <cellStyle name="Total 3 32 3" xfId="24460"/>
    <cellStyle name="Total 3 32 4" xfId="32649"/>
    <cellStyle name="Total 3 32 5" xfId="41885"/>
    <cellStyle name="Total 3 32 6" xfId="46314"/>
    <cellStyle name="Total 3 32 7" xfId="53004"/>
    <cellStyle name="Total 3 33" xfId="20374"/>
    <cellStyle name="Total 3 34" xfId="28870"/>
    <cellStyle name="Total 3 35" xfId="36362"/>
    <cellStyle name="Total 3 36" xfId="47477"/>
    <cellStyle name="Total 3 4" xfId="490"/>
    <cellStyle name="Total 3 4 10" xfId="1937"/>
    <cellStyle name="Total 3 4 10 2" xfId="9760"/>
    <cellStyle name="Total 3 4 10 3" xfId="17188"/>
    <cellStyle name="Total 3 4 10 4" xfId="26065"/>
    <cellStyle name="Total 3 4 10 5" xfId="34709"/>
    <cellStyle name="Total 3 4 10 6" xfId="41966"/>
    <cellStyle name="Total 3 4 10 7" xfId="53132"/>
    <cellStyle name="Total 3 4 11" xfId="2055"/>
    <cellStyle name="Total 3 4 11 2" xfId="9878"/>
    <cellStyle name="Total 3 4 11 3" xfId="17306"/>
    <cellStyle name="Total 3 4 11 4" xfId="26133"/>
    <cellStyle name="Total 3 4 11 5" xfId="34795"/>
    <cellStyle name="Total 3 4 11 6" xfId="37320"/>
    <cellStyle name="Total 3 4 11 7" xfId="53276"/>
    <cellStyle name="Total 3 4 12" xfId="2168"/>
    <cellStyle name="Total 3 4 12 2" xfId="9991"/>
    <cellStyle name="Total 3 4 12 3" xfId="17419"/>
    <cellStyle name="Total 3 4 12 4" xfId="25448"/>
    <cellStyle name="Total 3 4 12 5" xfId="33908"/>
    <cellStyle name="Total 3 4 12 6" xfId="40645"/>
    <cellStyle name="Total 3 4 12 7" xfId="51745"/>
    <cellStyle name="Total 3 4 13" xfId="1113"/>
    <cellStyle name="Total 3 4 13 2" xfId="8937"/>
    <cellStyle name="Total 3 4 13 3" xfId="16365"/>
    <cellStyle name="Total 3 4 13 4" xfId="26316"/>
    <cellStyle name="Total 3 4 13 5" xfId="35038"/>
    <cellStyle name="Total 3 4 13 6" xfId="37760"/>
    <cellStyle name="Total 3 4 13 7" xfId="53677"/>
    <cellStyle name="Total 3 4 14" xfId="1161"/>
    <cellStyle name="Total 3 4 14 2" xfId="8984"/>
    <cellStyle name="Total 3 4 14 3" xfId="16412"/>
    <cellStyle name="Total 3 4 14 4" xfId="20229"/>
    <cellStyle name="Total 3 4 14 5" xfId="27141"/>
    <cellStyle name="Total 3 4 14 6" xfId="38732"/>
    <cellStyle name="Total 3 4 14 7" xfId="47245"/>
    <cellStyle name="Total 3 4 15" xfId="2466"/>
    <cellStyle name="Total 3 4 15 2" xfId="10289"/>
    <cellStyle name="Total 3 4 15 3" xfId="17717"/>
    <cellStyle name="Total 3 4 15 4" xfId="26686"/>
    <cellStyle name="Total 3 4 15 5" xfId="35536"/>
    <cellStyle name="Total 3 4 15 6" xfId="40195"/>
    <cellStyle name="Total 3 4 15 7" xfId="54464"/>
    <cellStyle name="Total 3 4 16" xfId="2579"/>
    <cellStyle name="Total 3 4 16 2" xfId="10402"/>
    <cellStyle name="Total 3 4 16 3" xfId="17830"/>
    <cellStyle name="Total 3 4 16 4" xfId="25560"/>
    <cellStyle name="Total 3 4 16 5" xfId="34056"/>
    <cellStyle name="Total 3 4 16 6" xfId="36692"/>
    <cellStyle name="Total 3 4 16 7" xfId="52000"/>
    <cellStyle name="Total 3 4 17" xfId="2406"/>
    <cellStyle name="Total 3 4 17 2" xfId="10229"/>
    <cellStyle name="Total 3 4 17 3" xfId="17657"/>
    <cellStyle name="Total 3 4 17 4" xfId="26177"/>
    <cellStyle name="Total 3 4 17 5" xfId="34849"/>
    <cellStyle name="Total 3 4 17 6" xfId="39033"/>
    <cellStyle name="Total 3 4 17 7" xfId="53375"/>
    <cellStyle name="Total 3 4 18" xfId="1583"/>
    <cellStyle name="Total 3 4 18 2" xfId="9406"/>
    <cellStyle name="Total 3 4 18 3" xfId="16834"/>
    <cellStyle name="Total 3 4 18 4" xfId="25596"/>
    <cellStyle name="Total 3 4 18 5" xfId="34106"/>
    <cellStyle name="Total 3 4 18 6" xfId="40021"/>
    <cellStyle name="Total 3 4 18 7" xfId="52085"/>
    <cellStyle name="Total 3 4 19" xfId="2773"/>
    <cellStyle name="Total 3 4 19 2" xfId="10596"/>
    <cellStyle name="Total 3 4 19 3" xfId="18024"/>
    <cellStyle name="Total 3 4 19 4" xfId="24831"/>
    <cellStyle name="Total 3 4 19 5" xfId="27919"/>
    <cellStyle name="Total 3 4 19 6" xfId="39875"/>
    <cellStyle name="Total 3 4 19 7" xfId="48141"/>
    <cellStyle name="Total 3 4 2" xfId="641"/>
    <cellStyle name="Total 3 4 2 2" xfId="8465"/>
    <cellStyle name="Total 3 4 2 3" xfId="8293"/>
    <cellStyle name="Total 3 4 2 4" xfId="26318"/>
    <cellStyle name="Total 3 4 2 5" xfId="35041"/>
    <cellStyle name="Total 3 4 2 6" xfId="38202"/>
    <cellStyle name="Total 3 4 2 7" xfId="53682"/>
    <cellStyle name="Total 3 4 20" xfId="2880"/>
    <cellStyle name="Total 3 4 20 2" xfId="10703"/>
    <cellStyle name="Total 3 4 20 3" xfId="18131"/>
    <cellStyle name="Total 3 4 20 4" xfId="24937"/>
    <cellStyle name="Total 3 4 20 5" xfId="33272"/>
    <cellStyle name="Total 3 4 20 6" xfId="36343"/>
    <cellStyle name="Total 3 4 20 7" xfId="50654"/>
    <cellStyle name="Total 3 4 21" xfId="3256"/>
    <cellStyle name="Total 3 4 21 2" xfId="11049"/>
    <cellStyle name="Total 3 4 21 3" xfId="18378"/>
    <cellStyle name="Total 3 4 21 4" xfId="19608"/>
    <cellStyle name="Total 3 4 21 5" xfId="28837"/>
    <cellStyle name="Total 3 4 21 6" xfId="36565"/>
    <cellStyle name="Total 3 4 21 7" xfId="50156"/>
    <cellStyle name="Total 3 4 22" xfId="3376"/>
    <cellStyle name="Total 3 4 22 2" xfId="11167"/>
    <cellStyle name="Total 3 4 22 3" xfId="18489"/>
    <cellStyle name="Total 3 4 22 4" xfId="25838"/>
    <cellStyle name="Total 3 4 22 5" xfId="34423"/>
    <cellStyle name="Total 3 4 22 6" xfId="39278"/>
    <cellStyle name="Total 3 4 22 7" xfId="52649"/>
    <cellStyle name="Total 3 4 23" xfId="3541"/>
    <cellStyle name="Total 3 4 23 2" xfId="11330"/>
    <cellStyle name="Total 3 4 23 3" xfId="18620"/>
    <cellStyle name="Total 3 4 23 4" xfId="24974"/>
    <cellStyle name="Total 3 4 23 5" xfId="33316"/>
    <cellStyle name="Total 3 4 23 6" xfId="38867"/>
    <cellStyle name="Total 3 4 23 7" xfId="50729"/>
    <cellStyle name="Total 3 4 24" xfId="3646"/>
    <cellStyle name="Total 3 4 24 2" xfId="11431"/>
    <cellStyle name="Total 3 4 24 3" xfId="18704"/>
    <cellStyle name="Total 3 4 24 4" xfId="20587"/>
    <cellStyle name="Total 3 4 24 5" xfId="27745"/>
    <cellStyle name="Total 3 4 24 6" xfId="41722"/>
    <cellStyle name="Total 3 4 24 7" xfId="48531"/>
    <cellStyle name="Total 3 4 25" xfId="3777"/>
    <cellStyle name="Total 3 4 25 2" xfId="11559"/>
    <cellStyle name="Total 3 4 25 3" xfId="18816"/>
    <cellStyle name="Total 3 4 25 4" xfId="19065"/>
    <cellStyle name="Total 3 4 25 5" xfId="33162"/>
    <cellStyle name="Total 3 4 25 6" xfId="37428"/>
    <cellStyle name="Total 3 4 25 7" xfId="50458"/>
    <cellStyle name="Total 3 4 26" xfId="3894"/>
    <cellStyle name="Total 3 4 26 2" xfId="11674"/>
    <cellStyle name="Total 3 4 26 3" xfId="18925"/>
    <cellStyle name="Total 3 4 26 4" xfId="25603"/>
    <cellStyle name="Total 3 4 26 5" xfId="34113"/>
    <cellStyle name="Total 3 4 26 6" xfId="40038"/>
    <cellStyle name="Total 3 4 26 7" xfId="52094"/>
    <cellStyle name="Total 3 4 27" xfId="3238"/>
    <cellStyle name="Total 3 4 27 2" xfId="11031"/>
    <cellStyle name="Total 3 4 27 3" xfId="20357"/>
    <cellStyle name="Total 3 4 27 4" xfId="28445"/>
    <cellStyle name="Total 3 4 27 5" xfId="37837"/>
    <cellStyle name="Total 3 4 27 6" xfId="42460"/>
    <cellStyle name="Total 3 4 27 7" xfId="47657"/>
    <cellStyle name="Total 3 4 28" xfId="4091"/>
    <cellStyle name="Total 3 4 28 2" xfId="11851"/>
    <cellStyle name="Total 3 4 28 3" xfId="20801"/>
    <cellStyle name="Total 3 4 28 4" xfId="28988"/>
    <cellStyle name="Total 3 4 28 5" xfId="38367"/>
    <cellStyle name="Total 3 4 28 6" xfId="42653"/>
    <cellStyle name="Total 3 4 28 7" xfId="51817"/>
    <cellStyle name="Total 3 4 29" xfId="3364"/>
    <cellStyle name="Total 3 4 29 2" xfId="20413"/>
    <cellStyle name="Total 3 4 29 3" xfId="28520"/>
    <cellStyle name="Total 3 4 29 4" xfId="37906"/>
    <cellStyle name="Total 3 4 29 5" xfId="42470"/>
    <cellStyle name="Total 3 4 29 6" xfId="53791"/>
    <cellStyle name="Total 3 4 3" xfId="748"/>
    <cellStyle name="Total 3 4 3 2" xfId="8572"/>
    <cellStyle name="Total 3 4 3 3" xfId="16000"/>
    <cellStyle name="Total 3 4 3 4" xfId="20294"/>
    <cellStyle name="Total 3 4 3 5" xfId="28569"/>
    <cellStyle name="Total 3 4 3 6" xfId="38194"/>
    <cellStyle name="Total 3 4 3 7" xfId="48596"/>
    <cellStyle name="Total 3 4 30" xfId="4288"/>
    <cellStyle name="Total 3 4 30 2" xfId="12005"/>
    <cellStyle name="Total 3 4 30 3" xfId="20998"/>
    <cellStyle name="Total 3 4 30 4" xfId="29185"/>
    <cellStyle name="Total 3 4 30 5" xfId="38558"/>
    <cellStyle name="Total 3 4 30 6" xfId="42850"/>
    <cellStyle name="Total 3 4 30 7" xfId="50277"/>
    <cellStyle name="Total 3 4 31" xfId="4411"/>
    <cellStyle name="Total 3 4 31 2" xfId="12128"/>
    <cellStyle name="Total 3 4 31 3" xfId="21121"/>
    <cellStyle name="Total 3 4 31 4" xfId="29308"/>
    <cellStyle name="Total 3 4 31 5" xfId="38678"/>
    <cellStyle name="Total 3 4 31 6" xfId="42973"/>
    <cellStyle name="Total 3 4 31 7" xfId="54011"/>
    <cellStyle name="Total 3 4 32" xfId="4525"/>
    <cellStyle name="Total 3 4 32 2" xfId="12242"/>
    <cellStyle name="Total 3 4 32 3" xfId="21235"/>
    <cellStyle name="Total 3 4 32 4" xfId="29422"/>
    <cellStyle name="Total 3 4 32 5" xfId="38786"/>
    <cellStyle name="Total 3 4 32 6" xfId="43087"/>
    <cellStyle name="Total 3 4 32 7" xfId="49004"/>
    <cellStyle name="Total 3 4 33" xfId="4638"/>
    <cellStyle name="Total 3 4 33 2" xfId="12355"/>
    <cellStyle name="Total 3 4 33 3" xfId="21348"/>
    <cellStyle name="Total 3 4 33 4" xfId="29535"/>
    <cellStyle name="Total 3 4 33 5" xfId="38894"/>
    <cellStyle name="Total 3 4 33 6" xfId="43200"/>
    <cellStyle name="Total 3 4 33 7" xfId="53208"/>
    <cellStyle name="Total 3 4 34" xfId="4750"/>
    <cellStyle name="Total 3 4 34 2" xfId="12467"/>
    <cellStyle name="Total 3 4 34 3" xfId="21460"/>
    <cellStyle name="Total 3 4 34 4" xfId="29647"/>
    <cellStyle name="Total 3 4 34 5" xfId="39002"/>
    <cellStyle name="Total 3 4 34 6" xfId="43312"/>
    <cellStyle name="Total 3 4 34 7" xfId="48274"/>
    <cellStyle name="Total 3 4 35" xfId="4858"/>
    <cellStyle name="Total 3 4 35 2" xfId="12575"/>
    <cellStyle name="Total 3 4 35 3" xfId="21568"/>
    <cellStyle name="Total 3 4 35 4" xfId="29755"/>
    <cellStyle name="Total 3 4 35 5" xfId="39106"/>
    <cellStyle name="Total 3 4 35 6" xfId="43420"/>
    <cellStyle name="Total 3 4 35 7" xfId="53141"/>
    <cellStyle name="Total 3 4 36" xfId="4970"/>
    <cellStyle name="Total 3 4 36 2" xfId="12687"/>
    <cellStyle name="Total 3 4 36 3" xfId="21680"/>
    <cellStyle name="Total 3 4 36 4" xfId="29867"/>
    <cellStyle name="Total 3 4 36 5" xfId="39214"/>
    <cellStyle name="Total 3 4 36 6" xfId="43532"/>
    <cellStyle name="Total 3 4 36 7" xfId="47561"/>
    <cellStyle name="Total 3 4 37" xfId="5143"/>
    <cellStyle name="Total 3 4 37 2" xfId="12860"/>
    <cellStyle name="Total 3 4 37 3" xfId="21853"/>
    <cellStyle name="Total 3 4 37 4" xfId="30040"/>
    <cellStyle name="Total 3 4 37 5" xfId="39379"/>
    <cellStyle name="Total 3 4 37 6" xfId="43705"/>
    <cellStyle name="Total 3 4 37 7" xfId="53887"/>
    <cellStyle name="Total 3 4 38" xfId="5468"/>
    <cellStyle name="Total 3 4 38 2" xfId="13185"/>
    <cellStyle name="Total 3 4 38 3" xfId="22178"/>
    <cellStyle name="Total 3 4 38 4" xfId="30365"/>
    <cellStyle name="Total 3 4 38 5" xfId="39693"/>
    <cellStyle name="Total 3 4 38 6" xfId="44030"/>
    <cellStyle name="Total 3 4 38 7" xfId="47631"/>
    <cellStyle name="Total 3 4 39" xfId="5593"/>
    <cellStyle name="Total 3 4 39 2" xfId="13310"/>
    <cellStyle name="Total 3 4 39 3" xfId="22303"/>
    <cellStyle name="Total 3 4 39 4" xfId="30490"/>
    <cellStyle name="Total 3 4 39 5" xfId="39812"/>
    <cellStyle name="Total 3 4 39 6" xfId="44155"/>
    <cellStyle name="Total 3 4 39 7" xfId="46843"/>
    <cellStyle name="Total 3 4 4" xfId="860"/>
    <cellStyle name="Total 3 4 4 2" xfId="8684"/>
    <cellStyle name="Total 3 4 4 3" xfId="16112"/>
    <cellStyle name="Total 3 4 4 4" xfId="19443"/>
    <cellStyle name="Total 3 4 4 5" xfId="27975"/>
    <cellStyle name="Total 3 4 4 6" xfId="38177"/>
    <cellStyle name="Total 3 4 4 7" xfId="49521"/>
    <cellStyle name="Total 3 4 40" xfId="5708"/>
    <cellStyle name="Total 3 4 40 2" xfId="13425"/>
    <cellStyle name="Total 3 4 40 3" xfId="22418"/>
    <cellStyle name="Total 3 4 40 4" xfId="30605"/>
    <cellStyle name="Total 3 4 40 5" xfId="39923"/>
    <cellStyle name="Total 3 4 40 6" xfId="44270"/>
    <cellStyle name="Total 3 4 40 7" xfId="47075"/>
    <cellStyle name="Total 3 4 41" xfId="5825"/>
    <cellStyle name="Total 3 4 41 2" xfId="13542"/>
    <cellStyle name="Total 3 4 41 3" xfId="22535"/>
    <cellStyle name="Total 3 4 41 4" xfId="30722"/>
    <cellStyle name="Total 3 4 41 5" xfId="40037"/>
    <cellStyle name="Total 3 4 41 6" xfId="44387"/>
    <cellStyle name="Total 3 4 41 7" xfId="50721"/>
    <cellStyle name="Total 3 4 42" xfId="5953"/>
    <cellStyle name="Total 3 4 42 2" xfId="13670"/>
    <cellStyle name="Total 3 4 42 3" xfId="22663"/>
    <cellStyle name="Total 3 4 42 4" xfId="30850"/>
    <cellStyle name="Total 3 4 42 5" xfId="40161"/>
    <cellStyle name="Total 3 4 42 6" xfId="44515"/>
    <cellStyle name="Total 3 4 42 7" xfId="47666"/>
    <cellStyle name="Total 3 4 43" xfId="6109"/>
    <cellStyle name="Total 3 4 43 2" xfId="13826"/>
    <cellStyle name="Total 3 4 43 3" xfId="22819"/>
    <cellStyle name="Total 3 4 43 4" xfId="31006"/>
    <cellStyle name="Total 3 4 43 5" xfId="40308"/>
    <cellStyle name="Total 3 4 43 6" xfId="44671"/>
    <cellStyle name="Total 3 4 43 7" xfId="50399"/>
    <cellStyle name="Total 3 4 44" xfId="6209"/>
    <cellStyle name="Total 3 4 44 2" xfId="13926"/>
    <cellStyle name="Total 3 4 44 3" xfId="22919"/>
    <cellStyle name="Total 3 4 44 4" xfId="31106"/>
    <cellStyle name="Total 3 4 44 5" xfId="40407"/>
    <cellStyle name="Total 3 4 44 6" xfId="44771"/>
    <cellStyle name="Total 3 4 44 7" xfId="48314"/>
    <cellStyle name="Total 3 4 45" xfId="6326"/>
    <cellStyle name="Total 3 4 45 2" xfId="14043"/>
    <cellStyle name="Total 3 4 45 3" xfId="23036"/>
    <cellStyle name="Total 3 4 45 4" xfId="31223"/>
    <cellStyle name="Total 3 4 45 5" xfId="40522"/>
    <cellStyle name="Total 3 4 45 6" xfId="44888"/>
    <cellStyle name="Total 3 4 45 7" xfId="51250"/>
    <cellStyle name="Total 3 4 46" xfId="6436"/>
    <cellStyle name="Total 3 4 46 2" xfId="14153"/>
    <cellStyle name="Total 3 4 46 3" xfId="23146"/>
    <cellStyle name="Total 3 4 46 4" xfId="31333"/>
    <cellStyle name="Total 3 4 46 5" xfId="40628"/>
    <cellStyle name="Total 3 4 46 6" xfId="44998"/>
    <cellStyle name="Total 3 4 46 7" xfId="52662"/>
    <cellStyle name="Total 3 4 47" xfId="6130"/>
    <cellStyle name="Total 3 4 47 2" xfId="13847"/>
    <cellStyle name="Total 3 4 47 3" xfId="22840"/>
    <cellStyle name="Total 3 4 47 4" xfId="31027"/>
    <cellStyle name="Total 3 4 47 5" xfId="40328"/>
    <cellStyle name="Total 3 4 47 6" xfId="44692"/>
    <cellStyle name="Total 3 4 47 7" xfId="50823"/>
    <cellStyle name="Total 3 4 48" xfId="6583"/>
    <cellStyle name="Total 3 4 48 2" xfId="14300"/>
    <cellStyle name="Total 3 4 48 3" xfId="23293"/>
    <cellStyle name="Total 3 4 48 4" xfId="31480"/>
    <cellStyle name="Total 3 4 48 5" xfId="40768"/>
    <cellStyle name="Total 3 4 48 6" xfId="45145"/>
    <cellStyle name="Total 3 4 48 7" xfId="52913"/>
    <cellStyle name="Total 3 4 49" xfId="6694"/>
    <cellStyle name="Total 3 4 49 2" xfId="14411"/>
    <cellStyle name="Total 3 4 49 3" xfId="23404"/>
    <cellStyle name="Total 3 4 49 4" xfId="31591"/>
    <cellStyle name="Total 3 4 49 5" xfId="40875"/>
    <cellStyle name="Total 3 4 49 6" xfId="45256"/>
    <cellStyle name="Total 3 4 49 7" xfId="49813"/>
    <cellStyle name="Total 3 4 5" xfId="1325"/>
    <cellStyle name="Total 3 4 5 2" xfId="9148"/>
    <cellStyle name="Total 3 4 5 3" xfId="16576"/>
    <cellStyle name="Total 3 4 5 4" xfId="25318"/>
    <cellStyle name="Total 3 4 5 5" xfId="33743"/>
    <cellStyle name="Total 3 4 5 6" xfId="37656"/>
    <cellStyle name="Total 3 4 5 7" xfId="51466"/>
    <cellStyle name="Total 3 4 50" xfId="6809"/>
    <cellStyle name="Total 3 4 50 2" xfId="14526"/>
    <cellStyle name="Total 3 4 50 3" xfId="23519"/>
    <cellStyle name="Total 3 4 50 4" xfId="31706"/>
    <cellStyle name="Total 3 4 50 5" xfId="40983"/>
    <cellStyle name="Total 3 4 50 6" xfId="45371"/>
    <cellStyle name="Total 3 4 50 7" xfId="50988"/>
    <cellStyle name="Total 3 4 51" xfId="6922"/>
    <cellStyle name="Total 3 4 51 2" xfId="14639"/>
    <cellStyle name="Total 3 4 51 3" xfId="23632"/>
    <cellStyle name="Total 3 4 51 4" xfId="31819"/>
    <cellStyle name="Total 3 4 51 5" xfId="41091"/>
    <cellStyle name="Total 3 4 51 6" xfId="45484"/>
    <cellStyle name="Total 3 4 51 7" xfId="46791"/>
    <cellStyle name="Total 3 4 52" xfId="7034"/>
    <cellStyle name="Total 3 4 52 2" xfId="14751"/>
    <cellStyle name="Total 3 4 52 3" xfId="23744"/>
    <cellStyle name="Total 3 4 52 4" xfId="31931"/>
    <cellStyle name="Total 3 4 52 5" xfId="41197"/>
    <cellStyle name="Total 3 4 52 6" xfId="45596"/>
    <cellStyle name="Total 3 4 52 7" xfId="46987"/>
    <cellStyle name="Total 3 4 53" xfId="7230"/>
    <cellStyle name="Total 3 4 53 2" xfId="14947"/>
    <cellStyle name="Total 3 4 53 3" xfId="23940"/>
    <cellStyle name="Total 3 4 53 4" xfId="32127"/>
    <cellStyle name="Total 3 4 53 5" xfId="41385"/>
    <cellStyle name="Total 3 4 53 6" xfId="45792"/>
    <cellStyle name="Total 3 4 53 7" xfId="51804"/>
    <cellStyle name="Total 3 4 54" xfId="7275"/>
    <cellStyle name="Total 3 4 54 2" xfId="14992"/>
    <cellStyle name="Total 3 4 54 3" xfId="23985"/>
    <cellStyle name="Total 3 4 54 4" xfId="32172"/>
    <cellStyle name="Total 3 4 54 5" xfId="41428"/>
    <cellStyle name="Total 3 4 54 6" xfId="45837"/>
    <cellStyle name="Total 3 4 54 7" xfId="52038"/>
    <cellStyle name="Total 3 4 55" xfId="7431"/>
    <cellStyle name="Total 3 4 55 2" xfId="15148"/>
    <cellStyle name="Total 3 4 55 3" xfId="24141"/>
    <cellStyle name="Total 3 4 55 4" xfId="32328"/>
    <cellStyle name="Total 3 4 55 5" xfId="41579"/>
    <cellStyle name="Total 3 4 55 6" xfId="45993"/>
    <cellStyle name="Total 3 4 55 7" xfId="49732"/>
    <cellStyle name="Total 3 4 56" xfId="7552"/>
    <cellStyle name="Total 3 4 56 2" xfId="15269"/>
    <cellStyle name="Total 3 4 56 3" xfId="24262"/>
    <cellStyle name="Total 3 4 56 4" xfId="32449"/>
    <cellStyle name="Total 3 4 56 5" xfId="41694"/>
    <cellStyle name="Total 3 4 56 6" xfId="46114"/>
    <cellStyle name="Total 3 4 56 7" xfId="52206"/>
    <cellStyle name="Total 3 4 57" xfId="7828"/>
    <cellStyle name="Total 3 4 57 2" xfId="15545"/>
    <cellStyle name="Total 3 4 57 3" xfId="24532"/>
    <cellStyle name="Total 3 4 57 4" xfId="32725"/>
    <cellStyle name="Total 3 4 57 5" xfId="41960"/>
    <cellStyle name="Total 3 4 57 6" xfId="46390"/>
    <cellStyle name="Total 3 4 57 7" xfId="53290"/>
    <cellStyle name="Total 3 4 58" xfId="7994"/>
    <cellStyle name="Total 3 4 58 2" xfId="15711"/>
    <cellStyle name="Total 3 4 58 3" xfId="24696"/>
    <cellStyle name="Total 3 4 58 4" xfId="32891"/>
    <cellStyle name="Total 3 4 58 5" xfId="42117"/>
    <cellStyle name="Total 3 4 58 6" xfId="46556"/>
    <cellStyle name="Total 3 4 58 7" xfId="49652"/>
    <cellStyle name="Total 3 4 59" xfId="8065"/>
    <cellStyle name="Total 3 4 59 2" xfId="15782"/>
    <cellStyle name="Total 3 4 59 3" xfId="24767"/>
    <cellStyle name="Total 3 4 59 4" xfId="32962"/>
    <cellStyle name="Total 3 4 59 5" xfId="42186"/>
    <cellStyle name="Total 3 4 59 6" xfId="46627"/>
    <cellStyle name="Total 3 4 59 7" xfId="50454"/>
    <cellStyle name="Total 3 4 6" xfId="1448"/>
    <cellStyle name="Total 3 4 6 2" xfId="9271"/>
    <cellStyle name="Total 3 4 6 3" xfId="16699"/>
    <cellStyle name="Total 3 4 6 4" xfId="25159"/>
    <cellStyle name="Total 3 4 6 5" xfId="33536"/>
    <cellStyle name="Total 3 4 6 6" xfId="39012"/>
    <cellStyle name="Total 3 4 6 7" xfId="51127"/>
    <cellStyle name="Total 3 4 60" xfId="8104"/>
    <cellStyle name="Total 3 4 60 2" xfId="15821"/>
    <cellStyle name="Total 3 4 60 3" xfId="33001"/>
    <cellStyle name="Total 3 4 60 4" xfId="42223"/>
    <cellStyle name="Total 3 4 60 5" xfId="46666"/>
    <cellStyle name="Total 3 4 60 6" xfId="53593"/>
    <cellStyle name="Total 3 4 61" xfId="20624"/>
    <cellStyle name="Total 3 4 62" xfId="28642"/>
    <cellStyle name="Total 3 4 63" xfId="36720"/>
    <cellStyle name="Total 3 4 64" xfId="48037"/>
    <cellStyle name="Total 3 4 7" xfId="1135"/>
    <cellStyle name="Total 3 4 7 2" xfId="8958"/>
    <cellStyle name="Total 3 4 7 3" xfId="16386"/>
    <cellStyle name="Total 3 4 7 4" xfId="25178"/>
    <cellStyle name="Total 3 4 7 5" xfId="33560"/>
    <cellStyle name="Total 3 4 7 6" xfId="41539"/>
    <cellStyle name="Total 3 4 7 7" xfId="51174"/>
    <cellStyle name="Total 3 4 8" xfId="1685"/>
    <cellStyle name="Total 3 4 8 2" xfId="9508"/>
    <cellStyle name="Total 3 4 8 3" xfId="16936"/>
    <cellStyle name="Total 3 4 8 4" xfId="20683"/>
    <cellStyle name="Total 3 4 8 5" xfId="27830"/>
    <cellStyle name="Total 3 4 8 6" xfId="37552"/>
    <cellStyle name="Total 3 4 8 7" xfId="47261"/>
    <cellStyle name="Total 3 4 9" xfId="1819"/>
    <cellStyle name="Total 3 4 9 2" xfId="9642"/>
    <cellStyle name="Total 3 4 9 3" xfId="17070"/>
    <cellStyle name="Total 3 4 9 4" xfId="19083"/>
    <cellStyle name="Total 3 4 9 5" xfId="26728"/>
    <cellStyle name="Total 3 4 9 6" xfId="38966"/>
    <cellStyle name="Total 3 4 9 7" xfId="49117"/>
    <cellStyle name="Total 3 5" xfId="577"/>
    <cellStyle name="Total 3 5 10" xfId="2024"/>
    <cellStyle name="Total 3 5 10 2" xfId="9847"/>
    <cellStyle name="Total 3 5 10 3" xfId="17275"/>
    <cellStyle name="Total 3 5 10 4" xfId="24837"/>
    <cellStyle name="Total 3 5 10 5" xfId="27916"/>
    <cellStyle name="Total 3 5 10 6" xfId="40490"/>
    <cellStyle name="Total 3 5 10 7" xfId="50281"/>
    <cellStyle name="Total 3 5 11" xfId="2140"/>
    <cellStyle name="Total 3 5 11 2" xfId="9963"/>
    <cellStyle name="Total 3 5 11 3" xfId="17391"/>
    <cellStyle name="Total 3 5 11 4" xfId="25027"/>
    <cellStyle name="Total 3 5 11 5" xfId="33382"/>
    <cellStyle name="Total 3 5 11 6" xfId="38621"/>
    <cellStyle name="Total 3 5 11 7" xfId="50856"/>
    <cellStyle name="Total 3 5 12" xfId="2254"/>
    <cellStyle name="Total 3 5 12 2" xfId="10077"/>
    <cellStyle name="Total 3 5 12 3" xfId="17505"/>
    <cellStyle name="Total 3 5 12 4" xfId="19530"/>
    <cellStyle name="Total 3 5 12 5" xfId="27245"/>
    <cellStyle name="Total 3 5 12 6" xfId="39147"/>
    <cellStyle name="Total 3 5 12 7" xfId="48444"/>
    <cellStyle name="Total 3 5 13" xfId="1023"/>
    <cellStyle name="Total 3 5 13 2" xfId="8847"/>
    <cellStyle name="Total 3 5 13 3" xfId="16275"/>
    <cellStyle name="Total 3 5 13 4" xfId="25422"/>
    <cellStyle name="Total 3 5 13 5" xfId="33878"/>
    <cellStyle name="Total 3 5 13 6" xfId="37836"/>
    <cellStyle name="Total 3 5 13 7" xfId="51693"/>
    <cellStyle name="Total 3 5 14" xfId="1615"/>
    <cellStyle name="Total 3 5 14 2" xfId="9438"/>
    <cellStyle name="Total 3 5 14 3" xfId="16866"/>
    <cellStyle name="Total 3 5 14 4" xfId="19566"/>
    <cellStyle name="Total 3 5 14 5" xfId="27986"/>
    <cellStyle name="Total 3 5 14 6" xfId="37430"/>
    <cellStyle name="Total 3 5 14 7" xfId="47258"/>
    <cellStyle name="Total 3 5 15" xfId="2552"/>
    <cellStyle name="Total 3 5 15 2" xfId="10375"/>
    <cellStyle name="Total 3 5 15 3" xfId="17803"/>
    <cellStyle name="Total 3 5 15 4" xfId="26692"/>
    <cellStyle name="Total 3 5 15 5" xfId="35544"/>
    <cellStyle name="Total 3 5 15 6" xfId="40105"/>
    <cellStyle name="Total 3 5 15 7" xfId="54477"/>
    <cellStyle name="Total 3 5 16" xfId="2666"/>
    <cellStyle name="Total 3 5 16 2" xfId="10489"/>
    <cellStyle name="Total 3 5 16 3" xfId="17917"/>
    <cellStyle name="Total 3 5 16 4" xfId="19446"/>
    <cellStyle name="Total 3 5 16 5" xfId="27784"/>
    <cellStyle name="Total 3 5 16 6" xfId="39559"/>
    <cellStyle name="Total 3 5 16 7" xfId="47778"/>
    <cellStyle name="Total 3 5 17" xfId="2280"/>
    <cellStyle name="Total 3 5 17 2" xfId="10103"/>
    <cellStyle name="Total 3 5 17 3" xfId="17531"/>
    <cellStyle name="Total 3 5 17 4" xfId="25624"/>
    <cellStyle name="Total 3 5 17 5" xfId="34138"/>
    <cellStyle name="Total 3 5 17 6" xfId="37218"/>
    <cellStyle name="Total 3 5 17 7" xfId="52139"/>
    <cellStyle name="Total 3 5 18" xfId="1246"/>
    <cellStyle name="Total 3 5 18 2" xfId="9069"/>
    <cellStyle name="Total 3 5 18 3" xfId="16497"/>
    <cellStyle name="Total 3 5 18 4" xfId="24843"/>
    <cellStyle name="Total 3 5 18 5" xfId="26747"/>
    <cellStyle name="Total 3 5 18 6" xfId="37239"/>
    <cellStyle name="Total 3 5 18 7" xfId="49781"/>
    <cellStyle name="Total 3 5 19" xfId="2856"/>
    <cellStyle name="Total 3 5 19 2" xfId="10679"/>
    <cellStyle name="Total 3 5 19 3" xfId="18107"/>
    <cellStyle name="Total 3 5 19 4" xfId="26003"/>
    <cellStyle name="Total 3 5 19 5" xfId="34627"/>
    <cellStyle name="Total 3 5 19 6" xfId="38609"/>
    <cellStyle name="Total 3 5 19 7" xfId="53005"/>
    <cellStyle name="Total 3 5 2" xfId="724"/>
    <cellStyle name="Total 3 5 2 2" xfId="8548"/>
    <cellStyle name="Total 3 5 2 3" xfId="15976"/>
    <cellStyle name="Total 3 5 2 4" xfId="25117"/>
    <cellStyle name="Total 3 5 2 5" xfId="33487"/>
    <cellStyle name="Total 3 5 2 6" xfId="37678"/>
    <cellStyle name="Total 3 5 2 7" xfId="51050"/>
    <cellStyle name="Total 3 5 20" xfId="2963"/>
    <cellStyle name="Total 3 5 20 2" xfId="10786"/>
    <cellStyle name="Total 3 5 20 3" xfId="18214"/>
    <cellStyle name="Total 3 5 20 4" xfId="19796"/>
    <cellStyle name="Total 3 5 20 5" xfId="28211"/>
    <cellStyle name="Total 3 5 20 6" xfId="37827"/>
    <cellStyle name="Total 3 5 20 7" xfId="47436"/>
    <cellStyle name="Total 3 5 21" xfId="3341"/>
    <cellStyle name="Total 3 5 21 2" xfId="11134"/>
    <cellStyle name="Total 3 5 21 3" xfId="18461"/>
    <cellStyle name="Total 3 5 21 4" xfId="25416"/>
    <cellStyle name="Total 3 5 21 5" xfId="33872"/>
    <cellStyle name="Total 3 5 21 6" xfId="37989"/>
    <cellStyle name="Total 3 5 21 7" xfId="51684"/>
    <cellStyle name="Total 3 5 22" xfId="3460"/>
    <cellStyle name="Total 3 5 22 2" xfId="11251"/>
    <cellStyle name="Total 3 5 22 3" xfId="18572"/>
    <cellStyle name="Total 3 5 22 4" xfId="25315"/>
    <cellStyle name="Total 3 5 22 5" xfId="33735"/>
    <cellStyle name="Total 3 5 22 6" xfId="38244"/>
    <cellStyle name="Total 3 5 22 7" xfId="51454"/>
    <cellStyle name="Total 3 5 23" xfId="3619"/>
    <cellStyle name="Total 3 5 23 2" xfId="11405"/>
    <cellStyle name="Total 3 5 23 3" xfId="18679"/>
    <cellStyle name="Total 3 5 23 4" xfId="20295"/>
    <cellStyle name="Total 3 5 23 5" xfId="27953"/>
    <cellStyle name="Total 3 5 23 6" xfId="36399"/>
    <cellStyle name="Total 3 5 23 7" xfId="49597"/>
    <cellStyle name="Total 3 5 24" xfId="3733"/>
    <cellStyle name="Total 3 5 24 2" xfId="11518"/>
    <cellStyle name="Total 3 5 24 3" xfId="18789"/>
    <cellStyle name="Total 3 5 24 4" xfId="20015"/>
    <cellStyle name="Total 3 5 24 5" xfId="28802"/>
    <cellStyle name="Total 3 5 24 6" xfId="41422"/>
    <cellStyle name="Total 3 5 24 7" xfId="47355"/>
    <cellStyle name="Total 3 5 25" xfId="3862"/>
    <cellStyle name="Total 3 5 25 2" xfId="11644"/>
    <cellStyle name="Total 3 5 25 3" xfId="18899"/>
    <cellStyle name="Total 3 5 25 4" xfId="26495"/>
    <cellStyle name="Total 3 5 25 5" xfId="35288"/>
    <cellStyle name="Total 3 5 25 6" xfId="39401"/>
    <cellStyle name="Total 3 5 25 7" xfId="54064"/>
    <cellStyle name="Total 3 5 26" xfId="3980"/>
    <cellStyle name="Total 3 5 26 2" xfId="11759"/>
    <cellStyle name="Total 3 5 26 3" xfId="19008"/>
    <cellStyle name="Total 3 5 26 4" xfId="19810"/>
    <cellStyle name="Total 3 5 26 5" xfId="27787"/>
    <cellStyle name="Total 3 5 26 6" xfId="38348"/>
    <cellStyle name="Total 3 5 26 7" xfId="47651"/>
    <cellStyle name="Total 3 5 27" xfId="3482"/>
    <cellStyle name="Total 3 5 27 2" xfId="11273"/>
    <cellStyle name="Total 3 5 27 3" xfId="20469"/>
    <cellStyle name="Total 3 5 27 4" xfId="28591"/>
    <cellStyle name="Total 3 5 27 5" xfId="37969"/>
    <cellStyle name="Total 3 5 27 6" xfId="42480"/>
    <cellStyle name="Total 3 5 27 7" xfId="49289"/>
    <cellStyle name="Total 3 5 28" xfId="4176"/>
    <cellStyle name="Total 3 5 28 2" xfId="11935"/>
    <cellStyle name="Total 3 5 28 3" xfId="20886"/>
    <cellStyle name="Total 3 5 28 4" xfId="29073"/>
    <cellStyle name="Total 3 5 28 5" xfId="38449"/>
    <cellStyle name="Total 3 5 28 6" xfId="42738"/>
    <cellStyle name="Total 3 5 28 7" xfId="54117"/>
    <cellStyle name="Total 3 5 29" xfId="4215"/>
    <cellStyle name="Total 3 5 29 2" xfId="20925"/>
    <cellStyle name="Total 3 5 29 3" xfId="29112"/>
    <cellStyle name="Total 3 5 29 4" xfId="38488"/>
    <cellStyle name="Total 3 5 29 5" xfId="42777"/>
    <cellStyle name="Total 3 5 29 6" xfId="50290"/>
    <cellStyle name="Total 3 5 3" xfId="833"/>
    <cellStyle name="Total 3 5 3 2" xfId="8657"/>
    <cellStyle name="Total 3 5 3 3" xfId="16085"/>
    <cellStyle name="Total 3 5 3 4" xfId="25899"/>
    <cellStyle name="Total 3 5 3 5" xfId="34494"/>
    <cellStyle name="Total 3 5 3 6" xfId="36925"/>
    <cellStyle name="Total 3 5 3 7" xfId="52778"/>
    <cellStyle name="Total 3 5 30" xfId="4375"/>
    <cellStyle name="Total 3 5 30 2" xfId="12092"/>
    <cellStyle name="Total 3 5 30 3" xfId="21085"/>
    <cellStyle name="Total 3 5 30 4" xfId="29272"/>
    <cellStyle name="Total 3 5 30 5" xfId="38642"/>
    <cellStyle name="Total 3 5 30 6" xfId="42937"/>
    <cellStyle name="Total 3 5 30 7" xfId="51426"/>
    <cellStyle name="Total 3 5 31" xfId="4496"/>
    <cellStyle name="Total 3 5 31 2" xfId="12213"/>
    <cellStyle name="Total 3 5 31 3" xfId="21206"/>
    <cellStyle name="Total 3 5 31 4" xfId="29393"/>
    <cellStyle name="Total 3 5 31 5" xfId="38757"/>
    <cellStyle name="Total 3 5 31 6" xfId="43058"/>
    <cellStyle name="Total 3 5 31 7" xfId="52082"/>
    <cellStyle name="Total 3 5 32" xfId="4610"/>
    <cellStyle name="Total 3 5 32 2" xfId="12327"/>
    <cellStyle name="Total 3 5 32 3" xfId="21320"/>
    <cellStyle name="Total 3 5 32 4" xfId="29507"/>
    <cellStyle name="Total 3 5 32 5" xfId="38866"/>
    <cellStyle name="Total 3 5 32 6" xfId="43172"/>
    <cellStyle name="Total 3 5 32 7" xfId="48716"/>
    <cellStyle name="Total 3 5 33" xfId="4723"/>
    <cellStyle name="Total 3 5 33 2" xfId="12440"/>
    <cellStyle name="Total 3 5 33 3" xfId="21433"/>
    <cellStyle name="Total 3 5 33 4" xfId="29620"/>
    <cellStyle name="Total 3 5 33 5" xfId="38975"/>
    <cellStyle name="Total 3 5 33 6" xfId="43285"/>
    <cellStyle name="Total 3 5 33 7" xfId="52230"/>
    <cellStyle name="Total 3 5 34" xfId="4833"/>
    <cellStyle name="Total 3 5 34 2" xfId="12550"/>
    <cellStyle name="Total 3 5 34 3" xfId="21543"/>
    <cellStyle name="Total 3 5 34 4" xfId="29730"/>
    <cellStyle name="Total 3 5 34 5" xfId="39082"/>
    <cellStyle name="Total 3 5 34 6" xfId="43395"/>
    <cellStyle name="Total 3 5 34 7" xfId="49599"/>
    <cellStyle name="Total 3 5 35" xfId="4943"/>
    <cellStyle name="Total 3 5 35 2" xfId="12660"/>
    <cellStyle name="Total 3 5 35 3" xfId="21653"/>
    <cellStyle name="Total 3 5 35 4" xfId="29840"/>
    <cellStyle name="Total 3 5 35 5" xfId="39187"/>
    <cellStyle name="Total 3 5 35 6" xfId="43505"/>
    <cellStyle name="Total 3 5 35 7" xfId="53494"/>
    <cellStyle name="Total 3 5 36" xfId="5053"/>
    <cellStyle name="Total 3 5 36 2" xfId="12770"/>
    <cellStyle name="Total 3 5 36 3" xfId="21763"/>
    <cellStyle name="Total 3 5 36 4" xfId="29950"/>
    <cellStyle name="Total 3 5 36 5" xfId="39294"/>
    <cellStyle name="Total 3 5 36 6" xfId="43615"/>
    <cellStyle name="Total 3 5 36 7" xfId="48710"/>
    <cellStyle name="Total 3 5 37" xfId="5433"/>
    <cellStyle name="Total 3 5 37 2" xfId="13150"/>
    <cellStyle name="Total 3 5 37 3" xfId="22143"/>
    <cellStyle name="Total 3 5 37 4" xfId="30330"/>
    <cellStyle name="Total 3 5 37 5" xfId="39659"/>
    <cellStyle name="Total 3 5 37 6" xfId="43995"/>
    <cellStyle name="Total 3 5 37 7" xfId="48342"/>
    <cellStyle name="Total 3 5 38" xfId="5553"/>
    <cellStyle name="Total 3 5 38 2" xfId="13270"/>
    <cellStyle name="Total 3 5 38 3" xfId="22263"/>
    <cellStyle name="Total 3 5 38 4" xfId="30450"/>
    <cellStyle name="Total 3 5 38 5" xfId="39773"/>
    <cellStyle name="Total 3 5 38 6" xfId="44115"/>
    <cellStyle name="Total 3 5 38 7" xfId="47175"/>
    <cellStyle name="Total 3 5 39" xfId="5678"/>
    <cellStyle name="Total 3 5 39 2" xfId="13395"/>
    <cellStyle name="Total 3 5 39 3" xfId="22388"/>
    <cellStyle name="Total 3 5 39 4" xfId="30575"/>
    <cellStyle name="Total 3 5 39 5" xfId="39894"/>
    <cellStyle name="Total 3 5 39 6" xfId="44240"/>
    <cellStyle name="Total 3 5 39 7" xfId="46829"/>
    <cellStyle name="Total 3 5 4" xfId="943"/>
    <cellStyle name="Total 3 5 4 2" xfId="8767"/>
    <cellStyle name="Total 3 5 4 3" xfId="16195"/>
    <cellStyle name="Total 3 5 4 4" xfId="20059"/>
    <cellStyle name="Total 3 5 4 5" xfId="28839"/>
    <cellStyle name="Total 3 5 4 6" xfId="37595"/>
    <cellStyle name="Total 3 5 4 7" xfId="48957"/>
    <cellStyle name="Total 3 5 40" xfId="5793"/>
    <cellStyle name="Total 3 5 40 2" xfId="13510"/>
    <cellStyle name="Total 3 5 40 3" xfId="22503"/>
    <cellStyle name="Total 3 5 40 4" xfId="30690"/>
    <cellStyle name="Total 3 5 40 5" xfId="40006"/>
    <cellStyle name="Total 3 5 40 6" xfId="44355"/>
    <cellStyle name="Total 3 5 40 7" xfId="54238"/>
    <cellStyle name="Total 3 5 41" xfId="5911"/>
    <cellStyle name="Total 3 5 41 2" xfId="13628"/>
    <cellStyle name="Total 3 5 41 3" xfId="22621"/>
    <cellStyle name="Total 3 5 41 4" xfId="30808"/>
    <cellStyle name="Total 3 5 41 5" xfId="40121"/>
    <cellStyle name="Total 3 5 41 6" xfId="44473"/>
    <cellStyle name="Total 3 5 41 7" xfId="52531"/>
    <cellStyle name="Total 3 5 42" xfId="6038"/>
    <cellStyle name="Total 3 5 42 2" xfId="13755"/>
    <cellStyle name="Total 3 5 42 3" xfId="22748"/>
    <cellStyle name="Total 3 5 42 4" xfId="30935"/>
    <cellStyle name="Total 3 5 42 5" xfId="40243"/>
    <cellStyle name="Total 3 5 42 6" xfId="44600"/>
    <cellStyle name="Total 3 5 42 7" xfId="50552"/>
    <cellStyle name="Total 3 5 43" xfId="6166"/>
    <cellStyle name="Total 3 5 43 2" xfId="13883"/>
    <cellStyle name="Total 3 5 43 3" xfId="22876"/>
    <cellStyle name="Total 3 5 43 4" xfId="31063"/>
    <cellStyle name="Total 3 5 43 5" xfId="40364"/>
    <cellStyle name="Total 3 5 43 6" xfId="44728"/>
    <cellStyle name="Total 3 5 43 7" xfId="51648"/>
    <cellStyle name="Total 3 5 44" xfId="6294"/>
    <cellStyle name="Total 3 5 44 2" xfId="14011"/>
    <cellStyle name="Total 3 5 44 3" xfId="23004"/>
    <cellStyle name="Total 3 5 44 4" xfId="31191"/>
    <cellStyle name="Total 3 5 44 5" xfId="40491"/>
    <cellStyle name="Total 3 5 44 6" xfId="44856"/>
    <cellStyle name="Total 3 5 44 7" xfId="48454"/>
    <cellStyle name="Total 3 5 45" xfId="6409"/>
    <cellStyle name="Total 3 5 45 2" xfId="14126"/>
    <cellStyle name="Total 3 5 45 3" xfId="23119"/>
    <cellStyle name="Total 3 5 45 4" xfId="31306"/>
    <cellStyle name="Total 3 5 45 5" xfId="40602"/>
    <cellStyle name="Total 3 5 45 6" xfId="44971"/>
    <cellStyle name="Total 3 5 45 7" xfId="48894"/>
    <cellStyle name="Total 3 5 46" xfId="6521"/>
    <cellStyle name="Total 3 5 46 2" xfId="14238"/>
    <cellStyle name="Total 3 5 46 3" xfId="23231"/>
    <cellStyle name="Total 3 5 46 4" xfId="31418"/>
    <cellStyle name="Total 3 5 46 5" xfId="40710"/>
    <cellStyle name="Total 3 5 46 6" xfId="45083"/>
    <cellStyle name="Total 3 5 46 7" xfId="52044"/>
    <cellStyle name="Total 3 5 47" xfId="6315"/>
    <cellStyle name="Total 3 5 47 2" xfId="14032"/>
    <cellStyle name="Total 3 5 47 3" xfId="23025"/>
    <cellStyle name="Total 3 5 47 4" xfId="31212"/>
    <cellStyle name="Total 3 5 47 5" xfId="40512"/>
    <cellStyle name="Total 3 5 47 6" xfId="44877"/>
    <cellStyle name="Total 3 5 47 7" xfId="52608"/>
    <cellStyle name="Total 3 5 48" xfId="6668"/>
    <cellStyle name="Total 3 5 48 2" xfId="14385"/>
    <cellStyle name="Total 3 5 48 3" xfId="23378"/>
    <cellStyle name="Total 3 5 48 4" xfId="31565"/>
    <cellStyle name="Total 3 5 48 5" xfId="40849"/>
    <cellStyle name="Total 3 5 48 6" xfId="45230"/>
    <cellStyle name="Total 3 5 48 7" xfId="51141"/>
    <cellStyle name="Total 3 5 49" xfId="6779"/>
    <cellStyle name="Total 3 5 49 2" xfId="14496"/>
    <cellStyle name="Total 3 5 49 3" xfId="23489"/>
    <cellStyle name="Total 3 5 49 4" xfId="31676"/>
    <cellStyle name="Total 3 5 49 5" xfId="40955"/>
    <cellStyle name="Total 3 5 49 6" xfId="45341"/>
    <cellStyle name="Total 3 5 49 7" xfId="54024"/>
    <cellStyle name="Total 3 5 5" xfId="1411"/>
    <cellStyle name="Total 3 5 5 2" xfId="9234"/>
    <cellStyle name="Total 3 5 5 3" xfId="16662"/>
    <cellStyle name="Total 3 5 5 4" xfId="20117"/>
    <cellStyle name="Total 3 5 5 5" xfId="27090"/>
    <cellStyle name="Total 3 5 5 6" xfId="40192"/>
    <cellStyle name="Total 3 5 5 7" xfId="48767"/>
    <cellStyle name="Total 3 5 50" xfId="6894"/>
    <cellStyle name="Total 3 5 50 2" xfId="14611"/>
    <cellStyle name="Total 3 5 50 3" xfId="23604"/>
    <cellStyle name="Total 3 5 50 4" xfId="31791"/>
    <cellStyle name="Total 3 5 50 5" xfId="41063"/>
    <cellStyle name="Total 3 5 50 6" xfId="45456"/>
    <cellStyle name="Total 3 5 50 7" xfId="46946"/>
    <cellStyle name="Total 3 5 51" xfId="7007"/>
    <cellStyle name="Total 3 5 51 2" xfId="14724"/>
    <cellStyle name="Total 3 5 51 3" xfId="23717"/>
    <cellStyle name="Total 3 5 51 4" xfId="31904"/>
    <cellStyle name="Total 3 5 51 5" xfId="41171"/>
    <cellStyle name="Total 3 5 51 6" xfId="45569"/>
    <cellStyle name="Total 3 5 51 7" xfId="47218"/>
    <cellStyle name="Total 3 5 52" xfId="7117"/>
    <cellStyle name="Total 3 5 52 2" xfId="14834"/>
    <cellStyle name="Total 3 5 52 3" xfId="23827"/>
    <cellStyle name="Total 3 5 52 4" xfId="32014"/>
    <cellStyle name="Total 3 5 52 5" xfId="41276"/>
    <cellStyle name="Total 3 5 52 6" xfId="45679"/>
    <cellStyle name="Total 3 5 52 7" xfId="53536"/>
    <cellStyle name="Total 3 5 53" xfId="7159"/>
    <cellStyle name="Total 3 5 53 2" xfId="14876"/>
    <cellStyle name="Total 3 5 53 3" xfId="23869"/>
    <cellStyle name="Total 3 5 53 4" xfId="32056"/>
    <cellStyle name="Total 3 5 53 5" xfId="41318"/>
    <cellStyle name="Total 3 5 53 6" xfId="45721"/>
    <cellStyle name="Total 3 5 53 7" xfId="49181"/>
    <cellStyle name="Total 3 5 54" xfId="7261"/>
    <cellStyle name="Total 3 5 54 2" xfId="14978"/>
    <cellStyle name="Total 3 5 54 3" xfId="23971"/>
    <cellStyle name="Total 3 5 54 4" xfId="32158"/>
    <cellStyle name="Total 3 5 54 5" xfId="41414"/>
    <cellStyle name="Total 3 5 54 6" xfId="45823"/>
    <cellStyle name="Total 3 5 54 7" xfId="53299"/>
    <cellStyle name="Total 3 5 55" xfId="7514"/>
    <cellStyle name="Total 3 5 55 2" xfId="15231"/>
    <cellStyle name="Total 3 5 55 3" xfId="24224"/>
    <cellStyle name="Total 3 5 55 4" xfId="32411"/>
    <cellStyle name="Total 3 5 55 5" xfId="41658"/>
    <cellStyle name="Total 3 5 55 6" xfId="46076"/>
    <cellStyle name="Total 3 5 55 7" xfId="48779"/>
    <cellStyle name="Total 3 5 56" xfId="7635"/>
    <cellStyle name="Total 3 5 56 2" xfId="15352"/>
    <cellStyle name="Total 3 5 56 3" xfId="24345"/>
    <cellStyle name="Total 3 5 56 4" xfId="32532"/>
    <cellStyle name="Total 3 5 56 5" xfId="41774"/>
    <cellStyle name="Total 3 5 56 6" xfId="46197"/>
    <cellStyle name="Total 3 5 56 7" xfId="51816"/>
    <cellStyle name="Total 3 5 57" xfId="7912"/>
    <cellStyle name="Total 3 5 57 2" xfId="15629"/>
    <cellStyle name="Total 3 5 57 3" xfId="24616"/>
    <cellStyle name="Total 3 5 57 4" xfId="32809"/>
    <cellStyle name="Total 3 5 57 5" xfId="42040"/>
    <cellStyle name="Total 3 5 57 6" xfId="46474"/>
    <cellStyle name="Total 3 5 57 7" xfId="52002"/>
    <cellStyle name="Total 3 5 58" xfId="8040"/>
    <cellStyle name="Total 3 5 58 2" xfId="15757"/>
    <cellStyle name="Total 3 5 58 3" xfId="24742"/>
    <cellStyle name="Total 3 5 58 4" xfId="32937"/>
    <cellStyle name="Total 3 5 58 5" xfId="42162"/>
    <cellStyle name="Total 3 5 58 6" xfId="46602"/>
    <cellStyle name="Total 3 5 58 7" xfId="53093"/>
    <cellStyle name="Total 3 5 59" xfId="7711"/>
    <cellStyle name="Total 3 5 59 2" xfId="15428"/>
    <cellStyle name="Total 3 5 59 3" xfId="24419"/>
    <cellStyle name="Total 3 5 59 4" xfId="32608"/>
    <cellStyle name="Total 3 5 59 5" xfId="41845"/>
    <cellStyle name="Total 3 5 59 6" xfId="46273"/>
    <cellStyle name="Total 3 5 59 7" xfId="50795"/>
    <cellStyle name="Total 3 5 6" xfId="1534"/>
    <cellStyle name="Total 3 5 6 2" xfId="9357"/>
    <cellStyle name="Total 3 5 6 3" xfId="16785"/>
    <cellStyle name="Total 3 5 6 4" xfId="20490"/>
    <cellStyle name="Total 3 5 6 5" xfId="28071"/>
    <cellStyle name="Total 3 5 6 6" xfId="38027"/>
    <cellStyle name="Total 3 5 6 7" xfId="48734"/>
    <cellStyle name="Total 3 5 60" xfId="8187"/>
    <cellStyle name="Total 3 5 60 2" xfId="15904"/>
    <cellStyle name="Total 3 5 60 3" xfId="33084"/>
    <cellStyle name="Total 3 5 60 4" xfId="42303"/>
    <cellStyle name="Total 3 5 60 5" xfId="46749"/>
    <cellStyle name="Total 3 5 60 6" xfId="46869"/>
    <cellStyle name="Total 3 5 61" xfId="25247"/>
    <cellStyle name="Total 3 5 62" xfId="33651"/>
    <cellStyle name="Total 3 5 63" xfId="36250"/>
    <cellStyle name="Total 3 5 64" xfId="51314"/>
    <cellStyle name="Total 3 5 7" xfId="1269"/>
    <cellStyle name="Total 3 5 7 2" xfId="9092"/>
    <cellStyle name="Total 3 5 7 3" xfId="16520"/>
    <cellStyle name="Total 3 5 7 4" xfId="20368"/>
    <cellStyle name="Total 3 5 7 5" xfId="27349"/>
    <cellStyle name="Total 3 5 7 6" xfId="41225"/>
    <cellStyle name="Total 3 5 7 7" xfId="46956"/>
    <cellStyle name="Total 3 5 8" xfId="1772"/>
    <cellStyle name="Total 3 5 8 2" xfId="9595"/>
    <cellStyle name="Total 3 5 8 3" xfId="17023"/>
    <cellStyle name="Total 3 5 8 4" xfId="26509"/>
    <cellStyle name="Total 3 5 8 5" xfId="35305"/>
    <cellStyle name="Total 3 5 8 6" xfId="36428"/>
    <cellStyle name="Total 3 5 8 7" xfId="54092"/>
    <cellStyle name="Total 3 5 9" xfId="1905"/>
    <cellStyle name="Total 3 5 9 2" xfId="9728"/>
    <cellStyle name="Total 3 5 9 3" xfId="17156"/>
    <cellStyle name="Total 3 5 9 4" xfId="19956"/>
    <cellStyle name="Total 3 5 9 5" xfId="27431"/>
    <cellStyle name="Total 3 5 9 6" xfId="36895"/>
    <cellStyle name="Total 3 5 9 7" xfId="47842"/>
    <cellStyle name="Total 3 6" xfId="487"/>
    <cellStyle name="Total 3 6 10" xfId="1934"/>
    <cellStyle name="Total 3 6 10 2" xfId="9757"/>
    <cellStyle name="Total 3 6 10 3" xfId="17185"/>
    <cellStyle name="Total 3 6 10 4" xfId="26163"/>
    <cellStyle name="Total 3 6 10 5" xfId="34832"/>
    <cellStyle name="Total 3 6 10 6" xfId="42096"/>
    <cellStyle name="Total 3 6 10 7" xfId="53343"/>
    <cellStyle name="Total 3 6 11" xfId="2052"/>
    <cellStyle name="Total 3 6 11 2" xfId="9875"/>
    <cellStyle name="Total 3 6 11 3" xfId="17303"/>
    <cellStyle name="Total 3 6 11 4" xfId="26253"/>
    <cellStyle name="Total 3 6 11 5" xfId="34950"/>
    <cellStyle name="Total 3 6 11 6" xfId="37628"/>
    <cellStyle name="Total 3 6 11 7" xfId="53545"/>
    <cellStyle name="Total 3 6 12" xfId="2165"/>
    <cellStyle name="Total 3 6 12 2" xfId="9988"/>
    <cellStyle name="Total 3 6 12 3" xfId="17416"/>
    <cellStyle name="Total 3 6 12 4" xfId="25456"/>
    <cellStyle name="Total 3 6 12 5" xfId="33920"/>
    <cellStyle name="Total 3 6 12 6" xfId="40785"/>
    <cellStyle name="Total 3 6 12 7" xfId="51771"/>
    <cellStyle name="Total 3 6 13" xfId="1243"/>
    <cellStyle name="Total 3 6 13 2" xfId="9066"/>
    <cellStyle name="Total 3 6 13 3" xfId="16494"/>
    <cellStyle name="Total 3 6 13 4" xfId="24980"/>
    <cellStyle name="Total 3 6 13 5" xfId="33323"/>
    <cellStyle name="Total 3 6 13 6" xfId="37404"/>
    <cellStyle name="Total 3 6 13 7" xfId="50744"/>
    <cellStyle name="Total 3 6 14" xfId="1247"/>
    <cellStyle name="Total 3 6 14 2" xfId="9070"/>
    <cellStyle name="Total 3 6 14 3" xfId="16498"/>
    <cellStyle name="Total 3 6 14 4" xfId="20067"/>
    <cellStyle name="Total 3 6 14 5" xfId="26877"/>
    <cellStyle name="Total 3 6 14 6" xfId="37178"/>
    <cellStyle name="Total 3 6 14 7" xfId="49772"/>
    <cellStyle name="Total 3 6 15" xfId="2463"/>
    <cellStyle name="Total 3 6 15 2" xfId="10286"/>
    <cellStyle name="Total 3 6 15 3" xfId="17714"/>
    <cellStyle name="Total 3 6 15 4" xfId="20453"/>
    <cellStyle name="Total 3 6 15 5" xfId="27378"/>
    <cellStyle name="Total 3 6 15 6" xfId="40443"/>
    <cellStyle name="Total 3 6 15 7" xfId="48534"/>
    <cellStyle name="Total 3 6 16" xfId="2576"/>
    <cellStyle name="Total 3 6 16 2" xfId="10399"/>
    <cellStyle name="Total 3 6 16 3" xfId="17827"/>
    <cellStyle name="Total 3 6 16 4" xfId="25663"/>
    <cellStyle name="Total 3 6 16 5" xfId="34190"/>
    <cellStyle name="Total 3 6 16 6" xfId="37621"/>
    <cellStyle name="Total 3 6 16 7" xfId="52226"/>
    <cellStyle name="Total 3 6 17" xfId="2663"/>
    <cellStyle name="Total 3 6 17 2" xfId="10486"/>
    <cellStyle name="Total 3 6 17 3" xfId="17914"/>
    <cellStyle name="Total 3 6 17 4" xfId="19506"/>
    <cellStyle name="Total 3 6 17 5" xfId="27856"/>
    <cellStyle name="Total 3 6 17 6" xfId="39532"/>
    <cellStyle name="Total 3 6 17 7" xfId="47444"/>
    <cellStyle name="Total 3 6 18" xfId="2422"/>
    <cellStyle name="Total 3 6 18 2" xfId="10245"/>
    <cellStyle name="Total 3 6 18 3" xfId="17673"/>
    <cellStyle name="Total 3 6 18 4" xfId="25512"/>
    <cellStyle name="Total 3 6 18 5" xfId="33990"/>
    <cellStyle name="Total 3 6 18 6" xfId="37600"/>
    <cellStyle name="Total 3 6 18 7" xfId="51897"/>
    <cellStyle name="Total 3 6 19" xfId="2770"/>
    <cellStyle name="Total 3 6 19 2" xfId="10593"/>
    <cellStyle name="Total 3 6 19 3" xfId="18021"/>
    <cellStyle name="Total 3 6 19 4" xfId="26646"/>
    <cellStyle name="Total 3 6 19 5" xfId="35488"/>
    <cellStyle name="Total 3 6 19 6" xfId="40224"/>
    <cellStyle name="Total 3 6 19 7" xfId="54384"/>
    <cellStyle name="Total 3 6 2" xfId="638"/>
    <cellStyle name="Total 3 6 2 2" xfId="8462"/>
    <cellStyle name="Total 3 6 2 3" xfId="8298"/>
    <cellStyle name="Total 3 6 2 4" xfId="26429"/>
    <cellStyle name="Total 3 6 2 5" xfId="35196"/>
    <cellStyle name="Total 3 6 2 6" xfId="36554"/>
    <cellStyle name="Total 3 6 2 7" xfId="53919"/>
    <cellStyle name="Total 3 6 20" xfId="2877"/>
    <cellStyle name="Total 3 6 20 2" xfId="10700"/>
    <cellStyle name="Total 3 6 20 3" xfId="18128"/>
    <cellStyle name="Total 3 6 20 4" xfId="25019"/>
    <cellStyle name="Total 3 6 20 5" xfId="33374"/>
    <cellStyle name="Total 3 6 20 6" xfId="37224"/>
    <cellStyle name="Total 3 6 20 7" xfId="50842"/>
    <cellStyle name="Total 3 6 21" xfId="3253"/>
    <cellStyle name="Total 3 6 21 2" xfId="11046"/>
    <cellStyle name="Total 3 6 21 3" xfId="18375"/>
    <cellStyle name="Total 3 6 21 4" xfId="19409"/>
    <cellStyle name="Total 3 6 21 5" xfId="33148"/>
    <cellStyle name="Total 3 6 21 6" xfId="37424"/>
    <cellStyle name="Total 3 6 21 7" xfId="50423"/>
    <cellStyle name="Total 3 6 22" xfId="3373"/>
    <cellStyle name="Total 3 6 22 2" xfId="11164"/>
    <cellStyle name="Total 3 6 22 3" xfId="18486"/>
    <cellStyle name="Total 3 6 22 4" xfId="25796"/>
    <cellStyle name="Total 3 6 22 5" xfId="34368"/>
    <cellStyle name="Total 3 6 22 6" xfId="36550"/>
    <cellStyle name="Total 3 6 22 7" xfId="52554"/>
    <cellStyle name="Total 3 6 23" xfId="3542"/>
    <cellStyle name="Total 3 6 23 2" xfId="11331"/>
    <cellStyle name="Total 3 6 23 3" xfId="18621"/>
    <cellStyle name="Total 3 6 23 4" xfId="19374"/>
    <cellStyle name="Total 3 6 23 5" xfId="28703"/>
    <cellStyle name="Total 3 6 23 6" xfId="38758"/>
    <cellStyle name="Total 3 6 23 7" xfId="50158"/>
    <cellStyle name="Total 3 6 24" xfId="3643"/>
    <cellStyle name="Total 3 6 24 2" xfId="11428"/>
    <cellStyle name="Total 3 6 24 3" xfId="18701"/>
    <cellStyle name="Total 3 6 24 4" xfId="19437"/>
    <cellStyle name="Total 3 6 24 5" xfId="26943"/>
    <cellStyle name="Total 3 6 24 6" xfId="41887"/>
    <cellStyle name="Total 3 6 24 7" xfId="49094"/>
    <cellStyle name="Total 3 6 25" xfId="3774"/>
    <cellStyle name="Total 3 6 25 2" xfId="11556"/>
    <cellStyle name="Total 3 6 25 3" xfId="18813"/>
    <cellStyle name="Total 3 6 25 4" xfId="20207"/>
    <cellStyle name="Total 3 6 25 5" xfId="27207"/>
    <cellStyle name="Total 3 6 25 6" xfId="37530"/>
    <cellStyle name="Total 3 6 25 7" xfId="47475"/>
    <cellStyle name="Total 3 6 26" xfId="3891"/>
    <cellStyle name="Total 3 6 26 2" xfId="11671"/>
    <cellStyle name="Total 3 6 26 3" xfId="18922"/>
    <cellStyle name="Total 3 6 26 4" xfId="25754"/>
    <cellStyle name="Total 3 6 26 5" xfId="34305"/>
    <cellStyle name="Total 3 6 26 6" xfId="40289"/>
    <cellStyle name="Total 3 6 26 7" xfId="52434"/>
    <cellStyle name="Total 3 6 27" xfId="3630"/>
    <cellStyle name="Total 3 6 27 2" xfId="11415"/>
    <cellStyle name="Total 3 6 27 3" xfId="20554"/>
    <cellStyle name="Total 3 6 27 4" xfId="28689"/>
    <cellStyle name="Total 3 6 27 5" xfId="38075"/>
    <cellStyle name="Total 3 6 27 6" xfId="42524"/>
    <cellStyle name="Total 3 6 27 7" xfId="47916"/>
    <cellStyle name="Total 3 6 28" xfId="4088"/>
    <cellStyle name="Total 3 6 28 2" xfId="11848"/>
    <cellStyle name="Total 3 6 28 3" xfId="20798"/>
    <cellStyle name="Total 3 6 28 4" xfId="28985"/>
    <cellStyle name="Total 3 6 28 5" xfId="38364"/>
    <cellStyle name="Total 3 6 28 6" xfId="42650"/>
    <cellStyle name="Total 3 6 28 7" xfId="51792"/>
    <cellStyle name="Total 3 6 29" xfId="4070"/>
    <cellStyle name="Total 3 6 29 2" xfId="20780"/>
    <cellStyle name="Total 3 6 29 3" xfId="28967"/>
    <cellStyle name="Total 3 6 29 4" xfId="38346"/>
    <cellStyle name="Total 3 6 29 5" xfId="42632"/>
    <cellStyle name="Total 3 6 29 6" xfId="50212"/>
    <cellStyle name="Total 3 6 3" xfId="745"/>
    <cellStyle name="Total 3 6 3 2" xfId="8569"/>
    <cellStyle name="Total 3 6 3 3" xfId="15997"/>
    <cellStyle name="Total 3 6 3 4" xfId="24814"/>
    <cellStyle name="Total 3 6 3 5" xfId="28139"/>
    <cellStyle name="Total 3 6 3 6" xfId="36547"/>
    <cellStyle name="Total 3 6 3 7" xfId="48911"/>
    <cellStyle name="Total 3 6 30" xfId="4285"/>
    <cellStyle name="Total 3 6 30 2" xfId="12002"/>
    <cellStyle name="Total 3 6 30 3" xfId="20995"/>
    <cellStyle name="Total 3 6 30 4" xfId="29182"/>
    <cellStyle name="Total 3 6 30 5" xfId="38555"/>
    <cellStyle name="Total 3 6 30 6" xfId="42847"/>
    <cellStyle name="Total 3 6 30 7" xfId="49749"/>
    <cellStyle name="Total 3 6 31" xfId="4408"/>
    <cellStyle name="Total 3 6 31 2" xfId="12125"/>
    <cellStyle name="Total 3 6 31 3" xfId="21118"/>
    <cellStyle name="Total 3 6 31 4" xfId="29305"/>
    <cellStyle name="Total 3 6 31 5" xfId="38675"/>
    <cellStyle name="Total 3 6 31 6" xfId="42970"/>
    <cellStyle name="Total 3 6 31 7" xfId="54492"/>
    <cellStyle name="Total 3 6 32" xfId="4522"/>
    <cellStyle name="Total 3 6 32 2" xfId="12239"/>
    <cellStyle name="Total 3 6 32 3" xfId="21232"/>
    <cellStyle name="Total 3 6 32 4" xfId="29419"/>
    <cellStyle name="Total 3 6 32 5" xfId="38783"/>
    <cellStyle name="Total 3 6 32 6" xfId="43084"/>
    <cellStyle name="Total 3 6 32 7" xfId="49304"/>
    <cellStyle name="Total 3 6 33" xfId="4635"/>
    <cellStyle name="Total 3 6 33 2" xfId="12352"/>
    <cellStyle name="Total 3 6 33 3" xfId="21345"/>
    <cellStyle name="Total 3 6 33 4" xfId="29532"/>
    <cellStyle name="Total 3 6 33 5" xfId="38891"/>
    <cellStyle name="Total 3 6 33 6" xfId="43197"/>
    <cellStyle name="Total 3 6 33 7" xfId="53604"/>
    <cellStyle name="Total 3 6 34" xfId="4747"/>
    <cellStyle name="Total 3 6 34 2" xfId="12464"/>
    <cellStyle name="Total 3 6 34 3" xfId="21457"/>
    <cellStyle name="Total 3 6 34 4" xfId="29644"/>
    <cellStyle name="Total 3 6 34 5" xfId="38999"/>
    <cellStyle name="Total 3 6 34 6" xfId="43309"/>
    <cellStyle name="Total 3 6 34 7" xfId="47437"/>
    <cellStyle name="Total 3 6 35" xfId="4855"/>
    <cellStyle name="Total 3 6 35 2" xfId="12572"/>
    <cellStyle name="Total 3 6 35 3" xfId="21565"/>
    <cellStyle name="Total 3 6 35 4" xfId="29752"/>
    <cellStyle name="Total 3 6 35 5" xfId="39103"/>
    <cellStyle name="Total 3 6 35 6" xfId="43417"/>
    <cellStyle name="Total 3 6 35 7" xfId="53455"/>
    <cellStyle name="Total 3 6 36" xfId="4967"/>
    <cellStyle name="Total 3 6 36 2" xfId="12684"/>
    <cellStyle name="Total 3 6 36 3" xfId="21677"/>
    <cellStyle name="Total 3 6 36 4" xfId="29864"/>
    <cellStyle name="Total 3 6 36 5" xfId="39211"/>
    <cellStyle name="Total 3 6 36 6" xfId="43529"/>
    <cellStyle name="Total 3 6 36 7" xfId="51030"/>
    <cellStyle name="Total 3 6 37" xfId="5144"/>
    <cellStyle name="Total 3 6 37 2" xfId="12861"/>
    <cellStyle name="Total 3 6 37 3" xfId="21854"/>
    <cellStyle name="Total 3 6 37 4" xfId="30041"/>
    <cellStyle name="Total 3 6 37 5" xfId="39380"/>
    <cellStyle name="Total 3 6 37 6" xfId="43706"/>
    <cellStyle name="Total 3 6 37 7" xfId="53654"/>
    <cellStyle name="Total 3 6 38" xfId="5465"/>
    <cellStyle name="Total 3 6 38 2" xfId="13182"/>
    <cellStyle name="Total 3 6 38 3" xfId="22175"/>
    <cellStyle name="Total 3 6 38 4" xfId="30362"/>
    <cellStyle name="Total 3 6 38 5" xfId="39690"/>
    <cellStyle name="Total 3 6 38 6" xfId="44027"/>
    <cellStyle name="Total 3 6 38 7" xfId="52325"/>
    <cellStyle name="Total 3 6 39" xfId="5590"/>
    <cellStyle name="Total 3 6 39 2" xfId="13307"/>
    <cellStyle name="Total 3 6 39 3" xfId="22300"/>
    <cellStyle name="Total 3 6 39 4" xfId="30487"/>
    <cellStyle name="Total 3 6 39 5" xfId="39809"/>
    <cellStyle name="Total 3 6 39 6" xfId="44152"/>
    <cellStyle name="Total 3 6 39 7" xfId="47148"/>
    <cellStyle name="Total 3 6 4" xfId="857"/>
    <cellStyle name="Total 3 6 4 2" xfId="8681"/>
    <cellStyle name="Total 3 6 4 3" xfId="16109"/>
    <cellStyle name="Total 3 6 4 4" xfId="24825"/>
    <cellStyle name="Total 3 6 4 5" xfId="27475"/>
    <cellStyle name="Total 3 6 4 6" xfId="36530"/>
    <cellStyle name="Total 3 6 4 7" xfId="49647"/>
    <cellStyle name="Total 3 6 40" xfId="5705"/>
    <cellStyle name="Total 3 6 40 2" xfId="13422"/>
    <cellStyle name="Total 3 6 40 3" xfId="22415"/>
    <cellStyle name="Total 3 6 40 4" xfId="30602"/>
    <cellStyle name="Total 3 6 40 5" xfId="39920"/>
    <cellStyle name="Total 3 6 40 6" xfId="44267"/>
    <cellStyle name="Total 3 6 40 7" xfId="47077"/>
    <cellStyle name="Total 3 6 41" xfId="5822"/>
    <cellStyle name="Total 3 6 41 2" xfId="13539"/>
    <cellStyle name="Total 3 6 41 3" xfId="22532"/>
    <cellStyle name="Total 3 6 41 4" xfId="30719"/>
    <cellStyle name="Total 3 6 41 5" xfId="40034"/>
    <cellStyle name="Total 3 6 41 6" xfId="44384"/>
    <cellStyle name="Total 3 6 41 7" xfId="50909"/>
    <cellStyle name="Total 3 6 42" xfId="5950"/>
    <cellStyle name="Total 3 6 42 2" xfId="13667"/>
    <cellStyle name="Total 3 6 42 3" xfId="22660"/>
    <cellStyle name="Total 3 6 42 4" xfId="30847"/>
    <cellStyle name="Total 3 6 42 5" xfId="40158"/>
    <cellStyle name="Total 3 6 42 6" xfId="44512"/>
    <cellStyle name="Total 3 6 42 7" xfId="52483"/>
    <cellStyle name="Total 3 6 43" xfId="6123"/>
    <cellStyle name="Total 3 6 43 2" xfId="13840"/>
    <cellStyle name="Total 3 6 43 3" xfId="22833"/>
    <cellStyle name="Total 3 6 43 4" xfId="31020"/>
    <cellStyle name="Total 3 6 43 5" xfId="40322"/>
    <cellStyle name="Total 3 6 43 6" xfId="44685"/>
    <cellStyle name="Total 3 6 43 7" xfId="48868"/>
    <cellStyle name="Total 3 6 44" xfId="6206"/>
    <cellStyle name="Total 3 6 44 2" xfId="13923"/>
    <cellStyle name="Total 3 6 44 3" xfId="22916"/>
    <cellStyle name="Total 3 6 44 4" xfId="31103"/>
    <cellStyle name="Total 3 6 44 5" xfId="40404"/>
    <cellStyle name="Total 3 6 44 6" xfId="44768"/>
    <cellStyle name="Total 3 6 44 7" xfId="47983"/>
    <cellStyle name="Total 3 6 45" xfId="6323"/>
    <cellStyle name="Total 3 6 45 2" xfId="14040"/>
    <cellStyle name="Total 3 6 45 3" xfId="23033"/>
    <cellStyle name="Total 3 6 45 4" xfId="31220"/>
    <cellStyle name="Total 3 6 45 5" xfId="40520"/>
    <cellStyle name="Total 3 6 45 6" xfId="44885"/>
    <cellStyle name="Total 3 6 45 7" xfId="51564"/>
    <cellStyle name="Total 3 6 46" xfId="6433"/>
    <cellStyle name="Total 3 6 46 2" xfId="14150"/>
    <cellStyle name="Total 3 6 46 3" xfId="23143"/>
    <cellStyle name="Total 3 6 46 4" xfId="31330"/>
    <cellStyle name="Total 3 6 46 5" xfId="40625"/>
    <cellStyle name="Total 3 6 46 6" xfId="44995"/>
    <cellStyle name="Total 3 6 46 7" xfId="52046"/>
    <cellStyle name="Total 3 6 47" xfId="5183"/>
    <cellStyle name="Total 3 6 47 2" xfId="12900"/>
    <cellStyle name="Total 3 6 47 3" xfId="21893"/>
    <cellStyle name="Total 3 6 47 4" xfId="30080"/>
    <cellStyle name="Total 3 6 47 5" xfId="39419"/>
    <cellStyle name="Total 3 6 47 6" xfId="43745"/>
    <cellStyle name="Total 3 6 47 7" xfId="51061"/>
    <cellStyle name="Total 3 6 48" xfId="6580"/>
    <cellStyle name="Total 3 6 48 2" xfId="14297"/>
    <cellStyle name="Total 3 6 48 3" xfId="23290"/>
    <cellStyle name="Total 3 6 48 4" xfId="31477"/>
    <cellStyle name="Total 3 6 48 5" xfId="40765"/>
    <cellStyle name="Total 3 6 48 6" xfId="45142"/>
    <cellStyle name="Total 3 6 48 7" xfId="53157"/>
    <cellStyle name="Total 3 6 49" xfId="6691"/>
    <cellStyle name="Total 3 6 49 2" xfId="14408"/>
    <cellStyle name="Total 3 6 49 3" xfId="23401"/>
    <cellStyle name="Total 3 6 49 4" xfId="31588"/>
    <cellStyle name="Total 3 6 49 5" xfId="40872"/>
    <cellStyle name="Total 3 6 49 6" xfId="45253"/>
    <cellStyle name="Total 3 6 49 7" xfId="48798"/>
    <cellStyle name="Total 3 6 5" xfId="1322"/>
    <cellStyle name="Total 3 6 5 2" xfId="9145"/>
    <cellStyle name="Total 3 6 5 3" xfId="16573"/>
    <cellStyle name="Total 3 6 5 4" xfId="25575"/>
    <cellStyle name="Total 3 6 5 5" xfId="34078"/>
    <cellStyle name="Total 3 6 5 6" xfId="39508"/>
    <cellStyle name="Total 3 6 5 7" xfId="52037"/>
    <cellStyle name="Total 3 6 50" xfId="6806"/>
    <cellStyle name="Total 3 6 50 2" xfId="14523"/>
    <cellStyle name="Total 3 6 50 3" xfId="23516"/>
    <cellStyle name="Total 3 6 50 4" xfId="31703"/>
    <cellStyle name="Total 3 6 50 5" xfId="40981"/>
    <cellStyle name="Total 3 6 50 6" xfId="45368"/>
    <cellStyle name="Total 3 6 50 7" xfId="51309"/>
    <cellStyle name="Total 3 6 51" xfId="6919"/>
    <cellStyle name="Total 3 6 51 2" xfId="14636"/>
    <cellStyle name="Total 3 6 51 3" xfId="23629"/>
    <cellStyle name="Total 3 6 51 4" xfId="31816"/>
    <cellStyle name="Total 3 6 51 5" xfId="41088"/>
    <cellStyle name="Total 3 6 51 6" xfId="45481"/>
    <cellStyle name="Total 3 6 51 7" xfId="47047"/>
    <cellStyle name="Total 3 6 52" xfId="7031"/>
    <cellStyle name="Total 3 6 52 2" xfId="14748"/>
    <cellStyle name="Total 3 6 52 3" xfId="23741"/>
    <cellStyle name="Total 3 6 52 4" xfId="31928"/>
    <cellStyle name="Total 3 6 52 5" xfId="41195"/>
    <cellStyle name="Total 3 6 52 6" xfId="45593"/>
    <cellStyle name="Total 3 6 52 7" xfId="54545"/>
    <cellStyle name="Total 3 6 53" xfId="7232"/>
    <cellStyle name="Total 3 6 53 2" xfId="14949"/>
    <cellStyle name="Total 3 6 53 3" xfId="23942"/>
    <cellStyle name="Total 3 6 53 4" xfId="32129"/>
    <cellStyle name="Total 3 6 53 5" xfId="41387"/>
    <cellStyle name="Total 3 6 53 6" xfId="45794"/>
    <cellStyle name="Total 3 6 53 7" xfId="51755"/>
    <cellStyle name="Total 3 6 54" xfId="7281"/>
    <cellStyle name="Total 3 6 54 2" xfId="14998"/>
    <cellStyle name="Total 3 6 54 3" xfId="23991"/>
    <cellStyle name="Total 3 6 54 4" xfId="32178"/>
    <cellStyle name="Total 3 6 54 5" xfId="41434"/>
    <cellStyle name="Total 3 6 54 6" xfId="45843"/>
    <cellStyle name="Total 3 6 54 7" xfId="51150"/>
    <cellStyle name="Total 3 6 55" xfId="7428"/>
    <cellStyle name="Total 3 6 55 2" xfId="15145"/>
    <cellStyle name="Total 3 6 55 3" xfId="24138"/>
    <cellStyle name="Total 3 6 55 4" xfId="32325"/>
    <cellStyle name="Total 3 6 55 5" xfId="41577"/>
    <cellStyle name="Total 3 6 55 6" xfId="45990"/>
    <cellStyle name="Total 3 6 55 7" xfId="50510"/>
    <cellStyle name="Total 3 6 56" xfId="7549"/>
    <cellStyle name="Total 3 6 56 2" xfId="15266"/>
    <cellStyle name="Total 3 6 56 3" xfId="24259"/>
    <cellStyle name="Total 3 6 56 4" xfId="32446"/>
    <cellStyle name="Total 3 6 56 5" xfId="41692"/>
    <cellStyle name="Total 3 6 56 6" xfId="46111"/>
    <cellStyle name="Total 3 6 56 7" xfId="51919"/>
    <cellStyle name="Total 3 6 57" xfId="7825"/>
    <cellStyle name="Total 3 6 57 2" xfId="15542"/>
    <cellStyle name="Total 3 6 57 3" xfId="24529"/>
    <cellStyle name="Total 3 6 57 4" xfId="32722"/>
    <cellStyle name="Total 3 6 57 5" xfId="41957"/>
    <cellStyle name="Total 3 6 57 6" xfId="46387"/>
    <cellStyle name="Total 3 6 57 7" xfId="53529"/>
    <cellStyle name="Total 3 6 58" xfId="7931"/>
    <cellStyle name="Total 3 6 58 2" xfId="15648"/>
    <cellStyle name="Total 3 6 58 3" xfId="24635"/>
    <cellStyle name="Total 3 6 58 4" xfId="32828"/>
    <cellStyle name="Total 3 6 58 5" xfId="42059"/>
    <cellStyle name="Total 3 6 58 6" xfId="46493"/>
    <cellStyle name="Total 3 6 58 7" xfId="49553"/>
    <cellStyle name="Total 3 6 59" xfId="8000"/>
    <cellStyle name="Total 3 6 59 2" xfId="15717"/>
    <cellStyle name="Total 3 6 59 3" xfId="24702"/>
    <cellStyle name="Total 3 6 59 4" xfId="32897"/>
    <cellStyle name="Total 3 6 59 5" xfId="42123"/>
    <cellStyle name="Total 3 6 59 6" xfId="46562"/>
    <cellStyle name="Total 3 6 59 7" xfId="49890"/>
    <cellStyle name="Total 3 6 6" xfId="1445"/>
    <cellStyle name="Total 3 6 6 2" xfId="9268"/>
    <cellStyle name="Total 3 6 6 3" xfId="16696"/>
    <cellStyle name="Total 3 6 6 4" xfId="25311"/>
    <cellStyle name="Total 3 6 6 5" xfId="33727"/>
    <cellStyle name="Total 3 6 6 6" xfId="39368"/>
    <cellStyle name="Total 3 6 6 7" xfId="51445"/>
    <cellStyle name="Total 3 6 60" xfId="8101"/>
    <cellStyle name="Total 3 6 60 2" xfId="15818"/>
    <cellStyle name="Total 3 6 60 3" xfId="32998"/>
    <cellStyle name="Total 3 6 60 4" xfId="42220"/>
    <cellStyle name="Total 3 6 60 5" xfId="46663"/>
    <cellStyle name="Total 3 6 60 6" xfId="54200"/>
    <cellStyle name="Total 3 6 61" xfId="26202"/>
    <cellStyle name="Total 3 6 62" xfId="34884"/>
    <cellStyle name="Total 3 6 63" xfId="37675"/>
    <cellStyle name="Total 3 6 64" xfId="53429"/>
    <cellStyle name="Total 3 6 7" xfId="1002"/>
    <cellStyle name="Total 3 6 7 2" xfId="8826"/>
    <cellStyle name="Total 3 6 7 3" xfId="16254"/>
    <cellStyle name="Total 3 6 7 4" xfId="20309"/>
    <cellStyle name="Total 3 6 7 5" xfId="27973"/>
    <cellStyle name="Total 3 6 7 6" xfId="37258"/>
    <cellStyle name="Total 3 6 7 7" xfId="49627"/>
    <cellStyle name="Total 3 6 8" xfId="1682"/>
    <cellStyle name="Total 3 6 8 2" xfId="9505"/>
    <cellStyle name="Total 3 6 8 3" xfId="16933"/>
    <cellStyle name="Total 3 6 8 4" xfId="19687"/>
    <cellStyle name="Total 3 6 8 5" xfId="27416"/>
    <cellStyle name="Total 3 6 8 6" xfId="37872"/>
    <cellStyle name="Total 3 6 8 7" xfId="48845"/>
    <cellStyle name="Total 3 6 9" xfId="1816"/>
    <cellStyle name="Total 3 6 9 2" xfId="9639"/>
    <cellStyle name="Total 3 6 9 3" xfId="17067"/>
    <cellStyle name="Total 3 6 9 4" xfId="19649"/>
    <cellStyle name="Total 3 6 9 5" xfId="26941"/>
    <cellStyle name="Total 3 6 9 6" xfId="39285"/>
    <cellStyle name="Total 3 6 9 7" xfId="49090"/>
    <cellStyle name="Total 3 7" xfId="228"/>
    <cellStyle name="Total 3 7 2" xfId="8332"/>
    <cellStyle name="Total 3 7 3" xfId="8254"/>
    <cellStyle name="Total 3 7 4" xfId="19968"/>
    <cellStyle name="Total 3 7 5" xfId="33122"/>
    <cellStyle name="Total 3 7 6" xfId="36836"/>
    <cellStyle name="Total 3 7 7" xfId="50375"/>
    <cellStyle name="Total 3 8" xfId="233"/>
    <cellStyle name="Total 3 8 2" xfId="8337"/>
    <cellStyle name="Total 3 8 3" xfId="8252"/>
    <cellStyle name="Total 3 8 4" xfId="19492"/>
    <cellStyle name="Total 3 8 5" xfId="28041"/>
    <cellStyle name="Total 3 8 6" xfId="38183"/>
    <cellStyle name="Total 3 8 7" xfId="49520"/>
    <cellStyle name="Total 3 9" xfId="1217"/>
    <cellStyle name="Total 3 9 2" xfId="9040"/>
    <cellStyle name="Total 3 9 3" xfId="16468"/>
    <cellStyle name="Total 3 9 4" xfId="19362"/>
    <cellStyle name="Total 3 9 5" xfId="27832"/>
    <cellStyle name="Total 3 9 6" xfId="39760"/>
    <cellStyle name="Total 3 9 7" xfId="50017"/>
    <cellStyle name="Warning Text 2" xfId="167"/>
    <cellStyle name="Warning Text 3" xfId="166"/>
    <cellStyle name="표준_ENERGY CONSUMP" xfId="451"/>
    <cellStyle name="常规_海外市场服务网站资料操作BOM" xfId="452"/>
  </cellStyles>
  <dxfs count="2">
    <dxf>
      <font>
        <b/>
        <i val="0"/>
        <color rgb="FFFF0000"/>
      </font>
    </dxf>
    <dxf>
      <font>
        <color rgb="FF9C0006"/>
      </font>
      <fill>
        <patternFill>
          <bgColor rgb="FFFFC7CE"/>
        </patternFill>
      </fill>
    </dxf>
  </dxfs>
  <tableStyles count="0" defaultTableStyle="TableStyleMedium9" defaultPivotStyle="PivotStyleLight16"/>
  <colors>
    <mruColors>
      <color rgb="FFEE79F7"/>
      <color rgb="FFB1A0C7"/>
      <color rgb="FF00B0F0"/>
      <color rgb="FFCC6600"/>
      <color rgb="FF006A71"/>
      <color rgb="FFCCFFFF"/>
      <color rgb="FFFFCC99"/>
      <color rgb="FF99FF99"/>
      <color rgb="FF538ED5"/>
      <color rgb="FF8DB4E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customXml" Target="../customXml/item4.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xml"/><Relationship Id="rId129"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ustomXml" Target="../customXml/item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customXml" Target="../customXml/item3.xml"/></Relationships>
</file>

<file path=xl/drawings/_rels/drawing10.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Portfolio--2017'!A1"/><Relationship Id="rId1" Type="http://schemas.openxmlformats.org/officeDocument/2006/relationships/hyperlink" Target="#'2017 Sector View Elect'!A1"/></Relationships>
</file>

<file path=xl/drawings/_rels/drawing100.xml.rels><?xml version="1.0" encoding="UTF-8" standalone="yes"?>
<Relationships xmlns="http://schemas.openxmlformats.org/package/2006/relationships"><Relationship Id="rId2" Type="http://schemas.openxmlformats.org/officeDocument/2006/relationships/hyperlink" Target="#'ABS Detail_PSWE_Elec'!A1"/><Relationship Id="rId1" Type="http://schemas.openxmlformats.org/officeDocument/2006/relationships/hyperlink" Target="#'2017 Sector View Gas'!A1"/></Relationships>
</file>

<file path=xl/drawings/_rels/drawing101.xml.rels><?xml version="1.0" encoding="UTF-8" standalone="yes"?>
<Relationships xmlns="http://schemas.openxmlformats.org/package/2006/relationships"><Relationship Id="rId2" Type="http://schemas.openxmlformats.org/officeDocument/2006/relationships/hyperlink" Target="#'Rebt Procg Detail_Elect'!A1"/><Relationship Id="rId1" Type="http://schemas.openxmlformats.org/officeDocument/2006/relationships/hyperlink" Target="#'2017 Sector View Gas'!A1"/></Relationships>
</file>

<file path=xl/drawings/_rels/drawing102.xml.rels><?xml version="1.0" encoding="UTF-8" standalone="yes"?>
<Relationships xmlns="http://schemas.openxmlformats.org/package/2006/relationships"><Relationship Id="rId2" Type="http://schemas.openxmlformats.org/officeDocument/2006/relationships/hyperlink" Target="#'Progs Supp Detail_PS_ Elec'!A1"/><Relationship Id="rId1" Type="http://schemas.openxmlformats.org/officeDocument/2006/relationships/hyperlink" Target="#'2017 Sector View Gas'!A1"/></Relationships>
</file>

<file path=xl/drawings/_rels/drawing103.xml.rels><?xml version="1.0" encoding="UTF-8" standalone="yes"?>
<Relationships xmlns="http://schemas.openxmlformats.org/package/2006/relationships"><Relationship Id="rId2" Type="http://schemas.openxmlformats.org/officeDocument/2006/relationships/hyperlink" Target="#'Data &amp; Systm Svcs_Elect'!A1"/><Relationship Id="rId1" Type="http://schemas.openxmlformats.org/officeDocument/2006/relationships/hyperlink" Target="#'2017 Sector View Gas'!A1"/></Relationships>
</file>

<file path=xl/drawings/_rels/drawing104.xml.rels><?xml version="1.0" encoding="UTF-8" standalone="yes"?>
<Relationships xmlns="http://schemas.openxmlformats.org/package/2006/relationships"><Relationship Id="rId2" Type="http://schemas.openxmlformats.org/officeDocument/2006/relationships/hyperlink" Target="#'EEC Detail_PS_Elec'!A1"/><Relationship Id="rId1" Type="http://schemas.openxmlformats.org/officeDocument/2006/relationships/hyperlink" Target="#'2017 Sector View Gas'!A1"/></Relationships>
</file>

<file path=xl/drawings/_rels/drawing105.xml.rels><?xml version="1.0" encoding="UTF-8" standalone="yes"?>
<Relationships xmlns="http://schemas.openxmlformats.org/package/2006/relationships"><Relationship Id="rId2" Type="http://schemas.openxmlformats.org/officeDocument/2006/relationships/hyperlink" Target="#'TradeAlly Detail_PS_ Elec'!A1"/><Relationship Id="rId1" Type="http://schemas.openxmlformats.org/officeDocument/2006/relationships/hyperlink" Target="#'2017 Sector View Gas'!A1"/></Relationships>
</file>

<file path=xl/drawings/_rels/drawing106.xml.rels><?xml version="1.0" encoding="UTF-8" standalone="yes"?>
<Relationships xmlns="http://schemas.openxmlformats.org/package/2006/relationships"><Relationship Id="rId2" Type="http://schemas.openxmlformats.org/officeDocument/2006/relationships/hyperlink" Target="#CAN_Elect!A1"/><Relationship Id="rId1" Type="http://schemas.openxmlformats.org/officeDocument/2006/relationships/hyperlink" Target="#'2017 Sector View Gas'!A1"/></Relationships>
</file>

<file path=xl/drawings/_rels/drawing107.xml.rels><?xml version="1.0" encoding="UTF-8" standalone="yes"?>
<Relationships xmlns="http://schemas.openxmlformats.org/package/2006/relationships"><Relationship Id="rId2" Type="http://schemas.openxmlformats.org/officeDocument/2006/relationships/hyperlink" Target="#'Supp Crv Detail_R&amp;C_gas'!A1"/><Relationship Id="rId1" Type="http://schemas.openxmlformats.org/officeDocument/2006/relationships/hyperlink" Target="#'2017 Sector View Elect'!A1"/></Relationships>
</file>

<file path=xl/drawings/_rels/drawing108.xml.rels><?xml version="1.0" encoding="UTF-8" standalone="yes"?>
<Relationships xmlns="http://schemas.openxmlformats.org/package/2006/relationships"><Relationship Id="rId2" Type="http://schemas.openxmlformats.org/officeDocument/2006/relationships/hyperlink" Target="#'Strat Pln Detail_R&amp;C_Gas'!A1"/><Relationship Id="rId1" Type="http://schemas.openxmlformats.org/officeDocument/2006/relationships/hyperlink" Target="#'2017 Sector View Elect'!A1"/></Relationships>
</file>

<file path=xl/drawings/_rels/drawing109.xml.rels><?xml version="1.0" encoding="UTF-8" standalone="yes"?>
<Relationships xmlns="http://schemas.openxmlformats.org/package/2006/relationships"><Relationship Id="rId2" Type="http://schemas.openxmlformats.org/officeDocument/2006/relationships/hyperlink" Target="#'Mktg Rsch Detail_PS_gas'!A1"/><Relationship Id="rId1" Type="http://schemas.openxmlformats.org/officeDocument/2006/relationships/hyperlink" Target="#'2017 Sector View Elect'!A1"/></Relationships>
</file>

<file path=xl/drawings/_rels/drawing11.xml.rels><?xml version="1.0" encoding="UTF-8" standalone="yes"?>
<Relationships xmlns="http://schemas.openxmlformats.org/package/2006/relationships"><Relationship Id="rId2" Type="http://schemas.openxmlformats.org/officeDocument/2006/relationships/hyperlink" Target="#'HmEnrgyAsmt Detail_REM G214 Gas'!A1"/><Relationship Id="rId1" Type="http://schemas.openxmlformats.org/officeDocument/2006/relationships/hyperlink" Target="#'2017 Sector View Elect'!A1"/></Relationships>
</file>

<file path=xl/drawings/_rels/drawing110.xml.rels><?xml version="1.0" encoding="UTF-8" standalone="yes"?>
<Relationships xmlns="http://schemas.openxmlformats.org/package/2006/relationships"><Relationship Id="rId2" Type="http://schemas.openxmlformats.org/officeDocument/2006/relationships/hyperlink" Target="#'Eval Detail_R&amp;C_Gas'!A1"/><Relationship Id="rId1" Type="http://schemas.openxmlformats.org/officeDocument/2006/relationships/hyperlink" Target="#'2017 Sector View Elect'!A1"/></Relationships>
</file>

<file path=xl/drawings/_rels/drawing11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12.xml.rels><?xml version="1.0" encoding="UTF-8" standalone="yes"?>
<Relationships xmlns="http://schemas.openxmlformats.org/package/2006/relationships"><Relationship Id="rId2" Type="http://schemas.openxmlformats.org/officeDocument/2006/relationships/hyperlink" Target="#'Verifctn team Detail Gas'!A1"/><Relationship Id="rId1" Type="http://schemas.openxmlformats.org/officeDocument/2006/relationships/hyperlink" Target="#'2017 Sector View Elect'!A1"/></Relationships>
</file>

<file path=xl/drawings/_rels/drawing113.xml.rels><?xml version="1.0" encoding="UTF-8" standalone="yes"?>
<Relationships xmlns="http://schemas.openxmlformats.org/package/2006/relationships"><Relationship Id="rId2" Type="http://schemas.openxmlformats.org/officeDocument/2006/relationships/hyperlink" Target="#'SuppCrv Detail_R&amp;C_Elec'!A1"/><Relationship Id="rId1" Type="http://schemas.openxmlformats.org/officeDocument/2006/relationships/hyperlink" Target="#'2017 Sector View Gas'!A1"/></Relationships>
</file>

<file path=xl/drawings/_rels/drawing114.xml.rels><?xml version="1.0" encoding="UTF-8" standalone="yes"?>
<Relationships xmlns="http://schemas.openxmlformats.org/package/2006/relationships"><Relationship Id="rId2" Type="http://schemas.openxmlformats.org/officeDocument/2006/relationships/hyperlink" Target="#'Strat Plan Detail_R&amp;C_Elec'!A1"/><Relationship Id="rId1" Type="http://schemas.openxmlformats.org/officeDocument/2006/relationships/hyperlink" Target="#'2017 Sector View Gas'!A1"/></Relationships>
</file>

<file path=xl/drawings/_rels/drawing115.xml.rels><?xml version="1.0" encoding="UTF-8" standalone="yes"?>
<Relationships xmlns="http://schemas.openxmlformats.org/package/2006/relationships"><Relationship Id="rId2" Type="http://schemas.openxmlformats.org/officeDocument/2006/relationships/hyperlink" Target="#'Mktg Resch Detail_PS_ Elec'!A1"/><Relationship Id="rId1" Type="http://schemas.openxmlformats.org/officeDocument/2006/relationships/hyperlink" Target="#'2017 Sector View Gas'!A1"/></Relationships>
</file>

<file path=xl/drawings/_rels/drawing116.xml.rels><?xml version="1.0" encoding="UTF-8" standalone="yes"?>
<Relationships xmlns="http://schemas.openxmlformats.org/package/2006/relationships"><Relationship Id="rId2" Type="http://schemas.openxmlformats.org/officeDocument/2006/relationships/hyperlink" Target="#'Eval Detail_R&amp;C_Elec'!A1"/><Relationship Id="rId1" Type="http://schemas.openxmlformats.org/officeDocument/2006/relationships/hyperlink" Target="#'2017 Sector View Gas'!A1"/></Relationships>
</file>

<file path=xl/drawings/_rels/drawing117.xml.rels><?xml version="1.0" encoding="UTF-8" standalone="yes"?>
<Relationships xmlns="http://schemas.openxmlformats.org/package/2006/relationships"><Relationship Id="rId2" Type="http://schemas.openxmlformats.org/officeDocument/2006/relationships/hyperlink" Target="#'Verifctn Team Detail Elec'!A1"/><Relationship Id="rId1" Type="http://schemas.openxmlformats.org/officeDocument/2006/relationships/hyperlink" Target="#'2017 Sector View Gas'!A1"/></Relationships>
</file>

<file path=xl/drawings/_rels/drawing11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19.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2.xml.rels><?xml version="1.0" encoding="UTF-8" standalone="yes"?>
<Relationships xmlns="http://schemas.openxmlformats.org/package/2006/relationships"><Relationship Id="rId2" Type="http://schemas.openxmlformats.org/officeDocument/2006/relationships/hyperlink" Target="#'WtrHeat Detail_REM G214 Gas'!A1"/><Relationship Id="rId1" Type="http://schemas.openxmlformats.org/officeDocument/2006/relationships/hyperlink" Target="#'2017 Sector View Elect'!A1"/></Relationships>
</file>

<file path=xl/drawings/_rels/drawing120.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2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3.xml.rels><?xml version="1.0" encoding="UTF-8" standalone="yes"?>
<Relationships xmlns="http://schemas.openxmlformats.org/package/2006/relationships"><Relationship Id="rId2" Type="http://schemas.openxmlformats.org/officeDocument/2006/relationships/hyperlink" Target="#'Wx Detail_REM G214 Gas'!A1"/><Relationship Id="rId1" Type="http://schemas.openxmlformats.org/officeDocument/2006/relationships/hyperlink" Target="#'2017 Sector View Elect'!A1"/></Relationships>
</file>

<file path=xl/drawings/_rels/drawing14.xml.rels><?xml version="1.0" encoding="UTF-8" standalone="yes"?>
<Relationships xmlns="http://schemas.openxmlformats.org/package/2006/relationships"><Relationship Id="rId2" Type="http://schemas.openxmlformats.org/officeDocument/2006/relationships/hyperlink" Target="#'SpHeat Detail_REM G214 Gas'!A1"/><Relationship Id="rId1" Type="http://schemas.openxmlformats.org/officeDocument/2006/relationships/hyperlink" Target="#'2017 Sector View Elect'!A1"/></Relationships>
</file>

<file path=xl/drawings/_rels/drawing15.xml.rels><?xml version="1.0" encoding="UTF-8" standalone="yes"?>
<Relationships xmlns="http://schemas.openxmlformats.org/package/2006/relationships"><Relationship Id="rId2" Type="http://schemas.openxmlformats.org/officeDocument/2006/relationships/hyperlink" Target="#'HmApplSvgs Detail_REM G214 Gas'!A1"/><Relationship Id="rId1" Type="http://schemas.openxmlformats.org/officeDocument/2006/relationships/hyperlink" Target="#'2017 Sector View Elect'!A1"/></Relationships>
</file>

<file path=xl/drawings/_rels/drawing16.xml.rels><?xml version="1.0" encoding="UTF-8" standalone="yes"?>
<Relationships xmlns="http://schemas.openxmlformats.org/package/2006/relationships"><Relationship Id="rId2" Type="http://schemas.openxmlformats.org/officeDocument/2006/relationships/hyperlink" Target="#'ShwrHead Detail_REM G214 Gas'!A1"/><Relationship Id="rId1" Type="http://schemas.openxmlformats.org/officeDocument/2006/relationships/hyperlink" Target="#'2017 Sector View Elect'!A1"/></Relationships>
</file>

<file path=xl/drawings/_rels/drawing17.xml.rels><?xml version="1.0" encoding="UTF-8" standalone="yes"?>
<Relationships xmlns="http://schemas.openxmlformats.org/package/2006/relationships"><Relationship Id="rId2" Type="http://schemas.openxmlformats.org/officeDocument/2006/relationships/hyperlink" Target="#'WebTstat Detail_REM G214 Gas'!A1"/><Relationship Id="rId1" Type="http://schemas.openxmlformats.org/officeDocument/2006/relationships/hyperlink" Target="#'2017 Sector View Elect'!A1"/></Relationships>
</file>

<file path=xl/drawings/_rels/drawing1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19.xml.rels><?xml version="1.0" encoding="UTF-8" standalone="yes"?>
<Relationships xmlns="http://schemas.openxmlformats.org/package/2006/relationships"><Relationship Id="rId2" Type="http://schemas.openxmlformats.org/officeDocument/2006/relationships/hyperlink" Target="#'MHDS Detail_REM G214 Gas'!A1"/><Relationship Id="rId1" Type="http://schemas.openxmlformats.org/officeDocument/2006/relationships/hyperlink" Target="#'2017 Sector View Elect'!A1"/></Relationships>
</file>

<file path=xl/drawings/_rels/drawing2.xml.rels><?xml version="1.0" encoding="UTF-8" standalone="yes"?>
<Relationships xmlns="http://schemas.openxmlformats.org/package/2006/relationships"><Relationship Id="rId2" Type="http://schemas.openxmlformats.org/officeDocument/2006/relationships/hyperlink" Target="#'Portfolio--2017'!A1"/><Relationship Id="rId1" Type="http://schemas.openxmlformats.org/officeDocument/2006/relationships/hyperlink" Target="#'Budget Category Descriptions'!A1"/></Relationships>
</file>

<file path=xl/drawings/_rels/drawing20.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21.xml.rels><?xml version="1.0" encoding="UTF-8" standalone="yes"?>
<Relationships xmlns="http://schemas.openxmlformats.org/package/2006/relationships"><Relationship Id="rId2" Type="http://schemas.openxmlformats.org/officeDocument/2006/relationships/hyperlink" Target="#'HER Detail_REM G214 gas'!A1"/><Relationship Id="rId1" Type="http://schemas.openxmlformats.org/officeDocument/2006/relationships/hyperlink" Target="#'2017 Sector View Elect'!A1"/></Relationships>
</file>

<file path=xl/drawings/_rels/drawing22.xml.rels><?xml version="1.0" encoding="UTF-8" standalone="yes"?>
<Relationships xmlns="http://schemas.openxmlformats.org/package/2006/relationships"><Relationship Id="rId2" Type="http://schemas.openxmlformats.org/officeDocument/2006/relationships/hyperlink" Target="#'SFNC Detail_REM G215 Gas'!A1"/><Relationship Id="rId1" Type="http://schemas.openxmlformats.org/officeDocument/2006/relationships/hyperlink" Target="#'2017 Sector View Elect'!A1"/></Relationships>
</file>

<file path=xl/drawings/_rels/drawing23.xml.rels><?xml version="1.0" encoding="UTF-8" standalone="yes"?>
<Relationships xmlns="http://schemas.openxmlformats.org/package/2006/relationships"><Relationship Id="rId2" Type="http://schemas.openxmlformats.org/officeDocument/2006/relationships/hyperlink" Target="#'NCMfgHomes Detail_REM G215 Gas'!A1"/><Relationship Id="rId1" Type="http://schemas.openxmlformats.org/officeDocument/2006/relationships/hyperlink" Target="#'2017 Sector View Elect'!A1"/></Relationships>
</file>

<file path=xl/drawings/_rels/drawing24.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25.xml.rels><?xml version="1.0" encoding="UTF-8" standalone="yes"?>
<Relationships xmlns="http://schemas.openxmlformats.org/package/2006/relationships"><Relationship Id="rId2" Type="http://schemas.openxmlformats.org/officeDocument/2006/relationships/hyperlink" Target="#'MF Retr Detail_REM G217 Gas'!A1"/><Relationship Id="rId1" Type="http://schemas.openxmlformats.org/officeDocument/2006/relationships/hyperlink" Target="#'2017 Sector View Elect'!A1"/></Relationships>
</file>

<file path=xl/drawings/_rels/drawing26.xml.rels><?xml version="1.0" encoding="UTF-8" standalone="yes"?>
<Relationships xmlns="http://schemas.openxmlformats.org/package/2006/relationships"><Relationship Id="rId2" Type="http://schemas.openxmlformats.org/officeDocument/2006/relationships/hyperlink" Target="#'MFNC Detail_REM G218 Gas'!A1"/><Relationship Id="rId1" Type="http://schemas.openxmlformats.org/officeDocument/2006/relationships/hyperlink" Target="#'2017 Sector View Elect'!A1"/></Relationships>
</file>

<file path=xl/drawings/_rels/drawing27.xml.rels><?xml version="1.0" encoding="UTF-8" standalone="yes"?>
<Relationships xmlns="http://schemas.openxmlformats.org/package/2006/relationships"><Relationship Id="rId2" Type="http://schemas.openxmlformats.org/officeDocument/2006/relationships/hyperlink" Target="#' LowIncWx Detail_REM E201_Elec'!A1"/><Relationship Id="rId1" Type="http://schemas.openxmlformats.org/officeDocument/2006/relationships/hyperlink" Target="#'2017 Sector View Gas'!A1"/></Relationships>
</file>

<file path=xl/drawings/_rels/drawing28.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Portfolio--2017'!A1"/><Relationship Id="rId1" Type="http://schemas.openxmlformats.org/officeDocument/2006/relationships/hyperlink" Target="#'2017 Sector View Gas'!A1"/></Relationships>
</file>

<file path=xl/drawings/_rels/drawing29.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30.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1.xml.rels><?xml version="1.0" encoding="UTF-8" standalone="yes"?>
<Relationships xmlns="http://schemas.openxmlformats.org/package/2006/relationships"><Relationship Id="rId2" Type="http://schemas.openxmlformats.org/officeDocument/2006/relationships/hyperlink" Target="#'Wx_Detail_REM E214 Elec'!A1"/><Relationship Id="rId1" Type="http://schemas.openxmlformats.org/officeDocument/2006/relationships/hyperlink" Target="#'2017 Sector View Gas'!A1"/></Relationships>
</file>

<file path=xl/drawings/_rels/drawing32.xml.rels><?xml version="1.0" encoding="UTF-8" standalone="yes"?>
<Relationships xmlns="http://schemas.openxmlformats.org/package/2006/relationships"><Relationship Id="rId2" Type="http://schemas.openxmlformats.org/officeDocument/2006/relationships/hyperlink" Target="#'SpcHeat Detail_REM_E214 Elec'!A1"/><Relationship Id="rId1" Type="http://schemas.openxmlformats.org/officeDocument/2006/relationships/hyperlink" Target="#'2017 Sector View Gas'!A1"/></Relationships>
</file>

<file path=xl/drawings/_rels/drawing33.xml.rels><?xml version="1.0" encoding="UTF-8" standalone="yes"?>
<Relationships xmlns="http://schemas.openxmlformats.org/package/2006/relationships"><Relationship Id="rId2" Type="http://schemas.openxmlformats.org/officeDocument/2006/relationships/hyperlink" Target="#'ShwrHead_Detail_REM_E214  Elec'!A1"/><Relationship Id="rId1" Type="http://schemas.openxmlformats.org/officeDocument/2006/relationships/hyperlink" Target="#'2017 Sector View Gas'!A1"/></Relationships>
</file>

<file path=xl/drawings/_rels/drawing34.xml.rels><?xml version="1.0" encoding="UTF-8" standalone="yes"?>
<Relationships xmlns="http://schemas.openxmlformats.org/package/2006/relationships"><Relationship Id="rId2" Type="http://schemas.openxmlformats.org/officeDocument/2006/relationships/hyperlink" Target="#'HmAppplc_Detail_REM_E214 Elec'!A1"/><Relationship Id="rId1" Type="http://schemas.openxmlformats.org/officeDocument/2006/relationships/hyperlink" Target="#'2017 Sector View Gas'!A1"/></Relationships>
</file>

<file path=xl/drawings/_rels/drawing35.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36.xml.rels><?xml version="1.0" encoding="UTF-8" standalone="yes"?>
<Relationships xmlns="http://schemas.openxmlformats.org/package/2006/relationships"><Relationship Id="rId2" Type="http://schemas.openxmlformats.org/officeDocument/2006/relationships/hyperlink" Target="#'Web Tstat Detail_REM E214 Elec'!A1"/><Relationship Id="rId1" Type="http://schemas.openxmlformats.org/officeDocument/2006/relationships/hyperlink" Target="#'2017 Sector View Gas'!A1"/></Relationships>
</file>

<file path=xl/drawings/_rels/drawing37.xml.rels><?xml version="1.0" encoding="UTF-8" standalone="yes"?>
<Relationships xmlns="http://schemas.openxmlformats.org/package/2006/relationships"><Relationship Id="rId2" Type="http://schemas.openxmlformats.org/officeDocument/2006/relationships/hyperlink" Target="#'HER Detail_REM_E214 elec.'!A1"/><Relationship Id="rId1" Type="http://schemas.openxmlformats.org/officeDocument/2006/relationships/hyperlink" Target="#'2017 Sector View Gas'!A1"/></Relationships>
</file>

<file path=xl/drawings/_rels/drawing38.xml.rels><?xml version="1.0" encoding="UTF-8" standalone="yes"?>
<Relationships xmlns="http://schemas.openxmlformats.org/package/2006/relationships"><Relationship Id="rId2" Type="http://schemas.openxmlformats.org/officeDocument/2006/relationships/hyperlink" Target="#'SFNC Detail_REM E215 Elec'!A1"/><Relationship Id="rId1" Type="http://schemas.openxmlformats.org/officeDocument/2006/relationships/hyperlink" Target="#'2017 Sector View Gas'!A1"/></Relationships>
</file>

<file path=xl/drawings/_rels/drawing39.xml.rels><?xml version="1.0" encoding="UTF-8" standalone="yes"?>
<Relationships xmlns="http://schemas.openxmlformats.org/package/2006/relationships"><Relationship Id="rId2" Type="http://schemas.openxmlformats.org/officeDocument/2006/relationships/hyperlink" Target="#'NCMfgHome Detail_REM E215 Elec'!A1"/><Relationship Id="rId1" Type="http://schemas.openxmlformats.org/officeDocument/2006/relationships/hyperlink" Target="#'2017 Sector View Gas'!A1"/></Relationships>
</file>

<file path=xl/drawings/_rels/drawing4.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40.xml.rels><?xml version="1.0" encoding="UTF-8" standalone="yes"?>
<Relationships xmlns="http://schemas.openxmlformats.org/package/2006/relationships"><Relationship Id="rId2" Type="http://schemas.openxmlformats.org/officeDocument/2006/relationships/hyperlink" Target="#'MF Retr Detail_REM E217 Elec'!A1"/><Relationship Id="rId1" Type="http://schemas.openxmlformats.org/officeDocument/2006/relationships/hyperlink" Target="#'2017 Sector View Gas'!A1"/></Relationships>
</file>

<file path=xl/drawings/_rels/drawing41.xml.rels><?xml version="1.0" encoding="UTF-8" standalone="yes"?>
<Relationships xmlns="http://schemas.openxmlformats.org/package/2006/relationships"><Relationship Id="rId2" Type="http://schemas.openxmlformats.org/officeDocument/2006/relationships/hyperlink" Target="#'MFNC Detail_REM E218 Elec'!A1"/><Relationship Id="rId1" Type="http://schemas.openxmlformats.org/officeDocument/2006/relationships/hyperlink" Target="#'2017 Sector View Gas'!A1"/></Relationships>
</file>

<file path=xl/drawings/_rels/drawing42.xml.rels><?xml version="1.0" encoding="UTF-8" standalone="yes"?>
<Relationships xmlns="http://schemas.openxmlformats.org/package/2006/relationships"><Relationship Id="rId2" Type="http://schemas.openxmlformats.org/officeDocument/2006/relationships/hyperlink" Target="#'CI Retr Detail_BEM G250 Gas'!A1"/><Relationship Id="rId1" Type="http://schemas.openxmlformats.org/officeDocument/2006/relationships/hyperlink" Target="#'2017 Sector View Elect'!A1"/></Relationships>
</file>

<file path=xl/drawings/_rels/drawing43.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4.xml.rels><?xml version="1.0" encoding="UTF-8" standalone="yes"?>
<Relationships xmlns="http://schemas.openxmlformats.org/package/2006/relationships"><Relationship Id="rId2" Type="http://schemas.openxmlformats.org/officeDocument/2006/relationships/hyperlink" Target="#'CI NC Detail_BEM G251 Gas'!A1"/><Relationship Id="rId1" Type="http://schemas.openxmlformats.org/officeDocument/2006/relationships/hyperlink" Target="#'2017 Sector View Elect'!A1"/></Relationships>
</file>

<file path=xl/drawings/_rels/drawing45.xml.rels><?xml version="1.0" encoding="UTF-8" standalone="yes"?>
<Relationships xmlns="http://schemas.openxmlformats.org/package/2006/relationships"><Relationship Id="rId2" Type="http://schemas.openxmlformats.org/officeDocument/2006/relationships/hyperlink" Target="#'RCM Detail_BEM 253 Gas'!A1"/><Relationship Id="rId1" Type="http://schemas.openxmlformats.org/officeDocument/2006/relationships/hyperlink" Target="#'2017 Sector View Elect'!A1"/></Relationships>
</file>

<file path=xl/drawings/_rels/drawing46.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7.xml.rels><?xml version="1.0" encoding="UTF-8" standalone="yes"?>
<Relationships xmlns="http://schemas.openxmlformats.org/package/2006/relationships"><Relationship Id="rId2" Type="http://schemas.openxmlformats.org/officeDocument/2006/relationships/hyperlink" Target="#'ResAcctSW Detail_PSWE_Gas'!A1"/><Relationship Id="rId1" Type="http://schemas.openxmlformats.org/officeDocument/2006/relationships/hyperlink" Target="#'2017 Sector View Elect'!A1"/></Relationships>
</file>

<file path=xl/drawings/_rels/drawing48.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49.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xml.rels><?xml version="1.0" encoding="UTF-8" standalone="yes"?>
<Relationships xmlns="http://schemas.openxmlformats.org/package/2006/relationships"><Relationship Id="rId1" Type="http://schemas.openxmlformats.org/officeDocument/2006/relationships/hyperlink" Target="#'Portfolio--2017'!A1"/></Relationships>
</file>

<file path=xl/drawings/_rels/drawing50.xml.rels><?xml version="1.0" encoding="UTF-8" standalone="yes"?>
<Relationships xmlns="http://schemas.openxmlformats.org/package/2006/relationships"><Relationship Id="rId2" Type="http://schemas.openxmlformats.org/officeDocument/2006/relationships/hyperlink" Target="#'TechEval Detail_BEM G261 Gas'!A1"/><Relationship Id="rId1" Type="http://schemas.openxmlformats.org/officeDocument/2006/relationships/hyperlink" Target="#'2017 Sector View Elect'!A1"/></Relationships>
</file>

<file path=xl/drawings/_rels/drawing51.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2.xml.rels><?xml version="1.0" encoding="UTF-8" standalone="yes"?>
<Relationships xmlns="http://schemas.openxmlformats.org/package/2006/relationships"><Relationship Id="rId2" Type="http://schemas.openxmlformats.org/officeDocument/2006/relationships/hyperlink" Target="#'Comm Kit-Laund_G262 Gas'!A1"/><Relationship Id="rId1" Type="http://schemas.openxmlformats.org/officeDocument/2006/relationships/hyperlink" Target="#'2017 Sector View Elect'!A1"/></Relationships>
</file>

<file path=xl/drawings/_rels/drawing53.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4.xml.rels><?xml version="1.0" encoding="UTF-8" standalone="yes"?>
<Relationships xmlns="http://schemas.openxmlformats.org/package/2006/relationships"><Relationship Id="rId2" Type="http://schemas.openxmlformats.org/officeDocument/2006/relationships/hyperlink" Target="#'Comm HVAC_G262 Gas'!A1"/><Relationship Id="rId1" Type="http://schemas.openxmlformats.org/officeDocument/2006/relationships/hyperlink" Target="#'2017 Sector View Elect'!A1"/></Relationships>
</file>

<file path=xl/drawings/_rels/drawing55.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56.xml.rels><?xml version="1.0" encoding="UTF-8" standalone="yes"?>
<Relationships xmlns="http://schemas.openxmlformats.org/package/2006/relationships"><Relationship Id="rId2" Type="http://schemas.openxmlformats.org/officeDocument/2006/relationships/hyperlink" Target="#'Sm Agr DI_G262 Gas'!A1"/><Relationship Id="rId1" Type="http://schemas.openxmlformats.org/officeDocument/2006/relationships/hyperlink" Target="#'2017 Sector View Elect'!A1"/></Relationships>
</file>

<file path=xl/drawings/_rels/drawing57.xml.rels><?xml version="1.0" encoding="UTF-8" standalone="yes"?>
<Relationships xmlns="http://schemas.openxmlformats.org/package/2006/relationships"><Relationship Id="rId2" Type="http://schemas.openxmlformats.org/officeDocument/2006/relationships/hyperlink" Target="#'Lodging DI_G262_Gas'!A1"/><Relationship Id="rId1" Type="http://schemas.openxmlformats.org/officeDocument/2006/relationships/hyperlink" Target="#'2017 Sector View Elect'!A1"/></Relationships>
</file>

<file path=xl/drawings/_rels/drawing58.xml.rels><?xml version="1.0" encoding="UTF-8" standalone="yes"?>
<Relationships xmlns="http://schemas.openxmlformats.org/package/2006/relationships"><Relationship Id="rId2" Type="http://schemas.openxmlformats.org/officeDocument/2006/relationships/hyperlink" Target="#'Sm Bus DI_G262 Gas'!A1"/><Relationship Id="rId1" Type="http://schemas.openxmlformats.org/officeDocument/2006/relationships/hyperlink" Target="#'2017 Sector View Elect'!A1"/></Relationships>
</file>

<file path=xl/drawings/_rels/drawing59.xml.rels><?xml version="1.0" encoding="UTF-8" standalone="yes"?>
<Relationships xmlns="http://schemas.openxmlformats.org/package/2006/relationships"><Relationship Id="rId2" Type="http://schemas.openxmlformats.org/officeDocument/2006/relationships/hyperlink" Target="#'CI Retr Detail_BEM E250 Elec'!A1"/><Relationship Id="rId1" Type="http://schemas.openxmlformats.org/officeDocument/2006/relationships/hyperlink" Target="#'2017 Sector View Gas'!A1"/></Relationships>
</file>

<file path=xl/drawings/_rels/drawing6.xml.rels><?xml version="1.0" encoding="UTF-8" standalone="yes"?>
<Relationships xmlns="http://schemas.openxmlformats.org/package/2006/relationships"><Relationship Id="rId3" Type="http://schemas.openxmlformats.org/officeDocument/2006/relationships/hyperlink" Target="#'Building the gas target'!A1"/><Relationship Id="rId2" Type="http://schemas.openxmlformats.org/officeDocument/2006/relationships/hyperlink" Target="#'Building the elec. target'!A1"/><Relationship Id="rId1" Type="http://schemas.openxmlformats.org/officeDocument/2006/relationships/image" Target="../media/image1.jpg"/></Relationships>
</file>

<file path=xl/drawings/_rels/drawing60.xml.rels><?xml version="1.0" encoding="UTF-8" standalone="yes"?>
<Relationships xmlns="http://schemas.openxmlformats.org/package/2006/relationships"><Relationship Id="rId2" Type="http://schemas.openxmlformats.org/officeDocument/2006/relationships/hyperlink" Target="#'CI NC Detail_BEM E251 Elec'!A1"/><Relationship Id="rId1" Type="http://schemas.openxmlformats.org/officeDocument/2006/relationships/hyperlink" Target="#'2017 Sector View Gas'!A1"/></Relationships>
</file>

<file path=xl/drawings/_rels/drawing61.xml.rels><?xml version="1.0" encoding="UTF-8" standalone="yes"?>
<Relationships xmlns="http://schemas.openxmlformats.org/package/2006/relationships"><Relationship Id="rId2" Type="http://schemas.openxmlformats.org/officeDocument/2006/relationships/hyperlink" Target="#'RCM Detail_BEM E253 Elec'!A1"/><Relationship Id="rId1" Type="http://schemas.openxmlformats.org/officeDocument/2006/relationships/hyperlink" Target="#'2017 Sector View Gas'!A1"/></Relationships>
</file>

<file path=xl/drawings/_rels/drawing62.xml.rels><?xml version="1.0" encoding="UTF-8" standalone="yes"?>
<Relationships xmlns="http://schemas.openxmlformats.org/package/2006/relationships"><Relationship Id="rId2" Type="http://schemas.openxmlformats.org/officeDocument/2006/relationships/hyperlink" Target="#'ResAcctSW Detail_PSWE_Elec'!A1"/><Relationship Id="rId1" Type="http://schemas.openxmlformats.org/officeDocument/2006/relationships/hyperlink" Target="#'2017 Sector View Gas'!A1"/></Relationships>
</file>

<file path=xl/drawings/_rels/drawing63.xml.rels><?xml version="1.0" encoding="UTF-8" standalone="yes"?>
<Relationships xmlns="http://schemas.openxmlformats.org/package/2006/relationships"><Relationship Id="rId2" Type="http://schemas.openxmlformats.org/officeDocument/2006/relationships/hyperlink" Target="#'TechEval Detail_BEM E261 Elec'!A1"/><Relationship Id="rId1" Type="http://schemas.openxmlformats.org/officeDocument/2006/relationships/hyperlink" Target="#'2017 Sector View Gas'!A1"/></Relationships>
</file>

<file path=xl/drawings/_rels/drawing64.xml.rels><?xml version="1.0" encoding="UTF-8" standalone="yes"?>
<Relationships xmlns="http://schemas.openxmlformats.org/package/2006/relationships"><Relationship Id="rId2" Type="http://schemas.openxmlformats.org/officeDocument/2006/relationships/hyperlink" Target="#'Sm Agr DI_E262 Elect'!A1"/><Relationship Id="rId1" Type="http://schemas.openxmlformats.org/officeDocument/2006/relationships/hyperlink" Target="#'2017 Sector View Gas'!A1"/></Relationships>
</file>

<file path=xl/drawings/_rels/drawing65.xml.rels><?xml version="1.0" encoding="UTF-8" standalone="yes"?>
<Relationships xmlns="http://schemas.openxmlformats.org/package/2006/relationships"><Relationship Id="rId2" Type="http://schemas.openxmlformats.org/officeDocument/2006/relationships/hyperlink" Target="#'Lodging DI_E262 Elec'!A1"/><Relationship Id="rId1" Type="http://schemas.openxmlformats.org/officeDocument/2006/relationships/hyperlink" Target="#'2017 Sector View Gas'!A1"/></Relationships>
</file>

<file path=xl/drawings/_rels/drawing66.xml.rels><?xml version="1.0" encoding="UTF-8" standalone="yes"?>
<Relationships xmlns="http://schemas.openxmlformats.org/package/2006/relationships"><Relationship Id="rId2" Type="http://schemas.openxmlformats.org/officeDocument/2006/relationships/hyperlink" Target="#'Sm Bus DI_E262 Elect'!A1"/><Relationship Id="rId1" Type="http://schemas.openxmlformats.org/officeDocument/2006/relationships/hyperlink" Target="#'2017 Sector View Gas'!A1"/></Relationships>
</file>

<file path=xl/drawings/_rels/drawing67.xml.rels><?xml version="1.0" encoding="UTF-8" standalone="yes"?>
<Relationships xmlns="http://schemas.openxmlformats.org/package/2006/relationships"><Relationship Id="rId2" Type="http://schemas.openxmlformats.org/officeDocument/2006/relationships/hyperlink" Target="#'Comm Kit-Laund_E262 Elect'!A1"/><Relationship Id="rId1" Type="http://schemas.openxmlformats.org/officeDocument/2006/relationships/hyperlink" Target="#'2017 Sector View Gas'!A1"/></Relationships>
</file>

<file path=xl/drawings/_rels/drawing68.xml.rels><?xml version="1.0" encoding="UTF-8" standalone="yes"?>
<Relationships xmlns="http://schemas.openxmlformats.org/package/2006/relationships"><Relationship Id="rId1" Type="http://schemas.openxmlformats.org/officeDocument/2006/relationships/hyperlink" Target="#'2017 Sector View Gas'!A1"/></Relationships>
</file>

<file path=xl/drawings/_rels/drawing69.xml.rels><?xml version="1.0" encoding="UTF-8" standalone="yes"?>
<Relationships xmlns="http://schemas.openxmlformats.org/package/2006/relationships"><Relationship Id="rId2" Type="http://schemas.openxmlformats.org/officeDocument/2006/relationships/hyperlink" Target="#'Comm HVAC_E262 Elect'!A1"/><Relationship Id="rId1" Type="http://schemas.openxmlformats.org/officeDocument/2006/relationships/hyperlink" Target="#'2017 Sector View Gas'!A1"/></Relationships>
</file>

<file path=xl/drawings/_rels/drawing7.xml.rels><?xml version="1.0" encoding="UTF-8" standalone="yes"?>
<Relationships xmlns="http://schemas.openxmlformats.org/package/2006/relationships"><Relationship Id="rId2" Type="http://schemas.openxmlformats.org/officeDocument/2006/relationships/hyperlink" Target="#'2017 Sector View Gas'!A1"/><Relationship Id="rId1" Type="http://schemas.openxmlformats.org/officeDocument/2006/relationships/hyperlink" Target="#'Portfolio--2017'!A1"/></Relationships>
</file>

<file path=xl/drawings/_rels/drawing70.xml.rels><?xml version="1.0" encoding="UTF-8" standalone="yes"?>
<Relationships xmlns="http://schemas.openxmlformats.org/package/2006/relationships"><Relationship Id="rId2" Type="http://schemas.openxmlformats.org/officeDocument/2006/relationships/hyperlink" Target="#'REM Pilots Detail G249 Gas'!A1"/><Relationship Id="rId1" Type="http://schemas.openxmlformats.org/officeDocument/2006/relationships/hyperlink" Target="#'2017 Sector View Elect'!A1"/></Relationships>
</file>

<file path=xl/drawings/_rels/drawing71.xml.rels><?xml version="1.0" encoding="UTF-8" standalone="yes"?>
<Relationships xmlns="http://schemas.openxmlformats.org/package/2006/relationships"><Relationship Id="rId2" Type="http://schemas.openxmlformats.org/officeDocument/2006/relationships/hyperlink" Target="#'BEM Pilots Detail G249 Gas'!A1"/><Relationship Id="rId1" Type="http://schemas.openxmlformats.org/officeDocument/2006/relationships/hyperlink" Target="#'2017 Sector View Elect'!A1"/></Relationships>
</file>

<file path=xl/drawings/_rels/drawing72.xml.rels><?xml version="1.0" encoding="UTF-8" standalone="yes"?>
<Relationships xmlns="http://schemas.openxmlformats.org/package/2006/relationships"><Relationship Id="rId2" Type="http://schemas.openxmlformats.org/officeDocument/2006/relationships/hyperlink" Target="#'REM Pilots E249 Elec'!A1"/><Relationship Id="rId1" Type="http://schemas.openxmlformats.org/officeDocument/2006/relationships/hyperlink" Target="#'2017 Sector View Gas'!A1"/></Relationships>
</file>

<file path=xl/drawings/_rels/drawing73.xml.rels><?xml version="1.0" encoding="UTF-8" standalone="yes"?>
<Relationships xmlns="http://schemas.openxmlformats.org/package/2006/relationships"><Relationship Id="rId2" Type="http://schemas.openxmlformats.org/officeDocument/2006/relationships/hyperlink" Target="#'BEM Pilots E249 Elec'!A1"/><Relationship Id="rId1" Type="http://schemas.openxmlformats.org/officeDocument/2006/relationships/hyperlink" Target="#'2017 Sector View Gas'!A1"/></Relationships>
</file>

<file path=xl/drawings/_rels/drawing74.xml.rels><?xml version="1.0" encoding="UTF-8" standalone="yes"?>
<Relationships xmlns="http://schemas.openxmlformats.org/package/2006/relationships"><Relationship Id="rId2" Type="http://schemas.openxmlformats.org/officeDocument/2006/relationships/hyperlink" Target="#'NEEA Gas MT_no Sched Gas'!A1"/><Relationship Id="rId1" Type="http://schemas.openxmlformats.org/officeDocument/2006/relationships/hyperlink" Target="#'2017 Sector View Elect'!A1"/></Relationships>
</file>

<file path=xl/drawings/_rels/drawing75.xml.rels><?xml version="1.0" encoding="UTF-8" standalone="yes"?>
<Relationships xmlns="http://schemas.openxmlformats.org/package/2006/relationships"><Relationship Id="rId1" Type="http://schemas.openxmlformats.org/officeDocument/2006/relationships/hyperlink" Target="#'2017 Sector View Elect'!A1"/></Relationships>
</file>

<file path=xl/drawings/_rels/drawing76.xml.rels><?xml version="1.0" encoding="UTF-8" standalone="yes"?>
<Relationships xmlns="http://schemas.openxmlformats.org/package/2006/relationships"><Relationship Id="rId2" Type="http://schemas.openxmlformats.org/officeDocument/2006/relationships/hyperlink" Target="#'NEEA Detail_E254 elec'!A1"/><Relationship Id="rId1" Type="http://schemas.openxmlformats.org/officeDocument/2006/relationships/hyperlink" Target="#'2017 Sector View Gas'!A1"/></Relationships>
</file>

<file path=xl/drawings/_rels/drawing77.xml.rels><?xml version="1.0" encoding="UTF-8" standalone="yes"?>
<Relationships xmlns="http://schemas.openxmlformats.org/package/2006/relationships"><Relationship Id="rId3" Type="http://schemas.openxmlformats.org/officeDocument/2006/relationships/hyperlink" Target="#'Building the gas target'!A1"/><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78.xml.rels><?xml version="1.0" encoding="UTF-8" standalone="yes"?>
<Relationships xmlns="http://schemas.openxmlformats.org/package/2006/relationships"><Relationship Id="rId2" Type="http://schemas.openxmlformats.org/officeDocument/2006/relationships/hyperlink" Target="#'Engy Adv Detail_PSCE_Gas'!A1"/><Relationship Id="rId1" Type="http://schemas.openxmlformats.org/officeDocument/2006/relationships/hyperlink" Target="#'2017 Sector View Elect'!A1"/></Relationships>
</file>

<file path=xl/drawings/_rels/drawing79.xml.rels><?xml version="1.0" encoding="UTF-8" standalone="yes"?>
<Relationships xmlns="http://schemas.openxmlformats.org/package/2006/relationships"><Relationship Id="rId2" Type="http://schemas.openxmlformats.org/officeDocument/2006/relationships/hyperlink" Target="#'Events Detail_PSCE_Gas'!A1"/><Relationship Id="rId1" Type="http://schemas.openxmlformats.org/officeDocument/2006/relationships/hyperlink" Target="#'2017 Sector View Elect'!A1"/></Relationships>
</file>

<file path=xl/drawings/_rels/drawing8.xml.rels><?xml version="1.0" encoding="UTF-8" standalone="yes"?>
<Relationships xmlns="http://schemas.openxmlformats.org/package/2006/relationships"><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80.xml.rels><?xml version="1.0" encoding="UTF-8" standalone="yes"?>
<Relationships xmlns="http://schemas.openxmlformats.org/package/2006/relationships"><Relationship Id="rId2" Type="http://schemas.openxmlformats.org/officeDocument/2006/relationships/hyperlink" Target="#'Brochure Detail_PSCE_Gas'!A1"/><Relationship Id="rId1" Type="http://schemas.openxmlformats.org/officeDocument/2006/relationships/hyperlink" Target="#'2017 Sector View Elect'!A1"/></Relationships>
</file>

<file path=xl/drawings/_rels/drawing81.xml.rels><?xml version="1.0" encoding="UTF-8" standalone="yes"?>
<Relationships xmlns="http://schemas.openxmlformats.org/package/2006/relationships"><Relationship Id="rId2" Type="http://schemas.openxmlformats.org/officeDocument/2006/relationships/hyperlink" Target="#'Eductn Detail_PSCE_G207 Gas'!A1"/><Relationship Id="rId1" Type="http://schemas.openxmlformats.org/officeDocument/2006/relationships/hyperlink" Target="#'2017 Sector View Elect'!A1"/></Relationships>
</file>

<file path=xl/drawings/_rels/drawing82.xml.rels><?xml version="1.0" encoding="UTF-8" standalone="yes"?>
<Relationships xmlns="http://schemas.openxmlformats.org/package/2006/relationships"><Relationship Id="rId3" Type="http://schemas.openxmlformats.org/officeDocument/2006/relationships/hyperlink" Target="#'2017 Sector View Gas'!A1"/><Relationship Id="rId2" Type="http://schemas.openxmlformats.org/officeDocument/2006/relationships/hyperlink" Target="#'2017 Sector View Elect'!A1"/><Relationship Id="rId1" Type="http://schemas.openxmlformats.org/officeDocument/2006/relationships/hyperlink" Target="#'Portfolio--2017'!A1"/></Relationships>
</file>

<file path=xl/drawings/_rels/drawing83.xml.rels><?xml version="1.0" encoding="UTF-8" standalone="yes"?>
<Relationships xmlns="http://schemas.openxmlformats.org/package/2006/relationships"><Relationship Id="rId2" Type="http://schemas.openxmlformats.org/officeDocument/2006/relationships/hyperlink" Target="#'CustOnline Detail_PSWE_Gas'!A1"/><Relationship Id="rId1" Type="http://schemas.openxmlformats.org/officeDocument/2006/relationships/hyperlink" Target="#'2017 Sector View Elect'!A1"/></Relationships>
</file>

<file path=xl/drawings/_rels/drawing84.xml.rels><?xml version="1.0" encoding="UTF-8" standalone="yes"?>
<Relationships xmlns="http://schemas.openxmlformats.org/package/2006/relationships"><Relationship Id="rId2" Type="http://schemas.openxmlformats.org/officeDocument/2006/relationships/hyperlink" Target="#'Mkt Intg Detail_PSWE_Gas'!A1"/><Relationship Id="rId1" Type="http://schemas.openxmlformats.org/officeDocument/2006/relationships/hyperlink" Target="#'2017 Sector View Elect'!A1"/></Relationships>
</file>

<file path=xl/drawings/_rels/drawing85.xml.rels><?xml version="1.0" encoding="UTF-8" standalone="yes"?>
<Relationships xmlns="http://schemas.openxmlformats.org/package/2006/relationships"><Relationship Id="rId2" Type="http://schemas.openxmlformats.org/officeDocument/2006/relationships/hyperlink" Target="#'ABS Detail_PSWE_Gas'!A1"/><Relationship Id="rId1" Type="http://schemas.openxmlformats.org/officeDocument/2006/relationships/hyperlink" Target="#'2017 Sector View Elect'!A1"/></Relationships>
</file>

<file path=xl/drawings/_rels/drawing86.xml.rels><?xml version="1.0" encoding="UTF-8" standalone="yes"?>
<Relationships xmlns="http://schemas.openxmlformats.org/package/2006/relationships"><Relationship Id="rId2" Type="http://schemas.openxmlformats.org/officeDocument/2006/relationships/hyperlink" Target="#'Rebt Procg_Detail Gas'!A1"/><Relationship Id="rId1" Type="http://schemas.openxmlformats.org/officeDocument/2006/relationships/hyperlink" Target="#'2017 Sector View Elect'!A1"/></Relationships>
</file>

<file path=xl/drawings/_rels/drawing87.xml.rels><?xml version="1.0" encoding="UTF-8" standalone="yes"?>
<Relationships xmlns="http://schemas.openxmlformats.org/package/2006/relationships"><Relationship Id="rId2" Type="http://schemas.openxmlformats.org/officeDocument/2006/relationships/hyperlink" Target="#'Progs Supp Detail_PS_Gas'!A1"/><Relationship Id="rId1" Type="http://schemas.openxmlformats.org/officeDocument/2006/relationships/hyperlink" Target="#'2017 Sector View Elect'!A1"/></Relationships>
</file>

<file path=xl/drawings/_rels/drawing88.xml.rels><?xml version="1.0" encoding="UTF-8" standalone="yes"?>
<Relationships xmlns="http://schemas.openxmlformats.org/package/2006/relationships"><Relationship Id="rId2" Type="http://schemas.openxmlformats.org/officeDocument/2006/relationships/hyperlink" Target="#'Data &amp; Systm Svcs Detail Gas'!A1"/><Relationship Id="rId1" Type="http://schemas.openxmlformats.org/officeDocument/2006/relationships/hyperlink" Target="#'2017 Sector View Elect'!A1"/></Relationships>
</file>

<file path=xl/drawings/_rels/drawing89.xml.rels><?xml version="1.0" encoding="UTF-8" standalone="yes"?>
<Relationships xmlns="http://schemas.openxmlformats.org/package/2006/relationships"><Relationship Id="rId2" Type="http://schemas.openxmlformats.org/officeDocument/2006/relationships/hyperlink" Target="#'EEC Detail_PS_Gas'!A1"/><Relationship Id="rId1" Type="http://schemas.openxmlformats.org/officeDocument/2006/relationships/hyperlink" Target="#'2017 Sector View Elect'!A1"/></Relationships>
</file>

<file path=xl/drawings/_rels/drawing9.xml.rels><?xml version="1.0" encoding="UTF-8" standalone="yes"?>
<Relationships xmlns="http://schemas.openxmlformats.org/package/2006/relationships"><Relationship Id="rId2" Type="http://schemas.openxmlformats.org/officeDocument/2006/relationships/hyperlink" Target="#'LowIncWx Detail_REM G201 Gas'!A1"/><Relationship Id="rId1" Type="http://schemas.openxmlformats.org/officeDocument/2006/relationships/hyperlink" Target="#'2017 Sector View Elect'!A1"/></Relationships>
</file>

<file path=xl/drawings/_rels/drawing90.xml.rels><?xml version="1.0" encoding="UTF-8" standalone="yes"?>
<Relationships xmlns="http://schemas.openxmlformats.org/package/2006/relationships"><Relationship Id="rId2" Type="http://schemas.openxmlformats.org/officeDocument/2006/relationships/hyperlink" Target="#'TradeAlly Detail_PS_gas'!A1"/><Relationship Id="rId1" Type="http://schemas.openxmlformats.org/officeDocument/2006/relationships/hyperlink" Target="#'2017 Sector View Elect'!A1"/></Relationships>
</file>

<file path=xl/drawings/_rels/drawing91.xml.rels><?xml version="1.0" encoding="UTF-8" standalone="yes"?>
<Relationships xmlns="http://schemas.openxmlformats.org/package/2006/relationships"><Relationship Id="rId2" Type="http://schemas.openxmlformats.org/officeDocument/2006/relationships/hyperlink" Target="#'CAN_PS_Detail Gas'!A1"/><Relationship Id="rId1" Type="http://schemas.openxmlformats.org/officeDocument/2006/relationships/hyperlink" Target="#'2017 Sector View Elect'!A1"/></Relationships>
</file>

<file path=xl/drawings/_rels/drawing92.xml.rels><?xml version="1.0" encoding="UTF-8" standalone="yes"?>
<Relationships xmlns="http://schemas.openxmlformats.org/package/2006/relationships"><Relationship Id="rId3" Type="http://schemas.openxmlformats.org/officeDocument/2006/relationships/hyperlink" Target="#'2017 Sector View Elect'!A1"/><Relationship Id="rId2" Type="http://schemas.openxmlformats.org/officeDocument/2006/relationships/hyperlink" Target="#'2017 Sector View Gas'!A1"/><Relationship Id="rId1" Type="http://schemas.openxmlformats.org/officeDocument/2006/relationships/hyperlink" Target="#'Portfolio--2017'!A1"/></Relationships>
</file>

<file path=xl/drawings/_rels/drawing93.xml.rels><?xml version="1.0" encoding="UTF-8" standalone="yes"?>
<Relationships xmlns="http://schemas.openxmlformats.org/package/2006/relationships"><Relationship Id="rId2" Type="http://schemas.openxmlformats.org/officeDocument/2006/relationships/hyperlink" Target="#'Engy Adv Detail_PSCE  Elec'!A1"/><Relationship Id="rId1" Type="http://schemas.openxmlformats.org/officeDocument/2006/relationships/hyperlink" Target="#'2017 Sector View Gas'!A1"/></Relationships>
</file>

<file path=xl/drawings/_rels/drawing94.xml.rels><?xml version="1.0" encoding="UTF-8" standalone="yes"?>
<Relationships xmlns="http://schemas.openxmlformats.org/package/2006/relationships"><Relationship Id="rId2" Type="http://schemas.openxmlformats.org/officeDocument/2006/relationships/hyperlink" Target="#'Events Detail_PSCE Elec'!A1"/><Relationship Id="rId1" Type="http://schemas.openxmlformats.org/officeDocument/2006/relationships/hyperlink" Target="#'2017 Sector View Gas'!A1"/></Relationships>
</file>

<file path=xl/drawings/_rels/drawing95.xml.rels><?xml version="1.0" encoding="UTF-8" standalone="yes"?>
<Relationships xmlns="http://schemas.openxmlformats.org/package/2006/relationships"><Relationship Id="rId2" Type="http://schemas.openxmlformats.org/officeDocument/2006/relationships/hyperlink" Target="#'Brochures Detail_PSCE Elec'!A1"/><Relationship Id="rId1" Type="http://schemas.openxmlformats.org/officeDocument/2006/relationships/hyperlink" Target="#'2017 Sector View Gas'!A1"/></Relationships>
</file>

<file path=xl/drawings/_rels/drawing96.xml.rels><?xml version="1.0" encoding="UTF-8" standalone="yes"?>
<Relationships xmlns="http://schemas.openxmlformats.org/package/2006/relationships"><Relationship Id="rId2" Type="http://schemas.openxmlformats.org/officeDocument/2006/relationships/hyperlink" Target="#'Educatn Detail_PSCE E202 Elec'!A1"/><Relationship Id="rId1" Type="http://schemas.openxmlformats.org/officeDocument/2006/relationships/hyperlink" Target="#'2017 Sector View Gas'!A1"/></Relationships>
</file>

<file path=xl/drawings/_rels/drawing97.xml.rels><?xml version="1.0" encoding="UTF-8" standalone="yes"?>
<Relationships xmlns="http://schemas.openxmlformats.org/package/2006/relationships"><Relationship Id="rId3" Type="http://schemas.openxmlformats.org/officeDocument/2006/relationships/hyperlink" Target="#'2-yr Sector View Electric'!A1"/><Relationship Id="rId2" Type="http://schemas.openxmlformats.org/officeDocument/2006/relationships/hyperlink" Target="#'2-yr Sector View Gas'!A1"/><Relationship Id="rId1" Type="http://schemas.openxmlformats.org/officeDocument/2006/relationships/hyperlink" Target="#'Portfolio--2017'!A1"/></Relationships>
</file>

<file path=xl/drawings/_rels/drawing98.xml.rels><?xml version="1.0" encoding="UTF-8" standalone="yes"?>
<Relationships xmlns="http://schemas.openxmlformats.org/package/2006/relationships"><Relationship Id="rId2" Type="http://schemas.openxmlformats.org/officeDocument/2006/relationships/hyperlink" Target="#'CustOnline Detail_PSWE_Elec'!A1"/><Relationship Id="rId1" Type="http://schemas.openxmlformats.org/officeDocument/2006/relationships/hyperlink" Target="#'2017 Sector View Gas'!A1"/></Relationships>
</file>

<file path=xl/drawings/_rels/drawing99.xml.rels><?xml version="1.0" encoding="UTF-8" standalone="yes"?>
<Relationships xmlns="http://schemas.openxmlformats.org/package/2006/relationships"><Relationship Id="rId2" Type="http://schemas.openxmlformats.org/officeDocument/2006/relationships/hyperlink" Target="#'Mkt Intgn Detail_PSWE_Elec'!A1"/><Relationship Id="rId1" Type="http://schemas.openxmlformats.org/officeDocument/2006/relationships/hyperlink" Target="#'2017 Sector View Gas'!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533400</xdr:colOff>
      <xdr:row>0</xdr:row>
      <xdr:rowOff>171450</xdr:rowOff>
    </xdr:from>
    <xdr:ext cx="1800045" cy="655885"/>
    <xdr:sp macro="" textlink="">
      <xdr:nvSpPr>
        <xdr:cNvPr id="6" name="TextBox 5"/>
        <xdr:cNvSpPr txBox="1"/>
      </xdr:nvSpPr>
      <xdr:spPr>
        <a:xfrm>
          <a:off x="32385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2</xdr:col>
      <xdr:colOff>0</xdr:colOff>
      <xdr:row>11</xdr:row>
      <xdr:rowOff>0</xdr:rowOff>
    </xdr:from>
    <xdr:ext cx="1028701" cy="533400"/>
    <xdr:sp macro="" textlink="">
      <xdr:nvSpPr>
        <xdr:cNvPr id="3" name="Rectangle 2">
          <a:hlinkClick xmlns:r="http://schemas.openxmlformats.org/officeDocument/2006/relationships" r:id="rId1"/>
        </xdr:cNvPr>
        <xdr:cNvSpPr/>
      </xdr:nvSpPr>
      <xdr:spPr>
        <a:xfrm>
          <a:off x="1219200" y="1781175"/>
          <a:ext cx="1028701" cy="5334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0</xdr:colOff>
      <xdr:row>15</xdr:row>
      <xdr:rowOff>142875</xdr:rowOff>
    </xdr:from>
    <xdr:ext cx="1028701" cy="533400"/>
    <xdr:sp macro="" textlink="">
      <xdr:nvSpPr>
        <xdr:cNvPr id="4" name="Rectangle 3">
          <a:hlinkClick xmlns:r="http://schemas.openxmlformats.org/officeDocument/2006/relationships" r:id="rId2"/>
        </xdr:cNvPr>
        <xdr:cNvSpPr/>
      </xdr:nvSpPr>
      <xdr:spPr>
        <a:xfrm>
          <a:off x="1219200" y="2571750"/>
          <a:ext cx="1028701" cy="533400"/>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133350</xdr:colOff>
      <xdr:row>11</xdr:row>
      <xdr:rowOff>19050</xdr:rowOff>
    </xdr:from>
    <xdr:ext cx="1028701" cy="533400"/>
    <xdr:sp macro="" textlink="">
      <xdr:nvSpPr>
        <xdr:cNvPr id="5" name="Rectangle 4">
          <a:hlinkClick xmlns:r="http://schemas.openxmlformats.org/officeDocument/2006/relationships" r:id="rId3"/>
        </xdr:cNvPr>
        <xdr:cNvSpPr/>
      </xdr:nvSpPr>
      <xdr:spPr>
        <a:xfrm>
          <a:off x="2571750" y="1800225"/>
          <a:ext cx="1028701" cy="5334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Go</a:t>
          </a:r>
          <a:r>
            <a:rPr lang="en-US" sz="1000" b="1" cap="none" spc="0" baseline="0">
              <a:ln w="10541" cmpd="sng">
                <a:solidFill>
                  <a:schemeClr val="accent1">
                    <a:shade val="88000"/>
                    <a:satMod val="110000"/>
                  </a:schemeClr>
                </a:solidFill>
                <a:prstDash val="solid"/>
              </a:ln>
              <a:solidFill>
                <a:schemeClr val="tx1"/>
              </a:solidFill>
              <a:effectLst/>
            </a:rPr>
            <a:t> to Gas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00.xml><?xml version="1.0" encoding="utf-8"?>
<xdr:wsDr xmlns:xdr="http://schemas.openxmlformats.org/drawingml/2006/spreadsheetDrawing" xmlns:a="http://schemas.openxmlformats.org/drawingml/2006/main">
  <xdr:oneCellAnchor>
    <xdr:from>
      <xdr:col>0</xdr:col>
      <xdr:colOff>38099</xdr:colOff>
      <xdr:row>0</xdr:row>
      <xdr:rowOff>19049</xdr:rowOff>
    </xdr:from>
    <xdr:ext cx="514351" cy="676275"/>
    <xdr:sp macro="" textlink="">
      <xdr:nvSpPr>
        <xdr:cNvPr id="2" name="Rectangle 1">
          <a:hlinkClick xmlns:r="http://schemas.openxmlformats.org/officeDocument/2006/relationships" r:id="rId1"/>
        </xdr:cNvPr>
        <xdr:cNvSpPr/>
      </xdr:nvSpPr>
      <xdr:spPr>
        <a:xfrm>
          <a:off x="38099" y="1904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19049</xdr:rowOff>
    </xdr:from>
    <xdr:ext cx="561976" cy="676275"/>
    <xdr:sp macro="" textlink="">
      <xdr:nvSpPr>
        <xdr:cNvPr id="3" name="Rectangle 2">
          <a:hlinkClick xmlns:r="http://schemas.openxmlformats.org/officeDocument/2006/relationships" r:id="rId2"/>
        </xdr:cNvPr>
        <xdr:cNvSpPr/>
      </xdr:nvSpPr>
      <xdr:spPr>
        <a:xfrm>
          <a:off x="619124" y="19049"/>
          <a:ext cx="561976" cy="676275"/>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0</xdr:col>
      <xdr:colOff>38100</xdr:colOff>
      <xdr:row>0</xdr:row>
      <xdr:rowOff>19050</xdr:rowOff>
    </xdr:from>
    <xdr:ext cx="485776" cy="666750"/>
    <xdr:sp macro="" textlink="">
      <xdr:nvSpPr>
        <xdr:cNvPr id="2" name="Rectangle 1">
          <a:hlinkClick xmlns:r="http://schemas.openxmlformats.org/officeDocument/2006/relationships" r:id="rId1"/>
        </xdr:cNvPr>
        <xdr:cNvSpPr/>
      </xdr:nvSpPr>
      <xdr:spPr>
        <a:xfrm>
          <a:off x="38100" y="19050"/>
          <a:ext cx="4857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9525</xdr:rowOff>
    </xdr:from>
    <xdr:ext cx="533400" cy="666750"/>
    <xdr:sp macro="" textlink="">
      <xdr:nvSpPr>
        <xdr:cNvPr id="3" name="Rectangle 2">
          <a:hlinkClick xmlns:r="http://schemas.openxmlformats.org/officeDocument/2006/relationships" r:id="rId2"/>
        </xdr:cNvPr>
        <xdr:cNvSpPr/>
      </xdr:nvSpPr>
      <xdr:spPr>
        <a:xfrm>
          <a:off x="619125" y="9525"/>
          <a:ext cx="533400" cy="6667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0</xdr:col>
      <xdr:colOff>38100</xdr:colOff>
      <xdr:row>0</xdr:row>
      <xdr:rowOff>28575</xdr:rowOff>
    </xdr:from>
    <xdr:ext cx="504826" cy="685800"/>
    <xdr:sp macro="" textlink="">
      <xdr:nvSpPr>
        <xdr:cNvPr id="2" name="Rectangle 1">
          <a:hlinkClick xmlns:r="http://schemas.openxmlformats.org/officeDocument/2006/relationships" r:id="rId1"/>
        </xdr:cNvPr>
        <xdr:cNvSpPr/>
      </xdr:nvSpPr>
      <xdr:spPr>
        <a:xfrm>
          <a:off x="38100" y="28575"/>
          <a:ext cx="504826"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19050</xdr:rowOff>
    </xdr:from>
    <xdr:ext cx="571500" cy="685800"/>
    <xdr:sp macro="" textlink="">
      <xdr:nvSpPr>
        <xdr:cNvPr id="3" name="Rectangle 2">
          <a:hlinkClick xmlns:r="http://schemas.openxmlformats.org/officeDocument/2006/relationships" r:id="rId2"/>
        </xdr:cNvPr>
        <xdr:cNvSpPr/>
      </xdr:nvSpPr>
      <xdr:spPr>
        <a:xfrm>
          <a:off x="609600" y="19050"/>
          <a:ext cx="571500"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85800"/>
    <xdr:sp macro="" textlink="">
      <xdr:nvSpPr>
        <xdr:cNvPr id="2" name="Rectangle 1">
          <a:hlinkClick xmlns:r="http://schemas.openxmlformats.org/officeDocument/2006/relationships" r:id="rId1"/>
        </xdr:cNvPr>
        <xdr:cNvSpPr/>
      </xdr:nvSpPr>
      <xdr:spPr>
        <a:xfrm>
          <a:off x="38099" y="19050"/>
          <a:ext cx="5334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61975" cy="685800"/>
    <xdr:sp macro="" textlink="">
      <xdr:nvSpPr>
        <xdr:cNvPr id="3" name="Rectangle 2">
          <a:hlinkClick xmlns:r="http://schemas.openxmlformats.org/officeDocument/2006/relationships" r:id="rId2"/>
        </xdr:cNvPr>
        <xdr:cNvSpPr/>
      </xdr:nvSpPr>
      <xdr:spPr>
        <a:xfrm>
          <a:off x="619125" y="19050"/>
          <a:ext cx="561975"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6" cy="657226"/>
    <xdr:sp macro="" textlink="">
      <xdr:nvSpPr>
        <xdr:cNvPr id="2" name="Rectangle 1">
          <a:hlinkClick xmlns:r="http://schemas.openxmlformats.org/officeDocument/2006/relationships" r:id="rId1"/>
        </xdr:cNvPr>
        <xdr:cNvSpPr/>
      </xdr:nvSpPr>
      <xdr:spPr>
        <a:xfrm>
          <a:off x="38100" y="28574"/>
          <a:ext cx="542926" cy="65722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42926" cy="657226"/>
    <xdr:sp macro="" textlink="">
      <xdr:nvSpPr>
        <xdr:cNvPr id="3" name="Rectangle 2">
          <a:hlinkClick xmlns:r="http://schemas.openxmlformats.org/officeDocument/2006/relationships" r:id="rId2"/>
        </xdr:cNvPr>
        <xdr:cNvSpPr/>
      </xdr:nvSpPr>
      <xdr:spPr>
        <a:xfrm>
          <a:off x="619125" y="28574"/>
          <a:ext cx="542926" cy="65722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28650"/>
    <xdr:sp macro="" textlink="">
      <xdr:nvSpPr>
        <xdr:cNvPr id="2" name="Rectangle 1">
          <a:hlinkClick xmlns:r="http://schemas.openxmlformats.org/officeDocument/2006/relationships" r:id="rId1"/>
        </xdr:cNvPr>
        <xdr:cNvSpPr/>
      </xdr:nvSpPr>
      <xdr:spPr>
        <a:xfrm>
          <a:off x="38099" y="28575"/>
          <a:ext cx="533401"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19050</xdr:rowOff>
    </xdr:from>
    <xdr:ext cx="533401" cy="628650"/>
    <xdr:sp macro="" textlink="">
      <xdr:nvSpPr>
        <xdr:cNvPr id="3" name="Rectangle 2">
          <a:hlinkClick xmlns:r="http://schemas.openxmlformats.org/officeDocument/2006/relationships" r:id="rId2"/>
        </xdr:cNvPr>
        <xdr:cNvSpPr/>
      </xdr:nvSpPr>
      <xdr:spPr>
        <a:xfrm>
          <a:off x="600074" y="19050"/>
          <a:ext cx="533401"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0</xdr:col>
      <xdr:colOff>47626</xdr:colOff>
      <xdr:row>0</xdr:row>
      <xdr:rowOff>28574</xdr:rowOff>
    </xdr:from>
    <xdr:ext cx="552450" cy="676276"/>
    <xdr:sp macro="" textlink="">
      <xdr:nvSpPr>
        <xdr:cNvPr id="2" name="Rectangle 1">
          <a:hlinkClick xmlns:r="http://schemas.openxmlformats.org/officeDocument/2006/relationships" r:id="rId1"/>
        </xdr:cNvPr>
        <xdr:cNvSpPr/>
      </xdr:nvSpPr>
      <xdr:spPr>
        <a:xfrm>
          <a:off x="47626" y="28574"/>
          <a:ext cx="55245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647701</xdr:colOff>
      <xdr:row>0</xdr:row>
      <xdr:rowOff>28574</xdr:rowOff>
    </xdr:from>
    <xdr:ext cx="552450" cy="676276"/>
    <xdr:sp macro="" textlink="">
      <xdr:nvSpPr>
        <xdr:cNvPr id="3" name="Rectangle 2">
          <a:hlinkClick xmlns:r="http://schemas.openxmlformats.org/officeDocument/2006/relationships" r:id="rId2"/>
        </xdr:cNvPr>
        <xdr:cNvSpPr/>
      </xdr:nvSpPr>
      <xdr:spPr>
        <a:xfrm>
          <a:off x="647701" y="28574"/>
          <a:ext cx="55245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57225"/>
    <xdr:sp macro="" textlink="">
      <xdr:nvSpPr>
        <xdr:cNvPr id="2" name="Rectangle 1">
          <a:hlinkClick xmlns:r="http://schemas.openxmlformats.org/officeDocument/2006/relationships" r:id="rId1"/>
        </xdr:cNvPr>
        <xdr:cNvSpPr/>
      </xdr:nvSpPr>
      <xdr:spPr>
        <a:xfrm>
          <a:off x="38100" y="28574"/>
          <a:ext cx="5238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19049</xdr:rowOff>
    </xdr:from>
    <xdr:ext cx="523876" cy="657225"/>
    <xdr:sp macro="" textlink="">
      <xdr:nvSpPr>
        <xdr:cNvPr id="3" name="Rectangle 2">
          <a:hlinkClick xmlns:r="http://schemas.openxmlformats.org/officeDocument/2006/relationships" r:id="rId2"/>
        </xdr:cNvPr>
        <xdr:cNvSpPr/>
      </xdr:nvSpPr>
      <xdr:spPr>
        <a:xfrm>
          <a:off x="628650" y="19049"/>
          <a:ext cx="523876"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0</xdr:col>
      <xdr:colOff>38099</xdr:colOff>
      <xdr:row>0</xdr:row>
      <xdr:rowOff>28574</xdr:rowOff>
    </xdr:from>
    <xdr:ext cx="552451" cy="628651"/>
    <xdr:sp macro="" textlink="">
      <xdr:nvSpPr>
        <xdr:cNvPr id="2" name="Rectangle 1">
          <a:hlinkClick xmlns:r="http://schemas.openxmlformats.org/officeDocument/2006/relationships" r:id="rId1"/>
        </xdr:cNvPr>
        <xdr:cNvSpPr/>
      </xdr:nvSpPr>
      <xdr:spPr>
        <a:xfrm>
          <a:off x="38099" y="28574"/>
          <a:ext cx="552451"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28651"/>
    <xdr:sp macro="" textlink="">
      <xdr:nvSpPr>
        <xdr:cNvPr id="3" name="Rectangle 2">
          <a:hlinkClick xmlns:r="http://schemas.openxmlformats.org/officeDocument/2006/relationships" r:id="rId2"/>
        </xdr:cNvPr>
        <xdr:cNvSpPr/>
      </xdr:nvSpPr>
      <xdr:spPr>
        <a:xfrm>
          <a:off x="657224" y="28574"/>
          <a:ext cx="552451" cy="6286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0</xdr:col>
      <xdr:colOff>28575</xdr:colOff>
      <xdr:row>0</xdr:row>
      <xdr:rowOff>28574</xdr:rowOff>
    </xdr:from>
    <xdr:ext cx="581025" cy="638175"/>
    <xdr:sp macro="" textlink="">
      <xdr:nvSpPr>
        <xdr:cNvPr id="2" name="Rectangle 1">
          <a:hlinkClick xmlns:r="http://schemas.openxmlformats.org/officeDocument/2006/relationships" r:id="rId1"/>
        </xdr:cNvPr>
        <xdr:cNvSpPr/>
      </xdr:nvSpPr>
      <xdr:spPr>
        <a:xfrm>
          <a:off x="28575" y="28574"/>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38099</xdr:rowOff>
    </xdr:from>
    <xdr:ext cx="581025" cy="638175"/>
    <xdr:sp macro="" textlink="">
      <xdr:nvSpPr>
        <xdr:cNvPr id="3" name="Rectangle 2">
          <a:hlinkClick xmlns:r="http://schemas.openxmlformats.org/officeDocument/2006/relationships" r:id="rId2"/>
        </xdr:cNvPr>
        <xdr:cNvSpPr/>
      </xdr:nvSpPr>
      <xdr:spPr>
        <a:xfrm>
          <a:off x="638175" y="38099"/>
          <a:ext cx="581025"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47624</xdr:colOff>
      <xdr:row>0</xdr:row>
      <xdr:rowOff>43815</xdr:rowOff>
    </xdr:from>
    <xdr:ext cx="539115" cy="590550"/>
    <xdr:sp macro="" textlink="">
      <xdr:nvSpPr>
        <xdr:cNvPr id="2" name="Rectangle 1">
          <a:hlinkClick xmlns:r="http://schemas.openxmlformats.org/officeDocument/2006/relationships" r:id="rId1"/>
        </xdr:cNvPr>
        <xdr:cNvSpPr/>
      </xdr:nvSpPr>
      <xdr:spPr>
        <a:xfrm>
          <a:off x="47624" y="43815"/>
          <a:ext cx="539115"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619125</xdr:colOff>
      <xdr:row>0</xdr:row>
      <xdr:rowOff>47625</xdr:rowOff>
    </xdr:from>
    <xdr:ext cx="495300" cy="590550"/>
    <xdr:sp macro="" textlink="">
      <xdr:nvSpPr>
        <xdr:cNvPr id="3" name="Rectangle 2">
          <a:hlinkClick xmlns:r="http://schemas.openxmlformats.org/officeDocument/2006/relationships" r:id="rId2"/>
        </xdr:cNvPr>
        <xdr:cNvSpPr/>
      </xdr:nvSpPr>
      <xdr:spPr>
        <a:xfrm>
          <a:off x="619125" y="47625"/>
          <a:ext cx="495300"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110.xml><?xml version="1.0" encoding="utf-8"?>
<xdr:wsDr xmlns:xdr="http://schemas.openxmlformats.org/drawingml/2006/spreadsheetDrawing" xmlns:a="http://schemas.openxmlformats.org/drawingml/2006/main">
  <xdr:oneCellAnchor>
    <xdr:from>
      <xdr:col>0</xdr:col>
      <xdr:colOff>38098</xdr:colOff>
      <xdr:row>0</xdr:row>
      <xdr:rowOff>38100</xdr:rowOff>
    </xdr:from>
    <xdr:ext cx="548641" cy="666750"/>
    <xdr:sp macro="" textlink="">
      <xdr:nvSpPr>
        <xdr:cNvPr id="2" name="Rectangle 1">
          <a:hlinkClick xmlns:r="http://schemas.openxmlformats.org/officeDocument/2006/relationships" r:id="rId1"/>
        </xdr:cNvPr>
        <xdr:cNvSpPr/>
      </xdr:nvSpPr>
      <xdr:spPr>
        <a:xfrm>
          <a:off x="38098" y="38100"/>
          <a:ext cx="54864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38100</xdr:rowOff>
    </xdr:from>
    <xdr:ext cx="561976" cy="666750"/>
    <xdr:sp macro="" textlink="">
      <xdr:nvSpPr>
        <xdr:cNvPr id="3" name="Rectangle 2">
          <a:hlinkClick xmlns:r="http://schemas.openxmlformats.org/officeDocument/2006/relationships" r:id="rId2"/>
        </xdr:cNvPr>
        <xdr:cNvSpPr/>
      </xdr:nvSpPr>
      <xdr:spPr>
        <a:xfrm>
          <a:off x="647699" y="38100"/>
          <a:ext cx="56197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1.xml><?xml version="1.0" encoding="utf-8"?>
<xdr:wsDr xmlns:xdr="http://schemas.openxmlformats.org/drawingml/2006/spreadsheetDrawing" xmlns:a="http://schemas.openxmlformats.org/drawingml/2006/main">
  <xdr:oneCellAnchor>
    <xdr:from>
      <xdr:col>0</xdr:col>
      <xdr:colOff>38099</xdr:colOff>
      <xdr:row>0</xdr:row>
      <xdr:rowOff>38100</xdr:rowOff>
    </xdr:from>
    <xdr:ext cx="1000126" cy="514350"/>
    <xdr:sp macro="" textlink="">
      <xdr:nvSpPr>
        <xdr:cNvPr id="2" name="Rectangle 1">
          <a:hlinkClick xmlns:r="http://schemas.openxmlformats.org/officeDocument/2006/relationships" r:id="rId1"/>
        </xdr:cNvPr>
        <xdr:cNvSpPr/>
      </xdr:nvSpPr>
      <xdr:spPr>
        <a:xfrm>
          <a:off x="38099" y="38100"/>
          <a:ext cx="10001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0</xdr:col>
      <xdr:colOff>38100</xdr:colOff>
      <xdr:row>0</xdr:row>
      <xdr:rowOff>38100</xdr:rowOff>
    </xdr:from>
    <xdr:ext cx="523876" cy="647700"/>
    <xdr:sp macro="" textlink="">
      <xdr:nvSpPr>
        <xdr:cNvPr id="2" name="Rectangle 1">
          <a:hlinkClick xmlns:r="http://schemas.openxmlformats.org/officeDocument/2006/relationships" r:id="rId1"/>
        </xdr:cNvPr>
        <xdr:cNvSpPr/>
      </xdr:nvSpPr>
      <xdr:spPr>
        <a:xfrm>
          <a:off x="38100" y="38100"/>
          <a:ext cx="523876"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47700"/>
    <xdr:sp macro="" textlink="">
      <xdr:nvSpPr>
        <xdr:cNvPr id="3" name="Rectangle 2">
          <a:hlinkClick xmlns:r="http://schemas.openxmlformats.org/officeDocument/2006/relationships" r:id="rId2"/>
        </xdr:cNvPr>
        <xdr:cNvSpPr/>
      </xdr:nvSpPr>
      <xdr:spPr>
        <a:xfrm>
          <a:off x="619125" y="38100"/>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0</xdr:col>
      <xdr:colOff>57149</xdr:colOff>
      <xdr:row>0</xdr:row>
      <xdr:rowOff>9525</xdr:rowOff>
    </xdr:from>
    <xdr:ext cx="542926" cy="628650"/>
    <xdr:sp macro="" textlink="">
      <xdr:nvSpPr>
        <xdr:cNvPr id="2" name="Rectangle 1">
          <a:hlinkClick xmlns:r="http://schemas.openxmlformats.org/officeDocument/2006/relationships" r:id="rId1"/>
        </xdr:cNvPr>
        <xdr:cNvSpPr/>
      </xdr:nvSpPr>
      <xdr:spPr>
        <a:xfrm>
          <a:off x="57149" y="9525"/>
          <a:ext cx="542926" cy="6286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42926" cy="628650"/>
    <xdr:sp macro="" textlink="">
      <xdr:nvSpPr>
        <xdr:cNvPr id="3" name="Rectangle 2">
          <a:hlinkClick xmlns:r="http://schemas.openxmlformats.org/officeDocument/2006/relationships" r:id="rId2"/>
        </xdr:cNvPr>
        <xdr:cNvSpPr/>
      </xdr:nvSpPr>
      <xdr:spPr>
        <a:xfrm>
          <a:off x="657224" y="19050"/>
          <a:ext cx="542926" cy="6286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0</xdr:col>
      <xdr:colOff>38099</xdr:colOff>
      <xdr:row>0</xdr:row>
      <xdr:rowOff>47624</xdr:rowOff>
    </xdr:from>
    <xdr:ext cx="533401" cy="647701"/>
    <xdr:sp macro="" textlink="">
      <xdr:nvSpPr>
        <xdr:cNvPr id="2" name="Rectangle 1">
          <a:hlinkClick xmlns:r="http://schemas.openxmlformats.org/officeDocument/2006/relationships" r:id="rId1"/>
        </xdr:cNvPr>
        <xdr:cNvSpPr/>
      </xdr:nvSpPr>
      <xdr:spPr>
        <a:xfrm>
          <a:off x="38099" y="4762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47624</xdr:rowOff>
    </xdr:from>
    <xdr:ext cx="533401" cy="647701"/>
    <xdr:sp macro="" textlink="">
      <xdr:nvSpPr>
        <xdr:cNvPr id="3" name="Rectangle 2">
          <a:hlinkClick xmlns:r="http://schemas.openxmlformats.org/officeDocument/2006/relationships" r:id="rId2"/>
        </xdr:cNvPr>
        <xdr:cNvSpPr/>
      </xdr:nvSpPr>
      <xdr:spPr>
        <a:xfrm>
          <a:off x="638174" y="47624"/>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0</xdr:col>
      <xdr:colOff>38099</xdr:colOff>
      <xdr:row>0</xdr:row>
      <xdr:rowOff>28575</xdr:rowOff>
    </xdr:from>
    <xdr:ext cx="523876" cy="647700"/>
    <xdr:sp macro="" textlink="">
      <xdr:nvSpPr>
        <xdr:cNvPr id="2" name="Rectangle 1">
          <a:hlinkClick xmlns:r="http://schemas.openxmlformats.org/officeDocument/2006/relationships" r:id="rId1"/>
        </xdr:cNvPr>
        <xdr:cNvSpPr/>
      </xdr:nvSpPr>
      <xdr:spPr>
        <a:xfrm>
          <a:off x="38099" y="28575"/>
          <a:ext cx="523876"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28575</xdr:rowOff>
    </xdr:from>
    <xdr:ext cx="523876" cy="647700"/>
    <xdr:sp macro="" textlink="">
      <xdr:nvSpPr>
        <xdr:cNvPr id="3" name="Rectangle 2">
          <a:hlinkClick xmlns:r="http://schemas.openxmlformats.org/officeDocument/2006/relationships" r:id="rId2"/>
        </xdr:cNvPr>
        <xdr:cNvSpPr/>
      </xdr:nvSpPr>
      <xdr:spPr>
        <a:xfrm>
          <a:off x="638174" y="28575"/>
          <a:ext cx="523876"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0</xdr:col>
      <xdr:colOff>28575</xdr:colOff>
      <xdr:row>0</xdr:row>
      <xdr:rowOff>28574</xdr:rowOff>
    </xdr:from>
    <xdr:ext cx="533400" cy="676276"/>
    <xdr:sp macro="" textlink="">
      <xdr:nvSpPr>
        <xdr:cNvPr id="2" name="Rectangle 1">
          <a:hlinkClick xmlns:r="http://schemas.openxmlformats.org/officeDocument/2006/relationships" r:id="rId1"/>
        </xdr:cNvPr>
        <xdr:cNvSpPr/>
      </xdr:nvSpPr>
      <xdr:spPr>
        <a:xfrm>
          <a:off x="28575" y="28574"/>
          <a:ext cx="533400" cy="6762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33400" cy="676276"/>
    <xdr:sp macro="" textlink="">
      <xdr:nvSpPr>
        <xdr:cNvPr id="3" name="Rectangle 2">
          <a:hlinkClick xmlns:r="http://schemas.openxmlformats.org/officeDocument/2006/relationships" r:id="rId2"/>
        </xdr:cNvPr>
        <xdr:cNvSpPr/>
      </xdr:nvSpPr>
      <xdr:spPr>
        <a:xfrm>
          <a:off x="638175" y="28575"/>
          <a:ext cx="533400" cy="6762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66751"/>
    <xdr:sp macro="" textlink="">
      <xdr:nvSpPr>
        <xdr:cNvPr id="2" name="Rectangle 1">
          <a:hlinkClick xmlns:r="http://schemas.openxmlformats.org/officeDocument/2006/relationships" r:id="rId1"/>
        </xdr:cNvPr>
        <xdr:cNvSpPr/>
      </xdr:nvSpPr>
      <xdr:spPr>
        <a:xfrm>
          <a:off x="28574" y="28574"/>
          <a:ext cx="552451"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52451" cy="666751"/>
    <xdr:sp macro="" textlink="">
      <xdr:nvSpPr>
        <xdr:cNvPr id="3" name="Rectangle 2">
          <a:hlinkClick xmlns:r="http://schemas.openxmlformats.org/officeDocument/2006/relationships" r:id="rId2"/>
        </xdr:cNvPr>
        <xdr:cNvSpPr/>
      </xdr:nvSpPr>
      <xdr:spPr>
        <a:xfrm>
          <a:off x="638175" y="28575"/>
          <a:ext cx="552451" cy="66675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0</xdr:row>
      <xdr:rowOff>36195</xdr:rowOff>
    </xdr:from>
    <xdr:ext cx="542925" cy="647700"/>
    <xdr:sp macro="" textlink="">
      <xdr:nvSpPr>
        <xdr:cNvPr id="2" name="Rectangle 1">
          <a:hlinkClick xmlns:r="http://schemas.openxmlformats.org/officeDocument/2006/relationships" r:id="rId1"/>
        </xdr:cNvPr>
        <xdr:cNvSpPr/>
      </xdr:nvSpPr>
      <xdr:spPr>
        <a:xfrm>
          <a:off x="38100" y="36195"/>
          <a:ext cx="542925"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a:t>
          </a:r>
          <a:r>
            <a:rPr lang="en-US" sz="9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47625</xdr:rowOff>
    </xdr:from>
    <xdr:ext cx="542925" cy="647700"/>
    <xdr:sp macro="" textlink="">
      <xdr:nvSpPr>
        <xdr:cNvPr id="4" name="Rectangle 3">
          <a:hlinkClick xmlns:r="http://schemas.openxmlformats.org/officeDocument/2006/relationships" r:id="rId2"/>
        </xdr:cNvPr>
        <xdr:cNvSpPr/>
      </xdr:nvSpPr>
      <xdr:spPr>
        <a:xfrm>
          <a:off x="628650" y="47625"/>
          <a:ext cx="542925"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120.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21.xml><?xml version="1.0" encoding="utf-8"?>
<xdr:wsDr xmlns:xdr="http://schemas.openxmlformats.org/drawingml/2006/spreadsheetDrawing" xmlns:a="http://schemas.openxmlformats.org/drawingml/2006/main">
  <xdr:oneCellAnchor>
    <xdr:from>
      <xdr:col>0</xdr:col>
      <xdr:colOff>47624</xdr:colOff>
      <xdr:row>0</xdr:row>
      <xdr:rowOff>38100</xdr:rowOff>
    </xdr:from>
    <xdr:ext cx="962026" cy="533400"/>
    <xdr:sp macro="" textlink="">
      <xdr:nvSpPr>
        <xdr:cNvPr id="2" name="Rectangle 1">
          <a:hlinkClick xmlns:r="http://schemas.openxmlformats.org/officeDocument/2006/relationships" r:id="rId1"/>
        </xdr:cNvPr>
        <xdr:cNvSpPr/>
      </xdr:nvSpPr>
      <xdr:spPr>
        <a:xfrm>
          <a:off x="47624" y="38100"/>
          <a:ext cx="962026" cy="5334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Return</a:t>
          </a:r>
          <a:r>
            <a:rPr lang="en-US" sz="1000" b="1" cap="none" spc="0" baseline="0">
              <a:ln w="10541" cmpd="sng">
                <a:solidFill>
                  <a:schemeClr val="accent1">
                    <a:shade val="88000"/>
                    <a:satMod val="110000"/>
                  </a:schemeClr>
                </a:solidFill>
                <a:prstDash val="solid"/>
              </a:ln>
              <a:solidFill>
                <a:schemeClr val="tx1"/>
              </a:solidFill>
              <a:effectLst/>
            </a:rPr>
            <a:t> to Electric Sector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38101</xdr:colOff>
      <xdr:row>0</xdr:row>
      <xdr:rowOff>28575</xdr:rowOff>
    </xdr:from>
    <xdr:ext cx="533399" cy="590550"/>
    <xdr:sp macro="" textlink="">
      <xdr:nvSpPr>
        <xdr:cNvPr id="2" name="Rectangle 1">
          <a:hlinkClick xmlns:r="http://schemas.openxmlformats.org/officeDocument/2006/relationships" r:id="rId1"/>
        </xdr:cNvPr>
        <xdr:cNvSpPr/>
      </xdr:nvSpPr>
      <xdr:spPr>
        <a:xfrm>
          <a:off x="38101" y="28575"/>
          <a:ext cx="533399"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657226</xdr:colOff>
      <xdr:row>0</xdr:row>
      <xdr:rowOff>38100</xdr:rowOff>
    </xdr:from>
    <xdr:ext cx="495299" cy="590550"/>
    <xdr:sp macro="" textlink="">
      <xdr:nvSpPr>
        <xdr:cNvPr id="3" name="Rectangle 2">
          <a:hlinkClick xmlns:r="http://schemas.openxmlformats.org/officeDocument/2006/relationships" r:id="rId2"/>
        </xdr:cNvPr>
        <xdr:cNvSpPr/>
      </xdr:nvSpPr>
      <xdr:spPr>
        <a:xfrm>
          <a:off x="657226" y="38100"/>
          <a:ext cx="495299" cy="5905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0</xdr:col>
      <xdr:colOff>38100</xdr:colOff>
      <xdr:row>0</xdr:row>
      <xdr:rowOff>38099</xdr:rowOff>
    </xdr:from>
    <xdr:ext cx="561975" cy="628651"/>
    <xdr:sp macro="" textlink="">
      <xdr:nvSpPr>
        <xdr:cNvPr id="2" name="Rectangle 1">
          <a:hlinkClick xmlns:r="http://schemas.openxmlformats.org/officeDocument/2006/relationships" r:id="rId1"/>
        </xdr:cNvPr>
        <xdr:cNvSpPr/>
      </xdr:nvSpPr>
      <xdr:spPr>
        <a:xfrm>
          <a:off x="38100" y="38099"/>
          <a:ext cx="561975" cy="6286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61975" cy="628651"/>
    <xdr:sp macro="" textlink="">
      <xdr:nvSpPr>
        <xdr:cNvPr id="3" name="Rectangle 2">
          <a:hlinkClick xmlns:r="http://schemas.openxmlformats.org/officeDocument/2006/relationships" r:id="rId2"/>
        </xdr:cNvPr>
        <xdr:cNvSpPr/>
      </xdr:nvSpPr>
      <xdr:spPr>
        <a:xfrm>
          <a:off x="638175" y="47624"/>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38100</xdr:colOff>
      <xdr:row>0</xdr:row>
      <xdr:rowOff>47625</xdr:rowOff>
    </xdr:from>
    <xdr:ext cx="541020" cy="609600"/>
    <xdr:sp macro="" textlink="">
      <xdr:nvSpPr>
        <xdr:cNvPr id="2" name="Rectangle 1">
          <a:hlinkClick xmlns:r="http://schemas.openxmlformats.org/officeDocument/2006/relationships" r:id="rId1"/>
        </xdr:cNvPr>
        <xdr:cNvSpPr/>
      </xdr:nvSpPr>
      <xdr:spPr>
        <a:xfrm>
          <a:off x="38100" y="47625"/>
          <a:ext cx="541020"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561975" cy="628651"/>
    <xdr:sp macro="" textlink="">
      <xdr:nvSpPr>
        <xdr:cNvPr id="3" name="Rectangle 2">
          <a:hlinkClick xmlns:r="http://schemas.openxmlformats.org/officeDocument/2006/relationships" r:id="rId2"/>
        </xdr:cNvPr>
        <xdr:cNvSpPr/>
      </xdr:nvSpPr>
      <xdr:spPr>
        <a:xfrm>
          <a:off x="638175" y="47625"/>
          <a:ext cx="561975" cy="6286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0</xdr:row>
      <xdr:rowOff>28574</xdr:rowOff>
    </xdr:from>
    <xdr:ext cx="561976" cy="657225"/>
    <xdr:sp macro="" textlink="">
      <xdr:nvSpPr>
        <xdr:cNvPr id="2" name="Rectangle 1">
          <a:hlinkClick xmlns:r="http://schemas.openxmlformats.org/officeDocument/2006/relationships" r:id="rId1"/>
        </xdr:cNvPr>
        <xdr:cNvSpPr/>
      </xdr:nvSpPr>
      <xdr:spPr>
        <a:xfrm>
          <a:off x="38100" y="28574"/>
          <a:ext cx="56197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676275</xdr:colOff>
      <xdr:row>0</xdr:row>
      <xdr:rowOff>28575</xdr:rowOff>
    </xdr:from>
    <xdr:ext cx="561976" cy="657225"/>
    <xdr:sp macro="" textlink="">
      <xdr:nvSpPr>
        <xdr:cNvPr id="3" name="Rectangle 2">
          <a:hlinkClick xmlns:r="http://schemas.openxmlformats.org/officeDocument/2006/relationships" r:id="rId2"/>
        </xdr:cNvPr>
        <xdr:cNvSpPr/>
      </xdr:nvSpPr>
      <xdr:spPr>
        <a:xfrm>
          <a:off x="676275" y="28575"/>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533400" cy="561974"/>
    <xdr:sp macro="" textlink="">
      <xdr:nvSpPr>
        <xdr:cNvPr id="2" name="Rectangle 1">
          <a:hlinkClick xmlns:r="http://schemas.openxmlformats.org/officeDocument/2006/relationships" r:id="rId1"/>
        </xdr:cNvPr>
        <xdr:cNvSpPr/>
      </xdr:nvSpPr>
      <xdr:spPr>
        <a:xfrm>
          <a:off x="0" y="0"/>
          <a:ext cx="533400" cy="56197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609600</xdr:colOff>
      <xdr:row>0</xdr:row>
      <xdr:rowOff>19050</xdr:rowOff>
    </xdr:from>
    <xdr:ext cx="533400" cy="561974"/>
    <xdr:sp macro="" textlink="">
      <xdr:nvSpPr>
        <xdr:cNvPr id="3" name="Rectangle 2">
          <a:hlinkClick xmlns:r="http://schemas.openxmlformats.org/officeDocument/2006/relationships" r:id="rId2"/>
        </xdr:cNvPr>
        <xdr:cNvSpPr/>
      </xdr:nvSpPr>
      <xdr:spPr>
        <a:xfrm>
          <a:off x="609600" y="19050"/>
          <a:ext cx="533400" cy="56197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a:t>
          </a:r>
          <a:r>
            <a:rPr lang="en-US" sz="900" b="0" cap="none" spc="0" baseline="0">
              <a:ln w="10541" cmpd="sng">
                <a:solidFill>
                  <a:schemeClr val="accent1">
                    <a:shade val="88000"/>
                    <a:satMod val="110000"/>
                  </a:schemeClr>
                </a:solidFill>
                <a:prstDash val="solid"/>
              </a:ln>
              <a:solidFill>
                <a:schemeClr val="tx1"/>
              </a:solidFill>
              <a:effectLst/>
            </a:rPr>
            <a:t> to Gas Detail Page</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28575</xdr:colOff>
      <xdr:row>0</xdr:row>
      <xdr:rowOff>28575</xdr:rowOff>
    </xdr:from>
    <xdr:ext cx="971550" cy="514350"/>
    <xdr:sp macro="" textlink="">
      <xdr:nvSpPr>
        <xdr:cNvPr id="2" name="Rectangle 1">
          <a:hlinkClick xmlns:r="http://schemas.openxmlformats.org/officeDocument/2006/relationships" r:id="rId1"/>
        </xdr:cNvPr>
        <xdr:cNvSpPr/>
      </xdr:nvSpPr>
      <xdr:spPr>
        <a:xfrm>
          <a:off x="28575" y="28575"/>
          <a:ext cx="971550"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19050</xdr:colOff>
      <xdr:row>0</xdr:row>
      <xdr:rowOff>19049</xdr:rowOff>
    </xdr:from>
    <xdr:ext cx="544830" cy="590551"/>
    <xdr:sp macro="" textlink="">
      <xdr:nvSpPr>
        <xdr:cNvPr id="2" name="Rectangle 1">
          <a:hlinkClick xmlns:r="http://schemas.openxmlformats.org/officeDocument/2006/relationships" r:id="rId1"/>
        </xdr:cNvPr>
        <xdr:cNvSpPr/>
      </xdr:nvSpPr>
      <xdr:spPr>
        <a:xfrm>
          <a:off x="19050" y="19049"/>
          <a:ext cx="544830" cy="5905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590550</xdr:colOff>
      <xdr:row>0</xdr:row>
      <xdr:rowOff>28574</xdr:rowOff>
    </xdr:from>
    <xdr:ext cx="495300" cy="590551"/>
    <xdr:sp macro="" textlink="">
      <xdr:nvSpPr>
        <xdr:cNvPr id="3" name="Rectangle 2">
          <a:hlinkClick xmlns:r="http://schemas.openxmlformats.org/officeDocument/2006/relationships" r:id="rId2"/>
        </xdr:cNvPr>
        <xdr:cNvSpPr/>
      </xdr:nvSpPr>
      <xdr:spPr>
        <a:xfrm>
          <a:off x="590550" y="28574"/>
          <a:ext cx="495300" cy="5905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15</xdr:col>
      <xdr:colOff>314325</xdr:colOff>
      <xdr:row>1</xdr:row>
      <xdr:rowOff>76201</xdr:rowOff>
    </xdr:from>
    <xdr:to>
      <xdr:col>17</xdr:col>
      <xdr:colOff>133350</xdr:colOff>
      <xdr:row>5</xdr:row>
      <xdr:rowOff>0</xdr:rowOff>
    </xdr:to>
    <xdr:sp macro="" textlink="">
      <xdr:nvSpPr>
        <xdr:cNvPr id="2" name="Rectangle 1">
          <a:hlinkClick xmlns:r="http://schemas.openxmlformats.org/officeDocument/2006/relationships" r:id="rId1"/>
        </xdr:cNvPr>
        <xdr:cNvSpPr/>
      </xdr:nvSpPr>
      <xdr:spPr>
        <a:xfrm>
          <a:off x="9458325" y="238126"/>
          <a:ext cx="1038225" cy="5715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Budget Category Descriptions</a:t>
          </a:r>
        </a:p>
      </xdr:txBody>
    </xdr:sp>
    <xdr:clientData/>
  </xdr:twoCellAnchor>
  <xdr:twoCellAnchor>
    <xdr:from>
      <xdr:col>15</xdr:col>
      <xdr:colOff>333375</xdr:colOff>
      <xdr:row>6</xdr:row>
      <xdr:rowOff>57149</xdr:rowOff>
    </xdr:from>
    <xdr:to>
      <xdr:col>17</xdr:col>
      <xdr:colOff>152400</xdr:colOff>
      <xdr:row>9</xdr:row>
      <xdr:rowOff>57150</xdr:rowOff>
    </xdr:to>
    <xdr:sp macro="" textlink="">
      <xdr:nvSpPr>
        <xdr:cNvPr id="3" name="Rectangle 2">
          <a:hlinkClick xmlns:r="http://schemas.openxmlformats.org/officeDocument/2006/relationships" r:id="rId2"/>
        </xdr:cNvPr>
        <xdr:cNvSpPr/>
      </xdr:nvSpPr>
      <xdr:spPr>
        <a:xfrm>
          <a:off x="9277350" y="1028699"/>
          <a:ext cx="1038225" cy="485776"/>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900">
              <a:solidFill>
                <a:schemeClr val="tx1"/>
              </a:solidFill>
            </a:rPr>
            <a:t>Go to </a:t>
          </a:r>
          <a:r>
            <a:rPr lang="en-US" sz="900" baseline="0">
              <a:solidFill>
                <a:schemeClr val="tx1"/>
              </a:solidFill>
            </a:rPr>
            <a:t>Portfolio Page</a:t>
          </a:r>
          <a:endParaRPr lang="en-US" sz="9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xdr:oneCellAnchor>
    <xdr:from>
      <xdr:col>0</xdr:col>
      <xdr:colOff>28574</xdr:colOff>
      <xdr:row>0</xdr:row>
      <xdr:rowOff>0</xdr:rowOff>
    </xdr:from>
    <xdr:ext cx="962025" cy="514350"/>
    <xdr:sp macro="" textlink="">
      <xdr:nvSpPr>
        <xdr:cNvPr id="2" name="Rectangle 1">
          <a:hlinkClick xmlns:r="http://schemas.openxmlformats.org/officeDocument/2006/relationships" r:id="rId1"/>
        </xdr:cNvPr>
        <xdr:cNvSpPr/>
      </xdr:nvSpPr>
      <xdr:spPr>
        <a:xfrm>
          <a:off x="28574" y="0"/>
          <a:ext cx="962025"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47624</xdr:colOff>
      <xdr:row>0</xdr:row>
      <xdr:rowOff>0</xdr:rowOff>
    </xdr:from>
    <xdr:ext cx="539116" cy="628650"/>
    <xdr:sp macro="" textlink="">
      <xdr:nvSpPr>
        <xdr:cNvPr id="2" name="Rectangle 1">
          <a:hlinkClick xmlns:r="http://schemas.openxmlformats.org/officeDocument/2006/relationships" r:id="rId1"/>
        </xdr:cNvPr>
        <xdr:cNvSpPr/>
      </xdr:nvSpPr>
      <xdr:spPr>
        <a:xfrm>
          <a:off x="47624" y="0"/>
          <a:ext cx="53911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9525</xdr:rowOff>
    </xdr:from>
    <xdr:ext cx="485776" cy="628650"/>
    <xdr:sp macro="" textlink="">
      <xdr:nvSpPr>
        <xdr:cNvPr id="3" name="Rectangle 2">
          <a:hlinkClick xmlns:r="http://schemas.openxmlformats.org/officeDocument/2006/relationships" r:id="rId2"/>
        </xdr:cNvPr>
        <xdr:cNvSpPr/>
      </xdr:nvSpPr>
      <xdr:spPr>
        <a:xfrm>
          <a:off x="628650" y="9525"/>
          <a:ext cx="4857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19050</xdr:colOff>
      <xdr:row>0</xdr:row>
      <xdr:rowOff>19049</xdr:rowOff>
    </xdr:from>
    <xdr:ext cx="544830" cy="571501"/>
    <xdr:sp macro="" textlink="">
      <xdr:nvSpPr>
        <xdr:cNvPr id="2" name="Rectangle 1">
          <a:hlinkClick xmlns:r="http://schemas.openxmlformats.org/officeDocument/2006/relationships" r:id="rId1"/>
        </xdr:cNvPr>
        <xdr:cNvSpPr/>
      </xdr:nvSpPr>
      <xdr:spPr>
        <a:xfrm>
          <a:off x="19050" y="19049"/>
          <a:ext cx="544830" cy="5715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28574</xdr:rowOff>
    </xdr:from>
    <xdr:ext cx="485776" cy="571501"/>
    <xdr:sp macro="" textlink="">
      <xdr:nvSpPr>
        <xdr:cNvPr id="3" name="Rectangle 2">
          <a:hlinkClick xmlns:r="http://schemas.openxmlformats.org/officeDocument/2006/relationships" r:id="rId2"/>
        </xdr:cNvPr>
        <xdr:cNvSpPr/>
      </xdr:nvSpPr>
      <xdr:spPr>
        <a:xfrm>
          <a:off x="609600" y="28574"/>
          <a:ext cx="485776" cy="57150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0</xdr:col>
      <xdr:colOff>38099</xdr:colOff>
      <xdr:row>0</xdr:row>
      <xdr:rowOff>28575</xdr:rowOff>
    </xdr:from>
    <xdr:ext cx="533401" cy="609600"/>
    <xdr:sp macro="" textlink="">
      <xdr:nvSpPr>
        <xdr:cNvPr id="2" name="Rectangle 1">
          <a:hlinkClick xmlns:r="http://schemas.openxmlformats.org/officeDocument/2006/relationships" r:id="rId1"/>
        </xdr:cNvPr>
        <xdr:cNvSpPr/>
      </xdr:nvSpPr>
      <xdr:spPr>
        <a:xfrm>
          <a:off x="38099" y="28575"/>
          <a:ext cx="533401"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495301" cy="609600"/>
    <xdr:sp macro="" textlink="">
      <xdr:nvSpPr>
        <xdr:cNvPr id="3" name="Rectangle 2">
          <a:hlinkClick xmlns:r="http://schemas.openxmlformats.org/officeDocument/2006/relationships" r:id="rId2"/>
        </xdr:cNvPr>
        <xdr:cNvSpPr/>
      </xdr:nvSpPr>
      <xdr:spPr>
        <a:xfrm>
          <a:off x="619124" y="38100"/>
          <a:ext cx="495301"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0</xdr:col>
      <xdr:colOff>38100</xdr:colOff>
      <xdr:row>0</xdr:row>
      <xdr:rowOff>19049</xdr:rowOff>
    </xdr:from>
    <xdr:ext cx="990600" cy="504825"/>
    <xdr:sp macro="" textlink="">
      <xdr:nvSpPr>
        <xdr:cNvPr id="2" name="Rectangle 1">
          <a:hlinkClick xmlns:r="http://schemas.openxmlformats.org/officeDocument/2006/relationships" r:id="rId1"/>
        </xdr:cNvPr>
        <xdr:cNvSpPr/>
      </xdr:nvSpPr>
      <xdr:spPr>
        <a:xfrm>
          <a:off x="38100" y="19049"/>
          <a:ext cx="990600"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0</xdr:col>
      <xdr:colOff>38100</xdr:colOff>
      <xdr:row>0</xdr:row>
      <xdr:rowOff>38099</xdr:rowOff>
    </xdr:from>
    <xdr:ext cx="533400" cy="581025"/>
    <xdr:sp macro="" textlink="">
      <xdr:nvSpPr>
        <xdr:cNvPr id="2" name="Rectangle 1">
          <a:hlinkClick xmlns:r="http://schemas.openxmlformats.org/officeDocument/2006/relationships" r:id="rId1"/>
        </xdr:cNvPr>
        <xdr:cNvSpPr/>
      </xdr:nvSpPr>
      <xdr:spPr>
        <a:xfrm>
          <a:off x="38100" y="38099"/>
          <a:ext cx="533400"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38099</xdr:rowOff>
    </xdr:from>
    <xdr:ext cx="485776" cy="581025"/>
    <xdr:sp macro="" textlink="">
      <xdr:nvSpPr>
        <xdr:cNvPr id="3" name="Rectangle 2">
          <a:hlinkClick xmlns:r="http://schemas.openxmlformats.org/officeDocument/2006/relationships" r:id="rId2"/>
        </xdr:cNvPr>
        <xdr:cNvSpPr/>
      </xdr:nvSpPr>
      <xdr:spPr>
        <a:xfrm>
          <a:off x="600075" y="38099"/>
          <a:ext cx="485776" cy="5810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0</xdr:col>
      <xdr:colOff>28574</xdr:colOff>
      <xdr:row>0</xdr:row>
      <xdr:rowOff>19050</xdr:rowOff>
    </xdr:from>
    <xdr:ext cx="533401" cy="619125"/>
    <xdr:sp macro="" textlink="">
      <xdr:nvSpPr>
        <xdr:cNvPr id="2" name="Rectangle 1">
          <a:hlinkClick xmlns:r="http://schemas.openxmlformats.org/officeDocument/2006/relationships" r:id="rId1"/>
        </xdr:cNvPr>
        <xdr:cNvSpPr/>
      </xdr:nvSpPr>
      <xdr:spPr>
        <a:xfrm>
          <a:off x="28574" y="19050"/>
          <a:ext cx="53340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33401" cy="619125"/>
    <xdr:sp macro="" textlink="">
      <xdr:nvSpPr>
        <xdr:cNvPr id="3" name="Rectangle 2">
          <a:hlinkClick xmlns:r="http://schemas.openxmlformats.org/officeDocument/2006/relationships" r:id="rId2"/>
        </xdr:cNvPr>
        <xdr:cNvSpPr/>
      </xdr:nvSpPr>
      <xdr:spPr>
        <a:xfrm>
          <a:off x="628649" y="28575"/>
          <a:ext cx="53340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590550"/>
    <xdr:sp macro="" textlink="">
      <xdr:nvSpPr>
        <xdr:cNvPr id="2" name="Rectangle 1">
          <a:hlinkClick xmlns:r="http://schemas.openxmlformats.org/officeDocument/2006/relationships" r:id="rId1"/>
        </xdr:cNvPr>
        <xdr:cNvSpPr/>
      </xdr:nvSpPr>
      <xdr:spPr>
        <a:xfrm>
          <a:off x="28574" y="28575"/>
          <a:ext cx="514351"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47625</xdr:rowOff>
    </xdr:from>
    <xdr:ext cx="523876" cy="590550"/>
    <xdr:sp macro="" textlink="">
      <xdr:nvSpPr>
        <xdr:cNvPr id="4" name="Rectangle 3">
          <a:hlinkClick xmlns:r="http://schemas.openxmlformats.org/officeDocument/2006/relationships" r:id="rId2"/>
        </xdr:cNvPr>
        <xdr:cNvSpPr/>
      </xdr:nvSpPr>
      <xdr:spPr>
        <a:xfrm>
          <a:off x="600074" y="47625"/>
          <a:ext cx="52387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2</xdr:col>
      <xdr:colOff>85725</xdr:colOff>
      <xdr:row>7</xdr:row>
      <xdr:rowOff>0</xdr:rowOff>
    </xdr:from>
    <xdr:ext cx="1200150" cy="400050"/>
    <xdr:sp macro="" textlink="">
      <xdr:nvSpPr>
        <xdr:cNvPr id="3" name="Rectangle 2">
          <a:hlinkClick xmlns:r="http://schemas.openxmlformats.org/officeDocument/2006/relationships" r:id="rId1"/>
        </xdr:cNvPr>
        <xdr:cNvSpPr/>
      </xdr:nvSpPr>
      <xdr:spPr>
        <a:xfrm>
          <a:off x="1304925" y="1133475"/>
          <a:ext cx="1200150" cy="4000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2</xdr:col>
      <xdr:colOff>47626</xdr:colOff>
      <xdr:row>11</xdr:row>
      <xdr:rowOff>28575</xdr:rowOff>
    </xdr:from>
    <xdr:ext cx="1314450" cy="423323"/>
    <xdr:sp macro="" textlink="">
      <xdr:nvSpPr>
        <xdr:cNvPr id="5" name="Rectangle 4">
          <a:hlinkClick xmlns:r="http://schemas.openxmlformats.org/officeDocument/2006/relationships" r:id="rId2"/>
        </xdr:cNvPr>
        <xdr:cNvSpPr/>
      </xdr:nvSpPr>
      <xdr:spPr>
        <a:xfrm>
          <a:off x="1266826" y="1809750"/>
          <a:ext cx="1314450"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4</xdr:col>
      <xdr:colOff>361950</xdr:colOff>
      <xdr:row>7</xdr:row>
      <xdr:rowOff>28575</xdr:rowOff>
    </xdr:from>
    <xdr:ext cx="1314450" cy="400050"/>
    <xdr:sp macro="" textlink="">
      <xdr:nvSpPr>
        <xdr:cNvPr id="4" name="Rectangle 3">
          <a:hlinkClick xmlns:r="http://schemas.openxmlformats.org/officeDocument/2006/relationships" r:id="rId3"/>
        </xdr:cNvPr>
        <xdr:cNvSpPr/>
      </xdr:nvSpPr>
      <xdr:spPr>
        <a:xfrm>
          <a:off x="2800350" y="1162050"/>
          <a:ext cx="1314450" cy="4000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0</xdr:col>
      <xdr:colOff>38100</xdr:colOff>
      <xdr:row>0</xdr:row>
      <xdr:rowOff>28574</xdr:rowOff>
    </xdr:from>
    <xdr:ext cx="1047750" cy="523875"/>
    <xdr:sp macro="" textlink="">
      <xdr:nvSpPr>
        <xdr:cNvPr id="2" name="Rectangle 1">
          <a:hlinkClick xmlns:r="http://schemas.openxmlformats.org/officeDocument/2006/relationships" r:id="rId1"/>
        </xdr:cNvPr>
        <xdr:cNvSpPr/>
      </xdr:nvSpPr>
      <xdr:spPr>
        <a:xfrm>
          <a:off x="38100" y="28574"/>
          <a:ext cx="1047750"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2</xdr:col>
      <xdr:colOff>2943225</xdr:colOff>
      <xdr:row>0</xdr:row>
      <xdr:rowOff>85725</xdr:rowOff>
    </xdr:from>
    <xdr:to>
      <xdr:col>2</xdr:col>
      <xdr:colOff>4714875</xdr:colOff>
      <xdr:row>1</xdr:row>
      <xdr:rowOff>180975</xdr:rowOff>
    </xdr:to>
    <xdr:sp macro="" textlink="">
      <xdr:nvSpPr>
        <xdr:cNvPr id="2" name="Rectangle 1">
          <a:hlinkClick xmlns:r="http://schemas.openxmlformats.org/officeDocument/2006/relationships" r:id="rId1"/>
        </xdr:cNvPr>
        <xdr:cNvSpPr/>
      </xdr:nvSpPr>
      <xdr:spPr>
        <a:xfrm>
          <a:off x="4505325" y="85725"/>
          <a:ext cx="1771650" cy="32385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Portfolio View</a:t>
          </a:r>
        </a:p>
      </xdr:txBody>
    </xdr:sp>
    <xdr:clientData/>
  </xdr:twoCellAnchor>
  <xdr:twoCellAnchor>
    <xdr:from>
      <xdr:col>3</xdr:col>
      <xdr:colOff>144780</xdr:colOff>
      <xdr:row>6</xdr:row>
      <xdr:rowOff>45720</xdr:rowOff>
    </xdr:from>
    <xdr:to>
      <xdr:col>3</xdr:col>
      <xdr:colOff>434340</xdr:colOff>
      <xdr:row>8</xdr:row>
      <xdr:rowOff>7620</xdr:rowOff>
    </xdr:to>
    <xdr:sp macro="" textlink="">
      <xdr:nvSpPr>
        <xdr:cNvPr id="3" name="Right Brace 2"/>
        <xdr:cNvSpPr/>
      </xdr:nvSpPr>
      <xdr:spPr>
        <a:xfrm>
          <a:off x="8572500" y="3901440"/>
          <a:ext cx="289560" cy="146304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3</xdr:col>
      <xdr:colOff>563880</xdr:colOff>
      <xdr:row>6</xdr:row>
      <xdr:rowOff>38100</xdr:rowOff>
    </xdr:from>
    <xdr:ext cx="2697480" cy="1531620"/>
    <xdr:sp macro="" textlink="">
      <xdr:nvSpPr>
        <xdr:cNvPr id="4" name="TextBox 3"/>
        <xdr:cNvSpPr txBox="1"/>
      </xdr:nvSpPr>
      <xdr:spPr>
        <a:xfrm>
          <a:off x="8991600" y="3893820"/>
          <a:ext cx="2697480" cy="1531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u="sng"/>
            <a:t>Overhead</a:t>
          </a:r>
          <a:r>
            <a:rPr lang="en-US" sz="1100"/>
            <a:t> and </a:t>
          </a:r>
          <a:r>
            <a:rPr lang="en-US" sz="1100" u="sng"/>
            <a:t>Micro-overhead</a:t>
          </a:r>
          <a:r>
            <a:rPr lang="en-US" sz="1100" baseline="0"/>
            <a:t> are </a:t>
          </a:r>
        </a:p>
        <a:p>
          <a:r>
            <a:rPr lang="en-US" sz="1100" baseline="0"/>
            <a:t>computed separately in each</a:t>
          </a:r>
        </a:p>
        <a:p>
          <a:r>
            <a:rPr lang="en-US" sz="1100" baseline="0"/>
            <a:t>program's Exhibit 1 budget detail table, </a:t>
          </a:r>
        </a:p>
        <a:p>
          <a:r>
            <a:rPr lang="en-US" sz="1100" baseline="0"/>
            <a:t>then added together in the summary</a:t>
          </a:r>
        </a:p>
        <a:p>
          <a:r>
            <a:rPr lang="en-US" sz="1100" baseline="0"/>
            <a:t>table at the top of each page (the horizontal</a:t>
          </a:r>
        </a:p>
        <a:p>
          <a:r>
            <a:rPr lang="en-US" sz="1100" baseline="0"/>
            <a:t>table, used to populate the Sector View </a:t>
          </a:r>
        </a:p>
        <a:p>
          <a:r>
            <a:rPr lang="en-US" sz="1100" baseline="0"/>
            <a:t>tabs). This simplifies the budget category </a:t>
          </a:r>
        </a:p>
        <a:p>
          <a:r>
            <a:rPr lang="en-US" sz="1100" baseline="0"/>
            <a:t>presentations.</a:t>
          </a:r>
        </a:p>
        <a:p>
          <a:endParaRPr lang="en-US" sz="1100"/>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47624</xdr:colOff>
      <xdr:row>0</xdr:row>
      <xdr:rowOff>28575</xdr:rowOff>
    </xdr:from>
    <xdr:ext cx="981076" cy="495300"/>
    <xdr:sp macro="" textlink="">
      <xdr:nvSpPr>
        <xdr:cNvPr id="2" name="Rectangle 1">
          <a:hlinkClick xmlns:r="http://schemas.openxmlformats.org/officeDocument/2006/relationships" r:id="rId1"/>
        </xdr:cNvPr>
        <xdr:cNvSpPr/>
      </xdr:nvSpPr>
      <xdr:spPr>
        <a:xfrm>
          <a:off x="47624" y="28575"/>
          <a:ext cx="981076" cy="4953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0</xdr:col>
      <xdr:colOff>38100</xdr:colOff>
      <xdr:row>0</xdr:row>
      <xdr:rowOff>19050</xdr:rowOff>
    </xdr:from>
    <xdr:ext cx="581025" cy="628649"/>
    <xdr:sp macro="" textlink="">
      <xdr:nvSpPr>
        <xdr:cNvPr id="2" name="Rectangle 1">
          <a:hlinkClick xmlns:r="http://schemas.openxmlformats.org/officeDocument/2006/relationships" r:id="rId1"/>
        </xdr:cNvPr>
        <xdr:cNvSpPr/>
      </xdr:nvSpPr>
      <xdr:spPr>
        <a:xfrm>
          <a:off x="38100" y="19050"/>
          <a:ext cx="581025" cy="62864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28575</xdr:rowOff>
    </xdr:from>
    <xdr:ext cx="581025" cy="628649"/>
    <xdr:sp macro="" textlink="">
      <xdr:nvSpPr>
        <xdr:cNvPr id="3" name="Rectangle 2">
          <a:hlinkClick xmlns:r="http://schemas.openxmlformats.org/officeDocument/2006/relationships" r:id="rId2"/>
        </xdr:cNvPr>
        <xdr:cNvSpPr/>
      </xdr:nvSpPr>
      <xdr:spPr>
        <a:xfrm>
          <a:off x="657225" y="28575"/>
          <a:ext cx="581025" cy="628649"/>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0</xdr:col>
      <xdr:colOff>38100</xdr:colOff>
      <xdr:row>0</xdr:row>
      <xdr:rowOff>28574</xdr:rowOff>
    </xdr:from>
    <xdr:ext cx="523876" cy="609601"/>
    <xdr:sp macro="" textlink="">
      <xdr:nvSpPr>
        <xdr:cNvPr id="2" name="Rectangle 1">
          <a:hlinkClick xmlns:r="http://schemas.openxmlformats.org/officeDocument/2006/relationships" r:id="rId1"/>
        </xdr:cNvPr>
        <xdr:cNvSpPr/>
      </xdr:nvSpPr>
      <xdr:spPr>
        <a:xfrm>
          <a:off x="38100" y="28574"/>
          <a:ext cx="523876" cy="6096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628650</xdr:colOff>
      <xdr:row>0</xdr:row>
      <xdr:rowOff>28574</xdr:rowOff>
    </xdr:from>
    <xdr:ext cx="523876" cy="609601"/>
    <xdr:sp macro="" textlink="">
      <xdr:nvSpPr>
        <xdr:cNvPr id="3" name="Rectangle 2">
          <a:hlinkClick xmlns:r="http://schemas.openxmlformats.org/officeDocument/2006/relationships" r:id="rId2"/>
        </xdr:cNvPr>
        <xdr:cNvSpPr/>
      </xdr:nvSpPr>
      <xdr:spPr>
        <a:xfrm>
          <a:off x="628650" y="28574"/>
          <a:ext cx="523876" cy="60960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0</xdr:col>
      <xdr:colOff>47624</xdr:colOff>
      <xdr:row>0</xdr:row>
      <xdr:rowOff>28574</xdr:rowOff>
    </xdr:from>
    <xdr:ext cx="533401" cy="581025"/>
    <xdr:sp macro="" textlink="">
      <xdr:nvSpPr>
        <xdr:cNvPr id="2" name="Rectangle 1">
          <a:hlinkClick xmlns:r="http://schemas.openxmlformats.org/officeDocument/2006/relationships" r:id="rId1"/>
        </xdr:cNvPr>
        <xdr:cNvSpPr/>
      </xdr:nvSpPr>
      <xdr:spPr>
        <a:xfrm>
          <a:off x="47624" y="28574"/>
          <a:ext cx="533401" cy="5810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581025"/>
    <xdr:sp macro="" textlink="">
      <xdr:nvSpPr>
        <xdr:cNvPr id="3" name="Rectangle 2">
          <a:hlinkClick xmlns:r="http://schemas.openxmlformats.org/officeDocument/2006/relationships" r:id="rId2"/>
        </xdr:cNvPr>
        <xdr:cNvSpPr/>
      </xdr:nvSpPr>
      <xdr:spPr>
        <a:xfrm>
          <a:off x="638174" y="38099"/>
          <a:ext cx="533401" cy="5810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0</xdr:col>
      <xdr:colOff>38099</xdr:colOff>
      <xdr:row>0</xdr:row>
      <xdr:rowOff>38099</xdr:rowOff>
    </xdr:from>
    <xdr:ext cx="514351" cy="619125"/>
    <xdr:sp macro="" textlink="">
      <xdr:nvSpPr>
        <xdr:cNvPr id="2" name="Rectangle 1">
          <a:hlinkClick xmlns:r="http://schemas.openxmlformats.org/officeDocument/2006/relationships" r:id="rId1"/>
        </xdr:cNvPr>
        <xdr:cNvSpPr/>
      </xdr:nvSpPr>
      <xdr:spPr>
        <a:xfrm>
          <a:off x="38099" y="38099"/>
          <a:ext cx="514351"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38099</xdr:rowOff>
    </xdr:from>
    <xdr:ext cx="552451" cy="619125"/>
    <xdr:sp macro="" textlink="">
      <xdr:nvSpPr>
        <xdr:cNvPr id="3" name="Rectangle 2">
          <a:hlinkClick xmlns:r="http://schemas.openxmlformats.org/officeDocument/2006/relationships" r:id="rId2"/>
        </xdr:cNvPr>
        <xdr:cNvSpPr/>
      </xdr:nvSpPr>
      <xdr:spPr>
        <a:xfrm>
          <a:off x="628649" y="38099"/>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0</xdr:col>
      <xdr:colOff>38099</xdr:colOff>
      <xdr:row>0</xdr:row>
      <xdr:rowOff>38100</xdr:rowOff>
    </xdr:from>
    <xdr:ext cx="1019175" cy="504825"/>
    <xdr:sp macro="" textlink="">
      <xdr:nvSpPr>
        <xdr:cNvPr id="2" name="Rectangle 1">
          <a:hlinkClick xmlns:r="http://schemas.openxmlformats.org/officeDocument/2006/relationships" r:id="rId1"/>
        </xdr:cNvPr>
        <xdr:cNvSpPr/>
      </xdr:nvSpPr>
      <xdr:spPr>
        <a:xfrm>
          <a:off x="38099" y="38100"/>
          <a:ext cx="1019175" cy="5048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0</xdr:col>
      <xdr:colOff>28575</xdr:colOff>
      <xdr:row>0</xdr:row>
      <xdr:rowOff>19050</xdr:rowOff>
    </xdr:from>
    <xdr:ext cx="533400" cy="666750"/>
    <xdr:sp macro="" textlink="">
      <xdr:nvSpPr>
        <xdr:cNvPr id="2" name="Rectangle 1">
          <a:hlinkClick xmlns:r="http://schemas.openxmlformats.org/officeDocument/2006/relationships" r:id="rId1"/>
        </xdr:cNvPr>
        <xdr:cNvSpPr/>
      </xdr:nvSpPr>
      <xdr:spPr>
        <a:xfrm>
          <a:off x="28575" y="19050"/>
          <a:ext cx="533400"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19050</xdr:rowOff>
    </xdr:from>
    <xdr:ext cx="533400" cy="666750"/>
    <xdr:sp macro="" textlink="">
      <xdr:nvSpPr>
        <xdr:cNvPr id="3" name="Rectangle 2">
          <a:hlinkClick xmlns:r="http://schemas.openxmlformats.org/officeDocument/2006/relationships" r:id="rId2"/>
        </xdr:cNvPr>
        <xdr:cNvSpPr/>
      </xdr:nvSpPr>
      <xdr:spPr>
        <a:xfrm>
          <a:off x="619125" y="19050"/>
          <a:ext cx="533400"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542925" cy="657224"/>
    <xdr:sp macro="" textlink="">
      <xdr:nvSpPr>
        <xdr:cNvPr id="2" name="Rectangle 1">
          <a:hlinkClick xmlns:r="http://schemas.openxmlformats.org/officeDocument/2006/relationships" r:id="rId1"/>
        </xdr:cNvPr>
        <xdr:cNvSpPr/>
      </xdr:nvSpPr>
      <xdr:spPr>
        <a:xfrm>
          <a:off x="0" y="0"/>
          <a:ext cx="542925" cy="65722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600075</xdr:colOff>
      <xdr:row>0</xdr:row>
      <xdr:rowOff>19050</xdr:rowOff>
    </xdr:from>
    <xdr:ext cx="542925" cy="657224"/>
    <xdr:sp macro="" textlink="">
      <xdr:nvSpPr>
        <xdr:cNvPr id="3" name="Rectangle 2">
          <a:hlinkClick xmlns:r="http://schemas.openxmlformats.org/officeDocument/2006/relationships" r:id="rId2"/>
        </xdr:cNvPr>
        <xdr:cNvSpPr/>
      </xdr:nvSpPr>
      <xdr:spPr>
        <a:xfrm>
          <a:off x="600075" y="19050"/>
          <a:ext cx="54292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8</xdr:col>
      <xdr:colOff>923925</xdr:colOff>
      <xdr:row>13</xdr:row>
      <xdr:rowOff>152400</xdr:rowOff>
    </xdr:from>
    <xdr:ext cx="914400" cy="609013"/>
    <mc:AlternateContent xmlns:mc="http://schemas.openxmlformats.org/markup-compatibility/2006" xmlns:a14="http://schemas.microsoft.com/office/drawing/2010/main">
      <mc:Choice Requires="a14">
        <xdr:sp macro="" textlink="">
          <xdr:nvSpPr>
            <xdr:cNvPr id="4" name="TextBox 3"/>
            <xdr:cNvSpPr txBox="1"/>
          </xdr:nvSpPr>
          <xdr:spPr>
            <a:xfrm>
              <a:off x="12077700" y="3314700"/>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pPr/>
              <a14:m>
                <m:oMathPara xmlns:m="http://schemas.openxmlformats.org/officeDocument/2006/math">
                  <m:oMathParaPr>
                    <m:jc m:val="centerGroup"/>
                  </m:oMathParaPr>
                  <m:oMath xmlns:m="http://schemas.openxmlformats.org/officeDocument/2006/math">
                    <a:fld id="{E1EE9997-DE2A-4BAA-85A0-9888F089646D}" type="mathplaceholder">
                      <a:rPr lang="en-US" sz="1100" i="1">
                        <a:latin typeface="Cambria Math"/>
                      </a:rPr>
                      <a:t>Type equation here.</a:t>
                    </a:fld>
                  </m:oMath>
                </m:oMathPara>
              </a14:m>
              <a:endParaRPr lang="en-US" sz="1100"/>
            </a:p>
          </xdr:txBody>
        </xdr:sp>
      </mc:Choice>
      <mc:Fallback xmlns="">
        <xdr:sp macro="" textlink="">
          <xdr:nvSpPr>
            <xdr:cNvPr id="4" name="TextBox 3"/>
            <xdr:cNvSpPr txBox="1"/>
          </xdr:nvSpPr>
          <xdr:spPr>
            <a:xfrm>
              <a:off x="12077700" y="3314700"/>
              <a:ext cx="914400"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rtlCol="0" anchor="t">
              <a:spAutoFit/>
            </a:bodyPr>
            <a:lstStyle/>
            <a:p>
              <a:r>
                <a:rPr lang="en-US" sz="1100" i="0">
                  <a:latin typeface="Cambria Math"/>
                </a:rPr>
                <a:t>"Type equation here."</a:t>
              </a:r>
              <a:endParaRPr lang="en-US" sz="1100"/>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19125"/>
    <xdr:sp macro="" textlink="">
      <xdr:nvSpPr>
        <xdr:cNvPr id="2" name="Rectangle 1">
          <a:hlinkClick xmlns:r="http://schemas.openxmlformats.org/officeDocument/2006/relationships" r:id="rId1"/>
        </xdr:cNvPr>
        <xdr:cNvSpPr/>
      </xdr:nvSpPr>
      <xdr:spPr>
        <a:xfrm>
          <a:off x="28574" y="28574"/>
          <a:ext cx="542926" cy="6191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81026" cy="619125"/>
    <xdr:sp macro="" textlink="">
      <xdr:nvSpPr>
        <xdr:cNvPr id="3" name="Rectangle 2">
          <a:hlinkClick xmlns:r="http://schemas.openxmlformats.org/officeDocument/2006/relationships" r:id="rId2"/>
        </xdr:cNvPr>
        <xdr:cNvSpPr/>
      </xdr:nvSpPr>
      <xdr:spPr>
        <a:xfrm>
          <a:off x="638174" y="38099"/>
          <a:ext cx="581026"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76275"/>
    <xdr:sp macro="" textlink="">
      <xdr:nvSpPr>
        <xdr:cNvPr id="2" name="Rectangle 1">
          <a:hlinkClick xmlns:r="http://schemas.openxmlformats.org/officeDocument/2006/relationships" r:id="rId1"/>
        </xdr:cNvPr>
        <xdr:cNvSpPr/>
      </xdr:nvSpPr>
      <xdr:spPr>
        <a:xfrm>
          <a:off x="28574" y="28574"/>
          <a:ext cx="53340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61976" cy="676275"/>
    <xdr:sp macro="" textlink="">
      <xdr:nvSpPr>
        <xdr:cNvPr id="3" name="Rectangle 2">
          <a:hlinkClick xmlns:r="http://schemas.openxmlformats.org/officeDocument/2006/relationships" r:id="rId2"/>
        </xdr:cNvPr>
        <xdr:cNvSpPr/>
      </xdr:nvSpPr>
      <xdr:spPr>
        <a:xfrm>
          <a:off x="609599" y="28574"/>
          <a:ext cx="56197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1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0</xdr:colOff>
      <xdr:row>39</xdr:row>
      <xdr:rowOff>9523</xdr:rowOff>
    </xdr:from>
    <xdr:ext cx="6953249" cy="2632983"/>
    <xdr:sp macro="" textlink="">
      <xdr:nvSpPr>
        <xdr:cNvPr id="2" name="TextBox 1"/>
        <xdr:cNvSpPr txBox="1"/>
      </xdr:nvSpPr>
      <xdr:spPr>
        <a:xfrm>
          <a:off x="1393371" y="5343523"/>
          <a:ext cx="6953249" cy="26329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US" sz="1100"/>
            <a:t>Discussion:</a:t>
          </a:r>
        </a:p>
        <a:p>
          <a:endParaRPr lang="en-US" sz="1100"/>
        </a:p>
      </xdr:txBody>
    </xdr:sp>
    <xdr:clientData/>
  </xdr:oneCellAnchor>
  <xdr:twoCellAnchor>
    <xdr:from>
      <xdr:col>0</xdr:col>
      <xdr:colOff>171450</xdr:colOff>
      <xdr:row>0</xdr:row>
      <xdr:rowOff>76200</xdr:rowOff>
    </xdr:from>
    <xdr:to>
      <xdr:col>1</xdr:col>
      <xdr:colOff>571500</xdr:colOff>
      <xdr:row>3</xdr:row>
      <xdr:rowOff>76200</xdr:rowOff>
    </xdr:to>
    <xdr:sp macro="" textlink="">
      <xdr:nvSpPr>
        <xdr:cNvPr id="3" name="Rectangle 2">
          <a:hlinkClick xmlns:r="http://schemas.openxmlformats.org/officeDocument/2006/relationships" r:id="rId1"/>
        </xdr:cNvPr>
        <xdr:cNvSpPr/>
      </xdr:nvSpPr>
      <xdr:spPr>
        <a:xfrm>
          <a:off x="171450" y="76200"/>
          <a:ext cx="1009650" cy="4857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 Portfolio View</a:t>
          </a:r>
        </a:p>
      </xdr:txBody>
    </xdr:sp>
    <xdr:clientData/>
  </xdr:twoCellAnchor>
</xdr:wsDr>
</file>

<file path=xl/drawings/drawing40.xml><?xml version="1.0" encoding="utf-8"?>
<xdr:wsDr xmlns:xdr="http://schemas.openxmlformats.org/drawingml/2006/spreadsheetDrawing" xmlns:a="http://schemas.openxmlformats.org/drawingml/2006/main">
  <xdr:oneCellAnchor>
    <xdr:from>
      <xdr:col>0</xdr:col>
      <xdr:colOff>28575</xdr:colOff>
      <xdr:row>0</xdr:row>
      <xdr:rowOff>38100</xdr:rowOff>
    </xdr:from>
    <xdr:ext cx="514350" cy="657225"/>
    <xdr:sp macro="" textlink="">
      <xdr:nvSpPr>
        <xdr:cNvPr id="2" name="Rectangle 1">
          <a:hlinkClick xmlns:r="http://schemas.openxmlformats.org/officeDocument/2006/relationships" r:id="rId1"/>
        </xdr:cNvPr>
        <xdr:cNvSpPr/>
      </xdr:nvSpPr>
      <xdr:spPr>
        <a:xfrm>
          <a:off x="28575" y="38100"/>
          <a:ext cx="514350" cy="6572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90550" cy="657225"/>
    <xdr:sp macro="" textlink="">
      <xdr:nvSpPr>
        <xdr:cNvPr id="4" name="Rectangle 3">
          <a:hlinkClick xmlns:r="http://schemas.openxmlformats.org/officeDocument/2006/relationships" r:id="rId2"/>
        </xdr:cNvPr>
        <xdr:cNvSpPr/>
      </xdr:nvSpPr>
      <xdr:spPr>
        <a:xfrm>
          <a:off x="609600" y="28575"/>
          <a:ext cx="59055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0</xdr:col>
      <xdr:colOff>28574</xdr:colOff>
      <xdr:row>0</xdr:row>
      <xdr:rowOff>28575</xdr:rowOff>
    </xdr:from>
    <xdr:ext cx="514351" cy="609600"/>
    <xdr:sp macro="" textlink="">
      <xdr:nvSpPr>
        <xdr:cNvPr id="2" name="Rectangle 1">
          <a:hlinkClick xmlns:r="http://schemas.openxmlformats.org/officeDocument/2006/relationships" r:id="rId1"/>
        </xdr:cNvPr>
        <xdr:cNvSpPr/>
      </xdr:nvSpPr>
      <xdr:spPr>
        <a:xfrm>
          <a:off x="28574" y="28575"/>
          <a:ext cx="514351" cy="6096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38100</xdr:rowOff>
    </xdr:from>
    <xdr:ext cx="542926" cy="609600"/>
    <xdr:sp macro="" textlink="">
      <xdr:nvSpPr>
        <xdr:cNvPr id="3" name="Rectangle 2">
          <a:hlinkClick xmlns:r="http://schemas.openxmlformats.org/officeDocument/2006/relationships" r:id="rId2"/>
        </xdr:cNvPr>
        <xdr:cNvSpPr/>
      </xdr:nvSpPr>
      <xdr:spPr>
        <a:xfrm>
          <a:off x="600074" y="38100"/>
          <a:ext cx="542926"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0</xdr:col>
      <xdr:colOff>47624</xdr:colOff>
      <xdr:row>0</xdr:row>
      <xdr:rowOff>29114</xdr:rowOff>
    </xdr:from>
    <xdr:ext cx="542925" cy="656686"/>
    <xdr:sp macro="" textlink="">
      <xdr:nvSpPr>
        <xdr:cNvPr id="2" name="Rectangle 1">
          <a:hlinkClick xmlns:r="http://schemas.openxmlformats.org/officeDocument/2006/relationships" r:id="rId1"/>
        </xdr:cNvPr>
        <xdr:cNvSpPr/>
      </xdr:nvSpPr>
      <xdr:spPr>
        <a:xfrm>
          <a:off x="47624" y="29114"/>
          <a:ext cx="542925" cy="65668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38639</xdr:rowOff>
    </xdr:from>
    <xdr:ext cx="542925" cy="656686"/>
    <xdr:sp macro="" textlink="">
      <xdr:nvSpPr>
        <xdr:cNvPr id="8" name="Rectangle 7">
          <a:hlinkClick xmlns:r="http://schemas.openxmlformats.org/officeDocument/2006/relationships" r:id="rId2"/>
        </xdr:cNvPr>
        <xdr:cNvSpPr/>
      </xdr:nvSpPr>
      <xdr:spPr>
        <a:xfrm>
          <a:off x="638174" y="38639"/>
          <a:ext cx="542925" cy="65668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7</xdr:col>
      <xdr:colOff>38100</xdr:colOff>
      <xdr:row>32</xdr:row>
      <xdr:rowOff>38100</xdr:rowOff>
    </xdr:from>
    <xdr:to>
      <xdr:col>11</xdr:col>
      <xdr:colOff>546100</xdr:colOff>
      <xdr:row>41</xdr:row>
      <xdr:rowOff>126423</xdr:rowOff>
    </xdr:to>
    <xdr:sp macro="" textlink="">
      <xdr:nvSpPr>
        <xdr:cNvPr id="6" name="TextBox 5"/>
        <xdr:cNvSpPr txBox="1"/>
      </xdr:nvSpPr>
      <xdr:spPr>
        <a:xfrm>
          <a:off x="11658600" y="6886575"/>
          <a:ext cx="5842000" cy="1574223"/>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(credited) annually by journal entry to E250 C/I Retrofit (order #18230711) &amp; debited to E258 Self-Directed (449s</a:t>
          </a:r>
          <a:r>
            <a:rPr lang="en-US" sz="1100" baseline="0"/>
            <a:t> and non-449s</a:t>
          </a:r>
          <a:r>
            <a:rPr lang="en-US" sz="1100"/>
            <a:t>).   These </a:t>
          </a:r>
          <a:r>
            <a:rPr lang="en-US" sz="1100" baseline="0"/>
            <a:t>expenditures are represented in this table as [labor (##) + overhead (##)] values and </a:t>
          </a:r>
          <a:r>
            <a:rPr lang="en-US" sz="1100"/>
            <a:t>reconcile with Journal</a:t>
          </a:r>
          <a:r>
            <a:rPr lang="en-US" sz="1100" baseline="0"/>
            <a:t> Entry tables in </a:t>
          </a:r>
          <a:r>
            <a:rPr lang="en-US" sz="1100" b="1">
              <a:solidFill>
                <a:srgbClr val="FF0000"/>
              </a:solidFill>
            </a:rPr>
            <a:t>LPSD_Detail_449</a:t>
          </a:r>
          <a:r>
            <a:rPr lang="en-US" sz="1100" b="1" baseline="0">
              <a:solidFill>
                <a:srgbClr val="FF0000"/>
              </a:solidFill>
            </a:rPr>
            <a:t>_Elec </a:t>
          </a:r>
          <a:r>
            <a:rPr lang="en-US" sz="1100" b="0" baseline="0">
              <a:solidFill>
                <a:schemeClr val="tx1"/>
              </a:solidFill>
            </a:rPr>
            <a:t>+ </a:t>
          </a:r>
          <a:r>
            <a:rPr lang="en-US" sz="1100" b="1" baseline="0">
              <a:solidFill>
                <a:srgbClr val="FF0000"/>
              </a:solidFill>
            </a:rPr>
            <a:t>LPSD_Detail_Non-449_Elec</a:t>
          </a:r>
          <a:r>
            <a:rPr lang="en-US" sz="1100"/>
            <a:t>.  The 7.5%</a:t>
          </a:r>
          <a:r>
            <a:rPr lang="en-US" sz="1100" baseline="0"/>
            <a:t> is </a:t>
          </a:r>
          <a:r>
            <a:rPr lang="en-US" sz="1100"/>
            <a:t>represented in Schedule 250 as credits to indicate that some EMEs spend time managing projects for Sch. 258 customers.  The amount is credited to Sch 250 and debited to 258 to satisfy</a:t>
          </a:r>
          <a:r>
            <a:rPr lang="en-US" sz="1100" baseline="0"/>
            <a:t> requirements in Schedule 258, Section 4, Funding.</a:t>
          </a:r>
          <a:endParaRPr lang="en-US" sz="1100"/>
        </a:p>
        <a:p>
          <a:endParaRPr lang="en-US" sz="1100"/>
        </a:p>
      </xdr:txBody>
    </xdr:sp>
    <xdr:clientData/>
  </xdr:twoCellAnchor>
</xdr:wsDr>
</file>

<file path=xl/drawings/drawing43.xml><?xml version="1.0" encoding="utf-8"?>
<xdr:wsDr xmlns:xdr="http://schemas.openxmlformats.org/drawingml/2006/spreadsheetDrawing" xmlns:a="http://schemas.openxmlformats.org/drawingml/2006/main">
  <xdr:oneCellAnchor>
    <xdr:from>
      <xdr:col>0</xdr:col>
      <xdr:colOff>47625</xdr:colOff>
      <xdr:row>0</xdr:row>
      <xdr:rowOff>29114</xdr:rowOff>
    </xdr:from>
    <xdr:ext cx="990600" cy="523336"/>
    <xdr:sp macro="" textlink="">
      <xdr:nvSpPr>
        <xdr:cNvPr id="2" name="Rectangle 1">
          <a:hlinkClick xmlns:r="http://schemas.openxmlformats.org/officeDocument/2006/relationships" r:id="rId1"/>
        </xdr:cNvPr>
        <xdr:cNvSpPr/>
      </xdr:nvSpPr>
      <xdr:spPr>
        <a:xfrm>
          <a:off x="47625" y="29114"/>
          <a:ext cx="990600" cy="52333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0</xdr:col>
      <xdr:colOff>57148</xdr:colOff>
      <xdr:row>0</xdr:row>
      <xdr:rowOff>28574</xdr:rowOff>
    </xdr:from>
    <xdr:ext cx="523877" cy="600075"/>
    <xdr:sp macro="" textlink="">
      <xdr:nvSpPr>
        <xdr:cNvPr id="2" name="Rectangle 1">
          <a:hlinkClick xmlns:r="http://schemas.openxmlformats.org/officeDocument/2006/relationships" r:id="rId1"/>
        </xdr:cNvPr>
        <xdr:cNvSpPr/>
      </xdr:nvSpPr>
      <xdr:spPr>
        <a:xfrm>
          <a:off x="57148" y="28574"/>
          <a:ext cx="523877" cy="6000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628648</xdr:colOff>
      <xdr:row>0</xdr:row>
      <xdr:rowOff>28574</xdr:rowOff>
    </xdr:from>
    <xdr:ext cx="523877" cy="600075"/>
    <xdr:sp macro="" textlink="">
      <xdr:nvSpPr>
        <xdr:cNvPr id="7" name="Rectangle 6">
          <a:hlinkClick xmlns:r="http://schemas.openxmlformats.org/officeDocument/2006/relationships" r:id="rId2"/>
        </xdr:cNvPr>
        <xdr:cNvSpPr/>
      </xdr:nvSpPr>
      <xdr:spPr>
        <a:xfrm>
          <a:off x="628648" y="28574"/>
          <a:ext cx="523877"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0</xdr:col>
      <xdr:colOff>28574</xdr:colOff>
      <xdr:row>0</xdr:row>
      <xdr:rowOff>28574</xdr:rowOff>
    </xdr:from>
    <xdr:ext cx="533401" cy="638176"/>
    <xdr:sp macro="" textlink="">
      <xdr:nvSpPr>
        <xdr:cNvPr id="2" name="Rectangle 1">
          <a:hlinkClick xmlns:r="http://schemas.openxmlformats.org/officeDocument/2006/relationships" r:id="rId1"/>
        </xdr:cNvPr>
        <xdr:cNvSpPr/>
      </xdr:nvSpPr>
      <xdr:spPr>
        <a:xfrm>
          <a:off x="28574" y="28574"/>
          <a:ext cx="533401"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33401" cy="638176"/>
    <xdr:sp macro="" textlink="">
      <xdr:nvSpPr>
        <xdr:cNvPr id="7" name="Rectangle 6">
          <a:hlinkClick xmlns:r="http://schemas.openxmlformats.org/officeDocument/2006/relationships" r:id="rId2"/>
        </xdr:cNvPr>
        <xdr:cNvSpPr/>
      </xdr:nvSpPr>
      <xdr:spPr>
        <a:xfrm>
          <a:off x="638174" y="38099"/>
          <a:ext cx="533401" cy="63817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0</xdr:col>
      <xdr:colOff>28574</xdr:colOff>
      <xdr:row>0</xdr:row>
      <xdr:rowOff>28574</xdr:rowOff>
    </xdr:from>
    <xdr:ext cx="1019176" cy="504825"/>
    <xdr:sp macro="" textlink="">
      <xdr:nvSpPr>
        <xdr:cNvPr id="2" name="Rectangle 1">
          <a:hlinkClick xmlns:r="http://schemas.openxmlformats.org/officeDocument/2006/relationships" r:id="rId1"/>
        </xdr:cNvPr>
        <xdr:cNvSpPr/>
      </xdr:nvSpPr>
      <xdr:spPr>
        <a:xfrm>
          <a:off x="28574" y="28574"/>
          <a:ext cx="1019176" cy="5048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0</xdr:col>
      <xdr:colOff>47624</xdr:colOff>
      <xdr:row>0</xdr:row>
      <xdr:rowOff>28575</xdr:rowOff>
    </xdr:from>
    <xdr:ext cx="552451" cy="628650"/>
    <xdr:sp macro="" textlink="">
      <xdr:nvSpPr>
        <xdr:cNvPr id="2" name="Rectangle 1">
          <a:hlinkClick xmlns:r="http://schemas.openxmlformats.org/officeDocument/2006/relationships" r:id="rId1"/>
        </xdr:cNvPr>
        <xdr:cNvSpPr/>
      </xdr:nvSpPr>
      <xdr:spPr>
        <a:xfrm>
          <a:off x="47624" y="28575"/>
          <a:ext cx="55245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28650"/>
    <xdr:sp macro="" textlink="">
      <xdr:nvSpPr>
        <xdr:cNvPr id="3" name="Rectangle 2">
          <a:hlinkClick xmlns:r="http://schemas.openxmlformats.org/officeDocument/2006/relationships" r:id="rId2"/>
        </xdr:cNvPr>
        <xdr:cNvSpPr/>
      </xdr:nvSpPr>
      <xdr:spPr>
        <a:xfrm>
          <a:off x="647699" y="28575"/>
          <a:ext cx="55245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48.xml><?xml version="1.0" encoding="utf-8"?>
<xdr:wsDr xmlns:xdr="http://schemas.openxmlformats.org/drawingml/2006/spreadsheetDrawing" xmlns:a="http://schemas.openxmlformats.org/drawingml/2006/main">
  <xdr:oneCellAnchor>
    <xdr:from>
      <xdr:col>0</xdr:col>
      <xdr:colOff>28574</xdr:colOff>
      <xdr:row>0</xdr:row>
      <xdr:rowOff>28574</xdr:rowOff>
    </xdr:from>
    <xdr:ext cx="981075" cy="523876"/>
    <xdr:sp macro="" textlink="">
      <xdr:nvSpPr>
        <xdr:cNvPr id="2" name="Rectangle 1">
          <a:hlinkClick xmlns:r="http://schemas.openxmlformats.org/officeDocument/2006/relationships" r:id="rId1"/>
        </xdr:cNvPr>
        <xdr:cNvSpPr/>
      </xdr:nvSpPr>
      <xdr:spPr>
        <a:xfrm>
          <a:off x="28574" y="28574"/>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247649</xdr:colOff>
      <xdr:row>8</xdr:row>
      <xdr:rowOff>66675</xdr:rowOff>
    </xdr:from>
    <xdr:to>
      <xdr:col>7</xdr:col>
      <xdr:colOff>1066799</xdr:colOff>
      <xdr:row>20</xdr:row>
      <xdr:rowOff>95250</xdr:rowOff>
    </xdr:to>
    <xdr:sp macro="" textlink="">
      <xdr:nvSpPr>
        <xdr:cNvPr id="7" name="TextBox 6"/>
        <xdr:cNvSpPr txBox="1"/>
      </xdr:nvSpPr>
      <xdr:spPr>
        <a:xfrm>
          <a:off x="9429749" y="2581275"/>
          <a:ext cx="3457575" cy="2228850"/>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276225</xdr:colOff>
      <xdr:row>57</xdr:row>
      <xdr:rowOff>114300</xdr:rowOff>
    </xdr:from>
    <xdr:to>
      <xdr:col>9</xdr:col>
      <xdr:colOff>571501</xdr:colOff>
      <xdr:row>63</xdr:row>
      <xdr:rowOff>142875</xdr:rowOff>
    </xdr:to>
    <xdr:sp macro="" textlink="">
      <xdr:nvSpPr>
        <xdr:cNvPr id="10" name="TextBox 9"/>
        <xdr:cNvSpPr txBox="1"/>
      </xdr:nvSpPr>
      <xdr:spPr>
        <a:xfrm>
          <a:off x="9458325" y="8991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3: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twoCellAnchor>
    <xdr:from>
      <xdr:col>5</xdr:col>
      <xdr:colOff>247650</xdr:colOff>
      <xdr:row>21</xdr:row>
      <xdr:rowOff>123825</xdr:rowOff>
    </xdr:from>
    <xdr:to>
      <xdr:col>7</xdr:col>
      <xdr:colOff>1057275</xdr:colOff>
      <xdr:row>30</xdr:row>
      <xdr:rowOff>9525</xdr:rowOff>
    </xdr:to>
    <xdr:sp macro="" textlink="">
      <xdr:nvSpPr>
        <xdr:cNvPr id="5" name="TextBox 4"/>
        <xdr:cNvSpPr txBox="1"/>
      </xdr:nvSpPr>
      <xdr:spPr>
        <a:xfrm>
          <a:off x="9429750" y="5000625"/>
          <a:ext cx="3448050" cy="13430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a:t>
          </a:r>
        </a:p>
        <a:p>
          <a:r>
            <a:rPr lang="en-US" sz="1100"/>
            <a:t>Revised incentive value for 2017 is based on a reduction of forecast savings by 25% (from 23.0M kWh to 17.2M kWh) and an increase in anticipated cost per kWh (was $0.27/kWh, now $0.43/kWh) in 2017.  These revisions are based on data from projects received in 2016.  </a:t>
          </a:r>
        </a:p>
      </xdr:txBody>
    </xdr:sp>
    <xdr:clientData/>
  </xdr:twoCellAnchor>
</xdr:wsDr>
</file>

<file path=xl/drawings/drawing49.xml><?xml version="1.0" encoding="utf-8"?>
<xdr:wsDr xmlns:xdr="http://schemas.openxmlformats.org/drawingml/2006/spreadsheetDrawing" xmlns:a="http://schemas.openxmlformats.org/drawingml/2006/main">
  <xdr:oneCellAnchor>
    <xdr:from>
      <xdr:col>0</xdr:col>
      <xdr:colOff>0</xdr:colOff>
      <xdr:row>0</xdr:row>
      <xdr:rowOff>0</xdr:rowOff>
    </xdr:from>
    <xdr:ext cx="981075" cy="523876"/>
    <xdr:sp macro="" textlink="">
      <xdr:nvSpPr>
        <xdr:cNvPr id="2" name="Rectangle 1">
          <a:hlinkClick xmlns:r="http://schemas.openxmlformats.org/officeDocument/2006/relationships" r:id="rId1"/>
        </xdr:cNvPr>
        <xdr:cNvSpPr/>
      </xdr:nvSpPr>
      <xdr:spPr>
        <a:xfrm>
          <a:off x="0" y="0"/>
          <a:ext cx="981075" cy="5238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5</xdr:col>
      <xdr:colOff>190500</xdr:colOff>
      <xdr:row>7</xdr:row>
      <xdr:rowOff>142875</xdr:rowOff>
    </xdr:from>
    <xdr:to>
      <xdr:col>7</xdr:col>
      <xdr:colOff>971550</xdr:colOff>
      <xdr:row>19</xdr:row>
      <xdr:rowOff>104775</xdr:rowOff>
    </xdr:to>
    <xdr:sp macro="" textlink="">
      <xdr:nvSpPr>
        <xdr:cNvPr id="3" name="TextBox 2"/>
        <xdr:cNvSpPr txBox="1"/>
      </xdr:nvSpPr>
      <xdr:spPr>
        <a:xfrm>
          <a:off x="8915400" y="2400300"/>
          <a:ext cx="3419475" cy="22574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1:  Program expenditures equal to 7.5% of Sch 120 collections for Rate Sch 40, 46,49, 448, 449/459 customers are transferred (debited) annually by journal entry to E258 Self-Directed</a:t>
          </a:r>
          <a:r>
            <a:rPr lang="en-US" sz="1100" baseline="0"/>
            <a:t>  and credited to E250 </a:t>
          </a:r>
          <a:r>
            <a:rPr lang="en-US" sz="1100"/>
            <a:t>C/I Retrofit .   These </a:t>
          </a:r>
          <a:r>
            <a:rPr lang="en-US" sz="1100" baseline="0"/>
            <a:t>expenditures (plus the similar values noted in the "449" page)  </a:t>
          </a:r>
          <a:r>
            <a:rPr lang="en-US" sz="1100"/>
            <a:t>reconciles with the Journal Entry table in the tab </a:t>
          </a:r>
          <a:r>
            <a:rPr lang="en-US" sz="1100" b="1">
              <a:solidFill>
                <a:srgbClr val="FF0000"/>
              </a:solidFill>
            </a:rPr>
            <a:t>CI</a:t>
          </a:r>
          <a:r>
            <a:rPr lang="en-US" sz="1100" b="1" baseline="0">
              <a:solidFill>
                <a:srgbClr val="FF0000"/>
              </a:solidFill>
            </a:rPr>
            <a:t> Retr Detail_BEM Sch 250 Elec</a:t>
          </a:r>
          <a:r>
            <a:rPr lang="en-US" sz="1100"/>
            <a:t>.  </a:t>
          </a:r>
        </a:p>
        <a:p>
          <a:endParaRPr lang="en-US" sz="1100"/>
        </a:p>
        <a:p>
          <a:r>
            <a:rPr lang="en-US" sz="1100"/>
            <a:t>The 7.5%</a:t>
          </a:r>
          <a:r>
            <a:rPr lang="en-US" sz="1100" baseline="0"/>
            <a:t> is </a:t>
          </a:r>
          <a:r>
            <a:rPr lang="en-US" sz="1100"/>
            <a:t>represented in Schedule 250 as adjustments to indicate that some EMEs spend time managing projects for Sch. 258 customers; those expenses are recognized in this table.  </a:t>
          </a:r>
        </a:p>
        <a:p>
          <a:endParaRPr lang="en-US" sz="1100"/>
        </a:p>
      </xdr:txBody>
    </xdr:sp>
    <xdr:clientData/>
  </xdr:twoCellAnchor>
  <xdr:twoCellAnchor>
    <xdr:from>
      <xdr:col>5</xdr:col>
      <xdr:colOff>257175</xdr:colOff>
      <xdr:row>57</xdr:row>
      <xdr:rowOff>9525</xdr:rowOff>
    </xdr:from>
    <xdr:to>
      <xdr:col>9</xdr:col>
      <xdr:colOff>552451</xdr:colOff>
      <xdr:row>63</xdr:row>
      <xdr:rowOff>38100</xdr:rowOff>
    </xdr:to>
    <xdr:sp macro="" textlink="">
      <xdr:nvSpPr>
        <xdr:cNvPr id="4" name="TextBox 3"/>
        <xdr:cNvSpPr txBox="1"/>
      </xdr:nvSpPr>
      <xdr:spPr>
        <a:xfrm>
          <a:off x="8982075" y="9372600"/>
          <a:ext cx="5934076" cy="109537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3:  Program expenditures equal to 10.0% of Sch 120 collections for Rate Sch 40, 46,49, 448, 449/459 customers are transferred annually by journal entry to E254 Northwest</a:t>
          </a:r>
          <a:r>
            <a:rPr lang="en-US" sz="1100" baseline="0"/>
            <a:t> Energy Efficiency Alliance (NEEA) </a:t>
          </a:r>
          <a:r>
            <a:rPr lang="en-US" sz="1100"/>
            <a:t>.  This amount represent</a:t>
          </a:r>
          <a:r>
            <a:rPr lang="en-US" sz="1100" baseline="0"/>
            <a:t>s Sch 258 customers' contribution to NEEA Market Transformation activities.</a:t>
          </a:r>
          <a:r>
            <a:rPr lang="en-US" sz="1100"/>
            <a:t> These </a:t>
          </a:r>
          <a:r>
            <a:rPr lang="en-US" sz="1100" baseline="0"/>
            <a:t>expenditures </a:t>
          </a:r>
          <a:r>
            <a:rPr lang="en-US" sz="1100"/>
            <a:t>are included in cell  </a:t>
          </a:r>
          <a:r>
            <a:rPr lang="en-US" sz="1100" b="1" u="sng">
              <a:solidFill>
                <a:srgbClr val="FF0000"/>
              </a:solidFill>
            </a:rPr>
            <a:t>F-46</a:t>
          </a:r>
          <a:r>
            <a:rPr lang="en-US" sz="1100"/>
            <a:t> on tab </a:t>
          </a:r>
          <a:r>
            <a:rPr lang="en-US" sz="1100" b="1">
              <a:solidFill>
                <a:srgbClr val="FF0000"/>
              </a:solidFill>
            </a:rPr>
            <a:t>NEEA_Detail_E254</a:t>
          </a:r>
          <a:r>
            <a:rPr lang="en-US" sz="1100" b="1" baseline="0">
              <a:solidFill>
                <a:srgbClr val="FF0000"/>
              </a:solidFill>
            </a:rPr>
            <a:t> elec</a:t>
          </a:r>
          <a:r>
            <a:rPr lang="en-US" sz="1100" b="0" baseline="0">
              <a:solidFill>
                <a:schemeClr val="dk1"/>
              </a:solidFill>
            </a:rPr>
            <a:t>, and are </a:t>
          </a:r>
          <a:r>
            <a:rPr lang="en-US" sz="1100"/>
            <a:t>included in the total amount of payments</a:t>
          </a:r>
          <a:r>
            <a:rPr lang="en-US" sz="1100" baseline="0"/>
            <a:t> </a:t>
          </a:r>
          <a:r>
            <a:rPr lang="en-US" sz="1100"/>
            <a:t>PSE</a:t>
          </a:r>
          <a:r>
            <a:rPr lang="en-US" sz="1100" baseline="0"/>
            <a:t> makes to NEEA</a:t>
          </a:r>
          <a:r>
            <a:rPr lang="en-US" sz="1100"/>
            <a:t>.  </a:t>
          </a:r>
        </a:p>
      </xdr:txBody>
    </xdr:sp>
    <xdr:clientData/>
  </xdr:twoCellAnchor>
  <xdr:twoCellAnchor>
    <xdr:from>
      <xdr:col>5</xdr:col>
      <xdr:colOff>190500</xdr:colOff>
      <xdr:row>20</xdr:row>
      <xdr:rowOff>95250</xdr:rowOff>
    </xdr:from>
    <xdr:to>
      <xdr:col>7</xdr:col>
      <xdr:colOff>1000125</xdr:colOff>
      <xdr:row>28</xdr:row>
      <xdr:rowOff>114300</xdr:rowOff>
    </xdr:to>
    <xdr:sp macro="" textlink="">
      <xdr:nvSpPr>
        <xdr:cNvPr id="6" name="TextBox 5"/>
        <xdr:cNvSpPr txBox="1"/>
      </xdr:nvSpPr>
      <xdr:spPr>
        <a:xfrm>
          <a:off x="8915400" y="4810125"/>
          <a:ext cx="3448050" cy="1343025"/>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2:</a:t>
          </a:r>
        </a:p>
        <a:p>
          <a:r>
            <a:rPr lang="en-US" sz="1100"/>
            <a:t>Revised incentive value based on reduction of forecast savings by 50% (from 8.4M kWh to 4.2M kWh) and an increase in anticipated cost per kWh (was $0.27/kWh, now $0.50/kWh) in 2017.  These revisions are based on data from projects received in 2016.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47626</xdr:rowOff>
    </xdr:from>
    <xdr:to>
      <xdr:col>0</xdr:col>
      <xdr:colOff>981075</xdr:colOff>
      <xdr:row>0</xdr:row>
      <xdr:rowOff>485775</xdr:rowOff>
    </xdr:to>
    <xdr:sp macro="" textlink="">
      <xdr:nvSpPr>
        <xdr:cNvPr id="3" name="Rectangle 2">
          <a:hlinkClick xmlns:r="http://schemas.openxmlformats.org/officeDocument/2006/relationships" r:id="rId1"/>
        </xdr:cNvPr>
        <xdr:cNvSpPr/>
      </xdr:nvSpPr>
      <xdr:spPr>
        <a:xfrm>
          <a:off x="57150" y="47626"/>
          <a:ext cx="923925" cy="438149"/>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100">
              <a:solidFill>
                <a:schemeClr val="tx1"/>
              </a:solidFill>
            </a:rPr>
            <a:t>Go to</a:t>
          </a:r>
          <a:r>
            <a:rPr lang="en-US" sz="1100" baseline="0">
              <a:solidFill>
                <a:schemeClr val="tx1"/>
              </a:solidFill>
            </a:rPr>
            <a:t> </a:t>
          </a:r>
          <a:r>
            <a:rPr lang="en-US" sz="1100">
              <a:solidFill>
                <a:schemeClr val="tx1"/>
              </a:solidFill>
            </a:rPr>
            <a:t>Portfolio View</a:t>
          </a:r>
        </a:p>
      </xdr:txBody>
    </xdr:sp>
    <xdr:clientData/>
  </xdr:twoCellAnchor>
</xdr:wsDr>
</file>

<file path=xl/drawings/drawing50.xml><?xml version="1.0" encoding="utf-8"?>
<xdr:wsDr xmlns:xdr="http://schemas.openxmlformats.org/drawingml/2006/spreadsheetDrawing" xmlns:a="http://schemas.openxmlformats.org/drawingml/2006/main">
  <xdr:oneCellAnchor>
    <xdr:from>
      <xdr:col>0</xdr:col>
      <xdr:colOff>38099</xdr:colOff>
      <xdr:row>0</xdr:row>
      <xdr:rowOff>38099</xdr:rowOff>
    </xdr:from>
    <xdr:ext cx="581025" cy="638175"/>
    <xdr:sp macro="" textlink="">
      <xdr:nvSpPr>
        <xdr:cNvPr id="2" name="Rectangle 1">
          <a:hlinkClick xmlns:r="http://schemas.openxmlformats.org/officeDocument/2006/relationships" r:id="rId1"/>
        </xdr:cNvPr>
        <xdr:cNvSpPr/>
      </xdr:nvSpPr>
      <xdr:spPr>
        <a:xfrm>
          <a:off x="38099" y="38099"/>
          <a:ext cx="581025" cy="6381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47624</xdr:rowOff>
    </xdr:from>
    <xdr:ext cx="581025" cy="638175"/>
    <xdr:sp macro="" textlink="">
      <xdr:nvSpPr>
        <xdr:cNvPr id="3" name="Rectangle 2">
          <a:hlinkClick xmlns:r="http://schemas.openxmlformats.org/officeDocument/2006/relationships" r:id="rId2"/>
        </xdr:cNvPr>
        <xdr:cNvSpPr/>
      </xdr:nvSpPr>
      <xdr:spPr>
        <a:xfrm>
          <a:off x="657224" y="47624"/>
          <a:ext cx="581025" cy="6381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0</xdr:col>
      <xdr:colOff>28574</xdr:colOff>
      <xdr:row>0</xdr:row>
      <xdr:rowOff>28574</xdr:rowOff>
    </xdr:from>
    <xdr:ext cx="542926" cy="676275"/>
    <xdr:sp macro="" textlink="">
      <xdr:nvSpPr>
        <xdr:cNvPr id="2" name="Rectangle 1">
          <a:hlinkClick xmlns:r="http://schemas.openxmlformats.org/officeDocument/2006/relationships" r:id="rId1"/>
        </xdr:cNvPr>
        <xdr:cNvSpPr/>
      </xdr:nvSpPr>
      <xdr:spPr>
        <a:xfrm>
          <a:off x="28574" y="28574"/>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28574</xdr:rowOff>
    </xdr:from>
    <xdr:ext cx="542926" cy="676275"/>
    <xdr:sp macro="" textlink="">
      <xdr:nvSpPr>
        <xdr:cNvPr id="3" name="Rectangle 2">
          <a:hlinkClick xmlns:r="http://schemas.openxmlformats.org/officeDocument/2006/relationships" r:id="rId2"/>
        </xdr:cNvPr>
        <xdr:cNvSpPr/>
      </xdr:nvSpPr>
      <xdr:spPr>
        <a:xfrm>
          <a:off x="647699" y="28574"/>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0</xdr:col>
      <xdr:colOff>28574</xdr:colOff>
      <xdr:row>0</xdr:row>
      <xdr:rowOff>28575</xdr:rowOff>
    </xdr:from>
    <xdr:ext cx="523876" cy="666750"/>
    <xdr:sp macro="" textlink="">
      <xdr:nvSpPr>
        <xdr:cNvPr id="2" name="Rectangle 1">
          <a:hlinkClick xmlns:r="http://schemas.openxmlformats.org/officeDocument/2006/relationships" r:id="rId1"/>
        </xdr:cNvPr>
        <xdr:cNvSpPr/>
      </xdr:nvSpPr>
      <xdr:spPr>
        <a:xfrm>
          <a:off x="28574" y="28575"/>
          <a:ext cx="52387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23876" cy="666750"/>
    <xdr:sp macro="" textlink="">
      <xdr:nvSpPr>
        <xdr:cNvPr id="3" name="Rectangle 2">
          <a:hlinkClick xmlns:r="http://schemas.openxmlformats.org/officeDocument/2006/relationships" r:id="rId2"/>
        </xdr:cNvPr>
        <xdr:cNvSpPr/>
      </xdr:nvSpPr>
      <xdr:spPr>
        <a:xfrm>
          <a:off x="600074" y="28575"/>
          <a:ext cx="523876"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0</xdr:col>
      <xdr:colOff>0</xdr:colOff>
      <xdr:row>0</xdr:row>
      <xdr:rowOff>0</xdr:rowOff>
    </xdr:from>
    <xdr:ext cx="523875" cy="657224"/>
    <xdr:sp macro="" textlink="">
      <xdr:nvSpPr>
        <xdr:cNvPr id="2" name="Rectangle 1">
          <a:hlinkClick xmlns:r="http://schemas.openxmlformats.org/officeDocument/2006/relationships" r:id="rId1"/>
        </xdr:cNvPr>
        <xdr:cNvSpPr/>
      </xdr:nvSpPr>
      <xdr:spPr>
        <a:xfrm>
          <a:off x="0" y="0"/>
          <a:ext cx="523875" cy="657224"/>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600075</xdr:colOff>
      <xdr:row>0</xdr:row>
      <xdr:rowOff>19050</xdr:rowOff>
    </xdr:from>
    <xdr:ext cx="523875" cy="657224"/>
    <xdr:sp macro="" textlink="">
      <xdr:nvSpPr>
        <xdr:cNvPr id="3" name="Rectangle 2">
          <a:hlinkClick xmlns:r="http://schemas.openxmlformats.org/officeDocument/2006/relationships" r:id="rId2"/>
        </xdr:cNvPr>
        <xdr:cNvSpPr/>
      </xdr:nvSpPr>
      <xdr:spPr>
        <a:xfrm>
          <a:off x="600075" y="19050"/>
          <a:ext cx="523875" cy="657224"/>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0</xdr:col>
      <xdr:colOff>1</xdr:colOff>
      <xdr:row>0</xdr:row>
      <xdr:rowOff>0</xdr:rowOff>
    </xdr:from>
    <xdr:ext cx="561974" cy="647700"/>
    <xdr:sp macro="" textlink="">
      <xdr:nvSpPr>
        <xdr:cNvPr id="2" name="Rectangle 1">
          <a:hlinkClick xmlns:r="http://schemas.openxmlformats.org/officeDocument/2006/relationships" r:id="rId1"/>
        </xdr:cNvPr>
        <xdr:cNvSpPr/>
      </xdr:nvSpPr>
      <xdr:spPr>
        <a:xfrm>
          <a:off x="1" y="0"/>
          <a:ext cx="561974" cy="6477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Rtn</a:t>
          </a:r>
          <a:r>
            <a:rPr lang="en-US" sz="900" b="0" cap="none" spc="0" baseline="0">
              <a:ln w="10541" cmpd="sng">
                <a:solidFill>
                  <a:schemeClr val="accent1">
                    <a:shade val="88000"/>
                    <a:satMod val="110000"/>
                  </a:schemeClr>
                </a:solidFill>
                <a:prstDash val="solid"/>
              </a:ln>
              <a:solidFill>
                <a:schemeClr val="tx1"/>
              </a:solidFill>
              <a:effectLst/>
            </a:rPr>
            <a:t> to Electric Sector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oneCellAnchor>
    <xdr:from>
      <xdr:col>0</xdr:col>
      <xdr:colOff>628651</xdr:colOff>
      <xdr:row>0</xdr:row>
      <xdr:rowOff>19050</xdr:rowOff>
    </xdr:from>
    <xdr:ext cx="561974" cy="647700"/>
    <xdr:sp macro="" textlink="">
      <xdr:nvSpPr>
        <xdr:cNvPr id="3" name="Rectangle 2">
          <a:hlinkClick xmlns:r="http://schemas.openxmlformats.org/officeDocument/2006/relationships" r:id="rId2"/>
        </xdr:cNvPr>
        <xdr:cNvSpPr/>
      </xdr:nvSpPr>
      <xdr:spPr>
        <a:xfrm>
          <a:off x="628651" y="19050"/>
          <a:ext cx="561974" cy="6477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solidFill>
                <a:schemeClr val="tx1"/>
              </a:solidFill>
              <a:effectLst/>
            </a:rPr>
            <a:t>Go to Gas Detail Page </a:t>
          </a:r>
          <a:endParaRPr lang="en-US" sz="900" b="0" cap="none" spc="0">
            <a:ln w="10541" cmpd="sng">
              <a:solidFill>
                <a:schemeClr val="accent1">
                  <a:shade val="88000"/>
                  <a:satMod val="110000"/>
                </a:schemeClr>
              </a:solidFill>
              <a:prstDash val="solid"/>
            </a:ln>
            <a:solidFill>
              <a:schemeClr val="tx1"/>
            </a:solidFill>
            <a:effectLst/>
          </a:endParaRP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66750"/>
    <xdr:sp macro="" textlink="">
      <xdr:nvSpPr>
        <xdr:cNvPr id="2" name="Rectangle 1">
          <a:hlinkClick xmlns:r="http://schemas.openxmlformats.org/officeDocument/2006/relationships" r:id="rId1"/>
        </xdr:cNvPr>
        <xdr:cNvSpPr/>
      </xdr:nvSpPr>
      <xdr:spPr>
        <a:xfrm>
          <a:off x="28574" y="28575"/>
          <a:ext cx="55245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52451" cy="666750"/>
    <xdr:sp macro="" textlink="">
      <xdr:nvSpPr>
        <xdr:cNvPr id="3" name="Rectangle 2">
          <a:hlinkClick xmlns:r="http://schemas.openxmlformats.org/officeDocument/2006/relationships" r:id="rId2"/>
        </xdr:cNvPr>
        <xdr:cNvSpPr/>
      </xdr:nvSpPr>
      <xdr:spPr>
        <a:xfrm>
          <a:off x="647699" y="28575"/>
          <a:ext cx="552451" cy="6667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0</xdr:col>
      <xdr:colOff>28575</xdr:colOff>
      <xdr:row>0</xdr:row>
      <xdr:rowOff>19049</xdr:rowOff>
    </xdr:from>
    <xdr:ext cx="533400" cy="666751"/>
    <xdr:sp macro="" textlink="">
      <xdr:nvSpPr>
        <xdr:cNvPr id="2" name="Rectangle 1">
          <a:hlinkClick xmlns:r="http://schemas.openxmlformats.org/officeDocument/2006/relationships" r:id="rId1"/>
        </xdr:cNvPr>
        <xdr:cNvSpPr/>
      </xdr:nvSpPr>
      <xdr:spPr>
        <a:xfrm>
          <a:off x="28575" y="19049"/>
          <a:ext cx="533400" cy="66675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19049</xdr:rowOff>
    </xdr:from>
    <xdr:ext cx="533400" cy="666751"/>
    <xdr:sp macro="" textlink="">
      <xdr:nvSpPr>
        <xdr:cNvPr id="7" name="Rectangle 6">
          <a:hlinkClick xmlns:r="http://schemas.openxmlformats.org/officeDocument/2006/relationships" r:id="rId2"/>
        </xdr:cNvPr>
        <xdr:cNvSpPr/>
      </xdr:nvSpPr>
      <xdr:spPr>
        <a:xfrm>
          <a:off x="609600" y="19049"/>
          <a:ext cx="533400" cy="6667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6</xdr:col>
      <xdr:colOff>647699</xdr:colOff>
      <xdr:row>1</xdr:row>
      <xdr:rowOff>209550</xdr:rowOff>
    </xdr:from>
    <xdr:to>
      <xdr:col>9</xdr:col>
      <xdr:colOff>671511</xdr:colOff>
      <xdr:row>3</xdr:row>
      <xdr:rowOff>156623</xdr:rowOff>
    </xdr:to>
    <xdr:grpSp>
      <xdr:nvGrpSpPr>
        <xdr:cNvPr id="3" name="Group 2"/>
        <xdr:cNvGrpSpPr/>
      </xdr:nvGrpSpPr>
      <xdr:grpSpPr>
        <a:xfrm>
          <a:off x="5372099" y="895350"/>
          <a:ext cx="3633787" cy="1137698"/>
          <a:chOff x="4933950" y="161225"/>
          <a:chExt cx="3519487" cy="594773"/>
        </a:xfrm>
      </xdr:grpSpPr>
      <xdr:sp macro="" textlink="">
        <xdr:nvSpPr>
          <xdr:cNvPr id="4" name="Rectangle 3"/>
          <xdr:cNvSpPr/>
        </xdr:nvSpPr>
        <xdr:spPr>
          <a:xfrm>
            <a:off x="5433155" y="161225"/>
            <a:ext cx="2491645" cy="594773"/>
          </a:xfrm>
          <a:prstGeom prst="rect">
            <a:avLst/>
          </a:prstGeom>
          <a:noFill/>
        </xdr:spPr>
        <xdr:txBody>
          <a:bodyPr wrap="square" lIns="91440" tIns="45720" rIns="91440" bIns="45720">
            <a:noAutofit/>
          </a:bodyPr>
          <a:lstStyle/>
          <a:p>
            <a:pPr algn="ct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Titles</a:t>
            </a:r>
            <a:r>
              <a:rPr lang="en-US" sz="14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are h</a:t>
            </a:r>
            <a:r>
              <a:rPr lang="en-US"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yperlinks to 2017 Sector Views</a:t>
            </a:r>
          </a:p>
        </xdr:txBody>
      </xdr:sp>
      <xdr:sp macro="" textlink="">
        <xdr:nvSpPr>
          <xdr:cNvPr id="5" name="Bent Arrow 4"/>
          <xdr:cNvSpPr/>
        </xdr:nvSpPr>
        <xdr:spPr>
          <a:xfrm rot="5400000">
            <a:off x="8062389" y="20749"/>
            <a:ext cx="159383" cy="622712"/>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sp macro="" textlink="">
        <xdr:nvSpPr>
          <xdr:cNvPr id="6" name="Bent Arrow 5"/>
          <xdr:cNvSpPr/>
        </xdr:nvSpPr>
        <xdr:spPr>
          <a:xfrm rot="5400000" flipV="1">
            <a:off x="5136444" y="40397"/>
            <a:ext cx="176212" cy="581200"/>
          </a:xfrm>
          <a:prstGeom prst="ben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solidFill>
                <a:schemeClr val="tx1"/>
              </a:solidFill>
            </a:endParaRPr>
          </a:p>
        </xdr:txBody>
      </xdr:sp>
    </xdr:grpSp>
    <xdr:clientData/>
  </xdr:twoCellAnchor>
  <xdr:oneCellAnchor>
    <xdr:from>
      <xdr:col>0</xdr:col>
      <xdr:colOff>533400</xdr:colOff>
      <xdr:row>0</xdr:row>
      <xdr:rowOff>171450</xdr:rowOff>
    </xdr:from>
    <xdr:ext cx="1800045" cy="655885"/>
    <xdr:sp macro="" textlink="">
      <xdr:nvSpPr>
        <xdr:cNvPr id="8" name="TextBox 7"/>
        <xdr:cNvSpPr txBox="1"/>
      </xdr:nvSpPr>
      <xdr:spPr>
        <a:xfrm>
          <a:off x="533400" y="171450"/>
          <a:ext cx="1800045" cy="655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3600">
              <a:solidFill>
                <a:srgbClr val="006A71"/>
              </a:solidFill>
            </a:rPr>
            <a:t>Exhibit 1</a:t>
          </a:r>
        </a:p>
      </xdr:txBody>
    </xdr:sp>
    <xdr:clientData/>
  </xdr:oneCellAnchor>
  <xdr:oneCellAnchor>
    <xdr:from>
      <xdr:col>8</xdr:col>
      <xdr:colOff>1219200</xdr:colOff>
      <xdr:row>0</xdr:row>
      <xdr:rowOff>142876</xdr:rowOff>
    </xdr:from>
    <xdr:ext cx="2419350" cy="604838"/>
    <xdr:pic>
      <xdr:nvPicPr>
        <xdr:cNvPr id="7" name="Picture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48675" y="142876"/>
          <a:ext cx="2419350" cy="604838"/>
        </a:xfrm>
        <a:prstGeom prst="rect">
          <a:avLst/>
        </a:prstGeom>
      </xdr:spPr>
    </xdr:pic>
    <xdr:clientData/>
  </xdr:oneCellAnchor>
  <xdr:twoCellAnchor>
    <xdr:from>
      <xdr:col>2</xdr:col>
      <xdr:colOff>51434</xdr:colOff>
      <xdr:row>79</xdr:row>
      <xdr:rowOff>97155</xdr:rowOff>
    </xdr:from>
    <xdr:to>
      <xdr:col>2</xdr:col>
      <xdr:colOff>822960</xdr:colOff>
      <xdr:row>82</xdr:row>
      <xdr:rowOff>68580</xdr:rowOff>
    </xdr:to>
    <xdr:sp macro="" textlink="">
      <xdr:nvSpPr>
        <xdr:cNvPr id="10" name="Rectangle 9">
          <a:hlinkClick xmlns:r="http://schemas.openxmlformats.org/officeDocument/2006/relationships" r:id="rId2"/>
        </xdr:cNvPr>
        <xdr:cNvSpPr/>
      </xdr:nvSpPr>
      <xdr:spPr>
        <a:xfrm>
          <a:off x="790574" y="14818995"/>
          <a:ext cx="771526" cy="48958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Electric Target Page</a:t>
          </a:r>
          <a:endParaRPr lang="en-US" sz="800">
            <a:solidFill>
              <a:schemeClr val="tx1"/>
            </a:solidFill>
          </a:endParaRPr>
        </a:p>
      </xdr:txBody>
    </xdr:sp>
    <xdr:clientData/>
  </xdr:twoCellAnchor>
  <xdr:twoCellAnchor>
    <xdr:from>
      <xdr:col>2</xdr:col>
      <xdr:colOff>118109</xdr:colOff>
      <xdr:row>82</xdr:row>
      <xdr:rowOff>163830</xdr:rowOff>
    </xdr:from>
    <xdr:to>
      <xdr:col>2</xdr:col>
      <xdr:colOff>792480</xdr:colOff>
      <xdr:row>86</xdr:row>
      <xdr:rowOff>15240</xdr:rowOff>
    </xdr:to>
    <xdr:sp macro="" textlink="">
      <xdr:nvSpPr>
        <xdr:cNvPr id="11" name="Rectangle 10">
          <a:hlinkClick xmlns:r="http://schemas.openxmlformats.org/officeDocument/2006/relationships" r:id="rId3"/>
        </xdr:cNvPr>
        <xdr:cNvSpPr/>
      </xdr:nvSpPr>
      <xdr:spPr>
        <a:xfrm>
          <a:off x="857249" y="15403830"/>
          <a:ext cx="674371" cy="59817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800">
              <a:solidFill>
                <a:schemeClr val="tx1"/>
              </a:solidFill>
            </a:rPr>
            <a:t>Go to Building</a:t>
          </a:r>
          <a:r>
            <a:rPr lang="en-US" sz="800" baseline="0">
              <a:solidFill>
                <a:schemeClr val="tx1"/>
              </a:solidFill>
            </a:rPr>
            <a:t> the Gas Target Page</a:t>
          </a:r>
          <a:endParaRPr lang="en-US" sz="800">
            <a:solidFill>
              <a:schemeClr val="tx1"/>
            </a:solidFill>
          </a:endParaRPr>
        </a:p>
      </xdr:txBody>
    </xdr:sp>
    <xdr:clientData/>
  </xdr:twoCellAnchor>
</xdr:wsDr>
</file>

<file path=xl/drawings/drawing60.xml><?xml version="1.0" encoding="utf-8"?>
<xdr:wsDr xmlns:xdr="http://schemas.openxmlformats.org/drawingml/2006/spreadsheetDrawing" xmlns:a="http://schemas.openxmlformats.org/drawingml/2006/main">
  <xdr:oneCellAnchor>
    <xdr:from>
      <xdr:col>0</xdr:col>
      <xdr:colOff>38099</xdr:colOff>
      <xdr:row>0</xdr:row>
      <xdr:rowOff>38099</xdr:rowOff>
    </xdr:from>
    <xdr:ext cx="561976" cy="638176"/>
    <xdr:sp macro="" textlink="">
      <xdr:nvSpPr>
        <xdr:cNvPr id="2" name="Rectangle 1">
          <a:hlinkClick xmlns:r="http://schemas.openxmlformats.org/officeDocument/2006/relationships" r:id="rId1"/>
        </xdr:cNvPr>
        <xdr:cNvSpPr/>
      </xdr:nvSpPr>
      <xdr:spPr>
        <a:xfrm>
          <a:off x="38099" y="38099"/>
          <a:ext cx="561976"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638174</xdr:colOff>
      <xdr:row>0</xdr:row>
      <xdr:rowOff>38099</xdr:rowOff>
    </xdr:from>
    <xdr:ext cx="561976" cy="638176"/>
    <xdr:sp macro="" textlink="">
      <xdr:nvSpPr>
        <xdr:cNvPr id="7" name="Rectangle 6">
          <a:hlinkClick xmlns:r="http://schemas.openxmlformats.org/officeDocument/2006/relationships" r:id="rId2"/>
        </xdr:cNvPr>
        <xdr:cNvSpPr/>
      </xdr:nvSpPr>
      <xdr:spPr>
        <a:xfrm>
          <a:off x="638174" y="38099"/>
          <a:ext cx="561976" cy="6381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0</xdr:col>
      <xdr:colOff>28574</xdr:colOff>
      <xdr:row>0</xdr:row>
      <xdr:rowOff>38099</xdr:rowOff>
    </xdr:from>
    <xdr:ext cx="514351" cy="676275"/>
    <xdr:sp macro="" textlink="">
      <xdr:nvSpPr>
        <xdr:cNvPr id="2" name="Rectangle 1">
          <a:hlinkClick xmlns:r="http://schemas.openxmlformats.org/officeDocument/2006/relationships" r:id="rId1"/>
        </xdr:cNvPr>
        <xdr:cNvSpPr/>
      </xdr:nvSpPr>
      <xdr:spPr>
        <a:xfrm>
          <a:off x="28574" y="38099"/>
          <a:ext cx="5143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38099</xdr:rowOff>
    </xdr:from>
    <xdr:ext cx="552451" cy="676275"/>
    <xdr:sp macro="" textlink="">
      <xdr:nvSpPr>
        <xdr:cNvPr id="7" name="Rectangle 6">
          <a:hlinkClick xmlns:r="http://schemas.openxmlformats.org/officeDocument/2006/relationships" r:id="rId2"/>
        </xdr:cNvPr>
        <xdr:cNvSpPr/>
      </xdr:nvSpPr>
      <xdr:spPr>
        <a:xfrm>
          <a:off x="600074" y="38099"/>
          <a:ext cx="5524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0</xdr:col>
      <xdr:colOff>38099</xdr:colOff>
      <xdr:row>0</xdr:row>
      <xdr:rowOff>19050</xdr:rowOff>
    </xdr:from>
    <xdr:ext cx="571501" cy="685800"/>
    <xdr:sp macro="" textlink="">
      <xdr:nvSpPr>
        <xdr:cNvPr id="2" name="Rectangle 1">
          <a:hlinkClick xmlns:r="http://schemas.openxmlformats.org/officeDocument/2006/relationships" r:id="rId1"/>
        </xdr:cNvPr>
        <xdr:cNvSpPr/>
      </xdr:nvSpPr>
      <xdr:spPr>
        <a:xfrm>
          <a:off x="38099" y="19050"/>
          <a:ext cx="57150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19050</xdr:rowOff>
    </xdr:from>
    <xdr:ext cx="571501" cy="685800"/>
    <xdr:sp macro="" textlink="">
      <xdr:nvSpPr>
        <xdr:cNvPr id="3" name="Rectangle 2">
          <a:hlinkClick xmlns:r="http://schemas.openxmlformats.org/officeDocument/2006/relationships" r:id="rId2"/>
        </xdr:cNvPr>
        <xdr:cNvSpPr/>
      </xdr:nvSpPr>
      <xdr:spPr>
        <a:xfrm>
          <a:off x="657224" y="19050"/>
          <a:ext cx="571501"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704850"/>
    <xdr:sp macro="" textlink="">
      <xdr:nvSpPr>
        <xdr:cNvPr id="2" name="Rectangle 1">
          <a:hlinkClick xmlns:r="http://schemas.openxmlformats.org/officeDocument/2006/relationships" r:id="rId1"/>
        </xdr:cNvPr>
        <xdr:cNvSpPr/>
      </xdr:nvSpPr>
      <xdr:spPr>
        <a:xfrm>
          <a:off x="28574" y="28575"/>
          <a:ext cx="552451" cy="7048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38100</xdr:rowOff>
    </xdr:from>
    <xdr:ext cx="552451" cy="704850"/>
    <xdr:sp macro="" textlink="">
      <xdr:nvSpPr>
        <xdr:cNvPr id="3" name="Rectangle 2">
          <a:hlinkClick xmlns:r="http://schemas.openxmlformats.org/officeDocument/2006/relationships" r:id="rId2"/>
        </xdr:cNvPr>
        <xdr:cNvSpPr/>
      </xdr:nvSpPr>
      <xdr:spPr>
        <a:xfrm>
          <a:off x="619124" y="38100"/>
          <a:ext cx="552451" cy="7048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0</xdr:col>
      <xdr:colOff>28575</xdr:colOff>
      <xdr:row>0</xdr:row>
      <xdr:rowOff>28574</xdr:rowOff>
    </xdr:from>
    <xdr:ext cx="504825" cy="676275"/>
    <xdr:sp macro="" textlink="">
      <xdr:nvSpPr>
        <xdr:cNvPr id="2" name="Rectangle 1">
          <a:hlinkClick xmlns:r="http://schemas.openxmlformats.org/officeDocument/2006/relationships" r:id="rId1"/>
        </xdr:cNvPr>
        <xdr:cNvSpPr/>
      </xdr:nvSpPr>
      <xdr:spPr>
        <a:xfrm>
          <a:off x="28575" y="28574"/>
          <a:ext cx="504825"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28574</xdr:rowOff>
    </xdr:from>
    <xdr:ext cx="504825" cy="676275"/>
    <xdr:sp macro="" textlink="">
      <xdr:nvSpPr>
        <xdr:cNvPr id="3" name="Rectangle 2">
          <a:hlinkClick xmlns:r="http://schemas.openxmlformats.org/officeDocument/2006/relationships" r:id="rId2"/>
        </xdr:cNvPr>
        <xdr:cNvSpPr/>
      </xdr:nvSpPr>
      <xdr:spPr>
        <a:xfrm>
          <a:off x="619125" y="28574"/>
          <a:ext cx="504825"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0</xdr:col>
      <xdr:colOff>0</xdr:colOff>
      <xdr:row>0</xdr:row>
      <xdr:rowOff>0</xdr:rowOff>
    </xdr:from>
    <xdr:ext cx="609600" cy="676274"/>
    <xdr:sp macro="" textlink="">
      <xdr:nvSpPr>
        <xdr:cNvPr id="2" name="Rectangle 1">
          <a:hlinkClick xmlns:r="http://schemas.openxmlformats.org/officeDocument/2006/relationships" r:id="rId1"/>
        </xdr:cNvPr>
        <xdr:cNvSpPr/>
      </xdr:nvSpPr>
      <xdr:spPr>
        <a:xfrm>
          <a:off x="0" y="0"/>
          <a:ext cx="609600" cy="676274"/>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609600" cy="657225"/>
    <xdr:sp macro="" textlink="">
      <xdr:nvSpPr>
        <xdr:cNvPr id="3" name="Rectangle 2">
          <a:hlinkClick xmlns:r="http://schemas.openxmlformats.org/officeDocument/2006/relationships" r:id="rId2"/>
        </xdr:cNvPr>
        <xdr:cNvSpPr/>
      </xdr:nvSpPr>
      <xdr:spPr>
        <a:xfrm>
          <a:off x="638175" y="19050"/>
          <a:ext cx="60960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0</xdr:col>
      <xdr:colOff>28574</xdr:colOff>
      <xdr:row>0</xdr:row>
      <xdr:rowOff>28575</xdr:rowOff>
    </xdr:from>
    <xdr:ext cx="571501" cy="666750"/>
    <xdr:sp macro="" textlink="">
      <xdr:nvSpPr>
        <xdr:cNvPr id="2" name="Rectangle 1">
          <a:hlinkClick xmlns:r="http://schemas.openxmlformats.org/officeDocument/2006/relationships" r:id="rId1"/>
        </xdr:cNvPr>
        <xdr:cNvSpPr/>
      </xdr:nvSpPr>
      <xdr:spPr>
        <a:xfrm>
          <a:off x="28574" y="28575"/>
          <a:ext cx="571501"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19050</xdr:rowOff>
    </xdr:from>
    <xdr:ext cx="571501" cy="666750"/>
    <xdr:sp macro="" textlink="">
      <xdr:nvSpPr>
        <xdr:cNvPr id="3" name="Rectangle 2">
          <a:hlinkClick xmlns:r="http://schemas.openxmlformats.org/officeDocument/2006/relationships" r:id="rId2"/>
        </xdr:cNvPr>
        <xdr:cNvSpPr/>
      </xdr:nvSpPr>
      <xdr:spPr>
        <a:xfrm>
          <a:off x="647699" y="19050"/>
          <a:ext cx="571501"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0</xdr:col>
      <xdr:colOff>28574</xdr:colOff>
      <xdr:row>0</xdr:row>
      <xdr:rowOff>28574</xdr:rowOff>
    </xdr:from>
    <xdr:ext cx="590551" cy="676275"/>
    <xdr:sp macro="" textlink="">
      <xdr:nvSpPr>
        <xdr:cNvPr id="2" name="Rectangle 1">
          <a:hlinkClick xmlns:r="http://schemas.openxmlformats.org/officeDocument/2006/relationships" r:id="rId1"/>
        </xdr:cNvPr>
        <xdr:cNvSpPr/>
      </xdr:nvSpPr>
      <xdr:spPr>
        <a:xfrm>
          <a:off x="28574" y="28574"/>
          <a:ext cx="590551" cy="6762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19049</xdr:rowOff>
    </xdr:from>
    <xdr:ext cx="590551" cy="676275"/>
    <xdr:sp macro="" textlink="">
      <xdr:nvSpPr>
        <xdr:cNvPr id="4" name="Rectangle 3">
          <a:hlinkClick xmlns:r="http://schemas.openxmlformats.org/officeDocument/2006/relationships" r:id="rId2"/>
        </xdr:cNvPr>
        <xdr:cNvSpPr/>
      </xdr:nvSpPr>
      <xdr:spPr>
        <a:xfrm>
          <a:off x="657224" y="19049"/>
          <a:ext cx="590551"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0</xdr:col>
      <xdr:colOff>28574</xdr:colOff>
      <xdr:row>0</xdr:row>
      <xdr:rowOff>28575</xdr:rowOff>
    </xdr:from>
    <xdr:ext cx="1038226" cy="514350"/>
    <xdr:sp macro="" textlink="">
      <xdr:nvSpPr>
        <xdr:cNvPr id="2" name="Rectangle 1">
          <a:hlinkClick xmlns:r="http://schemas.openxmlformats.org/officeDocument/2006/relationships" r:id="rId1"/>
        </xdr:cNvPr>
        <xdr:cNvSpPr/>
      </xdr:nvSpPr>
      <xdr:spPr>
        <a:xfrm>
          <a:off x="28574" y="28575"/>
          <a:ext cx="1038226" cy="5143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0</xdr:col>
      <xdr:colOff>28574</xdr:colOff>
      <xdr:row>0</xdr:row>
      <xdr:rowOff>28575</xdr:rowOff>
    </xdr:from>
    <xdr:ext cx="581026" cy="666750"/>
    <xdr:sp macro="" textlink="">
      <xdr:nvSpPr>
        <xdr:cNvPr id="2" name="Rectangle 1">
          <a:hlinkClick xmlns:r="http://schemas.openxmlformats.org/officeDocument/2006/relationships" r:id="rId1"/>
        </xdr:cNvPr>
        <xdr:cNvSpPr/>
      </xdr:nvSpPr>
      <xdr:spPr>
        <a:xfrm>
          <a:off x="28574" y="28575"/>
          <a:ext cx="581026" cy="6667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28575</xdr:rowOff>
    </xdr:from>
    <xdr:ext cx="581026" cy="666750"/>
    <xdr:sp macro="" textlink="">
      <xdr:nvSpPr>
        <xdr:cNvPr id="3" name="Rectangle 2">
          <a:hlinkClick xmlns:r="http://schemas.openxmlformats.org/officeDocument/2006/relationships" r:id="rId2"/>
        </xdr:cNvPr>
        <xdr:cNvSpPr/>
      </xdr:nvSpPr>
      <xdr:spPr>
        <a:xfrm>
          <a:off x="647699" y="28575"/>
          <a:ext cx="581026" cy="6667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1</xdr:col>
      <xdr:colOff>527395</xdr:colOff>
      <xdr:row>3</xdr:row>
      <xdr:rowOff>33877</xdr:rowOff>
    </xdr:from>
    <xdr:ext cx="1491905" cy="423323"/>
    <xdr:sp macro="" textlink="">
      <xdr:nvSpPr>
        <xdr:cNvPr id="2" name="Rectangle 1">
          <a:hlinkClick xmlns:r="http://schemas.openxmlformats.org/officeDocument/2006/relationships" r:id="rId1"/>
        </xdr:cNvPr>
        <xdr:cNvSpPr/>
      </xdr:nvSpPr>
      <xdr:spPr>
        <a:xfrm>
          <a:off x="613120" y="614902"/>
          <a:ext cx="1491905" cy="423323"/>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a:t>
          </a:r>
          <a:r>
            <a:rPr lang="en-US" sz="1000" b="1" cap="none" spc="0" baseline="0">
              <a:ln w="10541" cmpd="sng">
                <a:solidFill>
                  <a:schemeClr val="accent1">
                    <a:shade val="88000"/>
                    <a:satMod val="110000"/>
                  </a:schemeClr>
                </a:solidFill>
                <a:prstDash val="solid"/>
              </a:ln>
              <a:solidFill>
                <a:schemeClr val="tx1"/>
              </a:solidFill>
              <a:effectLst/>
            </a:rPr>
            <a:t> to 2017 Portfolio View</a:t>
          </a:r>
          <a:endParaRPr lang="en-US" sz="1000" b="1" cap="none" spc="0">
            <a:ln w="10541" cmpd="sng">
              <a:solidFill>
                <a:schemeClr val="accent1">
                  <a:shade val="88000"/>
                  <a:satMod val="110000"/>
                </a:schemeClr>
              </a:solidFill>
              <a:prstDash val="solid"/>
            </a:ln>
            <a:solidFill>
              <a:schemeClr val="tx1"/>
            </a:solidFill>
            <a:effectLst/>
          </a:endParaRPr>
        </a:p>
      </xdr:txBody>
    </xdr:sp>
    <xdr:clientData/>
  </xdr:oneCellAnchor>
  <xdr:twoCellAnchor>
    <xdr:from>
      <xdr:col>3</xdr:col>
      <xdr:colOff>249555</xdr:colOff>
      <xdr:row>3</xdr:row>
      <xdr:rowOff>24765</xdr:rowOff>
    </xdr:from>
    <xdr:to>
      <xdr:col>4</xdr:col>
      <xdr:colOff>129542</xdr:colOff>
      <xdr:row>3</xdr:row>
      <xdr:rowOff>451484</xdr:rowOff>
    </xdr:to>
    <xdr:sp macro="" textlink="">
      <xdr:nvSpPr>
        <xdr:cNvPr id="5" name="TextBox 4">
          <a:hlinkClick xmlns:r="http://schemas.openxmlformats.org/officeDocument/2006/relationships" r:id="rId2"/>
        </xdr:cNvPr>
        <xdr:cNvSpPr txBox="1"/>
      </xdr:nvSpPr>
      <xdr:spPr>
        <a:xfrm>
          <a:off x="2383155" y="603885"/>
          <a:ext cx="977267" cy="426719"/>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Gas Sector</a:t>
          </a:r>
        </a:p>
      </xdr:txBody>
    </xdr:sp>
    <xdr:clientData/>
  </xdr:twoCellAnchor>
</xdr:wsDr>
</file>

<file path=xl/drawings/drawing70.xml><?xml version="1.0" encoding="utf-8"?>
<xdr:wsDr xmlns:xdr="http://schemas.openxmlformats.org/drawingml/2006/spreadsheetDrawing" xmlns:a="http://schemas.openxmlformats.org/drawingml/2006/main">
  <xdr:oneCellAnchor>
    <xdr:from>
      <xdr:col>0</xdr:col>
      <xdr:colOff>28575</xdr:colOff>
      <xdr:row>0</xdr:row>
      <xdr:rowOff>28575</xdr:rowOff>
    </xdr:from>
    <xdr:ext cx="523876" cy="628650"/>
    <xdr:sp macro="" textlink="">
      <xdr:nvSpPr>
        <xdr:cNvPr id="2" name="Rectangle 1">
          <a:hlinkClick xmlns:r="http://schemas.openxmlformats.org/officeDocument/2006/relationships" r:id="rId1"/>
        </xdr:cNvPr>
        <xdr:cNvSpPr/>
      </xdr:nvSpPr>
      <xdr:spPr>
        <a:xfrm>
          <a:off x="28575" y="28575"/>
          <a:ext cx="523876"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38100</xdr:rowOff>
    </xdr:from>
    <xdr:ext cx="523876" cy="628650"/>
    <xdr:sp macro="" textlink="">
      <xdr:nvSpPr>
        <xdr:cNvPr id="3" name="Rectangle 2">
          <a:hlinkClick xmlns:r="http://schemas.openxmlformats.org/officeDocument/2006/relationships" r:id="rId2"/>
        </xdr:cNvPr>
        <xdr:cNvSpPr/>
      </xdr:nvSpPr>
      <xdr:spPr>
        <a:xfrm>
          <a:off x="619125" y="38100"/>
          <a:ext cx="523876"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19125"/>
    <xdr:sp macro="" textlink="">
      <xdr:nvSpPr>
        <xdr:cNvPr id="2" name="Rectangle 1">
          <a:hlinkClick xmlns:r="http://schemas.openxmlformats.org/officeDocument/2006/relationships" r:id="rId1"/>
        </xdr:cNvPr>
        <xdr:cNvSpPr/>
      </xdr:nvSpPr>
      <xdr:spPr>
        <a:xfrm>
          <a:off x="28574" y="28575"/>
          <a:ext cx="552451" cy="6191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28575</xdr:rowOff>
    </xdr:from>
    <xdr:ext cx="552451" cy="619125"/>
    <xdr:sp macro="" textlink="">
      <xdr:nvSpPr>
        <xdr:cNvPr id="3" name="Rectangle 2">
          <a:hlinkClick xmlns:r="http://schemas.openxmlformats.org/officeDocument/2006/relationships" r:id="rId2"/>
        </xdr:cNvPr>
        <xdr:cNvSpPr/>
      </xdr:nvSpPr>
      <xdr:spPr>
        <a:xfrm>
          <a:off x="628649" y="28575"/>
          <a:ext cx="552451" cy="6191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0</xdr:col>
      <xdr:colOff>28574</xdr:colOff>
      <xdr:row>0</xdr:row>
      <xdr:rowOff>28575</xdr:rowOff>
    </xdr:from>
    <xdr:ext cx="552451" cy="647700"/>
    <xdr:sp macro="" textlink="">
      <xdr:nvSpPr>
        <xdr:cNvPr id="2" name="Rectangle 1">
          <a:hlinkClick xmlns:r="http://schemas.openxmlformats.org/officeDocument/2006/relationships" r:id="rId1"/>
        </xdr:cNvPr>
        <xdr:cNvSpPr/>
      </xdr:nvSpPr>
      <xdr:spPr>
        <a:xfrm>
          <a:off x="28574" y="28575"/>
          <a:ext cx="552451"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600074</xdr:colOff>
      <xdr:row>0</xdr:row>
      <xdr:rowOff>28575</xdr:rowOff>
    </xdr:from>
    <xdr:ext cx="552451" cy="647700"/>
    <xdr:sp macro="" textlink="">
      <xdr:nvSpPr>
        <xdr:cNvPr id="3" name="Rectangle 2">
          <a:hlinkClick xmlns:r="http://schemas.openxmlformats.org/officeDocument/2006/relationships" r:id="rId2"/>
        </xdr:cNvPr>
        <xdr:cNvSpPr/>
      </xdr:nvSpPr>
      <xdr:spPr>
        <a:xfrm>
          <a:off x="600074" y="28575"/>
          <a:ext cx="552451" cy="647700"/>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0</xdr:col>
      <xdr:colOff>28574</xdr:colOff>
      <xdr:row>0</xdr:row>
      <xdr:rowOff>28574</xdr:rowOff>
    </xdr:from>
    <xdr:ext cx="552451" cy="638175"/>
    <xdr:sp macro="" textlink="">
      <xdr:nvSpPr>
        <xdr:cNvPr id="2" name="Rectangle 1">
          <a:hlinkClick xmlns:r="http://schemas.openxmlformats.org/officeDocument/2006/relationships" r:id="rId1"/>
        </xdr:cNvPr>
        <xdr:cNvSpPr/>
      </xdr:nvSpPr>
      <xdr:spPr>
        <a:xfrm>
          <a:off x="28574" y="28574"/>
          <a:ext cx="552451" cy="6381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28574</xdr:rowOff>
    </xdr:from>
    <xdr:ext cx="552451" cy="638175"/>
    <xdr:sp macro="" textlink="">
      <xdr:nvSpPr>
        <xdr:cNvPr id="3" name="Rectangle 2">
          <a:hlinkClick xmlns:r="http://schemas.openxmlformats.org/officeDocument/2006/relationships" r:id="rId2"/>
        </xdr:cNvPr>
        <xdr:cNvSpPr/>
      </xdr:nvSpPr>
      <xdr:spPr>
        <a:xfrm>
          <a:off x="609599" y="28574"/>
          <a:ext cx="552451" cy="6381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0</xdr:col>
      <xdr:colOff>57149</xdr:colOff>
      <xdr:row>0</xdr:row>
      <xdr:rowOff>38099</xdr:rowOff>
    </xdr:from>
    <xdr:ext cx="529591" cy="657225"/>
    <xdr:sp macro="" textlink="">
      <xdr:nvSpPr>
        <xdr:cNvPr id="2" name="Rectangle 1">
          <a:hlinkClick xmlns:r="http://schemas.openxmlformats.org/officeDocument/2006/relationships" r:id="rId1"/>
        </xdr:cNvPr>
        <xdr:cNvSpPr/>
      </xdr:nvSpPr>
      <xdr:spPr>
        <a:xfrm>
          <a:off x="57149" y="38099"/>
          <a:ext cx="52959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xdr:from>
      <xdr:col>6</xdr:col>
      <xdr:colOff>295275</xdr:colOff>
      <xdr:row>56</xdr:row>
      <xdr:rowOff>152400</xdr:rowOff>
    </xdr:from>
    <xdr:to>
      <xdr:col>10</xdr:col>
      <xdr:colOff>219075</xdr:colOff>
      <xdr:row>63</xdr:row>
      <xdr:rowOff>123826</xdr:rowOff>
    </xdr:to>
    <xdr:sp macro="" textlink="">
      <xdr:nvSpPr>
        <xdr:cNvPr id="3" name="TextBox 2"/>
        <xdr:cNvSpPr txBox="1"/>
      </xdr:nvSpPr>
      <xdr:spPr>
        <a:xfrm>
          <a:off x="8620125" y="10782300"/>
          <a:ext cx="4381500" cy="1152526"/>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Note:  Program expenditures equal to 10.0% of Sch 120 collections for Rate Sch 40, 46,49, 448, 449/459 customers are applied by journal entry to E254 NEEA .   The</a:t>
          </a:r>
          <a:r>
            <a:rPr lang="en-US" sz="1100" baseline="0"/>
            <a:t> funds collected are represented in this table in the miscellaneous budget category and </a:t>
          </a:r>
          <a:r>
            <a:rPr lang="en-US" sz="1100"/>
            <a:t>must reconcile with cell  </a:t>
          </a:r>
          <a:r>
            <a:rPr lang="en-US" sz="1100" b="1" u="sng">
              <a:solidFill>
                <a:srgbClr val="FF0000"/>
              </a:solidFill>
            </a:rPr>
            <a:t>E-12</a:t>
          </a:r>
          <a:r>
            <a:rPr lang="en-US" sz="1100"/>
            <a:t> on tab </a:t>
          </a:r>
          <a:r>
            <a:rPr lang="en-US" sz="1100" b="1">
              <a:solidFill>
                <a:srgbClr val="FF0000"/>
              </a:solidFill>
            </a:rPr>
            <a:t>LPDS_Detail_BEM Sch 258</a:t>
          </a:r>
          <a:r>
            <a:rPr lang="en-US" sz="1100" b="1" baseline="0">
              <a:solidFill>
                <a:srgbClr val="FF0000"/>
              </a:solidFill>
            </a:rPr>
            <a:t> Elec</a:t>
          </a:r>
          <a:r>
            <a:rPr lang="en-US" sz="1100"/>
            <a:t>.  </a:t>
          </a:r>
        </a:p>
        <a:p>
          <a:endParaRPr lang="en-US" sz="1100"/>
        </a:p>
      </xdr:txBody>
    </xdr:sp>
    <xdr:clientData/>
  </xdr:twoCellAnchor>
  <xdr:twoCellAnchor>
    <xdr:from>
      <xdr:col>6</xdr:col>
      <xdr:colOff>581025</xdr:colOff>
      <xdr:row>12</xdr:row>
      <xdr:rowOff>123826</xdr:rowOff>
    </xdr:from>
    <xdr:to>
      <xdr:col>11</xdr:col>
      <xdr:colOff>76200</xdr:colOff>
      <xdr:row>16</xdr:row>
      <xdr:rowOff>19050</xdr:rowOff>
    </xdr:to>
    <xdr:sp macro="" textlink="">
      <xdr:nvSpPr>
        <xdr:cNvPr id="4" name="TextBox 3"/>
        <xdr:cNvSpPr txBox="1"/>
      </xdr:nvSpPr>
      <xdr:spPr>
        <a:xfrm>
          <a:off x="8905875" y="3162301"/>
          <a:ext cx="5067300" cy="657224"/>
        </a:xfrm>
        <a:prstGeom prst="rect">
          <a:avLst/>
        </a:prstGeom>
        <a:gradFill>
          <a:gsLst>
            <a:gs pos="0">
              <a:srgbClr val="FFEFD1"/>
            </a:gs>
            <a:gs pos="64999">
              <a:srgbClr val="F0EBD5"/>
            </a:gs>
            <a:gs pos="100000">
              <a:srgbClr val="D1C39F"/>
            </a:gs>
          </a:gsLst>
          <a:lin ang="5400000" scaled="0"/>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US" sz="1100">
              <a:solidFill>
                <a:schemeClr val="dk1"/>
              </a:solidFill>
              <a:latin typeface="+mn-lt"/>
              <a:ea typeface="+mn-ea"/>
              <a:cs typeface="+mn-cs"/>
            </a:rPr>
            <a:t>Total payments made</a:t>
          </a:r>
          <a:r>
            <a:rPr lang="en-US" sz="1100" baseline="0">
              <a:solidFill>
                <a:schemeClr val="dk1"/>
              </a:solidFill>
              <a:latin typeface="+mn-lt"/>
              <a:ea typeface="+mn-ea"/>
              <a:cs typeface="+mn-cs"/>
            </a:rPr>
            <a:t> to NEEA include </a:t>
          </a:r>
          <a:r>
            <a:rPr lang="en-US" sz="1100">
              <a:solidFill>
                <a:schemeClr val="dk1"/>
              </a:solidFill>
              <a:latin typeface="+mn-lt"/>
              <a:ea typeface="+mn-ea"/>
              <a:cs typeface="+mn-cs"/>
            </a:rPr>
            <a:t>Schedule 258 10% customer contributions noted in  the below Miscellaneous columns.</a:t>
          </a:r>
          <a:r>
            <a:rPr lang="en-US" sz="1100" baseline="0">
              <a:solidFill>
                <a:schemeClr val="dk1"/>
              </a:solidFill>
              <a:latin typeface="+mn-lt"/>
              <a:ea typeface="+mn-ea"/>
              <a:cs typeface="+mn-cs"/>
            </a:rPr>
            <a:t>  Total payments are also comprised of </a:t>
          </a:r>
          <a:r>
            <a:rPr lang="en-US" sz="1100">
              <a:solidFill>
                <a:schemeClr val="dk1"/>
              </a:solidFill>
              <a:latin typeface="+mn-lt"/>
              <a:ea typeface="+mn-ea"/>
              <a:cs typeface="+mn-cs"/>
            </a:rPr>
            <a:t>Outside Services and DBtC columns.</a:t>
          </a:r>
        </a:p>
      </xdr:txBody>
    </xdr:sp>
    <xdr:clientData/>
  </xdr:twoCellAnchor>
  <xdr:oneCellAnchor>
    <xdr:from>
      <xdr:col>0</xdr:col>
      <xdr:colOff>638174</xdr:colOff>
      <xdr:row>0</xdr:row>
      <xdr:rowOff>38099</xdr:rowOff>
    </xdr:from>
    <xdr:ext cx="561976" cy="657225"/>
    <xdr:sp macro="" textlink="">
      <xdr:nvSpPr>
        <xdr:cNvPr id="5" name="Rectangle 4">
          <a:hlinkClick xmlns:r="http://schemas.openxmlformats.org/officeDocument/2006/relationships" r:id="rId2"/>
        </xdr:cNvPr>
        <xdr:cNvSpPr/>
      </xdr:nvSpPr>
      <xdr:spPr>
        <a:xfrm>
          <a:off x="638174" y="38099"/>
          <a:ext cx="5619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MT Detail Pg</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0</xdr:col>
      <xdr:colOff>38099</xdr:colOff>
      <xdr:row>0</xdr:row>
      <xdr:rowOff>38099</xdr:rowOff>
    </xdr:from>
    <xdr:ext cx="971551" cy="542925"/>
    <xdr:sp macro="" textlink="">
      <xdr:nvSpPr>
        <xdr:cNvPr id="2" name="Rectangle 1">
          <a:hlinkClick xmlns:r="http://schemas.openxmlformats.org/officeDocument/2006/relationships" r:id="rId1"/>
        </xdr:cNvPr>
        <xdr:cNvSpPr/>
      </xdr:nvSpPr>
      <xdr:spPr>
        <a:xfrm>
          <a:off x="38099" y="38099"/>
          <a:ext cx="971551" cy="5429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Return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View</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0</xdr:col>
      <xdr:colOff>57149</xdr:colOff>
      <xdr:row>0</xdr:row>
      <xdr:rowOff>38099</xdr:rowOff>
    </xdr:from>
    <xdr:ext cx="542926" cy="695325"/>
    <xdr:sp macro="" textlink="">
      <xdr:nvSpPr>
        <xdr:cNvPr id="2" name="Rectangle 1">
          <a:hlinkClick xmlns:r="http://schemas.openxmlformats.org/officeDocument/2006/relationships" r:id="rId1"/>
        </xdr:cNvPr>
        <xdr:cNvSpPr/>
      </xdr:nvSpPr>
      <xdr:spPr>
        <a:xfrm>
          <a:off x="57149" y="38099"/>
          <a:ext cx="542926" cy="69532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647699</xdr:colOff>
      <xdr:row>0</xdr:row>
      <xdr:rowOff>38099</xdr:rowOff>
    </xdr:from>
    <xdr:ext cx="542926" cy="695325"/>
    <xdr:sp macro="" textlink="">
      <xdr:nvSpPr>
        <xdr:cNvPr id="3" name="Rectangle 2">
          <a:hlinkClick xmlns:r="http://schemas.openxmlformats.org/officeDocument/2006/relationships" r:id="rId2"/>
        </xdr:cNvPr>
        <xdr:cNvSpPr/>
      </xdr:nvSpPr>
      <xdr:spPr>
        <a:xfrm>
          <a:off x="647699" y="38099"/>
          <a:ext cx="542926" cy="69532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NEEA Elec Detail Pg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77.xml><?xml version="1.0" encoding="utf-8"?>
<xdr:wsDr xmlns:xdr="http://schemas.openxmlformats.org/drawingml/2006/spreadsheetDrawing" xmlns:a="http://schemas.openxmlformats.org/drawingml/2006/main">
  <xdr:twoCellAnchor>
    <xdr:from>
      <xdr:col>2</xdr:col>
      <xdr:colOff>0</xdr:colOff>
      <xdr:row>11</xdr:row>
      <xdr:rowOff>0</xdr:rowOff>
    </xdr:from>
    <xdr:to>
      <xdr:col>3</xdr:col>
      <xdr:colOff>523875</xdr:colOff>
      <xdr:row>13</xdr:row>
      <xdr:rowOff>123825</xdr:rowOff>
    </xdr:to>
    <xdr:sp macro="" textlink="">
      <xdr:nvSpPr>
        <xdr:cNvPr id="2" name="Rectangle 1">
          <a:hlinkClick xmlns:r="http://schemas.openxmlformats.org/officeDocument/2006/relationships" r:id="rId1"/>
        </xdr:cNvPr>
        <xdr:cNvSpPr/>
      </xdr:nvSpPr>
      <xdr:spPr>
        <a:xfrm>
          <a:off x="1219200" y="1781175"/>
          <a:ext cx="11334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Portfolio View</a:t>
          </a:r>
        </a:p>
      </xdr:txBody>
    </xdr:sp>
    <xdr:clientData/>
  </xdr:twoCellAnchor>
  <xdr:twoCellAnchor>
    <xdr:from>
      <xdr:col>1</xdr:col>
      <xdr:colOff>590550</xdr:colOff>
      <xdr:row>15</xdr:row>
      <xdr:rowOff>66675</xdr:rowOff>
    </xdr:from>
    <xdr:to>
      <xdr:col>3</xdr:col>
      <xdr:colOff>571500</xdr:colOff>
      <xdr:row>19</xdr:row>
      <xdr:rowOff>76200</xdr:rowOff>
    </xdr:to>
    <xdr:sp macro="" textlink="">
      <xdr:nvSpPr>
        <xdr:cNvPr id="3" name="Rectangle 2">
          <a:hlinkClick xmlns:r="http://schemas.openxmlformats.org/officeDocument/2006/relationships" r:id="rId2"/>
        </xdr:cNvPr>
        <xdr:cNvSpPr/>
      </xdr:nvSpPr>
      <xdr:spPr>
        <a:xfrm>
          <a:off x="1200150" y="2495550"/>
          <a:ext cx="1200150" cy="657225"/>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Sector View</a:t>
          </a:r>
          <a:endParaRPr lang="en-US" sz="1100">
            <a:solidFill>
              <a:schemeClr val="tx1"/>
            </a:solidFill>
          </a:endParaRPr>
        </a:p>
      </xdr:txBody>
    </xdr:sp>
    <xdr:clientData/>
  </xdr:twoCellAnchor>
  <xdr:twoCellAnchor>
    <xdr:from>
      <xdr:col>4</xdr:col>
      <xdr:colOff>152400</xdr:colOff>
      <xdr:row>15</xdr:row>
      <xdr:rowOff>85725</xdr:rowOff>
    </xdr:from>
    <xdr:to>
      <xdr:col>6</xdr:col>
      <xdr:colOff>133350</xdr:colOff>
      <xdr:row>19</xdr:row>
      <xdr:rowOff>95250</xdr:rowOff>
    </xdr:to>
    <xdr:sp macro="" textlink="">
      <xdr:nvSpPr>
        <xdr:cNvPr id="4" name="Rectangle 3">
          <a:hlinkClick xmlns:r="http://schemas.openxmlformats.org/officeDocument/2006/relationships" r:id="rId3"/>
        </xdr:cNvPr>
        <xdr:cNvSpPr/>
      </xdr:nvSpPr>
      <xdr:spPr>
        <a:xfrm>
          <a:off x="2590800" y="2514600"/>
          <a:ext cx="1200150"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a:t>
          </a:r>
          <a:r>
            <a:rPr lang="en-US" sz="1100" baseline="0">
              <a:solidFill>
                <a:schemeClr val="tx1"/>
              </a:solidFill>
            </a:rPr>
            <a:t> to Gas Sector View</a:t>
          </a:r>
          <a:endParaRPr lang="en-US" sz="1100">
            <a:solidFill>
              <a:schemeClr val="tx1"/>
            </a:solidFill>
          </a:endParaRPr>
        </a:p>
      </xdr:txBody>
    </xdr:sp>
    <xdr:clientData/>
  </xdr:twoCellAnchor>
</xdr:wsDr>
</file>

<file path=xl/drawings/drawing78.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5" cy="609600"/>
    <xdr:sp macro="" textlink="">
      <xdr:nvSpPr>
        <xdr:cNvPr id="2" name="Rectangle 1">
          <a:hlinkClick xmlns:r="http://schemas.openxmlformats.org/officeDocument/2006/relationships" r:id="rId1"/>
        </xdr:cNvPr>
        <xdr:cNvSpPr/>
      </xdr:nvSpPr>
      <xdr:spPr>
        <a:xfrm>
          <a:off x="47625" y="28575"/>
          <a:ext cx="542925" cy="6096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38100</xdr:rowOff>
    </xdr:from>
    <xdr:ext cx="542925" cy="609600"/>
    <xdr:sp macro="" textlink="">
      <xdr:nvSpPr>
        <xdr:cNvPr id="3" name="Rectangle 2">
          <a:hlinkClick xmlns:r="http://schemas.openxmlformats.org/officeDocument/2006/relationships" r:id="rId2"/>
        </xdr:cNvPr>
        <xdr:cNvSpPr/>
      </xdr:nvSpPr>
      <xdr:spPr>
        <a:xfrm>
          <a:off x="657225" y="38100"/>
          <a:ext cx="542925" cy="6096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a:t>
          </a: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0</xdr:col>
      <xdr:colOff>38099</xdr:colOff>
      <xdr:row>0</xdr:row>
      <xdr:rowOff>38099</xdr:rowOff>
    </xdr:from>
    <xdr:ext cx="523876" cy="657226"/>
    <xdr:sp macro="" textlink="">
      <xdr:nvSpPr>
        <xdr:cNvPr id="2" name="Rectangle 1">
          <a:hlinkClick xmlns:r="http://schemas.openxmlformats.org/officeDocument/2006/relationships" r:id="rId1"/>
        </xdr:cNvPr>
        <xdr:cNvSpPr/>
      </xdr:nvSpPr>
      <xdr:spPr>
        <a:xfrm>
          <a:off x="38099" y="38099"/>
          <a:ext cx="523876"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38099</xdr:rowOff>
    </xdr:from>
    <xdr:ext cx="523876" cy="657226"/>
    <xdr:sp macro="" textlink="">
      <xdr:nvSpPr>
        <xdr:cNvPr id="3" name="Rectangle 2">
          <a:hlinkClick xmlns:r="http://schemas.openxmlformats.org/officeDocument/2006/relationships" r:id="rId2"/>
        </xdr:cNvPr>
        <xdr:cNvSpPr/>
      </xdr:nvSpPr>
      <xdr:spPr>
        <a:xfrm>
          <a:off x="609599" y="38099"/>
          <a:ext cx="523876"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398806</xdr:colOff>
      <xdr:row>3</xdr:row>
      <xdr:rowOff>29115</xdr:rowOff>
    </xdr:from>
    <xdr:ext cx="1515719" cy="428086"/>
    <xdr:sp macro="" textlink="">
      <xdr:nvSpPr>
        <xdr:cNvPr id="2" name="Rectangle 1">
          <a:hlinkClick xmlns:r="http://schemas.openxmlformats.org/officeDocument/2006/relationships" r:id="rId1"/>
        </xdr:cNvPr>
        <xdr:cNvSpPr/>
      </xdr:nvSpPr>
      <xdr:spPr>
        <a:xfrm>
          <a:off x="513106" y="610140"/>
          <a:ext cx="1515719" cy="428086"/>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solidFill>
                <a:schemeClr val="tx1"/>
              </a:solidFill>
              <a:effectLst/>
            </a:rPr>
            <a:t>Press to return to 2017 Portfolio View</a:t>
          </a:r>
        </a:p>
      </xdr:txBody>
    </xdr:sp>
    <xdr:clientData/>
  </xdr:oneCellAnchor>
  <xdr:twoCellAnchor>
    <xdr:from>
      <xdr:col>3</xdr:col>
      <xdr:colOff>72390</xdr:colOff>
      <xdr:row>3</xdr:row>
      <xdr:rowOff>30480</xdr:rowOff>
    </xdr:from>
    <xdr:to>
      <xdr:col>4</xdr:col>
      <xdr:colOff>15240</xdr:colOff>
      <xdr:row>3</xdr:row>
      <xdr:rowOff>440056</xdr:rowOff>
    </xdr:to>
    <xdr:sp macro="" textlink="">
      <xdr:nvSpPr>
        <xdr:cNvPr id="5" name="TextBox 4">
          <a:hlinkClick xmlns:r="http://schemas.openxmlformats.org/officeDocument/2006/relationships" r:id="rId2"/>
        </xdr:cNvPr>
        <xdr:cNvSpPr txBox="1"/>
      </xdr:nvSpPr>
      <xdr:spPr>
        <a:xfrm>
          <a:off x="2320290" y="609600"/>
          <a:ext cx="1062990" cy="40957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marL="0" indent="0"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latin typeface="+mn-lt"/>
              <a:ea typeface="+mn-ea"/>
              <a:cs typeface="+mn-cs"/>
            </a:rPr>
            <a:t>Go to 2017 Elec. Sector</a:t>
          </a:r>
        </a:p>
      </xdr:txBody>
    </xdr:sp>
    <xdr:clientData/>
  </xdr:twoCellAnchor>
</xdr:wsDr>
</file>

<file path=xl/drawings/drawing80.xml><?xml version="1.0" encoding="utf-8"?>
<xdr:wsDr xmlns:xdr="http://schemas.openxmlformats.org/drawingml/2006/spreadsheetDrawing" xmlns:a="http://schemas.openxmlformats.org/drawingml/2006/main">
  <xdr:oneCellAnchor>
    <xdr:from>
      <xdr:col>0</xdr:col>
      <xdr:colOff>38099</xdr:colOff>
      <xdr:row>0</xdr:row>
      <xdr:rowOff>38099</xdr:rowOff>
    </xdr:from>
    <xdr:ext cx="552451" cy="657225"/>
    <xdr:sp macro="" textlink="">
      <xdr:nvSpPr>
        <xdr:cNvPr id="2" name="Rectangle 1">
          <a:hlinkClick xmlns:r="http://schemas.openxmlformats.org/officeDocument/2006/relationships" r:id="rId1"/>
        </xdr:cNvPr>
        <xdr:cNvSpPr/>
      </xdr:nvSpPr>
      <xdr:spPr>
        <a:xfrm>
          <a:off x="38099" y="38099"/>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628649</xdr:colOff>
      <xdr:row>0</xdr:row>
      <xdr:rowOff>28574</xdr:rowOff>
    </xdr:from>
    <xdr:ext cx="552451" cy="657225"/>
    <xdr:sp macro="" textlink="">
      <xdr:nvSpPr>
        <xdr:cNvPr id="3" name="Rectangle 2">
          <a:hlinkClick xmlns:r="http://schemas.openxmlformats.org/officeDocument/2006/relationships" r:id="rId2"/>
        </xdr:cNvPr>
        <xdr:cNvSpPr/>
      </xdr:nvSpPr>
      <xdr:spPr>
        <a:xfrm>
          <a:off x="628649"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0</xdr:col>
      <xdr:colOff>47625</xdr:colOff>
      <xdr:row>0</xdr:row>
      <xdr:rowOff>38099</xdr:rowOff>
    </xdr:from>
    <xdr:ext cx="577215" cy="657226"/>
    <xdr:sp macro="" textlink="">
      <xdr:nvSpPr>
        <xdr:cNvPr id="2" name="Rectangle 1">
          <a:hlinkClick xmlns:r="http://schemas.openxmlformats.org/officeDocument/2006/relationships" r:id="rId1"/>
        </xdr:cNvPr>
        <xdr:cNvSpPr/>
      </xdr:nvSpPr>
      <xdr:spPr>
        <a:xfrm>
          <a:off x="47625" y="38099"/>
          <a:ext cx="577215" cy="6572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695325</xdr:colOff>
      <xdr:row>0</xdr:row>
      <xdr:rowOff>28574</xdr:rowOff>
    </xdr:from>
    <xdr:ext cx="542925" cy="657226"/>
    <xdr:sp macro="" textlink="">
      <xdr:nvSpPr>
        <xdr:cNvPr id="3" name="Rectangle 2">
          <a:hlinkClick xmlns:r="http://schemas.openxmlformats.org/officeDocument/2006/relationships" r:id="rId2"/>
        </xdr:cNvPr>
        <xdr:cNvSpPr/>
      </xdr:nvSpPr>
      <xdr:spPr>
        <a:xfrm>
          <a:off x="695325" y="28574"/>
          <a:ext cx="542925" cy="6572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2.xml><?xml version="1.0" encoding="utf-8"?>
<xdr:wsDr xmlns:xdr="http://schemas.openxmlformats.org/drawingml/2006/spreadsheetDrawing" xmlns:a="http://schemas.openxmlformats.org/drawingml/2006/main">
  <xdr:twoCellAnchor>
    <xdr:from>
      <xdr:col>1</xdr:col>
      <xdr:colOff>504825</xdr:colOff>
      <xdr:row>9</xdr:row>
      <xdr:rowOff>104775</xdr:rowOff>
    </xdr:from>
    <xdr:to>
      <xdr:col>3</xdr:col>
      <xdr:colOff>571500</xdr:colOff>
      <xdr:row>12</xdr:row>
      <xdr:rowOff>66675</xdr:rowOff>
    </xdr:to>
    <xdr:sp macro="" textlink="">
      <xdr:nvSpPr>
        <xdr:cNvPr id="2" name="Rectangle 1">
          <a:hlinkClick xmlns:r="http://schemas.openxmlformats.org/officeDocument/2006/relationships" r:id="rId1"/>
        </xdr:cNvPr>
        <xdr:cNvSpPr/>
      </xdr:nvSpPr>
      <xdr:spPr>
        <a:xfrm>
          <a:off x="1114425" y="1562100"/>
          <a:ext cx="12858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bg1"/>
              </a:solidFill>
            </a:rPr>
            <a:t>Return to Portfolio View</a:t>
          </a:r>
        </a:p>
      </xdr:txBody>
    </xdr:sp>
    <xdr:clientData/>
  </xdr:twoCellAnchor>
  <xdr:twoCellAnchor>
    <xdr:from>
      <xdr:col>1</xdr:col>
      <xdr:colOff>533400</xdr:colOff>
      <xdr:row>14</xdr:row>
      <xdr:rowOff>9526</xdr:rowOff>
    </xdr:from>
    <xdr:to>
      <xdr:col>3</xdr:col>
      <xdr:colOff>590550</xdr:colOff>
      <xdr:row>17</xdr:row>
      <xdr:rowOff>19051</xdr:rowOff>
    </xdr:to>
    <xdr:sp macro="" textlink="">
      <xdr:nvSpPr>
        <xdr:cNvPr id="3" name="Rectangle 2">
          <a:hlinkClick xmlns:r="http://schemas.openxmlformats.org/officeDocument/2006/relationships" r:id="rId2"/>
        </xdr:cNvPr>
        <xdr:cNvSpPr/>
      </xdr:nvSpPr>
      <xdr:spPr>
        <a:xfrm>
          <a:off x="1143000" y="2276476"/>
          <a:ext cx="1276350" cy="495300"/>
        </a:xfrm>
        <a:prstGeom prst="rect">
          <a:avLst/>
        </a:prstGeom>
        <a:solidFill>
          <a:srgbClr val="8DB4E3"/>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Electric Sector View</a:t>
          </a:r>
          <a:endParaRPr lang="en-US" sz="1100">
            <a:solidFill>
              <a:schemeClr val="tx1"/>
            </a:solidFill>
          </a:endParaRPr>
        </a:p>
      </xdr:txBody>
    </xdr:sp>
    <xdr:clientData/>
  </xdr:twoCellAnchor>
  <xdr:twoCellAnchor>
    <xdr:from>
      <xdr:col>4</xdr:col>
      <xdr:colOff>228600</xdr:colOff>
      <xdr:row>14</xdr:row>
      <xdr:rowOff>19051</xdr:rowOff>
    </xdr:from>
    <xdr:to>
      <xdr:col>6</xdr:col>
      <xdr:colOff>285750</xdr:colOff>
      <xdr:row>17</xdr:row>
      <xdr:rowOff>28576</xdr:rowOff>
    </xdr:to>
    <xdr:sp macro="" textlink="">
      <xdr:nvSpPr>
        <xdr:cNvPr id="4" name="Rectangle 3">
          <a:hlinkClick xmlns:r="http://schemas.openxmlformats.org/officeDocument/2006/relationships" r:id="rId3"/>
        </xdr:cNvPr>
        <xdr:cNvSpPr/>
      </xdr:nvSpPr>
      <xdr:spPr>
        <a:xfrm>
          <a:off x="2667000" y="2286001"/>
          <a:ext cx="1276350" cy="4953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Gas Sector View</a:t>
          </a:r>
          <a:endParaRPr lang="en-US" sz="1100">
            <a:solidFill>
              <a:schemeClr val="tx1"/>
            </a:solidFill>
          </a:endParaRPr>
        </a:p>
      </xdr:txBody>
    </xdr:sp>
    <xdr:clientData/>
  </xdr:twoCellAnchor>
</xdr:wsDr>
</file>

<file path=xl/drawings/drawing83.xml><?xml version="1.0" encoding="utf-8"?>
<xdr:wsDr xmlns:xdr="http://schemas.openxmlformats.org/drawingml/2006/spreadsheetDrawing" xmlns:a="http://schemas.openxmlformats.org/drawingml/2006/main">
  <xdr:oneCellAnchor>
    <xdr:from>
      <xdr:col>0</xdr:col>
      <xdr:colOff>47625</xdr:colOff>
      <xdr:row>0</xdr:row>
      <xdr:rowOff>38099</xdr:rowOff>
    </xdr:from>
    <xdr:ext cx="542926" cy="695326"/>
    <xdr:sp macro="" textlink="">
      <xdr:nvSpPr>
        <xdr:cNvPr id="2" name="Rectangle 1">
          <a:hlinkClick xmlns:r="http://schemas.openxmlformats.org/officeDocument/2006/relationships" r:id="rId1"/>
        </xdr:cNvPr>
        <xdr:cNvSpPr/>
      </xdr:nvSpPr>
      <xdr:spPr>
        <a:xfrm>
          <a:off x="47625" y="38099"/>
          <a:ext cx="542926" cy="695326"/>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42926" cy="695326"/>
    <xdr:sp macro="" textlink="">
      <xdr:nvSpPr>
        <xdr:cNvPr id="3" name="Rectangle 2">
          <a:hlinkClick xmlns:r="http://schemas.openxmlformats.org/officeDocument/2006/relationships" r:id="rId2"/>
        </xdr:cNvPr>
        <xdr:cNvSpPr/>
      </xdr:nvSpPr>
      <xdr:spPr>
        <a:xfrm>
          <a:off x="638175" y="28574"/>
          <a:ext cx="542926" cy="695326"/>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0</xdr:col>
      <xdr:colOff>47624</xdr:colOff>
      <xdr:row>0</xdr:row>
      <xdr:rowOff>28574</xdr:rowOff>
    </xdr:from>
    <xdr:ext cx="552451" cy="657225"/>
    <xdr:sp macro="" textlink="">
      <xdr:nvSpPr>
        <xdr:cNvPr id="2" name="Rectangle 1">
          <a:hlinkClick xmlns:r="http://schemas.openxmlformats.org/officeDocument/2006/relationships" r:id="rId1"/>
        </xdr:cNvPr>
        <xdr:cNvSpPr/>
      </xdr:nvSpPr>
      <xdr:spPr>
        <a:xfrm>
          <a:off x="47624" y="28574"/>
          <a:ext cx="552451"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657224</xdr:colOff>
      <xdr:row>0</xdr:row>
      <xdr:rowOff>28574</xdr:rowOff>
    </xdr:from>
    <xdr:ext cx="552451" cy="657225"/>
    <xdr:sp macro="" textlink="">
      <xdr:nvSpPr>
        <xdr:cNvPr id="3" name="Rectangle 2">
          <a:hlinkClick xmlns:r="http://schemas.openxmlformats.org/officeDocument/2006/relationships" r:id="rId2"/>
        </xdr:cNvPr>
        <xdr:cNvSpPr/>
      </xdr:nvSpPr>
      <xdr:spPr>
        <a:xfrm>
          <a:off x="657224" y="28574"/>
          <a:ext cx="552451"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0</xdr:col>
      <xdr:colOff>47625</xdr:colOff>
      <xdr:row>0</xdr:row>
      <xdr:rowOff>28575</xdr:rowOff>
    </xdr:from>
    <xdr:ext cx="523876" cy="685800"/>
    <xdr:sp macro="" textlink="">
      <xdr:nvSpPr>
        <xdr:cNvPr id="2" name="Rectangle 1">
          <a:hlinkClick xmlns:r="http://schemas.openxmlformats.org/officeDocument/2006/relationships" r:id="rId1"/>
        </xdr:cNvPr>
        <xdr:cNvSpPr/>
      </xdr:nvSpPr>
      <xdr:spPr>
        <a:xfrm>
          <a:off x="47625" y="28575"/>
          <a:ext cx="523876" cy="68580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28575</xdr:rowOff>
    </xdr:from>
    <xdr:ext cx="523876" cy="685800"/>
    <xdr:sp macro="" textlink="">
      <xdr:nvSpPr>
        <xdr:cNvPr id="3" name="Rectangle 2">
          <a:hlinkClick xmlns:r="http://schemas.openxmlformats.org/officeDocument/2006/relationships" r:id="rId2"/>
        </xdr:cNvPr>
        <xdr:cNvSpPr/>
      </xdr:nvSpPr>
      <xdr:spPr>
        <a:xfrm>
          <a:off x="638175" y="28575"/>
          <a:ext cx="523876" cy="68580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0</xdr:col>
      <xdr:colOff>47625</xdr:colOff>
      <xdr:row>0</xdr:row>
      <xdr:rowOff>28575</xdr:rowOff>
    </xdr:from>
    <xdr:ext cx="542926" cy="676275"/>
    <xdr:sp macro="" textlink="">
      <xdr:nvSpPr>
        <xdr:cNvPr id="2" name="Rectangle 1">
          <a:hlinkClick xmlns:r="http://schemas.openxmlformats.org/officeDocument/2006/relationships" r:id="rId1"/>
        </xdr:cNvPr>
        <xdr:cNvSpPr/>
      </xdr:nvSpPr>
      <xdr:spPr>
        <a:xfrm>
          <a:off x="47625" y="28575"/>
          <a:ext cx="542926" cy="67627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19050</xdr:rowOff>
    </xdr:from>
    <xdr:ext cx="542926" cy="676275"/>
    <xdr:sp macro="" textlink="">
      <xdr:nvSpPr>
        <xdr:cNvPr id="3" name="Rectangle 2">
          <a:hlinkClick xmlns:r="http://schemas.openxmlformats.org/officeDocument/2006/relationships" r:id="rId2"/>
        </xdr:cNvPr>
        <xdr:cNvSpPr/>
      </xdr:nvSpPr>
      <xdr:spPr>
        <a:xfrm>
          <a:off x="638175" y="19050"/>
          <a:ext cx="542926" cy="6762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7.xml><?xml version="1.0" encoding="utf-8"?>
<xdr:wsDr xmlns:xdr="http://schemas.openxmlformats.org/drawingml/2006/spreadsheetDrawing" xmlns:a="http://schemas.openxmlformats.org/drawingml/2006/main">
  <xdr:oneCellAnchor>
    <xdr:from>
      <xdr:col>0</xdr:col>
      <xdr:colOff>57150</xdr:colOff>
      <xdr:row>0</xdr:row>
      <xdr:rowOff>28574</xdr:rowOff>
    </xdr:from>
    <xdr:ext cx="537210" cy="657225"/>
    <xdr:sp macro="" textlink="">
      <xdr:nvSpPr>
        <xdr:cNvPr id="2" name="Rectangle 1">
          <a:hlinkClick xmlns:r="http://schemas.openxmlformats.org/officeDocument/2006/relationships" r:id="rId1"/>
        </xdr:cNvPr>
        <xdr:cNvSpPr/>
      </xdr:nvSpPr>
      <xdr:spPr>
        <a:xfrm>
          <a:off x="57150" y="28574"/>
          <a:ext cx="537210"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28574</xdr:rowOff>
    </xdr:from>
    <xdr:ext cx="504826" cy="657225"/>
    <xdr:sp macro="" textlink="">
      <xdr:nvSpPr>
        <xdr:cNvPr id="3" name="Rectangle 2">
          <a:hlinkClick xmlns:r="http://schemas.openxmlformats.org/officeDocument/2006/relationships" r:id="rId2"/>
        </xdr:cNvPr>
        <xdr:cNvSpPr/>
      </xdr:nvSpPr>
      <xdr:spPr>
        <a:xfrm>
          <a:off x="638175" y="28574"/>
          <a:ext cx="50482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0</xdr:col>
      <xdr:colOff>47624</xdr:colOff>
      <xdr:row>0</xdr:row>
      <xdr:rowOff>28575</xdr:rowOff>
    </xdr:from>
    <xdr:ext cx="539116" cy="657225"/>
    <xdr:sp macro="" textlink="">
      <xdr:nvSpPr>
        <xdr:cNvPr id="2" name="Rectangle 1">
          <a:hlinkClick xmlns:r="http://schemas.openxmlformats.org/officeDocument/2006/relationships" r:id="rId1"/>
        </xdr:cNvPr>
        <xdr:cNvSpPr/>
      </xdr:nvSpPr>
      <xdr:spPr>
        <a:xfrm>
          <a:off x="47624" y="28575"/>
          <a:ext cx="539116" cy="657225"/>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47625</xdr:rowOff>
    </xdr:from>
    <xdr:ext cx="485776" cy="657225"/>
    <xdr:sp macro="" textlink="">
      <xdr:nvSpPr>
        <xdr:cNvPr id="3" name="Rectangle 2">
          <a:hlinkClick xmlns:r="http://schemas.openxmlformats.org/officeDocument/2006/relationships" r:id="rId2"/>
        </xdr:cNvPr>
        <xdr:cNvSpPr/>
      </xdr:nvSpPr>
      <xdr:spPr>
        <a:xfrm>
          <a:off x="638175" y="47625"/>
          <a:ext cx="485776" cy="65722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0</xdr:col>
      <xdr:colOff>38099</xdr:colOff>
      <xdr:row>0</xdr:row>
      <xdr:rowOff>19050</xdr:rowOff>
    </xdr:from>
    <xdr:ext cx="533401" cy="628650"/>
    <xdr:sp macro="" textlink="">
      <xdr:nvSpPr>
        <xdr:cNvPr id="2" name="Rectangle 1">
          <a:hlinkClick xmlns:r="http://schemas.openxmlformats.org/officeDocument/2006/relationships" r:id="rId1"/>
        </xdr:cNvPr>
        <xdr:cNvSpPr/>
      </xdr:nvSpPr>
      <xdr:spPr>
        <a:xfrm>
          <a:off x="38099" y="19050"/>
          <a:ext cx="533401" cy="6286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33401" cy="628650"/>
    <xdr:sp macro="" textlink="">
      <xdr:nvSpPr>
        <xdr:cNvPr id="3" name="Rectangle 2">
          <a:hlinkClick xmlns:r="http://schemas.openxmlformats.org/officeDocument/2006/relationships" r:id="rId2"/>
        </xdr:cNvPr>
        <xdr:cNvSpPr/>
      </xdr:nvSpPr>
      <xdr:spPr>
        <a:xfrm>
          <a:off x="619124" y="19050"/>
          <a:ext cx="533401" cy="628650"/>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57150</xdr:colOff>
      <xdr:row>0</xdr:row>
      <xdr:rowOff>38100</xdr:rowOff>
    </xdr:from>
    <xdr:ext cx="542926" cy="590550"/>
    <xdr:sp macro="" textlink="">
      <xdr:nvSpPr>
        <xdr:cNvPr id="2" name="Rectangle 1">
          <a:hlinkClick xmlns:r="http://schemas.openxmlformats.org/officeDocument/2006/relationships" r:id="rId1"/>
        </xdr:cNvPr>
        <xdr:cNvSpPr/>
      </xdr:nvSpPr>
      <xdr:spPr>
        <a:xfrm>
          <a:off x="57150" y="38100"/>
          <a:ext cx="542926" cy="590550"/>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bg1"/>
              </a:solidFill>
              <a:effectLst/>
            </a:rPr>
            <a:t>Rtn</a:t>
          </a:r>
          <a:r>
            <a:rPr lang="en-US" sz="900" b="0" cap="none" spc="0" baseline="0">
              <a:ln w="10541" cmpd="sng">
                <a:solidFill>
                  <a:schemeClr val="accent1">
                    <a:shade val="88000"/>
                    <a:satMod val="110000"/>
                  </a:schemeClr>
                </a:solidFill>
                <a:prstDash val="solid"/>
              </a:ln>
              <a:solidFill>
                <a:schemeClr val="bg1"/>
              </a:solidFill>
              <a:effectLst/>
            </a:rPr>
            <a:t> to Electric Sector</a:t>
          </a:r>
          <a:endParaRPr lang="en-US" sz="900" b="0" cap="none" spc="0">
            <a:ln w="10541" cmpd="sng">
              <a:solidFill>
                <a:schemeClr val="accent1">
                  <a:shade val="88000"/>
                  <a:satMod val="110000"/>
                </a:schemeClr>
              </a:solidFill>
              <a:prstDash val="solid"/>
            </a:ln>
            <a:solidFill>
              <a:schemeClr val="bg1"/>
            </a:solidFill>
            <a:effectLst/>
          </a:endParaRPr>
        </a:p>
      </xdr:txBody>
    </xdr:sp>
    <xdr:clientData/>
  </xdr:oneCellAnchor>
  <xdr:oneCellAnchor>
    <xdr:from>
      <xdr:col>0</xdr:col>
      <xdr:colOff>666750</xdr:colOff>
      <xdr:row>0</xdr:row>
      <xdr:rowOff>28574</xdr:rowOff>
    </xdr:from>
    <xdr:ext cx="542926" cy="600075"/>
    <xdr:sp macro="" textlink="">
      <xdr:nvSpPr>
        <xdr:cNvPr id="4" name="Rectangle 3">
          <a:hlinkClick xmlns:r="http://schemas.openxmlformats.org/officeDocument/2006/relationships" r:id="rId2"/>
        </xdr:cNvPr>
        <xdr:cNvSpPr/>
      </xdr:nvSpPr>
      <xdr:spPr>
        <a:xfrm>
          <a:off x="666750" y="28574"/>
          <a:ext cx="542926" cy="600075"/>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solidFill>
                <a:schemeClr val="tx1"/>
              </a:solidFill>
              <a:effectLst/>
            </a:rPr>
            <a:t>Go to Gas Detail Page</a:t>
          </a:r>
        </a:p>
      </xdr:txBody>
    </xdr:sp>
    <xdr:clientData/>
  </xdr:oneCellAnchor>
</xdr:wsDr>
</file>

<file path=xl/drawings/drawing90.xml><?xml version="1.0" encoding="utf-8"?>
<xdr:wsDr xmlns:xdr="http://schemas.openxmlformats.org/drawingml/2006/spreadsheetDrawing" xmlns:a="http://schemas.openxmlformats.org/drawingml/2006/main">
  <xdr:oneCellAnchor>
    <xdr:from>
      <xdr:col>0</xdr:col>
      <xdr:colOff>47625</xdr:colOff>
      <xdr:row>0</xdr:row>
      <xdr:rowOff>28573</xdr:rowOff>
    </xdr:from>
    <xdr:ext cx="561975" cy="704851"/>
    <xdr:sp macro="" textlink="">
      <xdr:nvSpPr>
        <xdr:cNvPr id="2" name="Rectangle 1">
          <a:hlinkClick xmlns:r="http://schemas.openxmlformats.org/officeDocument/2006/relationships" r:id="rId1"/>
        </xdr:cNvPr>
        <xdr:cNvSpPr/>
      </xdr:nvSpPr>
      <xdr:spPr>
        <a:xfrm>
          <a:off x="47625" y="28573"/>
          <a:ext cx="56197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657225</xdr:colOff>
      <xdr:row>0</xdr:row>
      <xdr:rowOff>28573</xdr:rowOff>
    </xdr:from>
    <xdr:ext cx="561975" cy="704851"/>
    <xdr:sp macro="" textlink="">
      <xdr:nvSpPr>
        <xdr:cNvPr id="3" name="Rectangle 2">
          <a:hlinkClick xmlns:r="http://schemas.openxmlformats.org/officeDocument/2006/relationships" r:id="rId2"/>
        </xdr:cNvPr>
        <xdr:cNvSpPr/>
      </xdr:nvSpPr>
      <xdr:spPr>
        <a:xfrm>
          <a:off x="657225" y="28573"/>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1.xml><?xml version="1.0" encoding="utf-8"?>
<xdr:wsDr xmlns:xdr="http://schemas.openxmlformats.org/drawingml/2006/spreadsheetDrawing" xmlns:a="http://schemas.openxmlformats.org/drawingml/2006/main">
  <xdr:oneCellAnchor>
    <xdr:from>
      <xdr:col>0</xdr:col>
      <xdr:colOff>47625</xdr:colOff>
      <xdr:row>0</xdr:row>
      <xdr:rowOff>28573</xdr:rowOff>
    </xdr:from>
    <xdr:ext cx="569595" cy="704851"/>
    <xdr:sp macro="" textlink="">
      <xdr:nvSpPr>
        <xdr:cNvPr id="2" name="Rectangle 1">
          <a:hlinkClick xmlns:r="http://schemas.openxmlformats.org/officeDocument/2006/relationships" r:id="rId1"/>
        </xdr:cNvPr>
        <xdr:cNvSpPr/>
      </xdr:nvSpPr>
      <xdr:spPr>
        <a:xfrm>
          <a:off x="47625" y="28573"/>
          <a:ext cx="569595" cy="704851"/>
        </a:xfrm>
        <a:prstGeom prst="rect">
          <a:avLst/>
        </a:prstGeom>
        <a:solidFill>
          <a:schemeClr val="tx2">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Sector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653415</xdr:colOff>
      <xdr:row>0</xdr:row>
      <xdr:rowOff>19048</xdr:rowOff>
    </xdr:from>
    <xdr:ext cx="561975" cy="704851"/>
    <xdr:sp macro="" textlink="">
      <xdr:nvSpPr>
        <xdr:cNvPr id="3" name="Rectangle 2">
          <a:hlinkClick xmlns:r="http://schemas.openxmlformats.org/officeDocument/2006/relationships" r:id="rId2"/>
        </xdr:cNvPr>
        <xdr:cNvSpPr/>
      </xdr:nvSpPr>
      <xdr:spPr>
        <a:xfrm>
          <a:off x="653415" y="19048"/>
          <a:ext cx="561975" cy="704851"/>
        </a:xfrm>
        <a:prstGeom prst="rect">
          <a:avLst/>
        </a:prstGeom>
        <a:solidFill>
          <a:schemeClr val="accent6">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1000" b="1"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Gas Detail Page </a:t>
          </a:r>
          <a:endParaRPr lang="en-US" sz="1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2.xml><?xml version="1.0" encoding="utf-8"?>
<xdr:wsDr xmlns:xdr="http://schemas.openxmlformats.org/drawingml/2006/spreadsheetDrawing" xmlns:a="http://schemas.openxmlformats.org/drawingml/2006/main">
  <xdr:twoCellAnchor>
    <xdr:from>
      <xdr:col>1</xdr:col>
      <xdr:colOff>571500</xdr:colOff>
      <xdr:row>8</xdr:row>
      <xdr:rowOff>9525</xdr:rowOff>
    </xdr:from>
    <xdr:to>
      <xdr:col>3</xdr:col>
      <xdr:colOff>504825</xdr:colOff>
      <xdr:row>10</xdr:row>
      <xdr:rowOff>133350</xdr:rowOff>
    </xdr:to>
    <xdr:sp macro="" textlink="">
      <xdr:nvSpPr>
        <xdr:cNvPr id="2" name="Rectangle 1">
          <a:hlinkClick xmlns:r="http://schemas.openxmlformats.org/officeDocument/2006/relationships" r:id="rId1"/>
        </xdr:cNvPr>
        <xdr:cNvSpPr/>
      </xdr:nvSpPr>
      <xdr:spPr>
        <a:xfrm>
          <a:off x="1181100" y="1304925"/>
          <a:ext cx="1152525" cy="447675"/>
        </a:xfrm>
        <a:prstGeom prst="rect">
          <a:avLst/>
        </a:prstGeom>
        <a:solidFill>
          <a:srgbClr val="92D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to</a:t>
          </a:r>
          <a:r>
            <a:rPr lang="en-US" sz="1100" baseline="0">
              <a:solidFill>
                <a:schemeClr val="tx1"/>
              </a:solidFill>
            </a:rPr>
            <a:t> </a:t>
          </a:r>
          <a:r>
            <a:rPr lang="en-US" sz="1100">
              <a:solidFill>
                <a:schemeClr val="tx1"/>
              </a:solidFill>
            </a:rPr>
            <a:t>Portfolio View</a:t>
          </a:r>
        </a:p>
      </xdr:txBody>
    </xdr:sp>
    <xdr:clientData/>
  </xdr:twoCellAnchor>
  <xdr:twoCellAnchor>
    <xdr:from>
      <xdr:col>1</xdr:col>
      <xdr:colOff>581025</xdr:colOff>
      <xdr:row>12</xdr:row>
      <xdr:rowOff>76200</xdr:rowOff>
    </xdr:from>
    <xdr:to>
      <xdr:col>3</xdr:col>
      <xdr:colOff>533400</xdr:colOff>
      <xdr:row>15</xdr:row>
      <xdr:rowOff>114300</xdr:rowOff>
    </xdr:to>
    <xdr:sp macro="" textlink="">
      <xdr:nvSpPr>
        <xdr:cNvPr id="3" name="Rectangle 2">
          <a:hlinkClick xmlns:r="http://schemas.openxmlformats.org/officeDocument/2006/relationships" r:id="rId2"/>
        </xdr:cNvPr>
        <xdr:cNvSpPr/>
      </xdr:nvSpPr>
      <xdr:spPr>
        <a:xfrm>
          <a:off x="1190625" y="2019300"/>
          <a:ext cx="1171575" cy="523875"/>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Gas Sector View</a:t>
          </a:r>
          <a:endParaRPr lang="en-US" sz="1100">
            <a:solidFill>
              <a:schemeClr val="tx1"/>
            </a:solidFill>
          </a:endParaRPr>
        </a:p>
      </xdr:txBody>
    </xdr:sp>
    <xdr:clientData/>
  </xdr:twoCellAnchor>
  <xdr:twoCellAnchor>
    <xdr:from>
      <xdr:col>4</xdr:col>
      <xdr:colOff>114300</xdr:colOff>
      <xdr:row>12</xdr:row>
      <xdr:rowOff>95250</xdr:rowOff>
    </xdr:from>
    <xdr:to>
      <xdr:col>6</xdr:col>
      <xdr:colOff>66675</xdr:colOff>
      <xdr:row>15</xdr:row>
      <xdr:rowOff>133350</xdr:rowOff>
    </xdr:to>
    <xdr:sp macro="" textlink="">
      <xdr:nvSpPr>
        <xdr:cNvPr id="4" name="Rectangle 3">
          <a:hlinkClick xmlns:r="http://schemas.openxmlformats.org/officeDocument/2006/relationships" r:id="rId3"/>
        </xdr:cNvPr>
        <xdr:cNvSpPr/>
      </xdr:nvSpPr>
      <xdr:spPr>
        <a:xfrm>
          <a:off x="2552700" y="2038350"/>
          <a:ext cx="1171575" cy="523875"/>
        </a:xfrm>
        <a:prstGeom prst="rect">
          <a:avLst/>
        </a:prstGeom>
        <a:solidFill>
          <a:schemeClr val="accent1">
            <a:lumMod val="40000"/>
            <a:lumOff val="6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Go to Electric </a:t>
          </a:r>
          <a:r>
            <a:rPr lang="en-US" sz="1100" baseline="0">
              <a:solidFill>
                <a:schemeClr val="tx1"/>
              </a:solidFill>
            </a:rPr>
            <a:t>Sector View</a:t>
          </a:r>
          <a:endParaRPr lang="en-US" sz="1100">
            <a:solidFill>
              <a:schemeClr val="tx1"/>
            </a:solidFill>
          </a:endParaRPr>
        </a:p>
      </xdr:txBody>
    </xdr:sp>
    <xdr:clientData/>
  </xdr:twoCellAnchor>
</xdr:wsDr>
</file>

<file path=xl/drawings/drawing93.xml><?xml version="1.0" encoding="utf-8"?>
<xdr:wsDr xmlns:xdr="http://schemas.openxmlformats.org/drawingml/2006/spreadsheetDrawing" xmlns:a="http://schemas.openxmlformats.org/drawingml/2006/main">
  <xdr:oneCellAnchor>
    <xdr:from>
      <xdr:col>0</xdr:col>
      <xdr:colOff>28575</xdr:colOff>
      <xdr:row>0</xdr:row>
      <xdr:rowOff>28575</xdr:rowOff>
    </xdr:from>
    <xdr:ext cx="542925" cy="647700"/>
    <xdr:sp macro="" textlink="">
      <xdr:nvSpPr>
        <xdr:cNvPr id="2" name="Rectangle 1">
          <a:hlinkClick xmlns:r="http://schemas.openxmlformats.org/officeDocument/2006/relationships" r:id="rId1"/>
        </xdr:cNvPr>
        <xdr:cNvSpPr/>
      </xdr:nvSpPr>
      <xdr:spPr>
        <a:xfrm>
          <a:off x="28575" y="28575"/>
          <a:ext cx="542925" cy="6477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609600</xdr:colOff>
      <xdr:row>0</xdr:row>
      <xdr:rowOff>28575</xdr:rowOff>
    </xdr:from>
    <xdr:ext cx="542925" cy="647700"/>
    <xdr:sp macro="" textlink="">
      <xdr:nvSpPr>
        <xdr:cNvPr id="3" name="Rectangle 2">
          <a:hlinkClick xmlns:r="http://schemas.openxmlformats.org/officeDocument/2006/relationships" r:id="rId2"/>
        </xdr:cNvPr>
        <xdr:cNvSpPr/>
      </xdr:nvSpPr>
      <xdr:spPr>
        <a:xfrm>
          <a:off x="609600" y="28575"/>
          <a:ext cx="542925" cy="6477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0</xdr:col>
      <xdr:colOff>28574</xdr:colOff>
      <xdr:row>0</xdr:row>
      <xdr:rowOff>38099</xdr:rowOff>
    </xdr:from>
    <xdr:ext cx="552451" cy="638176"/>
    <xdr:sp macro="" textlink="">
      <xdr:nvSpPr>
        <xdr:cNvPr id="2" name="Rectangle 1">
          <a:hlinkClick xmlns:r="http://schemas.openxmlformats.org/officeDocument/2006/relationships" r:id="rId1"/>
        </xdr:cNvPr>
        <xdr:cNvSpPr/>
      </xdr:nvSpPr>
      <xdr:spPr>
        <a:xfrm>
          <a:off x="28574" y="38099"/>
          <a:ext cx="552451"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a:t>
          </a:r>
        </a:p>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47624</xdr:rowOff>
    </xdr:from>
    <xdr:ext cx="552451" cy="638176"/>
    <xdr:sp macro="" textlink="">
      <xdr:nvSpPr>
        <xdr:cNvPr id="3" name="Rectangle 2">
          <a:hlinkClick xmlns:r="http://schemas.openxmlformats.org/officeDocument/2006/relationships" r:id="rId2"/>
        </xdr:cNvPr>
        <xdr:cNvSpPr/>
      </xdr:nvSpPr>
      <xdr:spPr>
        <a:xfrm>
          <a:off x="619124" y="47624"/>
          <a:ext cx="552451"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0</xdr:col>
      <xdr:colOff>38100</xdr:colOff>
      <xdr:row>0</xdr:row>
      <xdr:rowOff>28574</xdr:rowOff>
    </xdr:from>
    <xdr:ext cx="542925" cy="638176"/>
    <xdr:sp macro="" textlink="">
      <xdr:nvSpPr>
        <xdr:cNvPr id="2" name="Rectangle 1">
          <a:hlinkClick xmlns:r="http://schemas.openxmlformats.org/officeDocument/2006/relationships" r:id="rId1"/>
        </xdr:cNvPr>
        <xdr:cNvSpPr/>
      </xdr:nvSpPr>
      <xdr:spPr>
        <a:xfrm>
          <a:off x="38100" y="28574"/>
          <a:ext cx="542925" cy="638176"/>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638175</xdr:colOff>
      <xdr:row>0</xdr:row>
      <xdr:rowOff>47624</xdr:rowOff>
    </xdr:from>
    <xdr:ext cx="542925" cy="638176"/>
    <xdr:sp macro="" textlink="">
      <xdr:nvSpPr>
        <xdr:cNvPr id="3" name="Rectangle 2">
          <a:hlinkClick xmlns:r="http://schemas.openxmlformats.org/officeDocument/2006/relationships" r:id="rId2"/>
        </xdr:cNvPr>
        <xdr:cNvSpPr/>
      </xdr:nvSpPr>
      <xdr:spPr>
        <a:xfrm>
          <a:off x="638175" y="47624"/>
          <a:ext cx="542925" cy="638176"/>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6.xml><?xml version="1.0" encoding="utf-8"?>
<xdr:wsDr xmlns:xdr="http://schemas.openxmlformats.org/drawingml/2006/spreadsheetDrawing" xmlns:a="http://schemas.openxmlformats.org/drawingml/2006/main">
  <xdr:oneCellAnchor>
    <xdr:from>
      <xdr:col>0</xdr:col>
      <xdr:colOff>38099</xdr:colOff>
      <xdr:row>0</xdr:row>
      <xdr:rowOff>28574</xdr:rowOff>
    </xdr:from>
    <xdr:ext cx="533401" cy="647701"/>
    <xdr:sp macro="" textlink="">
      <xdr:nvSpPr>
        <xdr:cNvPr id="2" name="Rectangle 1">
          <a:hlinkClick xmlns:r="http://schemas.openxmlformats.org/officeDocument/2006/relationships" r:id="rId1"/>
        </xdr:cNvPr>
        <xdr:cNvSpPr/>
      </xdr:nvSpPr>
      <xdr:spPr>
        <a:xfrm>
          <a:off x="38099" y="28574"/>
          <a:ext cx="533401" cy="6477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609599</xdr:colOff>
      <xdr:row>0</xdr:row>
      <xdr:rowOff>19049</xdr:rowOff>
    </xdr:from>
    <xdr:ext cx="533401" cy="647701"/>
    <xdr:sp macro="" textlink="">
      <xdr:nvSpPr>
        <xdr:cNvPr id="3" name="Rectangle 2">
          <a:hlinkClick xmlns:r="http://schemas.openxmlformats.org/officeDocument/2006/relationships" r:id="rId2"/>
        </xdr:cNvPr>
        <xdr:cNvSpPr/>
      </xdr:nvSpPr>
      <xdr:spPr>
        <a:xfrm>
          <a:off x="609599" y="19049"/>
          <a:ext cx="533401" cy="6477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7.xml><?xml version="1.0" encoding="utf-8"?>
<xdr:wsDr xmlns:xdr="http://schemas.openxmlformats.org/drawingml/2006/spreadsheetDrawing" xmlns:a="http://schemas.openxmlformats.org/drawingml/2006/main">
  <xdr:twoCellAnchor>
    <xdr:from>
      <xdr:col>1</xdr:col>
      <xdr:colOff>504825</xdr:colOff>
      <xdr:row>20</xdr:row>
      <xdr:rowOff>76200</xdr:rowOff>
    </xdr:from>
    <xdr:to>
      <xdr:col>3</xdr:col>
      <xdr:colOff>457200</xdr:colOff>
      <xdr:row>23</xdr:row>
      <xdr:rowOff>38100</xdr:rowOff>
    </xdr:to>
    <xdr:sp macro="" textlink="">
      <xdr:nvSpPr>
        <xdr:cNvPr id="2" name="Rectangle 1">
          <a:hlinkClick xmlns:r="http://schemas.openxmlformats.org/officeDocument/2006/relationships" r:id="rId1"/>
        </xdr:cNvPr>
        <xdr:cNvSpPr/>
      </xdr:nvSpPr>
      <xdr:spPr>
        <a:xfrm>
          <a:off x="1114425" y="3314700"/>
          <a:ext cx="1171575" cy="447675"/>
        </a:xfrm>
        <a:prstGeom prst="rect">
          <a:avLst/>
        </a:prstGeom>
        <a:solidFill>
          <a:srgbClr val="00B05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 t</a:t>
          </a:r>
          <a:r>
            <a:rPr lang="en-US" sz="1100" baseline="0">
              <a:solidFill>
                <a:schemeClr val="tx1"/>
              </a:solidFill>
            </a:rPr>
            <a:t>o </a:t>
          </a:r>
          <a:r>
            <a:rPr lang="en-US" sz="1100">
              <a:solidFill>
                <a:schemeClr val="tx1"/>
              </a:solidFill>
            </a:rPr>
            <a:t>Portfolio View</a:t>
          </a:r>
        </a:p>
      </xdr:txBody>
    </xdr:sp>
    <xdr:clientData/>
  </xdr:twoCellAnchor>
  <xdr:twoCellAnchor>
    <xdr:from>
      <xdr:col>1</xdr:col>
      <xdr:colOff>533400</xdr:colOff>
      <xdr:row>24</xdr:row>
      <xdr:rowOff>142876</xdr:rowOff>
    </xdr:from>
    <xdr:to>
      <xdr:col>3</xdr:col>
      <xdr:colOff>476250</xdr:colOff>
      <xdr:row>28</xdr:row>
      <xdr:rowOff>85726</xdr:rowOff>
    </xdr:to>
    <xdr:sp macro="" textlink="">
      <xdr:nvSpPr>
        <xdr:cNvPr id="3" name="Rectangle 2">
          <a:hlinkClick xmlns:r="http://schemas.openxmlformats.org/officeDocument/2006/relationships" r:id="rId2"/>
        </xdr:cNvPr>
        <xdr:cNvSpPr/>
      </xdr:nvSpPr>
      <xdr:spPr>
        <a:xfrm>
          <a:off x="1143000" y="4029076"/>
          <a:ext cx="1162050" cy="59055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a:solidFill>
                <a:schemeClr val="tx1"/>
              </a:solidFill>
            </a:rPr>
            <a:t>Return</a:t>
          </a:r>
          <a:r>
            <a:rPr lang="en-US" sz="1100" baseline="0">
              <a:solidFill>
                <a:schemeClr val="tx1"/>
              </a:solidFill>
            </a:rPr>
            <a:t> to 2-year Gas Sector View</a:t>
          </a:r>
          <a:endParaRPr lang="en-US" sz="1100">
            <a:solidFill>
              <a:schemeClr val="tx1"/>
            </a:solidFill>
          </a:endParaRPr>
        </a:p>
      </xdr:txBody>
    </xdr:sp>
    <xdr:clientData/>
  </xdr:twoCellAnchor>
  <xdr:twoCellAnchor>
    <xdr:from>
      <xdr:col>4</xdr:col>
      <xdr:colOff>123825</xdr:colOff>
      <xdr:row>24</xdr:row>
      <xdr:rowOff>133351</xdr:rowOff>
    </xdr:from>
    <xdr:to>
      <xdr:col>6</xdr:col>
      <xdr:colOff>66675</xdr:colOff>
      <xdr:row>28</xdr:row>
      <xdr:rowOff>76201</xdr:rowOff>
    </xdr:to>
    <xdr:sp macro="" textlink="">
      <xdr:nvSpPr>
        <xdr:cNvPr id="4" name="Rectangle 3">
          <a:hlinkClick xmlns:r="http://schemas.openxmlformats.org/officeDocument/2006/relationships" r:id="rId3"/>
        </xdr:cNvPr>
        <xdr:cNvSpPr/>
      </xdr:nvSpPr>
      <xdr:spPr>
        <a:xfrm>
          <a:off x="2562225" y="4019551"/>
          <a:ext cx="1162050" cy="59055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aseline="0">
              <a:solidFill>
                <a:schemeClr val="tx1"/>
              </a:solidFill>
            </a:rPr>
            <a:t>Go to Electric 2-year Sector View</a:t>
          </a:r>
          <a:endParaRPr lang="en-US" sz="1100">
            <a:solidFill>
              <a:schemeClr val="tx1"/>
            </a:solidFill>
          </a:endParaRPr>
        </a:p>
      </xdr:txBody>
    </xdr:sp>
    <xdr:clientData/>
  </xdr:twoCellAnchor>
</xdr:wsDr>
</file>

<file path=xl/drawings/drawing98.xml><?xml version="1.0" encoding="utf-8"?>
<xdr:wsDr xmlns:xdr="http://schemas.openxmlformats.org/drawingml/2006/spreadsheetDrawing" xmlns:a="http://schemas.openxmlformats.org/drawingml/2006/main">
  <xdr:oneCellAnchor>
    <xdr:from>
      <xdr:col>0</xdr:col>
      <xdr:colOff>28575</xdr:colOff>
      <xdr:row>0</xdr:row>
      <xdr:rowOff>28574</xdr:rowOff>
    </xdr:from>
    <xdr:ext cx="542925" cy="685801"/>
    <xdr:sp macro="" textlink="">
      <xdr:nvSpPr>
        <xdr:cNvPr id="2" name="Rectangle 1">
          <a:hlinkClick xmlns:r="http://schemas.openxmlformats.org/officeDocument/2006/relationships" r:id="rId1"/>
        </xdr:cNvPr>
        <xdr:cNvSpPr/>
      </xdr:nvSpPr>
      <xdr:spPr>
        <a:xfrm>
          <a:off x="28575" y="28574"/>
          <a:ext cx="542925" cy="685801"/>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619125</xdr:colOff>
      <xdr:row>0</xdr:row>
      <xdr:rowOff>28575</xdr:rowOff>
    </xdr:from>
    <xdr:ext cx="542925" cy="685801"/>
    <xdr:sp macro="" textlink="">
      <xdr:nvSpPr>
        <xdr:cNvPr id="3" name="Rectangle 2">
          <a:hlinkClick xmlns:r="http://schemas.openxmlformats.org/officeDocument/2006/relationships" r:id="rId2"/>
        </xdr:cNvPr>
        <xdr:cNvSpPr/>
      </xdr:nvSpPr>
      <xdr:spPr>
        <a:xfrm>
          <a:off x="619125" y="28575"/>
          <a:ext cx="542925" cy="685801"/>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Electric Detail Page</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0</xdr:col>
      <xdr:colOff>38099</xdr:colOff>
      <xdr:row>0</xdr:row>
      <xdr:rowOff>19050</xdr:rowOff>
    </xdr:from>
    <xdr:ext cx="552451" cy="685800"/>
    <xdr:sp macro="" textlink="">
      <xdr:nvSpPr>
        <xdr:cNvPr id="2" name="Rectangle 1">
          <a:hlinkClick xmlns:r="http://schemas.openxmlformats.org/officeDocument/2006/relationships" r:id="rId1"/>
        </xdr:cNvPr>
        <xdr:cNvSpPr/>
      </xdr:nvSpPr>
      <xdr:spPr>
        <a:xfrm>
          <a:off x="38099" y="19050"/>
          <a:ext cx="552451" cy="685800"/>
        </a:xfrm>
        <a:prstGeom prst="rect">
          <a:avLst/>
        </a:prstGeom>
        <a:solidFill>
          <a:schemeClr val="accent6">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Rtn</a:t>
          </a: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 to Gas Sector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oneCellAnchor>
    <xdr:from>
      <xdr:col>0</xdr:col>
      <xdr:colOff>619124</xdr:colOff>
      <xdr:row>0</xdr:row>
      <xdr:rowOff>19050</xdr:rowOff>
    </xdr:from>
    <xdr:ext cx="552451" cy="685800"/>
    <xdr:sp macro="" textlink="">
      <xdr:nvSpPr>
        <xdr:cNvPr id="3" name="Rectangle 2">
          <a:hlinkClick xmlns:r="http://schemas.openxmlformats.org/officeDocument/2006/relationships" r:id="rId2"/>
        </xdr:cNvPr>
        <xdr:cNvSpPr/>
      </xdr:nvSpPr>
      <xdr:spPr>
        <a:xfrm>
          <a:off x="619124" y="19050"/>
          <a:ext cx="552451" cy="685800"/>
        </a:xfrm>
        <a:prstGeom prst="rect">
          <a:avLst/>
        </a:prstGeom>
        <a:solidFill>
          <a:schemeClr val="accent1">
            <a:lumMod val="20000"/>
            <a:lumOff val="8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wrap="square" lIns="91440" tIns="45720" rIns="91440" bIns="45720">
          <a:noAutofit/>
        </a:bodyPr>
        <a:lstStyle/>
        <a:p>
          <a:pPr algn="ctr"/>
          <a:r>
            <a:rPr lang="en-US" sz="900" b="0" cap="none" spc="0" baseline="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rPr>
            <a:t>Go to Electric Detail Page </a:t>
          </a:r>
          <a:endParaRPr lang="en-US" sz="9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Budget%20&amp;%20Administration/WUTC_Filing_Program_Planning/2014-2015%20Biennium/2015%20ACP/Exhibit%201/Exhibit%201_Replacement%20filing%20to%20correct%20Rebate%20Processing%20error_Ver2.50__0403201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rottg\AppData\Local\Microsoft\Windows\Temporary%20Internet%20Files\Content.Outlook\GD41MWUJ\Master_2016(17)_REM_Program_Planner_08072015_UNLOCKED%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hemst\AppData\Local\Microsoft\Windows\Temporary%20Internet%20Files\Content.Outlook\QNMTTVLL\2016-7%20Biennium%20Budget%20workshe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First"/>
      <sheetName val="Budget Category Descriptions"/>
      <sheetName val="Building the 2-year elec. tgt"/>
      <sheetName val="Portfolio--2015 only"/>
      <sheetName val="2015 Sector View Elect"/>
      <sheetName val="2015 Sector View Gas"/>
      <sheetName val=" LIW Detail_REM E201_Elec"/>
      <sheetName val="REM E214 Title Tab "/>
      <sheetName val="HomePrint Detail_REM_E214 Elec"/>
      <sheetName val="WaterHea_Detail_REM_E214 Elec"/>
      <sheetName val="Wx_Detail_REM E214 Elec"/>
      <sheetName val="SpcHeat Detail_REM_E214 Elec"/>
      <sheetName val="HmAppplc_Detail_REM_E214 Elec"/>
      <sheetName val="ShwrHead_Detail_REM_E214  Elec"/>
      <sheetName val="Lighting Detail_REM_E214 Elec"/>
      <sheetName val="MHDS Detail_REM_E214 Elec."/>
      <sheetName val="ARRAWx Detail_REM_E214 Elec"/>
      <sheetName val="HER Detail_REM_E214 elec."/>
      <sheetName val="SFNC Detail_REM E215 Elec"/>
      <sheetName val="NCMfgHome Detail_REM E215 Elec"/>
      <sheetName val="FuelConv Detail_REM E216 Elec"/>
      <sheetName val="MF Retr Detail_REM E217 Elec"/>
      <sheetName val="MFNC Detail_REM E218 Elec"/>
      <sheetName val="LIW Detail_REM G201 Gas"/>
      <sheetName val="REM Gas Sch 214 Title"/>
      <sheetName val="HmPrint Detail_REM G214 Gas"/>
      <sheetName val="WtrHeat Detail_REM G214 Gas"/>
      <sheetName val="Wx Detail_REM G214 Gas"/>
      <sheetName val="SpHeat Detail_REM G214 Gas"/>
      <sheetName val="ShwrHead Detail_REM G214 Gas"/>
      <sheetName val="HmApplSvgs Detail_REM G214 Gas"/>
      <sheetName val="MHDS Detail_REM G214 Gas"/>
      <sheetName val="WebTstat Detail_REM G214 Gas"/>
      <sheetName val="HER Detail_REM G214 gas"/>
      <sheetName val="SFNC Detail_REM G215 Gas"/>
      <sheetName val="NCMfgHomes Detail_REM G215 Gas"/>
      <sheetName val="MF Retr Detail_REM G217 Gas"/>
      <sheetName val="MFNC Detail_REM G218 Gas"/>
      <sheetName val="CI Retr Detail_BEM E250 Elec"/>
      <sheetName val="Bus Lgt Grnts_BEM E250 Elect"/>
      <sheetName val="CI NC Detail_BEM E251 Elec"/>
      <sheetName val="RCM Detail_BEM E253 Elec"/>
      <sheetName val="Cancelled--SBL_Sch 255 Elec"/>
      <sheetName val="LPSD_Detail_BEM E258 Elec"/>
      <sheetName val="TechEval Detail_BEM E261 Elec"/>
      <sheetName val="Comm Lgt Mkdn_E262 Elec"/>
      <sheetName val="Comm Kit-Laund_E262 elec"/>
      <sheetName val="Comm DI_E262 Elec"/>
      <sheetName val="Comm HVAC_E262 elec"/>
      <sheetName val="Comm Lgt_E262 Elec"/>
      <sheetName val="Sm Bus DI_E262 Elec"/>
      <sheetName val="CI Retr Detail_BEM G250 Gas"/>
      <sheetName val="CI NC Detail_BEM G251 Gas"/>
      <sheetName val="RCM Detail_BEM 253 Gas"/>
      <sheetName val="TechEval Detail_BEM G261 Gas"/>
      <sheetName val="Sm Bus DI_G262 Gas"/>
      <sheetName val="Comm Kit-Laund_G262 Gas"/>
      <sheetName val="Comm DI_G262 Gas"/>
      <sheetName val="Comm HVAC_G262 Gas"/>
      <sheetName val="REM Pilots E249 Elec"/>
      <sheetName val="BEM Pilots E249 Elec"/>
      <sheetName val="REM Pilots Detail G249 Gas"/>
      <sheetName val="BEM Pilots Detail G249 Gas"/>
      <sheetName val="NEEA Detail_E254 elec"/>
      <sheetName val="T&amp;D Detail_Reg E292 elec"/>
      <sheetName val="Gas MktTrans_Detail_Gas"/>
      <sheetName val="Portf Suppt Cust Eng Elec Title"/>
      <sheetName val="Engy Adv Detail_PSCE  Elec"/>
      <sheetName val="Events Detail_PSCE Elec"/>
      <sheetName val="Brochures Detail_PSCE Elec"/>
      <sheetName val="Educatn Detail_PSCE E202 Elec"/>
      <sheetName val="Port Suppt_Web Exp Elec Title"/>
      <sheetName val="CustOnline Detail_PSWE_Elec"/>
      <sheetName val="Mkt Intgn Detail_PSWE_Elec"/>
      <sheetName val="ABS Detail_PSWE_Elec"/>
      <sheetName val="Rebt Procg Detail_Elec"/>
      <sheetName val="EEC Detail_PS_Elec"/>
      <sheetName val="TradeAlly Detail_PS_ Elec"/>
      <sheetName val="Port Supp Cust Engage Gas Title"/>
      <sheetName val="Engy Adv Detail_PSCE_Gas"/>
      <sheetName val="Events Detail_PSCE_Gas"/>
      <sheetName val="Brochure Detail_PSCE_Gas"/>
      <sheetName val="Eductn Detail_PSCE_G207 Gas"/>
      <sheetName val="Port Supp_Web Exp Gas Title"/>
      <sheetName val="CustOnline Detail_PSWE_Gas"/>
      <sheetName val="Mkt Intg Detail_PSWE_Gas"/>
      <sheetName val="ABS Detail_PSWE_Gas"/>
      <sheetName val="Rebt Procg_Detail Gas"/>
      <sheetName val="EEC Detail_PS_Gas"/>
      <sheetName val="TradeAlly Detail_PS_gas"/>
      <sheetName val="SuppCrv Detail_R&amp;C_Elec"/>
      <sheetName val="Strat Plan Detail_R&amp;C_Elec"/>
      <sheetName val="Mktg Resch Detail_PS_ Elec"/>
      <sheetName val="Eval Detail_R&amp;C_Elec"/>
      <sheetName val="BECAR Detail_R&amp;C Elec"/>
      <sheetName val="VTeam Detail_R&amp;C_Elec"/>
      <sheetName val="Data &amp; Systms Svcs R&amp;C_ Elec"/>
      <sheetName val="Prog Develpmt_R&amp;C Elec"/>
      <sheetName val="Supp Crv Detail_R&amp;C_gas"/>
      <sheetName val="Strat Pln Detail_R&amp;C_Gas"/>
      <sheetName val="Mktg Rsch Detail_PS_gas"/>
      <sheetName val="Eval Detail_R&amp;C_Gas"/>
      <sheetName val="Vteam Detail_R&amp;C_Gas"/>
      <sheetName val="Data &amp; Systms Svcs_R&amp;C_Gas"/>
      <sheetName val="Prog Develpmnt_R&amp;C Gas"/>
      <sheetName val="Net Mtr Details_Oth Elec E150"/>
      <sheetName val="ElecVehChgInctv_E195_Elec"/>
      <sheetName val="Cancelled_Oth Elec_Renw Ed E248"/>
      <sheetName val="CI Load Details_Oth Elec E271"/>
      <sheetName val="Suspended_Oth Elec_Res DR"/>
      <sheetName val="BEM In-house savings"/>
      <sheetName val="BEM Contracted savings"/>
      <sheetName val="Rebates Detail_BEM E262 Elec"/>
      <sheetName val="Rebates Detail_BEM G262 Gas"/>
      <sheetName val="Sheet1"/>
    </sheetNames>
    <sheetDataSet>
      <sheetData sheetId="0"/>
      <sheetData sheetId="1"/>
      <sheetData sheetId="2"/>
      <sheetData sheetId="3"/>
      <sheetData sheetId="4">
        <row r="7">
          <cell r="T7">
            <v>1571214.29</v>
          </cell>
        </row>
        <row r="8">
          <cell r="T8">
            <v>3009000</v>
          </cell>
        </row>
        <row r="9">
          <cell r="T9">
            <v>634500</v>
          </cell>
        </row>
        <row r="10">
          <cell r="T10">
            <v>2315958.7099999995</v>
          </cell>
        </row>
        <row r="11">
          <cell r="T11">
            <v>294000</v>
          </cell>
        </row>
        <row r="12">
          <cell r="T12">
            <v>7841910</v>
          </cell>
        </row>
        <row r="14">
          <cell r="T14">
            <v>11386446</v>
          </cell>
        </row>
        <row r="15">
          <cell r="T15">
            <v>4138680</v>
          </cell>
        </row>
        <row r="16">
          <cell r="T16">
            <v>66609297.258661754</v>
          </cell>
        </row>
        <row r="17">
          <cell r="T17">
            <v>4665981</v>
          </cell>
        </row>
        <row r="18">
          <cell r="T18">
            <v>472500</v>
          </cell>
        </row>
        <row r="19">
          <cell r="T19">
            <v>0</v>
          </cell>
        </row>
        <row r="21">
          <cell r="T21">
            <v>2062500</v>
          </cell>
        </row>
        <row r="22">
          <cell r="T22">
            <v>25861860</v>
          </cell>
        </row>
        <row r="23">
          <cell r="T23">
            <v>1057398.7120000001</v>
          </cell>
        </row>
        <row r="64">
          <cell r="S64">
            <v>1060385.3394399998</v>
          </cell>
        </row>
        <row r="65">
          <cell r="S65">
            <v>530378.69305</v>
          </cell>
        </row>
        <row r="66">
          <cell r="S66">
            <v>80222.005000000005</v>
          </cell>
        </row>
        <row r="67">
          <cell r="S67">
            <v>81135.196939999994</v>
          </cell>
        </row>
        <row r="69">
          <cell r="S69">
            <v>562455</v>
          </cell>
        </row>
        <row r="70">
          <cell r="S70">
            <v>298797.19500000001</v>
          </cell>
        </row>
        <row r="71">
          <cell r="S71">
            <v>67586</v>
          </cell>
        </row>
        <row r="72">
          <cell r="S72">
            <v>825839.83129999996</v>
          </cell>
        </row>
        <row r="73">
          <cell r="S73">
            <v>453835.93251999997</v>
          </cell>
        </row>
        <row r="74">
          <cell r="S74">
            <v>740193.16032000002</v>
          </cell>
        </row>
        <row r="75">
          <cell r="S75">
            <v>814515.85100000002</v>
          </cell>
        </row>
        <row r="76">
          <cell r="S76">
            <v>60333</v>
          </cell>
        </row>
        <row r="77">
          <cell r="S77">
            <v>5575677.2045699991</v>
          </cell>
        </row>
        <row r="93">
          <cell r="S93">
            <v>760196.40487241256</v>
          </cell>
        </row>
        <row r="94">
          <cell r="S94">
            <v>2878145.7829999998</v>
          </cell>
        </row>
        <row r="96">
          <cell r="S96">
            <v>0</v>
          </cell>
        </row>
        <row r="97">
          <cell r="S97">
            <v>0</v>
          </cell>
        </row>
        <row r="98">
          <cell r="S98">
            <v>3638342.1878724126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Reference"/>
      <sheetName val="Summary"/>
      <sheetName val="E201_18230611"/>
      <sheetName val="G201_18230661"/>
      <sheetName val="Shell_LIW_E"/>
      <sheetName val="Shell_E"/>
      <sheetName val="G214_18230434G"/>
      <sheetName val="18230625_HP"/>
      <sheetName val="18230626_WHeat"/>
      <sheetName val="18230628_SpHeat"/>
      <sheetName val="18230638_SpHeat"/>
      <sheetName val="18230627_Wx"/>
      <sheetName val="18230637_Wx"/>
      <sheetName val="18230634_MHDS"/>
      <sheetName val="18230612_FConv"/>
      <sheetName val="18230461_HER"/>
      <sheetName val="18230738_HER"/>
      <sheetName val="18230522_RER"/>
      <sheetName val="18230622_RER"/>
      <sheetName val="18230434_HApp"/>
      <sheetName val="18230434G_HApp"/>
      <sheetName val="18230435_SH"/>
      <sheetName val="18230700_SH"/>
      <sheetName val="18230440_RLg"/>
      <sheetName val="18230714_BLg"/>
      <sheetName val="18230687_WET"/>
      <sheetName val="TBD_WET_E"/>
      <sheetName val="18230501_ARRA"/>
      <sheetName val="18602231_ARRA"/>
      <sheetName val="18230405_SFNC"/>
      <sheetName val="18230684_SFNC"/>
      <sheetName val="18230407_MFR"/>
      <sheetName val="18230736_MFR"/>
      <sheetName val="18230486_MFNC"/>
      <sheetName val="18230673_MFNC"/>
      <sheetName val="18230433_SFMH"/>
      <sheetName val="18230716_CKit"/>
      <sheetName val="18231027_CKit"/>
      <sheetName val="18230717_CDI"/>
      <sheetName val="18231028_CDI"/>
      <sheetName val="18230718_CHVAC"/>
      <sheetName val="18231029_CHVAC"/>
      <sheetName val="18231022_SBDI"/>
      <sheetName val="18231134_SBDI"/>
      <sheetName val="18230746_E"/>
      <sheetName val="18231031_G"/>
      <sheetName val="Small Ag DI - E"/>
      <sheetName val="Small Ag DI - G"/>
      <sheetName val="Lodging DI - E"/>
      <sheetName val="Lodging DI - G"/>
      <sheetName val="lookups"/>
      <sheetName val="CE_Res_Elect"/>
      <sheetName val="CE_Res_ElectWO"/>
      <sheetName val="CE_Res_G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6">
          <cell r="D6" t="str">
            <v>calculated</v>
          </cell>
          <cell r="F6">
            <v>1</v>
          </cell>
          <cell r="H6" t="str">
            <v>Energy Advisor</v>
          </cell>
        </row>
        <row r="7">
          <cell r="D7" t="str">
            <v>per home</v>
          </cell>
          <cell r="F7">
            <v>2</v>
          </cell>
          <cell r="H7" t="str">
            <v>Energy Management Engineer</v>
          </cell>
        </row>
        <row r="8">
          <cell r="D8" t="str">
            <v>per unit</v>
          </cell>
          <cell r="F8">
            <v>3</v>
          </cell>
          <cell r="H8" t="str">
            <v>Market Analyst</v>
          </cell>
        </row>
        <row r="9">
          <cell r="D9" t="str">
            <v>per ton</v>
          </cell>
          <cell r="F9">
            <v>4</v>
          </cell>
          <cell r="H9" t="str">
            <v>Market Manager</v>
          </cell>
        </row>
        <row r="10">
          <cell r="D10" t="str">
            <v>linear foot</v>
          </cell>
          <cell r="F10">
            <v>5</v>
          </cell>
          <cell r="H10" t="str">
            <v>Program Coordinator</v>
          </cell>
        </row>
        <row r="11">
          <cell r="D11" t="str">
            <v>square foot</v>
          </cell>
          <cell r="F11">
            <v>6</v>
          </cell>
          <cell r="H11" t="str">
            <v>Program Implementer</v>
          </cell>
        </row>
        <row r="12">
          <cell r="F12">
            <v>7</v>
          </cell>
          <cell r="H12" t="str">
            <v>Program Manager</v>
          </cell>
        </row>
        <row r="13">
          <cell r="F13">
            <v>8</v>
          </cell>
          <cell r="H13" t="str">
            <v>Quality Assurance Specialist</v>
          </cell>
        </row>
        <row r="14">
          <cell r="F14">
            <v>9</v>
          </cell>
          <cell r="H14" t="str">
            <v>Rebate Processor</v>
          </cell>
        </row>
        <row r="15">
          <cell r="F15">
            <v>10</v>
          </cell>
          <cell r="H15" t="str">
            <v>Senior Evaluation Analyst</v>
          </cell>
        </row>
        <row r="16">
          <cell r="F16">
            <v>11</v>
          </cell>
          <cell r="H16" t="str">
            <v xml:space="preserve">Senior Market Analyst </v>
          </cell>
        </row>
        <row r="17">
          <cell r="F17">
            <v>12</v>
          </cell>
          <cell r="H17" t="str">
            <v>Supervisor</v>
          </cell>
        </row>
        <row r="18">
          <cell r="F18">
            <v>13</v>
          </cell>
          <cell r="H18" t="str">
            <v>Other</v>
          </cell>
        </row>
        <row r="19">
          <cell r="F19">
            <v>14</v>
          </cell>
        </row>
        <row r="20">
          <cell r="F20">
            <v>15</v>
          </cell>
        </row>
        <row r="21">
          <cell r="F21">
            <v>16</v>
          </cell>
        </row>
        <row r="22">
          <cell r="F22">
            <v>17</v>
          </cell>
        </row>
        <row r="23">
          <cell r="F23">
            <v>18</v>
          </cell>
        </row>
        <row r="24">
          <cell r="F24">
            <v>19</v>
          </cell>
        </row>
        <row r="25">
          <cell r="F25">
            <v>20</v>
          </cell>
        </row>
        <row r="26">
          <cell r="F26">
            <v>21</v>
          </cell>
        </row>
        <row r="27">
          <cell r="F27">
            <v>22</v>
          </cell>
        </row>
        <row r="28">
          <cell r="F28">
            <v>23</v>
          </cell>
        </row>
        <row r="29">
          <cell r="F29">
            <v>24</v>
          </cell>
        </row>
        <row r="30">
          <cell r="F30">
            <v>25</v>
          </cell>
        </row>
        <row r="31">
          <cell r="F31">
            <v>26</v>
          </cell>
        </row>
        <row r="32">
          <cell r="F32">
            <v>27</v>
          </cell>
        </row>
        <row r="33">
          <cell r="F33">
            <v>28</v>
          </cell>
        </row>
        <row r="34">
          <cell r="F34">
            <v>29</v>
          </cell>
        </row>
        <row r="35">
          <cell r="F35">
            <v>30</v>
          </cell>
        </row>
      </sheetData>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Electric sector"/>
      <sheetName val="Gas sector"/>
      <sheetName val="Showing the math behind the #s"/>
    </sheetNames>
    <sheetDataSet>
      <sheetData sheetId="0">
        <row r="41">
          <cell r="D41">
            <v>1450</v>
          </cell>
          <cell r="E41">
            <v>1450</v>
          </cell>
        </row>
        <row r="42">
          <cell r="D42">
            <v>1450</v>
          </cell>
          <cell r="E42">
            <v>1450</v>
          </cell>
        </row>
        <row r="43">
          <cell r="D43">
            <v>290</v>
          </cell>
          <cell r="E43">
            <v>290</v>
          </cell>
        </row>
        <row r="44">
          <cell r="D44">
            <v>1150</v>
          </cell>
          <cell r="E44">
            <v>1150</v>
          </cell>
        </row>
        <row r="45">
          <cell r="D45">
            <v>550</v>
          </cell>
          <cell r="E45">
            <v>550</v>
          </cell>
        </row>
        <row r="48">
          <cell r="D48">
            <v>0</v>
          </cell>
          <cell r="E48">
            <v>0</v>
          </cell>
        </row>
        <row r="50">
          <cell r="D50">
            <v>14250</v>
          </cell>
          <cell r="E50">
            <v>14962.5</v>
          </cell>
        </row>
        <row r="53">
          <cell r="D53">
            <v>2000</v>
          </cell>
          <cell r="E53">
            <v>2060</v>
          </cell>
        </row>
        <row r="55">
          <cell r="D55">
            <v>1550</v>
          </cell>
          <cell r="E55">
            <v>1550</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3" Type="http://schemas.openxmlformats.org/officeDocument/2006/relationships/printerSettings" Target="../printerSettings/printerSettings253.bin"/><Relationship Id="rId2" Type="http://schemas.openxmlformats.org/officeDocument/2006/relationships/printerSettings" Target="../printerSettings/printerSettings252.bin"/><Relationship Id="rId1" Type="http://schemas.openxmlformats.org/officeDocument/2006/relationships/printerSettings" Target="../printerSettings/printerSettings251.bin"/><Relationship Id="rId4" Type="http://schemas.openxmlformats.org/officeDocument/2006/relationships/drawing" Target="../drawings/drawing98.xml"/></Relationships>
</file>

<file path=xl/worksheets/_rels/sheet101.xml.rels><?xml version="1.0" encoding="UTF-8" standalone="yes"?>
<Relationships xmlns="http://schemas.openxmlformats.org/package/2006/relationships"><Relationship Id="rId3" Type="http://schemas.openxmlformats.org/officeDocument/2006/relationships/printerSettings" Target="../printerSettings/printerSettings256.bin"/><Relationship Id="rId2" Type="http://schemas.openxmlformats.org/officeDocument/2006/relationships/printerSettings" Target="../printerSettings/printerSettings255.bin"/><Relationship Id="rId1" Type="http://schemas.openxmlformats.org/officeDocument/2006/relationships/printerSettings" Target="../printerSettings/printerSettings254.bin"/><Relationship Id="rId4" Type="http://schemas.openxmlformats.org/officeDocument/2006/relationships/drawing" Target="../drawings/drawing99.xml"/></Relationships>
</file>

<file path=xl/worksheets/_rels/sheet102.xml.rels><?xml version="1.0" encoding="UTF-8" standalone="yes"?>
<Relationships xmlns="http://schemas.openxmlformats.org/package/2006/relationships"><Relationship Id="rId3" Type="http://schemas.openxmlformats.org/officeDocument/2006/relationships/printerSettings" Target="../printerSettings/printerSettings259.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4" Type="http://schemas.openxmlformats.org/officeDocument/2006/relationships/drawing" Target="../drawings/drawing100.xml"/></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260.bin"/></Relationships>
</file>

<file path=xl/worksheets/_rels/sheet104.xml.rels><?xml version="1.0" encoding="UTF-8" standalone="yes"?>
<Relationships xmlns="http://schemas.openxmlformats.org/package/2006/relationships"><Relationship Id="rId3" Type="http://schemas.openxmlformats.org/officeDocument/2006/relationships/printerSettings" Target="../printerSettings/printerSettings263.bin"/><Relationship Id="rId2" Type="http://schemas.openxmlformats.org/officeDocument/2006/relationships/printerSettings" Target="../printerSettings/printerSettings262.bin"/><Relationship Id="rId1" Type="http://schemas.openxmlformats.org/officeDocument/2006/relationships/printerSettings" Target="../printerSettings/printerSettings261.bin"/><Relationship Id="rId4" Type="http://schemas.openxmlformats.org/officeDocument/2006/relationships/drawing" Target="../drawings/drawing102.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264.bin"/></Relationships>
</file>

<file path=xl/worksheets/_rels/sheet106.xml.rels><?xml version="1.0" encoding="UTF-8" standalone="yes"?>
<Relationships xmlns="http://schemas.openxmlformats.org/package/2006/relationships"><Relationship Id="rId3" Type="http://schemas.openxmlformats.org/officeDocument/2006/relationships/printerSettings" Target="../printerSettings/printerSettings267.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4"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3" Type="http://schemas.openxmlformats.org/officeDocument/2006/relationships/printerSettings" Target="../printerSettings/printerSettings270.bin"/><Relationship Id="rId2" Type="http://schemas.openxmlformats.org/officeDocument/2006/relationships/printerSettings" Target="../printerSettings/printerSettings269.bin"/><Relationship Id="rId1" Type="http://schemas.openxmlformats.org/officeDocument/2006/relationships/printerSettings" Target="../printerSettings/printerSettings268.bin"/><Relationship Id="rId6" Type="http://schemas.openxmlformats.org/officeDocument/2006/relationships/comments" Target="../comments11.xml"/><Relationship Id="rId5" Type="http://schemas.openxmlformats.org/officeDocument/2006/relationships/vmlDrawing" Target="../drawings/vmlDrawing12.vml"/><Relationship Id="rId4"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272.bin"/><Relationship Id="rId1" Type="http://schemas.openxmlformats.org/officeDocument/2006/relationships/printerSettings" Target="../printerSettings/printerSettings271.bin"/></Relationships>
</file>

<file path=xl/worksheets/_rels/sheet109.xml.rels><?xml version="1.0" encoding="UTF-8" standalone="yes"?>
<Relationships xmlns="http://schemas.openxmlformats.org/package/2006/relationships"><Relationship Id="rId3" Type="http://schemas.openxmlformats.org/officeDocument/2006/relationships/printerSettings" Target="../printerSettings/printerSettings275.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4"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4"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3" Type="http://schemas.openxmlformats.org/officeDocument/2006/relationships/printerSettings" Target="../printerSettings/printerSettings278.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4"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3" Type="http://schemas.openxmlformats.org/officeDocument/2006/relationships/printerSettings" Target="../printerSettings/printerSettings281.bin"/><Relationship Id="rId2" Type="http://schemas.openxmlformats.org/officeDocument/2006/relationships/printerSettings" Target="../printerSettings/printerSettings280.bin"/><Relationship Id="rId1" Type="http://schemas.openxmlformats.org/officeDocument/2006/relationships/printerSettings" Target="../printerSettings/printerSettings279.bin"/><Relationship Id="rId4" Type="http://schemas.openxmlformats.org/officeDocument/2006/relationships/drawing" Target="../drawings/drawing109.xml"/></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284.bin"/><Relationship Id="rId2" Type="http://schemas.openxmlformats.org/officeDocument/2006/relationships/printerSettings" Target="../printerSettings/printerSettings283.bin"/><Relationship Id="rId1" Type="http://schemas.openxmlformats.org/officeDocument/2006/relationships/printerSettings" Target="../printerSettings/printerSettings282.bin"/><Relationship Id="rId4" Type="http://schemas.openxmlformats.org/officeDocument/2006/relationships/drawing" Target="../drawings/drawing110.xml"/></Relationships>
</file>

<file path=xl/worksheets/_rels/sheet113.xml.rels><?xml version="1.0" encoding="UTF-8" standalone="yes"?>
<Relationships xmlns="http://schemas.openxmlformats.org/package/2006/relationships"><Relationship Id="rId3" Type="http://schemas.openxmlformats.org/officeDocument/2006/relationships/printerSettings" Target="../printerSettings/printerSettings287.bin"/><Relationship Id="rId2" Type="http://schemas.openxmlformats.org/officeDocument/2006/relationships/printerSettings" Target="../printerSettings/printerSettings286.bin"/><Relationship Id="rId1" Type="http://schemas.openxmlformats.org/officeDocument/2006/relationships/printerSettings" Target="../printerSettings/printerSettings285.bin"/><Relationship Id="rId4" Type="http://schemas.openxmlformats.org/officeDocument/2006/relationships/drawing" Target="../drawings/drawing111.xml"/></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290.bin"/><Relationship Id="rId2" Type="http://schemas.openxmlformats.org/officeDocument/2006/relationships/printerSettings" Target="../printerSettings/printerSettings289.bin"/><Relationship Id="rId1" Type="http://schemas.openxmlformats.org/officeDocument/2006/relationships/printerSettings" Target="../printerSettings/printerSettings288.bin"/><Relationship Id="rId4" Type="http://schemas.openxmlformats.org/officeDocument/2006/relationships/drawing" Target="../drawings/drawing112.xml"/></Relationships>
</file>

<file path=xl/worksheets/_rels/sheet115.xml.rels><?xml version="1.0" encoding="UTF-8" standalone="yes"?>
<Relationships xmlns="http://schemas.openxmlformats.org/package/2006/relationships"><Relationship Id="rId3" Type="http://schemas.openxmlformats.org/officeDocument/2006/relationships/printerSettings" Target="../printerSettings/printerSettings293.bin"/><Relationship Id="rId2" Type="http://schemas.openxmlformats.org/officeDocument/2006/relationships/printerSettings" Target="../printerSettings/printerSettings292.bin"/><Relationship Id="rId1" Type="http://schemas.openxmlformats.org/officeDocument/2006/relationships/printerSettings" Target="../printerSettings/printerSettings291.bin"/><Relationship Id="rId4" Type="http://schemas.openxmlformats.org/officeDocument/2006/relationships/drawing" Target="../drawings/drawing113.xml"/></Relationships>
</file>

<file path=xl/worksheets/_rels/sheet116.xml.rels><?xml version="1.0" encoding="UTF-8" standalone="yes"?>
<Relationships xmlns="http://schemas.openxmlformats.org/package/2006/relationships"><Relationship Id="rId3" Type="http://schemas.openxmlformats.org/officeDocument/2006/relationships/printerSettings" Target="../printerSettings/printerSettings296.bin"/><Relationship Id="rId2" Type="http://schemas.openxmlformats.org/officeDocument/2006/relationships/printerSettings" Target="../printerSettings/printerSettings295.bin"/><Relationship Id="rId1" Type="http://schemas.openxmlformats.org/officeDocument/2006/relationships/printerSettings" Target="../printerSettings/printerSettings294.bin"/><Relationship Id="rId4" Type="http://schemas.openxmlformats.org/officeDocument/2006/relationships/drawing" Target="../drawings/drawing114.xml"/></Relationships>
</file>

<file path=xl/worksheets/_rels/sheet117.xml.rels><?xml version="1.0" encoding="UTF-8" standalone="yes"?>
<Relationships xmlns="http://schemas.openxmlformats.org/package/2006/relationships"><Relationship Id="rId3" Type="http://schemas.openxmlformats.org/officeDocument/2006/relationships/printerSettings" Target="../printerSettings/printerSettings299.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4" Type="http://schemas.openxmlformats.org/officeDocument/2006/relationships/drawing" Target="../drawings/drawing115.xml"/></Relationships>
</file>

<file path=xl/worksheets/_rels/sheet118.xml.rels><?xml version="1.0" encoding="UTF-8" standalone="yes"?>
<Relationships xmlns="http://schemas.openxmlformats.org/package/2006/relationships"><Relationship Id="rId3" Type="http://schemas.openxmlformats.org/officeDocument/2006/relationships/printerSettings" Target="../printerSettings/printerSettings302.bin"/><Relationship Id="rId2" Type="http://schemas.openxmlformats.org/officeDocument/2006/relationships/printerSettings" Target="../printerSettings/printerSettings301.bin"/><Relationship Id="rId1" Type="http://schemas.openxmlformats.org/officeDocument/2006/relationships/printerSettings" Target="../printerSettings/printerSettings300.bin"/><Relationship Id="rId4" Type="http://schemas.openxmlformats.org/officeDocument/2006/relationships/drawing" Target="../drawings/drawing116.xml"/></Relationships>
</file>

<file path=xl/worksheets/_rels/sheet119.xml.rels><?xml version="1.0" encoding="UTF-8" standalone="yes"?>
<Relationships xmlns="http://schemas.openxmlformats.org/package/2006/relationships"><Relationship Id="rId3" Type="http://schemas.openxmlformats.org/officeDocument/2006/relationships/printerSettings" Target="../printerSettings/printerSettings305.bin"/><Relationship Id="rId2" Type="http://schemas.openxmlformats.org/officeDocument/2006/relationships/printerSettings" Target="../printerSettings/printerSettings304.bin"/><Relationship Id="rId1" Type="http://schemas.openxmlformats.org/officeDocument/2006/relationships/printerSettings" Target="../printerSettings/printerSettings303.bin"/><Relationship Id="rId4" Type="http://schemas.openxmlformats.org/officeDocument/2006/relationships/drawing" Target="../drawings/drawing117.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3" Type="http://schemas.openxmlformats.org/officeDocument/2006/relationships/printerSettings" Target="../printerSettings/printerSettings308.bin"/><Relationship Id="rId2" Type="http://schemas.openxmlformats.org/officeDocument/2006/relationships/printerSettings" Target="../printerSettings/printerSettings307.bin"/><Relationship Id="rId1" Type="http://schemas.openxmlformats.org/officeDocument/2006/relationships/printerSettings" Target="../printerSettings/printerSettings306.bin"/><Relationship Id="rId6" Type="http://schemas.openxmlformats.org/officeDocument/2006/relationships/comments" Target="../comments12.xml"/><Relationship Id="rId5" Type="http://schemas.openxmlformats.org/officeDocument/2006/relationships/vmlDrawing" Target="../drawings/vmlDrawing13.vml"/><Relationship Id="rId4" Type="http://schemas.openxmlformats.org/officeDocument/2006/relationships/drawing" Target="../drawings/drawing118.xml"/></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309.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310.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3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comments" Target="../comments3.xml"/><Relationship Id="rId5" Type="http://schemas.openxmlformats.org/officeDocument/2006/relationships/vmlDrawing" Target="../drawings/vmlDrawing4.vml"/><Relationship Id="rId4"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printerSettings" Target="../printerSettings/printerSettings57.bin"/><Relationship Id="rId1" Type="http://schemas.openxmlformats.org/officeDocument/2006/relationships/printerSettings" Target="../printerSettings/printerSettings56.bin"/><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9.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 Id="rId4"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 Id="rId4"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 Id="rId4"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comments" Target="../comments4.xml"/><Relationship Id="rId5" Type="http://schemas.openxmlformats.org/officeDocument/2006/relationships/vmlDrawing" Target="../drawings/vmlDrawing5.vml"/><Relationship Id="rId4"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 Id="rId4"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4"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4"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4"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6" Type="http://schemas.openxmlformats.org/officeDocument/2006/relationships/comments" Target="../comments5.xml"/><Relationship Id="rId5" Type="http://schemas.openxmlformats.org/officeDocument/2006/relationships/vmlDrawing" Target="../drawings/vmlDrawing6.vml"/><Relationship Id="rId4"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07.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4"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4"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comments" Target="../comments6.xml"/><Relationship Id="rId5" Type="http://schemas.openxmlformats.org/officeDocument/2006/relationships/vmlDrawing" Target="../drawings/vmlDrawing7.vml"/><Relationship Id="rId4"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4"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4"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130.bin"/><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4" Type="http://schemas.openxmlformats.org/officeDocument/2006/relationships/drawing" Target="../drawings/drawing44.xml"/></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33.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4" Type="http://schemas.openxmlformats.org/officeDocument/2006/relationships/drawing" Target="../drawings/drawing45.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34.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3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comments" Target="../comments7.xml"/><Relationship Id="rId5" Type="http://schemas.openxmlformats.org/officeDocument/2006/relationships/vmlDrawing" Target="../drawings/vmlDrawing8.vml"/><Relationship Id="rId4" Type="http://schemas.openxmlformats.org/officeDocument/2006/relationships/drawing" Target="../drawings/drawing4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9.xml"/><Relationship Id="rId1" Type="http://schemas.openxmlformats.org/officeDocument/2006/relationships/printerSettings" Target="../printerSettings/printerSettings139.bin"/><Relationship Id="rId4" Type="http://schemas.openxmlformats.org/officeDocument/2006/relationships/comments" Target="../comments8.xm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42.bin"/><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4" Type="http://schemas.openxmlformats.org/officeDocument/2006/relationships/drawing" Target="../drawings/drawing50.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48.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6.xml"/><Relationship Id="rId1" Type="http://schemas.openxmlformats.org/officeDocument/2006/relationships/printerSettings" Target="../printerSettings/printerSettings149.bin"/><Relationship Id="rId4" Type="http://schemas.openxmlformats.org/officeDocument/2006/relationships/comments" Target="../comments9.x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151.bin"/><Relationship Id="rId1" Type="http://schemas.openxmlformats.org/officeDocument/2006/relationships/printerSettings" Target="../printerSettings/printerSettings150.bin"/><Relationship Id="rId5" Type="http://schemas.openxmlformats.org/officeDocument/2006/relationships/comments" Target="../comments10.xml"/><Relationship Id="rId4" Type="http://schemas.openxmlformats.org/officeDocument/2006/relationships/vmlDrawing" Target="../drawings/vmlDrawing11.v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52.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155.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4"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158.bin"/><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4" Type="http://schemas.openxmlformats.org/officeDocument/2006/relationships/drawing" Target="../drawings/drawing60.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4"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62.bin"/></Relationships>
</file>

<file path=xl/worksheets/_rels/sheet65.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4" Type="http://schemas.openxmlformats.org/officeDocument/2006/relationships/drawing" Target="../drawings/drawing63.xm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16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1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171.bin"/></Relationships>
</file>

<file path=xl/worksheets/_rels/sheet72.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4" Type="http://schemas.openxmlformats.org/officeDocument/2006/relationships/drawing" Target="../drawings/drawing71.xml"/></Relationships>
</file>

<file path=xl/worksheets/_rels/sheet74.xml.rels><?xml version="1.0" encoding="UTF-8" standalone="yes"?>
<Relationships xmlns="http://schemas.openxmlformats.org/package/2006/relationships"><Relationship Id="rId3" Type="http://schemas.openxmlformats.org/officeDocument/2006/relationships/printerSettings" Target="../printerSettings/printerSettings180.bin"/><Relationship Id="rId2" Type="http://schemas.openxmlformats.org/officeDocument/2006/relationships/printerSettings" Target="../printerSettings/printerSettings179.bin"/><Relationship Id="rId1" Type="http://schemas.openxmlformats.org/officeDocument/2006/relationships/printerSettings" Target="../printerSettings/printerSettings178.bin"/><Relationship Id="rId4" Type="http://schemas.openxmlformats.org/officeDocument/2006/relationships/drawing" Target="../drawings/drawing72.xm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183.bin"/><Relationship Id="rId2" Type="http://schemas.openxmlformats.org/officeDocument/2006/relationships/printerSettings" Target="../printerSettings/printerSettings182.bin"/><Relationship Id="rId1" Type="http://schemas.openxmlformats.org/officeDocument/2006/relationships/printerSettings" Target="../printerSettings/printerSettings181.bin"/><Relationship Id="rId4" Type="http://schemas.openxmlformats.org/officeDocument/2006/relationships/drawing" Target="../drawings/drawing73.xml"/></Relationships>
</file>

<file path=xl/worksheets/_rels/sheet76.xml.rels><?xml version="1.0" encoding="UTF-8" standalone="yes"?>
<Relationships xmlns="http://schemas.openxmlformats.org/package/2006/relationships"><Relationship Id="rId3" Type="http://schemas.openxmlformats.org/officeDocument/2006/relationships/printerSettings" Target="../printerSettings/printerSettings186.bin"/><Relationship Id="rId2" Type="http://schemas.openxmlformats.org/officeDocument/2006/relationships/printerSettings" Target="../printerSettings/printerSettings185.bin"/><Relationship Id="rId1" Type="http://schemas.openxmlformats.org/officeDocument/2006/relationships/printerSettings" Target="../printerSettings/printerSettings184.bin"/><Relationship Id="rId4" Type="http://schemas.openxmlformats.org/officeDocument/2006/relationships/drawing" Target="../drawings/drawing74.xml"/></Relationships>
</file>

<file path=xl/worksheets/_rels/sheet77.xml.rels><?xml version="1.0" encoding="UTF-8" standalone="yes"?>
<Relationships xmlns="http://schemas.openxmlformats.org/package/2006/relationships"><Relationship Id="rId3" Type="http://schemas.openxmlformats.org/officeDocument/2006/relationships/printerSettings" Target="../printerSettings/printerSettings189.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4" Type="http://schemas.openxmlformats.org/officeDocument/2006/relationships/drawing" Target="../drawings/drawing75.xml"/></Relationships>
</file>

<file path=xl/worksheets/_rels/sheet78.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4" Type="http://schemas.openxmlformats.org/officeDocument/2006/relationships/drawing" Target="../drawings/drawing76.xm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4" Type="http://schemas.openxmlformats.org/officeDocument/2006/relationships/drawing" Target="../drawings/drawing7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vmlDrawing" Target="../drawings/vmlDrawing2.vml"/><Relationship Id="rId4"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198.bin"/><Relationship Id="rId2" Type="http://schemas.openxmlformats.org/officeDocument/2006/relationships/printerSettings" Target="../printerSettings/printerSettings197.bin"/><Relationship Id="rId1" Type="http://schemas.openxmlformats.org/officeDocument/2006/relationships/printerSettings" Target="../printerSettings/printerSettings196.bin"/><Relationship Id="rId4" Type="http://schemas.openxmlformats.org/officeDocument/2006/relationships/drawing" Target="../drawings/drawing78.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201.bin"/><Relationship Id="rId2" Type="http://schemas.openxmlformats.org/officeDocument/2006/relationships/printerSettings" Target="../printerSettings/printerSettings200.bin"/><Relationship Id="rId1" Type="http://schemas.openxmlformats.org/officeDocument/2006/relationships/printerSettings" Target="../printerSettings/printerSettings199.bin"/><Relationship Id="rId4" Type="http://schemas.openxmlformats.org/officeDocument/2006/relationships/drawing" Target="../drawings/drawing79.xm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4" Type="http://schemas.openxmlformats.org/officeDocument/2006/relationships/drawing" Target="../drawings/drawing80.xm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4" Type="http://schemas.openxmlformats.org/officeDocument/2006/relationships/drawing" Target="../drawings/drawing81.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4" Type="http://schemas.openxmlformats.org/officeDocument/2006/relationships/drawing" Target="../drawings/drawing82.xm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213.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4" Type="http://schemas.openxmlformats.org/officeDocument/2006/relationships/drawing" Target="../drawings/drawing83.xm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216.bin"/><Relationship Id="rId2" Type="http://schemas.openxmlformats.org/officeDocument/2006/relationships/printerSettings" Target="../printerSettings/printerSettings215.bin"/><Relationship Id="rId1" Type="http://schemas.openxmlformats.org/officeDocument/2006/relationships/printerSettings" Target="../printerSettings/printerSettings214.bin"/><Relationship Id="rId4"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219.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4"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220.bin"/></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223.bin"/><Relationship Id="rId2" Type="http://schemas.openxmlformats.org/officeDocument/2006/relationships/printerSettings" Target="../printerSettings/printerSettings222.bin"/><Relationship Id="rId1" Type="http://schemas.openxmlformats.org/officeDocument/2006/relationships/printerSettings" Target="../printerSettings/printerSettings221.bin"/><Relationship Id="rId4"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drawing" Target="../drawings/drawing7.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224.bin"/></Relationships>
</file>

<file path=xl/worksheets/_rels/sheet91.xml.rels><?xml version="1.0" encoding="UTF-8" standalone="yes"?>
<Relationships xmlns="http://schemas.openxmlformats.org/package/2006/relationships"><Relationship Id="rId3" Type="http://schemas.openxmlformats.org/officeDocument/2006/relationships/printerSettings" Target="../printerSettings/printerSettings227.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4"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3" Type="http://schemas.openxmlformats.org/officeDocument/2006/relationships/printerSettings" Target="../printerSettings/printerSettings230.bin"/><Relationship Id="rId2" Type="http://schemas.openxmlformats.org/officeDocument/2006/relationships/printerSettings" Target="../printerSettings/printerSettings229.bin"/><Relationship Id="rId1" Type="http://schemas.openxmlformats.org/officeDocument/2006/relationships/printerSettings" Target="../printerSettings/printerSettings228.bin"/><Relationship Id="rId4" Type="http://schemas.openxmlformats.org/officeDocument/2006/relationships/drawing" Target="../drawings/drawing90.xm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232.bin"/><Relationship Id="rId1" Type="http://schemas.openxmlformats.org/officeDocument/2006/relationships/printerSettings" Target="../printerSettings/printerSettings231.bin"/></Relationships>
</file>

<file path=xl/worksheets/_rels/sheet94.xml.rels><?xml version="1.0" encoding="UTF-8" standalone="yes"?>
<Relationships xmlns="http://schemas.openxmlformats.org/package/2006/relationships"><Relationship Id="rId3" Type="http://schemas.openxmlformats.org/officeDocument/2006/relationships/printerSettings" Target="../printerSettings/printerSettings235.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4" Type="http://schemas.openxmlformats.org/officeDocument/2006/relationships/drawing" Target="../drawings/drawing92.xml"/></Relationships>
</file>

<file path=xl/worksheets/_rels/sheet95.xml.rels><?xml version="1.0" encoding="UTF-8" standalone="yes"?>
<Relationships xmlns="http://schemas.openxmlformats.org/package/2006/relationships"><Relationship Id="rId3" Type="http://schemas.openxmlformats.org/officeDocument/2006/relationships/printerSettings" Target="../printerSettings/printerSettings238.bin"/><Relationship Id="rId2" Type="http://schemas.openxmlformats.org/officeDocument/2006/relationships/printerSettings" Target="../printerSettings/printerSettings237.bin"/><Relationship Id="rId1" Type="http://schemas.openxmlformats.org/officeDocument/2006/relationships/printerSettings" Target="../printerSettings/printerSettings236.bin"/><Relationship Id="rId4" Type="http://schemas.openxmlformats.org/officeDocument/2006/relationships/drawing" Target="../drawings/drawing93.xml"/></Relationships>
</file>

<file path=xl/worksheets/_rels/sheet96.xml.rels><?xml version="1.0" encoding="UTF-8" standalone="yes"?>
<Relationships xmlns="http://schemas.openxmlformats.org/package/2006/relationships"><Relationship Id="rId3" Type="http://schemas.openxmlformats.org/officeDocument/2006/relationships/printerSettings" Target="../printerSettings/printerSettings241.bin"/><Relationship Id="rId2" Type="http://schemas.openxmlformats.org/officeDocument/2006/relationships/printerSettings" Target="../printerSettings/printerSettings240.bin"/><Relationship Id="rId1" Type="http://schemas.openxmlformats.org/officeDocument/2006/relationships/printerSettings" Target="../printerSettings/printerSettings239.bin"/><Relationship Id="rId4" Type="http://schemas.openxmlformats.org/officeDocument/2006/relationships/drawing" Target="../drawings/drawing94.xml"/></Relationships>
</file>

<file path=xl/worksheets/_rels/sheet97.xml.rels><?xml version="1.0" encoding="UTF-8" standalone="yes"?>
<Relationships xmlns="http://schemas.openxmlformats.org/package/2006/relationships"><Relationship Id="rId3" Type="http://schemas.openxmlformats.org/officeDocument/2006/relationships/printerSettings" Target="../printerSettings/printerSettings244.bin"/><Relationship Id="rId2" Type="http://schemas.openxmlformats.org/officeDocument/2006/relationships/printerSettings" Target="../printerSettings/printerSettings243.bin"/><Relationship Id="rId1" Type="http://schemas.openxmlformats.org/officeDocument/2006/relationships/printerSettings" Target="../printerSettings/printerSettings242.bin"/><Relationship Id="rId4" Type="http://schemas.openxmlformats.org/officeDocument/2006/relationships/drawing" Target="../drawings/drawing95.xml"/></Relationships>
</file>

<file path=xl/worksheets/_rels/sheet98.xml.rels><?xml version="1.0" encoding="UTF-8" standalone="yes"?>
<Relationships xmlns="http://schemas.openxmlformats.org/package/2006/relationships"><Relationship Id="rId3" Type="http://schemas.openxmlformats.org/officeDocument/2006/relationships/printerSettings" Target="../printerSettings/printerSettings247.bin"/><Relationship Id="rId2" Type="http://schemas.openxmlformats.org/officeDocument/2006/relationships/printerSettings" Target="../printerSettings/printerSettings246.bin"/><Relationship Id="rId1" Type="http://schemas.openxmlformats.org/officeDocument/2006/relationships/printerSettings" Target="../printerSettings/printerSettings245.bin"/><Relationship Id="rId4" Type="http://schemas.openxmlformats.org/officeDocument/2006/relationships/drawing" Target="../drawings/drawing96.xml"/></Relationships>
</file>

<file path=xl/worksheets/_rels/sheet99.xml.rels><?xml version="1.0" encoding="UTF-8" standalone="yes"?>
<Relationships xmlns="http://schemas.openxmlformats.org/package/2006/relationships"><Relationship Id="rId3" Type="http://schemas.openxmlformats.org/officeDocument/2006/relationships/printerSettings" Target="../printerSettings/printerSettings250.bin"/><Relationship Id="rId2" Type="http://schemas.openxmlformats.org/officeDocument/2006/relationships/printerSettings" Target="../printerSettings/printerSettings249.bin"/><Relationship Id="rId1" Type="http://schemas.openxmlformats.org/officeDocument/2006/relationships/printerSettings" Target="../printerSettings/printerSettings248.bin"/><Relationship Id="rId4" Type="http://schemas.openxmlformats.org/officeDocument/2006/relationships/drawing" Target="../drawings/drawing9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sheetPr>
  <dimension ref="B2:D103"/>
  <sheetViews>
    <sheetView topLeftCell="A31" workbookViewId="0">
      <selection activeCell="C60" sqref="C60"/>
    </sheetView>
  </sheetViews>
  <sheetFormatPr defaultRowHeight="12.75"/>
  <cols>
    <col min="1" max="1" width="4.42578125" customWidth="1"/>
    <col min="2" max="2" width="11" style="478" customWidth="1"/>
    <col min="3" max="3" width="8.28515625" style="1569" customWidth="1"/>
    <col min="4" max="4" width="54.85546875" style="502" customWidth="1"/>
  </cols>
  <sheetData>
    <row r="2" spans="2:4" s="480" customFormat="1" ht="15.75">
      <c r="B2" s="479" t="s">
        <v>168</v>
      </c>
      <c r="C2" s="1763"/>
      <c r="D2" s="504"/>
    </row>
    <row r="4" spans="2:4" ht="21.75" customHeight="1">
      <c r="B4" s="478">
        <v>42073</v>
      </c>
      <c r="C4" s="1569" t="s">
        <v>609</v>
      </c>
    </row>
    <row r="5" spans="2:4" ht="21.75" customHeight="1">
      <c r="B5" s="478">
        <v>42074</v>
      </c>
      <c r="C5" s="1569" t="s">
        <v>661</v>
      </c>
    </row>
    <row r="6" spans="2:4" ht="21.75" customHeight="1">
      <c r="B6" s="478">
        <v>42075</v>
      </c>
      <c r="C6" s="1569" t="s">
        <v>662</v>
      </c>
    </row>
    <row r="7" spans="2:4" ht="21.75" customHeight="1">
      <c r="B7" s="478">
        <v>42075</v>
      </c>
      <c r="C7" s="1569" t="s">
        <v>683</v>
      </c>
    </row>
    <row r="8" spans="2:4" ht="21.75" customHeight="1">
      <c r="B8" s="478">
        <v>42097</v>
      </c>
      <c r="C8" s="1569" t="s">
        <v>685</v>
      </c>
    </row>
    <row r="9" spans="2:4" ht="21.75" customHeight="1">
      <c r="B9" s="478">
        <v>42103</v>
      </c>
      <c r="C9" s="1569" t="s">
        <v>686</v>
      </c>
    </row>
    <row r="10" spans="2:4" ht="21.75" customHeight="1">
      <c r="B10" s="478">
        <v>42179</v>
      </c>
      <c r="C10" s="1569" t="s">
        <v>689</v>
      </c>
    </row>
    <row r="11" spans="2:4" ht="21.75" customHeight="1">
      <c r="B11" s="478">
        <v>42181</v>
      </c>
      <c r="C11" s="1569" t="s">
        <v>694</v>
      </c>
    </row>
    <row r="12" spans="2:4" s="501" customFormat="1" ht="21.75" customHeight="1">
      <c r="B12" s="478">
        <v>42181</v>
      </c>
      <c r="C12" s="1569" t="s">
        <v>695</v>
      </c>
      <c r="D12" s="502"/>
    </row>
    <row r="13" spans="2:4" ht="21.75" customHeight="1">
      <c r="B13" s="478">
        <v>42220</v>
      </c>
      <c r="C13" s="1569" t="s">
        <v>716</v>
      </c>
    </row>
    <row r="14" spans="2:4" ht="21.75" customHeight="1">
      <c r="B14" s="478">
        <v>42220</v>
      </c>
      <c r="C14" s="1569" t="s">
        <v>717</v>
      </c>
    </row>
    <row r="15" spans="2:4" s="501" customFormat="1" ht="26.25" customHeight="1">
      <c r="B15" s="478">
        <v>42220</v>
      </c>
      <c r="C15" s="1569" t="s">
        <v>718</v>
      </c>
      <c r="D15" s="502"/>
    </row>
    <row r="16" spans="2:4" s="501" customFormat="1" ht="23.25" customHeight="1">
      <c r="B16" s="478">
        <v>42221</v>
      </c>
      <c r="C16" s="1569" t="s">
        <v>722</v>
      </c>
      <c r="D16" s="502"/>
    </row>
    <row r="17" spans="2:4" s="501" customFormat="1" ht="24.75" customHeight="1">
      <c r="B17" s="478">
        <v>42221</v>
      </c>
      <c r="C17" s="1569" t="s">
        <v>723</v>
      </c>
      <c r="D17" s="502"/>
    </row>
    <row r="18" spans="2:4" s="501" customFormat="1" ht="28.5" customHeight="1">
      <c r="B18" s="478">
        <v>42221</v>
      </c>
      <c r="C18" s="1569" t="s">
        <v>758</v>
      </c>
      <c r="D18" s="502"/>
    </row>
    <row r="19" spans="2:4" s="1622" customFormat="1" ht="28.5" customHeight="1">
      <c r="B19" s="478">
        <v>42222</v>
      </c>
      <c r="C19" s="1569" t="s">
        <v>760</v>
      </c>
      <c r="D19" s="1623"/>
    </row>
    <row r="20" spans="2:4" s="501" customFormat="1" ht="24.75" customHeight="1">
      <c r="B20" s="478">
        <v>42223</v>
      </c>
      <c r="C20" s="1569" t="s">
        <v>823</v>
      </c>
      <c r="D20" s="502"/>
    </row>
    <row r="21" spans="2:4" s="501" customFormat="1" ht="24" customHeight="1">
      <c r="B21" s="478">
        <v>42223</v>
      </c>
      <c r="C21" s="1569" t="s">
        <v>824</v>
      </c>
      <c r="D21" s="502"/>
    </row>
    <row r="22" spans="2:4" s="1652" customFormat="1" ht="21" customHeight="1">
      <c r="B22" s="478">
        <v>42226</v>
      </c>
      <c r="C22" s="1569" t="s">
        <v>881</v>
      </c>
      <c r="D22" s="1662"/>
    </row>
    <row r="23" spans="2:4" s="1652" customFormat="1" ht="21" customHeight="1">
      <c r="B23" s="478">
        <v>42226</v>
      </c>
      <c r="C23" s="1569" t="s">
        <v>882</v>
      </c>
      <c r="D23" s="1662"/>
    </row>
    <row r="24" spans="2:4" s="1652" customFormat="1" ht="21" customHeight="1">
      <c r="B24" s="478">
        <v>42226</v>
      </c>
      <c r="C24" s="1569" t="s">
        <v>883</v>
      </c>
      <c r="D24" s="1662"/>
    </row>
    <row r="25" spans="2:4" s="1652" customFormat="1" ht="21" customHeight="1">
      <c r="B25" s="478">
        <v>42227</v>
      </c>
      <c r="C25" s="1569" t="s">
        <v>884</v>
      </c>
      <c r="D25" s="1662"/>
    </row>
    <row r="26" spans="2:4" s="1652" customFormat="1" ht="21" customHeight="1">
      <c r="B26" s="478">
        <v>42227</v>
      </c>
      <c r="C26" s="1569" t="s">
        <v>885</v>
      </c>
      <c r="D26" s="1662"/>
    </row>
    <row r="27" spans="2:4" s="501" customFormat="1" ht="22.5" customHeight="1">
      <c r="B27" s="478">
        <v>42228</v>
      </c>
      <c r="C27" s="1569" t="s">
        <v>1536</v>
      </c>
      <c r="D27" s="502"/>
    </row>
    <row r="28" spans="2:4" ht="24.75" customHeight="1">
      <c r="B28" s="478">
        <v>42229</v>
      </c>
      <c r="C28" s="1569" t="s">
        <v>1537</v>
      </c>
    </row>
    <row r="29" spans="2:4" ht="33" customHeight="1">
      <c r="B29" s="478">
        <v>42230</v>
      </c>
      <c r="C29" s="1569" t="s">
        <v>1538</v>
      </c>
    </row>
    <row r="30" spans="2:4" ht="23.25" customHeight="1">
      <c r="B30" s="478">
        <v>42230</v>
      </c>
      <c r="C30" s="1569" t="s">
        <v>1539</v>
      </c>
    </row>
    <row r="31" spans="2:4" ht="27.75" customHeight="1">
      <c r="B31" s="478">
        <v>42230</v>
      </c>
      <c r="C31" s="1569" t="s">
        <v>1540</v>
      </c>
    </row>
    <row r="32" spans="2:4" ht="27" customHeight="1">
      <c r="B32" s="478">
        <v>42230</v>
      </c>
      <c r="C32" s="1569" t="s">
        <v>1544</v>
      </c>
    </row>
    <row r="33" spans="2:4" s="1652" customFormat="1" ht="27" customHeight="1">
      <c r="B33" s="478"/>
      <c r="C33" s="1569"/>
      <c r="D33" s="1662" t="s">
        <v>1547</v>
      </c>
    </row>
    <row r="34" spans="2:4" s="1652" customFormat="1" ht="27" customHeight="1">
      <c r="B34" s="478">
        <v>42230</v>
      </c>
      <c r="C34" s="1569" t="s">
        <v>1548</v>
      </c>
      <c r="D34" s="1662"/>
    </row>
    <row r="35" spans="2:4" ht="23.25" customHeight="1">
      <c r="B35" s="478">
        <v>42230</v>
      </c>
      <c r="C35" s="1569" t="s">
        <v>1546</v>
      </c>
    </row>
    <row r="36" spans="2:4" s="1652" customFormat="1" ht="27" customHeight="1">
      <c r="B36" s="478">
        <v>42233</v>
      </c>
      <c r="C36" s="1569" t="s">
        <v>1549</v>
      </c>
      <c r="D36" s="1662"/>
    </row>
    <row r="37" spans="2:4" s="1652" customFormat="1" ht="27" customHeight="1">
      <c r="B37" s="478">
        <v>42233</v>
      </c>
      <c r="C37" s="1569" t="s">
        <v>1550</v>
      </c>
      <c r="D37" s="1662"/>
    </row>
    <row r="38" spans="2:4" s="1652" customFormat="1" ht="27" customHeight="1">
      <c r="B38" s="478">
        <v>42233</v>
      </c>
      <c r="C38" s="1569" t="s">
        <v>1553</v>
      </c>
      <c r="D38" s="1662"/>
    </row>
    <row r="39" spans="2:4" s="1652" customFormat="1" ht="27" customHeight="1">
      <c r="B39" s="478">
        <v>42233</v>
      </c>
      <c r="C39" s="1569" t="s">
        <v>1554</v>
      </c>
      <c r="D39" s="1662"/>
    </row>
    <row r="40" spans="2:4" ht="23.25" customHeight="1">
      <c r="B40" s="478">
        <v>42233</v>
      </c>
      <c r="C40" s="1569" t="s">
        <v>1555</v>
      </c>
    </row>
    <row r="41" spans="2:4" ht="23.25" customHeight="1">
      <c r="B41" s="478">
        <v>42234</v>
      </c>
      <c r="C41" s="1569" t="s">
        <v>1556</v>
      </c>
    </row>
    <row r="42" spans="2:4" ht="23.25" customHeight="1">
      <c r="B42" s="478">
        <v>42235</v>
      </c>
      <c r="C42" s="1569" t="s">
        <v>1557</v>
      </c>
    </row>
    <row r="43" spans="2:4" ht="29.25" customHeight="1">
      <c r="B43" s="478">
        <v>42237</v>
      </c>
      <c r="C43" s="1569" t="s">
        <v>1562</v>
      </c>
    </row>
    <row r="44" spans="2:4" ht="24.75" customHeight="1">
      <c r="B44" s="478">
        <v>42241</v>
      </c>
      <c r="C44" s="1569" t="s">
        <v>1563</v>
      </c>
    </row>
    <row r="45" spans="2:4" ht="23.25" customHeight="1">
      <c r="B45" s="478">
        <v>42244</v>
      </c>
      <c r="C45" s="1569" t="s">
        <v>1565</v>
      </c>
    </row>
    <row r="46" spans="2:4" ht="23.25" customHeight="1">
      <c r="B46" s="478">
        <v>42244</v>
      </c>
      <c r="C46" s="1569" t="s">
        <v>1566</v>
      </c>
    </row>
    <row r="47" spans="2:4" ht="23.25" customHeight="1">
      <c r="B47" s="478">
        <v>42249</v>
      </c>
      <c r="C47" s="1569" t="s">
        <v>1569</v>
      </c>
    </row>
    <row r="48" spans="2:4" ht="23.25" customHeight="1">
      <c r="B48" s="478">
        <v>42249</v>
      </c>
      <c r="C48" s="1569" t="s">
        <v>1570</v>
      </c>
    </row>
    <row r="49" spans="2:4" ht="26.25" customHeight="1">
      <c r="B49" s="478">
        <v>42255</v>
      </c>
      <c r="C49" s="1569" t="s">
        <v>1571</v>
      </c>
    </row>
    <row r="50" spans="2:4" ht="26.25" customHeight="1">
      <c r="B50" s="478">
        <v>42257</v>
      </c>
      <c r="C50" s="1569" t="s">
        <v>1573</v>
      </c>
    </row>
    <row r="51" spans="2:4" ht="26.25" customHeight="1">
      <c r="B51" s="478">
        <v>42258</v>
      </c>
      <c r="C51" s="1569" t="s">
        <v>1631</v>
      </c>
    </row>
    <row r="52" spans="2:4" ht="26.25" customHeight="1">
      <c r="B52" s="478">
        <v>42258</v>
      </c>
      <c r="C52" s="1569" t="s">
        <v>1632</v>
      </c>
    </row>
    <row r="53" spans="2:4" ht="26.25" customHeight="1">
      <c r="B53" s="478">
        <v>42258</v>
      </c>
      <c r="C53" s="1569" t="s">
        <v>1636</v>
      </c>
      <c r="D53" s="850"/>
    </row>
    <row r="54" spans="2:4" ht="18" customHeight="1">
      <c r="B54" s="478">
        <v>42258</v>
      </c>
      <c r="C54" s="1569" t="s">
        <v>1637</v>
      </c>
      <c r="D54" s="1662"/>
    </row>
    <row r="55" spans="2:4" ht="18" customHeight="1">
      <c r="B55" s="478">
        <v>42258</v>
      </c>
      <c r="C55" s="1569" t="s">
        <v>1638</v>
      </c>
      <c r="D55" s="1662"/>
    </row>
    <row r="56" spans="2:4" ht="21.75" customHeight="1">
      <c r="B56" s="478">
        <v>42261</v>
      </c>
      <c r="C56" s="1569" t="s">
        <v>1642</v>
      </c>
      <c r="D56" s="1662"/>
    </row>
    <row r="57" spans="2:4" ht="21.75" customHeight="1">
      <c r="B57" s="478">
        <v>42262</v>
      </c>
      <c r="C57" s="1569" t="s">
        <v>1645</v>
      </c>
      <c r="D57" s="1662"/>
    </row>
    <row r="58" spans="2:4" ht="21.75" customHeight="1">
      <c r="B58" s="478">
        <v>42268</v>
      </c>
      <c r="C58" s="1569" t="s">
        <v>1646</v>
      </c>
      <c r="D58" s="1662"/>
    </row>
    <row r="59" spans="2:4" ht="21.75" customHeight="1">
      <c r="B59" s="478">
        <v>42270</v>
      </c>
      <c r="C59" s="1569" t="s">
        <v>1656</v>
      </c>
      <c r="D59" s="1662"/>
    </row>
    <row r="60" spans="2:4" ht="21.75" customHeight="1">
      <c r="D60" s="1662"/>
    </row>
    <row r="61" spans="2:4" ht="21.75" customHeight="1"/>
    <row r="62" spans="2:4" ht="21.75" customHeight="1"/>
    <row r="63" spans="2:4" ht="21.75" customHeight="1"/>
    <row r="64" spans="2:4" ht="18" customHeight="1"/>
    <row r="65" spans="2:2" ht="23.25" customHeight="1"/>
    <row r="66" spans="2:2" ht="22.5" customHeight="1"/>
    <row r="67" spans="2:2" ht="22.5" customHeight="1"/>
    <row r="68" spans="2:2" ht="23.25" customHeight="1"/>
    <row r="69" spans="2:2" ht="18" customHeight="1"/>
    <row r="70" spans="2:2" ht="21" customHeight="1"/>
    <row r="71" spans="2:2" ht="21" customHeight="1"/>
    <row r="72" spans="2:2" ht="24" customHeight="1"/>
    <row r="73" spans="2:2" ht="21.75" customHeight="1"/>
    <row r="74" spans="2:2" ht="21.75" customHeight="1"/>
    <row r="75" spans="2:2" ht="21.75" customHeight="1"/>
    <row r="76" spans="2:2" ht="19.5" customHeight="1"/>
    <row r="77" spans="2:2" ht="21.75" customHeight="1">
      <c r="B77" s="1122"/>
    </row>
    <row r="78" spans="2:2" ht="18" customHeight="1"/>
    <row r="79" spans="2:2" ht="18" customHeight="1"/>
    <row r="80" spans="2:2"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sheetData>
  <customSheetViews>
    <customSheetView guid="{D9EFFE19-D14B-4C6F-BDF4-FF696F73968D}" topLeftCell="A4">
      <selection activeCell="L15" sqref="L15"/>
      <pageMargins left="0.7" right="0.7" top="0.75" bottom="0.75" header="0.3" footer="0.3"/>
      <pageSetup orientation="landscape" r:id="rId1"/>
    </customSheetView>
    <customSheetView guid="{074EB09C-6289-46D7-9513-012B68BCA7BF}" topLeftCell="A31">
      <selection activeCell="C60" sqref="C60"/>
      <pageMargins left="0.7" right="0.7" top="0.75" bottom="0.75" header="0.3" footer="0.3"/>
      <pageSetup orientation="landscape" r:id="rId2"/>
    </customSheetView>
  </customSheetViews>
  <pageMargins left="0.7" right="0.7" top="0.75" bottom="0.75" header="0.3" footer="0.3"/>
  <pageSetup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39997558519241921"/>
  </sheetPr>
  <dimension ref="B2:AG90"/>
  <sheetViews>
    <sheetView workbookViewId="0">
      <pane xSplit="8" ySplit="5" topLeftCell="I57" activePane="bottomRight" state="frozen"/>
      <selection pane="topRight" activeCell="I1" sqref="I1"/>
      <selection pane="bottomLeft" activeCell="A6" sqref="A6"/>
      <selection pane="bottomRight" activeCell="H80" sqref="H80"/>
    </sheetView>
  </sheetViews>
  <sheetFormatPr defaultColWidth="9.140625" defaultRowHeight="12.75"/>
  <cols>
    <col min="1" max="1" width="1.7109375" style="1413" customWidth="1"/>
    <col min="2" max="2" width="23" style="1414" customWidth="1"/>
    <col min="3" max="3" width="8.140625" style="1413" customWidth="1"/>
    <col min="4" max="4" width="19.7109375" style="1652" customWidth="1"/>
    <col min="5" max="5" width="3.42578125" style="1413" customWidth="1"/>
    <col min="6" max="6" width="3.42578125" style="1537" customWidth="1"/>
    <col min="7" max="7" width="31.28515625" style="1537" customWidth="1"/>
    <col min="8" max="8" width="19.28515625" style="1413" customWidth="1"/>
    <col min="9" max="9" width="22.5703125" style="1199" customWidth="1"/>
    <col min="10" max="10" width="16.5703125" style="1199" customWidth="1"/>
    <col min="11" max="11" width="16.42578125" style="1199" customWidth="1"/>
    <col min="12" max="12" width="15.42578125" style="1199" customWidth="1"/>
    <col min="13" max="13" width="18.42578125" style="1199" customWidth="1"/>
    <col min="14" max="14" width="24.85546875" style="1199" customWidth="1"/>
    <col min="15" max="15" width="13.42578125" style="1199" customWidth="1"/>
    <col min="16" max="16" width="15.42578125" style="1199" customWidth="1"/>
    <col min="17" max="17" width="24.85546875" style="1199" customWidth="1"/>
    <col min="18" max="18" width="12.5703125" style="1199" customWidth="1"/>
    <col min="19" max="19" width="16.7109375" style="1199" customWidth="1"/>
    <col min="20" max="20" width="15.140625" style="472" customWidth="1"/>
    <col min="21" max="21" width="2.42578125" style="1413" customWidth="1"/>
    <col min="22" max="22" width="42.7109375" style="1413" customWidth="1"/>
    <col min="23" max="16384" width="9.140625" style="1413"/>
  </cols>
  <sheetData>
    <row r="2" spans="2:22" ht="18">
      <c r="C2" s="427" t="s">
        <v>624</v>
      </c>
      <c r="D2" s="427"/>
    </row>
    <row r="3" spans="2:22" ht="15">
      <c r="C3" s="428" t="s">
        <v>166</v>
      </c>
      <c r="D3" s="428"/>
      <c r="H3" s="1081"/>
      <c r="I3" s="2089" t="s">
        <v>599</v>
      </c>
      <c r="J3" s="2088"/>
    </row>
    <row r="4" spans="2:22" ht="36.75" customHeight="1" thickBot="1">
      <c r="I4" s="1541" t="s">
        <v>42</v>
      </c>
    </row>
    <row r="5" spans="2:22" ht="47.25" thickBot="1">
      <c r="B5" s="1392" t="s">
        <v>345</v>
      </c>
      <c r="C5" s="1413" t="s">
        <v>69</v>
      </c>
      <c r="D5" s="1652" t="s">
        <v>590</v>
      </c>
      <c r="E5" s="3561" t="s">
        <v>664</v>
      </c>
      <c r="F5" s="3561"/>
      <c r="G5" s="3561"/>
      <c r="H5" s="1355" t="s">
        <v>240</v>
      </c>
      <c r="I5" s="1417" t="s">
        <v>1747</v>
      </c>
      <c r="J5" s="1418" t="s">
        <v>8</v>
      </c>
      <c r="K5" s="1418" t="s">
        <v>9</v>
      </c>
      <c r="L5" s="1418" t="s">
        <v>10</v>
      </c>
      <c r="M5" s="1762" t="s">
        <v>482</v>
      </c>
      <c r="N5" s="1418" t="s">
        <v>11</v>
      </c>
      <c r="O5" s="1418" t="s">
        <v>12</v>
      </c>
      <c r="P5" s="1418" t="s">
        <v>13</v>
      </c>
      <c r="Q5" s="1418" t="s">
        <v>35</v>
      </c>
      <c r="R5" s="1418" t="s">
        <v>36</v>
      </c>
      <c r="S5" s="1419" t="s">
        <v>15</v>
      </c>
      <c r="T5" s="1420" t="s">
        <v>167</v>
      </c>
      <c r="V5" s="1137"/>
    </row>
    <row r="6" spans="2:22">
      <c r="C6" s="1413" t="s">
        <v>68</v>
      </c>
    </row>
    <row r="7" spans="2:22">
      <c r="B7" s="1718" t="s">
        <v>381</v>
      </c>
      <c r="C7" s="1413" t="s">
        <v>294</v>
      </c>
      <c r="E7" s="893" t="s">
        <v>165</v>
      </c>
      <c r="H7" s="974">
        <v>18230661</v>
      </c>
      <c r="I7" s="1199">
        <f>'LowIncWx Detail_REM G201 Gas'!I6</f>
        <v>15938.75</v>
      </c>
      <c r="J7" s="1199">
        <f>'LowIncWx Detail_REM G201 Gas'!J6</f>
        <v>1600</v>
      </c>
      <c r="K7" s="1199">
        <f>'LowIncWx Detail_REM G201 Gas'!K6</f>
        <v>15749.797499999997</v>
      </c>
      <c r="L7" s="1199">
        <f>'LowIncWx Detail_REM G201 Gas'!L6</f>
        <v>5000</v>
      </c>
      <c r="M7" s="1199">
        <f>'LowIncWx Detail_REM G201 Gas'!M6</f>
        <v>1000</v>
      </c>
      <c r="N7" s="1199">
        <f>'LowIncWx Detail_REM G201 Gas'!N6</f>
        <v>1000</v>
      </c>
      <c r="O7" s="1199">
        <f>'LowIncWx Detail_REM G201 Gas'!O6</f>
        <v>500</v>
      </c>
      <c r="P7" s="1199">
        <f>'LowIncWx Detail_REM G201 Gas'!P6</f>
        <v>500</v>
      </c>
      <c r="Q7" s="1199">
        <f>'LowIncWx Detail_REM G201 Gas'!Q6</f>
        <v>142311.84</v>
      </c>
      <c r="R7" s="1199">
        <f>'LowIncWx Detail_REM G201 Gas'!R6</f>
        <v>0</v>
      </c>
      <c r="S7" s="1199">
        <f>'LowIncWx Detail_REM G201 Gas'!S6</f>
        <v>183600.38750000001</v>
      </c>
      <c r="T7" s="1627">
        <f>'LowIncWx Detail_REM G201 Gas'!T6</f>
        <v>8785.9499999999989</v>
      </c>
    </row>
    <row r="8" spans="2:22">
      <c r="B8" s="1718" t="s">
        <v>382</v>
      </c>
      <c r="C8" s="1413" t="s">
        <v>72</v>
      </c>
      <c r="E8" s="1652" t="s">
        <v>1561</v>
      </c>
      <c r="H8" s="974">
        <v>18230635</v>
      </c>
      <c r="I8" s="1199">
        <f>'HmEnrgyAsmt Detail_REM G214 Gas'!I6</f>
        <v>0</v>
      </c>
      <c r="J8" s="1199">
        <f>'HmEnrgyAsmt Detail_REM G214 Gas'!J6</f>
        <v>0</v>
      </c>
      <c r="K8" s="1199">
        <f>'HmEnrgyAsmt Detail_REM G214 Gas'!K6</f>
        <v>0</v>
      </c>
      <c r="L8" s="1199">
        <f>'HmEnrgyAsmt Detail_REM G214 Gas'!L6</f>
        <v>0</v>
      </c>
      <c r="M8" s="1199">
        <f>'HmEnrgyAsmt Detail_REM G214 Gas'!M6</f>
        <v>0</v>
      </c>
      <c r="N8" s="1199">
        <f>'HmEnrgyAsmt Detail_REM G214 Gas'!N6</f>
        <v>0</v>
      </c>
      <c r="O8" s="1199">
        <f>'HmEnrgyAsmt Detail_REM G214 Gas'!O6</f>
        <v>0</v>
      </c>
      <c r="P8" s="1199">
        <f>'HmEnrgyAsmt Detail_REM G214 Gas'!P6</f>
        <v>0</v>
      </c>
      <c r="Q8" s="1199">
        <f>'HmEnrgyAsmt Detail_REM G214 Gas'!Q6</f>
        <v>0</v>
      </c>
      <c r="R8" s="1199">
        <f>'HmEnrgyAsmt Detail_REM G214 Gas'!R6</f>
        <v>0</v>
      </c>
      <c r="S8" s="1199">
        <f>'HmEnrgyAsmt Detail_REM G214 Gas'!S6</f>
        <v>0</v>
      </c>
      <c r="T8" s="1627">
        <f>'HmEnrgyAsmt Detail_REM G214 Gas'!T6</f>
        <v>0</v>
      </c>
    </row>
    <row r="9" spans="2:22">
      <c r="B9" s="1718" t="s">
        <v>383</v>
      </c>
      <c r="C9" s="1413" t="s">
        <v>72</v>
      </c>
      <c r="E9" s="1652" t="s">
        <v>280</v>
      </c>
      <c r="H9" s="974">
        <v>18230636</v>
      </c>
      <c r="I9" s="1199">
        <f>'WtrHeat Detail_REM G214 Gas'!I6</f>
        <v>0</v>
      </c>
      <c r="J9" s="1199">
        <f>'WtrHeat Detail_REM G214 Gas'!J6</f>
        <v>0</v>
      </c>
      <c r="K9" s="1199">
        <f>'WtrHeat Detail_REM G214 Gas'!K6</f>
        <v>0</v>
      </c>
      <c r="L9" s="1199">
        <f>'WtrHeat Detail_REM G214 Gas'!L6</f>
        <v>0</v>
      </c>
      <c r="M9" s="1199">
        <f>'WtrHeat Detail_REM G214 Gas'!M6</f>
        <v>0</v>
      </c>
      <c r="N9" s="1199">
        <f>'WtrHeat Detail_REM G214 Gas'!N6</f>
        <v>0</v>
      </c>
      <c r="O9" s="1199">
        <f>'WtrHeat Detail_REM G214 Gas'!O6</f>
        <v>0</v>
      </c>
      <c r="P9" s="1199">
        <f>'WtrHeat Detail_REM G214 Gas'!P6</f>
        <v>0</v>
      </c>
      <c r="Q9" s="1199">
        <f>'WtrHeat Detail_REM G214 Gas'!Q6</f>
        <v>0</v>
      </c>
      <c r="R9" s="1199">
        <f>'WtrHeat Detail_REM G214 Gas'!R6</f>
        <v>0</v>
      </c>
      <c r="S9" s="1199">
        <f>'WtrHeat Detail_REM G214 Gas'!S6</f>
        <v>0</v>
      </c>
      <c r="T9" s="1627">
        <f>'WtrHeat Detail_REM G214 Gas'!T6</f>
        <v>0</v>
      </c>
    </row>
    <row r="10" spans="2:22">
      <c r="B10" s="1718" t="s">
        <v>384</v>
      </c>
      <c r="C10" s="1413" t="s">
        <v>72</v>
      </c>
      <c r="E10" s="1652" t="s">
        <v>287</v>
      </c>
      <c r="H10" s="974">
        <v>18230637</v>
      </c>
      <c r="I10" s="1199">
        <f>'Wx Detail_REM G214 Gas'!I6</f>
        <v>27192.45</v>
      </c>
      <c r="J10" s="1199">
        <f>'Wx Detail_REM G214 Gas'!J6</f>
        <v>12306.15</v>
      </c>
      <c r="K10" s="1199">
        <f>'Wx Detail_REM G214 Gas'!K6</f>
        <v>35469.7428</v>
      </c>
      <c r="L10" s="1199">
        <f>'Wx Detail_REM G214 Gas'!L6</f>
        <v>41178.94</v>
      </c>
      <c r="M10" s="1199">
        <f>'Wx Detail_REM G214 Gas'!M6</f>
        <v>2500</v>
      </c>
      <c r="N10" s="1199">
        <f>'Wx Detail_REM G214 Gas'!N6</f>
        <v>327523.05</v>
      </c>
      <c r="O10" s="1199">
        <f>'Wx Detail_REM G214 Gas'!O6</f>
        <v>0</v>
      </c>
      <c r="P10" s="1199">
        <f>'Wx Detail_REM G214 Gas'!P6</f>
        <v>15000</v>
      </c>
      <c r="Q10" s="1199">
        <f>'Wx Detail_REM G214 Gas'!Q6</f>
        <v>2237741</v>
      </c>
      <c r="R10" s="1199">
        <f>'Wx Detail_REM G214 Gas'!R6</f>
        <v>0</v>
      </c>
      <c r="S10" s="1199">
        <f>'Wx Detail_REM G214 Gas'!S6</f>
        <v>2698911.3328</v>
      </c>
      <c r="T10" s="1627">
        <f>'Wx Detail_REM G214 Gas'!T6</f>
        <v>410012.5</v>
      </c>
    </row>
    <row r="11" spans="2:22">
      <c r="B11" s="1718" t="s">
        <v>385</v>
      </c>
      <c r="C11" s="1413" t="s">
        <v>72</v>
      </c>
      <c r="E11" s="1652" t="s">
        <v>286</v>
      </c>
      <c r="H11" s="974">
        <v>18230638</v>
      </c>
      <c r="I11" s="1199">
        <f>'SpHeat Detail_REM G214 Gas'!I6</f>
        <v>44591.520000000004</v>
      </c>
      <c r="J11" s="1199">
        <f>'SpHeat Detail_REM G214 Gas'!J6</f>
        <v>14357.174999999999</v>
      </c>
      <c r="K11" s="1199">
        <f>'SpHeat Detail_REM G214 Gas'!K6</f>
        <v>52935.928110000001</v>
      </c>
      <c r="L11" s="1199">
        <f>'SpHeat Detail_REM G214 Gas'!L6</f>
        <v>225000</v>
      </c>
      <c r="M11" s="1199">
        <f>'SpHeat Detail_REM G214 Gas'!M6</f>
        <v>5400</v>
      </c>
      <c r="N11" s="1199">
        <f>'SpHeat Detail_REM G214 Gas'!N6</f>
        <v>18000</v>
      </c>
      <c r="O11" s="1199">
        <f>'SpHeat Detail_REM G214 Gas'!O6</f>
        <v>17200</v>
      </c>
      <c r="P11" s="1199">
        <f>'SpHeat Detail_REM G214 Gas'!P6</f>
        <v>4000</v>
      </c>
      <c r="Q11" s="1199">
        <f>'SpHeat Detail_REM G214 Gas'!Q6</f>
        <v>1967750</v>
      </c>
      <c r="R11" s="1199">
        <f>'SpHeat Detail_REM G214 Gas'!R6</f>
        <v>0</v>
      </c>
      <c r="S11" s="1199">
        <f>'SpHeat Detail_REM G214 Gas'!S6</f>
        <v>2349234.62311</v>
      </c>
      <c r="T11" s="1627">
        <f>'SpHeat Detail_REM G214 Gas'!T6</f>
        <v>618205</v>
      </c>
    </row>
    <row r="12" spans="2:22">
      <c r="B12" s="1718" t="s">
        <v>386</v>
      </c>
      <c r="C12" s="1413" t="s">
        <v>72</v>
      </c>
      <c r="E12" s="1652" t="s">
        <v>277</v>
      </c>
      <c r="H12" s="974">
        <v>18230700</v>
      </c>
      <c r="I12" s="1199">
        <f>'ShwrHead Detail_REM G214 Gas'!I6</f>
        <v>11727.41</v>
      </c>
      <c r="J12" s="1199">
        <f>'ShwrHead Detail_REM G214 Gas'!J6</f>
        <v>2332.5</v>
      </c>
      <c r="K12" s="1199">
        <f>'ShwrHead Detail_REM G214 Gas'!K6</f>
        <v>12625.799179999998</v>
      </c>
      <c r="L12" s="1199">
        <f>'ShwrHead Detail_REM G214 Gas'!L6</f>
        <v>80346</v>
      </c>
      <c r="M12" s="1199">
        <f>'ShwrHead Detail_REM G214 Gas'!M6</f>
        <v>300</v>
      </c>
      <c r="N12" s="1199">
        <f>'ShwrHead Detail_REM G214 Gas'!N6</f>
        <v>24004</v>
      </c>
      <c r="O12" s="1199">
        <f>'ShwrHead Detail_REM G214 Gas'!O6</f>
        <v>300</v>
      </c>
      <c r="P12" s="1199">
        <f>'ShwrHead Detail_REM G214 Gas'!P6</f>
        <v>150</v>
      </c>
      <c r="Q12" s="1199">
        <f>'ShwrHead Detail_REM G214 Gas'!Q6</f>
        <v>198750</v>
      </c>
      <c r="R12" s="1199">
        <f>'ShwrHead Detail_REM G214 Gas'!R6</f>
        <v>0</v>
      </c>
      <c r="S12" s="1199">
        <f>'ShwrHead Detail_REM G214 Gas'!S6</f>
        <v>330535.70918000001</v>
      </c>
      <c r="T12" s="1627">
        <f>'ShwrHead Detail_REM G214 Gas'!T6</f>
        <v>187782.5</v>
      </c>
    </row>
    <row r="13" spans="2:22">
      <c r="B13" s="1718" t="s">
        <v>387</v>
      </c>
      <c r="C13" s="1413" t="s">
        <v>72</v>
      </c>
      <c r="E13" s="1413" t="s">
        <v>59</v>
      </c>
      <c r="H13" s="974" t="s">
        <v>1681</v>
      </c>
      <c r="I13" s="1199">
        <f>'HmApplSvgs Detail_REM G214 Gas'!I6</f>
        <v>0</v>
      </c>
      <c r="J13" s="1199">
        <f>'HmApplSvgs Detail_REM G214 Gas'!J6</f>
        <v>0</v>
      </c>
      <c r="K13" s="1199">
        <f>'HmApplSvgs Detail_REM G214 Gas'!K6</f>
        <v>0</v>
      </c>
      <c r="L13" s="1199">
        <f>'HmApplSvgs Detail_REM G214 Gas'!L6</f>
        <v>0</v>
      </c>
      <c r="M13" s="1199">
        <f>'HmApplSvgs Detail_REM G214 Gas'!M6</f>
        <v>0</v>
      </c>
      <c r="N13" s="1199">
        <f>'HmApplSvgs Detail_REM G214 Gas'!N6</f>
        <v>0</v>
      </c>
      <c r="O13" s="1199">
        <f>'HmApplSvgs Detail_REM G214 Gas'!O6</f>
        <v>0</v>
      </c>
      <c r="P13" s="1199">
        <f>'HmApplSvgs Detail_REM G214 Gas'!P6</f>
        <v>0</v>
      </c>
      <c r="Q13" s="1199">
        <f>'HmApplSvgs Detail_REM G214 Gas'!Q6</f>
        <v>14805</v>
      </c>
      <c r="R13" s="1199">
        <f>'HmApplSvgs Detail_REM G214 Gas'!R6</f>
        <v>0</v>
      </c>
      <c r="S13" s="1199">
        <f>'HmApplSvgs Detail_REM G214 Gas'!S6</f>
        <v>14805</v>
      </c>
      <c r="T13" s="1627">
        <f>'HmApplSvgs Detail_REM G214 Gas'!T6</f>
        <v>40705</v>
      </c>
    </row>
    <row r="14" spans="2:22" s="1622" customFormat="1">
      <c r="B14" s="1718" t="s">
        <v>388</v>
      </c>
      <c r="C14" s="1622" t="s">
        <v>72</v>
      </c>
      <c r="D14" s="1652"/>
      <c r="E14" s="1622" t="s">
        <v>276</v>
      </c>
      <c r="H14" s="1626">
        <v>18230680</v>
      </c>
      <c r="I14" s="1625">
        <f>'MHDS Detail_REM G214 Gas'!I6</f>
        <v>0</v>
      </c>
      <c r="J14" s="1625">
        <f>'MHDS Detail_REM G214 Gas'!J6</f>
        <v>0</v>
      </c>
      <c r="K14" s="1625">
        <f>'MHDS Detail_REM G214 Gas'!K6</f>
        <v>0</v>
      </c>
      <c r="L14" s="1625">
        <f>'MHDS Detail_REM G214 Gas'!L6</f>
        <v>0</v>
      </c>
      <c r="M14" s="1625">
        <f>'MHDS Detail_REM G214 Gas'!M6</f>
        <v>0</v>
      </c>
      <c r="N14" s="1625">
        <f>'MHDS Detail_REM G214 Gas'!N6</f>
        <v>0</v>
      </c>
      <c r="O14" s="1625">
        <f>'MHDS Detail_REM G214 Gas'!O6</f>
        <v>0</v>
      </c>
      <c r="P14" s="1625">
        <f>'MHDS Detail_REM G214 Gas'!P6</f>
        <v>0</v>
      </c>
      <c r="Q14" s="1625">
        <f>'MHDS Detail_REM G214 Gas'!Q6</f>
        <v>0</v>
      </c>
      <c r="R14" s="1625">
        <f>'MHDS Detail_REM G214 Gas'!R6</f>
        <v>0</v>
      </c>
      <c r="S14" s="1625">
        <f>'MHDS Detail_REM G214 Gas'!S6</f>
        <v>0</v>
      </c>
      <c r="T14" s="1627">
        <f>'MHDS Detail_REM G214 Gas'!T6</f>
        <v>0</v>
      </c>
    </row>
    <row r="15" spans="2:22" s="1622" customFormat="1">
      <c r="B15" s="1718" t="s">
        <v>389</v>
      </c>
      <c r="C15" s="1622" t="s">
        <v>72</v>
      </c>
      <c r="D15" s="1652"/>
      <c r="E15" s="1622" t="s">
        <v>324</v>
      </c>
      <c r="H15" s="1626">
        <v>18230687</v>
      </c>
      <c r="I15" s="1625">
        <f>'WebTstat Detail_REM G214 Gas'!I6</f>
        <v>15550</v>
      </c>
      <c r="J15" s="1625">
        <f>'WebTstat Detail_REM G214 Gas'!J6</f>
        <v>1943.75</v>
      </c>
      <c r="K15" s="1625">
        <f>'WebTstat Detail_REM G214 Gas'!K6</f>
        <v>15709.387499999999</v>
      </c>
      <c r="L15" s="1625">
        <f>'WebTstat Detail_REM G214 Gas'!L6</f>
        <v>35272</v>
      </c>
      <c r="M15" s="1625">
        <f>'WebTstat Detail_REM G214 Gas'!M6</f>
        <v>250</v>
      </c>
      <c r="N15" s="1625">
        <f>'WebTstat Detail_REM G214 Gas'!N6</f>
        <v>28965</v>
      </c>
      <c r="O15" s="1625">
        <f>'WebTstat Detail_REM G214 Gas'!O6</f>
        <v>250</v>
      </c>
      <c r="P15" s="1625">
        <f>'WebTstat Detail_REM G214 Gas'!P6</f>
        <v>100</v>
      </c>
      <c r="Q15" s="1625">
        <f>'WebTstat Detail_REM G214 Gas'!Q6</f>
        <v>255000</v>
      </c>
      <c r="R15" s="1625">
        <f>'WebTstat Detail_REM G214 Gas'!R6</f>
        <v>0</v>
      </c>
      <c r="S15" s="1625">
        <f>'WebTstat Detail_REM G214 Gas'!S6</f>
        <v>353040.13750000001</v>
      </c>
      <c r="T15" s="1627">
        <f>'WebTstat Detail_REM G214 Gas'!T6</f>
        <v>170000</v>
      </c>
    </row>
    <row r="16" spans="2:22">
      <c r="B16" s="1718" t="s">
        <v>390</v>
      </c>
      <c r="C16" s="1413" t="s">
        <v>72</v>
      </c>
      <c r="E16" s="1652" t="s">
        <v>274</v>
      </c>
      <c r="H16" s="974">
        <v>18230738</v>
      </c>
      <c r="I16" s="1199">
        <f>'HER Detail_REM G214 gas'!I6</f>
        <v>2332.5</v>
      </c>
      <c r="J16" s="1199">
        <f>'HER Detail_REM G214 gas'!J6</f>
        <v>0</v>
      </c>
      <c r="K16" s="1199">
        <f>'HER Detail_REM G214 gas'!K6</f>
        <v>2094.5849999999996</v>
      </c>
      <c r="L16" s="1199">
        <f>'HER Detail_REM G214 gas'!L6</f>
        <v>9960</v>
      </c>
      <c r="M16" s="1199">
        <f>'HER Detail_REM G214 gas'!M6</f>
        <v>250</v>
      </c>
      <c r="N16" s="1199">
        <f>'HER Detail_REM G214 gas'!N6</f>
        <v>14045.13</v>
      </c>
      <c r="O16" s="1199">
        <f>'HER Detail_REM G214 gas'!O6</f>
        <v>100</v>
      </c>
      <c r="P16" s="1199">
        <f>'HER Detail_REM G214 gas'!P6</f>
        <v>150</v>
      </c>
      <c r="Q16" s="1199">
        <f>'HER Detail_REM G214 gas'!Q6</f>
        <v>14080</v>
      </c>
      <c r="R16" s="1199">
        <f>'HER Detail_REM G214 gas'!R6</f>
        <v>0</v>
      </c>
      <c r="S16" s="1199">
        <f>'HER Detail_REM G214 gas'!S6</f>
        <v>43012.214999999997</v>
      </c>
      <c r="T16" s="1627">
        <f>'HER Detail_REM G214 gas'!T6</f>
        <v>0</v>
      </c>
    </row>
    <row r="17" spans="2:33">
      <c r="B17" s="1718" t="s">
        <v>391</v>
      </c>
      <c r="C17" s="1413" t="s">
        <v>73</v>
      </c>
      <c r="D17" s="2158" t="s">
        <v>568</v>
      </c>
      <c r="E17" s="1652" t="s">
        <v>272</v>
      </c>
      <c r="H17" s="974">
        <v>18230442</v>
      </c>
      <c r="I17" s="1199">
        <f>'NCMfgHomes Detail_REM G215 Gas'!I6</f>
        <v>0</v>
      </c>
      <c r="J17" s="1625">
        <f>'NCMfgHomes Detail_REM G215 Gas'!J6</f>
        <v>0</v>
      </c>
      <c r="K17" s="1625">
        <f>'NCMfgHomes Detail_REM G215 Gas'!K6</f>
        <v>0</v>
      </c>
      <c r="L17" s="1625">
        <f>'NCMfgHomes Detail_REM G215 Gas'!L6</f>
        <v>0</v>
      </c>
      <c r="M17" s="1625">
        <f>'NCMfgHomes Detail_REM G215 Gas'!M6</f>
        <v>0</v>
      </c>
      <c r="N17" s="1625">
        <f>'NCMfgHomes Detail_REM G215 Gas'!N6</f>
        <v>0</v>
      </c>
      <c r="O17" s="1625">
        <f>'NCMfgHomes Detail_REM G215 Gas'!O6</f>
        <v>0</v>
      </c>
      <c r="P17" s="1625">
        <f>'NCMfgHomes Detail_REM G215 Gas'!P6</f>
        <v>0</v>
      </c>
      <c r="Q17" s="1625">
        <f>'NCMfgHomes Detail_REM G215 Gas'!Q6</f>
        <v>0</v>
      </c>
      <c r="R17" s="1625">
        <f>'NCMfgHomes Detail_REM G215 Gas'!R6</f>
        <v>0</v>
      </c>
      <c r="S17" s="1625">
        <f>'NCMfgHomes Detail_REM G215 Gas'!S6</f>
        <v>0</v>
      </c>
      <c r="T17" s="1627">
        <f>'NCMfgHomes Detail_REM G215 Gas'!T6</f>
        <v>0</v>
      </c>
      <c r="V17" s="1625"/>
      <c r="W17" s="1625"/>
      <c r="X17" s="1625"/>
      <c r="Y17" s="1625"/>
      <c r="Z17" s="1625"/>
      <c r="AA17" s="1625"/>
      <c r="AB17" s="1625"/>
      <c r="AC17" s="1625"/>
      <c r="AD17" s="1625"/>
      <c r="AE17" s="1625"/>
      <c r="AF17" s="1625"/>
      <c r="AG17" s="1627"/>
    </row>
    <row r="18" spans="2:33">
      <c r="B18" s="1718" t="s">
        <v>392</v>
      </c>
      <c r="C18" s="1413" t="s">
        <v>73</v>
      </c>
      <c r="D18" s="2158" t="s">
        <v>568</v>
      </c>
      <c r="E18" s="1652" t="s">
        <v>179</v>
      </c>
      <c r="H18" s="974">
        <v>18230684</v>
      </c>
      <c r="I18" s="1199">
        <f>'SFNC Detail_REM G215 Gas'!I6</f>
        <v>11662.5</v>
      </c>
      <c r="J18" s="1199">
        <f>'SFNC Detail_REM G215 Gas'!J6</f>
        <v>777.5</v>
      </c>
      <c r="K18" s="1199">
        <f>'SFNC Detail_REM G215 Gas'!K6</f>
        <v>11171.119999999999</v>
      </c>
      <c r="L18" s="1199">
        <f>'SFNC Detail_REM G215 Gas'!L6</f>
        <v>6000</v>
      </c>
      <c r="M18" s="1199">
        <f>'SFNC Detail_REM G215 Gas'!M6</f>
        <v>0</v>
      </c>
      <c r="N18" s="1199">
        <f>'SFNC Detail_REM G215 Gas'!N6</f>
        <v>0</v>
      </c>
      <c r="O18" s="1199">
        <f>'SFNC Detail_REM G215 Gas'!O6</f>
        <v>1000</v>
      </c>
      <c r="P18" s="1199">
        <f>'SFNC Detail_REM G215 Gas'!P6</f>
        <v>0</v>
      </c>
      <c r="Q18" s="1199">
        <f>'SFNC Detail_REM G215 Gas'!Q6</f>
        <v>0</v>
      </c>
      <c r="R18" s="1199">
        <f>'SFNC Detail_REM G215 Gas'!R6</f>
        <v>0</v>
      </c>
      <c r="S18" s="1199">
        <f>'SFNC Detail_REM G215 Gas'!S6</f>
        <v>30611.119999999999</v>
      </c>
      <c r="T18" s="1627">
        <f>'SFNC Detail_REM G215 Gas'!T6</f>
        <v>0</v>
      </c>
    </row>
    <row r="19" spans="2:33">
      <c r="B19" s="1718" t="s">
        <v>393</v>
      </c>
      <c r="C19" s="1413" t="s">
        <v>74</v>
      </c>
      <c r="D19" s="2159"/>
      <c r="E19" s="1652" t="s">
        <v>329</v>
      </c>
      <c r="H19" s="974">
        <v>18230736</v>
      </c>
      <c r="I19" s="1199">
        <f>'MF Retr Detail_REM G217 Gas'!I6</f>
        <v>42762.5</v>
      </c>
      <c r="J19" s="1199">
        <f>'MF Retr Detail_REM G217 Gas'!J6</f>
        <v>14400.000000000002</v>
      </c>
      <c r="K19" s="1199">
        <f>'MF Retr Detail_REM G217 Gas'!K6</f>
        <v>51331.925000000003</v>
      </c>
      <c r="L19" s="1199">
        <f>'MF Retr Detail_REM G217 Gas'!L6</f>
        <v>4000</v>
      </c>
      <c r="M19" s="1199">
        <f>'MF Retr Detail_REM G217 Gas'!M6</f>
        <v>1000</v>
      </c>
      <c r="N19" s="1199">
        <f>'MF Retr Detail_REM G217 Gas'!N6</f>
        <v>200000</v>
      </c>
      <c r="O19" s="1199">
        <f>'MF Retr Detail_REM G217 Gas'!O6</f>
        <v>500</v>
      </c>
      <c r="P19" s="1199">
        <f>'MF Retr Detail_REM G217 Gas'!P6</f>
        <v>500</v>
      </c>
      <c r="Q19" s="1199">
        <f>'MF Retr Detail_REM G217 Gas'!Q6</f>
        <v>294464</v>
      </c>
      <c r="R19" s="1199">
        <f>'MF Retr Detail_REM G217 Gas'!R6</f>
        <v>0</v>
      </c>
      <c r="S19" s="1199">
        <f>'MF Retr Detail_REM G217 Gas'!S6</f>
        <v>608958.42500000005</v>
      </c>
      <c r="T19" s="1627">
        <f>'MF Retr Detail_REM G217 Gas'!T6</f>
        <v>84535.8</v>
      </c>
    </row>
    <row r="20" spans="2:33">
      <c r="B20" s="1718" t="s">
        <v>394</v>
      </c>
      <c r="C20" s="1413" t="s">
        <v>75</v>
      </c>
      <c r="D20" s="2158" t="s">
        <v>568</v>
      </c>
      <c r="E20" s="1652" t="s">
        <v>282</v>
      </c>
      <c r="H20" s="974">
        <v>18230673</v>
      </c>
      <c r="I20" s="1199">
        <f>'MFNC Detail_REM G218 Gas'!I6</f>
        <v>17105</v>
      </c>
      <c r="J20" s="1199">
        <f>'MFNC Detail_REM G218 Gas'!J6</f>
        <v>7775</v>
      </c>
      <c r="K20" s="1199">
        <f>'MFNC Detail_REM G218 Gas'!K6</f>
        <v>22342.239999999998</v>
      </c>
      <c r="L20" s="1199">
        <f>'MFNC Detail_REM G218 Gas'!L6</f>
        <v>10000</v>
      </c>
      <c r="M20" s="1199">
        <f>'MFNC Detail_REM G218 Gas'!M6</f>
        <v>500</v>
      </c>
      <c r="N20" s="1199">
        <f>'MFNC Detail_REM G218 Gas'!N6</f>
        <v>0</v>
      </c>
      <c r="O20" s="1199">
        <f>'MFNC Detail_REM G218 Gas'!O6</f>
        <v>500</v>
      </c>
      <c r="P20" s="1199">
        <f>'MFNC Detail_REM G218 Gas'!P6</f>
        <v>500</v>
      </c>
      <c r="Q20" s="1199">
        <f>'MFNC Detail_REM G218 Gas'!Q6</f>
        <v>159880</v>
      </c>
      <c r="R20" s="1199">
        <f>'MFNC Detail_REM G218 Gas'!R6</f>
        <v>0</v>
      </c>
      <c r="S20" s="1199">
        <f>'MFNC Detail_REM G218 Gas'!S6</f>
        <v>218602.23999999999</v>
      </c>
      <c r="T20" s="1627">
        <f>'MFNC Detail_REM G218 Gas'!T6</f>
        <v>38880</v>
      </c>
    </row>
    <row r="21" spans="2:33" s="1288" customFormat="1">
      <c r="B21" s="1540"/>
      <c r="D21" s="1567"/>
      <c r="F21" s="1539"/>
      <c r="G21" s="174" t="s">
        <v>145</v>
      </c>
      <c r="H21" s="1567"/>
      <c r="I21" s="474">
        <f t="shared" ref="I21:T21" si="0">SUM(I7:I20)</f>
        <v>188862.63</v>
      </c>
      <c r="J21" s="1541">
        <f t="shared" si="0"/>
        <v>55492.074999999997</v>
      </c>
      <c r="K21" s="1541">
        <f t="shared" si="0"/>
        <v>219430.52509000001</v>
      </c>
      <c r="L21" s="1541">
        <f t="shared" si="0"/>
        <v>416756.94</v>
      </c>
      <c r="M21" s="1541">
        <f t="shared" si="0"/>
        <v>11200</v>
      </c>
      <c r="N21" s="1541">
        <f t="shared" si="0"/>
        <v>613537.17999999993</v>
      </c>
      <c r="O21" s="1541">
        <f t="shared" si="0"/>
        <v>20350</v>
      </c>
      <c r="P21" s="1541">
        <f t="shared" si="0"/>
        <v>20900</v>
      </c>
      <c r="Q21" s="1541">
        <f t="shared" si="0"/>
        <v>5284781.84</v>
      </c>
      <c r="R21" s="1541">
        <f t="shared" si="0"/>
        <v>0</v>
      </c>
      <c r="S21" s="1541">
        <f t="shared" si="0"/>
        <v>6831311.1900900006</v>
      </c>
      <c r="T21" s="1542">
        <f t="shared" si="0"/>
        <v>1558906.75</v>
      </c>
    </row>
    <row r="22" spans="2:33">
      <c r="B22" s="1624"/>
      <c r="H22" s="1622"/>
      <c r="T22" s="1627"/>
    </row>
    <row r="23" spans="2:33" s="2389" customFormat="1" ht="12">
      <c r="B23" s="3008"/>
      <c r="H23" s="3004" t="s">
        <v>1731</v>
      </c>
      <c r="I23" s="3005">
        <v>224084.21850000002</v>
      </c>
      <c r="J23" s="3005">
        <v>62569.524999999994</v>
      </c>
      <c r="K23" s="3005">
        <v>194924.54558000003</v>
      </c>
      <c r="L23" s="3005">
        <v>414540.52</v>
      </c>
      <c r="M23" s="3005">
        <v>10950</v>
      </c>
      <c r="N23" s="3005">
        <v>529000</v>
      </c>
      <c r="O23" s="3005">
        <v>20450</v>
      </c>
      <c r="P23" s="3005">
        <v>21050</v>
      </c>
      <c r="Q23" s="3005">
        <v>5834033.3599999994</v>
      </c>
      <c r="R23" s="3005">
        <v>0</v>
      </c>
      <c r="S23" s="3005">
        <v>7311602.1690800004</v>
      </c>
      <c r="T23" s="3006">
        <v>1646670.32</v>
      </c>
    </row>
    <row r="24" spans="2:33">
      <c r="B24" s="1624"/>
      <c r="H24" s="1622"/>
      <c r="T24" s="1627"/>
    </row>
    <row r="25" spans="2:33">
      <c r="B25" s="1624"/>
      <c r="C25" s="1413" t="s">
        <v>147</v>
      </c>
      <c r="H25" s="1622"/>
      <c r="T25" s="1627"/>
    </row>
    <row r="26" spans="2:33">
      <c r="B26" s="1718" t="s">
        <v>395</v>
      </c>
      <c r="C26" s="1413" t="s">
        <v>292</v>
      </c>
      <c r="E26" s="1413" t="s">
        <v>136</v>
      </c>
      <c r="H26" s="974">
        <v>18230731</v>
      </c>
      <c r="I26" s="1199">
        <f>'CI Retr Detail_BEM G250 Gas'!H6</f>
        <v>281700</v>
      </c>
      <c r="J26" s="1199">
        <f>'CI Retr Detail_BEM G250 Gas'!I6</f>
        <v>10000</v>
      </c>
      <c r="K26" s="1199">
        <f>'CI Retr Detail_BEM G250 Gas'!J6</f>
        <v>261957</v>
      </c>
      <c r="L26" s="1199">
        <f>'CI Retr Detail_BEM G250 Gas'!K6</f>
        <v>0</v>
      </c>
      <c r="M26" s="1199">
        <f>'CI Retr Detail_BEM G250 Gas'!L6</f>
        <v>8000</v>
      </c>
      <c r="N26" s="1199">
        <f>'CI Retr Detail_BEM G250 Gas'!M6</f>
        <v>135000</v>
      </c>
      <c r="O26" s="1199">
        <f>'CI Retr Detail_BEM G250 Gas'!N6</f>
        <v>2000</v>
      </c>
      <c r="P26" s="1199">
        <f>'CI Retr Detail_BEM G250 Gas'!O6</f>
        <v>0</v>
      </c>
      <c r="Q26" s="1199">
        <f>'CI Retr Detail_BEM G250 Gas'!P6</f>
        <v>1300000</v>
      </c>
      <c r="S26" s="1199">
        <f>'CI Retr Detail_BEM G250 Gas'!R6</f>
        <v>1998657</v>
      </c>
      <c r="T26" s="1627">
        <f>'CI Retr Detail_BEM G250 Gas'!S6</f>
        <v>425000</v>
      </c>
    </row>
    <row r="27" spans="2:33">
      <c r="B27" s="1718" t="s">
        <v>396</v>
      </c>
      <c r="C27" s="1413" t="s">
        <v>142</v>
      </c>
      <c r="E27" s="1413" t="s">
        <v>137</v>
      </c>
      <c r="H27" s="974">
        <v>18230706</v>
      </c>
      <c r="I27" s="1199">
        <f>'CI NC Detail_BEM G251 Gas'!H6</f>
        <v>51300</v>
      </c>
      <c r="J27" s="1199">
        <f>'CI NC Detail_BEM G251 Gas'!I6</f>
        <v>1367.35</v>
      </c>
      <c r="K27" s="1199">
        <f>'CI NC Detail_BEM G251 Gas'!J6</f>
        <v>47260.143499999998</v>
      </c>
      <c r="L27" s="1199">
        <f>'CI NC Detail_BEM G251 Gas'!K6</f>
        <v>9000</v>
      </c>
      <c r="M27" s="1199">
        <f>'CI NC Detail_BEM G251 Gas'!L6</f>
        <v>1000</v>
      </c>
      <c r="N27" s="1199">
        <f>'CI NC Detail_BEM G251 Gas'!M6</f>
        <v>12000</v>
      </c>
      <c r="O27" s="1199">
        <f>'CI NC Detail_BEM G251 Gas'!N6</f>
        <v>1000</v>
      </c>
      <c r="P27" s="1199">
        <f>'CI NC Detail_BEM G251 Gas'!O6</f>
        <v>2000</v>
      </c>
      <c r="Q27" s="1199">
        <f>'CI NC Detail_BEM G251 Gas'!P6</f>
        <v>410000</v>
      </c>
      <c r="S27" s="1199">
        <f>'CI NC Detail_BEM G251 Gas'!R6</f>
        <v>534927.49349999998</v>
      </c>
      <c r="T27" s="1627">
        <f>'CI NC Detail_BEM G251 Gas'!S6</f>
        <v>100000</v>
      </c>
    </row>
    <row r="28" spans="2:33" s="1652" customFormat="1">
      <c r="B28" s="1718"/>
      <c r="E28" s="1652" t="s">
        <v>684</v>
      </c>
      <c r="H28" s="2357"/>
      <c r="I28" s="1625">
        <f>SUM(I29:I30)</f>
        <v>175155.37</v>
      </c>
      <c r="J28" s="1625">
        <f t="shared" ref="J28:T28" si="1">SUM(J29:J30)</f>
        <v>500</v>
      </c>
      <c r="K28" s="1625">
        <f t="shared" si="1"/>
        <v>157718.52226</v>
      </c>
      <c r="L28" s="1625">
        <f t="shared" si="1"/>
        <v>0</v>
      </c>
      <c r="M28" s="1625">
        <f t="shared" si="1"/>
        <v>8700</v>
      </c>
      <c r="N28" s="1625">
        <f t="shared" si="1"/>
        <v>43250</v>
      </c>
      <c r="O28" s="1625">
        <f t="shared" si="1"/>
        <v>1000</v>
      </c>
      <c r="P28" s="1625">
        <f t="shared" si="1"/>
        <v>5000</v>
      </c>
      <c r="Q28" s="1625">
        <f t="shared" si="1"/>
        <v>155000</v>
      </c>
      <c r="R28" s="1625">
        <f t="shared" si="1"/>
        <v>0</v>
      </c>
      <c r="S28" s="1625">
        <f>SUM(S29:S30)</f>
        <v>546323.89225999999</v>
      </c>
      <c r="T28" s="1627">
        <f t="shared" si="1"/>
        <v>550000</v>
      </c>
    </row>
    <row r="29" spans="2:33" s="2152" customFormat="1">
      <c r="B29" s="2151" t="s">
        <v>397</v>
      </c>
      <c r="C29" s="2152" t="s">
        <v>293</v>
      </c>
      <c r="E29" s="2526" t="s">
        <v>519</v>
      </c>
      <c r="H29" s="2155">
        <v>18230691</v>
      </c>
      <c r="I29" s="2154">
        <f>'RCM Detail_BEM 253 Gas'!H6</f>
        <v>165000</v>
      </c>
      <c r="J29" s="2154">
        <f>'RCM Detail_BEM 253 Gas'!I6</f>
        <v>0</v>
      </c>
      <c r="K29" s="2154">
        <f>'RCM Detail_BEM 253 Gas'!J6</f>
        <v>148150</v>
      </c>
      <c r="L29" s="2154">
        <f>'RCM Detail_BEM 253 Gas'!K6</f>
        <v>0</v>
      </c>
      <c r="M29" s="2154">
        <f>'RCM Detail_BEM 253 Gas'!L6</f>
        <v>8000</v>
      </c>
      <c r="N29" s="2154">
        <f>'RCM Detail_BEM 253 Gas'!M6</f>
        <v>40000</v>
      </c>
      <c r="O29" s="2154">
        <f>'RCM Detail_BEM 253 Gas'!N6</f>
        <v>1000</v>
      </c>
      <c r="P29" s="2154">
        <f>'RCM Detail_BEM 253 Gas'!O6</f>
        <v>5000</v>
      </c>
      <c r="Q29" s="2154">
        <f>'RCM Detail_BEM 253 Gas'!P6</f>
        <v>155000</v>
      </c>
      <c r="R29" s="2154"/>
      <c r="S29" s="2154">
        <f>'RCM Detail_BEM 253 Gas'!R6</f>
        <v>522150</v>
      </c>
      <c r="T29" s="2156">
        <f>'RCM Detail_BEM 253 Gas'!S6</f>
        <v>550000</v>
      </c>
    </row>
    <row r="30" spans="2:33" s="2152" customFormat="1">
      <c r="B30" s="2151" t="s">
        <v>1534</v>
      </c>
      <c r="E30" s="2526" t="s">
        <v>1533</v>
      </c>
      <c r="H30" s="2357" t="s">
        <v>1398</v>
      </c>
      <c r="I30" s="2154">
        <f>'ResAcctSW Detail_PSWE_Gas'!H6</f>
        <v>10155.370000000001</v>
      </c>
      <c r="J30" s="2154">
        <f>'ResAcctSW Detail_PSWE_Gas'!I6</f>
        <v>500</v>
      </c>
      <c r="K30" s="2154">
        <f>'ResAcctSW Detail_PSWE_Gas'!J6</f>
        <v>9568.5222599999997</v>
      </c>
      <c r="L30" s="2154">
        <f>'ResAcctSW Detail_PSWE_Gas'!K6</f>
        <v>0</v>
      </c>
      <c r="M30" s="2154">
        <f>'ResAcctSW Detail_PSWE_Gas'!L6</f>
        <v>700</v>
      </c>
      <c r="N30" s="2154">
        <f>'ResAcctSW Detail_PSWE_Gas'!M6</f>
        <v>3250</v>
      </c>
      <c r="O30" s="2154">
        <f>'ResAcctSW Detail_PSWE_Gas'!N6</f>
        <v>0</v>
      </c>
      <c r="P30" s="2154">
        <f>'ResAcctSW Detail_PSWE_Gas'!O6</f>
        <v>0</v>
      </c>
      <c r="Q30" s="2154">
        <f>'ResAcctSW Detail_PSWE_Gas'!P6</f>
        <v>0</v>
      </c>
      <c r="R30" s="2154">
        <f>'ResAcctSW Detail_PSWE_Gas'!Q6</f>
        <v>0</v>
      </c>
      <c r="S30" s="2154">
        <f>'ResAcctSW Detail_PSWE_Gas'!R6</f>
        <v>24173.892260000001</v>
      </c>
      <c r="T30" s="2156"/>
    </row>
    <row r="31" spans="2:33">
      <c r="B31" s="1718" t="s">
        <v>398</v>
      </c>
      <c r="C31" s="1413" t="s">
        <v>143</v>
      </c>
      <c r="E31" s="1413" t="s">
        <v>140</v>
      </c>
      <c r="H31" s="974">
        <v>18230694</v>
      </c>
      <c r="I31" s="1199">
        <f>'TechEval Detail_BEM G261 Gas'!H6</f>
        <v>0</v>
      </c>
      <c r="J31" s="1199">
        <f>'TechEval Detail_BEM G261 Gas'!I6</f>
        <v>0</v>
      </c>
      <c r="K31" s="1199">
        <f>'TechEval Detail_BEM G261 Gas'!J6</f>
        <v>0</v>
      </c>
      <c r="L31" s="1199">
        <f>'TechEval Detail_BEM G261 Gas'!K6</f>
        <v>0</v>
      </c>
      <c r="M31" s="1199">
        <f>'TechEval Detail_BEM G261 Gas'!L6</f>
        <v>0</v>
      </c>
      <c r="N31" s="1199">
        <f>'TechEval Detail_BEM G261 Gas'!M6</f>
        <v>0</v>
      </c>
      <c r="O31" s="1199">
        <f>'TechEval Detail_BEM G261 Gas'!N6</f>
        <v>0</v>
      </c>
      <c r="P31" s="1199">
        <f>'TechEval Detail_BEM G261 Gas'!O6</f>
        <v>0</v>
      </c>
      <c r="Q31" s="1199">
        <f>'TechEval Detail_BEM G261 Gas'!P6</f>
        <v>0</v>
      </c>
      <c r="S31" s="1199">
        <f>'TechEval Detail_BEM G261 Gas'!R6</f>
        <v>0</v>
      </c>
      <c r="T31" s="1627">
        <f>'TechEval Detail_BEM G261 Gas'!S6</f>
        <v>0</v>
      </c>
    </row>
    <row r="32" spans="2:33">
      <c r="B32" s="1718" t="s">
        <v>399</v>
      </c>
      <c r="C32" s="1413" t="s">
        <v>144</v>
      </c>
      <c r="E32" s="1413" t="s">
        <v>141</v>
      </c>
      <c r="H32" s="974"/>
      <c r="I32" s="1199">
        <f>SUM(I33:I38)</f>
        <v>82680.11</v>
      </c>
      <c r="J32" s="1625">
        <f t="shared" ref="J32:O32" si="2">SUM(J33:J38)</f>
        <v>0</v>
      </c>
      <c r="K32" s="1625">
        <f t="shared" si="2"/>
        <v>74246.738779999985</v>
      </c>
      <c r="L32" s="1625">
        <f t="shared" si="2"/>
        <v>25250</v>
      </c>
      <c r="M32" s="1625">
        <f t="shared" si="2"/>
        <v>6225</v>
      </c>
      <c r="N32" s="1625">
        <f t="shared" si="2"/>
        <v>172891.03</v>
      </c>
      <c r="O32" s="1625">
        <f t="shared" si="2"/>
        <v>840</v>
      </c>
      <c r="P32" s="1625">
        <f t="shared" ref="P32:S32" si="3">SUM(P33:P38)</f>
        <v>74154.5</v>
      </c>
      <c r="Q32" s="1625">
        <f t="shared" si="3"/>
        <v>1259036.5</v>
      </c>
      <c r="R32" s="1625">
        <f t="shared" si="3"/>
        <v>0</v>
      </c>
      <c r="S32" s="1625">
        <f t="shared" si="3"/>
        <v>1695323.8787799999</v>
      </c>
      <c r="T32" s="1627">
        <f>SUM(T33:T38)</f>
        <v>576665.1</v>
      </c>
    </row>
    <row r="33" spans="2:20" s="2152" customFormat="1">
      <c r="B33" s="2151" t="s">
        <v>676</v>
      </c>
      <c r="C33" s="2152" t="s">
        <v>144</v>
      </c>
      <c r="D33" s="3209" t="s">
        <v>1755</v>
      </c>
      <c r="E33" s="3207" t="s">
        <v>625</v>
      </c>
      <c r="H33" s="2153">
        <v>18231027</v>
      </c>
      <c r="I33" s="2154">
        <f>'Comm Kit-Laund_G262 Gas'!I6</f>
        <v>23224.75</v>
      </c>
      <c r="J33" s="2154">
        <f>'Comm Kit-Laund_G262 Gas'!J6</f>
        <v>0</v>
      </c>
      <c r="K33" s="2154">
        <f>'Comm Kit-Laund_G262 Gas'!K6</f>
        <v>20855.825499999999</v>
      </c>
      <c r="L33" s="2154">
        <f>'Comm Kit-Laund_G262 Gas'!L6</f>
        <v>15000</v>
      </c>
      <c r="M33" s="2154">
        <f>'Comm Kit-Laund_G262 Gas'!M6</f>
        <v>5225</v>
      </c>
      <c r="N33" s="2154">
        <f>'Comm Kit-Laund_G262 Gas'!N6</f>
        <v>600</v>
      </c>
      <c r="O33" s="2154">
        <f>'Comm Kit-Laund_G262 Gas'!O6</f>
        <v>240</v>
      </c>
      <c r="P33" s="2154">
        <f>'Comm Kit-Laund_G262 Gas'!P6</f>
        <v>0</v>
      </c>
      <c r="Q33" s="2154">
        <f>'Comm Kit-Laund_G262 Gas'!Q6</f>
        <v>366102</v>
      </c>
      <c r="R33" s="2154">
        <f>'Comm Kit-Laund_G262 Gas'!R6</f>
        <v>0</v>
      </c>
      <c r="S33" s="2154">
        <f>'Comm Kit-Laund_G262 Gas'!S6</f>
        <v>431247.57549999998</v>
      </c>
      <c r="T33" s="2156">
        <f>'Comm Kit-Laund_G262 Gas'!T6</f>
        <v>225939.30000000002</v>
      </c>
    </row>
    <row r="34" spans="2:20" s="2152" customFormat="1" hidden="1">
      <c r="B34" s="2151" t="s">
        <v>677</v>
      </c>
      <c r="C34" s="2152" t="s">
        <v>144</v>
      </c>
      <c r="D34" s="3209"/>
      <c r="E34" s="2526" t="s">
        <v>626</v>
      </c>
      <c r="H34" s="2153">
        <v>18231028</v>
      </c>
      <c r="I34" s="2154">
        <f>'Comm DI_G262 Gas'!I6</f>
        <v>0</v>
      </c>
      <c r="J34" s="2154">
        <f>'Comm DI_G262 Gas'!J6</f>
        <v>0</v>
      </c>
      <c r="K34" s="2154">
        <f>'Comm DI_G262 Gas'!K6</f>
        <v>0</v>
      </c>
      <c r="L34" s="2154">
        <f>'Comm DI_G262 Gas'!L6</f>
        <v>0</v>
      </c>
      <c r="M34" s="2154">
        <f>'Comm DI_G262 Gas'!M6</f>
        <v>0</v>
      </c>
      <c r="N34" s="2154">
        <f>'Comm DI_G262 Gas'!N6</f>
        <v>0</v>
      </c>
      <c r="O34" s="2154">
        <f>'Comm DI_G262 Gas'!O6</f>
        <v>0</v>
      </c>
      <c r="P34" s="2154">
        <f>'Comm DI_G262 Gas'!P6</f>
        <v>0</v>
      </c>
      <c r="Q34" s="2154">
        <f>'Comm DI_G262 Gas'!Q6</f>
        <v>0</v>
      </c>
      <c r="R34" s="2154">
        <f>'Comm DI_G262 Gas'!R6</f>
        <v>0</v>
      </c>
      <c r="S34" s="2154">
        <f>'Comm DI_G262 Gas'!S6</f>
        <v>0</v>
      </c>
      <c r="T34" s="2156">
        <f>'Comm DI_G262 Gas'!T6</f>
        <v>0</v>
      </c>
    </row>
    <row r="35" spans="2:20" s="2152" customFormat="1">
      <c r="B35" s="2151" t="s">
        <v>678</v>
      </c>
      <c r="C35" s="2152" t="s">
        <v>144</v>
      </c>
      <c r="D35" s="3209" t="s">
        <v>1755</v>
      </c>
      <c r="E35" s="3207" t="s">
        <v>621</v>
      </c>
      <c r="H35" s="2153">
        <v>18231029</v>
      </c>
      <c r="I35" s="2154">
        <f>'Comm HVAC_G262 Gas'!I6</f>
        <v>13934.849999999999</v>
      </c>
      <c r="J35" s="2154">
        <f>'Comm HVAC_G262 Gas'!J6</f>
        <v>0</v>
      </c>
      <c r="K35" s="2154">
        <f>'Comm HVAC_G262 Gas'!K6</f>
        <v>12513.495299999997</v>
      </c>
      <c r="L35" s="2154">
        <f>'Comm HVAC_G262 Gas'!L6</f>
        <v>0</v>
      </c>
      <c r="M35" s="2154">
        <f>'Comm HVAC_G262 Gas'!M6</f>
        <v>500</v>
      </c>
      <c r="N35" s="2154">
        <f>'Comm HVAC_G262 Gas'!N6</f>
        <v>55976.03</v>
      </c>
      <c r="O35" s="2154">
        <f>'Comm HVAC_G262 Gas'!O6</f>
        <v>100</v>
      </c>
      <c r="P35" s="2154">
        <f>'Comm HVAC_G262 Gas'!P6</f>
        <v>120</v>
      </c>
      <c r="Q35" s="2154">
        <f>'Comm HVAC_G262 Gas'!Q6</f>
        <v>123800</v>
      </c>
      <c r="R35" s="2154">
        <f>'Comm HVAC_G262 Gas'!R6</f>
        <v>0</v>
      </c>
      <c r="S35" s="2154">
        <f>'Comm HVAC_G262 Gas'!S6</f>
        <v>206944.37529999999</v>
      </c>
      <c r="T35" s="2156">
        <f>'Comm HVAC_G262 Gas'!T6</f>
        <v>69010</v>
      </c>
    </row>
    <row r="36" spans="2:20" s="2152" customFormat="1">
      <c r="B36" s="2360" t="s">
        <v>1512</v>
      </c>
      <c r="C36" s="2359" t="s">
        <v>144</v>
      </c>
      <c r="D36" s="3210"/>
      <c r="E36" s="2527" t="s">
        <v>1463</v>
      </c>
      <c r="G36" s="2359"/>
      <c r="H36" s="175">
        <v>18230251</v>
      </c>
      <c r="I36" s="2154">
        <f>'Sm Agr DI_G262 Gas'!I6</f>
        <v>16721.820000000003</v>
      </c>
      <c r="J36" s="2154">
        <f>'Sm Agr DI_G262 Gas'!J6</f>
        <v>0</v>
      </c>
      <c r="K36" s="2154">
        <f>'Sm Agr DI_G262 Gas'!K6</f>
        <v>15016.194360000001</v>
      </c>
      <c r="L36" s="2154">
        <f>'Sm Agr DI_G262 Gas'!L6</f>
        <v>0</v>
      </c>
      <c r="M36" s="2154">
        <f>'Sm Agr DI_G262 Gas'!M6</f>
        <v>0</v>
      </c>
      <c r="N36" s="2154">
        <f>'Sm Agr DI_G262 Gas'!N6</f>
        <v>315</v>
      </c>
      <c r="O36" s="2154">
        <f>'Sm Agr DI_G262 Gas'!O6</f>
        <v>0</v>
      </c>
      <c r="P36" s="2154">
        <f>'Sm Agr DI_G262 Gas'!P6</f>
        <v>4725</v>
      </c>
      <c r="Q36" s="2154">
        <f>'Sm Agr DI_G262 Gas'!Q6</f>
        <v>0</v>
      </c>
      <c r="R36" s="2154">
        <f>'Sm Agr DI_G262 Gas'!R6</f>
        <v>0</v>
      </c>
      <c r="S36" s="3270">
        <f>'Sm Agr DI_G262 Gas'!S6</f>
        <v>36778.014360000001</v>
      </c>
      <c r="T36" s="2156">
        <f>'Sm Agr DI_G262 Gas'!T6</f>
        <v>0</v>
      </c>
    </row>
    <row r="37" spans="2:20" s="2152" customFormat="1">
      <c r="B37" s="2360" t="s">
        <v>1514</v>
      </c>
      <c r="C37" s="2359" t="s">
        <v>144</v>
      </c>
      <c r="D37" s="3210" t="s">
        <v>1755</v>
      </c>
      <c r="E37" s="3208" t="s">
        <v>1397</v>
      </c>
      <c r="G37" s="2359"/>
      <c r="H37" s="175">
        <v>18230250</v>
      </c>
      <c r="I37" s="2154">
        <f>'Lodging DI_G262_Gas'!I6</f>
        <v>9289.9</v>
      </c>
      <c r="J37" s="2154">
        <f>'Lodging DI_G262_Gas'!J6</f>
        <v>0</v>
      </c>
      <c r="K37" s="2154">
        <f>'Lodging DI_G262_Gas'!K6</f>
        <v>8342.3302000000003</v>
      </c>
      <c r="L37" s="2154">
        <f>'Lodging DI_G262_Gas'!L6</f>
        <v>10000</v>
      </c>
      <c r="M37" s="2154">
        <f>'Lodging DI_G262_Gas'!M6</f>
        <v>500</v>
      </c>
      <c r="N37" s="2154">
        <f>'Lodging DI_G262_Gas'!N6</f>
        <v>110000</v>
      </c>
      <c r="O37" s="2154">
        <f>'Lodging DI_G262_Gas'!O6</f>
        <v>500</v>
      </c>
      <c r="P37" s="2154">
        <f>'Lodging DI_G262_Gas'!P6</f>
        <v>500</v>
      </c>
      <c r="Q37" s="2154">
        <f>'Lodging DI_G262_Gas'!Q6</f>
        <v>747959</v>
      </c>
      <c r="R37" s="2154">
        <f>'Lodging DI_G262_Gas'!R6</f>
        <v>0</v>
      </c>
      <c r="S37" s="3270">
        <f>'Lodging DI_G262_Gas'!S6</f>
        <v>887091.23019999999</v>
      </c>
      <c r="T37" s="2156">
        <f>'Lodging DI_G262_Gas'!T6</f>
        <v>258211.20000000001</v>
      </c>
    </row>
    <row r="38" spans="2:20" s="2152" customFormat="1">
      <c r="B38" s="2151" t="s">
        <v>679</v>
      </c>
      <c r="C38" s="2152" t="s">
        <v>144</v>
      </c>
      <c r="E38" s="2526" t="s">
        <v>530</v>
      </c>
      <c r="H38" s="2153">
        <v>18231022</v>
      </c>
      <c r="I38" s="2154">
        <f>'Sm Bus DI_G262 Gas'!I6</f>
        <v>19508.79</v>
      </c>
      <c r="J38" s="2154">
        <f>'Sm Bus DI_G262 Gas'!J6</f>
        <v>0</v>
      </c>
      <c r="K38" s="2154">
        <f>'Sm Bus DI_G262 Gas'!K6</f>
        <v>17518.89342</v>
      </c>
      <c r="L38" s="2154">
        <f>'Sm Bus DI_G262 Gas'!L6</f>
        <v>250</v>
      </c>
      <c r="M38" s="2154">
        <f>'Sm Bus DI_G262 Gas'!M6</f>
        <v>0</v>
      </c>
      <c r="N38" s="2154">
        <f>'Sm Bus DI_G262 Gas'!N6</f>
        <v>6000</v>
      </c>
      <c r="O38" s="2154">
        <f>'Sm Bus DI_G262 Gas'!O6</f>
        <v>0</v>
      </c>
      <c r="P38" s="2154">
        <f>'Sm Bus DI_G262 Gas'!P6</f>
        <v>68809.5</v>
      </c>
      <c r="Q38" s="2154">
        <f>'Sm Bus DI_G262 Gas'!Q6</f>
        <v>21175.5</v>
      </c>
      <c r="R38" s="2154">
        <f>'Sm Bus DI_G262 Gas'!R6</f>
        <v>0</v>
      </c>
      <c r="S38" s="3270">
        <f>'Sm Bus DI_G262 Gas'!S6</f>
        <v>133262.68342000002</v>
      </c>
      <c r="T38" s="2156">
        <f>'Sm Bus DI_G262 Gas'!T6</f>
        <v>23504.6</v>
      </c>
    </row>
    <row r="39" spans="2:20" s="1288" customFormat="1">
      <c r="B39" s="1567"/>
      <c r="D39" s="1567"/>
      <c r="F39" s="1539"/>
      <c r="G39" s="174" t="s">
        <v>146</v>
      </c>
      <c r="H39" s="1567"/>
      <c r="I39" s="474">
        <f>SUM(I26:I28)+I31+I32</f>
        <v>590835.48</v>
      </c>
      <c r="J39" s="1541">
        <f t="shared" ref="J39:R39" si="4">SUM(J26:J28)+J31+J32</f>
        <v>11867.35</v>
      </c>
      <c r="K39" s="1541">
        <f t="shared" si="4"/>
        <v>541182.40454000002</v>
      </c>
      <c r="L39" s="1541">
        <f t="shared" si="4"/>
        <v>34250</v>
      </c>
      <c r="M39" s="1541">
        <f t="shared" si="4"/>
        <v>23925</v>
      </c>
      <c r="N39" s="1541">
        <f t="shared" si="4"/>
        <v>363141.03</v>
      </c>
      <c r="O39" s="1541">
        <f t="shared" si="4"/>
        <v>4840</v>
      </c>
      <c r="P39" s="1541">
        <f t="shared" si="4"/>
        <v>81154.5</v>
      </c>
      <c r="Q39" s="1541">
        <f t="shared" si="4"/>
        <v>3124036.5</v>
      </c>
      <c r="R39" s="1541">
        <f t="shared" si="4"/>
        <v>0</v>
      </c>
      <c r="S39" s="1541">
        <f>SUM(S26:S28)+S31+S32</f>
        <v>4775232.2645399999</v>
      </c>
      <c r="T39" s="1542">
        <f>SUM(T26:T28)+T31+T32</f>
        <v>1651665.1</v>
      </c>
    </row>
    <row r="40" spans="2:20">
      <c r="B40" s="1540"/>
      <c r="H40" s="1622"/>
      <c r="T40" s="1627"/>
    </row>
    <row r="41" spans="2:20" s="2389" customFormat="1" ht="12">
      <c r="B41" s="3008"/>
      <c r="H41" s="3004" t="s">
        <v>1731</v>
      </c>
      <c r="I41" s="3005">
        <v>598267.4</v>
      </c>
      <c r="J41" s="3005">
        <v>6653.08</v>
      </c>
      <c r="K41" s="3005">
        <v>411321.83199999999</v>
      </c>
      <c r="L41" s="3005">
        <v>34250</v>
      </c>
      <c r="M41" s="3005">
        <v>23925</v>
      </c>
      <c r="N41" s="3005">
        <v>72165</v>
      </c>
      <c r="O41" s="3005">
        <v>4840</v>
      </c>
      <c r="P41" s="3005">
        <v>81154.5</v>
      </c>
      <c r="Q41" s="3005">
        <v>3555849.8204999999</v>
      </c>
      <c r="R41" s="3005">
        <v>0</v>
      </c>
      <c r="S41" s="3005">
        <v>4788426.6325000003</v>
      </c>
      <c r="T41" s="3006">
        <v>1778682.4</v>
      </c>
    </row>
    <row r="42" spans="2:20" s="1652" customFormat="1">
      <c r="B42" s="1540"/>
      <c r="I42" s="1625"/>
      <c r="J42" s="1625"/>
      <c r="K42" s="1625"/>
      <c r="L42" s="1625"/>
      <c r="M42" s="1625"/>
      <c r="N42" s="1625"/>
      <c r="O42" s="1625"/>
      <c r="P42" s="1625"/>
      <c r="Q42" s="1625"/>
      <c r="R42" s="1625"/>
      <c r="S42" s="1625"/>
      <c r="T42" s="1627"/>
    </row>
    <row r="43" spans="2:20" s="1173" customFormat="1">
      <c r="B43" s="2072"/>
      <c r="C43" s="1173" t="s">
        <v>67</v>
      </c>
      <c r="E43" s="2073"/>
      <c r="F43" s="2073"/>
      <c r="G43" s="2073"/>
      <c r="H43" s="2074"/>
      <c r="I43" s="2075"/>
      <c r="J43" s="2075"/>
      <c r="K43" s="2075"/>
      <c r="L43" s="2075"/>
      <c r="M43" s="2075"/>
      <c r="N43" s="2075"/>
      <c r="O43" s="2075"/>
      <c r="P43" s="2075"/>
      <c r="Q43" s="2075"/>
      <c r="R43" s="2075"/>
      <c r="S43" s="2075"/>
      <c r="T43" s="2076"/>
    </row>
    <row r="44" spans="2:20" s="1652" customFormat="1">
      <c r="B44" s="1718" t="s">
        <v>576</v>
      </c>
      <c r="C44" s="1652" t="s">
        <v>76</v>
      </c>
      <c r="E44" s="1652" t="s">
        <v>573</v>
      </c>
      <c r="H44" s="2077">
        <v>18230622</v>
      </c>
      <c r="I44" s="1625">
        <f>'REM Pilots Detail G249 Gas'!I6</f>
        <v>10107.5</v>
      </c>
      <c r="J44" s="1625">
        <f>'REM Pilots Detail G249 Gas'!J6</f>
        <v>2332.5</v>
      </c>
      <c r="K44" s="1625">
        <f>'REM Pilots Detail G249 Gas'!K6</f>
        <v>11171.119999999999</v>
      </c>
      <c r="L44" s="1625">
        <f>'REM Pilots Detail G249 Gas'!L6</f>
        <v>10050</v>
      </c>
      <c r="M44" s="1625">
        <f>'REM Pilots Detail G249 Gas'!M6</f>
        <v>1000</v>
      </c>
      <c r="N44" s="1625">
        <f>'REM Pilots Detail G249 Gas'!N6</f>
        <v>77479</v>
      </c>
      <c r="O44" s="1625">
        <f>'REM Pilots Detail G249 Gas'!O6</f>
        <v>500</v>
      </c>
      <c r="P44" s="1625">
        <f>'REM Pilots Detail G249 Gas'!P6</f>
        <v>250</v>
      </c>
      <c r="Q44" s="1625">
        <f>'REM Pilots Detail G249 Gas'!Q6</f>
        <v>77479</v>
      </c>
      <c r="R44" s="1625">
        <f>'REM Pilots Detail G249 Gas'!R6</f>
        <v>0</v>
      </c>
      <c r="S44" s="1625">
        <f>'REM Pilots Detail G249 Gas'!S6</f>
        <v>190369.12</v>
      </c>
      <c r="T44" s="1627">
        <f>'REM Pilots Detail G249 Gas'!T6</f>
        <v>316885</v>
      </c>
    </row>
    <row r="45" spans="2:20" s="1652" customFormat="1">
      <c r="B45" s="1718" t="s">
        <v>575</v>
      </c>
      <c r="C45" s="1652" t="s">
        <v>76</v>
      </c>
      <c r="E45" s="1652" t="s">
        <v>597</v>
      </c>
      <c r="H45" s="974">
        <v>18230639</v>
      </c>
      <c r="I45" s="1625">
        <f>'BEM Pilots Detail G249 Gas'!I6</f>
        <v>0</v>
      </c>
      <c r="J45" s="1625">
        <f>'BEM Pilots Detail G249 Gas'!J6</f>
        <v>0</v>
      </c>
      <c r="K45" s="1625">
        <f>'BEM Pilots Detail G249 Gas'!K6</f>
        <v>0</v>
      </c>
      <c r="L45" s="1625">
        <f>'BEM Pilots Detail G249 Gas'!L6</f>
        <v>0</v>
      </c>
      <c r="M45" s="1625">
        <f>'BEM Pilots Detail G249 Gas'!M6</f>
        <v>0</v>
      </c>
      <c r="N45" s="1625">
        <f>'BEM Pilots Detail G249 Gas'!N6</f>
        <v>0</v>
      </c>
      <c r="O45" s="1625">
        <f>'BEM Pilots Detail G249 Gas'!O6</f>
        <v>0</v>
      </c>
      <c r="P45" s="1625">
        <f>'BEM Pilots Detail G249 Gas'!P6</f>
        <v>0</v>
      </c>
      <c r="Q45" s="1625">
        <f>'BEM Pilots Detail G249 Gas'!Q6</f>
        <v>0</v>
      </c>
      <c r="R45" s="1625">
        <f>'BEM Pilots Detail G249 Gas'!R6</f>
        <v>0</v>
      </c>
      <c r="S45" s="1625">
        <f>'BEM Pilots Detail G249 Gas'!S6</f>
        <v>0</v>
      </c>
      <c r="T45" s="1627">
        <f>'BEM Pilots Detail G249 Gas'!T6</f>
        <v>0</v>
      </c>
    </row>
    <row r="46" spans="2:20" s="1652" customFormat="1">
      <c r="B46" s="1540"/>
      <c r="G46" s="1539" t="s">
        <v>577</v>
      </c>
      <c r="I46" s="1541">
        <f>SUM(I44:I45)</f>
        <v>10107.5</v>
      </c>
      <c r="J46" s="1541">
        <f t="shared" ref="J46:S46" si="5">SUM(J44:J45)</f>
        <v>2332.5</v>
      </c>
      <c r="K46" s="1541">
        <f t="shared" si="5"/>
        <v>11171.119999999999</v>
      </c>
      <c r="L46" s="1541">
        <f t="shared" si="5"/>
        <v>10050</v>
      </c>
      <c r="M46" s="1541">
        <f t="shared" si="5"/>
        <v>1000</v>
      </c>
      <c r="N46" s="1541">
        <f t="shared" si="5"/>
        <v>77479</v>
      </c>
      <c r="O46" s="1541">
        <f t="shared" si="5"/>
        <v>500</v>
      </c>
      <c r="P46" s="1541">
        <f t="shared" si="5"/>
        <v>250</v>
      </c>
      <c r="Q46" s="1541">
        <f t="shared" si="5"/>
        <v>77479</v>
      </c>
      <c r="R46" s="1541">
        <f t="shared" si="5"/>
        <v>0</v>
      </c>
      <c r="S46" s="1541">
        <f t="shared" si="5"/>
        <v>190369.12</v>
      </c>
      <c r="T46" s="1542">
        <f>SUM(T44:T45)</f>
        <v>316885</v>
      </c>
    </row>
    <row r="47" spans="2:20" s="1652" customFormat="1">
      <c r="B47" s="1540"/>
      <c r="G47" s="1539"/>
      <c r="I47" s="1541"/>
      <c r="J47" s="1541"/>
      <c r="K47" s="1541"/>
      <c r="L47" s="1541"/>
      <c r="M47" s="1541"/>
      <c r="N47" s="1541"/>
      <c r="O47" s="1541"/>
      <c r="P47" s="1541"/>
      <c r="Q47" s="1541"/>
      <c r="R47" s="1541"/>
      <c r="S47" s="1541"/>
      <c r="T47" s="1542"/>
    </row>
    <row r="48" spans="2:20" s="2389" customFormat="1" ht="12">
      <c r="B48" s="3008"/>
      <c r="H48" s="3004" t="s">
        <v>1731</v>
      </c>
      <c r="I48" s="3005">
        <v>0</v>
      </c>
      <c r="J48" s="3005">
        <v>0</v>
      </c>
      <c r="K48" s="3005">
        <v>0</v>
      </c>
      <c r="L48" s="3005">
        <v>0</v>
      </c>
      <c r="M48" s="3005">
        <v>0</v>
      </c>
      <c r="N48" s="3005">
        <v>0</v>
      </c>
      <c r="O48" s="3005">
        <v>0</v>
      </c>
      <c r="P48" s="3005">
        <v>0</v>
      </c>
      <c r="Q48" s="3005">
        <v>0</v>
      </c>
      <c r="R48" s="3005">
        <v>0</v>
      </c>
      <c r="S48" s="3005">
        <v>0</v>
      </c>
      <c r="T48" s="3006">
        <v>0</v>
      </c>
    </row>
    <row r="49" spans="2:20" s="1652" customFormat="1">
      <c r="B49" s="1540"/>
      <c r="G49" s="1539"/>
      <c r="I49" s="1625"/>
      <c r="J49" s="1625"/>
      <c r="K49" s="1625"/>
      <c r="L49" s="1625"/>
      <c r="M49" s="1625"/>
      <c r="N49" s="1625"/>
      <c r="O49" s="1625"/>
      <c r="P49" s="1625"/>
      <c r="Q49" s="1625"/>
      <c r="R49" s="1625"/>
      <c r="S49" s="1625"/>
      <c r="T49" s="1627"/>
    </row>
    <row r="50" spans="2:20" s="1652" customFormat="1">
      <c r="B50" s="1540"/>
      <c r="C50" s="1652" t="s">
        <v>148</v>
      </c>
      <c r="I50" s="1625"/>
      <c r="J50" s="1625"/>
      <c r="K50" s="1625"/>
      <c r="L50" s="1625"/>
      <c r="M50" s="1625"/>
      <c r="N50" s="1625"/>
      <c r="O50" s="1625"/>
      <c r="P50" s="1625"/>
      <c r="Q50" s="1625"/>
      <c r="R50" s="1625"/>
      <c r="S50" s="1625"/>
      <c r="T50" s="1627"/>
    </row>
    <row r="51" spans="2:20" s="1652" customFormat="1">
      <c r="B51" s="1718"/>
      <c r="E51" s="1652" t="s">
        <v>616</v>
      </c>
      <c r="H51" s="974">
        <v>18230421</v>
      </c>
      <c r="I51" s="1625">
        <f>'NEEA Gas MT_no Sched Gas'!H6</f>
        <v>0</v>
      </c>
      <c r="J51" s="1625">
        <f>'NEEA Gas MT_no Sched Gas'!I6</f>
        <v>0</v>
      </c>
      <c r="K51" s="1625">
        <f>'NEEA Gas MT_no Sched Gas'!J6</f>
        <v>0</v>
      </c>
      <c r="L51" s="1625">
        <f>'NEEA Gas MT_no Sched Gas'!K6</f>
        <v>0</v>
      </c>
      <c r="M51" s="1625">
        <f>'NEEA Gas MT_no Sched Gas'!L6</f>
        <v>0</v>
      </c>
      <c r="N51" s="1625">
        <f>'NEEA Gas MT_no Sched Gas'!M6</f>
        <v>1389079</v>
      </c>
      <c r="O51" s="1625">
        <f>'NEEA Gas MT_no Sched Gas'!N6</f>
        <v>0</v>
      </c>
      <c r="P51" s="1625">
        <f>'NEEA Gas MT_no Sched Gas'!O6</f>
        <v>0</v>
      </c>
      <c r="Q51" s="1625">
        <f>'NEEA Gas MT_no Sched Gas'!P6</f>
        <v>0</v>
      </c>
      <c r="S51" s="1625">
        <f>'NEEA Gas MT_no Sched Gas'!R6</f>
        <v>1389079</v>
      </c>
      <c r="T51" s="1627">
        <f>'NEEA Gas MT_no Sched Gas'!S6</f>
        <v>0</v>
      </c>
    </row>
    <row r="52" spans="2:20" s="1652" customFormat="1">
      <c r="B52" s="1663"/>
      <c r="F52" s="1539"/>
      <c r="G52" s="1539" t="s">
        <v>152</v>
      </c>
      <c r="I52" s="1541">
        <f t="shared" ref="I52:Q52" si="6">SUM(I51:I51)</f>
        <v>0</v>
      </c>
      <c r="J52" s="1541">
        <f t="shared" si="6"/>
        <v>0</v>
      </c>
      <c r="K52" s="1541">
        <f t="shared" si="6"/>
        <v>0</v>
      </c>
      <c r="L52" s="1541">
        <f t="shared" si="6"/>
        <v>0</v>
      </c>
      <c r="M52" s="1541">
        <f t="shared" si="6"/>
        <v>0</v>
      </c>
      <c r="N52" s="1541">
        <f t="shared" si="6"/>
        <v>1389079</v>
      </c>
      <c r="O52" s="1541">
        <f t="shared" si="6"/>
        <v>0</v>
      </c>
      <c r="P52" s="1541">
        <f t="shared" si="6"/>
        <v>0</v>
      </c>
      <c r="Q52" s="1541">
        <f t="shared" si="6"/>
        <v>0</v>
      </c>
      <c r="S52" s="1541">
        <f>SUM(S51:S51)</f>
        <v>1389079</v>
      </c>
      <c r="T52" s="1542">
        <f>SUM(T51:T51)</f>
        <v>0</v>
      </c>
    </row>
    <row r="53" spans="2:20" s="1652" customFormat="1">
      <c r="B53" s="1663"/>
      <c r="F53" s="1539"/>
      <c r="G53" s="1539"/>
      <c r="I53" s="1541"/>
      <c r="J53" s="1541"/>
      <c r="K53" s="1541"/>
      <c r="L53" s="1541"/>
      <c r="M53" s="1541"/>
      <c r="N53" s="1541"/>
      <c r="O53" s="1541"/>
      <c r="P53" s="1541"/>
      <c r="Q53" s="1541"/>
      <c r="S53" s="1541"/>
      <c r="T53" s="1542"/>
    </row>
    <row r="54" spans="2:20" s="2389" customFormat="1" ht="12">
      <c r="B54" s="3008"/>
      <c r="H54" s="3004" t="s">
        <v>1731</v>
      </c>
      <c r="I54" s="3005">
        <v>0</v>
      </c>
      <c r="J54" s="3005">
        <v>0</v>
      </c>
      <c r="K54" s="3005">
        <v>0</v>
      </c>
      <c r="L54" s="3005">
        <v>0</v>
      </c>
      <c r="M54" s="3005">
        <v>0</v>
      </c>
      <c r="N54" s="3005">
        <v>1389079</v>
      </c>
      <c r="O54" s="3005">
        <v>0</v>
      </c>
      <c r="P54" s="3005">
        <v>0</v>
      </c>
      <c r="Q54" s="3005">
        <v>0</v>
      </c>
      <c r="R54" s="3005"/>
      <c r="S54" s="3005">
        <v>1389079</v>
      </c>
      <c r="T54" s="3006">
        <v>37680</v>
      </c>
    </row>
    <row r="55" spans="2:20" s="1652" customFormat="1">
      <c r="B55" s="1540"/>
      <c r="I55" s="1625"/>
      <c r="J55" s="1625"/>
      <c r="K55" s="1625"/>
      <c r="L55" s="1625"/>
      <c r="M55" s="1625"/>
      <c r="N55" s="1625"/>
      <c r="O55" s="1625"/>
      <c r="P55" s="1625"/>
      <c r="Q55" s="1625"/>
      <c r="R55" s="1625"/>
      <c r="S55" s="1625"/>
      <c r="T55" s="1627"/>
    </row>
    <row r="56" spans="2:20">
      <c r="B56" s="1540"/>
      <c r="C56" s="1652" t="s">
        <v>315</v>
      </c>
      <c r="H56" s="1622"/>
      <c r="T56" s="1627"/>
    </row>
    <row r="57" spans="2:20">
      <c r="B57" s="1718"/>
      <c r="C57" s="1413" t="s">
        <v>239</v>
      </c>
      <c r="E57" s="1413" t="s">
        <v>153</v>
      </c>
      <c r="H57" s="1664"/>
      <c r="I57" s="1199">
        <f>SUM(I58:I61)</f>
        <v>108815.77055</v>
      </c>
      <c r="J57" s="1625">
        <f t="shared" ref="J57:S57" si="7">SUM(J58:J61)</f>
        <v>2970</v>
      </c>
      <c r="K57" s="1625">
        <f t="shared" si="7"/>
        <v>76908.610138399978</v>
      </c>
      <c r="L57" s="1625">
        <f t="shared" si="7"/>
        <v>2530</v>
      </c>
      <c r="M57" s="1625">
        <f t="shared" si="7"/>
        <v>9112</v>
      </c>
      <c r="N57" s="1625">
        <f t="shared" si="7"/>
        <v>10090</v>
      </c>
      <c r="O57" s="1625">
        <f t="shared" si="7"/>
        <v>5978</v>
      </c>
      <c r="P57" s="1625">
        <f t="shared" si="7"/>
        <v>202</v>
      </c>
      <c r="Q57" s="1625">
        <f t="shared" si="7"/>
        <v>0</v>
      </c>
      <c r="R57" s="1625">
        <f t="shared" si="7"/>
        <v>0</v>
      </c>
      <c r="S57" s="1625">
        <f t="shared" si="7"/>
        <v>216606.38068839995</v>
      </c>
      <c r="T57" s="1627"/>
    </row>
    <row r="58" spans="2:20" s="2152" customFormat="1">
      <c r="B58" s="2151" t="s">
        <v>400</v>
      </c>
      <c r="E58" s="2526" t="s">
        <v>193</v>
      </c>
      <c r="H58" s="2155">
        <v>18230704</v>
      </c>
      <c r="I58" s="2154">
        <f>'Engy Adv Detail_PSCE_Gas'!H6</f>
        <v>46269.52</v>
      </c>
      <c r="J58" s="2154">
        <f>'Engy Adv Detail_PSCE_Gas'!I6</f>
        <v>0</v>
      </c>
      <c r="K58" s="2154">
        <f>'Engy Adv Detail_PSCE_Gas'!J6</f>
        <v>31833.429759999995</v>
      </c>
      <c r="L58" s="2154">
        <f>'Engy Adv Detail_PSCE_Gas'!K6</f>
        <v>0</v>
      </c>
      <c r="M58" s="2154">
        <f>'Engy Adv Detail_PSCE_Gas'!L6</f>
        <v>7832</v>
      </c>
      <c r="N58" s="2154">
        <f>'Engy Adv Detail_PSCE_Gas'!M6</f>
        <v>200</v>
      </c>
      <c r="O58" s="2154">
        <f>'Engy Adv Detail_PSCE_Gas'!N6</f>
        <v>453</v>
      </c>
      <c r="P58" s="2154">
        <f>'Engy Adv Detail_PSCE_Gas'!O6</f>
        <v>202</v>
      </c>
      <c r="Q58" s="2154">
        <f>'Engy Adv Detail_PSCE_Gas'!P6</f>
        <v>0</v>
      </c>
      <c r="R58" s="2154">
        <f>'Engy Adv Detail_PSCE_Gas'!Q6</f>
        <v>0</v>
      </c>
      <c r="S58" s="2154">
        <f>'Engy Adv Detail_PSCE_Gas'!R6</f>
        <v>86789.949759999989</v>
      </c>
      <c r="T58" s="2156"/>
    </row>
    <row r="59" spans="2:20" s="2152" customFormat="1">
      <c r="B59" s="2151" t="s">
        <v>401</v>
      </c>
      <c r="E59" s="2526" t="s">
        <v>194</v>
      </c>
      <c r="H59" s="2155">
        <v>18230653</v>
      </c>
      <c r="I59" s="2154">
        <f>'Events Detail_PSCE_Gas'!H6</f>
        <v>60272.306499999992</v>
      </c>
      <c r="J59" s="2154">
        <f>'Events Detail_PSCE_Gas'!I6</f>
        <v>0</v>
      </c>
      <c r="K59" s="2154">
        <f>'Events Detail_PSCE_Gas'!J6</f>
        <v>41467.346871999987</v>
      </c>
      <c r="L59" s="2154">
        <f>'Events Detail_PSCE_Gas'!K6</f>
        <v>530</v>
      </c>
      <c r="M59" s="2154">
        <f>'Events Detail_PSCE_Gas'!L6</f>
        <v>1280</v>
      </c>
      <c r="N59" s="2154">
        <f>'Events Detail_PSCE_Gas'!M6</f>
        <v>8525</v>
      </c>
      <c r="O59" s="2154">
        <f>'Events Detail_PSCE_Gas'!N6</f>
        <v>715</v>
      </c>
      <c r="P59" s="2154">
        <f>'Events Detail_PSCE_Gas'!O6</f>
        <v>0</v>
      </c>
      <c r="Q59" s="2154">
        <f>'Events Detail_PSCE_Gas'!P6</f>
        <v>0</v>
      </c>
      <c r="R59" s="2154">
        <f>'Events Detail_PSCE_Gas'!Q6</f>
        <v>0</v>
      </c>
      <c r="S59" s="2154">
        <f>'Events Detail_PSCE_Gas'!R6</f>
        <v>112789.65337199997</v>
      </c>
      <c r="T59" s="2156"/>
    </row>
    <row r="60" spans="2:20" s="2152" customFormat="1">
      <c r="B60" s="2151" t="s">
        <v>402</v>
      </c>
      <c r="E60" s="2526" t="s">
        <v>336</v>
      </c>
      <c r="H60" s="2155">
        <v>18230685</v>
      </c>
      <c r="I60" s="2154">
        <f>'Brochure Detail_PSCE_Gas'!H6</f>
        <v>2273.9440499999996</v>
      </c>
      <c r="J60" s="2154">
        <f>'Brochure Detail_PSCE_Gas'!I6</f>
        <v>2970</v>
      </c>
      <c r="K60" s="2154">
        <f>'Brochure Detail_PSCE_Gas'!J6</f>
        <v>3607.8335063999994</v>
      </c>
      <c r="L60" s="2154">
        <f>'Brochure Detail_PSCE_Gas'!K6</f>
        <v>2000</v>
      </c>
      <c r="M60" s="2154">
        <f>'Brochure Detail_PSCE_Gas'!L6</f>
        <v>0</v>
      </c>
      <c r="N60" s="2154">
        <f>'Brochure Detail_PSCE_Gas'!M6</f>
        <v>390</v>
      </c>
      <c r="O60" s="2154">
        <f>'Brochure Detail_PSCE_Gas'!N6</f>
        <v>4810</v>
      </c>
      <c r="P60" s="2154">
        <f>'Brochure Detail_PSCE_Gas'!O6</f>
        <v>0</v>
      </c>
      <c r="Q60" s="2154">
        <f>'Brochure Detail_PSCE_Gas'!P6</f>
        <v>0</v>
      </c>
      <c r="R60" s="2154">
        <f>'Brochure Detail_PSCE_Gas'!Q6</f>
        <v>0</v>
      </c>
      <c r="S60" s="2154">
        <f>'Brochure Detail_PSCE_Gas'!R6</f>
        <v>16051.7775564</v>
      </c>
      <c r="T60" s="2156"/>
    </row>
    <row r="61" spans="2:20" s="2152" customFormat="1">
      <c r="B61" s="2151" t="s">
        <v>403</v>
      </c>
      <c r="C61" s="2152" t="s">
        <v>333</v>
      </c>
      <c r="E61" s="2526" t="s">
        <v>195</v>
      </c>
      <c r="H61" s="2155">
        <v>18230671</v>
      </c>
      <c r="I61" s="2154">
        <f>'Eductn Detail_PSCE_G207 Gas'!H6</f>
        <v>0</v>
      </c>
      <c r="J61" s="2154">
        <f>'Eductn Detail_PSCE_G207 Gas'!I6</f>
        <v>0</v>
      </c>
      <c r="K61" s="2154">
        <f>'Eductn Detail_PSCE_G207 Gas'!J6</f>
        <v>0</v>
      </c>
      <c r="L61" s="2154">
        <f>'Eductn Detail_PSCE_G207 Gas'!K6</f>
        <v>0</v>
      </c>
      <c r="M61" s="2154">
        <f>'Eductn Detail_PSCE_G207 Gas'!L6</f>
        <v>0</v>
      </c>
      <c r="N61" s="2154">
        <f>'Eductn Detail_PSCE_G207 Gas'!M6</f>
        <v>975</v>
      </c>
      <c r="O61" s="2154">
        <f>'Eductn Detail_PSCE_G207 Gas'!N6</f>
        <v>0</v>
      </c>
      <c r="P61" s="2154">
        <f>'Eductn Detail_PSCE_G207 Gas'!O6</f>
        <v>0</v>
      </c>
      <c r="Q61" s="2154">
        <f>'Eductn Detail_PSCE_G207 Gas'!P6</f>
        <v>0</v>
      </c>
      <c r="R61" s="2154">
        <f>'Eductn Detail_PSCE_G207 Gas'!Q6</f>
        <v>0</v>
      </c>
      <c r="S61" s="2154">
        <f>'Eductn Detail_PSCE_G207 Gas'!R6</f>
        <v>975</v>
      </c>
      <c r="T61" s="2156"/>
    </row>
    <row r="62" spans="2:20">
      <c r="B62" s="1718"/>
      <c r="C62" s="1413" t="s">
        <v>239</v>
      </c>
      <c r="E62" s="2074" t="s">
        <v>696</v>
      </c>
      <c r="H62" s="974"/>
      <c r="I62" s="1199">
        <f>SUM(I63:I65)</f>
        <v>57049.87</v>
      </c>
      <c r="J62" s="1625">
        <f t="shared" ref="J62:S62" si="8">SUM(J63:J65)</f>
        <v>500</v>
      </c>
      <c r="K62" s="1625">
        <f t="shared" si="8"/>
        <v>41707.145759999999</v>
      </c>
      <c r="L62" s="1625">
        <f t="shared" si="8"/>
        <v>0</v>
      </c>
      <c r="M62" s="1625">
        <f t="shared" si="8"/>
        <v>2000</v>
      </c>
      <c r="N62" s="1625">
        <f t="shared" si="8"/>
        <v>92690</v>
      </c>
      <c r="O62" s="1625">
        <f t="shared" si="8"/>
        <v>0</v>
      </c>
      <c r="P62" s="1625">
        <f t="shared" si="8"/>
        <v>0</v>
      </c>
      <c r="Q62" s="1625">
        <f t="shared" si="8"/>
        <v>0</v>
      </c>
      <c r="R62" s="1625">
        <f t="shared" si="8"/>
        <v>0</v>
      </c>
      <c r="S62" s="1625">
        <f t="shared" si="8"/>
        <v>193947.01576000001</v>
      </c>
      <c r="T62" s="1627"/>
    </row>
    <row r="63" spans="2:20" s="2152" customFormat="1">
      <c r="B63" s="2151" t="s">
        <v>404</v>
      </c>
      <c r="E63" s="2526" t="s">
        <v>729</v>
      </c>
      <c r="H63" s="2155">
        <v>18230737</v>
      </c>
      <c r="I63" s="2154">
        <f>'CustOnline Detail_PSWE_Gas'!H6</f>
        <v>0</v>
      </c>
      <c r="J63" s="2154">
        <f>'CustOnline Detail_PSWE_Gas'!I6</f>
        <v>0</v>
      </c>
      <c r="K63" s="2154">
        <f>'CustOnline Detail_PSWE_Gas'!J6</f>
        <v>0</v>
      </c>
      <c r="L63" s="2154">
        <f>'CustOnline Detail_PSWE_Gas'!K6</f>
        <v>0</v>
      </c>
      <c r="M63" s="2154">
        <f>'CustOnline Detail_PSWE_Gas'!L6</f>
        <v>0</v>
      </c>
      <c r="N63" s="2154">
        <f>'CustOnline Detail_PSWE_Gas'!M6</f>
        <v>88010</v>
      </c>
      <c r="O63" s="2154">
        <f>'CustOnline Detail_PSWE_Gas'!N6</f>
        <v>0</v>
      </c>
      <c r="P63" s="2154">
        <f>'CustOnline Detail_PSWE_Gas'!O6</f>
        <v>0</v>
      </c>
      <c r="Q63" s="2154">
        <f>'CustOnline Detail_PSWE_Gas'!P6</f>
        <v>0</v>
      </c>
      <c r="R63" s="2154"/>
      <c r="S63" s="2154">
        <f>'CustOnline Detail_PSWE_Gas'!R6</f>
        <v>88010</v>
      </c>
      <c r="T63" s="2156"/>
    </row>
    <row r="64" spans="2:20" s="2152" customFormat="1">
      <c r="B64" s="2151" t="s">
        <v>405</v>
      </c>
      <c r="E64" s="2526" t="s">
        <v>320</v>
      </c>
      <c r="H64" s="2155">
        <v>18230732</v>
      </c>
      <c r="I64" s="2154">
        <f>'Mkt Intg Detail_PSWE_Gas'!H6</f>
        <v>47488.75</v>
      </c>
      <c r="J64" s="2154">
        <f>'Mkt Intg Detail_PSWE_Gas'!I6</f>
        <v>0</v>
      </c>
      <c r="K64" s="2154">
        <f>'Mkt Intg Detail_PSWE_Gas'!J6</f>
        <v>32672.26</v>
      </c>
      <c r="L64" s="2154">
        <f>'Mkt Intg Detail_PSWE_Gas'!K6</f>
        <v>0</v>
      </c>
      <c r="M64" s="2154">
        <f>'Mkt Intg Detail_PSWE_Gas'!L6</f>
        <v>1300</v>
      </c>
      <c r="N64" s="2154">
        <f>'Mkt Intg Detail_PSWE_Gas'!M6</f>
        <v>2080</v>
      </c>
      <c r="O64" s="2154">
        <f>'Mkt Intg Detail_PSWE_Gas'!N6</f>
        <v>0</v>
      </c>
      <c r="P64" s="2154">
        <f>'Mkt Intg Detail_PSWE_Gas'!O6</f>
        <v>0</v>
      </c>
      <c r="Q64" s="2154">
        <f>'Mkt Intg Detail_PSWE_Gas'!P6</f>
        <v>0</v>
      </c>
      <c r="R64" s="2154"/>
      <c r="S64" s="2154">
        <f>'Mkt Intg Detail_PSWE_Gas'!R6</f>
        <v>83541.009999999995</v>
      </c>
      <c r="T64" s="2156"/>
    </row>
    <row r="65" spans="2:20" s="2152" customFormat="1">
      <c r="B65" s="2151" t="s">
        <v>1535</v>
      </c>
      <c r="E65" s="2526" t="s">
        <v>1530</v>
      </c>
      <c r="H65" s="2386">
        <v>18230667</v>
      </c>
      <c r="I65" s="2154">
        <f>'ABS Detail_PSWE_Gas'!H6</f>
        <v>9561.1200000000008</v>
      </c>
      <c r="J65" s="2154">
        <f>'ABS Detail_PSWE_Gas'!I6</f>
        <v>500</v>
      </c>
      <c r="K65" s="2154">
        <f>'ABS Detail_PSWE_Gas'!J6</f>
        <v>9034.8857599999992</v>
      </c>
      <c r="L65" s="2154">
        <f>'ABS Detail_PSWE_Gas'!K6</f>
        <v>0</v>
      </c>
      <c r="M65" s="2154">
        <f>'ABS Detail_PSWE_Gas'!L6</f>
        <v>700</v>
      </c>
      <c r="N65" s="2154">
        <f>'ABS Detail_PSWE_Gas'!M6</f>
        <v>2600</v>
      </c>
      <c r="O65" s="2154">
        <f>'ABS Detail_PSWE_Gas'!N6</f>
        <v>0</v>
      </c>
      <c r="P65" s="2154">
        <f>'ABS Detail_PSWE_Gas'!O6</f>
        <v>0</v>
      </c>
      <c r="Q65" s="2154">
        <f>'ABS Detail_PSWE_Gas'!P6</f>
        <v>0</v>
      </c>
      <c r="R65" s="2154">
        <f>'ABS Detail_PSWE_Gas'!P6</f>
        <v>0</v>
      </c>
      <c r="S65" s="2154">
        <f>'ABS Detail_PSWE_Gas'!R6</f>
        <v>22396.00576</v>
      </c>
      <c r="T65" s="2156"/>
    </row>
    <row r="66" spans="2:20" s="1652" customFormat="1">
      <c r="B66" s="1718" t="s">
        <v>680</v>
      </c>
      <c r="E66" s="1652" t="s">
        <v>1464</v>
      </c>
      <c r="H66" s="1721">
        <v>18230507</v>
      </c>
      <c r="I66" s="1625">
        <f>'Rebt Procg_Detail Gas'!H6</f>
        <v>41094</v>
      </c>
      <c r="J66" s="1625">
        <f>'Rebt Procg_Detail Gas'!I6</f>
        <v>0</v>
      </c>
      <c r="K66" s="1625">
        <f>'Rebt Procg_Detail Gas'!J6</f>
        <v>36902.411999999997</v>
      </c>
      <c r="L66" s="1625">
        <f>'Rebt Procg_Detail Gas'!K6</f>
        <v>0</v>
      </c>
      <c r="M66" s="1625">
        <f>'Rebt Procg_Detail Gas'!L6</f>
        <v>3300</v>
      </c>
      <c r="N66" s="1625">
        <f>'Rebt Procg_Detail Gas'!M6</f>
        <v>0</v>
      </c>
      <c r="O66" s="1625">
        <f>'Rebt Procg_Detail Gas'!N6</f>
        <v>750</v>
      </c>
      <c r="P66" s="1625">
        <f>'Rebt Procg_Detail Gas'!O6</f>
        <v>0</v>
      </c>
      <c r="Q66" s="1625">
        <f>'Rebt Procg_Detail Gas'!P6</f>
        <v>0</v>
      </c>
      <c r="S66" s="1625">
        <f>'Rebt Procg_Detail Gas'!R6</f>
        <v>82046.411999999997</v>
      </c>
      <c r="T66" s="1627"/>
    </row>
    <row r="67" spans="2:20" s="1652" customFormat="1">
      <c r="B67" s="1718" t="s">
        <v>379</v>
      </c>
      <c r="E67" s="1665" t="s">
        <v>611</v>
      </c>
      <c r="F67" s="1664"/>
      <c r="G67" s="1664"/>
      <c r="H67" s="974">
        <v>18230688</v>
      </c>
      <c r="I67" s="1625">
        <f>'Progs Supp Detail_PS_Gas'!H6</f>
        <v>53412</v>
      </c>
      <c r="J67" s="1625">
        <f>'Progs Supp Detail_PS_Gas'!I6</f>
        <v>0</v>
      </c>
      <c r="K67" s="1625">
        <f>'Progs Supp Detail_PS_Gas'!J6</f>
        <v>47963.975999999995</v>
      </c>
      <c r="L67" s="1625">
        <f>'Progs Supp Detail_PS_Gas'!K6</f>
        <v>0</v>
      </c>
      <c r="M67" s="1625">
        <f>'Progs Supp Detail_PS_Gas'!L6</f>
        <v>3340</v>
      </c>
      <c r="N67" s="1625">
        <f>'Progs Supp Detail_PS_Gas'!M6</f>
        <v>0</v>
      </c>
      <c r="O67" s="1625">
        <f>'Progs Supp Detail_PS_Gas'!N6</f>
        <v>0</v>
      </c>
      <c r="P67" s="1625">
        <f>'Progs Supp Detail_PS_Gas'!O6</f>
        <v>0</v>
      </c>
      <c r="Q67" s="1625">
        <f>'Progs Supp Detail_PS_Gas'!P6</f>
        <v>0</v>
      </c>
      <c r="S67" s="1625">
        <f>'Progs Supp Detail_PS_Gas'!R6</f>
        <v>104715.976</v>
      </c>
      <c r="T67" s="1627"/>
    </row>
    <row r="68" spans="2:20" s="1652" customFormat="1">
      <c r="B68" s="1718" t="s">
        <v>681</v>
      </c>
      <c r="E68" s="1652" t="s">
        <v>612</v>
      </c>
      <c r="H68" s="1721">
        <v>18231005</v>
      </c>
      <c r="I68" s="1625">
        <f>'Data &amp; Systm Svcs Detail Gas'!H6</f>
        <v>76525.67</v>
      </c>
      <c r="J68" s="1625">
        <f>'Data &amp; Systm Svcs Detail Gas'!I6</f>
        <v>0</v>
      </c>
      <c r="K68" s="1625">
        <f>'Data &amp; Systm Svcs Detail Gas'!J6</f>
        <v>68720.051659999997</v>
      </c>
      <c r="L68" s="1625">
        <f>'Data &amp; Systm Svcs Detail Gas'!K6</f>
        <v>0</v>
      </c>
      <c r="M68" s="1625">
        <f>'Data &amp; Systm Svcs Detail Gas'!L6</f>
        <v>2000</v>
      </c>
      <c r="N68" s="1625">
        <f>'Data &amp; Systm Svcs Detail Gas'!M6</f>
        <v>16900</v>
      </c>
      <c r="O68" s="1625">
        <f>'Data &amp; Systm Svcs Detail Gas'!N6</f>
        <v>0</v>
      </c>
      <c r="P68" s="1625">
        <f>'Data &amp; Systm Svcs Detail Gas'!O6</f>
        <v>0</v>
      </c>
      <c r="Q68" s="1625">
        <f>'Data &amp; Systm Svcs Detail Gas'!P6</f>
        <v>0</v>
      </c>
      <c r="S68" s="1625">
        <f>'Data &amp; Systm Svcs Detail Gas'!R6</f>
        <v>164145.72165999998</v>
      </c>
      <c r="T68" s="1627"/>
    </row>
    <row r="69" spans="2:20">
      <c r="B69" s="1718" t="s">
        <v>406</v>
      </c>
      <c r="E69" s="1413" t="s">
        <v>23</v>
      </c>
      <c r="H69" s="974">
        <v>18230657</v>
      </c>
      <c r="I69" s="1199">
        <f>'EEC Detail_PS_Gas'!H6</f>
        <v>61981</v>
      </c>
      <c r="J69" s="1199">
        <f>'EEC Detail_PS_Gas'!I6</f>
        <v>1690</v>
      </c>
      <c r="K69" s="1199">
        <f>'EEC Detail_PS_Gas'!J6</f>
        <v>43805.648000000001</v>
      </c>
      <c r="L69" s="1199">
        <f>'EEC Detail_PS_Gas'!K6</f>
        <v>13195</v>
      </c>
      <c r="M69" s="1199">
        <f>'EEC Detail_PS_Gas'!L6</f>
        <v>10855</v>
      </c>
      <c r="N69" s="1199">
        <f>'EEC Detail_PS_Gas'!M6</f>
        <v>4225</v>
      </c>
      <c r="O69" s="1199">
        <f>'EEC Detail_PS_Gas'!N6</f>
        <v>7865</v>
      </c>
      <c r="P69" s="1199">
        <f>'EEC Detail_PS_Gas'!O6</f>
        <v>0</v>
      </c>
      <c r="Q69" s="1199">
        <f>'EEC Detail_PS_Gas'!P6</f>
        <v>0</v>
      </c>
      <c r="S69" s="1199">
        <f>'EEC Detail_PS_Gas'!R6</f>
        <v>143616.64799999999</v>
      </c>
      <c r="T69" s="1627"/>
    </row>
    <row r="70" spans="2:20">
      <c r="B70" s="1718" t="s">
        <v>407</v>
      </c>
      <c r="E70" s="1409" t="s">
        <v>154</v>
      </c>
      <c r="F70" s="1409"/>
      <c r="G70" s="1409"/>
      <c r="H70" s="974">
        <v>18230698</v>
      </c>
      <c r="I70" s="1199">
        <f>'TradeAlly Detail_PS_gas'!H6</f>
        <v>0</v>
      </c>
      <c r="J70" s="1199">
        <f>'TradeAlly Detail_PS_gas'!I6</f>
        <v>0</v>
      </c>
      <c r="K70" s="1199">
        <f>'TradeAlly Detail_PS_gas'!J6</f>
        <v>0</v>
      </c>
      <c r="L70" s="1199">
        <f>'TradeAlly Detail_PS_gas'!K6</f>
        <v>0</v>
      </c>
      <c r="M70" s="1199">
        <f>'TradeAlly Detail_PS_gas'!L6</f>
        <v>0</v>
      </c>
      <c r="N70" s="1199">
        <f>'TradeAlly Detail_PS_gas'!M6</f>
        <v>8450</v>
      </c>
      <c r="O70" s="1199">
        <f>'TradeAlly Detail_PS_gas'!N6</f>
        <v>0</v>
      </c>
      <c r="P70" s="1199">
        <f>'TradeAlly Detail_PS_gas'!O6</f>
        <v>12565</v>
      </c>
      <c r="Q70" s="1199">
        <f>'TradeAlly Detail_PS_gas'!P6</f>
        <v>0</v>
      </c>
      <c r="S70" s="1199">
        <f>'TradeAlly Detail_PS_gas'!R6</f>
        <v>21015</v>
      </c>
      <c r="T70" s="1627"/>
    </row>
    <row r="71" spans="2:20" s="1652" customFormat="1">
      <c r="B71" s="1718" t="s">
        <v>682</v>
      </c>
      <c r="E71" s="1664" t="s">
        <v>623</v>
      </c>
      <c r="F71" s="1664"/>
      <c r="G71" s="1664"/>
      <c r="H71" s="1721">
        <v>18231031</v>
      </c>
      <c r="I71" s="1625">
        <f>'CAN_PS_Detail Gas'!H6</f>
        <v>139381.01999999999</v>
      </c>
      <c r="J71" s="1625">
        <f>'CAN_PS_Detail Gas'!I6</f>
        <v>4100</v>
      </c>
      <c r="K71" s="1625">
        <f>'CAN_PS_Detail Gas'!J6</f>
        <v>128845.95595999999</v>
      </c>
      <c r="L71" s="1625">
        <f>'CAN_PS_Detail Gas'!K6</f>
        <v>25000</v>
      </c>
      <c r="M71" s="1625">
        <f>'CAN_PS_Detail Gas'!L6</f>
        <v>5000</v>
      </c>
      <c r="N71" s="1625">
        <f>'CAN_PS_Detail Gas'!M6</f>
        <v>20000</v>
      </c>
      <c r="O71" s="1625">
        <f>'CAN_PS_Detail Gas'!N6</f>
        <v>1500</v>
      </c>
      <c r="P71" s="1625">
        <f>'CAN_PS_Detail Gas'!O6</f>
        <v>0</v>
      </c>
      <c r="Q71" s="1625">
        <f>'CAN_PS_Detail Gas'!P6</f>
        <v>0</v>
      </c>
      <c r="R71" s="1625">
        <f>'CAN_PS_Detail Gas'!Q6</f>
        <v>-328321.74</v>
      </c>
      <c r="S71" s="1625">
        <f>'CAN_PS_Detail Gas'!R6</f>
        <v>-4494.7640400000382</v>
      </c>
      <c r="T71" s="1627"/>
    </row>
    <row r="72" spans="2:20" s="1288" customFormat="1">
      <c r="B72" s="1567"/>
      <c r="D72" s="1567"/>
      <c r="F72" s="1539"/>
      <c r="G72" s="174" t="s">
        <v>155</v>
      </c>
      <c r="H72" s="475"/>
      <c r="I72" s="474">
        <f t="shared" ref="I72:S72" si="9">I57+I62+SUM(I66:I71)</f>
        <v>538259.33054999996</v>
      </c>
      <c r="J72" s="1541">
        <f t="shared" si="9"/>
        <v>9260</v>
      </c>
      <c r="K72" s="1541">
        <f t="shared" si="9"/>
        <v>444853.79951839993</v>
      </c>
      <c r="L72" s="1541">
        <f t="shared" si="9"/>
        <v>40725</v>
      </c>
      <c r="M72" s="1541">
        <f t="shared" si="9"/>
        <v>35607</v>
      </c>
      <c r="N72" s="1541">
        <f t="shared" si="9"/>
        <v>152355</v>
      </c>
      <c r="O72" s="1541">
        <f t="shared" si="9"/>
        <v>16093</v>
      </c>
      <c r="P72" s="1541">
        <f t="shared" si="9"/>
        <v>12767</v>
      </c>
      <c r="Q72" s="1541">
        <f t="shared" si="9"/>
        <v>0</v>
      </c>
      <c r="R72" s="1541">
        <f t="shared" si="9"/>
        <v>-328321.74</v>
      </c>
      <c r="S72" s="1541">
        <f t="shared" si="9"/>
        <v>921598.39006839995</v>
      </c>
      <c r="T72" s="1542"/>
    </row>
    <row r="73" spans="2:20">
      <c r="B73" s="1624"/>
      <c r="H73" s="974"/>
      <c r="T73" s="1627"/>
    </row>
    <row r="74" spans="2:20" s="2389" customFormat="1" ht="12">
      <c r="B74" s="3008"/>
      <c r="H74" s="3004" t="s">
        <v>1731</v>
      </c>
      <c r="I74" s="3005">
        <v>511955.57040000003</v>
      </c>
      <c r="J74" s="3005">
        <v>9260</v>
      </c>
      <c r="K74" s="3005">
        <v>354426.587872</v>
      </c>
      <c r="L74" s="3005">
        <v>29725</v>
      </c>
      <c r="M74" s="3005">
        <v>33671</v>
      </c>
      <c r="N74" s="3005">
        <v>148355</v>
      </c>
      <c r="O74" s="3005">
        <v>15993</v>
      </c>
      <c r="P74" s="3005">
        <v>12767</v>
      </c>
      <c r="Q74" s="3005">
        <v>0</v>
      </c>
      <c r="R74" s="3005">
        <v>-313321.74</v>
      </c>
      <c r="S74" s="3005">
        <v>802831.41827199992</v>
      </c>
      <c r="T74" s="3006">
        <v>37680</v>
      </c>
    </row>
    <row r="75" spans="2:20" s="1652" customFormat="1">
      <c r="B75" s="1663"/>
      <c r="H75" s="2357"/>
      <c r="I75" s="1625"/>
      <c r="J75" s="1625"/>
      <c r="K75" s="1625"/>
      <c r="L75" s="1625"/>
      <c r="M75" s="1625"/>
      <c r="N75" s="1625"/>
      <c r="O75" s="1625"/>
      <c r="P75" s="1625"/>
      <c r="Q75" s="1625"/>
      <c r="R75" s="1625"/>
      <c r="S75" s="1625"/>
      <c r="T75" s="1627"/>
    </row>
    <row r="76" spans="2:20">
      <c r="B76" s="1624"/>
      <c r="C76" s="1652" t="s">
        <v>314</v>
      </c>
      <c r="H76" s="974"/>
      <c r="T76" s="1627"/>
    </row>
    <row r="77" spans="2:20">
      <c r="B77" s="1718" t="s">
        <v>408</v>
      </c>
      <c r="E77" s="1413" t="s">
        <v>24</v>
      </c>
      <c r="H77" s="974">
        <v>18230703</v>
      </c>
      <c r="I77" s="1199">
        <f>'Supp Crv Detail_R&amp;C_gas'!H6</f>
        <v>15347.28</v>
      </c>
      <c r="J77" s="1199">
        <f>'Supp Crv Detail_R&amp;C_gas'!I6</f>
        <v>0</v>
      </c>
      <c r="K77" s="1199">
        <f>'Supp Crv Detail_R&amp;C_gas'!J6</f>
        <v>10558.92864</v>
      </c>
      <c r="L77" s="1199">
        <f>'Supp Crv Detail_R&amp;C_gas'!K6</f>
        <v>0</v>
      </c>
      <c r="M77" s="1199">
        <f>'Supp Crv Detail_R&amp;C_gas'!L6</f>
        <v>156</v>
      </c>
      <c r="N77" s="1199">
        <f>'Supp Crv Detail_R&amp;C_gas'!M6</f>
        <v>11518</v>
      </c>
      <c r="O77" s="1199">
        <f>'Supp Crv Detail_R&amp;C_gas'!N6</f>
        <v>0</v>
      </c>
      <c r="P77" s="1199">
        <f>'Supp Crv Detail_R&amp;C_gas'!O6</f>
        <v>0</v>
      </c>
      <c r="Q77" s="1199">
        <f>'Supp Crv Detail_R&amp;C_gas'!P6</f>
        <v>0</v>
      </c>
      <c r="S77" s="1199">
        <f>'Supp Crv Detail_R&amp;C_gas'!R6</f>
        <v>37580.208639999997</v>
      </c>
      <c r="T77" s="1627"/>
    </row>
    <row r="78" spans="2:20">
      <c r="B78" s="1718" t="s">
        <v>409</v>
      </c>
      <c r="E78" s="1413" t="s">
        <v>29</v>
      </c>
      <c r="H78" s="974">
        <v>18230679</v>
      </c>
      <c r="I78" s="1199">
        <f>'Strat Pln Detail_R&amp;C_Gas'!H6</f>
        <v>17370.599999999999</v>
      </c>
      <c r="J78" s="1199">
        <f>'Strat Pln Detail_R&amp;C_Gas'!I6</f>
        <v>0</v>
      </c>
      <c r="K78" s="1199">
        <f>'Strat Pln Detail_R&amp;C_Gas'!J6</f>
        <v>11950.972799999998</v>
      </c>
      <c r="L78" s="1199">
        <f>'Strat Pln Detail_R&amp;C_Gas'!K6</f>
        <v>0</v>
      </c>
      <c r="M78" s="1199">
        <f>'Strat Pln Detail_R&amp;C_Gas'!L6</f>
        <v>156</v>
      </c>
      <c r="N78" s="1199">
        <f>'Strat Pln Detail_R&amp;C_Gas'!M6</f>
        <v>20800</v>
      </c>
      <c r="O78" s="1199">
        <f>'Strat Pln Detail_R&amp;C_Gas'!N6</f>
        <v>0</v>
      </c>
      <c r="P78" s="1199">
        <f>'Strat Pln Detail_R&amp;C_Gas'!O6</f>
        <v>0</v>
      </c>
      <c r="Q78" s="1199">
        <f>'Strat Pln Detail_R&amp;C_Gas'!P6</f>
        <v>0</v>
      </c>
      <c r="S78" s="1199">
        <f>'Strat Pln Detail_R&amp;C_Gas'!R6</f>
        <v>50277.572799999994</v>
      </c>
      <c r="T78" s="1627"/>
    </row>
    <row r="79" spans="2:20">
      <c r="B79" s="1718" t="s">
        <v>410</v>
      </c>
      <c r="E79" s="1652" t="s">
        <v>335</v>
      </c>
      <c r="H79" s="974">
        <v>18230670</v>
      </c>
      <c r="I79" s="1199">
        <f>'Mktg Rsch Detail_PS_gas'!H6</f>
        <v>22485.94</v>
      </c>
      <c r="J79" s="1199">
        <f>'Mktg Rsch Detail_PS_gas'!I6</f>
        <v>0</v>
      </c>
      <c r="K79" s="1199">
        <f>'Mktg Rsch Detail_PS_gas'!J6</f>
        <v>15470.326719999997</v>
      </c>
      <c r="L79" s="1199">
        <f>'Mktg Rsch Detail_PS_gas'!K6</f>
        <v>0</v>
      </c>
      <c r="M79" s="1199">
        <f>'Mktg Rsch Detail_PS_gas'!L6</f>
        <v>635.70000000000005</v>
      </c>
      <c r="N79" s="1199">
        <f>'Mktg Rsch Detail_PS_gas'!M6</f>
        <v>4864.1449999999995</v>
      </c>
      <c r="O79" s="1199">
        <f>'Mktg Rsch Detail_PS_gas'!N6</f>
        <v>201.5</v>
      </c>
      <c r="P79" s="1199">
        <f>'Mktg Rsch Detail_PS_gas'!O6</f>
        <v>0</v>
      </c>
      <c r="Q79" s="1199">
        <f>'Mktg Rsch Detail_PS_gas'!P6</f>
        <v>0</v>
      </c>
      <c r="S79" s="1199">
        <f>'Mktg Rsch Detail_PS_gas'!R6</f>
        <v>43657.611719999994</v>
      </c>
      <c r="T79" s="1627"/>
    </row>
    <row r="80" spans="2:20">
      <c r="B80" s="1718" t="s">
        <v>411</v>
      </c>
      <c r="E80" s="1413" t="s">
        <v>25</v>
      </c>
      <c r="H80" s="974">
        <v>18230699</v>
      </c>
      <c r="I80" s="1199">
        <f>'Eval Detail_R&amp;C_Gas'!H6</f>
        <v>24036.63</v>
      </c>
      <c r="J80" s="1199">
        <f>'Eval Detail_R&amp;C_Gas'!I6</f>
        <v>0</v>
      </c>
      <c r="K80" s="1199">
        <f>'Eval Detail_R&amp;C_Gas'!J6</f>
        <v>16537.201440000001</v>
      </c>
      <c r="L80" s="1199">
        <f>'Eval Detail_R&amp;C_Gas'!K6</f>
        <v>0</v>
      </c>
      <c r="M80" s="1199">
        <f>'Eval Detail_R&amp;C_Gas'!L6</f>
        <v>149.5</v>
      </c>
      <c r="N80" s="1199">
        <f>'Eval Detail_R&amp;C_Gas'!M6</f>
        <v>321634</v>
      </c>
      <c r="O80" s="1199">
        <f>'Eval Detail_R&amp;C_Gas'!N6</f>
        <v>0</v>
      </c>
      <c r="P80" s="1199">
        <f>'Eval Detail_R&amp;C_Gas'!O6</f>
        <v>750</v>
      </c>
      <c r="Q80" s="1199">
        <f>'Eval Detail_R&amp;C_Gas'!P6</f>
        <v>0</v>
      </c>
      <c r="S80" s="1199">
        <f>'Eval Detail_R&amp;C_Gas'!R6</f>
        <v>363107.33143999998</v>
      </c>
      <c r="T80" s="1627"/>
    </row>
    <row r="81" spans="2:20" s="1622" customFormat="1">
      <c r="B81" s="1718" t="s">
        <v>412</v>
      </c>
      <c r="D81" s="1652"/>
      <c r="E81" s="1622" t="s">
        <v>251</v>
      </c>
      <c r="H81" s="1626">
        <v>18230668</v>
      </c>
      <c r="I81" s="1625">
        <f>'Verifctn team Detail Gas'!H6</f>
        <v>37382</v>
      </c>
      <c r="J81" s="1625">
        <f>'Verifctn team Detail Gas'!I6</f>
        <v>0</v>
      </c>
      <c r="K81" s="1625">
        <f>'Verifctn team Detail Gas'!J6</f>
        <v>33569.036</v>
      </c>
      <c r="L81" s="1625">
        <f>'Verifctn team Detail Gas'!K6</f>
        <v>0</v>
      </c>
      <c r="M81" s="1625">
        <f>'Verifctn team Detail Gas'!L6</f>
        <v>1850</v>
      </c>
      <c r="N81" s="1625">
        <f>'Verifctn team Detail Gas'!M6</f>
        <v>11700</v>
      </c>
      <c r="O81" s="1625">
        <f>'Verifctn team Detail Gas'!N6</f>
        <v>900</v>
      </c>
      <c r="P81" s="1625">
        <f>'Verifctn team Detail Gas'!O6</f>
        <v>0</v>
      </c>
      <c r="Q81" s="1625">
        <f>'Verifctn team Detail Gas'!P6</f>
        <v>0</v>
      </c>
      <c r="S81" s="1625">
        <f>'Verifctn team Detail Gas'!R6</f>
        <v>85401.035999999993</v>
      </c>
      <c r="T81" s="1627"/>
    </row>
    <row r="82" spans="2:20" s="1288" customFormat="1">
      <c r="B82" s="1207"/>
      <c r="D82" s="1567"/>
      <c r="F82" s="1539"/>
      <c r="G82" s="174" t="s">
        <v>157</v>
      </c>
      <c r="H82" s="475"/>
      <c r="I82" s="474">
        <f t="shared" ref="I82:S82" si="10">SUM(I77:I81)</f>
        <v>116622.45</v>
      </c>
      <c r="J82" s="474">
        <f t="shared" si="10"/>
        <v>0</v>
      </c>
      <c r="K82" s="474">
        <f t="shared" si="10"/>
        <v>88086.465599999996</v>
      </c>
      <c r="L82" s="474">
        <f t="shared" si="10"/>
        <v>0</v>
      </c>
      <c r="M82" s="474">
        <f t="shared" si="10"/>
        <v>2947.2</v>
      </c>
      <c r="N82" s="474">
        <f t="shared" si="10"/>
        <v>370516.14500000002</v>
      </c>
      <c r="O82" s="474">
        <f t="shared" si="10"/>
        <v>1101.5</v>
      </c>
      <c r="P82" s="474">
        <f t="shared" si="10"/>
        <v>750</v>
      </c>
      <c r="Q82" s="474">
        <f t="shared" si="10"/>
        <v>0</v>
      </c>
      <c r="R82" s="474">
        <f t="shared" si="10"/>
        <v>0</v>
      </c>
      <c r="S82" s="474">
        <f t="shared" si="10"/>
        <v>580023.76059999992</v>
      </c>
      <c r="T82" s="1542"/>
    </row>
    <row r="83" spans="2:20" s="1567" customFormat="1">
      <c r="B83" s="1540"/>
      <c r="F83" s="1539"/>
      <c r="G83" s="1539"/>
      <c r="H83" s="3007"/>
      <c r="I83" s="1541"/>
      <c r="J83" s="1541"/>
      <c r="K83" s="1541"/>
      <c r="L83" s="1541"/>
      <c r="M83" s="1541"/>
      <c r="N83" s="1541"/>
      <c r="O83" s="1541"/>
      <c r="P83" s="1541"/>
      <c r="Q83" s="1541"/>
      <c r="R83" s="1541"/>
      <c r="S83" s="1541"/>
      <c r="T83" s="1542"/>
    </row>
    <row r="84" spans="2:20" s="2389" customFormat="1" ht="12">
      <c r="B84" s="3008"/>
      <c r="H84" s="3004" t="s">
        <v>1731</v>
      </c>
      <c r="I84" s="3005">
        <v>131976.56400000001</v>
      </c>
      <c r="J84" s="3005">
        <v>0</v>
      </c>
      <c r="K84" s="3005">
        <v>89744.063519999996</v>
      </c>
      <c r="L84" s="3005">
        <v>0</v>
      </c>
      <c r="M84" s="3005">
        <v>2371.1999999999998</v>
      </c>
      <c r="N84" s="3005">
        <v>249914.14499999999</v>
      </c>
      <c r="O84" s="3005">
        <v>916.5</v>
      </c>
      <c r="P84" s="3005">
        <v>585</v>
      </c>
      <c r="Q84" s="3005">
        <v>0</v>
      </c>
      <c r="R84" s="3005">
        <v>0</v>
      </c>
      <c r="S84" s="3005">
        <v>475507.47251999995</v>
      </c>
      <c r="T84" s="3006">
        <v>37680</v>
      </c>
    </row>
    <row r="85" spans="2:20">
      <c r="H85" s="974"/>
      <c r="T85" s="1627"/>
    </row>
    <row r="86" spans="2:20" s="1288" customFormat="1">
      <c r="B86" s="1207"/>
      <c r="D86" s="1567"/>
      <c r="F86" s="1539"/>
      <c r="G86" s="174" t="s">
        <v>161</v>
      </c>
      <c r="I86" s="474">
        <f t="shared" ref="I86:T86" si="11">I82+I72+I52+I46+I39+I21</f>
        <v>1444687.3905499997</v>
      </c>
      <c r="J86" s="1541">
        <f t="shared" si="11"/>
        <v>78951.924999999988</v>
      </c>
      <c r="K86" s="1541">
        <f t="shared" si="11"/>
        <v>1304724.3147483999</v>
      </c>
      <c r="L86" s="1541">
        <f t="shared" si="11"/>
        <v>501781.94</v>
      </c>
      <c r="M86" s="1541">
        <f t="shared" si="11"/>
        <v>74679.199999999997</v>
      </c>
      <c r="N86" s="1541">
        <f t="shared" si="11"/>
        <v>2966107.3549999995</v>
      </c>
      <c r="O86" s="1541">
        <f t="shared" si="11"/>
        <v>42884.5</v>
      </c>
      <c r="P86" s="1541">
        <f t="shared" si="11"/>
        <v>115821.5</v>
      </c>
      <c r="Q86" s="1541">
        <f t="shared" si="11"/>
        <v>8486297.3399999999</v>
      </c>
      <c r="R86" s="1541">
        <f t="shared" si="11"/>
        <v>-328321.74</v>
      </c>
      <c r="S86" s="1541">
        <f t="shared" si="11"/>
        <v>14687613.725298401</v>
      </c>
      <c r="T86" s="1542">
        <f t="shared" si="11"/>
        <v>3527456.85</v>
      </c>
    </row>
    <row r="87" spans="2:20" s="1567" customFormat="1">
      <c r="B87" s="1540"/>
      <c r="F87" s="1539"/>
      <c r="G87" s="1539"/>
      <c r="I87" s="1541"/>
      <c r="J87" s="1541"/>
      <c r="K87" s="1541"/>
      <c r="L87" s="1541"/>
      <c r="M87" s="1541"/>
      <c r="N87" s="1541"/>
      <c r="O87" s="1541"/>
      <c r="P87" s="1541"/>
      <c r="Q87" s="1541"/>
      <c r="R87" s="1541"/>
      <c r="S87" s="1541"/>
      <c r="T87" s="1542"/>
    </row>
    <row r="88" spans="2:20" s="2389" customFormat="1" ht="12">
      <c r="B88" s="3008"/>
      <c r="H88" s="3004" t="s">
        <v>1731</v>
      </c>
      <c r="I88" s="3005">
        <v>1466283.7529000002</v>
      </c>
      <c r="J88" s="3005">
        <v>78482.604999999996</v>
      </c>
      <c r="K88" s="3005">
        <v>1050417.0289719999</v>
      </c>
      <c r="L88" s="3005">
        <v>478515.52</v>
      </c>
      <c r="M88" s="3005">
        <v>70917.2</v>
      </c>
      <c r="N88" s="3005">
        <v>2388513.145</v>
      </c>
      <c r="O88" s="3005">
        <v>42199.5</v>
      </c>
      <c r="P88" s="3005">
        <v>115556.5</v>
      </c>
      <c r="Q88" s="3005">
        <v>9389883.1804999989</v>
      </c>
      <c r="R88" s="3005">
        <v>-313321.74</v>
      </c>
      <c r="S88" s="3005">
        <v>14767446.692372002</v>
      </c>
      <c r="T88" s="3006">
        <v>3463032.7199999997</v>
      </c>
    </row>
    <row r="89" spans="2:20">
      <c r="T89" s="1627"/>
    </row>
    <row r="90" spans="2:20" s="1767" customFormat="1" ht="135">
      <c r="B90" s="1766"/>
      <c r="F90" s="1768"/>
      <c r="G90" s="1772" t="s">
        <v>496</v>
      </c>
      <c r="H90" s="519" t="s">
        <v>207</v>
      </c>
      <c r="I90" s="1770" t="s">
        <v>474</v>
      </c>
      <c r="J90" s="1770" t="s">
        <v>472</v>
      </c>
      <c r="K90" s="1771" t="s">
        <v>2641</v>
      </c>
      <c r="L90" s="1770" t="s">
        <v>473</v>
      </c>
      <c r="M90" s="1770" t="s">
        <v>476</v>
      </c>
      <c r="N90" s="1770" t="s">
        <v>477</v>
      </c>
      <c r="O90" s="1770" t="s">
        <v>478</v>
      </c>
      <c r="P90" s="1770" t="s">
        <v>479</v>
      </c>
      <c r="Q90" s="1770" t="s">
        <v>480</v>
      </c>
      <c r="R90" s="1770" t="s">
        <v>208</v>
      </c>
      <c r="S90" s="520"/>
      <c r="T90" s="1769"/>
    </row>
  </sheetData>
  <customSheetViews>
    <customSheetView guid="{D9EFFE19-D14B-4C6F-BDF4-FF696F73968D}">
      <pane xSplit="8" ySplit="5" topLeftCell="I6" activePane="bottomRight" state="frozen"/>
      <selection pane="bottomRight" activeCell="H12" sqref="H12"/>
      <pageMargins left="0.7" right="0.7" top="0.4" bottom="0.37" header="0.3" footer="0.3"/>
      <pageSetup paperSize="3" scale="65" orientation="landscape" r:id="rId1"/>
    </customSheetView>
    <customSheetView guid="{074EB09C-6289-46D7-9513-012B68BCA7BF}" hiddenRows="1">
      <pane xSplit="8" ySplit="5" topLeftCell="I6" activePane="bottomRight" state="frozen"/>
      <selection pane="bottomRight"/>
      <pageMargins left="0.7" right="0.7" top="0.4" bottom="0.37" header="0.3" footer="0.3"/>
      <pageSetup paperSize="17" scale="65" orientation="landscape" r:id="rId2"/>
    </customSheetView>
  </customSheetViews>
  <mergeCells count="1">
    <mergeCell ref="E5:G5"/>
  </mergeCells>
  <hyperlinks>
    <hyperlink ref="H79" location="'Mktg Rsch Detail_PS_gas'!A1" display="'Mktg Rsch Detail_PS_gas'!A1"/>
    <hyperlink ref="H77" location="'Supp Crv Detail_R&amp;C_gas'!A1" display="'Supp Crv Detail_R&amp;C_gas'!A1"/>
    <hyperlink ref="H78" location="'Strat Pln Detail_R&amp;C_Gas'!A1" display="'Strat Pln Detail_R&amp;C_Gas'!A1"/>
    <hyperlink ref="H80" location="'Eval Detail_R&amp;C_Gas'!A1" display="'Eval Detail_R&amp;C_Gas'!A1"/>
    <hyperlink ref="H81" location="'Verifctn team Detail Gas'!A1" display="'Verifctn team Detail Gas'!A1"/>
    <hyperlink ref="H63" location="'CustOnline Detail_PSWE_Gas'!A1" display="'CustOnline Detail_PSWE_Gas'!A1"/>
    <hyperlink ref="H64" location="'Mkt Intg Detail_PSWE_Gas'!A1" display="'Mkt Intg Detail_PSWE_Gas'!A1"/>
    <hyperlink ref="H69" location="'EEC Detail_PS_Gas'!A1" display="'EEC Detail_PS_Gas'!A1"/>
    <hyperlink ref="H70" location="'TradeAlly Detail_PS_gas'!A1" display="'TradeAlly Detail_PS_gas'!A1"/>
    <hyperlink ref="H58" location="'Engy Adv Detail_PSCE_Gas'!A1" display="'Engy Adv Detail_PSCE_Gas'!A1"/>
    <hyperlink ref="H60" location="'Brochure Detail_PSCE_Gas'!A1" display="'Brochure Detail_PSCE_Gas'!A1"/>
    <hyperlink ref="H61" location="'Eductn Detail_PSCE_G207 Gas'!A1" display="'Eductn Detail_PSCE_G207 Gas'!A1"/>
    <hyperlink ref="H59" location="'Events Detail_PSCE_Gas'!A1" display="'Events Detail_PSCE_Gas'!A1"/>
    <hyperlink ref="H26" location="'CI Retr Detail_BEM G250 Gas'!A1" display="'CI Retr Detail_BEM G250 Gas'!A1"/>
    <hyperlink ref="H29" location="'RCM Detail_BEM 253 Gas'!A1" display="'RCM Detail_BEM 253 Gas'!A1"/>
    <hyperlink ref="H27" location="'CI NC Detail_BEM G251 Gas'!A1" display="'CI NC Detail_BEM G251 Gas'!A1"/>
    <hyperlink ref="H31" location="'TechEval Detail_BEM G261 Gas'!A1" display="'TechEval Detail_BEM G261 Gas'!A1"/>
    <hyperlink ref="H16" location="'HER Detail_REM G214 gas'!A1" display="'HER Detail_REM G214 gas'!A1"/>
    <hyperlink ref="H7" location="'LowIncWx Detail_REM G201 Gas'!A1" display="'LowIncWx Detail_REM G201 Gas'!A1"/>
    <hyperlink ref="H8" location="'HmPrint Detail_REM G214 Gas'!A1" display="'HmPrint Detail_REM G214 Gas'!A1"/>
    <hyperlink ref="H9" location="'WtrHeat Detail_REM G214 Gas'!A1" display="'WtrHeat Detail_REM G214 Gas'!A1"/>
    <hyperlink ref="H10" location="'Wx Detail_REM G214 Gas'!A1" display="'Wx Detail_REM G214 Gas'!A1"/>
    <hyperlink ref="H11" location="'SpHeat Detail_REM G214 Gas'!A1" display="'SpHeat Detail_REM G214 Gas'!A1"/>
    <hyperlink ref="H18" location="'SFNC Detail_REM G215 Gas'!A1" display="'SFNC Detail_REM G215 Gas'!A1"/>
    <hyperlink ref="H19" location="'MF Retr Detail_REM G217 Gas'!A1" display="'MF Retr Detail_REM G217 Gas'!A1"/>
    <hyperlink ref="H20" location="'MFNC Detail_REM G218 Gas'!A1" display="'MFNC Detail_REM G218 Gas'!A1"/>
    <hyperlink ref="H12" location="'ShwrHead Detail_REM G214 Gas'!A1" display="'ShwrHead Detail_REM G214 Gas'!A1"/>
    <hyperlink ref="H13" location="'HmApplSvgs Detail_REM G214 Gas'!A1" display="Savings Only"/>
    <hyperlink ref="H14" location="'MHDS Detail_REM G214 Gas'!A1" display="'MHDS Detail_REM G214 Gas'!A1"/>
    <hyperlink ref="H15" location="'WebTstat Detail_REM G214 Gas'!A1" display="'WebTstat Detail_REM G214 Gas'!A1"/>
    <hyperlink ref="H17" location="'NCMfgHomes Detail_REM G215 Gas'!A1" display="'NCMfgHomes Detail_REM G215 Gas'!A1"/>
    <hyperlink ref="H45" location="'BEM Pilots Detail G249 Gas'!A1" display="'BEM Pilots Detail G249 Gas'!A1"/>
    <hyperlink ref="H44" location="'REM Pilots Detail G249 Gas'!A1" display="18230nnn"/>
    <hyperlink ref="H51" location="'NEEA Detail_E254 elec'!A1" display="'NEEA Detail_E254 elec'!A1"/>
    <hyperlink ref="H33" location="'Comm Kit-Laund_G262 Gas'!A1" display="'Comm Kit-Laund_G262 Gas'!A1"/>
    <hyperlink ref="H34" location="'Comm DI_G262 Gas'!A1" display="'Comm DI_G262 Gas'!A1"/>
    <hyperlink ref="H35" location="'Comm HVAC_G262 Gas'!A1" display="'Comm HVAC_G262 Gas'!A1"/>
    <hyperlink ref="H38" location="'Sm Bus DI_G262 Gas'!A1" display="'Sm Bus DI_G262 Gas'!A1"/>
    <hyperlink ref="H67" location="'Progs Supp Detail_PS_Gas'!A1" display="'Progs Supp Detail_PS_Gas'!A1"/>
    <hyperlink ref="H68" location="'Data &amp; Systm Svcs Detail Gas'!A1" display="'Data &amp; Systm Svcs Detail Gas'!A1"/>
    <hyperlink ref="H66" location="'Rebt Procg_Detail Gas'!A1" display="'Rebt Procg_Detail Gas'!A1"/>
    <hyperlink ref="H71" location="'CAN_PS_Detail Gas'!A1" display="'CAN_PS_Detail Gas'!A1"/>
    <hyperlink ref="H36" location="'Sm Agr DI_G262 Gas'!A1" display="1823nnnn"/>
    <hyperlink ref="H37" location="'Lodging DI_G262_Gas'!A1" display="1823yyyy"/>
    <hyperlink ref="H30" location="'ResAcctSW Detail_PSWE_Gas'!A1" display="1823xxxx"/>
    <hyperlink ref="H65" location="'ABS Detail_PSWE_Gas'!A1" display="'ABS Detail_PSWE_Gas'!A1"/>
  </hyperlinks>
  <pageMargins left="0.7" right="0.7" top="0.4" bottom="0.37" header="0.3" footer="0.3"/>
  <pageSetup paperSize="17" scale="50" orientation="landscape" r:id="rId3"/>
  <ignoredErrors>
    <ignoredError sqref="R85:T86 R62 R28:T39 R72:T73 R76:T82" emptyCellReference="1"/>
  </ignoredErrors>
  <drawing r:id="rId4"/>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rgb="FFFABF8F"/>
    <pageSetUpPr fitToPage="1"/>
  </sheetPr>
  <dimension ref="A1:R74"/>
  <sheetViews>
    <sheetView showGridLines="0" zoomScaleNormal="100" workbookViewId="0">
      <pane xSplit="1" ySplit="1" topLeftCell="B14" activePane="bottomRight" state="frozen"/>
      <selection pane="topRight" activeCell="B1" sqref="B1"/>
      <selection pane="bottomLeft" activeCell="A2" sqref="A2"/>
      <selection pane="bottomRight" activeCell="I48" sqref="I48"/>
    </sheetView>
  </sheetViews>
  <sheetFormatPr defaultRowHeight="12.75"/>
  <cols>
    <col min="1" max="1" width="17.7109375" customWidth="1"/>
    <col min="2" max="2" width="15.28515625" style="1413" customWidth="1"/>
    <col min="3" max="3" width="33.140625" customWidth="1"/>
    <col min="4" max="4" width="22.5703125" style="1" customWidth="1"/>
    <col min="5" max="5" width="22.5703125" style="2" customWidth="1"/>
    <col min="6" max="10" width="18.85546875" customWidth="1"/>
    <col min="11" max="11" width="17.5703125" customWidth="1"/>
    <col min="12" max="12" width="20.28515625" customWidth="1"/>
    <col min="13" max="13" width="24.42578125" customWidth="1"/>
    <col min="14" max="14" width="19.42578125" customWidth="1"/>
    <col min="15" max="15" width="13.85546875" customWidth="1"/>
    <col min="16" max="16" width="17.28515625" customWidth="1"/>
    <col min="17" max="17" width="16.28515625" customWidth="1"/>
  </cols>
  <sheetData>
    <row r="1" spans="1:18" ht="58.5" customHeight="1">
      <c r="D1" s="1380" t="s">
        <v>1635</v>
      </c>
      <c r="E1" s="1509" t="s">
        <v>22</v>
      </c>
      <c r="F1" s="1427">
        <v>18230737</v>
      </c>
      <c r="G1" s="1509" t="s">
        <v>28</v>
      </c>
      <c r="M1" s="1380" t="s">
        <v>1635</v>
      </c>
      <c r="N1" s="1509" t="s">
        <v>22</v>
      </c>
      <c r="O1" s="1427">
        <v>18230737</v>
      </c>
      <c r="P1" s="1509" t="s">
        <v>28</v>
      </c>
    </row>
    <row r="2" spans="1:18" s="42" customFormat="1" ht="18.75" customHeight="1" thickBot="1">
      <c r="D2" s="38"/>
      <c r="E2" s="1349"/>
      <c r="F2" s="1349"/>
      <c r="G2" s="1354"/>
      <c r="H2" s="1178" t="s">
        <v>627</v>
      </c>
      <c r="I2" s="1354"/>
      <c r="J2" s="1354"/>
      <c r="K2" s="1354"/>
      <c r="L2" s="1354"/>
      <c r="M2" s="1354"/>
      <c r="N2" s="1354"/>
      <c r="O2" s="1354"/>
      <c r="P2" s="1354"/>
      <c r="Q2" s="1354"/>
    </row>
    <row r="3" spans="1:18" s="1652" customFormat="1" ht="28.5" customHeight="1" thickBot="1">
      <c r="A3" s="3196" t="s">
        <v>1635</v>
      </c>
      <c r="B3" s="3195"/>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508"/>
      <c r="D4"/>
      <c r="E4" s="1413"/>
      <c r="F4" s="1413"/>
      <c r="G4" s="2946" t="s">
        <v>1726</v>
      </c>
      <c r="H4" s="2959">
        <f>D15</f>
        <v>0</v>
      </c>
      <c r="I4" s="2960">
        <f>D21</f>
        <v>0</v>
      </c>
      <c r="J4" s="2960">
        <f>D27</f>
        <v>0</v>
      </c>
      <c r="K4" s="2960">
        <f>D37</f>
        <v>0</v>
      </c>
      <c r="L4" s="2960">
        <f>D43</f>
        <v>0</v>
      </c>
      <c r="M4" s="2960">
        <f>D49</f>
        <v>88010</v>
      </c>
      <c r="N4" s="2960">
        <f>D56</f>
        <v>0</v>
      </c>
      <c r="O4" s="2960">
        <f>D62</f>
        <v>0</v>
      </c>
      <c r="P4" s="2960">
        <v>0</v>
      </c>
      <c r="Q4" s="2961"/>
      <c r="R4" s="2960">
        <f>SUM(H4:P4)</f>
        <v>88010</v>
      </c>
    </row>
    <row r="5" spans="1:18" s="1652" customFormat="1" ht="15.75">
      <c r="A5" s="1427">
        <v>18230737</v>
      </c>
      <c r="B5" s="1508"/>
      <c r="D5" s="1662"/>
      <c r="E5" s="1662"/>
      <c r="F5" s="1662"/>
      <c r="G5" s="3205" t="s">
        <v>1753</v>
      </c>
      <c r="H5" s="2617">
        <v>0</v>
      </c>
      <c r="I5" s="2618">
        <v>0</v>
      </c>
      <c r="J5" s="2618">
        <v>0</v>
      </c>
      <c r="K5" s="2618">
        <v>0</v>
      </c>
      <c r="L5" s="2618">
        <v>0</v>
      </c>
      <c r="M5" s="2618">
        <v>88010</v>
      </c>
      <c r="N5" s="2618">
        <v>0</v>
      </c>
      <c r="O5" s="2618">
        <v>0</v>
      </c>
      <c r="P5" s="2618">
        <v>0</v>
      </c>
      <c r="Q5" s="2619"/>
      <c r="R5" s="2618">
        <v>88010</v>
      </c>
    </row>
    <row r="6" spans="1:18" ht="16.5" thickBot="1">
      <c r="A6" s="1508" t="s">
        <v>28</v>
      </c>
      <c r="B6" s="1427"/>
      <c r="C6" s="943"/>
      <c r="D6"/>
      <c r="E6" s="1413"/>
      <c r="F6" s="1413"/>
      <c r="G6" s="3206" t="s">
        <v>1754</v>
      </c>
      <c r="H6" s="2621">
        <f>E15</f>
        <v>0</v>
      </c>
      <c r="I6" s="2622">
        <f>E21</f>
        <v>0</v>
      </c>
      <c r="J6" s="2623">
        <f>E27</f>
        <v>0</v>
      </c>
      <c r="K6" s="2622">
        <f>E37</f>
        <v>0</v>
      </c>
      <c r="L6" s="2622">
        <f>E43</f>
        <v>0</v>
      </c>
      <c r="M6" s="2622">
        <f>E49</f>
        <v>88010</v>
      </c>
      <c r="N6" s="2622">
        <f>E56</f>
        <v>0</v>
      </c>
      <c r="O6" s="2622">
        <f>E62</f>
        <v>0</v>
      </c>
      <c r="P6" s="2622">
        <v>0</v>
      </c>
      <c r="Q6" s="2624"/>
      <c r="R6" s="2622">
        <f>SUM(H6:P6)</f>
        <v>88010</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1368"/>
      <c r="B9" s="1368"/>
      <c r="E9" s="1"/>
      <c r="F9" s="2"/>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D15+D21+D27+D37+D43+D49+D56+D62</f>
        <v>88010</v>
      </c>
      <c r="E12" s="1484">
        <f>E15+E21+E27+E37+E43+E49+E56+E62</f>
        <v>88010</v>
      </c>
      <c r="F12" s="1462">
        <f>D12+E12</f>
        <v>176020</v>
      </c>
    </row>
    <row r="13" spans="1:18" ht="15.75">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0</v>
      </c>
      <c r="E15" s="1464">
        <f>SUM(E16:E19)</f>
        <v>0</v>
      </c>
      <c r="F15" s="1462">
        <f>SUM(F16:F19)</f>
        <v>0</v>
      </c>
      <c r="G15" s="29"/>
      <c r="H15" s="29"/>
    </row>
    <row r="16" spans="1:18" ht="13.5" customHeight="1">
      <c r="A16" s="21"/>
      <c r="B16" s="1432"/>
      <c r="C16" s="1423"/>
      <c r="D16" s="2772"/>
      <c r="E16" s="1448"/>
      <c r="F16" s="1426">
        <f>SUM(D16:E16)</f>
        <v>0</v>
      </c>
    </row>
    <row r="17" spans="1:15" ht="13.5" customHeight="1">
      <c r="A17" s="21"/>
      <c r="B17" s="1432"/>
      <c r="C17" s="1423"/>
      <c r="D17" s="2784"/>
      <c r="E17" s="1447"/>
      <c r="F17" s="1438">
        <f>SUM(D17:E17)</f>
        <v>0</v>
      </c>
      <c r="O17" s="24"/>
    </row>
    <row r="18" spans="1:15" ht="13.5" customHeight="1">
      <c r="A18" s="21"/>
      <c r="B18" s="1432"/>
      <c r="C18" s="1423"/>
      <c r="D18" s="2784"/>
      <c r="E18" s="1447"/>
      <c r="F18" s="1438">
        <f>SUM(D18:E18)</f>
        <v>0</v>
      </c>
      <c r="O18" s="24"/>
    </row>
    <row r="19" spans="1:15" ht="13.5" customHeight="1">
      <c r="A19" s="21"/>
      <c r="B19" s="1432"/>
      <c r="C19" s="1423"/>
      <c r="D19" s="2794"/>
      <c r="E19" s="1578"/>
      <c r="F19" s="1438">
        <f>SUM(D19:E19)</f>
        <v>0</v>
      </c>
    </row>
    <row r="20" spans="1:15" ht="13.5" customHeight="1">
      <c r="A20" s="21"/>
      <c r="B20" s="1449">
        <f>SUM(B16:B19)</f>
        <v>0</v>
      </c>
      <c r="C20" s="1488"/>
      <c r="D20" s="2770"/>
      <c r="E20" s="1490"/>
      <c r="F20" s="1492"/>
    </row>
    <row r="21" spans="1:15" ht="13.5" customHeight="1">
      <c r="A21" s="21"/>
      <c r="B21" s="1412"/>
      <c r="C21" s="1451" t="s">
        <v>44</v>
      </c>
      <c r="D21" s="2771">
        <f>SUM(D22:D25)</f>
        <v>0</v>
      </c>
      <c r="E21" s="1464">
        <f>SUM(E22:E25)</f>
        <v>0</v>
      </c>
      <c r="F21" s="1462">
        <f>SUM(F22:F25)</f>
        <v>0</v>
      </c>
      <c r="G21" s="33" t="s">
        <v>6</v>
      </c>
    </row>
    <row r="22" spans="1:15" ht="13.5" customHeight="1">
      <c r="A22" s="21"/>
      <c r="B22" s="1412"/>
      <c r="C22" s="1423"/>
      <c r="D22" s="2772"/>
      <c r="E22" s="1448"/>
      <c r="F22" s="1426">
        <f>SUM(D22:E22)</f>
        <v>0</v>
      </c>
      <c r="G22" s="34"/>
    </row>
    <row r="23" spans="1:15" ht="13.5" customHeight="1">
      <c r="A23" s="21"/>
      <c r="B23" s="1412"/>
      <c r="C23" s="1423"/>
      <c r="D23" s="2773"/>
      <c r="E23" s="1444"/>
      <c r="F23" s="1438">
        <f>SUM(D23:E23)</f>
        <v>0</v>
      </c>
    </row>
    <row r="24" spans="1:15" ht="13.5" customHeight="1">
      <c r="A24" s="21"/>
      <c r="B24" s="1410"/>
      <c r="C24" s="1423"/>
      <c r="D24" s="2774"/>
      <c r="E24" s="1443"/>
      <c r="F24" s="1438">
        <f>SUM(D24:E24)</f>
        <v>0</v>
      </c>
    </row>
    <row r="25" spans="1:15" s="18" customFormat="1" ht="13.5" customHeight="1">
      <c r="A25" s="28"/>
      <c r="B25" s="1412"/>
      <c r="C25" s="1423"/>
      <c r="D25" s="2775"/>
      <c r="E25" s="1444"/>
      <c r="F25" s="1438">
        <f>SUM(D25:E25)</f>
        <v>0</v>
      </c>
    </row>
    <row r="26" spans="1:15" ht="13.5" customHeight="1">
      <c r="A26" s="21"/>
      <c r="B26" s="1410"/>
      <c r="C26" s="1424"/>
      <c r="D26" s="2776"/>
      <c r="E26" s="1431"/>
      <c r="F26" s="1439"/>
    </row>
    <row r="27" spans="1:15" s="18" customFormat="1" ht="13.5" customHeight="1">
      <c r="A27" s="28"/>
      <c r="B27" s="1412"/>
      <c r="C27" s="1451" t="s">
        <v>45</v>
      </c>
      <c r="D27" s="2780">
        <f>SUM(D29:D35)</f>
        <v>0</v>
      </c>
      <c r="E27" s="1613">
        <f>SUM(E29:E31)+SUM(E33:E35)</f>
        <v>0</v>
      </c>
      <c r="F27" s="1462">
        <f>SUM(F29:F35)</f>
        <v>0</v>
      </c>
    </row>
    <row r="28" spans="1:15" ht="13.5" customHeight="1">
      <c r="A28" s="21"/>
      <c r="B28" s="1412"/>
      <c r="C28" s="1450" t="s">
        <v>1733</v>
      </c>
      <c r="D28" s="2777">
        <v>0.66700000000000004</v>
      </c>
      <c r="E28" s="1452">
        <v>0.68799999999999994</v>
      </c>
      <c r="F28" s="1485"/>
    </row>
    <row r="29" spans="1:15" ht="13.5" customHeight="1">
      <c r="A29" s="21"/>
      <c r="B29" s="1412"/>
      <c r="C29" s="1667" t="s">
        <v>719</v>
      </c>
      <c r="D29" s="2778">
        <f>D15*D28</f>
        <v>0</v>
      </c>
      <c r="E29" s="1504">
        <f>E15*E28</f>
        <v>0</v>
      </c>
      <c r="F29" s="1438">
        <f>SUM(D29:E29)</f>
        <v>0</v>
      </c>
    </row>
    <row r="30" spans="1:15" ht="13.5" customHeight="1">
      <c r="A30" s="21"/>
      <c r="B30" s="1412"/>
      <c r="C30" s="1667" t="s">
        <v>720</v>
      </c>
      <c r="D30" s="2785">
        <f>D21*D28</f>
        <v>0</v>
      </c>
      <c r="E30" s="1504">
        <f>E21*E28</f>
        <v>0</v>
      </c>
      <c r="F30" s="1661">
        <f>SUM(D30:E30)</f>
        <v>0</v>
      </c>
    </row>
    <row r="31" spans="1:15" ht="13.5" customHeight="1">
      <c r="A31" s="21"/>
      <c r="B31" s="1412"/>
      <c r="C31" s="1667"/>
      <c r="D31" s="2774"/>
      <c r="E31" s="1443"/>
      <c r="F31" s="1661">
        <f>SUM(D31:E31)</f>
        <v>0</v>
      </c>
    </row>
    <row r="32" spans="1:15"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3619" t="s">
        <v>1635</v>
      </c>
      <c r="B34" s="1412"/>
      <c r="C34" s="1667" t="s">
        <v>720</v>
      </c>
      <c r="D34" s="2785"/>
      <c r="E34" s="1641">
        <f>E21*E32</f>
        <v>0</v>
      </c>
      <c r="F34" s="1661">
        <f t="shared" ref="F34" si="0">SUM(D34:E34)</f>
        <v>0</v>
      </c>
      <c r="G34" s="37"/>
    </row>
    <row r="35" spans="1:7" ht="13.5" customHeight="1">
      <c r="A35" s="3619"/>
      <c r="B35" s="1410"/>
      <c r="C35" s="1445"/>
      <c r="D35" s="2775"/>
      <c r="E35" s="1444"/>
      <c r="F35" s="1661">
        <f>SUM(D35:E35)</f>
        <v>0</v>
      </c>
    </row>
    <row r="36" spans="1:7" s="18" customFormat="1" ht="13.5" customHeight="1">
      <c r="A36" s="1508" t="s">
        <v>22</v>
      </c>
      <c r="B36" s="1412"/>
      <c r="C36" s="1488"/>
      <c r="D36" s="2779"/>
      <c r="E36" s="1490"/>
      <c r="F36" s="1493"/>
    </row>
    <row r="37" spans="1:7" ht="13.5" customHeight="1">
      <c r="A37" s="1427">
        <v>18230737</v>
      </c>
      <c r="B37" s="1412"/>
      <c r="C37" s="1451" t="s">
        <v>46</v>
      </c>
      <c r="D37" s="2771">
        <v>0</v>
      </c>
      <c r="E37" s="1464">
        <v>0</v>
      </c>
      <c r="F37" s="1462">
        <v>0</v>
      </c>
    </row>
    <row r="38" spans="1:7" ht="13.5" customHeight="1">
      <c r="A38" s="1508" t="s">
        <v>28</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411" customFormat="1" ht="13.5" customHeight="1">
      <c r="A43" s="1412"/>
      <c r="B43" s="1412"/>
      <c r="C43" s="1597" t="s">
        <v>483</v>
      </c>
      <c r="D43" s="2771">
        <f>SUM(D44:D47)</f>
        <v>0</v>
      </c>
      <c r="E43" s="1464">
        <f>SUM(E44:E47)</f>
        <v>0</v>
      </c>
      <c r="F43" s="1462">
        <f t="shared" ref="F43:F60" si="1">SUM(D43:E43)</f>
        <v>0</v>
      </c>
    </row>
    <row r="44" spans="1:7" s="1411" customFormat="1" ht="13.5" customHeight="1">
      <c r="A44" s="1412"/>
      <c r="B44" s="1412"/>
      <c r="C44" s="1635"/>
      <c r="D44" s="2778"/>
      <c r="E44" s="1520"/>
      <c r="F44" s="1438">
        <f t="shared" si="1"/>
        <v>0</v>
      </c>
      <c r="G44" s="1390"/>
    </row>
    <row r="45" spans="1:7" s="1411" customFormat="1" ht="13.5" customHeight="1">
      <c r="A45" s="1412"/>
      <c r="B45" s="1412"/>
      <c r="C45" s="1423"/>
      <c r="D45" s="2778"/>
      <c r="E45" s="1520"/>
      <c r="F45" s="1438">
        <f t="shared" si="1"/>
        <v>0</v>
      </c>
      <c r="G45" s="1414"/>
    </row>
    <row r="46" spans="1:7" s="1411" customFormat="1" ht="13.5" customHeight="1">
      <c r="A46" s="1412"/>
      <c r="B46" s="1412"/>
      <c r="C46" s="1423"/>
      <c r="D46" s="2778"/>
      <c r="E46" s="1520"/>
      <c r="F46" s="1438">
        <f t="shared" si="1"/>
        <v>0</v>
      </c>
      <c r="G46" s="1414"/>
    </row>
    <row r="47" spans="1:7" ht="13.5" customHeight="1">
      <c r="A47" s="21"/>
      <c r="B47" s="1412"/>
      <c r="C47" s="1423"/>
      <c r="D47" s="2778"/>
      <c r="E47" s="1520"/>
      <c r="F47" s="1438">
        <f t="shared" si="1"/>
        <v>0</v>
      </c>
    </row>
    <row r="48" spans="1:7" s="1652" customFormat="1" ht="13.5" customHeight="1">
      <c r="A48" s="1653"/>
      <c r="B48" s="1653"/>
      <c r="C48" s="1488"/>
      <c r="D48" s="2779"/>
      <c r="E48" s="1490"/>
      <c r="F48" s="1493"/>
    </row>
    <row r="49" spans="1:6" ht="13.5" customHeight="1">
      <c r="A49" s="21"/>
      <c r="B49" s="1412"/>
      <c r="C49" s="1451" t="s">
        <v>47</v>
      </c>
      <c r="D49" s="2771">
        <f>SUM(D50:D54)</f>
        <v>88010</v>
      </c>
      <c r="E49" s="1464">
        <f>SUM(E50:E54)</f>
        <v>88010</v>
      </c>
      <c r="F49" s="1462">
        <f t="shared" si="1"/>
        <v>176020</v>
      </c>
    </row>
    <row r="50" spans="1:6" ht="13.5" customHeight="1">
      <c r="A50" s="21"/>
      <c r="B50" s="1412"/>
      <c r="C50" s="1667" t="s">
        <v>770</v>
      </c>
      <c r="D50" s="2778">
        <v>13000</v>
      </c>
      <c r="E50" s="1672">
        <v>13000</v>
      </c>
      <c r="F50" s="1438">
        <f t="shared" si="1"/>
        <v>26000</v>
      </c>
    </row>
    <row r="51" spans="1:6" ht="13.5" customHeight="1">
      <c r="A51" s="21"/>
      <c r="B51" s="1412"/>
      <c r="C51" s="1667" t="s">
        <v>771</v>
      </c>
      <c r="D51" s="2778">
        <v>13000</v>
      </c>
      <c r="E51" s="1672">
        <v>13000</v>
      </c>
      <c r="F51" s="1661">
        <f t="shared" si="1"/>
        <v>26000</v>
      </c>
    </row>
    <row r="52" spans="1:6" ht="13.5" customHeight="1">
      <c r="A52" s="21"/>
      <c r="B52" s="1412"/>
      <c r="C52" s="1667" t="s">
        <v>772</v>
      </c>
      <c r="D52" s="2778">
        <v>58110</v>
      </c>
      <c r="E52" s="1672">
        <v>58110</v>
      </c>
      <c r="F52" s="1610">
        <f t="shared" si="1"/>
        <v>116220</v>
      </c>
    </row>
    <row r="53" spans="1:6" ht="13.5" customHeight="1">
      <c r="A53" s="21"/>
      <c r="B53" s="1412"/>
      <c r="C53" s="1667" t="s">
        <v>204</v>
      </c>
      <c r="D53" s="2778">
        <v>2600</v>
      </c>
      <c r="E53" s="1672">
        <v>2600</v>
      </c>
      <c r="F53" s="1610">
        <f t="shared" si="1"/>
        <v>5200</v>
      </c>
    </row>
    <row r="54" spans="1:6" ht="13.5" customHeight="1">
      <c r="A54" s="21"/>
      <c r="B54" s="1412"/>
      <c r="C54" s="1667" t="s">
        <v>205</v>
      </c>
      <c r="D54" s="2778">
        <v>1300</v>
      </c>
      <c r="E54" s="1672">
        <v>1300</v>
      </c>
      <c r="F54" s="1610">
        <f t="shared" si="1"/>
        <v>2600</v>
      </c>
    </row>
    <row r="55" spans="1:6" s="1652" customFormat="1" ht="13.5" customHeight="1">
      <c r="A55" s="1653"/>
      <c r="B55" s="1653"/>
      <c r="C55" s="1488"/>
      <c r="D55" s="2779"/>
      <c r="E55" s="1490"/>
      <c r="F55" s="1493"/>
    </row>
    <row r="56" spans="1:6" ht="13.5" customHeight="1">
      <c r="A56" s="21"/>
      <c r="B56" s="1412"/>
      <c r="C56" s="1451" t="s">
        <v>48</v>
      </c>
      <c r="D56" s="2771">
        <f>SUM(D57:D60)</f>
        <v>0</v>
      </c>
      <c r="E56" s="1464">
        <f>SUM(E57:E60)</f>
        <v>0</v>
      </c>
      <c r="F56" s="1462">
        <f t="shared" si="1"/>
        <v>0</v>
      </c>
    </row>
    <row r="57" spans="1:6" ht="13.5" customHeight="1">
      <c r="A57" s="21"/>
      <c r="B57" s="1412"/>
      <c r="C57" s="1635"/>
      <c r="D57" s="2778"/>
      <c r="E57" s="1504"/>
      <c r="F57" s="1438">
        <f t="shared" si="1"/>
        <v>0</v>
      </c>
    </row>
    <row r="58" spans="1:6" ht="13.5" customHeight="1">
      <c r="A58" s="21"/>
      <c r="B58" s="1412"/>
      <c r="C58" s="1667"/>
      <c r="D58" s="2778"/>
      <c r="E58" s="1641"/>
      <c r="F58" s="1661"/>
    </row>
    <row r="59" spans="1:6" ht="13.5" customHeight="1">
      <c r="A59" s="21"/>
      <c r="B59" s="1412"/>
      <c r="C59" s="1423"/>
      <c r="D59" s="2778"/>
      <c r="E59" s="1504"/>
      <c r="F59" s="1438">
        <f t="shared" si="1"/>
        <v>0</v>
      </c>
    </row>
    <row r="60" spans="1:6" ht="13.5" customHeight="1">
      <c r="A60" s="21"/>
      <c r="B60" s="1412"/>
      <c r="C60" s="1423"/>
      <c r="D60" s="2778"/>
      <c r="E60" s="1504"/>
      <c r="F60" s="1438">
        <f t="shared" si="1"/>
        <v>0</v>
      </c>
    </row>
    <row r="61" spans="1:6" s="1652" customFormat="1" ht="13.5" customHeight="1">
      <c r="A61" s="1653"/>
      <c r="B61" s="1653"/>
      <c r="C61" s="1488"/>
      <c r="D61" s="2779"/>
      <c r="E61" s="1490"/>
      <c r="F61" s="1493"/>
    </row>
    <row r="62" spans="1:6" s="1652" customFormat="1" ht="13.5" customHeight="1">
      <c r="A62" s="1653"/>
      <c r="B62" s="1653"/>
      <c r="C62" s="1451" t="s">
        <v>49</v>
      </c>
      <c r="D62" s="2780">
        <f>SUM(D63:D69)</f>
        <v>0</v>
      </c>
      <c r="E62" s="1657">
        <f>SUM(E63:E69)</f>
        <v>0</v>
      </c>
      <c r="F62" s="1462">
        <f>SUM(F63:F68)</f>
        <v>0</v>
      </c>
    </row>
    <row r="63" spans="1:6" s="1652" customFormat="1" ht="13.5" customHeight="1">
      <c r="A63" s="1653"/>
      <c r="B63" s="1653"/>
      <c r="C63" s="1667"/>
      <c r="D63" s="2778"/>
      <c r="E63" s="1520"/>
      <c r="F63" s="1438">
        <f>SUM(D63:E63)</f>
        <v>0</v>
      </c>
    </row>
    <row r="64" spans="1:6" s="1652" customFormat="1" ht="13.5" customHeight="1">
      <c r="A64" s="1653"/>
      <c r="B64" s="1653"/>
      <c r="C64" s="1667"/>
      <c r="D64" s="2778"/>
      <c r="E64" s="1672"/>
      <c r="F64" s="1661">
        <f t="shared" ref="F64:F67" si="2">SUM(D64:E64)</f>
        <v>0</v>
      </c>
    </row>
    <row r="65" spans="1:7" ht="13.5" customHeight="1">
      <c r="A65" s="21"/>
      <c r="B65" s="1412"/>
      <c r="C65" s="1667"/>
      <c r="D65" s="2778"/>
      <c r="E65" s="1672"/>
      <c r="F65" s="1661">
        <f t="shared" si="2"/>
        <v>0</v>
      </c>
      <c r="G65" s="1652"/>
    </row>
    <row r="66" spans="1:7" ht="13.5" customHeight="1">
      <c r="A66" s="21"/>
      <c r="C66" s="1667"/>
      <c r="D66" s="2778"/>
      <c r="E66" s="1672"/>
      <c r="F66" s="1661">
        <f t="shared" si="2"/>
        <v>0</v>
      </c>
    </row>
    <row r="67" spans="1:7">
      <c r="C67" s="1667"/>
      <c r="D67" s="2778"/>
      <c r="E67" s="1672"/>
      <c r="F67" s="1661">
        <f t="shared" si="2"/>
        <v>0</v>
      </c>
    </row>
    <row r="68" spans="1:7">
      <c r="C68" s="1667"/>
      <c r="D68" s="2778"/>
      <c r="E68" s="1520"/>
      <c r="F68" s="1438">
        <f>SUM(D68:E68)</f>
        <v>0</v>
      </c>
    </row>
    <row r="69" spans="1:7">
      <c r="C69" s="1423"/>
      <c r="D69" s="2778"/>
      <c r="E69" s="1520"/>
      <c r="F69" s="1437">
        <v>0</v>
      </c>
    </row>
    <row r="70" spans="1:7">
      <c r="C70" s="1488"/>
      <c r="D70" s="2779"/>
      <c r="E70" s="1490"/>
      <c r="F70" s="1493"/>
    </row>
    <row r="71" spans="1:7">
      <c r="C71" s="1451"/>
      <c r="D71" s="2771"/>
      <c r="E71" s="1464"/>
      <c r="F71" s="1462"/>
    </row>
    <row r="72" spans="1:7">
      <c r="C72" s="1500"/>
      <c r="D72" s="2781"/>
      <c r="E72" s="1496"/>
      <c r="F72" s="1499"/>
    </row>
    <row r="73" spans="1:7">
      <c r="C73" s="1501"/>
      <c r="D73" s="2782"/>
      <c r="E73" s="1497"/>
      <c r="F73" s="1498"/>
    </row>
    <row r="74" spans="1:7">
      <c r="C74" s="1494"/>
      <c r="D74" s="2778"/>
      <c r="E74" s="1503"/>
      <c r="F74" s="1491"/>
    </row>
  </sheetData>
  <customSheetViews>
    <customSheetView guid="{D9EFFE19-D14B-4C6F-BDF4-FF696F73968D}" showGridLines="0" fitToPage="1">
      <pane xSplit="1" ySplit="1" topLeftCell="B2" activePane="bottomRight" state="frozen"/>
      <selection pane="bottomRight" activeCell="C47" sqref="C47:E51"/>
      <pageMargins left="0.27" right="0.24" top="0.38" bottom="0.45" header="0.3" footer="0.3"/>
      <pageSetup paperSize="17" scale="61" orientation="landscape" r:id="rId1"/>
    </customSheetView>
    <customSheetView guid="{074EB09C-6289-46D7-9513-012B68BCA7BF}" showGridLines="0" fitToPage="1">
      <pane xSplit="1" ySplit="1" topLeftCell="B14" activePane="bottomRight" state="frozen"/>
      <selection pane="bottomRight" activeCell="E33" sqref="E33"/>
      <pageMargins left="0.27" right="0.24" top="0.38" bottom="0.45" header="0.3" footer="0.3"/>
      <pageSetup paperSize="17" scale="61" orientation="landscape" r:id="rId2"/>
    </customSheetView>
  </customSheetViews>
  <mergeCells count="1">
    <mergeCell ref="A34:A35"/>
  </mergeCells>
  <pageMargins left="0.27" right="0.24" top="0.38" bottom="0.45" header="0.3" footer="0.3"/>
  <pageSetup paperSize="3" scale="61" orientation="landscape" r:id="rId3"/>
  <drawing r:id="rId4"/>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FABF8F"/>
    <pageSetUpPr fitToPage="1"/>
  </sheetPr>
  <dimension ref="A1:R69"/>
  <sheetViews>
    <sheetView showGridLines="0" zoomScaleNormal="100" workbookViewId="0">
      <pane xSplit="1" ySplit="1" topLeftCell="B8" activePane="bottomRight" state="frozen"/>
      <selection pane="topRight" activeCell="B1" sqref="B1"/>
      <selection pane="bottomLeft" activeCell="A2" sqref="A2"/>
      <selection pane="bottomRight" activeCell="E18" sqref="E18"/>
    </sheetView>
  </sheetViews>
  <sheetFormatPr defaultRowHeight="12.75"/>
  <cols>
    <col min="1" max="1" width="18.140625" customWidth="1"/>
    <col min="2" max="2" width="16" style="1413" customWidth="1"/>
    <col min="3" max="3" width="29.140625" customWidth="1"/>
    <col min="4" max="4" width="20.85546875" style="1" customWidth="1"/>
    <col min="5" max="5" width="20.85546875" style="2" customWidth="1"/>
    <col min="6" max="10" width="18.85546875" customWidth="1"/>
    <col min="11" max="11" width="17.5703125" customWidth="1"/>
    <col min="12" max="12" width="19.7109375" customWidth="1"/>
    <col min="13" max="13" width="24.42578125" customWidth="1"/>
    <col min="14" max="14" width="19.42578125" customWidth="1"/>
    <col min="15" max="15" width="14.7109375" customWidth="1"/>
    <col min="16" max="16" width="16.85546875" customWidth="1"/>
    <col min="17" max="17" width="15.28515625" customWidth="1"/>
  </cols>
  <sheetData>
    <row r="1" spans="1:18" ht="57" customHeight="1">
      <c r="D1" s="1361" t="s">
        <v>30</v>
      </c>
      <c r="E1" s="1360" t="s">
        <v>22</v>
      </c>
      <c r="F1" s="1429">
        <v>18230732</v>
      </c>
      <c r="G1" s="1361" t="s">
        <v>28</v>
      </c>
      <c r="M1" s="1361" t="s">
        <v>30</v>
      </c>
      <c r="N1" s="1360" t="s">
        <v>22</v>
      </c>
      <c r="O1" s="1429">
        <v>18230732</v>
      </c>
      <c r="P1" s="1361" t="s">
        <v>28</v>
      </c>
    </row>
    <row r="2" spans="1:18" ht="19.5" customHeight="1" thickBot="1">
      <c r="D2" s="38"/>
      <c r="E2" s="1349"/>
      <c r="F2" s="1349"/>
      <c r="G2" s="1354"/>
      <c r="H2" s="1178" t="s">
        <v>627</v>
      </c>
      <c r="I2" s="1354"/>
      <c r="J2" s="1354"/>
      <c r="K2" s="1354"/>
      <c r="L2" s="1354"/>
      <c r="M2" s="1354"/>
      <c r="N2" s="1354"/>
      <c r="O2" s="1354"/>
      <c r="P2" s="1354"/>
      <c r="Q2" s="1354"/>
    </row>
    <row r="3" spans="1:18" ht="26.25" thickBot="1">
      <c r="A3" s="1357" t="s">
        <v>30</v>
      </c>
      <c r="B3" s="1357"/>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98"/>
      <c r="D4"/>
      <c r="E4" s="1413"/>
      <c r="F4" s="1413"/>
      <c r="G4" s="2946" t="s">
        <v>1726</v>
      </c>
      <c r="H4" s="2959">
        <f>D15</f>
        <v>28700</v>
      </c>
      <c r="I4" s="2960">
        <f>D21</f>
        <v>0</v>
      </c>
      <c r="J4" s="2960">
        <f>D27</f>
        <v>19142.900000000001</v>
      </c>
      <c r="K4" s="2960">
        <f>D37</f>
        <v>0</v>
      </c>
      <c r="L4" s="2960">
        <f>D43</f>
        <v>1300</v>
      </c>
      <c r="M4" s="2960">
        <f>D49</f>
        <v>2080</v>
      </c>
      <c r="N4" s="2960">
        <f>D55</f>
        <v>0</v>
      </c>
      <c r="O4" s="2960">
        <f>D61</f>
        <v>0</v>
      </c>
      <c r="P4" s="2960">
        <v>0</v>
      </c>
      <c r="Q4" s="2960"/>
      <c r="R4" s="2960">
        <f>SUM(H4:P4)</f>
        <v>51222.9</v>
      </c>
    </row>
    <row r="5" spans="1:18" ht="16.5" customHeight="1">
      <c r="A5" s="1429">
        <v>18230732</v>
      </c>
      <c r="E5" s="1355"/>
      <c r="F5" s="1355"/>
      <c r="G5" s="3205" t="s">
        <v>1753</v>
      </c>
      <c r="H5" s="2617">
        <v>29418</v>
      </c>
      <c r="I5" s="2618">
        <v>0</v>
      </c>
      <c r="J5" s="2618">
        <v>20004.240000000002</v>
      </c>
      <c r="K5" s="2618">
        <v>0</v>
      </c>
      <c r="L5" s="2618">
        <v>1300</v>
      </c>
      <c r="M5" s="2618">
        <v>2080</v>
      </c>
      <c r="N5" s="2618">
        <v>0</v>
      </c>
      <c r="O5" s="2618">
        <v>0</v>
      </c>
      <c r="P5" s="2618">
        <v>0</v>
      </c>
      <c r="Q5" s="2618"/>
      <c r="R5" s="2618">
        <v>52802.240000000005</v>
      </c>
    </row>
    <row r="6" spans="1:18" ht="16.5" thickBot="1">
      <c r="A6" s="1508" t="s">
        <v>28</v>
      </c>
      <c r="B6" s="1429"/>
      <c r="C6" s="943"/>
      <c r="D6"/>
      <c r="E6" s="1413"/>
      <c r="F6" s="1413"/>
      <c r="G6" s="3206" t="s">
        <v>1754</v>
      </c>
      <c r="H6" s="2621">
        <f>E15</f>
        <v>47488.75</v>
      </c>
      <c r="I6" s="2622">
        <f>E21</f>
        <v>0</v>
      </c>
      <c r="J6" s="2623">
        <f>E27</f>
        <v>32672.26</v>
      </c>
      <c r="K6" s="2622">
        <f>E37</f>
        <v>0</v>
      </c>
      <c r="L6" s="2622">
        <f>E43</f>
        <v>1300</v>
      </c>
      <c r="M6" s="2622">
        <f>E49</f>
        <v>2080</v>
      </c>
      <c r="N6" s="2622">
        <f>E55</f>
        <v>0</v>
      </c>
      <c r="O6" s="2622">
        <f>E61</f>
        <v>0</v>
      </c>
      <c r="P6" s="2622">
        <v>0</v>
      </c>
      <c r="Q6" s="2622"/>
      <c r="R6" s="2622">
        <f>SUM(H6:P6)</f>
        <v>83541.009999999995</v>
      </c>
    </row>
    <row r="7" spans="1:18" s="18" customFormat="1">
      <c r="B7" s="1309"/>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
      <c r="F9" s="2"/>
      <c r="G9"/>
      <c r="H9"/>
      <c r="I9"/>
      <c r="J9"/>
      <c r="K9"/>
      <c r="L9"/>
      <c r="M9"/>
      <c r="O9"/>
      <c r="P9" s="21" t="s">
        <v>18</v>
      </c>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51222.9</v>
      </c>
      <c r="E12" s="1484">
        <f>E15+E21+E27+E37+E43+E49+E55+E61</f>
        <v>83541.009999999995</v>
      </c>
      <c r="F12" s="1462">
        <f>D12+E12</f>
        <v>134763.91</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28700</v>
      </c>
      <c r="E15" s="1464">
        <f>SUM(E16:E19)</f>
        <v>47488.75</v>
      </c>
      <c r="F15" s="1462">
        <f>SUM(F16:F19)</f>
        <v>76188.75</v>
      </c>
      <c r="G15" s="29"/>
      <c r="H15" s="29"/>
    </row>
    <row r="16" spans="1:18" ht="13.5" customHeight="1">
      <c r="A16" s="21"/>
      <c r="B16" s="1982">
        <v>0.15</v>
      </c>
      <c r="C16" s="1667" t="s">
        <v>773</v>
      </c>
      <c r="D16" s="2772">
        <v>12300</v>
      </c>
      <c r="E16" s="1669">
        <v>12608</v>
      </c>
      <c r="F16" s="1426">
        <f>SUM(D16:E16)</f>
        <v>24908</v>
      </c>
    </row>
    <row r="17" spans="1:11" ht="13.5" customHeight="1">
      <c r="A17" s="21">
        <v>18230669</v>
      </c>
      <c r="B17" s="1982">
        <v>0.32</v>
      </c>
      <c r="C17" s="1667" t="s">
        <v>1541</v>
      </c>
      <c r="D17" s="2784">
        <v>16400</v>
      </c>
      <c r="E17" s="1668">
        <v>26475.75</v>
      </c>
      <c r="F17" s="1438">
        <f>SUM(D17:E17)</f>
        <v>42875.75</v>
      </c>
      <c r="G17" t="s">
        <v>1542</v>
      </c>
      <c r="J17" s="1246">
        <f>D17/D15</f>
        <v>0.5714285714285714</v>
      </c>
      <c r="K17" s="1246">
        <f>E17/E15</f>
        <v>0.55751625384959591</v>
      </c>
    </row>
    <row r="18" spans="1:11" ht="13.5" customHeight="1">
      <c r="A18" s="21"/>
      <c r="B18" s="1432">
        <v>0.1</v>
      </c>
      <c r="C18" s="1423" t="s">
        <v>2590</v>
      </c>
      <c r="D18" s="2784"/>
      <c r="E18" s="1447">
        <v>8405</v>
      </c>
      <c r="F18" s="1438">
        <f>SUM(D18:E18)</f>
        <v>8405</v>
      </c>
    </row>
    <row r="19" spans="1:11" ht="13.5" customHeight="1">
      <c r="A19" s="21"/>
      <c r="B19" s="1432"/>
      <c r="C19" s="1423"/>
      <c r="D19" s="2794"/>
      <c r="E19" s="1578"/>
      <c r="F19" s="1438">
        <f>SUM(D19:E19)</f>
        <v>0</v>
      </c>
    </row>
    <row r="20" spans="1:11" ht="13.5" customHeight="1">
      <c r="A20" s="21"/>
      <c r="B20" s="1449">
        <f>SUM(B16:B19)</f>
        <v>0.56999999999999995</v>
      </c>
      <c r="C20" s="1488"/>
      <c r="D20" s="2770"/>
      <c r="E20" s="1490"/>
      <c r="F20" s="1492"/>
    </row>
    <row r="21" spans="1:11" ht="13.5" customHeight="1">
      <c r="A21" s="21"/>
      <c r="B21" s="1412"/>
      <c r="C21" s="1451" t="s">
        <v>44</v>
      </c>
      <c r="D21" s="2771">
        <f>SUM(D22:D25)</f>
        <v>0</v>
      </c>
      <c r="E21" s="1464">
        <f>SUM(E22:E25)</f>
        <v>0</v>
      </c>
      <c r="F21" s="1462">
        <f>SUM(F22:F25)</f>
        <v>0</v>
      </c>
      <c r="G21" s="33" t="s">
        <v>6</v>
      </c>
    </row>
    <row r="22" spans="1:11" ht="13.5" customHeight="1">
      <c r="A22" s="21"/>
      <c r="B22" s="1412"/>
      <c r="C22" s="1423"/>
      <c r="D22" s="2772"/>
      <c r="E22" s="1448"/>
      <c r="F22" s="1426">
        <f>SUM(D22:E22)</f>
        <v>0</v>
      </c>
      <c r="G22" s="34"/>
    </row>
    <row r="23" spans="1:11" ht="13.5" customHeight="1">
      <c r="A23" s="21"/>
      <c r="B23" s="1412"/>
      <c r="C23" s="1423"/>
      <c r="D23" s="2773"/>
      <c r="E23" s="1444"/>
      <c r="F23" s="1438">
        <f>SUM(D23:E23)</f>
        <v>0</v>
      </c>
    </row>
    <row r="24" spans="1:11" ht="13.5" customHeight="1">
      <c r="A24" s="21"/>
      <c r="B24" s="1410"/>
      <c r="C24" s="1423"/>
      <c r="D24" s="2774"/>
      <c r="E24" s="1443"/>
      <c r="F24" s="1438">
        <f>SUM(D24:E24)</f>
        <v>0</v>
      </c>
    </row>
    <row r="25" spans="1:11" s="18" customFormat="1" ht="13.5" customHeight="1">
      <c r="A25" s="28"/>
      <c r="B25" s="1412"/>
      <c r="C25" s="1423"/>
      <c r="D25" s="2775"/>
      <c r="E25" s="1444"/>
      <c r="F25" s="1438">
        <f>SUM(D25:E25)</f>
        <v>0</v>
      </c>
    </row>
    <row r="26" spans="1:11" ht="13.5" customHeight="1">
      <c r="A26" s="21"/>
      <c r="B26" s="1410"/>
      <c r="C26" s="1424"/>
      <c r="D26" s="2776"/>
      <c r="E26" s="1431"/>
      <c r="F26" s="1439"/>
    </row>
    <row r="27" spans="1:11" s="18" customFormat="1" ht="13.5" customHeight="1">
      <c r="A27" s="28"/>
      <c r="B27" s="1412"/>
      <c r="C27" s="1451" t="s">
        <v>45</v>
      </c>
      <c r="D27" s="2771">
        <f>SUM(D29:D35)</f>
        <v>19142.900000000001</v>
      </c>
      <c r="E27" s="1657">
        <f>SUM(E29:E31)+SUM(E33:E35)</f>
        <v>32672.26</v>
      </c>
      <c r="F27" s="1462">
        <f>SUM(F29:F35)</f>
        <v>51815.16</v>
      </c>
    </row>
    <row r="28" spans="1:11" ht="13.5" customHeight="1">
      <c r="A28" s="21"/>
      <c r="B28" s="1412"/>
      <c r="C28" s="1450" t="s">
        <v>1733</v>
      </c>
      <c r="D28" s="2777">
        <v>0.66700000000000004</v>
      </c>
      <c r="E28" s="1452">
        <v>0.68799999999999994</v>
      </c>
      <c r="F28" s="1485"/>
    </row>
    <row r="29" spans="1:11" ht="13.5" customHeight="1">
      <c r="A29" s="21"/>
      <c r="B29" s="1412"/>
      <c r="C29" s="1667" t="s">
        <v>719</v>
      </c>
      <c r="D29" s="2778">
        <f>D15*D28</f>
        <v>19142.900000000001</v>
      </c>
      <c r="E29" s="1504">
        <f>E15*E28</f>
        <v>32672.26</v>
      </c>
      <c r="F29" s="1438">
        <f>SUM(D29:E29)</f>
        <v>51815.16</v>
      </c>
      <c r="J29" s="1907">
        <f>D29*J17</f>
        <v>10938.800000000001</v>
      </c>
      <c r="K29" s="1907">
        <f>E29*K17</f>
        <v>18215.315999999999</v>
      </c>
    </row>
    <row r="30" spans="1:11" ht="13.5" customHeight="1">
      <c r="A30" s="21"/>
      <c r="B30" s="1412"/>
      <c r="C30" s="1667" t="s">
        <v>720</v>
      </c>
      <c r="D30" s="2785">
        <f>D21*D28</f>
        <v>0</v>
      </c>
      <c r="E30" s="1504">
        <f>E21*E28</f>
        <v>0</v>
      </c>
      <c r="F30" s="1661">
        <f>SUM(D30:E30)</f>
        <v>0</v>
      </c>
    </row>
    <row r="31" spans="1:11" ht="13.5" customHeight="1">
      <c r="A31" s="21"/>
      <c r="B31" s="1412"/>
      <c r="C31" s="1667"/>
      <c r="D31" s="2774"/>
      <c r="E31" s="1443"/>
      <c r="F31" s="1661">
        <f>SUM(D31:E31)</f>
        <v>0</v>
      </c>
    </row>
    <row r="32" spans="1:11"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1392" t="s">
        <v>493</v>
      </c>
      <c r="B34" s="1412"/>
      <c r="C34" s="1667" t="s">
        <v>720</v>
      </c>
      <c r="D34" s="2785"/>
      <c r="E34" s="1641">
        <f>E21*E32</f>
        <v>0</v>
      </c>
      <c r="F34" s="1661">
        <f t="shared" ref="F34" si="0">SUM(D34:E34)</f>
        <v>0</v>
      </c>
      <c r="G34" s="37"/>
    </row>
    <row r="35" spans="1:7" ht="13.5" customHeight="1">
      <c r="A35" s="1392" t="s">
        <v>492</v>
      </c>
      <c r="B35" s="1410"/>
      <c r="C35" s="1445"/>
      <c r="D35" s="2775"/>
      <c r="E35" s="1444"/>
      <c r="F35" s="1661">
        <f>SUM(D35:E35)</f>
        <v>0</v>
      </c>
    </row>
    <row r="36" spans="1:7" s="18" customFormat="1" ht="13.5" customHeight="1">
      <c r="A36" s="1506" t="s">
        <v>22</v>
      </c>
      <c r="B36" s="1412"/>
      <c r="C36" s="1488"/>
      <c r="D36" s="2779"/>
      <c r="E36" s="1490"/>
      <c r="F36" s="1493"/>
    </row>
    <row r="37" spans="1:7" ht="13.5" customHeight="1">
      <c r="A37" s="1429">
        <v>18230732</v>
      </c>
      <c r="B37" s="1412"/>
      <c r="C37" s="1451" t="s">
        <v>46</v>
      </c>
      <c r="D37" s="2771">
        <v>0</v>
      </c>
      <c r="E37" s="1464">
        <v>0</v>
      </c>
      <c r="F37" s="1462">
        <v>0</v>
      </c>
    </row>
    <row r="38" spans="1:7" ht="13.5" customHeight="1">
      <c r="A38" s="1508" t="s">
        <v>28</v>
      </c>
      <c r="B38" s="1412"/>
      <c r="C38" s="1423"/>
      <c r="D38" s="2778"/>
      <c r="E38" s="1520"/>
      <c r="F38" s="1438">
        <v>0</v>
      </c>
    </row>
    <row r="39" spans="1:7" ht="13.5" customHeight="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1300</v>
      </c>
      <c r="E43" s="1464">
        <f>SUM(E44:E47)</f>
        <v>1300</v>
      </c>
      <c r="F43" s="1462">
        <f t="shared" ref="F43:F59" si="1">SUM(D43:E43)</f>
        <v>2600</v>
      </c>
    </row>
    <row r="44" spans="1:7" ht="13.5" customHeight="1">
      <c r="A44" s="21"/>
      <c r="B44" s="1412"/>
      <c r="C44" s="1667" t="s">
        <v>774</v>
      </c>
      <c r="D44" s="2778">
        <v>1300</v>
      </c>
      <c r="E44" s="1672">
        <v>1300</v>
      </c>
      <c r="F44" s="1438">
        <f t="shared" si="1"/>
        <v>2600</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2080</v>
      </c>
      <c r="E49" s="1464">
        <f>SUM(E50:E53)</f>
        <v>2080</v>
      </c>
      <c r="F49" s="1462">
        <f t="shared" si="1"/>
        <v>4160</v>
      </c>
    </row>
    <row r="50" spans="1:6" ht="13.5" customHeight="1">
      <c r="A50" s="21"/>
      <c r="B50" s="1412"/>
      <c r="C50" s="1667" t="s">
        <v>1543</v>
      </c>
      <c r="D50" s="2778">
        <v>2080</v>
      </c>
      <c r="E50" s="1672">
        <v>2080</v>
      </c>
      <c r="F50" s="1438">
        <f t="shared" si="1"/>
        <v>4160</v>
      </c>
    </row>
    <row r="51" spans="1:6" ht="13.5" customHeight="1">
      <c r="A51" s="21"/>
      <c r="B51" s="1412"/>
      <c r="C51" s="1667"/>
      <c r="D51" s="2778"/>
      <c r="E51" s="1672"/>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635"/>
      <c r="D56" s="2778"/>
      <c r="E56" s="1504"/>
      <c r="F56" s="1438">
        <f t="shared" si="1"/>
        <v>0</v>
      </c>
    </row>
    <row r="57" spans="1:6" ht="13.5" customHeight="1">
      <c r="A57" s="21"/>
      <c r="B57" s="1412"/>
      <c r="C57" s="1635"/>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ht="13.5" customHeight="1">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pageMargins left="0.39" right="0.21" top="0.32" bottom="0.35"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3" sqref="E33"/>
      <pageMargins left="0.39" right="0.21" top="0.32" bottom="0.35" header="0.3" footer="0.3"/>
      <pageSetup paperSize="17" scale="61" orientation="landscape" r:id="rId2"/>
    </customSheetView>
  </customSheetViews>
  <pageMargins left="0.39" right="0.21" top="0.32" bottom="0.35" header="0.3" footer="0.3"/>
  <pageSetup paperSize="3" scale="64" orientation="landscape" r:id="rId3"/>
  <drawing r:id="rId4"/>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rgb="FFFABF8F"/>
    <pageSetUpPr fitToPage="1"/>
  </sheetPr>
  <dimension ref="A1:R69"/>
  <sheetViews>
    <sheetView showGridLines="0" zoomScaleNormal="100" workbookViewId="0">
      <pane xSplit="1" ySplit="1" topLeftCell="B14" activePane="bottomRight" state="frozen"/>
      <selection pane="topRight" activeCell="B1" sqref="B1"/>
      <selection pane="bottomLeft" activeCell="A2" sqref="A2"/>
      <selection pane="bottomRight" activeCell="G4" sqref="G4:G6"/>
    </sheetView>
  </sheetViews>
  <sheetFormatPr defaultColWidth="9.140625" defaultRowHeight="12.75"/>
  <cols>
    <col min="1" max="1" width="17.85546875" style="1537" customWidth="1"/>
    <col min="2" max="2" width="16" style="1537" customWidth="1"/>
    <col min="3" max="3" width="29.140625" style="1537" customWidth="1"/>
    <col min="4" max="4" width="20.85546875" style="1536" customWidth="1"/>
    <col min="5" max="5" width="20.85546875" style="1339" customWidth="1"/>
    <col min="6" max="10" width="18.85546875" style="1537" customWidth="1"/>
    <col min="11" max="11" width="17.5703125" style="1537" customWidth="1"/>
    <col min="12" max="12" width="18.42578125" style="1537" customWidth="1"/>
    <col min="13" max="13" width="24.42578125" style="1537" customWidth="1"/>
    <col min="14" max="14" width="19.42578125" style="1537" customWidth="1"/>
    <col min="15" max="15" width="14.7109375" style="1537" customWidth="1"/>
    <col min="16" max="16" width="16.85546875" style="1537" customWidth="1"/>
    <col min="17" max="17" width="15.28515625" style="1537" customWidth="1"/>
    <col min="18" max="16384" width="9.140625" style="1537"/>
  </cols>
  <sheetData>
    <row r="1" spans="1:18" ht="57" customHeight="1">
      <c r="D1" s="1392" t="s">
        <v>1530</v>
      </c>
      <c r="E1" s="1360" t="s">
        <v>22</v>
      </c>
      <c r="F1" s="1429">
        <v>18230667</v>
      </c>
      <c r="G1" s="1361" t="s">
        <v>28</v>
      </c>
      <c r="M1" s="1392" t="s">
        <v>1530</v>
      </c>
      <c r="N1" s="1360" t="s">
        <v>22</v>
      </c>
      <c r="O1" s="1429">
        <v>18230667</v>
      </c>
      <c r="P1" s="1361" t="s">
        <v>28</v>
      </c>
    </row>
    <row r="2" spans="1:18" ht="19.5" customHeight="1" thickBot="1">
      <c r="D2" s="1349"/>
      <c r="E2" s="1349"/>
      <c r="F2" s="1349"/>
      <c r="G2" s="1354"/>
      <c r="H2" s="1178" t="s">
        <v>627</v>
      </c>
      <c r="I2" s="1354"/>
      <c r="J2" s="1354"/>
      <c r="K2" s="1354"/>
      <c r="L2" s="1354"/>
      <c r="M2" s="1354"/>
      <c r="N2" s="1354"/>
      <c r="O2" s="1354"/>
      <c r="P2" s="1354"/>
      <c r="Q2" s="1354"/>
    </row>
    <row r="3" spans="1:18" ht="26.25" thickBot="1">
      <c r="A3" s="1392"/>
      <c r="B3" s="1559"/>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39.75" thickBot="1">
      <c r="A4" s="1392" t="s">
        <v>1530</v>
      </c>
      <c r="B4" s="1298"/>
      <c r="D4" s="1537"/>
      <c r="E4" s="1537"/>
      <c r="G4" s="2946" t="s">
        <v>1726</v>
      </c>
      <c r="H4" s="2959">
        <f>D15</f>
        <v>9327.94</v>
      </c>
      <c r="I4" s="2960">
        <f>D21</f>
        <v>500</v>
      </c>
      <c r="J4" s="2960">
        <f>D27</f>
        <v>6555.2359800000004</v>
      </c>
      <c r="K4" s="2960">
        <f>D37</f>
        <v>0</v>
      </c>
      <c r="L4" s="2960">
        <f>D43</f>
        <v>700</v>
      </c>
      <c r="M4" s="2960">
        <f>D49</f>
        <v>2600</v>
      </c>
      <c r="N4" s="2960">
        <f>D55</f>
        <v>0</v>
      </c>
      <c r="O4" s="2960">
        <f>D61</f>
        <v>0</v>
      </c>
      <c r="P4" s="2960">
        <v>0</v>
      </c>
      <c r="Q4" s="2960"/>
      <c r="R4" s="2979">
        <f>SUM(H4:P4)</f>
        <v>19683.17598</v>
      </c>
    </row>
    <row r="5" spans="1:18" ht="16.5" customHeight="1">
      <c r="A5" s="1663"/>
      <c r="B5" s="1298"/>
      <c r="E5" s="1536"/>
      <c r="F5" s="1536"/>
      <c r="G5" s="3205" t="s">
        <v>1753</v>
      </c>
      <c r="H5" s="2617">
        <v>9561.1200000000008</v>
      </c>
      <c r="I5" s="2618">
        <v>500</v>
      </c>
      <c r="J5" s="2618">
        <v>6841.5616000000009</v>
      </c>
      <c r="K5" s="2618">
        <v>0</v>
      </c>
      <c r="L5" s="2618">
        <v>700</v>
      </c>
      <c r="M5" s="2618">
        <v>2600</v>
      </c>
      <c r="N5" s="2618">
        <v>0</v>
      </c>
      <c r="O5" s="2618">
        <v>0</v>
      </c>
      <c r="P5" s="2618">
        <v>0</v>
      </c>
      <c r="Q5" s="2618"/>
      <c r="R5" s="2735">
        <v>20202.681600000004</v>
      </c>
    </row>
    <row r="6" spans="1:18" ht="16.5" thickBot="1">
      <c r="A6" s="1506" t="s">
        <v>22</v>
      </c>
      <c r="B6" s="1429"/>
      <c r="C6" s="1352"/>
      <c r="D6" s="1537"/>
      <c r="E6" s="1537"/>
      <c r="G6" s="3206" t="s">
        <v>1754</v>
      </c>
      <c r="H6" s="2621">
        <f>E15</f>
        <v>9561.1200000000008</v>
      </c>
      <c r="I6" s="2622">
        <f>E21</f>
        <v>500</v>
      </c>
      <c r="J6" s="2623">
        <f>E27</f>
        <v>9034.8857599999992</v>
      </c>
      <c r="K6" s="2622">
        <f>E37</f>
        <v>0</v>
      </c>
      <c r="L6" s="2622">
        <f>E43</f>
        <v>700</v>
      </c>
      <c r="M6" s="2622">
        <f>E49</f>
        <v>2600</v>
      </c>
      <c r="N6" s="2622">
        <f>E55</f>
        <v>0</v>
      </c>
      <c r="O6" s="2622">
        <f>E61</f>
        <v>0</v>
      </c>
      <c r="P6" s="2622">
        <v>0</v>
      </c>
      <c r="Q6" s="2622"/>
      <c r="R6" s="2760">
        <f>SUM(H6:P6)</f>
        <v>22396.00576</v>
      </c>
    </row>
    <row r="7" spans="1:18" s="1409" customFormat="1">
      <c r="A7" s="1429">
        <v>18230667</v>
      </c>
      <c r="B7" s="1309"/>
      <c r="G7" s="2733"/>
      <c r="H7" s="2607"/>
      <c r="I7" s="2607"/>
      <c r="J7" s="2607"/>
      <c r="K7" s="2607"/>
      <c r="L7" s="2607"/>
      <c r="M7" s="2607"/>
      <c r="N7" s="2607"/>
      <c r="O7" s="2607"/>
      <c r="P7" s="2607"/>
      <c r="Q7" s="2607"/>
      <c r="R7" s="2607"/>
    </row>
    <row r="8" spans="1:18" s="1409" customFormat="1" ht="25.5">
      <c r="A8" s="1508" t="s">
        <v>28</v>
      </c>
      <c r="B8" s="1559"/>
      <c r="G8" s="1536"/>
      <c r="H8" s="1339"/>
      <c r="I8" s="1537"/>
      <c r="J8" s="1537"/>
      <c r="K8" s="1537"/>
      <c r="L8" s="1537"/>
      <c r="M8" s="1537"/>
      <c r="N8" s="1537"/>
      <c r="O8" s="1537"/>
      <c r="P8" s="1412" t="s">
        <v>17</v>
      </c>
      <c r="Q8" s="1537"/>
    </row>
    <row r="9" spans="1:18" s="1409" customFormat="1">
      <c r="A9" s="1410"/>
      <c r="B9" s="1410"/>
      <c r="E9" s="1536"/>
      <c r="F9" s="1339"/>
      <c r="G9" s="1537"/>
      <c r="H9" s="1537"/>
      <c r="I9" s="1537"/>
      <c r="J9" s="1537"/>
      <c r="K9" s="1537"/>
      <c r="L9" s="1537"/>
      <c r="M9" s="1537"/>
      <c r="O9" s="1537"/>
      <c r="P9" s="1412" t="s">
        <v>18</v>
      </c>
    </row>
    <row r="10" spans="1:18" s="1538" customFormat="1">
      <c r="A10" s="1412"/>
      <c r="B10" s="1412"/>
      <c r="C10" s="1454" t="s">
        <v>310</v>
      </c>
      <c r="D10" s="1454"/>
      <c r="E10" s="1454"/>
      <c r="F10" s="1454"/>
    </row>
    <row r="11" spans="1:18" ht="18" customHeight="1">
      <c r="A11" s="1412"/>
      <c r="B11" s="1412"/>
      <c r="D11" s="1537"/>
      <c r="E11" s="1538"/>
    </row>
    <row r="12" spans="1:18">
      <c r="A12" s="1412"/>
      <c r="B12" s="1412"/>
      <c r="C12" s="1434" t="s">
        <v>298</v>
      </c>
      <c r="D12" s="2766">
        <f>D15+D21+D27+D37+D43+D49+D55+D61</f>
        <v>19683.17598</v>
      </c>
      <c r="E12" s="1484">
        <f>E15+E21+E27+E37+E43+E49+E55+E61</f>
        <v>22396.00576</v>
      </c>
      <c r="F12" s="1462">
        <f>D12+E12</f>
        <v>42079.18174</v>
      </c>
    </row>
    <row r="13" spans="1:18" ht="13.5" customHeight="1">
      <c r="A13" s="1412"/>
      <c r="B13" s="1410"/>
      <c r="C13" s="1483"/>
      <c r="D13" s="2767"/>
      <c r="E13" s="1336"/>
      <c r="G13" s="1351"/>
      <c r="H13" s="1351"/>
    </row>
    <row r="14" spans="1:18" s="1409" customFormat="1" ht="13.5" customHeight="1">
      <c r="A14" s="1410"/>
      <c r="B14" s="1410"/>
      <c r="C14" s="1435" t="s">
        <v>42</v>
      </c>
      <c r="D14" s="2768">
        <v>2016</v>
      </c>
      <c r="E14" s="1502">
        <v>2017</v>
      </c>
      <c r="F14" s="1486" t="s">
        <v>20</v>
      </c>
      <c r="G14" s="1345"/>
      <c r="H14" s="1345"/>
    </row>
    <row r="15" spans="1:18" s="1409" customFormat="1" ht="13.5" customHeight="1">
      <c r="A15" s="1410"/>
      <c r="B15" s="1433" t="s">
        <v>296</v>
      </c>
      <c r="C15" s="1451" t="s">
        <v>43</v>
      </c>
      <c r="D15" s="2771">
        <f>SUM(D16:D19)</f>
        <v>9327.94</v>
      </c>
      <c r="E15" s="1464">
        <f>SUM(E16:E19)</f>
        <v>9561.1200000000008</v>
      </c>
      <c r="F15" s="1462">
        <f>SUM(F16:F19)</f>
        <v>18889.060000000001</v>
      </c>
      <c r="G15" s="1345"/>
      <c r="H15" s="1345"/>
    </row>
    <row r="16" spans="1:18" ht="13.5" customHeight="1">
      <c r="A16" s="1412"/>
      <c r="B16" s="1432">
        <v>0.13</v>
      </c>
      <c r="C16" s="1423" t="s">
        <v>744</v>
      </c>
      <c r="D16" s="2772">
        <v>9327.94</v>
      </c>
      <c r="E16" s="1448">
        <v>9561.1200000000008</v>
      </c>
      <c r="F16" s="1426">
        <f>SUM(D16:E16)</f>
        <v>18889.060000000001</v>
      </c>
    </row>
    <row r="17" spans="1:7">
      <c r="A17" s="1412"/>
      <c r="B17" s="1432"/>
      <c r="C17" s="1423"/>
      <c r="D17" s="2784"/>
      <c r="E17" s="1447"/>
      <c r="F17" s="1438">
        <f>SUM(D17:E17)</f>
        <v>0</v>
      </c>
    </row>
    <row r="18" spans="1:7">
      <c r="A18" s="1412"/>
      <c r="B18" s="1432"/>
      <c r="C18" s="1423"/>
      <c r="D18" s="2784"/>
      <c r="E18" s="1447"/>
      <c r="F18" s="1438">
        <f>SUM(D18:E18)</f>
        <v>0</v>
      </c>
    </row>
    <row r="19" spans="1:7">
      <c r="A19" s="1412"/>
      <c r="B19" s="1432"/>
      <c r="C19" s="1423"/>
      <c r="D19" s="2794"/>
      <c r="E19" s="1578"/>
      <c r="F19" s="1438">
        <f>SUM(D19:E19)</f>
        <v>0</v>
      </c>
    </row>
    <row r="20" spans="1:7">
      <c r="A20" s="1412"/>
      <c r="B20" s="1449">
        <f>SUM(B16:B19)</f>
        <v>0.13</v>
      </c>
      <c r="C20" s="1488"/>
      <c r="D20" s="2770"/>
      <c r="E20" s="1490"/>
      <c r="F20" s="1492"/>
    </row>
    <row r="21" spans="1:7">
      <c r="A21" s="1412"/>
      <c r="B21" s="1412"/>
      <c r="C21" s="1451" t="s">
        <v>44</v>
      </c>
      <c r="D21" s="2771">
        <f>SUM(D22:D25)</f>
        <v>500</v>
      </c>
      <c r="E21" s="1464">
        <f>SUM(E22:E25)</f>
        <v>500</v>
      </c>
      <c r="F21" s="1462">
        <f>SUM(F22:F25)</f>
        <v>1000</v>
      </c>
      <c r="G21" s="1346" t="s">
        <v>6</v>
      </c>
    </row>
    <row r="22" spans="1:7">
      <c r="A22" s="1412"/>
      <c r="B22" s="1412"/>
      <c r="C22" s="1423"/>
      <c r="D22" s="2772">
        <v>500</v>
      </c>
      <c r="E22" s="1448">
        <v>500</v>
      </c>
      <c r="F22" s="1426">
        <f>SUM(D22:E22)</f>
        <v>1000</v>
      </c>
      <c r="G22" s="1347"/>
    </row>
    <row r="23" spans="1:7">
      <c r="A23" s="1412"/>
      <c r="B23" s="1412"/>
      <c r="C23" s="1423"/>
      <c r="D23" s="2773"/>
      <c r="E23" s="1444"/>
      <c r="F23" s="1438">
        <f>SUM(D23:E23)</f>
        <v>0</v>
      </c>
    </row>
    <row r="24" spans="1:7">
      <c r="A24" s="1412"/>
      <c r="B24" s="1410"/>
      <c r="C24" s="1423"/>
      <c r="D24" s="2774"/>
      <c r="E24" s="1443"/>
      <c r="F24" s="1438">
        <f>SUM(D24:E24)</f>
        <v>0</v>
      </c>
    </row>
    <row r="25" spans="1:7" s="1409" customFormat="1">
      <c r="A25" s="1410"/>
      <c r="B25" s="1412"/>
      <c r="C25" s="1423"/>
      <c r="D25" s="2775"/>
      <c r="E25" s="1444"/>
      <c r="F25" s="1438">
        <f>SUM(D25:E25)</f>
        <v>0</v>
      </c>
    </row>
    <row r="26" spans="1:7">
      <c r="A26" s="1412"/>
      <c r="B26" s="1410"/>
      <c r="C26" s="1424"/>
      <c r="D26" s="2776"/>
      <c r="E26" s="1431"/>
      <c r="F26" s="1439"/>
    </row>
    <row r="27" spans="1:7" s="1409" customFormat="1">
      <c r="A27" s="1410"/>
      <c r="B27" s="1412"/>
      <c r="C27" s="1451" t="s">
        <v>45</v>
      </c>
      <c r="D27" s="2771">
        <f>SUM(D29:D35)</f>
        <v>6555.2359800000004</v>
      </c>
      <c r="E27" s="1657">
        <f>SUM(E29:E31)+SUM(E33:E35)</f>
        <v>9034.8857599999992</v>
      </c>
      <c r="F27" s="1462">
        <f>SUM(F29:F35)</f>
        <v>15590.121740000001</v>
      </c>
    </row>
    <row r="28" spans="1:7">
      <c r="A28" s="1412"/>
      <c r="B28" s="1412"/>
      <c r="C28" s="1450" t="s">
        <v>1733</v>
      </c>
      <c r="D28" s="2777">
        <v>0.66700000000000004</v>
      </c>
      <c r="E28" s="1452">
        <v>0.68799999999999994</v>
      </c>
      <c r="F28" s="1485"/>
    </row>
    <row r="29" spans="1:7">
      <c r="A29" s="1412"/>
      <c r="B29" s="1412"/>
      <c r="C29" s="1667" t="s">
        <v>719</v>
      </c>
      <c r="D29" s="2778">
        <f>D15*D28</f>
        <v>6221.7359800000004</v>
      </c>
      <c r="E29" s="1504">
        <f>E15*E28</f>
        <v>6578.0505599999997</v>
      </c>
      <c r="F29" s="1438">
        <f>SUM(D29:E29)</f>
        <v>12799.786540000001</v>
      </c>
    </row>
    <row r="30" spans="1:7">
      <c r="A30" s="1412"/>
      <c r="B30" s="1412"/>
      <c r="C30" s="1667" t="s">
        <v>720</v>
      </c>
      <c r="D30" s="2785">
        <f>D21*D28</f>
        <v>333.5</v>
      </c>
      <c r="E30" s="1504">
        <f>E21*E28</f>
        <v>344</v>
      </c>
      <c r="F30" s="1661">
        <f>SUM(D30:E30)</f>
        <v>677.5</v>
      </c>
    </row>
    <row r="31" spans="1:7">
      <c r="A31" s="1412"/>
      <c r="B31" s="1412"/>
      <c r="C31" s="1667"/>
      <c r="D31" s="2774"/>
      <c r="E31" s="1443"/>
      <c r="F31" s="1661">
        <f>SUM(D31:E31)</f>
        <v>0</v>
      </c>
    </row>
    <row r="32" spans="1:7">
      <c r="A32" s="1412"/>
      <c r="B32" s="1412"/>
      <c r="C32" s="1450" t="s">
        <v>1734</v>
      </c>
      <c r="D32" s="2777"/>
      <c r="E32" s="1452">
        <v>0.21</v>
      </c>
      <c r="F32" s="1485"/>
    </row>
    <row r="33" spans="1:7">
      <c r="A33" s="1412"/>
      <c r="B33" s="1350"/>
      <c r="C33" s="1667" t="s">
        <v>719</v>
      </c>
      <c r="D33" s="2778"/>
      <c r="E33" s="1641">
        <f>E15*E32</f>
        <v>2007.8352</v>
      </c>
      <c r="F33" s="1661">
        <f>SUM(D33:E33)</f>
        <v>2007.8352</v>
      </c>
    </row>
    <row r="34" spans="1:7">
      <c r="A34" s="1350"/>
      <c r="B34" s="1412"/>
      <c r="C34" s="1667" t="s">
        <v>720</v>
      </c>
      <c r="D34" s="2785"/>
      <c r="E34" s="1641">
        <f>E21*E32</f>
        <v>105</v>
      </c>
      <c r="F34" s="1661">
        <f t="shared" ref="F34" si="0">SUM(D34:E34)</f>
        <v>105</v>
      </c>
      <c r="G34" s="1348"/>
    </row>
    <row r="35" spans="1:7" ht="38.25">
      <c r="A35" s="1392" t="s">
        <v>1530</v>
      </c>
      <c r="B35" s="1410"/>
      <c r="C35" s="1445"/>
      <c r="D35" s="2775"/>
      <c r="E35" s="1444"/>
      <c r="F35" s="1661">
        <f>SUM(D35:E35)</f>
        <v>0</v>
      </c>
    </row>
    <row r="36" spans="1:7" s="1409" customFormat="1">
      <c r="A36" s="1506" t="s">
        <v>22</v>
      </c>
      <c r="B36" s="1412"/>
      <c r="C36" s="1488"/>
      <c r="D36" s="2779"/>
      <c r="E36" s="1490"/>
      <c r="F36" s="1493"/>
    </row>
    <row r="37" spans="1:7">
      <c r="A37" s="1429">
        <v>18230667</v>
      </c>
      <c r="B37" s="1412"/>
      <c r="C37" s="1451" t="s">
        <v>46</v>
      </c>
      <c r="D37" s="2771">
        <v>0</v>
      </c>
      <c r="E37" s="1464">
        <v>0</v>
      </c>
      <c r="F37" s="1462">
        <v>0</v>
      </c>
    </row>
    <row r="38" spans="1:7">
      <c r="A38" s="1508" t="s">
        <v>28</v>
      </c>
      <c r="B38" s="1412"/>
      <c r="C38" s="1423"/>
      <c r="D38" s="2778"/>
      <c r="E38" s="1520"/>
      <c r="F38" s="1438">
        <v>0</v>
      </c>
    </row>
    <row r="39" spans="1:7">
      <c r="A39" s="1429"/>
      <c r="B39" s="1412"/>
      <c r="C39" s="1423"/>
      <c r="D39" s="2778"/>
      <c r="E39" s="1520"/>
      <c r="F39" s="1438">
        <v>0</v>
      </c>
    </row>
    <row r="40" spans="1:7">
      <c r="A40" s="1508"/>
      <c r="B40" s="1412"/>
      <c r="C40" s="1423"/>
      <c r="D40" s="2778"/>
      <c r="E40" s="1520"/>
      <c r="F40" s="1438">
        <v>0</v>
      </c>
    </row>
    <row r="41" spans="1:7">
      <c r="A41" s="1412"/>
      <c r="B41" s="1412"/>
      <c r="C41" s="1423"/>
      <c r="D41" s="2778"/>
      <c r="E41" s="1520"/>
      <c r="F41" s="1438">
        <v>0</v>
      </c>
    </row>
    <row r="42" spans="1:7">
      <c r="A42" s="1412"/>
      <c r="B42" s="1412"/>
      <c r="C42" s="1488"/>
      <c r="D42" s="2779"/>
      <c r="E42" s="1490"/>
      <c r="F42" s="1493"/>
    </row>
    <row r="43" spans="1:7">
      <c r="A43" s="1412"/>
      <c r="B43" s="1412"/>
      <c r="C43" s="1597" t="s">
        <v>483</v>
      </c>
      <c r="D43" s="2771">
        <f>SUM(D44:D47)</f>
        <v>700</v>
      </c>
      <c r="E43" s="1464">
        <f>SUM(E44:E47)</f>
        <v>700</v>
      </c>
      <c r="F43" s="1462">
        <f t="shared" ref="F43:F59" si="1">SUM(D43:E43)</f>
        <v>1400</v>
      </c>
    </row>
    <row r="44" spans="1:7">
      <c r="A44" s="1412"/>
      <c r="B44" s="1412"/>
      <c r="C44" s="1654"/>
      <c r="D44" s="2778">
        <v>700</v>
      </c>
      <c r="E44" s="1520">
        <v>700</v>
      </c>
      <c r="F44" s="1438">
        <f t="shared" si="1"/>
        <v>1400</v>
      </c>
    </row>
    <row r="45" spans="1:7">
      <c r="A45" s="1412"/>
      <c r="B45" s="1412"/>
      <c r="C45" s="1423"/>
      <c r="D45" s="2778"/>
      <c r="E45" s="1520"/>
      <c r="F45" s="1438">
        <f t="shared" si="1"/>
        <v>0</v>
      </c>
    </row>
    <row r="46" spans="1:7">
      <c r="A46" s="1412"/>
      <c r="B46" s="1412"/>
      <c r="C46" s="1423"/>
      <c r="D46" s="2778"/>
      <c r="E46" s="1520"/>
      <c r="F46" s="1438">
        <f t="shared" si="1"/>
        <v>0</v>
      </c>
    </row>
    <row r="47" spans="1:7">
      <c r="A47" s="1412"/>
      <c r="B47" s="1412"/>
      <c r="C47" s="1423"/>
      <c r="D47" s="2778"/>
      <c r="E47" s="1520"/>
      <c r="F47" s="1438">
        <f t="shared" si="1"/>
        <v>0</v>
      </c>
    </row>
    <row r="48" spans="1:7">
      <c r="A48" s="1412"/>
      <c r="B48" s="1412"/>
      <c r="C48" s="1488"/>
      <c r="D48" s="2779"/>
      <c r="E48" s="1490"/>
      <c r="F48" s="1493"/>
    </row>
    <row r="49" spans="1:6">
      <c r="A49" s="1412"/>
      <c r="B49" s="1412"/>
      <c r="C49" s="1451" t="s">
        <v>47</v>
      </c>
      <c r="D49" s="2771">
        <f>SUM(D50:D53)</f>
        <v>2600</v>
      </c>
      <c r="E49" s="1464">
        <f>SUM(E50:E53)</f>
        <v>2600</v>
      </c>
      <c r="F49" s="1462">
        <f t="shared" si="1"/>
        <v>5200</v>
      </c>
    </row>
    <row r="50" spans="1:6">
      <c r="A50" s="1412"/>
      <c r="B50" s="1412"/>
      <c r="C50" s="1667" t="s">
        <v>1508</v>
      </c>
      <c r="D50" s="2778">
        <v>2600</v>
      </c>
      <c r="E50" s="1672">
        <v>2600</v>
      </c>
      <c r="F50" s="1438">
        <f t="shared" si="1"/>
        <v>5200</v>
      </c>
    </row>
    <row r="51" spans="1:6">
      <c r="A51" s="1412"/>
      <c r="B51" s="1412"/>
      <c r="C51" s="1654"/>
      <c r="D51" s="2778"/>
      <c r="E51" s="1520"/>
      <c r="F51" s="1438">
        <f t="shared" si="1"/>
        <v>0</v>
      </c>
    </row>
    <row r="52" spans="1:6">
      <c r="A52" s="1412"/>
      <c r="B52" s="1412"/>
      <c r="C52" s="1423"/>
      <c r="D52" s="2778"/>
      <c r="E52" s="1520"/>
      <c r="F52" s="1438">
        <f t="shared" si="1"/>
        <v>0</v>
      </c>
    </row>
    <row r="53" spans="1:6">
      <c r="A53" s="1412"/>
      <c r="B53" s="1412"/>
      <c r="C53" s="1423"/>
      <c r="D53" s="2778"/>
      <c r="E53" s="1520"/>
      <c r="F53" s="1438">
        <f t="shared" si="1"/>
        <v>0</v>
      </c>
    </row>
    <row r="54" spans="1:6">
      <c r="A54" s="1412"/>
      <c r="B54" s="1412"/>
      <c r="C54" s="1488"/>
      <c r="D54" s="2779"/>
      <c r="E54" s="1490"/>
      <c r="F54" s="1493"/>
    </row>
    <row r="55" spans="1:6">
      <c r="A55" s="1412"/>
      <c r="B55" s="1412"/>
      <c r="C55" s="1451" t="s">
        <v>48</v>
      </c>
      <c r="D55" s="2771">
        <f>SUM(D56:D59)</f>
        <v>0</v>
      </c>
      <c r="E55" s="1464">
        <f>SUM(E56:E59)</f>
        <v>0</v>
      </c>
      <c r="F55" s="1462">
        <f t="shared" si="1"/>
        <v>0</v>
      </c>
    </row>
    <row r="56" spans="1:6">
      <c r="A56" s="1412"/>
      <c r="B56" s="1412"/>
      <c r="C56" s="1654"/>
      <c r="D56" s="2778"/>
      <c r="E56" s="1504"/>
      <c r="F56" s="1438">
        <f t="shared" si="1"/>
        <v>0</v>
      </c>
    </row>
    <row r="57" spans="1:6">
      <c r="A57" s="1412"/>
      <c r="B57" s="1412"/>
      <c r="C57" s="1654"/>
      <c r="D57" s="2778"/>
      <c r="E57" s="1504"/>
      <c r="F57" s="1438">
        <f t="shared" si="1"/>
        <v>0</v>
      </c>
    </row>
    <row r="58" spans="1:6">
      <c r="A58" s="1412"/>
      <c r="B58" s="1412"/>
      <c r="C58" s="1423"/>
      <c r="D58" s="2778"/>
      <c r="E58" s="1504"/>
      <c r="F58" s="1438">
        <f t="shared" si="1"/>
        <v>0</v>
      </c>
    </row>
    <row r="59" spans="1:6">
      <c r="A59" s="1412"/>
      <c r="B59" s="1412"/>
      <c r="C59" s="1423"/>
      <c r="D59" s="2778"/>
      <c r="E59" s="1504"/>
      <c r="F59" s="1438">
        <f t="shared" si="1"/>
        <v>0</v>
      </c>
    </row>
    <row r="60" spans="1:6">
      <c r="A60" s="1412"/>
      <c r="B60" s="1412"/>
      <c r="C60" s="1488"/>
      <c r="D60" s="2779"/>
      <c r="E60" s="1490"/>
      <c r="F60" s="1493"/>
    </row>
    <row r="61" spans="1:6">
      <c r="A61" s="1412"/>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pageMargins left="0.32" right="0.21" top="0.39" bottom="0.35" header="0.3" footer="0.3"/>
      <pageSetup paperSize="3" scale="62" orientation="landscape" r:id="rId1"/>
    </customSheetView>
    <customSheetView guid="{074EB09C-6289-46D7-9513-012B68BCA7BF}" showGridLines="0" fitToPage="1">
      <pane xSplit="1" ySplit="1" topLeftCell="B14" activePane="bottomRight" state="frozen"/>
      <selection pane="bottomRight" activeCell="G4" sqref="G4:G6"/>
      <pageMargins left="0.32" right="0.21" top="0.39" bottom="0.35" header="0.3" footer="0.3"/>
      <pageSetup paperSize="3" scale="62" orientation="landscape" r:id="rId2"/>
    </customSheetView>
  </customSheetViews>
  <pageMargins left="0.32" right="0.21" top="0.39" bottom="0.35" header="0.3" footer="0.3"/>
  <pageSetup paperSize="3" scale="64" orientation="landscape" r:id="rId3"/>
  <drawing r:id="rId4"/>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ABF8F"/>
  </sheetPr>
  <dimension ref="A1:R69"/>
  <sheetViews>
    <sheetView showGridLines="0" workbookViewId="0">
      <pane xSplit="1" ySplit="1" topLeftCell="B2" activePane="bottomRight" state="frozen"/>
      <selection pane="topRight" activeCell="B1" sqref="B1"/>
      <selection pane="bottomLeft" activeCell="A2" sqref="A2"/>
      <selection pane="bottomRight" activeCell="I26" sqref="I26"/>
    </sheetView>
  </sheetViews>
  <sheetFormatPr defaultColWidth="9.140625" defaultRowHeight="12.75"/>
  <cols>
    <col min="1" max="1" width="18"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8" width="10.140625" style="1652" bestFit="1" customWidth="1"/>
    <col min="19" max="16384" width="9.140625" style="1652"/>
  </cols>
  <sheetData>
    <row r="1" spans="1:18" ht="55.5" customHeight="1">
      <c r="D1" s="1380" t="s">
        <v>610</v>
      </c>
      <c r="E1" s="1360" t="s">
        <v>22</v>
      </c>
      <c r="F1" s="1429">
        <v>18230659</v>
      </c>
      <c r="G1" s="1361" t="s">
        <v>28</v>
      </c>
      <c r="M1" s="1380" t="s">
        <v>610</v>
      </c>
      <c r="N1" s="1360" t="s">
        <v>22</v>
      </c>
      <c r="O1" s="1429">
        <v>18230659</v>
      </c>
      <c r="P1" s="1361" t="s">
        <v>28</v>
      </c>
    </row>
    <row r="2" spans="1:18" ht="16.5" thickBot="1">
      <c r="D2" s="1349"/>
      <c r="E2" s="1349"/>
      <c r="F2" s="1349"/>
      <c r="G2" s="1354"/>
      <c r="H2" s="1178" t="s">
        <v>627</v>
      </c>
      <c r="I2" s="1354"/>
      <c r="J2" s="1354"/>
      <c r="K2" s="1354"/>
      <c r="L2" s="1354"/>
      <c r="M2" s="1354"/>
      <c r="N2" s="1354"/>
      <c r="O2" s="1354"/>
      <c r="P2" s="1354"/>
      <c r="Q2" s="1354"/>
    </row>
    <row r="3" spans="1:18" ht="26.25" thickBot="1">
      <c r="A3" s="1392" t="s">
        <v>652</v>
      </c>
      <c r="B3" s="2146"/>
      <c r="D3" s="1340"/>
      <c r="E3" s="1340"/>
      <c r="F3" s="1340"/>
      <c r="G3" s="1354"/>
      <c r="H3" s="2762" t="s">
        <v>7</v>
      </c>
      <c r="I3" s="2763" t="s">
        <v>8</v>
      </c>
      <c r="J3" s="2763" t="s">
        <v>9</v>
      </c>
      <c r="K3" s="2763" t="s">
        <v>10</v>
      </c>
      <c r="L3" s="2764" t="s">
        <v>482</v>
      </c>
      <c r="M3" s="2763" t="s">
        <v>11</v>
      </c>
      <c r="N3" s="2763" t="s">
        <v>12</v>
      </c>
      <c r="O3" s="2763" t="s">
        <v>13</v>
      </c>
      <c r="P3" s="2764" t="s">
        <v>14</v>
      </c>
      <c r="Q3" s="2764"/>
      <c r="R3" s="2765" t="s">
        <v>15</v>
      </c>
    </row>
    <row r="4" spans="1:18" ht="16.5" thickBot="1">
      <c r="A4" s="1663" t="s">
        <v>653</v>
      </c>
      <c r="B4" s="1298"/>
      <c r="D4" s="1652"/>
      <c r="E4" s="1652"/>
      <c r="G4" s="2946" t="s">
        <v>1726</v>
      </c>
      <c r="H4" s="2959">
        <f>D15</f>
        <v>57151.224000000002</v>
      </c>
      <c r="I4" s="2960">
        <f>D21</f>
        <v>0</v>
      </c>
      <c r="J4" s="2960">
        <f>D27</f>
        <v>38119.866408000002</v>
      </c>
      <c r="K4" s="2960">
        <f>D37</f>
        <v>0</v>
      </c>
      <c r="L4" s="2960">
        <f>D43</f>
        <v>2704</v>
      </c>
      <c r="M4" s="2960">
        <f>D49</f>
        <v>0</v>
      </c>
      <c r="N4" s="2960">
        <f>D55</f>
        <v>650</v>
      </c>
      <c r="O4" s="2960">
        <f>D61</f>
        <v>0</v>
      </c>
      <c r="P4" s="2960">
        <v>0</v>
      </c>
      <c r="Q4" s="2960"/>
      <c r="R4" s="2979">
        <f>SUM(H4:P4)</f>
        <v>98625.090408000004</v>
      </c>
    </row>
    <row r="5" spans="1:18" ht="15.75">
      <c r="A5" s="1506" t="s">
        <v>22</v>
      </c>
      <c r="E5" s="1662"/>
      <c r="F5" s="1662"/>
      <c r="G5" s="3205" t="s">
        <v>1753</v>
      </c>
      <c r="H5" s="2617">
        <v>58579.794000000002</v>
      </c>
      <c r="I5" s="2618">
        <v>0</v>
      </c>
      <c r="J5" s="2618">
        <v>39834.259920000004</v>
      </c>
      <c r="K5" s="2618">
        <v>0</v>
      </c>
      <c r="L5" s="2618">
        <v>2704</v>
      </c>
      <c r="M5" s="2618">
        <v>0</v>
      </c>
      <c r="N5" s="2618">
        <v>650</v>
      </c>
      <c r="O5" s="2618">
        <v>0</v>
      </c>
      <c r="P5" s="2618">
        <v>0</v>
      </c>
      <c r="Q5" s="2618"/>
      <c r="R5" s="2735">
        <v>101768.05392000001</v>
      </c>
    </row>
    <row r="6" spans="1:18" ht="16.5" thickBot="1">
      <c r="A6" s="1429">
        <v>18230659</v>
      </c>
      <c r="B6" s="1429"/>
      <c r="C6" s="1352"/>
      <c r="D6" s="1652"/>
      <c r="E6" s="1652"/>
      <c r="G6" s="3206" t="s">
        <v>1754</v>
      </c>
      <c r="H6" s="2621">
        <f>E15</f>
        <v>41094</v>
      </c>
      <c r="I6" s="2622">
        <f>E21</f>
        <v>0</v>
      </c>
      <c r="J6" s="2623">
        <f>E27</f>
        <v>36902.411999999997</v>
      </c>
      <c r="K6" s="2622">
        <f>E37</f>
        <v>0</v>
      </c>
      <c r="L6" s="2622">
        <f>E43</f>
        <v>3300</v>
      </c>
      <c r="M6" s="2622">
        <f>E49</f>
        <v>0</v>
      </c>
      <c r="N6" s="2622">
        <f>E55</f>
        <v>750</v>
      </c>
      <c r="O6" s="2622">
        <f>E61</f>
        <v>0</v>
      </c>
      <c r="P6" s="2622">
        <v>0</v>
      </c>
      <c r="Q6" s="2622"/>
      <c r="R6" s="2760">
        <f>SUM(H6:P6)</f>
        <v>82046.411999999997</v>
      </c>
    </row>
    <row r="7" spans="1:18" s="1664" customFormat="1">
      <c r="A7" s="1508" t="s">
        <v>28</v>
      </c>
      <c r="B7" s="1665"/>
      <c r="G7" s="2733"/>
      <c r="H7" s="2607"/>
      <c r="I7" s="2607"/>
      <c r="J7" s="2607"/>
      <c r="K7" s="2607"/>
      <c r="L7" s="2607"/>
      <c r="M7" s="2607"/>
      <c r="N7" s="2607"/>
      <c r="O7" s="2607"/>
      <c r="P7" s="2607"/>
      <c r="Q7" s="2607"/>
      <c r="R7" s="2607"/>
    </row>
    <row r="8" spans="1:18" s="1664" customFormat="1" ht="25.5">
      <c r="B8" s="214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c r="A11" s="1653"/>
      <c r="B11" s="1653"/>
      <c r="D11" s="1652"/>
      <c r="E11" s="1663"/>
    </row>
    <row r="12" spans="1:18">
      <c r="A12" s="1653"/>
      <c r="B12" s="1653"/>
      <c r="C12" s="1434" t="s">
        <v>298</v>
      </c>
      <c r="D12" s="2766">
        <f>D15+D21+D27+D37+D43+D49+D55+D61</f>
        <v>98625.090408000004</v>
      </c>
      <c r="E12" s="1484">
        <f>E15+E21+E27+E37+E43+E49+E55+E61</f>
        <v>82046.411999999997</v>
      </c>
      <c r="F12" s="1638">
        <f>D12+E12</f>
        <v>180671.502408</v>
      </c>
    </row>
    <row r="13" spans="1:18" ht="15.75">
      <c r="A13" s="1653"/>
      <c r="B13" s="1410"/>
      <c r="C13" s="1483"/>
      <c r="D13" s="2767"/>
      <c r="E13" s="1336"/>
      <c r="G13" s="1351"/>
      <c r="H13" s="1351"/>
    </row>
    <row r="14" spans="1:18" s="1664" customFormat="1" ht="15.75">
      <c r="A14" s="1410"/>
      <c r="B14" s="1410"/>
      <c r="C14" s="1435" t="s">
        <v>42</v>
      </c>
      <c r="D14" s="2768">
        <v>2016</v>
      </c>
      <c r="E14" s="1502">
        <v>2017</v>
      </c>
      <c r="F14" s="1486" t="s">
        <v>20</v>
      </c>
      <c r="G14" s="1345"/>
      <c r="H14" s="1345"/>
    </row>
    <row r="15" spans="1:18" s="1664" customFormat="1" ht="15.75">
      <c r="A15" s="1410"/>
      <c r="B15" s="1433" t="s">
        <v>296</v>
      </c>
      <c r="C15" s="1597" t="s">
        <v>43</v>
      </c>
      <c r="D15" s="2771">
        <f>SUM(D16:D19)</f>
        <v>57151.224000000002</v>
      </c>
      <c r="E15" s="1464">
        <f>SUM(E16:E19)</f>
        <v>41094</v>
      </c>
      <c r="F15" s="1638">
        <f>SUM(F16:F19)</f>
        <v>98245.224000000002</v>
      </c>
      <c r="G15" s="1345"/>
      <c r="H15" s="1345"/>
    </row>
    <row r="16" spans="1:18">
      <c r="A16" s="1653"/>
      <c r="B16" s="1982">
        <v>0.06</v>
      </c>
      <c r="C16" s="1667" t="s">
        <v>734</v>
      </c>
      <c r="D16" s="2772">
        <v>57151.224000000002</v>
      </c>
      <c r="E16" s="1669">
        <v>6264</v>
      </c>
      <c r="F16" s="1426">
        <f>SUM(D16:E16)</f>
        <v>63415.224000000002</v>
      </c>
    </row>
    <row r="17" spans="1:7">
      <c r="A17" s="1653"/>
      <c r="B17" s="1982">
        <v>0.65</v>
      </c>
      <c r="C17" s="1667" t="s">
        <v>2591</v>
      </c>
      <c r="D17" s="2784"/>
      <c r="E17" s="1668">
        <v>34830</v>
      </c>
      <c r="F17" s="1661">
        <f>SUM(D17:E17)</f>
        <v>34830</v>
      </c>
    </row>
    <row r="18" spans="1:7">
      <c r="A18" s="1653"/>
      <c r="B18" s="1982"/>
      <c r="C18" s="1667"/>
      <c r="D18" s="2784"/>
      <c r="E18" s="1668"/>
      <c r="F18" s="1661">
        <f>SUM(D18:E18)</f>
        <v>0</v>
      </c>
    </row>
    <row r="19" spans="1:7">
      <c r="A19" s="1653"/>
      <c r="B19" s="1982"/>
      <c r="C19" s="1667"/>
      <c r="D19" s="2794"/>
      <c r="E19" s="1578"/>
      <c r="F19" s="1661">
        <f>SUM(D19:E19)</f>
        <v>0</v>
      </c>
    </row>
    <row r="20" spans="1:7">
      <c r="A20" s="1653"/>
      <c r="B20" s="1449">
        <f>SUM(B16:B19)</f>
        <v>0.71</v>
      </c>
      <c r="C20" s="1488"/>
      <c r="D20" s="2770"/>
      <c r="E20" s="1490"/>
      <c r="F20" s="1492"/>
    </row>
    <row r="21" spans="1:7">
      <c r="A21" s="1653"/>
      <c r="B21" s="1653"/>
      <c r="C21" s="1597" t="s">
        <v>44</v>
      </c>
      <c r="D21" s="2771">
        <f>SUM(D22:D25)</f>
        <v>0</v>
      </c>
      <c r="E21" s="1464">
        <f>SUM(E22:E25)</f>
        <v>0</v>
      </c>
      <c r="F21" s="1638">
        <f>SUM(F22:F25)</f>
        <v>0</v>
      </c>
      <c r="G21" s="1346" t="s">
        <v>6</v>
      </c>
    </row>
    <row r="22" spans="1:7">
      <c r="A22" s="1653"/>
      <c r="B22" s="1653"/>
      <c r="C22" s="1667"/>
      <c r="D22" s="2772"/>
      <c r="E22" s="1669"/>
      <c r="F22" s="1426">
        <f>SUM(D22:E22)</f>
        <v>0</v>
      </c>
      <c r="G22" s="1347"/>
    </row>
    <row r="23" spans="1:7">
      <c r="A23" s="1653"/>
      <c r="B23" s="1653"/>
      <c r="C23" s="1667"/>
      <c r="D23" s="2773"/>
      <c r="E23" s="1444"/>
      <c r="F23" s="1661">
        <f>SUM(D23:E23)</f>
        <v>0</v>
      </c>
    </row>
    <row r="24" spans="1:7">
      <c r="A24" s="1653"/>
      <c r="B24" s="1410"/>
      <c r="C24" s="1667"/>
      <c r="D24" s="2774"/>
      <c r="E24" s="1443"/>
      <c r="F24" s="1661">
        <f>SUM(D24:E24)</f>
        <v>0</v>
      </c>
    </row>
    <row r="25" spans="1:7" s="1664" customFormat="1">
      <c r="A25" s="1410"/>
      <c r="B25" s="1653"/>
      <c r="C25" s="1667"/>
      <c r="D25" s="2775"/>
      <c r="E25" s="1444"/>
      <c r="F25" s="1661">
        <f>SUM(D25:E25)</f>
        <v>0</v>
      </c>
    </row>
    <row r="26" spans="1:7">
      <c r="A26" s="1653"/>
      <c r="B26" s="1410"/>
      <c r="C26" s="1424"/>
      <c r="D26" s="2776"/>
      <c r="E26" s="1431"/>
      <c r="F26" s="1439"/>
    </row>
    <row r="27" spans="1:7" s="1664" customFormat="1">
      <c r="A27" s="1410"/>
      <c r="B27" s="1653"/>
      <c r="C27" s="1597" t="s">
        <v>45</v>
      </c>
      <c r="D27" s="2771">
        <f>SUM(D29:D35)</f>
        <v>38119.866408000002</v>
      </c>
      <c r="E27" s="1657">
        <f>SUM(E29:E31)+SUM(E33:E35)</f>
        <v>36902.411999999997</v>
      </c>
      <c r="F27" s="1638">
        <f>SUM(F29:F35)</f>
        <v>75022.278407999998</v>
      </c>
    </row>
    <row r="28" spans="1:7">
      <c r="A28" s="1653"/>
      <c r="B28" s="1653"/>
      <c r="C28" s="1450" t="s">
        <v>1733</v>
      </c>
      <c r="D28" s="2777">
        <v>0.66700000000000004</v>
      </c>
      <c r="E28" s="1452">
        <v>0.68799999999999994</v>
      </c>
      <c r="F28" s="1485"/>
    </row>
    <row r="29" spans="1:7">
      <c r="A29" s="1653"/>
      <c r="B29" s="1653"/>
      <c r="C29" s="1667" t="s">
        <v>719</v>
      </c>
      <c r="D29" s="2778">
        <f>D15*D28</f>
        <v>38119.866408000002</v>
      </c>
      <c r="E29" s="1641">
        <f>E15*E28</f>
        <v>28272.671999999999</v>
      </c>
      <c r="F29" s="1661">
        <f>SUM(D29:E29)</f>
        <v>66392.538407999993</v>
      </c>
    </row>
    <row r="30" spans="1:7">
      <c r="A30" s="1653"/>
      <c r="B30" s="1653"/>
      <c r="C30" s="1667" t="s">
        <v>720</v>
      </c>
      <c r="D30" s="2785">
        <f>D21*D28</f>
        <v>0</v>
      </c>
      <c r="E30" s="1641">
        <f>E21*E28</f>
        <v>0</v>
      </c>
      <c r="F30" s="1661">
        <f>SUM(D30:E30)</f>
        <v>0</v>
      </c>
    </row>
    <row r="31" spans="1:7">
      <c r="A31" s="1653"/>
      <c r="B31" s="1653"/>
      <c r="C31" s="1667"/>
      <c r="D31" s="2774"/>
      <c r="E31" s="1443"/>
      <c r="F31" s="1661">
        <f>SUM(D31:E31)</f>
        <v>0</v>
      </c>
    </row>
    <row r="32" spans="1:7">
      <c r="A32" s="1653"/>
      <c r="B32" s="1653"/>
      <c r="C32" s="1450" t="s">
        <v>1734</v>
      </c>
      <c r="D32" s="2777"/>
      <c r="E32" s="1452">
        <v>0.21</v>
      </c>
      <c r="F32" s="1485"/>
    </row>
    <row r="33" spans="1:7">
      <c r="A33" s="1653"/>
      <c r="B33" s="1350"/>
      <c r="C33" s="1667" t="s">
        <v>719</v>
      </c>
      <c r="D33" s="2778"/>
      <c r="E33" s="1641">
        <f>E15*E32</f>
        <v>8629.74</v>
      </c>
      <c r="F33" s="1661">
        <f>SUM(D33:E33)</f>
        <v>8629.74</v>
      </c>
    </row>
    <row r="34" spans="1:7">
      <c r="A34" s="1350"/>
      <c r="B34" s="1653"/>
      <c r="C34" s="1667" t="s">
        <v>720</v>
      </c>
      <c r="D34" s="2785"/>
      <c r="E34" s="1641">
        <f>E21*E32</f>
        <v>0</v>
      </c>
      <c r="F34" s="1661">
        <f t="shared" ref="F34" si="0">SUM(D34:E34)</f>
        <v>0</v>
      </c>
      <c r="G34" s="1348"/>
    </row>
    <row r="35" spans="1:7">
      <c r="A35" s="1392" t="s">
        <v>652</v>
      </c>
      <c r="B35" s="1410"/>
      <c r="C35" s="1445"/>
      <c r="D35" s="2775"/>
      <c r="E35" s="1444"/>
      <c r="F35" s="1661">
        <f>SUM(D35:E35)</f>
        <v>0</v>
      </c>
    </row>
    <row r="36" spans="1:7" s="1664" customFormat="1">
      <c r="A36" s="1663" t="s">
        <v>653</v>
      </c>
      <c r="B36" s="1653"/>
      <c r="C36" s="1488"/>
      <c r="D36" s="2779"/>
      <c r="E36" s="1490"/>
      <c r="F36" s="1493"/>
    </row>
    <row r="37" spans="1:7">
      <c r="A37" s="1506" t="s">
        <v>22</v>
      </c>
      <c r="B37" s="1653"/>
      <c r="C37" s="1597" t="s">
        <v>46</v>
      </c>
      <c r="D37" s="2771">
        <v>0</v>
      </c>
      <c r="E37" s="1464">
        <v>0</v>
      </c>
      <c r="F37" s="1638">
        <v>0</v>
      </c>
    </row>
    <row r="38" spans="1:7">
      <c r="A38" s="1429">
        <v>18230659</v>
      </c>
      <c r="B38" s="1653"/>
      <c r="C38" s="1667"/>
      <c r="D38" s="2778"/>
      <c r="E38" s="1672"/>
      <c r="F38" s="1661">
        <v>0</v>
      </c>
    </row>
    <row r="39" spans="1:7">
      <c r="A39" s="1508" t="s">
        <v>28</v>
      </c>
      <c r="B39" s="1653"/>
      <c r="C39" s="1667"/>
      <c r="D39" s="2778"/>
      <c r="E39" s="1672"/>
      <c r="F39" s="1661">
        <v>0</v>
      </c>
    </row>
    <row r="40" spans="1:7">
      <c r="A40" s="1664"/>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2704</v>
      </c>
      <c r="E43" s="1464">
        <f>SUM(E44:E47)</f>
        <v>3300</v>
      </c>
      <c r="F43" s="1638">
        <f t="shared" ref="F43:F59" si="1">SUM(D43:E43)</f>
        <v>6004</v>
      </c>
    </row>
    <row r="44" spans="1:7">
      <c r="A44" s="1653"/>
      <c r="B44" s="1653"/>
      <c r="C44" s="1667" t="s">
        <v>1456</v>
      </c>
      <c r="D44" s="2778">
        <f>16000*0.13</f>
        <v>2080</v>
      </c>
      <c r="E44" s="1672">
        <v>2500</v>
      </c>
      <c r="F44" s="1661">
        <f t="shared" si="1"/>
        <v>4580</v>
      </c>
    </row>
    <row r="45" spans="1:7">
      <c r="A45" s="1653"/>
      <c r="B45" s="1653"/>
      <c r="C45" s="1667" t="s">
        <v>1465</v>
      </c>
      <c r="D45" s="2778">
        <f>4800*0.13</f>
        <v>624</v>
      </c>
      <c r="E45" s="1672">
        <v>800</v>
      </c>
      <c r="F45" s="1661">
        <f t="shared" si="1"/>
        <v>1424</v>
      </c>
    </row>
    <row r="46" spans="1:7">
      <c r="A46" s="1653"/>
      <c r="B46" s="1653"/>
      <c r="C46" s="1667"/>
      <c r="D46" s="2778"/>
      <c r="E46" s="1672"/>
      <c r="F46" s="1661">
        <f t="shared" si="1"/>
        <v>0</v>
      </c>
    </row>
    <row r="47" spans="1:7">
      <c r="A47" s="1653"/>
      <c r="B47" s="1653"/>
      <c r="C47" s="1667"/>
      <c r="D47" s="2778"/>
      <c r="E47" s="1672"/>
      <c r="F47" s="1661">
        <f t="shared" si="1"/>
        <v>0</v>
      </c>
    </row>
    <row r="48" spans="1:7">
      <c r="A48" s="1653"/>
      <c r="B48" s="1653"/>
      <c r="C48" s="1488"/>
      <c r="D48" s="2779"/>
      <c r="E48" s="1490"/>
      <c r="F48" s="1493"/>
    </row>
    <row r="49" spans="1:6">
      <c r="A49" s="1653"/>
      <c r="B49" s="1653"/>
      <c r="C49" s="1597" t="s">
        <v>47</v>
      </c>
      <c r="D49" s="2771">
        <f>SUM(D50:D53)</f>
        <v>0</v>
      </c>
      <c r="E49" s="1464">
        <f>SUM(E50:E53)</f>
        <v>0</v>
      </c>
      <c r="F49" s="1638">
        <f t="shared" si="1"/>
        <v>0</v>
      </c>
    </row>
    <row r="50" spans="1:6">
      <c r="A50" s="1653"/>
      <c r="B50" s="1653"/>
      <c r="C50" s="1667"/>
      <c r="D50" s="2778"/>
      <c r="E50" s="1672"/>
      <c r="F50" s="1661">
        <f t="shared" si="1"/>
        <v>0</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650</v>
      </c>
      <c r="E55" s="1464">
        <f>SUM(E56:E59)</f>
        <v>750</v>
      </c>
      <c r="F55" s="1638">
        <f t="shared" si="1"/>
        <v>1400</v>
      </c>
    </row>
    <row r="56" spans="1:6">
      <c r="A56" s="1653"/>
      <c r="B56" s="1653"/>
      <c r="C56" s="1667" t="s">
        <v>1466</v>
      </c>
      <c r="D56" s="2778">
        <f>5000*0.13</f>
        <v>650</v>
      </c>
      <c r="E56" s="1641">
        <v>750</v>
      </c>
      <c r="F56" s="1661">
        <f t="shared" si="1"/>
        <v>1400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A61" s="1653"/>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28515625" style="501" customWidth="1"/>
    <col min="2" max="2" width="15.85546875" style="1413" customWidth="1"/>
    <col min="3" max="3" width="27.85546875" style="501" customWidth="1"/>
    <col min="4" max="5" width="20.28515625" style="501" customWidth="1"/>
    <col min="6" max="6" width="23.7109375" style="501" customWidth="1"/>
    <col min="7" max="7" width="14.85546875" style="501" customWidth="1"/>
    <col min="8" max="10" width="23.7109375" style="501" customWidth="1"/>
    <col min="11" max="11" width="20" style="501" customWidth="1"/>
    <col min="12" max="12" width="19.140625" style="501" customWidth="1"/>
    <col min="13" max="13" width="14.28515625" style="501" customWidth="1"/>
    <col min="14" max="14" width="18.85546875" style="501" customWidth="1"/>
    <col min="15" max="15" width="16.140625" style="501" customWidth="1"/>
    <col min="16" max="16" width="15.140625" style="501" customWidth="1"/>
    <col min="17" max="17" width="18.140625" style="501" customWidth="1"/>
    <col min="18" max="250" width="9.140625" style="501"/>
    <col min="251" max="251" width="48.5703125" style="501" customWidth="1"/>
    <col min="252" max="253" width="23.7109375" style="501" customWidth="1"/>
    <col min="254" max="254" width="29.5703125" style="501" customWidth="1"/>
    <col min="255" max="260" width="23.7109375" style="501" customWidth="1"/>
    <col min="261" max="261" width="19.140625" style="501" customWidth="1"/>
    <col min="262" max="262" width="14.28515625" style="501" customWidth="1"/>
    <col min="263" max="263" width="23.7109375" style="501" customWidth="1"/>
    <col min="264" max="264" width="16.140625" style="501" customWidth="1"/>
    <col min="265" max="265" width="15.140625" style="501" customWidth="1"/>
    <col min="266" max="506" width="9.140625" style="501"/>
    <col min="507" max="507" width="48.5703125" style="501" customWidth="1"/>
    <col min="508" max="509" width="23.7109375" style="501" customWidth="1"/>
    <col min="510" max="510" width="29.5703125" style="501" customWidth="1"/>
    <col min="511" max="516" width="23.7109375" style="501" customWidth="1"/>
    <col min="517" max="517" width="19.140625" style="501" customWidth="1"/>
    <col min="518" max="518" width="14.28515625" style="501" customWidth="1"/>
    <col min="519" max="519" width="23.7109375" style="501" customWidth="1"/>
    <col min="520" max="520" width="16.140625" style="501" customWidth="1"/>
    <col min="521" max="521" width="15.140625" style="501" customWidth="1"/>
    <col min="522" max="762" width="9.140625" style="501"/>
    <col min="763" max="763" width="48.5703125" style="501" customWidth="1"/>
    <col min="764" max="765" width="23.7109375" style="501" customWidth="1"/>
    <col min="766" max="766" width="29.5703125" style="501" customWidth="1"/>
    <col min="767" max="772" width="23.7109375" style="501" customWidth="1"/>
    <col min="773" max="773" width="19.140625" style="501" customWidth="1"/>
    <col min="774" max="774" width="14.28515625" style="501" customWidth="1"/>
    <col min="775" max="775" width="23.7109375" style="501" customWidth="1"/>
    <col min="776" max="776" width="16.140625" style="501" customWidth="1"/>
    <col min="777" max="777" width="15.140625" style="501" customWidth="1"/>
    <col min="778" max="1018" width="9.140625" style="501"/>
    <col min="1019" max="1019" width="48.5703125" style="501" customWidth="1"/>
    <col min="1020" max="1021" width="23.7109375" style="501" customWidth="1"/>
    <col min="1022" max="1022" width="29.5703125" style="501" customWidth="1"/>
    <col min="1023" max="1028" width="23.7109375" style="501" customWidth="1"/>
    <col min="1029" max="1029" width="19.140625" style="501" customWidth="1"/>
    <col min="1030" max="1030" width="14.28515625" style="501" customWidth="1"/>
    <col min="1031" max="1031" width="23.7109375" style="501" customWidth="1"/>
    <col min="1032" max="1032" width="16.140625" style="501" customWidth="1"/>
    <col min="1033" max="1033" width="15.140625" style="501" customWidth="1"/>
    <col min="1034" max="1274" width="9.140625" style="501"/>
    <col min="1275" max="1275" width="48.5703125" style="501" customWidth="1"/>
    <col min="1276" max="1277" width="23.7109375" style="501" customWidth="1"/>
    <col min="1278" max="1278" width="29.5703125" style="501" customWidth="1"/>
    <col min="1279" max="1284" width="23.7109375" style="501" customWidth="1"/>
    <col min="1285" max="1285" width="19.140625" style="501" customWidth="1"/>
    <col min="1286" max="1286" width="14.28515625" style="501" customWidth="1"/>
    <col min="1287" max="1287" width="23.7109375" style="501" customWidth="1"/>
    <col min="1288" max="1288" width="16.140625" style="501" customWidth="1"/>
    <col min="1289" max="1289" width="15.140625" style="501" customWidth="1"/>
    <col min="1290" max="1530" width="9.140625" style="501"/>
    <col min="1531" max="1531" width="48.5703125" style="501" customWidth="1"/>
    <col min="1532" max="1533" width="23.7109375" style="501" customWidth="1"/>
    <col min="1534" max="1534" width="29.5703125" style="501" customWidth="1"/>
    <col min="1535" max="1540" width="23.7109375" style="501" customWidth="1"/>
    <col min="1541" max="1541" width="19.140625" style="501" customWidth="1"/>
    <col min="1542" max="1542" width="14.28515625" style="501" customWidth="1"/>
    <col min="1543" max="1543" width="23.7109375" style="501" customWidth="1"/>
    <col min="1544" max="1544" width="16.140625" style="501" customWidth="1"/>
    <col min="1545" max="1545" width="15.140625" style="501" customWidth="1"/>
    <col min="1546" max="1786" width="9.140625" style="501"/>
    <col min="1787" max="1787" width="48.5703125" style="501" customWidth="1"/>
    <col min="1788" max="1789" width="23.7109375" style="501" customWidth="1"/>
    <col min="1790" max="1790" width="29.5703125" style="501" customWidth="1"/>
    <col min="1791" max="1796" width="23.7109375" style="501" customWidth="1"/>
    <col min="1797" max="1797" width="19.140625" style="501" customWidth="1"/>
    <col min="1798" max="1798" width="14.28515625" style="501" customWidth="1"/>
    <col min="1799" max="1799" width="23.7109375" style="501" customWidth="1"/>
    <col min="1800" max="1800" width="16.140625" style="501" customWidth="1"/>
    <col min="1801" max="1801" width="15.140625" style="501" customWidth="1"/>
    <col min="1802" max="2042" width="9.140625" style="501"/>
    <col min="2043" max="2043" width="48.5703125" style="501" customWidth="1"/>
    <col min="2044" max="2045" width="23.7109375" style="501" customWidth="1"/>
    <col min="2046" max="2046" width="29.5703125" style="501" customWidth="1"/>
    <col min="2047" max="2052" width="23.7109375" style="501" customWidth="1"/>
    <col min="2053" max="2053" width="19.140625" style="501" customWidth="1"/>
    <col min="2054" max="2054" width="14.28515625" style="501" customWidth="1"/>
    <col min="2055" max="2055" width="23.7109375" style="501" customWidth="1"/>
    <col min="2056" max="2056" width="16.140625" style="501" customWidth="1"/>
    <col min="2057" max="2057" width="15.140625" style="501" customWidth="1"/>
    <col min="2058" max="2298" width="9.140625" style="501"/>
    <col min="2299" max="2299" width="48.5703125" style="501" customWidth="1"/>
    <col min="2300" max="2301" width="23.7109375" style="501" customWidth="1"/>
    <col min="2302" max="2302" width="29.5703125" style="501" customWidth="1"/>
    <col min="2303" max="2308" width="23.7109375" style="501" customWidth="1"/>
    <col min="2309" max="2309" width="19.140625" style="501" customWidth="1"/>
    <col min="2310" max="2310" width="14.28515625" style="501" customWidth="1"/>
    <col min="2311" max="2311" width="23.7109375" style="501" customWidth="1"/>
    <col min="2312" max="2312" width="16.140625" style="501" customWidth="1"/>
    <col min="2313" max="2313" width="15.140625" style="501" customWidth="1"/>
    <col min="2314" max="2554" width="9.140625" style="501"/>
    <col min="2555" max="2555" width="48.5703125" style="501" customWidth="1"/>
    <col min="2556" max="2557" width="23.7109375" style="501" customWidth="1"/>
    <col min="2558" max="2558" width="29.5703125" style="501" customWidth="1"/>
    <col min="2559" max="2564" width="23.7109375" style="501" customWidth="1"/>
    <col min="2565" max="2565" width="19.140625" style="501" customWidth="1"/>
    <col min="2566" max="2566" width="14.28515625" style="501" customWidth="1"/>
    <col min="2567" max="2567" width="23.7109375" style="501" customWidth="1"/>
    <col min="2568" max="2568" width="16.140625" style="501" customWidth="1"/>
    <col min="2569" max="2569" width="15.140625" style="501" customWidth="1"/>
    <col min="2570" max="2810" width="9.140625" style="501"/>
    <col min="2811" max="2811" width="48.5703125" style="501" customWidth="1"/>
    <col min="2812" max="2813" width="23.7109375" style="501" customWidth="1"/>
    <col min="2814" max="2814" width="29.5703125" style="501" customWidth="1"/>
    <col min="2815" max="2820" width="23.7109375" style="501" customWidth="1"/>
    <col min="2821" max="2821" width="19.140625" style="501" customWidth="1"/>
    <col min="2822" max="2822" width="14.28515625" style="501" customWidth="1"/>
    <col min="2823" max="2823" width="23.7109375" style="501" customWidth="1"/>
    <col min="2824" max="2824" width="16.140625" style="501" customWidth="1"/>
    <col min="2825" max="2825" width="15.140625" style="501" customWidth="1"/>
    <col min="2826" max="3066" width="9.140625" style="501"/>
    <col min="3067" max="3067" width="48.5703125" style="501" customWidth="1"/>
    <col min="3068" max="3069" width="23.7109375" style="501" customWidth="1"/>
    <col min="3070" max="3070" width="29.5703125" style="501" customWidth="1"/>
    <col min="3071" max="3076" width="23.7109375" style="501" customWidth="1"/>
    <col min="3077" max="3077" width="19.140625" style="501" customWidth="1"/>
    <col min="3078" max="3078" width="14.28515625" style="501" customWidth="1"/>
    <col min="3079" max="3079" width="23.7109375" style="501" customWidth="1"/>
    <col min="3080" max="3080" width="16.140625" style="501" customWidth="1"/>
    <col min="3081" max="3081" width="15.140625" style="501" customWidth="1"/>
    <col min="3082" max="3322" width="9.140625" style="501"/>
    <col min="3323" max="3323" width="48.5703125" style="501" customWidth="1"/>
    <col min="3324" max="3325" width="23.7109375" style="501" customWidth="1"/>
    <col min="3326" max="3326" width="29.5703125" style="501" customWidth="1"/>
    <col min="3327" max="3332" width="23.7109375" style="501" customWidth="1"/>
    <col min="3333" max="3333" width="19.140625" style="501" customWidth="1"/>
    <col min="3334" max="3334" width="14.28515625" style="501" customWidth="1"/>
    <col min="3335" max="3335" width="23.7109375" style="501" customWidth="1"/>
    <col min="3336" max="3336" width="16.140625" style="501" customWidth="1"/>
    <col min="3337" max="3337" width="15.140625" style="501" customWidth="1"/>
    <col min="3338" max="3578" width="9.140625" style="501"/>
    <col min="3579" max="3579" width="48.5703125" style="501" customWidth="1"/>
    <col min="3580" max="3581" width="23.7109375" style="501" customWidth="1"/>
    <col min="3582" max="3582" width="29.5703125" style="501" customWidth="1"/>
    <col min="3583" max="3588" width="23.7109375" style="501" customWidth="1"/>
    <col min="3589" max="3589" width="19.140625" style="501" customWidth="1"/>
    <col min="3590" max="3590" width="14.28515625" style="501" customWidth="1"/>
    <col min="3591" max="3591" width="23.7109375" style="501" customWidth="1"/>
    <col min="3592" max="3592" width="16.140625" style="501" customWidth="1"/>
    <col min="3593" max="3593" width="15.140625" style="501" customWidth="1"/>
    <col min="3594" max="3834" width="9.140625" style="501"/>
    <col min="3835" max="3835" width="48.5703125" style="501" customWidth="1"/>
    <col min="3836" max="3837" width="23.7109375" style="501" customWidth="1"/>
    <col min="3838" max="3838" width="29.5703125" style="501" customWidth="1"/>
    <col min="3839" max="3844" width="23.7109375" style="501" customWidth="1"/>
    <col min="3845" max="3845" width="19.140625" style="501" customWidth="1"/>
    <col min="3846" max="3846" width="14.28515625" style="501" customWidth="1"/>
    <col min="3847" max="3847" width="23.7109375" style="501" customWidth="1"/>
    <col min="3848" max="3848" width="16.140625" style="501" customWidth="1"/>
    <col min="3849" max="3849" width="15.140625" style="501" customWidth="1"/>
    <col min="3850" max="4090" width="9.140625" style="501"/>
    <col min="4091" max="4091" width="48.5703125" style="501" customWidth="1"/>
    <col min="4092" max="4093" width="23.7109375" style="501" customWidth="1"/>
    <col min="4094" max="4094" width="29.5703125" style="501" customWidth="1"/>
    <col min="4095" max="4100" width="23.7109375" style="501" customWidth="1"/>
    <col min="4101" max="4101" width="19.140625" style="501" customWidth="1"/>
    <col min="4102" max="4102" width="14.28515625" style="501" customWidth="1"/>
    <col min="4103" max="4103" width="23.7109375" style="501" customWidth="1"/>
    <col min="4104" max="4104" width="16.140625" style="501" customWidth="1"/>
    <col min="4105" max="4105" width="15.140625" style="501" customWidth="1"/>
    <col min="4106" max="4346" width="9.140625" style="501"/>
    <col min="4347" max="4347" width="48.5703125" style="501" customWidth="1"/>
    <col min="4348" max="4349" width="23.7109375" style="501" customWidth="1"/>
    <col min="4350" max="4350" width="29.5703125" style="501" customWidth="1"/>
    <col min="4351" max="4356" width="23.7109375" style="501" customWidth="1"/>
    <col min="4357" max="4357" width="19.140625" style="501" customWidth="1"/>
    <col min="4358" max="4358" width="14.28515625" style="501" customWidth="1"/>
    <col min="4359" max="4359" width="23.7109375" style="501" customWidth="1"/>
    <col min="4360" max="4360" width="16.140625" style="501" customWidth="1"/>
    <col min="4361" max="4361" width="15.140625" style="501" customWidth="1"/>
    <col min="4362" max="4602" width="9.140625" style="501"/>
    <col min="4603" max="4603" width="48.5703125" style="501" customWidth="1"/>
    <col min="4604" max="4605" width="23.7109375" style="501" customWidth="1"/>
    <col min="4606" max="4606" width="29.5703125" style="501" customWidth="1"/>
    <col min="4607" max="4612" width="23.7109375" style="501" customWidth="1"/>
    <col min="4613" max="4613" width="19.140625" style="501" customWidth="1"/>
    <col min="4614" max="4614" width="14.28515625" style="501" customWidth="1"/>
    <col min="4615" max="4615" width="23.7109375" style="501" customWidth="1"/>
    <col min="4616" max="4616" width="16.140625" style="501" customWidth="1"/>
    <col min="4617" max="4617" width="15.140625" style="501" customWidth="1"/>
    <col min="4618" max="4858" width="9.140625" style="501"/>
    <col min="4859" max="4859" width="48.5703125" style="501" customWidth="1"/>
    <col min="4860" max="4861" width="23.7109375" style="501" customWidth="1"/>
    <col min="4862" max="4862" width="29.5703125" style="501" customWidth="1"/>
    <col min="4863" max="4868" width="23.7109375" style="501" customWidth="1"/>
    <col min="4869" max="4869" width="19.140625" style="501" customWidth="1"/>
    <col min="4870" max="4870" width="14.28515625" style="501" customWidth="1"/>
    <col min="4871" max="4871" width="23.7109375" style="501" customWidth="1"/>
    <col min="4872" max="4872" width="16.140625" style="501" customWidth="1"/>
    <col min="4873" max="4873" width="15.140625" style="501" customWidth="1"/>
    <col min="4874" max="5114" width="9.140625" style="501"/>
    <col min="5115" max="5115" width="48.5703125" style="501" customWidth="1"/>
    <col min="5116" max="5117" width="23.7109375" style="501" customWidth="1"/>
    <col min="5118" max="5118" width="29.5703125" style="501" customWidth="1"/>
    <col min="5119" max="5124" width="23.7109375" style="501" customWidth="1"/>
    <col min="5125" max="5125" width="19.140625" style="501" customWidth="1"/>
    <col min="5126" max="5126" width="14.28515625" style="501" customWidth="1"/>
    <col min="5127" max="5127" width="23.7109375" style="501" customWidth="1"/>
    <col min="5128" max="5128" width="16.140625" style="501" customWidth="1"/>
    <col min="5129" max="5129" width="15.140625" style="501" customWidth="1"/>
    <col min="5130" max="5370" width="9.140625" style="501"/>
    <col min="5371" max="5371" width="48.5703125" style="501" customWidth="1"/>
    <col min="5372" max="5373" width="23.7109375" style="501" customWidth="1"/>
    <col min="5374" max="5374" width="29.5703125" style="501" customWidth="1"/>
    <col min="5375" max="5380" width="23.7109375" style="501" customWidth="1"/>
    <col min="5381" max="5381" width="19.140625" style="501" customWidth="1"/>
    <col min="5382" max="5382" width="14.28515625" style="501" customWidth="1"/>
    <col min="5383" max="5383" width="23.7109375" style="501" customWidth="1"/>
    <col min="5384" max="5384" width="16.140625" style="501" customWidth="1"/>
    <col min="5385" max="5385" width="15.140625" style="501" customWidth="1"/>
    <col min="5386" max="5626" width="9.140625" style="501"/>
    <col min="5627" max="5627" width="48.5703125" style="501" customWidth="1"/>
    <col min="5628" max="5629" width="23.7109375" style="501" customWidth="1"/>
    <col min="5630" max="5630" width="29.5703125" style="501" customWidth="1"/>
    <col min="5631" max="5636" width="23.7109375" style="501" customWidth="1"/>
    <col min="5637" max="5637" width="19.140625" style="501" customWidth="1"/>
    <col min="5638" max="5638" width="14.28515625" style="501" customWidth="1"/>
    <col min="5639" max="5639" width="23.7109375" style="501" customWidth="1"/>
    <col min="5640" max="5640" width="16.140625" style="501" customWidth="1"/>
    <col min="5641" max="5641" width="15.140625" style="501" customWidth="1"/>
    <col min="5642" max="5882" width="9.140625" style="501"/>
    <col min="5883" max="5883" width="48.5703125" style="501" customWidth="1"/>
    <col min="5884" max="5885" width="23.7109375" style="501" customWidth="1"/>
    <col min="5886" max="5886" width="29.5703125" style="501" customWidth="1"/>
    <col min="5887" max="5892" width="23.7109375" style="501" customWidth="1"/>
    <col min="5893" max="5893" width="19.140625" style="501" customWidth="1"/>
    <col min="5894" max="5894" width="14.28515625" style="501" customWidth="1"/>
    <col min="5895" max="5895" width="23.7109375" style="501" customWidth="1"/>
    <col min="5896" max="5896" width="16.140625" style="501" customWidth="1"/>
    <col min="5897" max="5897" width="15.140625" style="501" customWidth="1"/>
    <col min="5898" max="6138" width="9.140625" style="501"/>
    <col min="6139" max="6139" width="48.5703125" style="501" customWidth="1"/>
    <col min="6140" max="6141" width="23.7109375" style="501" customWidth="1"/>
    <col min="6142" max="6142" width="29.5703125" style="501" customWidth="1"/>
    <col min="6143" max="6148" width="23.7109375" style="501" customWidth="1"/>
    <col min="6149" max="6149" width="19.140625" style="501" customWidth="1"/>
    <col min="6150" max="6150" width="14.28515625" style="501" customWidth="1"/>
    <col min="6151" max="6151" width="23.7109375" style="501" customWidth="1"/>
    <col min="6152" max="6152" width="16.140625" style="501" customWidth="1"/>
    <col min="6153" max="6153" width="15.140625" style="501" customWidth="1"/>
    <col min="6154" max="6394" width="9.140625" style="501"/>
    <col min="6395" max="6395" width="48.5703125" style="501" customWidth="1"/>
    <col min="6396" max="6397" width="23.7109375" style="501" customWidth="1"/>
    <col min="6398" max="6398" width="29.5703125" style="501" customWidth="1"/>
    <col min="6399" max="6404" width="23.7109375" style="501" customWidth="1"/>
    <col min="6405" max="6405" width="19.140625" style="501" customWidth="1"/>
    <col min="6406" max="6406" width="14.28515625" style="501" customWidth="1"/>
    <col min="6407" max="6407" width="23.7109375" style="501" customWidth="1"/>
    <col min="6408" max="6408" width="16.140625" style="501" customWidth="1"/>
    <col min="6409" max="6409" width="15.140625" style="501" customWidth="1"/>
    <col min="6410" max="6650" width="9.140625" style="501"/>
    <col min="6651" max="6651" width="48.5703125" style="501" customWidth="1"/>
    <col min="6652" max="6653" width="23.7109375" style="501" customWidth="1"/>
    <col min="6654" max="6654" width="29.5703125" style="501" customWidth="1"/>
    <col min="6655" max="6660" width="23.7109375" style="501" customWidth="1"/>
    <col min="6661" max="6661" width="19.140625" style="501" customWidth="1"/>
    <col min="6662" max="6662" width="14.28515625" style="501" customWidth="1"/>
    <col min="6663" max="6663" width="23.7109375" style="501" customWidth="1"/>
    <col min="6664" max="6664" width="16.140625" style="501" customWidth="1"/>
    <col min="6665" max="6665" width="15.140625" style="501" customWidth="1"/>
    <col min="6666" max="6906" width="9.140625" style="501"/>
    <col min="6907" max="6907" width="48.5703125" style="501" customWidth="1"/>
    <col min="6908" max="6909" width="23.7109375" style="501" customWidth="1"/>
    <col min="6910" max="6910" width="29.5703125" style="501" customWidth="1"/>
    <col min="6911" max="6916" width="23.7109375" style="501" customWidth="1"/>
    <col min="6917" max="6917" width="19.140625" style="501" customWidth="1"/>
    <col min="6918" max="6918" width="14.28515625" style="501" customWidth="1"/>
    <col min="6919" max="6919" width="23.7109375" style="501" customWidth="1"/>
    <col min="6920" max="6920" width="16.140625" style="501" customWidth="1"/>
    <col min="6921" max="6921" width="15.140625" style="501" customWidth="1"/>
    <col min="6922" max="7162" width="9.140625" style="501"/>
    <col min="7163" max="7163" width="48.5703125" style="501" customWidth="1"/>
    <col min="7164" max="7165" width="23.7109375" style="501" customWidth="1"/>
    <col min="7166" max="7166" width="29.5703125" style="501" customWidth="1"/>
    <col min="7167" max="7172" width="23.7109375" style="501" customWidth="1"/>
    <col min="7173" max="7173" width="19.140625" style="501" customWidth="1"/>
    <col min="7174" max="7174" width="14.28515625" style="501" customWidth="1"/>
    <col min="7175" max="7175" width="23.7109375" style="501" customWidth="1"/>
    <col min="7176" max="7176" width="16.140625" style="501" customWidth="1"/>
    <col min="7177" max="7177" width="15.140625" style="501" customWidth="1"/>
    <col min="7178" max="7418" width="9.140625" style="501"/>
    <col min="7419" max="7419" width="48.5703125" style="501" customWidth="1"/>
    <col min="7420" max="7421" width="23.7109375" style="501" customWidth="1"/>
    <col min="7422" max="7422" width="29.5703125" style="501" customWidth="1"/>
    <col min="7423" max="7428" width="23.7109375" style="501" customWidth="1"/>
    <col min="7429" max="7429" width="19.140625" style="501" customWidth="1"/>
    <col min="7430" max="7430" width="14.28515625" style="501" customWidth="1"/>
    <col min="7431" max="7431" width="23.7109375" style="501" customWidth="1"/>
    <col min="7432" max="7432" width="16.140625" style="501" customWidth="1"/>
    <col min="7433" max="7433" width="15.140625" style="501" customWidth="1"/>
    <col min="7434" max="7674" width="9.140625" style="501"/>
    <col min="7675" max="7675" width="48.5703125" style="501" customWidth="1"/>
    <col min="7676" max="7677" width="23.7109375" style="501" customWidth="1"/>
    <col min="7678" max="7678" width="29.5703125" style="501" customWidth="1"/>
    <col min="7679" max="7684" width="23.7109375" style="501" customWidth="1"/>
    <col min="7685" max="7685" width="19.140625" style="501" customWidth="1"/>
    <col min="7686" max="7686" width="14.28515625" style="501" customWidth="1"/>
    <col min="7687" max="7687" width="23.7109375" style="501" customWidth="1"/>
    <col min="7688" max="7688" width="16.140625" style="501" customWidth="1"/>
    <col min="7689" max="7689" width="15.140625" style="501" customWidth="1"/>
    <col min="7690" max="7930" width="9.140625" style="501"/>
    <col min="7931" max="7931" width="48.5703125" style="501" customWidth="1"/>
    <col min="7932" max="7933" width="23.7109375" style="501" customWidth="1"/>
    <col min="7934" max="7934" width="29.5703125" style="501" customWidth="1"/>
    <col min="7935" max="7940" width="23.7109375" style="501" customWidth="1"/>
    <col min="7941" max="7941" width="19.140625" style="501" customWidth="1"/>
    <col min="7942" max="7942" width="14.28515625" style="501" customWidth="1"/>
    <col min="7943" max="7943" width="23.7109375" style="501" customWidth="1"/>
    <col min="7944" max="7944" width="16.140625" style="501" customWidth="1"/>
    <col min="7945" max="7945" width="15.140625" style="501" customWidth="1"/>
    <col min="7946" max="8186" width="9.140625" style="501"/>
    <col min="8187" max="8187" width="48.5703125" style="501" customWidth="1"/>
    <col min="8188" max="8189" width="23.7109375" style="501" customWidth="1"/>
    <col min="8190" max="8190" width="29.5703125" style="501" customWidth="1"/>
    <col min="8191" max="8196" width="23.7109375" style="501" customWidth="1"/>
    <col min="8197" max="8197" width="19.140625" style="501" customWidth="1"/>
    <col min="8198" max="8198" width="14.28515625" style="501" customWidth="1"/>
    <col min="8199" max="8199" width="23.7109375" style="501" customWidth="1"/>
    <col min="8200" max="8200" width="16.140625" style="501" customWidth="1"/>
    <col min="8201" max="8201" width="15.140625" style="501" customWidth="1"/>
    <col min="8202" max="8442" width="9.140625" style="501"/>
    <col min="8443" max="8443" width="48.5703125" style="501" customWidth="1"/>
    <col min="8444" max="8445" width="23.7109375" style="501" customWidth="1"/>
    <col min="8446" max="8446" width="29.5703125" style="501" customWidth="1"/>
    <col min="8447" max="8452" width="23.7109375" style="501" customWidth="1"/>
    <col min="8453" max="8453" width="19.140625" style="501" customWidth="1"/>
    <col min="8454" max="8454" width="14.28515625" style="501" customWidth="1"/>
    <col min="8455" max="8455" width="23.7109375" style="501" customWidth="1"/>
    <col min="8456" max="8456" width="16.140625" style="501" customWidth="1"/>
    <col min="8457" max="8457" width="15.140625" style="501" customWidth="1"/>
    <col min="8458" max="8698" width="9.140625" style="501"/>
    <col min="8699" max="8699" width="48.5703125" style="501" customWidth="1"/>
    <col min="8700" max="8701" width="23.7109375" style="501" customWidth="1"/>
    <col min="8702" max="8702" width="29.5703125" style="501" customWidth="1"/>
    <col min="8703" max="8708" width="23.7109375" style="501" customWidth="1"/>
    <col min="8709" max="8709" width="19.140625" style="501" customWidth="1"/>
    <col min="8710" max="8710" width="14.28515625" style="501" customWidth="1"/>
    <col min="8711" max="8711" width="23.7109375" style="501" customWidth="1"/>
    <col min="8712" max="8712" width="16.140625" style="501" customWidth="1"/>
    <col min="8713" max="8713" width="15.140625" style="501" customWidth="1"/>
    <col min="8714" max="8954" width="9.140625" style="501"/>
    <col min="8955" max="8955" width="48.5703125" style="501" customWidth="1"/>
    <col min="8956" max="8957" width="23.7109375" style="501" customWidth="1"/>
    <col min="8958" max="8958" width="29.5703125" style="501" customWidth="1"/>
    <col min="8959" max="8964" width="23.7109375" style="501" customWidth="1"/>
    <col min="8965" max="8965" width="19.140625" style="501" customWidth="1"/>
    <col min="8966" max="8966" width="14.28515625" style="501" customWidth="1"/>
    <col min="8967" max="8967" width="23.7109375" style="501" customWidth="1"/>
    <col min="8968" max="8968" width="16.140625" style="501" customWidth="1"/>
    <col min="8969" max="8969" width="15.140625" style="501" customWidth="1"/>
    <col min="8970" max="9210" width="9.140625" style="501"/>
    <col min="9211" max="9211" width="48.5703125" style="501" customWidth="1"/>
    <col min="9212" max="9213" width="23.7109375" style="501" customWidth="1"/>
    <col min="9214" max="9214" width="29.5703125" style="501" customWidth="1"/>
    <col min="9215" max="9220" width="23.7109375" style="501" customWidth="1"/>
    <col min="9221" max="9221" width="19.140625" style="501" customWidth="1"/>
    <col min="9222" max="9222" width="14.28515625" style="501" customWidth="1"/>
    <col min="9223" max="9223" width="23.7109375" style="501" customWidth="1"/>
    <col min="9224" max="9224" width="16.140625" style="501" customWidth="1"/>
    <col min="9225" max="9225" width="15.140625" style="501" customWidth="1"/>
    <col min="9226" max="9466" width="9.140625" style="501"/>
    <col min="9467" max="9467" width="48.5703125" style="501" customWidth="1"/>
    <col min="9468" max="9469" width="23.7109375" style="501" customWidth="1"/>
    <col min="9470" max="9470" width="29.5703125" style="501" customWidth="1"/>
    <col min="9471" max="9476" width="23.7109375" style="501" customWidth="1"/>
    <col min="9477" max="9477" width="19.140625" style="501" customWidth="1"/>
    <col min="9478" max="9478" width="14.28515625" style="501" customWidth="1"/>
    <col min="9479" max="9479" width="23.7109375" style="501" customWidth="1"/>
    <col min="9480" max="9480" width="16.140625" style="501" customWidth="1"/>
    <col min="9481" max="9481" width="15.140625" style="501" customWidth="1"/>
    <col min="9482" max="9722" width="9.140625" style="501"/>
    <col min="9723" max="9723" width="48.5703125" style="501" customWidth="1"/>
    <col min="9724" max="9725" width="23.7109375" style="501" customWidth="1"/>
    <col min="9726" max="9726" width="29.5703125" style="501" customWidth="1"/>
    <col min="9727" max="9732" width="23.7109375" style="501" customWidth="1"/>
    <col min="9733" max="9733" width="19.140625" style="501" customWidth="1"/>
    <col min="9734" max="9734" width="14.28515625" style="501" customWidth="1"/>
    <col min="9735" max="9735" width="23.7109375" style="501" customWidth="1"/>
    <col min="9736" max="9736" width="16.140625" style="501" customWidth="1"/>
    <col min="9737" max="9737" width="15.140625" style="501" customWidth="1"/>
    <col min="9738" max="9978" width="9.140625" style="501"/>
    <col min="9979" max="9979" width="48.5703125" style="501" customWidth="1"/>
    <col min="9980" max="9981" width="23.7109375" style="501" customWidth="1"/>
    <col min="9982" max="9982" width="29.5703125" style="501" customWidth="1"/>
    <col min="9983" max="9988" width="23.7109375" style="501" customWidth="1"/>
    <col min="9989" max="9989" width="19.140625" style="501" customWidth="1"/>
    <col min="9990" max="9990" width="14.28515625" style="501" customWidth="1"/>
    <col min="9991" max="9991" width="23.7109375" style="501" customWidth="1"/>
    <col min="9992" max="9992" width="16.140625" style="501" customWidth="1"/>
    <col min="9993" max="9993" width="15.140625" style="501" customWidth="1"/>
    <col min="9994" max="10234" width="9.140625" style="501"/>
    <col min="10235" max="10235" width="48.5703125" style="501" customWidth="1"/>
    <col min="10236" max="10237" width="23.7109375" style="501" customWidth="1"/>
    <col min="10238" max="10238" width="29.5703125" style="501" customWidth="1"/>
    <col min="10239" max="10244" width="23.7109375" style="501" customWidth="1"/>
    <col min="10245" max="10245" width="19.140625" style="501" customWidth="1"/>
    <col min="10246" max="10246" width="14.28515625" style="501" customWidth="1"/>
    <col min="10247" max="10247" width="23.7109375" style="501" customWidth="1"/>
    <col min="10248" max="10248" width="16.140625" style="501" customWidth="1"/>
    <col min="10249" max="10249" width="15.140625" style="501" customWidth="1"/>
    <col min="10250" max="10490" width="9.140625" style="501"/>
    <col min="10491" max="10491" width="48.5703125" style="501" customWidth="1"/>
    <col min="10492" max="10493" width="23.7109375" style="501" customWidth="1"/>
    <col min="10494" max="10494" width="29.5703125" style="501" customWidth="1"/>
    <col min="10495" max="10500" width="23.7109375" style="501" customWidth="1"/>
    <col min="10501" max="10501" width="19.140625" style="501" customWidth="1"/>
    <col min="10502" max="10502" width="14.28515625" style="501" customWidth="1"/>
    <col min="10503" max="10503" width="23.7109375" style="501" customWidth="1"/>
    <col min="10504" max="10504" width="16.140625" style="501" customWidth="1"/>
    <col min="10505" max="10505" width="15.140625" style="501" customWidth="1"/>
    <col min="10506" max="10746" width="9.140625" style="501"/>
    <col min="10747" max="10747" width="48.5703125" style="501" customWidth="1"/>
    <col min="10748" max="10749" width="23.7109375" style="501" customWidth="1"/>
    <col min="10750" max="10750" width="29.5703125" style="501" customWidth="1"/>
    <col min="10751" max="10756" width="23.7109375" style="501" customWidth="1"/>
    <col min="10757" max="10757" width="19.140625" style="501" customWidth="1"/>
    <col min="10758" max="10758" width="14.28515625" style="501" customWidth="1"/>
    <col min="10759" max="10759" width="23.7109375" style="501" customWidth="1"/>
    <col min="10760" max="10760" width="16.140625" style="501" customWidth="1"/>
    <col min="10761" max="10761" width="15.140625" style="501" customWidth="1"/>
    <col min="10762" max="11002" width="9.140625" style="501"/>
    <col min="11003" max="11003" width="48.5703125" style="501" customWidth="1"/>
    <col min="11004" max="11005" width="23.7109375" style="501" customWidth="1"/>
    <col min="11006" max="11006" width="29.5703125" style="501" customWidth="1"/>
    <col min="11007" max="11012" width="23.7109375" style="501" customWidth="1"/>
    <col min="11013" max="11013" width="19.140625" style="501" customWidth="1"/>
    <col min="11014" max="11014" width="14.28515625" style="501" customWidth="1"/>
    <col min="11015" max="11015" width="23.7109375" style="501" customWidth="1"/>
    <col min="11016" max="11016" width="16.140625" style="501" customWidth="1"/>
    <col min="11017" max="11017" width="15.140625" style="501" customWidth="1"/>
    <col min="11018" max="11258" width="9.140625" style="501"/>
    <col min="11259" max="11259" width="48.5703125" style="501" customWidth="1"/>
    <col min="11260" max="11261" width="23.7109375" style="501" customWidth="1"/>
    <col min="11262" max="11262" width="29.5703125" style="501" customWidth="1"/>
    <col min="11263" max="11268" width="23.7109375" style="501" customWidth="1"/>
    <col min="11269" max="11269" width="19.140625" style="501" customWidth="1"/>
    <col min="11270" max="11270" width="14.28515625" style="501" customWidth="1"/>
    <col min="11271" max="11271" width="23.7109375" style="501" customWidth="1"/>
    <col min="11272" max="11272" width="16.140625" style="501" customWidth="1"/>
    <col min="11273" max="11273" width="15.140625" style="501" customWidth="1"/>
    <col min="11274" max="11514" width="9.140625" style="501"/>
    <col min="11515" max="11515" width="48.5703125" style="501" customWidth="1"/>
    <col min="11516" max="11517" width="23.7109375" style="501" customWidth="1"/>
    <col min="11518" max="11518" width="29.5703125" style="501" customWidth="1"/>
    <col min="11519" max="11524" width="23.7109375" style="501" customWidth="1"/>
    <col min="11525" max="11525" width="19.140625" style="501" customWidth="1"/>
    <col min="11526" max="11526" width="14.28515625" style="501" customWidth="1"/>
    <col min="11527" max="11527" width="23.7109375" style="501" customWidth="1"/>
    <col min="11528" max="11528" width="16.140625" style="501" customWidth="1"/>
    <col min="11529" max="11529" width="15.140625" style="501" customWidth="1"/>
    <col min="11530" max="11770" width="9.140625" style="501"/>
    <col min="11771" max="11771" width="48.5703125" style="501" customWidth="1"/>
    <col min="11772" max="11773" width="23.7109375" style="501" customWidth="1"/>
    <col min="11774" max="11774" width="29.5703125" style="501" customWidth="1"/>
    <col min="11775" max="11780" width="23.7109375" style="501" customWidth="1"/>
    <col min="11781" max="11781" width="19.140625" style="501" customWidth="1"/>
    <col min="11782" max="11782" width="14.28515625" style="501" customWidth="1"/>
    <col min="11783" max="11783" width="23.7109375" style="501" customWidth="1"/>
    <col min="11784" max="11784" width="16.140625" style="501" customWidth="1"/>
    <col min="11785" max="11785" width="15.140625" style="501" customWidth="1"/>
    <col min="11786" max="12026" width="9.140625" style="501"/>
    <col min="12027" max="12027" width="48.5703125" style="501" customWidth="1"/>
    <col min="12028" max="12029" width="23.7109375" style="501" customWidth="1"/>
    <col min="12030" max="12030" width="29.5703125" style="501" customWidth="1"/>
    <col min="12031" max="12036" width="23.7109375" style="501" customWidth="1"/>
    <col min="12037" max="12037" width="19.140625" style="501" customWidth="1"/>
    <col min="12038" max="12038" width="14.28515625" style="501" customWidth="1"/>
    <col min="12039" max="12039" width="23.7109375" style="501" customWidth="1"/>
    <col min="12040" max="12040" width="16.140625" style="501" customWidth="1"/>
    <col min="12041" max="12041" width="15.140625" style="501" customWidth="1"/>
    <col min="12042" max="12282" width="9.140625" style="501"/>
    <col min="12283" max="12283" width="48.5703125" style="501" customWidth="1"/>
    <col min="12284" max="12285" width="23.7109375" style="501" customWidth="1"/>
    <col min="12286" max="12286" width="29.5703125" style="501" customWidth="1"/>
    <col min="12287" max="12292" width="23.7109375" style="501" customWidth="1"/>
    <col min="12293" max="12293" width="19.140625" style="501" customWidth="1"/>
    <col min="12294" max="12294" width="14.28515625" style="501" customWidth="1"/>
    <col min="12295" max="12295" width="23.7109375" style="501" customWidth="1"/>
    <col min="12296" max="12296" width="16.140625" style="501" customWidth="1"/>
    <col min="12297" max="12297" width="15.140625" style="501" customWidth="1"/>
    <col min="12298" max="12538" width="9.140625" style="501"/>
    <col min="12539" max="12539" width="48.5703125" style="501" customWidth="1"/>
    <col min="12540" max="12541" width="23.7109375" style="501" customWidth="1"/>
    <col min="12542" max="12542" width="29.5703125" style="501" customWidth="1"/>
    <col min="12543" max="12548" width="23.7109375" style="501" customWidth="1"/>
    <col min="12549" max="12549" width="19.140625" style="501" customWidth="1"/>
    <col min="12550" max="12550" width="14.28515625" style="501" customWidth="1"/>
    <col min="12551" max="12551" width="23.7109375" style="501" customWidth="1"/>
    <col min="12552" max="12552" width="16.140625" style="501" customWidth="1"/>
    <col min="12553" max="12553" width="15.140625" style="501" customWidth="1"/>
    <col min="12554" max="12794" width="9.140625" style="501"/>
    <col min="12795" max="12795" width="48.5703125" style="501" customWidth="1"/>
    <col min="12796" max="12797" width="23.7109375" style="501" customWidth="1"/>
    <col min="12798" max="12798" width="29.5703125" style="501" customWidth="1"/>
    <col min="12799" max="12804" width="23.7109375" style="501" customWidth="1"/>
    <col min="12805" max="12805" width="19.140625" style="501" customWidth="1"/>
    <col min="12806" max="12806" width="14.28515625" style="501" customWidth="1"/>
    <col min="12807" max="12807" width="23.7109375" style="501" customWidth="1"/>
    <col min="12808" max="12808" width="16.140625" style="501" customWidth="1"/>
    <col min="12809" max="12809" width="15.140625" style="501" customWidth="1"/>
    <col min="12810" max="13050" width="9.140625" style="501"/>
    <col min="13051" max="13051" width="48.5703125" style="501" customWidth="1"/>
    <col min="13052" max="13053" width="23.7109375" style="501" customWidth="1"/>
    <col min="13054" max="13054" width="29.5703125" style="501" customWidth="1"/>
    <col min="13055" max="13060" width="23.7109375" style="501" customWidth="1"/>
    <col min="13061" max="13061" width="19.140625" style="501" customWidth="1"/>
    <col min="13062" max="13062" width="14.28515625" style="501" customWidth="1"/>
    <col min="13063" max="13063" width="23.7109375" style="501" customWidth="1"/>
    <col min="13064" max="13064" width="16.140625" style="501" customWidth="1"/>
    <col min="13065" max="13065" width="15.140625" style="501" customWidth="1"/>
    <col min="13066" max="13306" width="9.140625" style="501"/>
    <col min="13307" max="13307" width="48.5703125" style="501" customWidth="1"/>
    <col min="13308" max="13309" width="23.7109375" style="501" customWidth="1"/>
    <col min="13310" max="13310" width="29.5703125" style="501" customWidth="1"/>
    <col min="13311" max="13316" width="23.7109375" style="501" customWidth="1"/>
    <col min="13317" max="13317" width="19.140625" style="501" customWidth="1"/>
    <col min="13318" max="13318" width="14.28515625" style="501" customWidth="1"/>
    <col min="13319" max="13319" width="23.7109375" style="501" customWidth="1"/>
    <col min="13320" max="13320" width="16.140625" style="501" customWidth="1"/>
    <col min="13321" max="13321" width="15.140625" style="501" customWidth="1"/>
    <col min="13322" max="13562" width="9.140625" style="501"/>
    <col min="13563" max="13563" width="48.5703125" style="501" customWidth="1"/>
    <col min="13564" max="13565" width="23.7109375" style="501" customWidth="1"/>
    <col min="13566" max="13566" width="29.5703125" style="501" customWidth="1"/>
    <col min="13567" max="13572" width="23.7109375" style="501" customWidth="1"/>
    <col min="13573" max="13573" width="19.140625" style="501" customWidth="1"/>
    <col min="13574" max="13574" width="14.28515625" style="501" customWidth="1"/>
    <col min="13575" max="13575" width="23.7109375" style="501" customWidth="1"/>
    <col min="13576" max="13576" width="16.140625" style="501" customWidth="1"/>
    <col min="13577" max="13577" width="15.140625" style="501" customWidth="1"/>
    <col min="13578" max="13818" width="9.140625" style="501"/>
    <col min="13819" max="13819" width="48.5703125" style="501" customWidth="1"/>
    <col min="13820" max="13821" width="23.7109375" style="501" customWidth="1"/>
    <col min="13822" max="13822" width="29.5703125" style="501" customWidth="1"/>
    <col min="13823" max="13828" width="23.7109375" style="501" customWidth="1"/>
    <col min="13829" max="13829" width="19.140625" style="501" customWidth="1"/>
    <col min="13830" max="13830" width="14.28515625" style="501" customWidth="1"/>
    <col min="13831" max="13831" width="23.7109375" style="501" customWidth="1"/>
    <col min="13832" max="13832" width="16.140625" style="501" customWidth="1"/>
    <col min="13833" max="13833" width="15.140625" style="501" customWidth="1"/>
    <col min="13834" max="14074" width="9.140625" style="501"/>
    <col min="14075" max="14075" width="48.5703125" style="501" customWidth="1"/>
    <col min="14076" max="14077" width="23.7109375" style="501" customWidth="1"/>
    <col min="14078" max="14078" width="29.5703125" style="501" customWidth="1"/>
    <col min="14079" max="14084" width="23.7109375" style="501" customWidth="1"/>
    <col min="14085" max="14085" width="19.140625" style="501" customWidth="1"/>
    <col min="14086" max="14086" width="14.28515625" style="501" customWidth="1"/>
    <col min="14087" max="14087" width="23.7109375" style="501" customWidth="1"/>
    <col min="14088" max="14088" width="16.140625" style="501" customWidth="1"/>
    <col min="14089" max="14089" width="15.140625" style="501" customWidth="1"/>
    <col min="14090" max="14330" width="9.140625" style="501"/>
    <col min="14331" max="14331" width="48.5703125" style="501" customWidth="1"/>
    <col min="14332" max="14333" width="23.7109375" style="501" customWidth="1"/>
    <col min="14334" max="14334" width="29.5703125" style="501" customWidth="1"/>
    <col min="14335" max="14340" width="23.7109375" style="501" customWidth="1"/>
    <col min="14341" max="14341" width="19.140625" style="501" customWidth="1"/>
    <col min="14342" max="14342" width="14.28515625" style="501" customWidth="1"/>
    <col min="14343" max="14343" width="23.7109375" style="501" customWidth="1"/>
    <col min="14344" max="14344" width="16.140625" style="501" customWidth="1"/>
    <col min="14345" max="14345" width="15.140625" style="501" customWidth="1"/>
    <col min="14346" max="14586" width="9.140625" style="501"/>
    <col min="14587" max="14587" width="48.5703125" style="501" customWidth="1"/>
    <col min="14588" max="14589" width="23.7109375" style="501" customWidth="1"/>
    <col min="14590" max="14590" width="29.5703125" style="501" customWidth="1"/>
    <col min="14591" max="14596" width="23.7109375" style="501" customWidth="1"/>
    <col min="14597" max="14597" width="19.140625" style="501" customWidth="1"/>
    <col min="14598" max="14598" width="14.28515625" style="501" customWidth="1"/>
    <col min="14599" max="14599" width="23.7109375" style="501" customWidth="1"/>
    <col min="14600" max="14600" width="16.140625" style="501" customWidth="1"/>
    <col min="14601" max="14601" width="15.140625" style="501" customWidth="1"/>
    <col min="14602" max="14842" width="9.140625" style="501"/>
    <col min="14843" max="14843" width="48.5703125" style="501" customWidth="1"/>
    <col min="14844" max="14845" width="23.7109375" style="501" customWidth="1"/>
    <col min="14846" max="14846" width="29.5703125" style="501" customWidth="1"/>
    <col min="14847" max="14852" width="23.7109375" style="501" customWidth="1"/>
    <col min="14853" max="14853" width="19.140625" style="501" customWidth="1"/>
    <col min="14854" max="14854" width="14.28515625" style="501" customWidth="1"/>
    <col min="14855" max="14855" width="23.7109375" style="501" customWidth="1"/>
    <col min="14856" max="14856" width="16.140625" style="501" customWidth="1"/>
    <col min="14857" max="14857" width="15.140625" style="501" customWidth="1"/>
    <col min="14858" max="15098" width="9.140625" style="501"/>
    <col min="15099" max="15099" width="48.5703125" style="501" customWidth="1"/>
    <col min="15100" max="15101" width="23.7109375" style="501" customWidth="1"/>
    <col min="15102" max="15102" width="29.5703125" style="501" customWidth="1"/>
    <col min="15103" max="15108" width="23.7109375" style="501" customWidth="1"/>
    <col min="15109" max="15109" width="19.140625" style="501" customWidth="1"/>
    <col min="15110" max="15110" width="14.28515625" style="501" customWidth="1"/>
    <col min="15111" max="15111" width="23.7109375" style="501" customWidth="1"/>
    <col min="15112" max="15112" width="16.140625" style="501" customWidth="1"/>
    <col min="15113" max="15113" width="15.140625" style="501" customWidth="1"/>
    <col min="15114" max="15354" width="9.140625" style="501"/>
    <col min="15355" max="15355" width="48.5703125" style="501" customWidth="1"/>
    <col min="15356" max="15357" width="23.7109375" style="501" customWidth="1"/>
    <col min="15358" max="15358" width="29.5703125" style="501" customWidth="1"/>
    <col min="15359" max="15364" width="23.7109375" style="501" customWidth="1"/>
    <col min="15365" max="15365" width="19.140625" style="501" customWidth="1"/>
    <col min="15366" max="15366" width="14.28515625" style="501" customWidth="1"/>
    <col min="15367" max="15367" width="23.7109375" style="501" customWidth="1"/>
    <col min="15368" max="15368" width="16.140625" style="501" customWidth="1"/>
    <col min="15369" max="15369" width="15.140625" style="501" customWidth="1"/>
    <col min="15370" max="15610" width="9.140625" style="501"/>
    <col min="15611" max="15611" width="48.5703125" style="501" customWidth="1"/>
    <col min="15612" max="15613" width="23.7109375" style="501" customWidth="1"/>
    <col min="15614" max="15614" width="29.5703125" style="501" customWidth="1"/>
    <col min="15615" max="15620" width="23.7109375" style="501" customWidth="1"/>
    <col min="15621" max="15621" width="19.140625" style="501" customWidth="1"/>
    <col min="15622" max="15622" width="14.28515625" style="501" customWidth="1"/>
    <col min="15623" max="15623" width="23.7109375" style="501" customWidth="1"/>
    <col min="15624" max="15624" width="16.140625" style="501" customWidth="1"/>
    <col min="15625" max="15625" width="15.140625" style="501" customWidth="1"/>
    <col min="15626" max="15866" width="9.140625" style="501"/>
    <col min="15867" max="15867" width="48.5703125" style="501" customWidth="1"/>
    <col min="15868" max="15869" width="23.7109375" style="501" customWidth="1"/>
    <col min="15870" max="15870" width="29.5703125" style="501" customWidth="1"/>
    <col min="15871" max="15876" width="23.7109375" style="501" customWidth="1"/>
    <col min="15877" max="15877" width="19.140625" style="501" customWidth="1"/>
    <col min="15878" max="15878" width="14.28515625" style="501" customWidth="1"/>
    <col min="15879" max="15879" width="23.7109375" style="501" customWidth="1"/>
    <col min="15880" max="15880" width="16.140625" style="501" customWidth="1"/>
    <col min="15881" max="15881" width="15.140625" style="501" customWidth="1"/>
    <col min="15882" max="16122" width="9.140625" style="501"/>
    <col min="16123" max="16123" width="48.5703125" style="501" customWidth="1"/>
    <col min="16124" max="16125" width="23.7109375" style="501" customWidth="1"/>
    <col min="16126" max="16126" width="29.5703125" style="501" customWidth="1"/>
    <col min="16127" max="16132" width="23.7109375" style="501" customWidth="1"/>
    <col min="16133" max="16133" width="19.140625" style="501" customWidth="1"/>
    <col min="16134" max="16134" width="14.28515625" style="501" customWidth="1"/>
    <col min="16135" max="16135" width="23.7109375" style="501" customWidth="1"/>
    <col min="16136" max="16136" width="16.140625" style="501" customWidth="1"/>
    <col min="16137" max="16137" width="15.140625" style="501" customWidth="1"/>
    <col min="16138" max="16384" width="9.140625" style="501"/>
  </cols>
  <sheetData>
    <row r="1" spans="1:18" ht="57" customHeight="1">
      <c r="D1" s="1666" t="s">
        <v>611</v>
      </c>
      <c r="E1" s="1507" t="s">
        <v>214</v>
      </c>
      <c r="F1" s="1429">
        <v>18230688</v>
      </c>
      <c r="G1" s="1361" t="s">
        <v>28</v>
      </c>
      <c r="H1" s="1369"/>
      <c r="M1" s="1666" t="s">
        <v>611</v>
      </c>
      <c r="N1" s="1507" t="s">
        <v>214</v>
      </c>
      <c r="O1" s="1429">
        <v>18230688</v>
      </c>
      <c r="P1" s="1361" t="s">
        <v>28</v>
      </c>
    </row>
    <row r="2" spans="1:18" ht="16.5" thickBot="1">
      <c r="D2" s="481"/>
      <c r="E2" s="1349"/>
      <c r="F2" s="1349"/>
      <c r="G2" s="1354"/>
      <c r="H2" s="1178" t="s">
        <v>627</v>
      </c>
      <c r="I2" s="1354"/>
      <c r="J2" s="1354"/>
      <c r="K2" s="1354"/>
      <c r="L2" s="1354"/>
      <c r="M2" s="1354"/>
      <c r="N2" s="1354"/>
      <c r="O2" s="1354"/>
      <c r="P2" s="1354"/>
      <c r="Q2" s="1354"/>
    </row>
    <row r="3" spans="1:18" ht="26.25" thickBot="1">
      <c r="A3" s="1663" t="s">
        <v>611</v>
      </c>
      <c r="B3" s="1298"/>
      <c r="D3" s="39"/>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16.5" thickBot="1">
      <c r="A4" s="1506" t="s">
        <v>214</v>
      </c>
      <c r="B4" s="1298"/>
      <c r="E4" s="1413"/>
      <c r="F4" s="1413"/>
      <c r="G4" s="2946" t="s">
        <v>1726</v>
      </c>
      <c r="H4" s="2959">
        <f>D15</f>
        <v>25920.65</v>
      </c>
      <c r="I4" s="2960">
        <f>D21</f>
        <v>0</v>
      </c>
      <c r="J4" s="2960">
        <f>D27</f>
        <v>17289.073550000001</v>
      </c>
      <c r="K4" s="2960">
        <f>D37</f>
        <v>0</v>
      </c>
      <c r="L4" s="2960">
        <f>D43</f>
        <v>2000</v>
      </c>
      <c r="M4" s="2960">
        <f>D49</f>
        <v>0</v>
      </c>
      <c r="N4" s="2960">
        <f>D55</f>
        <v>0</v>
      </c>
      <c r="O4" s="2960">
        <f>D61</f>
        <v>0</v>
      </c>
      <c r="P4" s="2960">
        <v>0</v>
      </c>
      <c r="Q4" s="2960"/>
      <c r="R4" s="2979">
        <f>SUM(H4:P4)</f>
        <v>45209.723550000002</v>
      </c>
    </row>
    <row r="5" spans="1:18" ht="15.75">
      <c r="A5" s="1429">
        <v>18230688</v>
      </c>
      <c r="B5" s="501"/>
      <c r="E5" s="1413"/>
      <c r="F5" s="1413"/>
      <c r="G5" s="3205" t="s">
        <v>1753</v>
      </c>
      <c r="H5" s="2617">
        <v>26568.59</v>
      </c>
      <c r="I5" s="2618">
        <v>0</v>
      </c>
      <c r="J5" s="2618">
        <v>18066.641200000002</v>
      </c>
      <c r="K5" s="2618">
        <v>0</v>
      </c>
      <c r="L5" s="2618">
        <v>2000</v>
      </c>
      <c r="M5" s="2618">
        <v>0</v>
      </c>
      <c r="N5" s="2618">
        <v>0</v>
      </c>
      <c r="O5" s="2618">
        <v>0</v>
      </c>
      <c r="P5" s="2618">
        <v>0</v>
      </c>
      <c r="Q5" s="2618"/>
      <c r="R5" s="2735">
        <v>46635.231200000002</v>
      </c>
    </row>
    <row r="6" spans="1:18" ht="16.5" thickBot="1">
      <c r="A6" s="1357" t="s">
        <v>28</v>
      </c>
      <c r="B6" s="1429"/>
      <c r="C6" s="942"/>
      <c r="E6" s="1413"/>
      <c r="F6" s="1413"/>
      <c r="G6" s="3206" t="s">
        <v>1754</v>
      </c>
      <c r="H6" s="2621">
        <f>E15</f>
        <v>53412</v>
      </c>
      <c r="I6" s="2622">
        <f>E21</f>
        <v>0</v>
      </c>
      <c r="J6" s="2623">
        <f>E27</f>
        <v>47963.975999999995</v>
      </c>
      <c r="K6" s="2622">
        <f>E37</f>
        <v>0</v>
      </c>
      <c r="L6" s="2622">
        <f>E43</f>
        <v>3340</v>
      </c>
      <c r="M6" s="2622">
        <f>E49</f>
        <v>0</v>
      </c>
      <c r="N6" s="2622">
        <f>E55</f>
        <v>0</v>
      </c>
      <c r="O6" s="2622">
        <f>E61</f>
        <v>0</v>
      </c>
      <c r="P6" s="2622">
        <v>0</v>
      </c>
      <c r="Q6" s="2622"/>
      <c r="R6" s="2760">
        <f>SUM(H6:P6)</f>
        <v>104715.976</v>
      </c>
    </row>
    <row r="7" spans="1:18" s="18" customFormat="1">
      <c r="A7" s="1368"/>
      <c r="B7" s="1368"/>
      <c r="E7" s="1409"/>
      <c r="F7" s="1409"/>
      <c r="G7" s="2733"/>
      <c r="H7" s="2607"/>
      <c r="I7" s="2607"/>
      <c r="J7" s="2607"/>
      <c r="K7" s="2607"/>
      <c r="L7" s="2607"/>
      <c r="M7" s="2607"/>
      <c r="N7" s="2607"/>
      <c r="O7" s="2607"/>
      <c r="P7" s="2607"/>
      <c r="Q7" s="2607"/>
      <c r="R7" s="2607"/>
    </row>
    <row r="8" spans="1:18" s="18" customFormat="1" ht="25.5">
      <c r="B8" s="1357"/>
      <c r="E8" s="1409"/>
      <c r="F8" s="1409"/>
      <c r="G8" s="502"/>
      <c r="H8" s="2"/>
      <c r="I8" s="501"/>
      <c r="J8" s="501"/>
      <c r="K8" s="501"/>
      <c r="L8" s="501"/>
      <c r="M8" s="501"/>
      <c r="N8" s="501"/>
      <c r="O8" s="501"/>
      <c r="P8" s="21" t="s">
        <v>17</v>
      </c>
      <c r="Q8" s="501"/>
    </row>
    <row r="9" spans="1:18" s="18" customFormat="1">
      <c r="A9" s="28"/>
      <c r="B9" s="1410"/>
      <c r="E9" s="1409"/>
      <c r="F9" s="1409"/>
      <c r="G9" s="502"/>
      <c r="H9" s="2"/>
      <c r="I9" s="501"/>
      <c r="J9" s="501"/>
      <c r="K9" s="501"/>
      <c r="L9" s="501"/>
      <c r="M9" s="501"/>
      <c r="N9" s="501"/>
      <c r="O9" s="501"/>
      <c r="P9" s="21" t="s">
        <v>18</v>
      </c>
      <c r="Q9" s="501"/>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45209.723550000002</v>
      </c>
      <c r="E12" s="1484">
        <f>E15+E21+E27+E37+E43+E49+E55+E61</f>
        <v>104715.976</v>
      </c>
      <c r="F12" s="1462">
        <f>D12+E12</f>
        <v>149925.69954999999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25920.65</v>
      </c>
      <c r="E15" s="1464">
        <f>SUM(E16:E19)</f>
        <v>53412</v>
      </c>
      <c r="F15" s="1462">
        <f>SUM(F16:F19)</f>
        <v>79332.649999999994</v>
      </c>
      <c r="G15" s="29"/>
      <c r="H15" s="29"/>
    </row>
    <row r="16" spans="1:18" ht="13.5" customHeight="1">
      <c r="A16" s="21"/>
      <c r="B16" s="1592">
        <v>2</v>
      </c>
      <c r="C16" s="1591" t="s">
        <v>704</v>
      </c>
      <c r="D16" s="2772">
        <v>25920.65</v>
      </c>
      <c r="E16" s="1594">
        <v>20442</v>
      </c>
      <c r="F16" s="1426">
        <f>SUM(D16:E16)</f>
        <v>46362.65</v>
      </c>
    </row>
    <row r="17" spans="1:7" ht="13.5" customHeight="1">
      <c r="A17" s="21"/>
      <c r="B17" s="1592">
        <v>1</v>
      </c>
      <c r="C17" s="1591" t="s">
        <v>2594</v>
      </c>
      <c r="D17" s="2772"/>
      <c r="E17" s="1594">
        <v>12528</v>
      </c>
      <c r="F17" s="1438">
        <f>SUM(D17:E17)</f>
        <v>12528</v>
      </c>
    </row>
    <row r="18" spans="1:7" ht="13.5" customHeight="1">
      <c r="A18" s="21"/>
      <c r="B18" s="1592">
        <v>2</v>
      </c>
      <c r="C18" s="1591" t="s">
        <v>2593</v>
      </c>
      <c r="D18" s="2784"/>
      <c r="E18" s="1593">
        <v>20442</v>
      </c>
      <c r="F18" s="1438">
        <f>SUM(D18:E18)</f>
        <v>20442</v>
      </c>
    </row>
    <row r="19" spans="1:7" ht="13.5" customHeight="1">
      <c r="A19" s="21"/>
      <c r="B19" s="1592"/>
      <c r="C19" s="1591"/>
      <c r="D19" s="2772"/>
      <c r="E19" s="1594"/>
      <c r="F19" s="1438">
        <f>SUM(D19:E19)</f>
        <v>0</v>
      </c>
    </row>
    <row r="20" spans="1:7" ht="13.5" customHeight="1">
      <c r="A20" s="21"/>
      <c r="B20" s="1449">
        <f>SUM(B16:B19)</f>
        <v>5</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17289.073550000001</v>
      </c>
      <c r="E27" s="1657">
        <f>SUM(E29:E31)+SUM(E33:E35)</f>
        <v>47963.975999999995</v>
      </c>
      <c r="F27" s="1462">
        <f>SUM(F29:F35)</f>
        <v>65253.049549999996</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17289.073550000001</v>
      </c>
      <c r="E29" s="1504">
        <f>E15*E28</f>
        <v>36747.455999999998</v>
      </c>
      <c r="F29" s="1438">
        <f>SUM(D29:E29)</f>
        <v>54036.529549999999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0.21</v>
      </c>
      <c r="F32" s="1485"/>
    </row>
    <row r="33" spans="1:7" ht="13.5" customHeight="1">
      <c r="A33" s="21"/>
      <c r="B33" s="1350"/>
      <c r="C33" s="1667" t="s">
        <v>719</v>
      </c>
      <c r="D33" s="2778"/>
      <c r="E33" s="1641">
        <f>E15*E32</f>
        <v>11216.52</v>
      </c>
      <c r="F33" s="1661">
        <f>SUM(D33:E33)</f>
        <v>11216.52</v>
      </c>
    </row>
    <row r="34" spans="1:7" ht="13.5" customHeight="1">
      <c r="A34" s="425"/>
      <c r="B34" s="1412"/>
      <c r="C34" s="1667" t="s">
        <v>720</v>
      </c>
      <c r="D34" s="2785"/>
      <c r="E34" s="1641">
        <f>E21*E32</f>
        <v>0</v>
      </c>
      <c r="F34" s="1661">
        <f t="shared" ref="F34" si="0">SUM(D34:E34)</f>
        <v>0</v>
      </c>
      <c r="G34" s="37"/>
    </row>
    <row r="35" spans="1:7" ht="13.5" customHeight="1">
      <c r="A35" s="1663" t="s">
        <v>611</v>
      </c>
      <c r="B35" s="1410"/>
      <c r="C35" s="1445"/>
      <c r="D35" s="2775"/>
      <c r="E35" s="1444"/>
      <c r="F35" s="1661">
        <f>SUM(D35:E35)</f>
        <v>0</v>
      </c>
    </row>
    <row r="36" spans="1:7" s="18" customFormat="1" ht="13.5" customHeight="1">
      <c r="A36" s="1506" t="s">
        <v>214</v>
      </c>
      <c r="B36" s="1412"/>
      <c r="C36" s="1488"/>
      <c r="D36" s="2779"/>
      <c r="E36" s="1490"/>
      <c r="F36" s="1493"/>
    </row>
    <row r="37" spans="1:7" ht="13.5" customHeight="1">
      <c r="A37" s="1429">
        <v>18230688</v>
      </c>
      <c r="B37" s="1412"/>
      <c r="C37" s="1451" t="s">
        <v>46</v>
      </c>
      <c r="D37" s="2771">
        <v>0</v>
      </c>
      <c r="E37" s="1464">
        <v>0</v>
      </c>
      <c r="F37" s="1462">
        <v>0</v>
      </c>
    </row>
    <row r="38" spans="1:7" ht="13.5" customHeight="1">
      <c r="A38" s="1357" t="s">
        <v>28</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2000</v>
      </c>
      <c r="E43" s="1464">
        <f>SUM(E44:E47)</f>
        <v>3340</v>
      </c>
      <c r="F43" s="1462">
        <f t="shared" ref="F43:F59" si="1">SUM(D43:E43)</f>
        <v>5340</v>
      </c>
    </row>
    <row r="44" spans="1:7" ht="13.5" customHeight="1">
      <c r="A44" s="21"/>
      <c r="B44" s="1412"/>
      <c r="C44" s="1667" t="s">
        <v>705</v>
      </c>
      <c r="D44" s="2778">
        <v>1000</v>
      </c>
      <c r="E44" s="1672">
        <v>1000</v>
      </c>
      <c r="F44" s="1438">
        <f t="shared" si="1"/>
        <v>2000</v>
      </c>
    </row>
    <row r="45" spans="1:7" ht="13.5" customHeight="1">
      <c r="A45" s="21"/>
      <c r="B45" s="1412"/>
      <c r="C45" s="1667" t="s">
        <v>706</v>
      </c>
      <c r="D45" s="2778">
        <v>1000</v>
      </c>
      <c r="E45" s="1641">
        <v>2340</v>
      </c>
      <c r="F45" s="1438">
        <f t="shared" si="1"/>
        <v>3340</v>
      </c>
    </row>
    <row r="46" spans="1:7" ht="13.5" customHeight="1">
      <c r="A46" s="21"/>
      <c r="B46" s="1412"/>
      <c r="C46" s="1667"/>
      <c r="D46" s="2778"/>
      <c r="E46" s="1672"/>
      <c r="F46" s="1438">
        <f t="shared" si="1"/>
        <v>0</v>
      </c>
    </row>
    <row r="47" spans="1:7" ht="13.5" customHeight="1">
      <c r="A47" s="21"/>
      <c r="B47" s="1412"/>
      <c r="C47" s="1595"/>
      <c r="D47" s="2778"/>
      <c r="E47" s="1596"/>
      <c r="F47" s="1438">
        <f t="shared" si="1"/>
        <v>0</v>
      </c>
    </row>
    <row r="48" spans="1:7" ht="13.5" customHeight="1">
      <c r="A48" s="21"/>
      <c r="B48" s="1412"/>
      <c r="C48" s="1488"/>
      <c r="D48" s="2779"/>
      <c r="E48" s="1490"/>
      <c r="F48" s="1493"/>
    </row>
    <row r="49" spans="1:6" ht="13.5" customHeight="1">
      <c r="A49" s="21"/>
      <c r="B49" s="1412"/>
      <c r="C49" s="1451" t="s">
        <v>47</v>
      </c>
      <c r="D49" s="2771">
        <f>SUM(D50:D53)</f>
        <v>0</v>
      </c>
      <c r="E49" s="1464">
        <f>SUM(E50:E53)</f>
        <v>0</v>
      </c>
      <c r="F49" s="1462">
        <f t="shared" si="1"/>
        <v>0</v>
      </c>
    </row>
    <row r="50" spans="1:6" ht="13.5" customHeight="1">
      <c r="A50" s="21"/>
      <c r="B50" s="1412"/>
      <c r="C50" s="1595"/>
      <c r="D50" s="2778"/>
      <c r="E50" s="1520"/>
      <c r="F50" s="1438">
        <f t="shared" si="1"/>
        <v>0</v>
      </c>
    </row>
    <row r="51" spans="1:6" ht="13.5" customHeight="1">
      <c r="A51" s="21"/>
      <c r="B51" s="1412"/>
      <c r="C51" s="1595"/>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85"/>
      <c r="D56" s="2778"/>
      <c r="E56" s="1504"/>
      <c r="F56" s="1438">
        <f t="shared" si="1"/>
        <v>0</v>
      </c>
    </row>
    <row r="57" spans="1:6" ht="13.5" customHeight="1">
      <c r="A57" s="21"/>
      <c r="B57" s="1412"/>
      <c r="C57" s="1423"/>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I2" activePane="bottomRight" state="frozen"/>
      <selection pane="bottomRight" activeCell="H34" sqref="H34"/>
      <pageMargins left="0.2" right="0.21" top="0.38" bottom="0.4" header="0.3" footer="0.3"/>
      <pageSetup paperSize="17" scale="63" orientation="landscape" r:id="rId1"/>
    </customSheetView>
    <customSheetView guid="{074EB09C-6289-46D7-9513-012B68BCA7BF}" showGridLines="0" fitToPage="1">
      <pane xSplit="1" ySplit="1" topLeftCell="B2" activePane="bottomRight" state="frozen"/>
      <selection pane="bottomRight" activeCell="G4" sqref="G4:G6"/>
      <pageMargins left="0.2" right="0.21" top="0.38" bottom="0.4" header="0.3" footer="0.3"/>
      <pageSetup paperSize="17" scale="63" orientation="landscape" r:id="rId2"/>
    </customSheetView>
  </customSheetViews>
  <pageMargins left="0.2" right="0.21" top="0.38" bottom="0.4" header="0.3" footer="0.3"/>
  <pageSetup paperSize="3" scale="61" orientation="landscape" r:id="rId3"/>
  <drawing r:id="rId4"/>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ABF8F"/>
  </sheetPr>
  <dimension ref="A1:R72"/>
  <sheetViews>
    <sheetView showGridLines="0" workbookViewId="0">
      <pane xSplit="1" ySplit="1" topLeftCell="B2" activePane="bottomRight" state="frozen"/>
      <selection pane="topRight" activeCell="B1" sqref="B1"/>
      <selection pane="bottomLeft" activeCell="A2" sqref="A2"/>
      <selection pane="bottomRight" activeCell="E16" sqref="E16"/>
    </sheetView>
  </sheetViews>
  <sheetFormatPr defaultColWidth="9.140625" defaultRowHeight="12.75"/>
  <cols>
    <col min="1" max="1" width="18"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6384" width="9.140625" style="1652"/>
  </cols>
  <sheetData>
    <row r="1" spans="1:18" ht="57" customHeight="1">
      <c r="D1" s="1380" t="s">
        <v>612</v>
      </c>
      <c r="E1" s="1360" t="s">
        <v>22</v>
      </c>
      <c r="F1" s="1429">
        <v>18231005</v>
      </c>
      <c r="G1" s="1361" t="s">
        <v>28</v>
      </c>
      <c r="M1" s="1380" t="s">
        <v>612</v>
      </c>
      <c r="N1" s="1360" t="s">
        <v>22</v>
      </c>
      <c r="O1" s="1429">
        <v>18231005</v>
      </c>
      <c r="P1" s="1361" t="s">
        <v>28</v>
      </c>
    </row>
    <row r="2" spans="1:18" ht="16.5" thickBot="1">
      <c r="D2" s="1349"/>
      <c r="E2" s="1349"/>
      <c r="F2" s="1349"/>
      <c r="G2" s="1354"/>
      <c r="H2" s="1178" t="s">
        <v>627</v>
      </c>
      <c r="I2" s="1354"/>
      <c r="J2" s="1354"/>
      <c r="K2" s="1354"/>
      <c r="L2" s="1354"/>
      <c r="M2" s="1354"/>
      <c r="N2" s="1354"/>
      <c r="O2" s="1354"/>
      <c r="P2" s="1354"/>
      <c r="Q2" s="1354"/>
    </row>
    <row r="3" spans="1:18" ht="26.25" thickBot="1">
      <c r="A3" s="1392" t="s">
        <v>654</v>
      </c>
      <c r="B3" s="2146"/>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16.5" thickBot="1">
      <c r="A4" s="1663" t="s">
        <v>655</v>
      </c>
      <c r="B4" s="1298"/>
      <c r="D4" s="1652"/>
      <c r="E4" s="1652"/>
      <c r="G4" s="2946" t="s">
        <v>1726</v>
      </c>
      <c r="H4" s="2959">
        <f>D15</f>
        <v>64801.599999999999</v>
      </c>
      <c r="I4" s="2960">
        <f>D24</f>
        <v>0</v>
      </c>
      <c r="J4" s="2960">
        <f>D30</f>
        <v>43222.667200000004</v>
      </c>
      <c r="K4" s="2960">
        <f>D40</f>
        <v>0</v>
      </c>
      <c r="L4" s="2960">
        <f>D46</f>
        <v>2000</v>
      </c>
      <c r="M4" s="2960">
        <f>D52</f>
        <v>461100</v>
      </c>
      <c r="N4" s="2960">
        <f>D58</f>
        <v>0</v>
      </c>
      <c r="O4" s="2960">
        <f>D64</f>
        <v>0</v>
      </c>
      <c r="P4" s="2960">
        <v>0</v>
      </c>
      <c r="Q4" s="2960"/>
      <c r="R4" s="2979">
        <f>SUM(H4:P4)</f>
        <v>571124.2672</v>
      </c>
    </row>
    <row r="5" spans="1:18" ht="15.75">
      <c r="A5" s="1506" t="s">
        <v>22</v>
      </c>
      <c r="E5" s="1662"/>
      <c r="F5" s="1662"/>
      <c r="G5" s="3205" t="s">
        <v>1753</v>
      </c>
      <c r="H5" s="2617">
        <v>66421.5</v>
      </c>
      <c r="I5" s="2618">
        <v>0</v>
      </c>
      <c r="J5" s="2618">
        <v>45166.62</v>
      </c>
      <c r="K5" s="2618">
        <v>0</v>
      </c>
      <c r="L5" s="2618">
        <v>2000</v>
      </c>
      <c r="M5" s="2618">
        <v>16900</v>
      </c>
      <c r="N5" s="2618">
        <v>0</v>
      </c>
      <c r="O5" s="2618">
        <v>0</v>
      </c>
      <c r="P5" s="2618">
        <v>0</v>
      </c>
      <c r="Q5" s="2618"/>
      <c r="R5" s="2735">
        <v>130488.12</v>
      </c>
    </row>
    <row r="6" spans="1:18" ht="16.5" thickBot="1">
      <c r="A6" s="1429">
        <v>18231005</v>
      </c>
      <c r="B6" s="1429"/>
      <c r="C6" s="1352"/>
      <c r="D6" s="1652"/>
      <c r="E6" s="1652"/>
      <c r="G6" s="3206" t="s">
        <v>1754</v>
      </c>
      <c r="H6" s="2621">
        <f>E15</f>
        <v>76525.67</v>
      </c>
      <c r="I6" s="2622">
        <f>E24</f>
        <v>0</v>
      </c>
      <c r="J6" s="2623">
        <f>E30</f>
        <v>68720.051659999997</v>
      </c>
      <c r="K6" s="2622">
        <f>E40</f>
        <v>0</v>
      </c>
      <c r="L6" s="2622">
        <f>E46</f>
        <v>2000</v>
      </c>
      <c r="M6" s="2622">
        <f>E52</f>
        <v>16900</v>
      </c>
      <c r="N6" s="2622">
        <f>E58</f>
        <v>0</v>
      </c>
      <c r="O6" s="2622">
        <f>E64</f>
        <v>0</v>
      </c>
      <c r="P6" s="2622">
        <v>0</v>
      </c>
      <c r="Q6" s="2622"/>
      <c r="R6" s="2760">
        <f>SUM(H6:P6)</f>
        <v>164145.72165999998</v>
      </c>
    </row>
    <row r="7" spans="1:18" s="1664" customFormat="1">
      <c r="A7" s="1508" t="s">
        <v>28</v>
      </c>
      <c r="B7" s="1665"/>
      <c r="G7" s="2733"/>
      <c r="H7" s="2607"/>
      <c r="I7" s="2607"/>
      <c r="J7" s="2607"/>
      <c r="K7" s="2607"/>
      <c r="L7" s="2607"/>
      <c r="M7" s="2607"/>
      <c r="N7" s="2607"/>
      <c r="O7" s="2607"/>
      <c r="P7" s="2607"/>
      <c r="Q7" s="2607"/>
      <c r="R7" s="2607"/>
    </row>
    <row r="8" spans="1:18" s="1664" customFormat="1" ht="25.5">
      <c r="B8" s="214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c r="A11" s="1653"/>
      <c r="B11" s="1653"/>
      <c r="D11" s="1652"/>
      <c r="E11" s="1663"/>
    </row>
    <row r="12" spans="1:18">
      <c r="A12" s="1653"/>
      <c r="B12" s="1653"/>
      <c r="C12" s="1434" t="s">
        <v>298</v>
      </c>
      <c r="D12" s="2766">
        <f>D15+D24+D30+D40+D46+D52+D58+D64</f>
        <v>571124.2672</v>
      </c>
      <c r="E12" s="1484">
        <f>E15+E24+E30+E40+E46+E52+E58+E64</f>
        <v>164145.72165999998</v>
      </c>
      <c r="F12" s="1638">
        <f>D12+E12</f>
        <v>735269.98885999992</v>
      </c>
    </row>
    <row r="13" spans="1:18" ht="15.75">
      <c r="A13" s="1653"/>
      <c r="B13" s="1410"/>
      <c r="C13" s="1483"/>
      <c r="D13" s="2767"/>
      <c r="E13" s="1336"/>
      <c r="G13" s="1351"/>
      <c r="H13" s="1351"/>
    </row>
    <row r="14" spans="1:18" s="1664" customFormat="1" ht="15.75">
      <c r="A14" s="1410"/>
      <c r="B14" s="1410"/>
      <c r="C14" s="1435" t="s">
        <v>42</v>
      </c>
      <c r="D14" s="2768">
        <v>2016</v>
      </c>
      <c r="E14" s="1502">
        <v>2017</v>
      </c>
      <c r="F14" s="1486" t="s">
        <v>20</v>
      </c>
      <c r="G14" s="1345"/>
      <c r="H14" s="1345"/>
    </row>
    <row r="15" spans="1:18" s="1664" customFormat="1" ht="15.75">
      <c r="A15" s="1410"/>
      <c r="B15" s="1433" t="s">
        <v>296</v>
      </c>
      <c r="C15" s="1597" t="s">
        <v>43</v>
      </c>
      <c r="D15" s="2771">
        <f>SUM(D16:D22)</f>
        <v>64801.599999999999</v>
      </c>
      <c r="E15" s="1657">
        <f>SUM(E16:E22)</f>
        <v>76525.67</v>
      </c>
      <c r="F15" s="1602">
        <f>SUM(F16:F22)</f>
        <v>141327.27000000002</v>
      </c>
      <c r="G15" s="1345"/>
      <c r="H15" s="1345"/>
    </row>
    <row r="16" spans="1:18">
      <c r="A16" s="1653"/>
      <c r="B16" s="1982">
        <v>0.13</v>
      </c>
      <c r="C16" s="1667" t="s">
        <v>707</v>
      </c>
      <c r="D16" s="2772">
        <v>12960.32</v>
      </c>
      <c r="E16" s="1669">
        <v>12528</v>
      </c>
      <c r="F16" s="1426">
        <f>SUM(D16:E16)</f>
        <v>25488.32</v>
      </c>
    </row>
    <row r="17" spans="1:7">
      <c r="A17" s="1653"/>
      <c r="B17" s="1982">
        <v>0.13</v>
      </c>
      <c r="C17" s="1667" t="s">
        <v>708</v>
      </c>
      <c r="D17" s="2772">
        <v>12960.32</v>
      </c>
      <c r="E17" s="1669">
        <v>10221</v>
      </c>
      <c r="F17" s="1426">
        <f t="shared" ref="F17:F21" si="0">SUM(D17:E17)</f>
        <v>23181.32</v>
      </c>
    </row>
    <row r="18" spans="1:7">
      <c r="A18" s="1653"/>
      <c r="B18" s="1982">
        <v>0.13</v>
      </c>
      <c r="C18" s="1667" t="s">
        <v>709</v>
      </c>
      <c r="D18" s="2772">
        <v>12960.32</v>
      </c>
      <c r="E18" s="1669">
        <v>10221</v>
      </c>
      <c r="F18" s="1426">
        <f t="shared" si="0"/>
        <v>23181.32</v>
      </c>
    </row>
    <row r="19" spans="1:7">
      <c r="A19" s="1653"/>
      <c r="B19" s="1982">
        <v>0.13</v>
      </c>
      <c r="C19" s="1667" t="s">
        <v>710</v>
      </c>
      <c r="D19" s="2772">
        <v>12960.32</v>
      </c>
      <c r="E19" s="1669">
        <v>10221</v>
      </c>
      <c r="F19" s="1426">
        <f>SUM(D19:E19)</f>
        <v>23181.32</v>
      </c>
    </row>
    <row r="20" spans="1:7">
      <c r="A20" s="1653"/>
      <c r="B20" s="1982">
        <v>0.13</v>
      </c>
      <c r="C20" s="1667" t="s">
        <v>711</v>
      </c>
      <c r="D20" s="2784">
        <v>12960.32</v>
      </c>
      <c r="E20" s="1669">
        <v>10221</v>
      </c>
      <c r="F20" s="1426">
        <f t="shared" si="0"/>
        <v>23181.32</v>
      </c>
    </row>
    <row r="21" spans="1:7">
      <c r="A21" s="1653"/>
      <c r="B21" s="1982">
        <v>0.13</v>
      </c>
      <c r="C21" s="1667" t="s">
        <v>710</v>
      </c>
      <c r="D21" s="2784"/>
      <c r="E21" s="1669">
        <v>10221</v>
      </c>
      <c r="F21" s="1426">
        <f t="shared" si="0"/>
        <v>10221</v>
      </c>
    </row>
    <row r="22" spans="1:7">
      <c r="A22" s="1653"/>
      <c r="B22" s="1982">
        <v>0.18</v>
      </c>
      <c r="C22" s="1667" t="s">
        <v>2595</v>
      </c>
      <c r="D22" s="2794"/>
      <c r="E22" s="1578">
        <v>12892.67</v>
      </c>
      <c r="F22" s="1661">
        <f>SUM(D22:E22)</f>
        <v>12892.67</v>
      </c>
    </row>
    <row r="23" spans="1:7">
      <c r="A23" s="1653"/>
      <c r="B23" s="1449">
        <f>SUM(B16:B22)</f>
        <v>0.96</v>
      </c>
      <c r="C23" s="1488"/>
      <c r="D23" s="2770"/>
      <c r="E23" s="1490"/>
      <c r="F23" s="1492"/>
    </row>
    <row r="24" spans="1:7">
      <c r="A24" s="1653"/>
      <c r="B24" s="1653"/>
      <c r="C24" s="1597" t="s">
        <v>44</v>
      </c>
      <c r="D24" s="2771">
        <f>SUM(D25:D28)</f>
        <v>0</v>
      </c>
      <c r="E24" s="1464">
        <f>SUM(E25:E28)</f>
        <v>0</v>
      </c>
      <c r="F24" s="1638">
        <f>SUM(F25:F28)</f>
        <v>0</v>
      </c>
      <c r="G24" s="1346" t="s">
        <v>6</v>
      </c>
    </row>
    <row r="25" spans="1:7">
      <c r="A25" s="1653"/>
      <c r="B25" s="1653"/>
      <c r="C25" s="1667"/>
      <c r="D25" s="2772"/>
      <c r="E25" s="1669"/>
      <c r="F25" s="1426">
        <f>SUM(D25:E25)</f>
        <v>0</v>
      </c>
      <c r="G25" s="1347"/>
    </row>
    <row r="26" spans="1:7">
      <c r="A26" s="1653"/>
      <c r="B26" s="1653"/>
      <c r="C26" s="1667"/>
      <c r="D26" s="2773"/>
      <c r="E26" s="1444"/>
      <c r="F26" s="1661">
        <f>SUM(D26:E26)</f>
        <v>0</v>
      </c>
    </row>
    <row r="27" spans="1:7">
      <c r="A27" s="1653"/>
      <c r="B27" s="1410"/>
      <c r="C27" s="1667"/>
      <c r="D27" s="2774"/>
      <c r="E27" s="1443"/>
      <c r="F27" s="1661">
        <f>SUM(D27:E27)</f>
        <v>0</v>
      </c>
    </row>
    <row r="28" spans="1:7" s="1664" customFormat="1">
      <c r="A28" s="1410"/>
      <c r="B28" s="1653"/>
      <c r="C28" s="1667"/>
      <c r="D28" s="2775"/>
      <c r="E28" s="1444"/>
      <c r="F28" s="1661">
        <f>SUM(D28:E28)</f>
        <v>0</v>
      </c>
    </row>
    <row r="29" spans="1:7">
      <c r="A29" s="1653"/>
      <c r="B29" s="1410"/>
      <c r="C29" s="1424"/>
      <c r="D29" s="2776"/>
      <c r="E29" s="1431"/>
      <c r="F29" s="1439"/>
    </row>
    <row r="30" spans="1:7" s="1664" customFormat="1">
      <c r="A30" s="1410"/>
      <c r="B30" s="1653"/>
      <c r="C30" s="1597" t="s">
        <v>45</v>
      </c>
      <c r="D30" s="2771">
        <f>SUM(D32:D38)</f>
        <v>43222.667200000004</v>
      </c>
      <c r="E30" s="1657">
        <f>SUM(E32:E34)+SUM(E36:E38)</f>
        <v>68720.051659999997</v>
      </c>
      <c r="F30" s="1638">
        <f>SUM(F32:F38)</f>
        <v>111942.71886000001</v>
      </c>
    </row>
    <row r="31" spans="1:7">
      <c r="A31" s="1653"/>
      <c r="B31" s="1653"/>
      <c r="C31" s="1450" t="s">
        <v>1733</v>
      </c>
      <c r="D31" s="2777">
        <v>0.66700000000000004</v>
      </c>
      <c r="E31" s="1452">
        <v>0.68799999999999994</v>
      </c>
      <c r="F31" s="1485"/>
    </row>
    <row r="32" spans="1:7">
      <c r="A32" s="1653"/>
      <c r="B32" s="1653"/>
      <c r="C32" s="1667" t="s">
        <v>719</v>
      </c>
      <c r="D32" s="2778">
        <f>D15*D31</f>
        <v>43222.667200000004</v>
      </c>
      <c r="E32" s="1641">
        <f>E15*E31</f>
        <v>52649.660959999994</v>
      </c>
      <c r="F32" s="1661">
        <f>SUM(D32:E32)</f>
        <v>95872.328160000005</v>
      </c>
    </row>
    <row r="33" spans="1:7">
      <c r="A33" s="1653"/>
      <c r="B33" s="1653"/>
      <c r="C33" s="1667" t="s">
        <v>720</v>
      </c>
      <c r="D33" s="2785"/>
      <c r="E33" s="1641"/>
      <c r="F33" s="1661">
        <f>SUM(D33:E33)</f>
        <v>0</v>
      </c>
    </row>
    <row r="34" spans="1:7">
      <c r="A34" s="1653"/>
      <c r="B34" s="1653"/>
      <c r="C34" s="1667"/>
      <c r="D34" s="2774"/>
      <c r="E34" s="1443"/>
      <c r="F34" s="1661">
        <f>SUM(D34:E34)</f>
        <v>0</v>
      </c>
    </row>
    <row r="35" spans="1:7">
      <c r="A35" s="1653"/>
      <c r="B35" s="1653"/>
      <c r="C35" s="1450" t="s">
        <v>1734</v>
      </c>
      <c r="D35" s="2777"/>
      <c r="E35" s="1452">
        <v>0.21</v>
      </c>
      <c r="F35" s="1485"/>
    </row>
    <row r="36" spans="1:7">
      <c r="A36" s="1653"/>
      <c r="B36" s="1350"/>
      <c r="C36" s="1667" t="s">
        <v>719</v>
      </c>
      <c r="D36" s="2778"/>
      <c r="E36" s="1641">
        <f>E15*E35</f>
        <v>16070.3907</v>
      </c>
      <c r="F36" s="1661">
        <f>SUM(D36:E36)</f>
        <v>16070.3907</v>
      </c>
    </row>
    <row r="37" spans="1:7">
      <c r="A37" s="1350"/>
      <c r="B37" s="1653"/>
      <c r="C37" s="1667" t="s">
        <v>720</v>
      </c>
      <c r="D37" s="2785"/>
      <c r="E37" s="1641">
        <f>E24*E35</f>
        <v>0</v>
      </c>
      <c r="F37" s="1661">
        <f t="shared" ref="F37" si="1">SUM(D37:E37)</f>
        <v>0</v>
      </c>
      <c r="G37" s="1348"/>
    </row>
    <row r="38" spans="1:7">
      <c r="A38" s="1392" t="s">
        <v>654</v>
      </c>
      <c r="B38" s="1410"/>
      <c r="C38" s="1445"/>
      <c r="D38" s="2775"/>
      <c r="E38" s="1444"/>
      <c r="F38" s="1661">
        <f>SUM(D38:E38)</f>
        <v>0</v>
      </c>
    </row>
    <row r="39" spans="1:7" s="1664" customFormat="1">
      <c r="A39" s="1663" t="s">
        <v>655</v>
      </c>
      <c r="B39" s="1653"/>
      <c r="C39" s="1488"/>
      <c r="D39" s="2779"/>
      <c r="E39" s="1490"/>
      <c r="F39" s="1493"/>
    </row>
    <row r="40" spans="1:7">
      <c r="A40" s="1506" t="s">
        <v>22</v>
      </c>
      <c r="B40" s="1653"/>
      <c r="C40" s="1597" t="s">
        <v>46</v>
      </c>
      <c r="D40" s="2771">
        <v>0</v>
      </c>
      <c r="E40" s="1464">
        <v>0</v>
      </c>
      <c r="F40" s="1638">
        <v>0</v>
      </c>
    </row>
    <row r="41" spans="1:7">
      <c r="A41" s="1429">
        <v>18231005</v>
      </c>
      <c r="B41" s="1653"/>
      <c r="C41" s="1667"/>
      <c r="D41" s="2778"/>
      <c r="E41" s="1672"/>
      <c r="F41" s="1661">
        <v>0</v>
      </c>
    </row>
    <row r="42" spans="1:7">
      <c r="A42" s="1508" t="s">
        <v>28</v>
      </c>
      <c r="B42" s="1653"/>
      <c r="C42" s="1667"/>
      <c r="D42" s="2778"/>
      <c r="E42" s="1672"/>
      <c r="F42" s="1661">
        <v>0</v>
      </c>
    </row>
    <row r="43" spans="1:7">
      <c r="A43" s="1664"/>
      <c r="B43" s="1653"/>
      <c r="C43" s="1667"/>
      <c r="D43" s="2778"/>
      <c r="E43" s="1672"/>
      <c r="F43" s="1661">
        <v>0</v>
      </c>
    </row>
    <row r="44" spans="1:7">
      <c r="A44" s="1653"/>
      <c r="B44" s="1653"/>
      <c r="C44" s="1667"/>
      <c r="D44" s="2778"/>
      <c r="E44" s="1672"/>
      <c r="F44" s="1661">
        <v>0</v>
      </c>
    </row>
    <row r="45" spans="1:7">
      <c r="A45" s="1653"/>
      <c r="B45" s="1653"/>
      <c r="C45" s="1488"/>
      <c r="D45" s="2779"/>
      <c r="E45" s="1490"/>
      <c r="F45" s="1493"/>
    </row>
    <row r="46" spans="1:7">
      <c r="A46" s="1653"/>
      <c r="B46" s="1653"/>
      <c r="C46" s="1597" t="s">
        <v>483</v>
      </c>
      <c r="D46" s="2771">
        <f>SUM(D47:D50)</f>
        <v>2000</v>
      </c>
      <c r="E46" s="1464">
        <f>SUM(E47:E50)</f>
        <v>2000</v>
      </c>
      <c r="F46" s="1638">
        <f t="shared" ref="F46:F62" si="2">SUM(D46:E46)</f>
        <v>4000</v>
      </c>
    </row>
    <row r="47" spans="1:7">
      <c r="A47" s="1653"/>
      <c r="B47" s="1653"/>
      <c r="C47" s="1667" t="s">
        <v>712</v>
      </c>
      <c r="D47" s="2778">
        <v>2000</v>
      </c>
      <c r="E47" s="1672">
        <v>2000</v>
      </c>
      <c r="F47" s="1661">
        <f t="shared" si="2"/>
        <v>4000</v>
      </c>
    </row>
    <row r="48" spans="1:7">
      <c r="A48" s="1653"/>
      <c r="B48" s="1653"/>
      <c r="C48" s="1667"/>
      <c r="D48" s="2778"/>
      <c r="E48" s="1672"/>
      <c r="F48" s="1661">
        <f t="shared" si="2"/>
        <v>0</v>
      </c>
    </row>
    <row r="49" spans="1:7">
      <c r="A49" s="1653"/>
      <c r="B49" s="1653"/>
      <c r="C49" s="1667"/>
      <c r="D49" s="2778"/>
      <c r="E49" s="1672"/>
      <c r="F49" s="1661">
        <f t="shared" si="2"/>
        <v>0</v>
      </c>
    </row>
    <row r="50" spans="1:7">
      <c r="A50" s="1653"/>
      <c r="B50" s="1653"/>
      <c r="C50" s="1667"/>
      <c r="D50" s="2778"/>
      <c r="E50" s="1672"/>
      <c r="F50" s="1661">
        <f t="shared" si="2"/>
        <v>0</v>
      </c>
    </row>
    <row r="51" spans="1:7">
      <c r="A51" s="1653"/>
      <c r="B51" s="1653"/>
      <c r="C51" s="1488"/>
      <c r="D51" s="2779"/>
      <c r="E51" s="1490"/>
      <c r="F51" s="1493"/>
    </row>
    <row r="52" spans="1:7">
      <c r="A52" s="1653"/>
      <c r="B52" s="1653"/>
      <c r="C52" s="1597" t="s">
        <v>47</v>
      </c>
      <c r="D52" s="2780">
        <f>SUM(D53:D56)</f>
        <v>461100</v>
      </c>
      <c r="E52" s="1657">
        <f>SUM(E53:E56)</f>
        <v>16900</v>
      </c>
      <c r="F52" s="1638">
        <f t="shared" si="2"/>
        <v>478000</v>
      </c>
    </row>
    <row r="53" spans="1:7">
      <c r="A53" s="1653"/>
      <c r="B53" s="1653"/>
      <c r="C53" s="1667" t="s">
        <v>2596</v>
      </c>
      <c r="D53" s="2778">
        <v>348000</v>
      </c>
      <c r="E53" s="1672">
        <v>14300</v>
      </c>
      <c r="F53" s="1661">
        <f t="shared" si="2"/>
        <v>362300</v>
      </c>
    </row>
    <row r="54" spans="1:7">
      <c r="A54" s="1653"/>
      <c r="B54" s="1653"/>
      <c r="C54" s="1667" t="s">
        <v>1529</v>
      </c>
      <c r="D54" s="2778">
        <v>113100</v>
      </c>
      <c r="E54" s="1672">
        <v>2600</v>
      </c>
      <c r="F54" s="1661">
        <f t="shared" si="2"/>
        <v>115700</v>
      </c>
    </row>
    <row r="55" spans="1:7">
      <c r="A55" s="1653"/>
      <c r="B55" s="1653"/>
      <c r="C55" s="1667"/>
      <c r="D55" s="2778"/>
      <c r="E55" s="1672"/>
      <c r="F55" s="1661">
        <f t="shared" si="2"/>
        <v>0</v>
      </c>
    </row>
    <row r="56" spans="1:7">
      <c r="A56" s="1653"/>
      <c r="B56" s="1653"/>
      <c r="C56" s="1667"/>
      <c r="D56" s="2778"/>
      <c r="E56" s="1672"/>
      <c r="F56" s="1661">
        <f t="shared" si="2"/>
        <v>0</v>
      </c>
    </row>
    <row r="57" spans="1:7">
      <c r="A57" s="1653"/>
      <c r="B57" s="1653"/>
      <c r="C57" s="1488"/>
      <c r="D57" s="2779"/>
      <c r="E57" s="1490"/>
      <c r="F57" s="1493"/>
    </row>
    <row r="58" spans="1:7">
      <c r="A58" s="1653"/>
      <c r="B58" s="1653"/>
      <c r="C58" s="1597" t="s">
        <v>48</v>
      </c>
      <c r="D58" s="2780">
        <f>SUM(D59:D62)</f>
        <v>0</v>
      </c>
      <c r="E58" s="1657">
        <f>SUM(E59:E62)</f>
        <v>0</v>
      </c>
      <c r="F58" s="1638">
        <f t="shared" si="2"/>
        <v>0</v>
      </c>
    </row>
    <row r="59" spans="1:7">
      <c r="A59" s="1653"/>
      <c r="B59" s="1653"/>
      <c r="C59" s="1667"/>
      <c r="D59" s="2778"/>
      <c r="E59" s="1641"/>
      <c r="F59" s="1661">
        <f t="shared" si="2"/>
        <v>0</v>
      </c>
    </row>
    <row r="60" spans="1:7">
      <c r="A60" s="1653"/>
      <c r="B60" s="1653"/>
      <c r="C60" s="1667"/>
      <c r="D60" s="2778"/>
      <c r="E60" s="1641"/>
      <c r="F60" s="1661">
        <f>SUM(D60:E60)</f>
        <v>0</v>
      </c>
    </row>
    <row r="61" spans="1:7">
      <c r="A61" s="1653"/>
      <c r="B61" s="1653"/>
      <c r="C61" s="1667"/>
      <c r="D61" s="2778"/>
      <c r="E61" s="1641"/>
      <c r="F61" s="1661">
        <f t="shared" si="2"/>
        <v>0</v>
      </c>
    </row>
    <row r="62" spans="1:7">
      <c r="A62" s="1653"/>
      <c r="B62" s="1653"/>
      <c r="C62" s="1667"/>
      <c r="D62" s="2778"/>
      <c r="E62" s="1641"/>
      <c r="F62" s="1661">
        <f t="shared" si="2"/>
        <v>0</v>
      </c>
      <c r="G62" s="1652" t="s">
        <v>613</v>
      </c>
    </row>
    <row r="63" spans="1:7">
      <c r="A63" s="1653"/>
      <c r="B63" s="1653"/>
      <c r="C63" s="1488"/>
      <c r="D63" s="2779"/>
      <c r="E63" s="1490"/>
      <c r="F63" s="1493"/>
    </row>
    <row r="64" spans="1:7">
      <c r="A64" s="1653"/>
      <c r="C64" s="1597" t="s">
        <v>49</v>
      </c>
      <c r="D64" s="2780">
        <f>SUM(D65:D68)</f>
        <v>0</v>
      </c>
      <c r="E64" s="1657">
        <f>SUM(E65:E68)</f>
        <v>0</v>
      </c>
      <c r="F64" s="1602">
        <f>SUM(F65:F68)</f>
        <v>0</v>
      </c>
    </row>
    <row r="65" spans="3:6">
      <c r="C65" s="1667" t="s">
        <v>687</v>
      </c>
      <c r="D65" s="2778"/>
      <c r="E65" s="1672"/>
      <c r="F65" s="1661">
        <f>SUM(D65:E65)</f>
        <v>0</v>
      </c>
    </row>
    <row r="66" spans="3:6">
      <c r="C66" s="1667"/>
      <c r="D66" s="2778"/>
      <c r="E66" s="1672"/>
      <c r="F66" s="1661">
        <f>SUM(D66:E66)</f>
        <v>0</v>
      </c>
    </row>
    <row r="67" spans="3:6">
      <c r="C67" s="1667"/>
      <c r="D67" s="2778"/>
      <c r="E67" s="1672"/>
      <c r="F67" s="1437">
        <v>0</v>
      </c>
    </row>
    <row r="68" spans="3:6">
      <c r="C68" s="1667"/>
      <c r="D68" s="2778"/>
      <c r="E68" s="1672"/>
      <c r="F68" s="1661">
        <v>0</v>
      </c>
    </row>
    <row r="69" spans="3:6">
      <c r="C69" s="1597"/>
      <c r="D69" s="2771"/>
      <c r="E69" s="1464"/>
      <c r="F69" s="1638"/>
    </row>
    <row r="70" spans="3:6">
      <c r="C70" s="1500"/>
      <c r="D70" s="2781"/>
      <c r="E70" s="1496"/>
      <c r="F70" s="1499"/>
    </row>
    <row r="71" spans="3:6">
      <c r="C71" s="1501"/>
      <c r="D71" s="2782"/>
      <c r="E71" s="1497"/>
      <c r="F71" s="1498"/>
    </row>
    <row r="72" spans="3:6">
      <c r="C72" s="1494"/>
      <c r="D72" s="2778"/>
      <c r="E72" s="1671"/>
      <c r="F72" s="1491"/>
    </row>
  </sheetData>
  <customSheetViews>
    <customSheetView guid="{D9EFFE19-D14B-4C6F-BDF4-FF696F73968D}" showGridLines="0">
      <pane xSplit="1" ySplit="1" topLeftCell="C2" activePane="bottomRight" state="frozen"/>
      <selection pane="bottomRight" activeCell="G19" sqref="G19"/>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rgb="FFFABF8F"/>
    <pageSetUpPr fitToPage="1"/>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F16" sqref="F16"/>
    </sheetView>
  </sheetViews>
  <sheetFormatPr defaultRowHeight="12.75"/>
  <cols>
    <col min="1" max="1" width="18" customWidth="1"/>
    <col min="2" max="2" width="15.7109375" style="1413" customWidth="1"/>
    <col min="3" max="3" width="40.140625" customWidth="1"/>
    <col min="4" max="4" width="20" style="1" customWidth="1"/>
    <col min="5" max="5" width="20" style="2" customWidth="1"/>
    <col min="6" max="10" width="18.85546875" customWidth="1"/>
    <col min="11" max="11" width="17.5703125" customWidth="1"/>
    <col min="12" max="13" width="20.140625" customWidth="1"/>
    <col min="14" max="14" width="19.42578125" customWidth="1"/>
    <col min="15" max="15" width="14.42578125" customWidth="1"/>
    <col min="16" max="16" width="15.28515625" customWidth="1"/>
    <col min="17" max="17" width="14.42578125" customWidth="1"/>
  </cols>
  <sheetData>
    <row r="1" spans="1:18" ht="55.5" customHeight="1">
      <c r="D1" s="1358" t="s">
        <v>23</v>
      </c>
      <c r="E1" s="1507" t="s">
        <v>5</v>
      </c>
      <c r="F1" s="1429">
        <v>18230657</v>
      </c>
      <c r="G1" s="1509" t="s">
        <v>28</v>
      </c>
      <c r="M1" s="1358" t="s">
        <v>23</v>
      </c>
      <c r="N1" s="1507" t="s">
        <v>5</v>
      </c>
      <c r="O1" s="1429">
        <v>18230657</v>
      </c>
      <c r="P1" s="1509" t="s">
        <v>28</v>
      </c>
    </row>
    <row r="2" spans="1:18" ht="16.5" thickBot="1">
      <c r="D2" s="38"/>
      <c r="E2" s="1208"/>
      <c r="F2" s="1208"/>
      <c r="G2" s="891"/>
      <c r="H2" s="1178" t="s">
        <v>627</v>
      </c>
      <c r="I2" s="1354"/>
      <c r="J2" s="1354"/>
      <c r="K2" s="1354"/>
      <c r="L2" s="1354"/>
      <c r="M2" s="1354"/>
      <c r="N2" s="1354"/>
      <c r="O2" s="1354"/>
      <c r="P2" s="1354"/>
      <c r="Q2" s="1354"/>
    </row>
    <row r="3" spans="1:18" ht="26.25" thickBot="1">
      <c r="A3" s="1356" t="s">
        <v>23</v>
      </c>
      <c r="B3" s="1356"/>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5</v>
      </c>
      <c r="B4" s="1298"/>
      <c r="C4" s="39" t="s">
        <v>6</v>
      </c>
      <c r="D4" s="26"/>
      <c r="E4" s="26"/>
      <c r="F4" s="26"/>
      <c r="G4" s="2946" t="s">
        <v>1726</v>
      </c>
      <c r="H4" s="2959">
        <f>D15</f>
        <v>56201.274000000005</v>
      </c>
      <c r="I4" s="2960">
        <f>D22</f>
        <v>1132.3</v>
      </c>
      <c r="J4" s="2960">
        <f>D28</f>
        <v>38241.493858000009</v>
      </c>
      <c r="K4" s="2960">
        <f>D38</f>
        <v>13195</v>
      </c>
      <c r="L4" s="2960">
        <f>D44</f>
        <v>10985</v>
      </c>
      <c r="M4" s="2960">
        <f>D50</f>
        <v>4225</v>
      </c>
      <c r="N4" s="2960">
        <f>D56</f>
        <v>6515</v>
      </c>
      <c r="O4" s="2960">
        <f>D62</f>
        <v>0</v>
      </c>
      <c r="P4" s="2960">
        <v>0</v>
      </c>
      <c r="Q4" s="2960"/>
      <c r="R4" s="2960">
        <f>SUM(H4:P4)</f>
        <v>130495.06785800002</v>
      </c>
    </row>
    <row r="5" spans="1:18" ht="15.75">
      <c r="A5" s="1429">
        <v>18230657</v>
      </c>
      <c r="C5" s="39"/>
      <c r="E5" s="1355"/>
      <c r="F5" s="1355"/>
      <c r="G5" s="3205" t="s">
        <v>1753</v>
      </c>
      <c r="H5" s="2617">
        <v>57606.305849999997</v>
      </c>
      <c r="I5" s="2618">
        <v>1690</v>
      </c>
      <c r="J5" s="2618">
        <v>40321.487977999997</v>
      </c>
      <c r="K5" s="2618">
        <v>13195</v>
      </c>
      <c r="L5" s="2618">
        <v>10855</v>
      </c>
      <c r="M5" s="2618">
        <v>4225</v>
      </c>
      <c r="N5" s="2618">
        <v>7865</v>
      </c>
      <c r="O5" s="2618">
        <v>0</v>
      </c>
      <c r="P5" s="2618">
        <v>0</v>
      </c>
      <c r="Q5" s="2618"/>
      <c r="R5" s="2618">
        <v>135757.79382799999</v>
      </c>
    </row>
    <row r="6" spans="1:18" ht="16.5" thickBot="1">
      <c r="A6" s="1508" t="s">
        <v>28</v>
      </c>
      <c r="B6" s="1429"/>
      <c r="D6"/>
      <c r="E6" s="1413"/>
      <c r="F6" s="1413"/>
      <c r="G6" s="3206" t="s">
        <v>1754</v>
      </c>
      <c r="H6" s="2621">
        <f>E15</f>
        <v>61981</v>
      </c>
      <c r="I6" s="2622">
        <f>E22</f>
        <v>1690</v>
      </c>
      <c r="J6" s="2623">
        <f>E28</f>
        <v>43805.648000000001</v>
      </c>
      <c r="K6" s="2622">
        <f>E38</f>
        <v>13195</v>
      </c>
      <c r="L6" s="2622">
        <f>E44</f>
        <v>10855</v>
      </c>
      <c r="M6" s="2622">
        <f>E50</f>
        <v>4225</v>
      </c>
      <c r="N6" s="2622">
        <f>E56</f>
        <v>7865</v>
      </c>
      <c r="O6" s="2622">
        <f>E62</f>
        <v>0</v>
      </c>
      <c r="P6" s="2622">
        <v>0</v>
      </c>
      <c r="Q6" s="2622"/>
      <c r="R6" s="2622">
        <f>SUM(H6:P6)</f>
        <v>143616.64799999999</v>
      </c>
    </row>
    <row r="7" spans="1:18" ht="15.75">
      <c r="B7" s="1298"/>
      <c r="C7" s="943"/>
      <c r="D7"/>
      <c r="E7" s="1413"/>
      <c r="F7" s="1413"/>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D15+D22+D28+D38+D44+D50+D56+D62</f>
        <v>130495.06785800002</v>
      </c>
      <c r="E12" s="1484">
        <f>E15+E22+E28+E38+E44+E50+E56+E62</f>
        <v>143616.64799999999</v>
      </c>
      <c r="F12" s="1462">
        <f>D12+E12</f>
        <v>274111.71585799998</v>
      </c>
    </row>
    <row r="13" spans="1:18">
      <c r="A13" s="21"/>
      <c r="B13" s="1410"/>
      <c r="C13" s="1483"/>
      <c r="D13" s="2767"/>
      <c r="E13" s="1336"/>
      <c r="F13" s="1413"/>
    </row>
    <row r="14" spans="1:18" ht="13.5" customHeight="1">
      <c r="A14" s="21"/>
      <c r="B14" s="1410"/>
      <c r="C14" s="1435" t="s">
        <v>42</v>
      </c>
      <c r="D14" s="2768">
        <v>2016</v>
      </c>
      <c r="E14" s="1502">
        <v>2017</v>
      </c>
      <c r="F14" s="1486" t="s">
        <v>20</v>
      </c>
      <c r="G14" s="939"/>
      <c r="H14" s="939"/>
    </row>
    <row r="15" spans="1:18" s="18" customFormat="1" ht="13.5" customHeight="1">
      <c r="A15" s="28"/>
      <c r="B15" s="1433" t="s">
        <v>296</v>
      </c>
      <c r="C15" s="1451" t="s">
        <v>43</v>
      </c>
      <c r="D15" s="2771">
        <f>SUM(D16:D20)</f>
        <v>56201.274000000005</v>
      </c>
      <c r="E15" s="1464">
        <f>SUM(E16:E20)</f>
        <v>61981</v>
      </c>
      <c r="F15" s="1602">
        <f>SUM(F16:F20)</f>
        <v>118182.27399999999</v>
      </c>
      <c r="G15" s="29"/>
      <c r="H15" s="29"/>
    </row>
    <row r="16" spans="1:18" s="18" customFormat="1" ht="13.5" customHeight="1">
      <c r="A16" s="28"/>
      <c r="B16" s="1982">
        <v>0.05</v>
      </c>
      <c r="C16" s="1667" t="s">
        <v>323</v>
      </c>
      <c r="D16" s="2772">
        <v>3697.2</v>
      </c>
      <c r="E16" s="1669">
        <v>4078</v>
      </c>
      <c r="F16" s="1426">
        <f>SUM(D16:E16)</f>
        <v>7775.2</v>
      </c>
      <c r="G16" s="29"/>
      <c r="H16" s="29"/>
    </row>
    <row r="17" spans="1:11" ht="13.5" customHeight="1">
      <c r="A17" s="21"/>
      <c r="B17" s="1982">
        <v>0.15</v>
      </c>
      <c r="C17" s="1667" t="s">
        <v>781</v>
      </c>
      <c r="D17" s="2784">
        <v>11092.41</v>
      </c>
      <c r="E17" s="1668">
        <v>12233</v>
      </c>
      <c r="F17" s="1438">
        <f>SUM(D17:E17)</f>
        <v>23325.41</v>
      </c>
    </row>
    <row r="18" spans="1:11" s="1652" customFormat="1" ht="13.5" customHeight="1">
      <c r="A18" s="1653"/>
      <c r="B18" s="1982">
        <v>0.13</v>
      </c>
      <c r="C18" s="1667" t="s">
        <v>734</v>
      </c>
      <c r="D18" s="2784">
        <v>9613.4220000000005</v>
      </c>
      <c r="E18" s="1668">
        <v>10602</v>
      </c>
      <c r="F18" s="1661">
        <f>SUM(D18:E18)</f>
        <v>20215.421999999999</v>
      </c>
    </row>
    <row r="19" spans="1:11" ht="13.5" customHeight="1">
      <c r="A19" s="21"/>
      <c r="B19" s="1982">
        <v>0.1</v>
      </c>
      <c r="C19" s="1667" t="s">
        <v>782</v>
      </c>
      <c r="D19" s="2784">
        <v>7394.9400000000005</v>
      </c>
      <c r="E19" s="1668">
        <v>8155</v>
      </c>
      <c r="F19" s="1438">
        <f>SUM(D19:E19)</f>
        <v>15549.94</v>
      </c>
      <c r="I19" s="30"/>
      <c r="J19" s="30"/>
      <c r="K19" s="30"/>
    </row>
    <row r="20" spans="1:11" ht="13.5" customHeight="1">
      <c r="A20" s="21"/>
      <c r="B20" s="1982">
        <v>0.33</v>
      </c>
      <c r="C20" s="1667" t="s">
        <v>783</v>
      </c>
      <c r="D20" s="2794">
        <v>24403.302</v>
      </c>
      <c r="E20" s="1578">
        <v>26913</v>
      </c>
      <c r="F20" s="1438">
        <f>SUM(D20:E20)</f>
        <v>51316.301999999996</v>
      </c>
      <c r="I20" s="43"/>
      <c r="J20" s="30"/>
      <c r="K20" s="30"/>
    </row>
    <row r="21" spans="1:11" ht="13.5" customHeight="1">
      <c r="A21" s="21"/>
      <c r="B21" s="1449">
        <f>SUM(B16:B20)</f>
        <v>0.76</v>
      </c>
      <c r="C21" s="1488"/>
      <c r="D21" s="2770"/>
      <c r="E21" s="1490"/>
      <c r="F21" s="1492"/>
      <c r="I21" s="32"/>
      <c r="J21" s="30"/>
      <c r="K21" s="30"/>
    </row>
    <row r="22" spans="1:11" ht="13.5" customHeight="1">
      <c r="A22" s="21"/>
      <c r="B22" s="1412"/>
      <c r="C22" s="1451" t="s">
        <v>44</v>
      </c>
      <c r="D22" s="2771">
        <f>SUM(D23:D26)</f>
        <v>1132.3</v>
      </c>
      <c r="E22" s="1464">
        <f>SUM(E23:E26)</f>
        <v>1690</v>
      </c>
      <c r="F22" s="1462">
        <f>SUM(F23:F26)</f>
        <v>2822.3</v>
      </c>
      <c r="I22" s="32"/>
      <c r="J22" s="30"/>
      <c r="K22" s="30"/>
    </row>
    <row r="23" spans="1:11" ht="13.5" customHeight="1">
      <c r="A23" s="21"/>
      <c r="B23" s="1412"/>
      <c r="C23" s="1667" t="s">
        <v>784</v>
      </c>
      <c r="D23" s="2772">
        <v>435.5</v>
      </c>
      <c r="E23" s="1669">
        <v>650</v>
      </c>
      <c r="F23" s="1426">
        <f>SUM(D23:E23)</f>
        <v>1085.5</v>
      </c>
      <c r="G23" s="33" t="s">
        <v>6</v>
      </c>
      <c r="I23" s="32"/>
      <c r="J23" s="30"/>
      <c r="K23" s="30"/>
    </row>
    <row r="24" spans="1:11" ht="13.5" customHeight="1">
      <c r="A24" s="21"/>
      <c r="B24" s="1412"/>
      <c r="C24" s="1667" t="s">
        <v>808</v>
      </c>
      <c r="D24" s="2772">
        <v>348.4</v>
      </c>
      <c r="E24" s="1669">
        <v>520</v>
      </c>
      <c r="F24" s="1438">
        <f>SUM(D24:E24)</f>
        <v>868.4</v>
      </c>
      <c r="G24" s="34"/>
      <c r="I24" s="32"/>
      <c r="J24" s="30"/>
      <c r="K24" s="30"/>
    </row>
    <row r="25" spans="1:11" ht="13.5" customHeight="1">
      <c r="A25" s="21"/>
      <c r="B25" s="1410"/>
      <c r="C25" s="1667" t="s">
        <v>809</v>
      </c>
      <c r="D25" s="2773">
        <v>348.4</v>
      </c>
      <c r="E25" s="1444">
        <v>520</v>
      </c>
      <c r="F25" s="1438">
        <f>SUM(D25:E25)</f>
        <v>868.4</v>
      </c>
      <c r="I25" s="35"/>
      <c r="J25" s="30"/>
      <c r="K25" s="30"/>
    </row>
    <row r="26" spans="1:11" ht="13.5" customHeight="1">
      <c r="A26" s="21"/>
      <c r="B26" s="1412"/>
      <c r="C26" s="1423"/>
      <c r="D26" s="2775"/>
      <c r="E26" s="1444"/>
      <c r="F26" s="1438">
        <f>SUM(D26:E26)</f>
        <v>0</v>
      </c>
      <c r="I26" s="32"/>
      <c r="J26" s="30"/>
      <c r="K26" s="30"/>
    </row>
    <row r="27" spans="1:11" s="18" customFormat="1" ht="13.5" customHeight="1">
      <c r="A27" s="28"/>
      <c r="B27" s="1410"/>
      <c r="C27" s="1424"/>
      <c r="D27" s="2776"/>
      <c r="E27" s="1431"/>
      <c r="F27" s="1439"/>
    </row>
    <row r="28" spans="1:11" ht="13.5" customHeight="1">
      <c r="A28" s="21"/>
      <c r="B28" s="1412"/>
      <c r="C28" s="1451" t="s">
        <v>45</v>
      </c>
      <c r="D28" s="2771">
        <f>SUM(D30:D36)</f>
        <v>38241.493858000009</v>
      </c>
      <c r="E28" s="1657">
        <f>SUM(E30:E32)+SUM(E34:E36)</f>
        <v>43805.648000000001</v>
      </c>
      <c r="F28" s="1462">
        <f>SUM(F30:F36)</f>
        <v>82047.141858000003</v>
      </c>
    </row>
    <row r="29" spans="1:11" s="18" customFormat="1" ht="13.5" customHeight="1">
      <c r="A29" s="28"/>
      <c r="B29" s="1412"/>
      <c r="C29" s="1450" t="s">
        <v>1733</v>
      </c>
      <c r="D29" s="2777">
        <v>0.66700000000000004</v>
      </c>
      <c r="E29" s="1452">
        <v>0.68799999999999994</v>
      </c>
      <c r="F29" s="1485"/>
    </row>
    <row r="30" spans="1:11" ht="13.5" customHeight="1">
      <c r="A30" s="21"/>
      <c r="B30" s="1412"/>
      <c r="C30" s="1667" t="s">
        <v>719</v>
      </c>
      <c r="D30" s="2778">
        <f>D15*D29</f>
        <v>37486.249758000005</v>
      </c>
      <c r="E30" s="1504">
        <f>E15*E29</f>
        <v>42642.928</v>
      </c>
      <c r="F30" s="1438">
        <f>SUM(D30:E30)</f>
        <v>80129.177758000005</v>
      </c>
    </row>
    <row r="31" spans="1:11" ht="13.5" customHeight="1">
      <c r="A31" s="21"/>
      <c r="B31" s="1412"/>
      <c r="C31" s="1667" t="s">
        <v>720</v>
      </c>
      <c r="D31" s="2785">
        <f>D22*D29</f>
        <v>755.2441</v>
      </c>
      <c r="E31" s="1504">
        <f>E22*E29</f>
        <v>1162.7199999999998</v>
      </c>
      <c r="F31" s="1661">
        <f>SUM(D31:E31)</f>
        <v>1917.9640999999997</v>
      </c>
    </row>
    <row r="32" spans="1:11" ht="13.5" customHeight="1">
      <c r="A32" s="21"/>
      <c r="B32" s="1412"/>
      <c r="C32" s="1667"/>
      <c r="D32" s="2774"/>
      <c r="E32" s="1443"/>
      <c r="F32" s="1661">
        <f>SUM(D32:E32)</f>
        <v>0</v>
      </c>
    </row>
    <row r="33" spans="1:7" ht="13.5" customHeight="1">
      <c r="A33" s="21"/>
      <c r="B33" s="1412"/>
      <c r="C33" s="1450" t="s">
        <v>1734</v>
      </c>
      <c r="D33" s="2777"/>
      <c r="E33" s="1452">
        <v>0</v>
      </c>
      <c r="F33" s="1485"/>
    </row>
    <row r="34" spans="1:7" ht="13.5" customHeight="1">
      <c r="A34" s="21"/>
      <c r="B34" s="1350"/>
      <c r="C34" s="1667" t="s">
        <v>719</v>
      </c>
      <c r="D34" s="2778"/>
      <c r="E34" s="1641">
        <f>E15*E33</f>
        <v>0</v>
      </c>
      <c r="F34" s="1661">
        <f>SUM(D34:E34)</f>
        <v>0</v>
      </c>
    </row>
    <row r="35" spans="1:7" ht="13.5" customHeight="1">
      <c r="B35" s="1412"/>
      <c r="C35" s="1667" t="s">
        <v>720</v>
      </c>
      <c r="D35" s="2785"/>
      <c r="E35" s="1641">
        <f>E22*E33</f>
        <v>0</v>
      </c>
      <c r="F35" s="1661">
        <f t="shared" ref="F35" si="0">SUM(D35:E35)</f>
        <v>0</v>
      </c>
    </row>
    <row r="36" spans="1:7" ht="13.5" customHeight="1">
      <c r="B36" s="1410"/>
      <c r="C36" s="1445"/>
      <c r="D36" s="2775"/>
      <c r="E36" s="1444"/>
      <c r="F36" s="1661">
        <f>SUM(D36:E36)</f>
        <v>0</v>
      </c>
      <c r="G36" s="37"/>
    </row>
    <row r="37" spans="1:7" ht="13.5" customHeight="1">
      <c r="B37" s="1412"/>
      <c r="C37" s="1488"/>
      <c r="D37" s="2779"/>
      <c r="E37" s="1490"/>
      <c r="F37" s="1493"/>
    </row>
    <row r="38" spans="1:7" s="1652" customFormat="1" ht="13.5" customHeight="1">
      <c r="A38" s="1356" t="s">
        <v>486</v>
      </c>
      <c r="B38" s="1653"/>
      <c r="C38" s="1451" t="s">
        <v>46</v>
      </c>
      <c r="D38" s="2780">
        <f>SUM(D39:D42)</f>
        <v>13195</v>
      </c>
      <c r="E38" s="1657">
        <f>SUM(E39:E42)</f>
        <v>13195</v>
      </c>
      <c r="F38" s="1462">
        <v>0</v>
      </c>
    </row>
    <row r="39" spans="1:7" ht="13.5" customHeight="1">
      <c r="A39" s="1356" t="s">
        <v>485</v>
      </c>
      <c r="B39" s="1412"/>
      <c r="C39" s="1667" t="s">
        <v>785</v>
      </c>
      <c r="D39" s="2778">
        <v>9945</v>
      </c>
      <c r="E39" s="1672">
        <v>9945</v>
      </c>
      <c r="F39" s="1438">
        <v>0</v>
      </c>
    </row>
    <row r="40" spans="1:7" ht="13.5" customHeight="1">
      <c r="A40" s="1506" t="s">
        <v>5</v>
      </c>
      <c r="B40" s="1412"/>
      <c r="C40" s="1667" t="s">
        <v>786</v>
      </c>
      <c r="D40" s="2778">
        <v>3250</v>
      </c>
      <c r="E40" s="1672">
        <v>3250</v>
      </c>
      <c r="F40" s="1438">
        <v>0</v>
      </c>
    </row>
    <row r="41" spans="1:7" ht="13.5" customHeight="1">
      <c r="A41" s="1429">
        <v>18230657</v>
      </c>
      <c r="B41" s="1412"/>
      <c r="C41" s="1654"/>
      <c r="D41" s="2778"/>
      <c r="E41" s="1656"/>
      <c r="F41" s="1655"/>
    </row>
    <row r="42" spans="1:7" ht="13.5" customHeight="1">
      <c r="A42" s="1663" t="s">
        <v>28</v>
      </c>
      <c r="B42" s="1412"/>
      <c r="C42" s="1654"/>
      <c r="D42" s="2778"/>
      <c r="E42" s="1520"/>
      <c r="F42" s="1438">
        <v>0</v>
      </c>
    </row>
    <row r="43" spans="1:7" s="1652" customFormat="1" ht="13.5" customHeight="1">
      <c r="A43" s="1653"/>
      <c r="B43" s="1653"/>
      <c r="C43" s="1488"/>
      <c r="D43" s="2779"/>
      <c r="E43" s="1490"/>
      <c r="F43" s="1493"/>
    </row>
    <row r="44" spans="1:7" ht="13.5" customHeight="1">
      <c r="A44" s="21"/>
      <c r="B44" s="1412"/>
      <c r="C44" s="1597" t="s">
        <v>483</v>
      </c>
      <c r="D44" s="2771">
        <f>SUM(D45:D48)</f>
        <v>10985</v>
      </c>
      <c r="E44" s="1464">
        <f>SUM(E45:E48)</f>
        <v>10855</v>
      </c>
      <c r="F44" s="1462">
        <f t="shared" ref="F44:F60" si="1">SUM(D44:E44)</f>
        <v>21840</v>
      </c>
    </row>
    <row r="45" spans="1:7" ht="13.5" customHeight="1">
      <c r="A45" s="21"/>
      <c r="B45" s="1412"/>
      <c r="C45" s="1667" t="s">
        <v>787</v>
      </c>
      <c r="D45" s="2778">
        <v>2210</v>
      </c>
      <c r="E45" s="1672">
        <v>2080</v>
      </c>
      <c r="F45" s="1438">
        <f t="shared" si="1"/>
        <v>4290</v>
      </c>
    </row>
    <row r="46" spans="1:7" ht="13.5" customHeight="1">
      <c r="A46" s="21"/>
      <c r="B46" s="1412"/>
      <c r="C46" s="1667" t="s">
        <v>788</v>
      </c>
      <c r="D46" s="2778">
        <v>3575</v>
      </c>
      <c r="E46" s="1672">
        <v>3575</v>
      </c>
      <c r="F46" s="1655">
        <f t="shared" si="1"/>
        <v>7150</v>
      </c>
    </row>
    <row r="47" spans="1:7" ht="13.5" customHeight="1">
      <c r="A47" s="21"/>
      <c r="B47" s="1412"/>
      <c r="C47" s="1667" t="s">
        <v>789</v>
      </c>
      <c r="D47" s="2778">
        <v>5200</v>
      </c>
      <c r="E47" s="1672">
        <v>5200</v>
      </c>
      <c r="F47" s="1438">
        <f t="shared" si="1"/>
        <v>10400</v>
      </c>
    </row>
    <row r="48" spans="1:7" ht="13.5" customHeight="1">
      <c r="A48" s="21"/>
      <c r="B48" s="1412"/>
      <c r="C48" s="1654"/>
      <c r="D48" s="2778"/>
      <c r="E48" s="1520"/>
      <c r="F48" s="1438">
        <f t="shared" si="1"/>
        <v>0</v>
      </c>
    </row>
    <row r="49" spans="1:6" ht="13.5" customHeight="1">
      <c r="A49" s="21"/>
      <c r="B49" s="1412"/>
      <c r="C49" s="1488"/>
      <c r="D49" s="2779"/>
      <c r="E49" s="1490"/>
      <c r="F49" s="1493"/>
    </row>
    <row r="50" spans="1:6" ht="13.5" customHeight="1">
      <c r="A50" s="21"/>
      <c r="B50" s="1412"/>
      <c r="C50" s="1451" t="s">
        <v>47</v>
      </c>
      <c r="D50" s="2771">
        <f>SUM(D51:D54)</f>
        <v>4225</v>
      </c>
      <c r="E50" s="1464">
        <f>SUM(E51:E54)</f>
        <v>4225</v>
      </c>
      <c r="F50" s="1462">
        <f t="shared" si="1"/>
        <v>8450</v>
      </c>
    </row>
    <row r="51" spans="1:6" ht="13.5" customHeight="1">
      <c r="A51" s="21"/>
      <c r="B51" s="1412"/>
      <c r="C51" s="1667" t="s">
        <v>790</v>
      </c>
      <c r="D51" s="2778">
        <v>4225</v>
      </c>
      <c r="E51" s="1672">
        <v>4225</v>
      </c>
      <c r="F51" s="1438">
        <f t="shared" si="1"/>
        <v>8450</v>
      </c>
    </row>
    <row r="52" spans="1:6" ht="13.5" customHeight="1">
      <c r="A52" s="21"/>
      <c r="B52" s="1412"/>
      <c r="C52" s="1667"/>
      <c r="D52" s="2778"/>
      <c r="E52" s="1520"/>
      <c r="F52" s="1438">
        <f t="shared" si="1"/>
        <v>0</v>
      </c>
    </row>
    <row r="53" spans="1:6" ht="13.5" customHeight="1">
      <c r="A53" s="21"/>
      <c r="B53" s="1412"/>
      <c r="C53" s="1423"/>
      <c r="D53" s="2778"/>
      <c r="E53" s="1520"/>
      <c r="F53" s="1438">
        <f t="shared" si="1"/>
        <v>0</v>
      </c>
    </row>
    <row r="54" spans="1:6" ht="13.5" customHeight="1">
      <c r="A54" s="21"/>
      <c r="B54" s="1412"/>
      <c r="C54" s="1423"/>
      <c r="D54" s="2778"/>
      <c r="E54" s="1520"/>
      <c r="F54" s="1438">
        <f t="shared" si="1"/>
        <v>0</v>
      </c>
    </row>
    <row r="55" spans="1:6" ht="13.5" customHeight="1">
      <c r="A55" s="21"/>
      <c r="B55" s="1412"/>
      <c r="C55" s="1488"/>
      <c r="D55" s="2779"/>
      <c r="E55" s="1490"/>
      <c r="F55" s="1493"/>
    </row>
    <row r="56" spans="1:6" ht="13.5" customHeight="1">
      <c r="A56" s="21"/>
      <c r="B56" s="1412"/>
      <c r="C56" s="1451" t="s">
        <v>48</v>
      </c>
      <c r="D56" s="2771">
        <f>SUM(D57:D60)</f>
        <v>6515</v>
      </c>
      <c r="E56" s="1464">
        <f>SUM(E57:E60)</f>
        <v>7865</v>
      </c>
      <c r="F56" s="1462">
        <f t="shared" si="1"/>
        <v>14380</v>
      </c>
    </row>
    <row r="57" spans="1:6" s="1652" customFormat="1" ht="13.5" customHeight="1">
      <c r="A57" s="1653"/>
      <c r="B57" s="1653"/>
      <c r="C57" s="1667" t="s">
        <v>1558</v>
      </c>
      <c r="D57" s="2778">
        <v>1040</v>
      </c>
      <c r="E57" s="1641">
        <v>1040</v>
      </c>
      <c r="F57" s="1438">
        <f t="shared" si="1"/>
        <v>2080</v>
      </c>
    </row>
    <row r="58" spans="1:6" ht="13.5" customHeight="1">
      <c r="A58" s="21"/>
      <c r="B58" s="1412"/>
      <c r="C58" s="1667" t="s">
        <v>792</v>
      </c>
      <c r="D58" s="2778">
        <v>4630</v>
      </c>
      <c r="E58" s="1641">
        <v>5980</v>
      </c>
      <c r="F58" s="1438">
        <f t="shared" si="1"/>
        <v>10610</v>
      </c>
    </row>
    <row r="59" spans="1:6" ht="13.5" customHeight="1">
      <c r="A59" s="21"/>
      <c r="B59" s="1412"/>
      <c r="C59" s="1667" t="s">
        <v>793</v>
      </c>
      <c r="D59" s="2778">
        <v>520</v>
      </c>
      <c r="E59" s="1672">
        <v>520</v>
      </c>
      <c r="F59" s="1438">
        <f t="shared" si="1"/>
        <v>1040</v>
      </c>
    </row>
    <row r="60" spans="1:6" ht="13.5" customHeight="1">
      <c r="A60" s="21"/>
      <c r="B60" s="1412"/>
      <c r="C60" s="1667" t="s">
        <v>1559</v>
      </c>
      <c r="D60" s="2778">
        <v>325</v>
      </c>
      <c r="E60" s="1672">
        <v>325</v>
      </c>
      <c r="F60" s="1661">
        <f t="shared" si="1"/>
        <v>650</v>
      </c>
    </row>
    <row r="61" spans="1:6" s="1652" customFormat="1" ht="13.5" customHeight="1">
      <c r="A61" s="1653"/>
      <c r="B61" s="1653"/>
      <c r="C61" s="1488"/>
      <c r="D61" s="2779"/>
      <c r="E61" s="1490"/>
      <c r="F61" s="1493"/>
    </row>
    <row r="62" spans="1:6" ht="13.5" customHeight="1">
      <c r="A62" s="21"/>
      <c r="B62" s="1412"/>
      <c r="C62" s="1451" t="s">
        <v>49</v>
      </c>
      <c r="D62" s="2780">
        <f>SUM(D63:D66)</f>
        <v>0</v>
      </c>
      <c r="E62" s="1657">
        <f>SUM(E63:E66)</f>
        <v>0</v>
      </c>
      <c r="F62" s="1462">
        <f>SUM(F63:F65)</f>
        <v>0</v>
      </c>
    </row>
    <row r="63" spans="1:6" ht="13.5" customHeight="1">
      <c r="A63" s="21"/>
      <c r="C63" s="1667"/>
      <c r="D63" s="2778"/>
      <c r="E63" s="1520"/>
      <c r="F63" s="1438">
        <f>SUM(D63:E63)</f>
        <v>0</v>
      </c>
    </row>
    <row r="64" spans="1:6">
      <c r="C64" s="1667"/>
      <c r="D64" s="2778"/>
      <c r="E64" s="1656"/>
      <c r="F64" s="1655">
        <f>SUM(D64:E64)</f>
        <v>0</v>
      </c>
    </row>
    <row r="65" spans="3:6">
      <c r="C65" s="1654"/>
      <c r="D65" s="2778"/>
      <c r="E65" s="1520"/>
      <c r="F65" s="1655">
        <f>SUM(D65:E65)</f>
        <v>0</v>
      </c>
    </row>
    <row r="66" spans="3:6">
      <c r="C66" s="1654"/>
      <c r="D66" s="2778"/>
      <c r="E66" s="1520"/>
      <c r="F66" s="1655">
        <f>SUM(D66:E66)</f>
        <v>0</v>
      </c>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pageMargins left="0.24" right="0.21" top="0.38" bottom="0.37"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4" sqref="E34"/>
      <pageMargins left="0.24" right="0.21" top="0.38" bottom="0.37" header="0.3" footer="0.3"/>
      <pageSetup paperSize="17" scale="62" orientation="landscape" r:id="rId2"/>
    </customSheetView>
  </customSheetViews>
  <pageMargins left="0.24" right="0.21" top="0.38" bottom="0.37" header="0.3" footer="0.3"/>
  <pageSetup paperSize="3" scale="64" orientation="landscape" r:id="rId3"/>
  <drawing r:id="rId4"/>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ColWidth="31.42578125" defaultRowHeight="12.75"/>
  <cols>
    <col min="1" max="1" width="17.5703125" customWidth="1"/>
    <col min="2" max="2" width="15.42578125" style="1413" customWidth="1"/>
    <col min="3" max="3" width="32.28515625" customWidth="1"/>
    <col min="4" max="4" width="21.140625" customWidth="1"/>
    <col min="5" max="5" width="22.7109375" customWidth="1"/>
    <col min="6" max="8" width="22.5703125" customWidth="1"/>
    <col min="9" max="11" width="19.42578125" customWidth="1"/>
    <col min="12" max="14" width="18.140625" customWidth="1"/>
    <col min="15" max="15" width="19" customWidth="1"/>
    <col min="16" max="16" width="20.28515625" customWidth="1"/>
    <col min="17" max="17" width="20.28515625" style="1652" customWidth="1"/>
    <col min="18" max="18" width="19.5703125" customWidth="1"/>
  </cols>
  <sheetData>
    <row r="1" spans="1:18" ht="54" customHeight="1">
      <c r="D1" s="1365" t="s">
        <v>154</v>
      </c>
      <c r="E1" s="1512" t="s">
        <v>22</v>
      </c>
      <c r="F1" s="1430">
        <v>18230698</v>
      </c>
      <c r="G1" s="1513" t="s">
        <v>28</v>
      </c>
      <c r="M1" s="1365" t="s">
        <v>154</v>
      </c>
      <c r="N1" s="1512" t="s">
        <v>22</v>
      </c>
      <c r="O1" s="1430">
        <v>18230698</v>
      </c>
      <c r="P1" s="1513" t="s">
        <v>28</v>
      </c>
      <c r="Q1" s="1513"/>
    </row>
    <row r="2" spans="1:18" ht="16.5" thickBot="1">
      <c r="A2" s="413"/>
      <c r="B2" s="413"/>
      <c r="D2" s="414"/>
      <c r="E2" s="414"/>
      <c r="F2" s="414"/>
      <c r="G2" s="1354"/>
      <c r="H2" s="1178" t="s">
        <v>627</v>
      </c>
      <c r="I2" s="1354"/>
      <c r="J2" s="1354"/>
      <c r="K2" s="1354"/>
      <c r="L2" s="1354"/>
      <c r="M2" s="1354"/>
      <c r="N2" s="1354"/>
      <c r="O2" s="1354"/>
      <c r="P2" s="1354"/>
      <c r="Q2" s="1354"/>
      <c r="R2" s="1354"/>
    </row>
    <row r="3" spans="1:18" ht="26.25" thickBot="1">
      <c r="A3" s="1362" t="s">
        <v>154</v>
      </c>
      <c r="B3" s="1362"/>
      <c r="D3" s="419"/>
      <c r="E3" s="419"/>
      <c r="F3" s="419"/>
      <c r="G3" s="1354"/>
      <c r="H3" s="1181" t="s">
        <v>7</v>
      </c>
      <c r="I3" s="2642" t="s">
        <v>8</v>
      </c>
      <c r="J3" s="2642" t="s">
        <v>9</v>
      </c>
      <c r="K3" s="2642" t="s">
        <v>10</v>
      </c>
      <c r="L3" s="2643" t="s">
        <v>482</v>
      </c>
      <c r="M3" s="2642" t="s">
        <v>11</v>
      </c>
      <c r="N3" s="2642" t="s">
        <v>12</v>
      </c>
      <c r="O3" s="2642" t="s">
        <v>13</v>
      </c>
      <c r="P3" s="2642" t="s">
        <v>14</v>
      </c>
      <c r="Q3" s="2642" t="s">
        <v>36</v>
      </c>
      <c r="R3" s="2642" t="s">
        <v>15</v>
      </c>
    </row>
    <row r="4" spans="1:18" ht="16.5" thickBot="1">
      <c r="A4" s="1514" t="s">
        <v>22</v>
      </c>
      <c r="B4" s="1514"/>
      <c r="C4" s="413"/>
      <c r="D4" s="413"/>
      <c r="E4" s="413"/>
      <c r="F4" s="413"/>
      <c r="G4" s="2946" t="s">
        <v>1726</v>
      </c>
      <c r="H4" s="2959">
        <f>D15</f>
        <v>0</v>
      </c>
      <c r="I4" s="2960">
        <f>D21</f>
        <v>0</v>
      </c>
      <c r="J4" s="2960">
        <f>D27</f>
        <v>0</v>
      </c>
      <c r="K4" s="2960">
        <f>D37</f>
        <v>0</v>
      </c>
      <c r="L4" s="2960">
        <f>D43</f>
        <v>0</v>
      </c>
      <c r="M4" s="2960">
        <f>D49</f>
        <v>8450</v>
      </c>
      <c r="N4" s="2960">
        <f>D55</f>
        <v>0</v>
      </c>
      <c r="O4" s="2960">
        <f>D61</f>
        <v>12565</v>
      </c>
      <c r="P4" s="2960">
        <v>0</v>
      </c>
      <c r="Q4" s="2960"/>
      <c r="R4" s="2960">
        <f>SUM(H4:P4)</f>
        <v>21015</v>
      </c>
    </row>
    <row r="5" spans="1:18" ht="15.75">
      <c r="A5" s="1430">
        <v>18230698</v>
      </c>
      <c r="C5" s="970"/>
      <c r="E5" s="1413"/>
      <c r="F5" s="1413"/>
      <c r="G5" s="3205" t="s">
        <v>1753</v>
      </c>
      <c r="H5" s="2617">
        <v>0</v>
      </c>
      <c r="I5" s="2618">
        <v>0</v>
      </c>
      <c r="J5" s="2618">
        <v>0</v>
      </c>
      <c r="K5" s="2618">
        <v>0</v>
      </c>
      <c r="L5" s="2618">
        <v>0</v>
      </c>
      <c r="M5" s="2618">
        <v>8450</v>
      </c>
      <c r="N5" s="2618">
        <v>0</v>
      </c>
      <c r="O5" s="2618">
        <v>12565</v>
      </c>
      <c r="P5" s="2618">
        <v>0</v>
      </c>
      <c r="Q5" s="2618"/>
      <c r="R5" s="2618">
        <v>21015</v>
      </c>
    </row>
    <row r="6" spans="1:18" ht="16.5" thickBot="1">
      <c r="A6" s="1515" t="s">
        <v>28</v>
      </c>
      <c r="B6" s="1430"/>
      <c r="C6" s="943"/>
      <c r="D6" s="413"/>
      <c r="E6" s="413"/>
      <c r="F6" s="413"/>
      <c r="G6" s="3206" t="s">
        <v>1754</v>
      </c>
      <c r="H6" s="2621">
        <f>E15</f>
        <v>0</v>
      </c>
      <c r="I6" s="2622">
        <f>E21</f>
        <v>0</v>
      </c>
      <c r="J6" s="2623">
        <f>E27</f>
        <v>0</v>
      </c>
      <c r="K6" s="2622">
        <f>E37</f>
        <v>0</v>
      </c>
      <c r="L6" s="2622">
        <f>E43</f>
        <v>0</v>
      </c>
      <c r="M6" s="2622">
        <f>E49</f>
        <v>8450</v>
      </c>
      <c r="N6" s="2622">
        <f>E55</f>
        <v>0</v>
      </c>
      <c r="O6" s="2622">
        <f>E61</f>
        <v>12565</v>
      </c>
      <c r="P6" s="2622">
        <v>0</v>
      </c>
      <c r="Q6" s="2622"/>
      <c r="R6" s="2622">
        <f>SUM(H6:P6)</f>
        <v>21015</v>
      </c>
    </row>
    <row r="7" spans="1:18">
      <c r="B7" s="1363"/>
      <c r="C7" s="418"/>
      <c r="D7" s="418"/>
      <c r="E7" s="418"/>
      <c r="F7" s="418"/>
      <c r="G7" s="2733"/>
      <c r="H7" s="2607"/>
      <c r="I7" s="2607"/>
      <c r="J7" s="2607"/>
      <c r="K7" s="2607"/>
      <c r="L7" s="2607"/>
      <c r="M7" s="2607"/>
      <c r="N7" s="2607"/>
      <c r="O7" s="2607"/>
      <c r="P7" s="2607"/>
      <c r="Q7" s="2607"/>
      <c r="R7" s="2607"/>
    </row>
    <row r="8" spans="1:18">
      <c r="B8" s="1364"/>
      <c r="C8" s="418"/>
      <c r="D8" s="418"/>
      <c r="E8" s="418"/>
      <c r="F8" s="418"/>
      <c r="G8" s="415"/>
      <c r="H8" s="416"/>
      <c r="I8" s="413"/>
      <c r="J8" s="413"/>
      <c r="K8" s="413"/>
      <c r="L8" s="413"/>
      <c r="M8" s="413"/>
      <c r="N8" s="413"/>
      <c r="O8" s="413"/>
      <c r="P8" s="422" t="s">
        <v>17</v>
      </c>
      <c r="Q8" s="1606"/>
      <c r="R8" s="413"/>
    </row>
    <row r="9" spans="1:18">
      <c r="A9" s="423"/>
      <c r="B9" s="423"/>
      <c r="C9" s="418"/>
      <c r="D9" s="418"/>
      <c r="E9" s="418"/>
      <c r="F9" s="418"/>
      <c r="G9" s="415"/>
      <c r="H9" s="416"/>
      <c r="I9" s="413"/>
      <c r="J9" s="413"/>
      <c r="K9" s="413"/>
      <c r="L9" s="413"/>
      <c r="M9" s="413"/>
      <c r="N9" s="413"/>
      <c r="O9" s="413"/>
      <c r="P9" s="422" t="s">
        <v>18</v>
      </c>
      <c r="Q9" s="1606"/>
      <c r="R9" s="413"/>
    </row>
    <row r="10" spans="1:18">
      <c r="A10" s="422"/>
      <c r="B10" s="422"/>
      <c r="C10" s="1454" t="s">
        <v>310</v>
      </c>
      <c r="D10" s="1454"/>
      <c r="E10" s="1454"/>
      <c r="F10" s="1454"/>
    </row>
    <row r="11" spans="1:18">
      <c r="A11" s="422"/>
      <c r="B11" s="422"/>
      <c r="C11" s="1413"/>
      <c r="D11" s="1413"/>
      <c r="E11" s="1414"/>
      <c r="F11" s="1413"/>
    </row>
    <row r="12" spans="1:18">
      <c r="A12" s="422"/>
      <c r="B12" s="422"/>
      <c r="C12" s="1434" t="s">
        <v>298</v>
      </c>
      <c r="D12" s="2766">
        <f>D15+D21+D27+D37+D43+D49+D55+D61</f>
        <v>21015</v>
      </c>
      <c r="E12" s="1484">
        <f>E15+E21+E27+E37+E43+E49+E55+E61</f>
        <v>21015</v>
      </c>
      <c r="F12" s="1462">
        <f>D12+E12</f>
        <v>42030</v>
      </c>
    </row>
    <row r="13" spans="1:18" ht="13.5" customHeight="1">
      <c r="A13" s="422"/>
      <c r="B13" s="423"/>
      <c r="C13" s="1483"/>
      <c r="D13" s="2767"/>
      <c r="E13" s="1336"/>
      <c r="F13" s="1413"/>
      <c r="G13" s="1087"/>
      <c r="H13" s="1087"/>
      <c r="I13" s="413"/>
      <c r="J13" s="413"/>
      <c r="K13" s="413"/>
      <c r="L13" s="413"/>
      <c r="M13" s="413"/>
      <c r="N13" s="413"/>
      <c r="O13" s="413"/>
      <c r="P13" s="413"/>
      <c r="Q13" s="1579"/>
    </row>
    <row r="14" spans="1:18" ht="13.5" customHeight="1">
      <c r="A14" s="423"/>
      <c r="B14" s="423"/>
      <c r="C14" s="1435" t="s">
        <v>42</v>
      </c>
      <c r="D14" s="2768">
        <v>2016</v>
      </c>
      <c r="E14" s="1502">
        <v>2017</v>
      </c>
      <c r="F14" s="1486" t="s">
        <v>20</v>
      </c>
      <c r="G14" s="424"/>
      <c r="H14" s="424"/>
      <c r="I14" s="418"/>
      <c r="J14" s="418"/>
      <c r="K14" s="418"/>
      <c r="L14" s="418"/>
      <c r="M14" s="418"/>
      <c r="N14" s="418"/>
      <c r="O14" s="418"/>
      <c r="P14" s="418"/>
      <c r="Q14" s="418"/>
    </row>
    <row r="15" spans="1:18" ht="13.5" customHeight="1">
      <c r="A15" s="423"/>
      <c r="B15" s="1433" t="s">
        <v>296</v>
      </c>
      <c r="C15" s="1451" t="s">
        <v>43</v>
      </c>
      <c r="D15" s="2771">
        <f>SUM(D16:D19)</f>
        <v>0</v>
      </c>
      <c r="E15" s="1464">
        <f>SUM(E16:E19)</f>
        <v>0</v>
      </c>
      <c r="F15" s="1462">
        <f>SUM(F16:F19)</f>
        <v>0</v>
      </c>
      <c r="G15" s="424"/>
      <c r="H15" s="424"/>
      <c r="I15" s="418"/>
      <c r="J15" s="418"/>
      <c r="K15" s="418"/>
      <c r="L15" s="418"/>
      <c r="M15" s="418"/>
      <c r="N15" s="418"/>
      <c r="O15" s="418"/>
      <c r="P15" s="418"/>
      <c r="Q15" s="418"/>
    </row>
    <row r="16" spans="1:18" ht="13.5" customHeight="1">
      <c r="A16" s="422"/>
      <c r="B16" s="1432"/>
      <c r="C16" s="1423"/>
      <c r="D16" s="2772"/>
      <c r="E16" s="1448"/>
      <c r="F16" s="1426">
        <f>SUM(D16:E16)</f>
        <v>0</v>
      </c>
      <c r="G16" s="413"/>
      <c r="H16" s="413"/>
    </row>
    <row r="17" spans="1:8" ht="13.5" customHeight="1">
      <c r="A17" s="422"/>
      <c r="B17" s="1432"/>
      <c r="C17" s="1423"/>
      <c r="D17" s="2784"/>
      <c r="E17" s="1447"/>
      <c r="F17" s="1438">
        <f>SUM(D17:E17)</f>
        <v>0</v>
      </c>
      <c r="G17" s="413"/>
      <c r="H17" s="413"/>
    </row>
    <row r="18" spans="1:8" ht="13.5" customHeight="1">
      <c r="A18" s="422"/>
      <c r="B18" s="1432"/>
      <c r="C18" s="1423"/>
      <c r="D18" s="2784"/>
      <c r="E18" s="1447"/>
      <c r="F18" s="1438">
        <f>SUM(D18:E18)</f>
        <v>0</v>
      </c>
      <c r="G18" s="413"/>
      <c r="H18" s="413"/>
    </row>
    <row r="19" spans="1:8" ht="13.5" customHeight="1">
      <c r="A19" s="422"/>
      <c r="B19" s="1432"/>
      <c r="C19" s="1423"/>
      <c r="D19" s="2786"/>
      <c r="E19" s="1446"/>
      <c r="F19" s="1438">
        <f>SUM(D19:E19)</f>
        <v>0</v>
      </c>
      <c r="G19" s="413"/>
      <c r="H19" s="413"/>
    </row>
    <row r="20" spans="1:8" ht="13.5" customHeight="1">
      <c r="A20" s="422"/>
      <c r="B20" s="1449">
        <f>SUM(B16:B19)</f>
        <v>0</v>
      </c>
      <c r="C20" s="1488"/>
      <c r="D20" s="2770"/>
      <c r="E20" s="1490"/>
      <c r="F20" s="1492"/>
      <c r="G20" s="413"/>
      <c r="H20" s="413"/>
    </row>
    <row r="21" spans="1:8" ht="13.5" customHeight="1">
      <c r="A21" s="422"/>
      <c r="B21" s="422"/>
      <c r="C21" s="1451" t="s">
        <v>44</v>
      </c>
      <c r="D21" s="2771">
        <f>SUM(D22:D25)</f>
        <v>0</v>
      </c>
      <c r="E21" s="1464">
        <f>SUM(E22:E25)</f>
        <v>0</v>
      </c>
      <c r="F21" s="1462">
        <f>SUM(F22:F25)</f>
        <v>0</v>
      </c>
      <c r="G21" s="420" t="s">
        <v>6</v>
      </c>
      <c r="H21" s="413"/>
    </row>
    <row r="22" spans="1:8" ht="13.5" customHeight="1">
      <c r="A22" s="422"/>
      <c r="B22" s="422"/>
      <c r="C22" s="1423"/>
      <c r="D22" s="2772"/>
      <c r="E22" s="1448"/>
      <c r="F22" s="1426">
        <f>SUM(D22:E22)</f>
        <v>0</v>
      </c>
      <c r="G22" s="421"/>
      <c r="H22" s="413"/>
    </row>
    <row r="23" spans="1:8" ht="13.5" customHeight="1">
      <c r="A23" s="422"/>
      <c r="B23" s="422"/>
      <c r="C23" s="1423"/>
      <c r="D23" s="2773"/>
      <c r="E23" s="1444"/>
      <c r="F23" s="1438">
        <f>SUM(D23:E23)</f>
        <v>0</v>
      </c>
      <c r="G23" s="413"/>
      <c r="H23" s="413"/>
    </row>
    <row r="24" spans="1:8" ht="13.5" customHeight="1">
      <c r="A24" s="422"/>
      <c r="B24" s="423"/>
      <c r="C24" s="1423"/>
      <c r="D24" s="2774"/>
      <c r="E24" s="1443"/>
      <c r="F24" s="1438">
        <f>SUM(D24:E24)</f>
        <v>0</v>
      </c>
      <c r="G24" s="413"/>
      <c r="H24" s="413"/>
    </row>
    <row r="25" spans="1:8" ht="13.5" customHeight="1">
      <c r="A25" s="423"/>
      <c r="B25" s="422"/>
      <c r="C25" s="1423"/>
      <c r="D25" s="2775"/>
      <c r="E25" s="1444"/>
      <c r="F25" s="1438">
        <f>SUM(D25:E25)</f>
        <v>0</v>
      </c>
      <c r="G25" s="418"/>
      <c r="H25" s="418"/>
    </row>
    <row r="26" spans="1:8" ht="13.5" customHeight="1">
      <c r="A26" s="422"/>
      <c r="B26" s="423"/>
      <c r="C26" s="1424"/>
      <c r="D26" s="2776"/>
      <c r="E26" s="1431"/>
      <c r="F26" s="1439"/>
      <c r="G26" s="413"/>
      <c r="H26" s="413"/>
    </row>
    <row r="27" spans="1:8" ht="13.5" customHeight="1">
      <c r="A27" s="423"/>
      <c r="B27" s="422"/>
      <c r="C27" s="1451" t="s">
        <v>45</v>
      </c>
      <c r="D27" s="2771">
        <f>SUM(D29:D35)</f>
        <v>0</v>
      </c>
      <c r="E27" s="1657">
        <f>SUM(E29:E31)+SUM(E33:E35)</f>
        <v>0</v>
      </c>
      <c r="F27" s="1462">
        <f>SUM(F29:F35)</f>
        <v>0</v>
      </c>
      <c r="G27" s="418"/>
      <c r="H27" s="418"/>
    </row>
    <row r="28" spans="1:8" ht="13.5" customHeight="1">
      <c r="A28" s="422"/>
      <c r="B28" s="422"/>
      <c r="C28" s="1450" t="s">
        <v>1733</v>
      </c>
      <c r="D28" s="2777">
        <v>0.66700000000000004</v>
      </c>
      <c r="E28" s="1452">
        <v>0.68799999999999994</v>
      </c>
      <c r="F28" s="1485"/>
      <c r="G28" s="413"/>
      <c r="H28" s="413"/>
    </row>
    <row r="29" spans="1:8" ht="13.5" customHeight="1">
      <c r="A29" s="422"/>
      <c r="B29" s="422"/>
      <c r="C29" s="1667" t="s">
        <v>719</v>
      </c>
      <c r="D29" s="2778">
        <f>D15*D28</f>
        <v>0</v>
      </c>
      <c r="E29" s="1504">
        <f>E15*E28</f>
        <v>0</v>
      </c>
      <c r="F29" s="1438">
        <f>SUM(D29:E29)</f>
        <v>0</v>
      </c>
      <c r="G29" s="413"/>
      <c r="H29" s="413"/>
    </row>
    <row r="30" spans="1:8" ht="13.5" customHeight="1">
      <c r="A30" s="422"/>
      <c r="B30" s="422"/>
      <c r="C30" s="1667" t="s">
        <v>720</v>
      </c>
      <c r="D30" s="2785">
        <f>D21*D28</f>
        <v>0</v>
      </c>
      <c r="E30" s="1504">
        <f>E21*E28</f>
        <v>0</v>
      </c>
      <c r="F30" s="1661">
        <f>SUM(D30:E30)</f>
        <v>0</v>
      </c>
      <c r="G30" s="413"/>
      <c r="H30" s="413"/>
    </row>
    <row r="31" spans="1:8" ht="13.5" customHeight="1">
      <c r="A31" s="422"/>
      <c r="B31" s="422"/>
      <c r="C31" s="1667"/>
      <c r="D31" s="2774"/>
      <c r="E31" s="1443"/>
      <c r="F31" s="1661">
        <f>SUM(D31:E31)</f>
        <v>0</v>
      </c>
      <c r="G31" s="413"/>
      <c r="H31" s="413"/>
    </row>
    <row r="32" spans="1:8" ht="13.5" customHeight="1">
      <c r="A32" s="422"/>
      <c r="B32" s="422"/>
      <c r="C32" s="1450" t="s">
        <v>1734</v>
      </c>
      <c r="D32" s="2777"/>
      <c r="E32" s="1452">
        <v>0.21</v>
      </c>
      <c r="F32" s="1485"/>
      <c r="G32" s="413"/>
    </row>
    <row r="33" spans="1:7" ht="13.5" customHeight="1">
      <c r="A33" s="422"/>
      <c r="B33" s="1350"/>
      <c r="C33" s="1667" t="s">
        <v>719</v>
      </c>
      <c r="D33" s="2778"/>
      <c r="E33" s="1641">
        <f>E15*E32</f>
        <v>0</v>
      </c>
      <c r="F33" s="1661">
        <f>SUM(D33:E33)</f>
        <v>0</v>
      </c>
      <c r="G33" s="413"/>
    </row>
    <row r="34" spans="1:7" ht="13.5" customHeight="1">
      <c r="A34" s="425"/>
      <c r="B34" s="422"/>
      <c r="C34" s="1667" t="s">
        <v>720</v>
      </c>
      <c r="D34" s="2785"/>
      <c r="E34" s="1641">
        <f>E21*E32</f>
        <v>0</v>
      </c>
      <c r="F34" s="1661">
        <f t="shared" ref="F34" si="0">SUM(D34:E34)</f>
        <v>0</v>
      </c>
      <c r="G34" s="417"/>
    </row>
    <row r="35" spans="1:7" ht="13.5" customHeight="1">
      <c r="A35" s="1362" t="s">
        <v>154</v>
      </c>
      <c r="B35" s="423"/>
      <c r="C35" s="1445"/>
      <c r="D35" s="2775"/>
      <c r="E35" s="1444"/>
      <c r="F35" s="1661">
        <f>SUM(D35:E35)</f>
        <v>0</v>
      </c>
      <c r="G35" s="413"/>
    </row>
    <row r="36" spans="1:7" ht="13.5" customHeight="1">
      <c r="A36" s="1514" t="s">
        <v>22</v>
      </c>
      <c r="B36" s="422"/>
      <c r="C36" s="1488"/>
      <c r="D36" s="2779"/>
      <c r="E36" s="1490"/>
      <c r="F36" s="1493"/>
      <c r="G36" s="418"/>
    </row>
    <row r="37" spans="1:7" ht="13.5" customHeight="1">
      <c r="A37" s="1430">
        <v>18230698</v>
      </c>
      <c r="B37" s="422"/>
      <c r="C37" s="1451" t="s">
        <v>46</v>
      </c>
      <c r="D37" s="2771">
        <v>0</v>
      </c>
      <c r="E37" s="1464">
        <v>0</v>
      </c>
      <c r="F37" s="1462">
        <v>0</v>
      </c>
      <c r="G37" s="413"/>
    </row>
    <row r="38" spans="1:7" ht="13.5" customHeight="1">
      <c r="A38" s="1515" t="s">
        <v>28</v>
      </c>
      <c r="B38" s="422"/>
      <c r="C38" s="1423"/>
      <c r="D38" s="2778"/>
      <c r="E38" s="1520"/>
      <c r="F38" s="1438">
        <v>0</v>
      </c>
      <c r="G38" s="413"/>
    </row>
    <row r="39" spans="1:7" ht="13.5" customHeight="1">
      <c r="A39" s="422"/>
      <c r="B39" s="422"/>
      <c r="C39" s="1423"/>
      <c r="D39" s="2778"/>
      <c r="E39" s="1520"/>
      <c r="F39" s="1438">
        <v>0</v>
      </c>
      <c r="G39" s="413"/>
    </row>
    <row r="40" spans="1:7" ht="13.5" customHeight="1">
      <c r="A40" s="422"/>
      <c r="B40" s="422"/>
      <c r="C40" s="1423"/>
      <c r="D40" s="2778"/>
      <c r="E40" s="1520"/>
      <c r="F40" s="1438">
        <v>0</v>
      </c>
      <c r="G40" s="413"/>
    </row>
    <row r="41" spans="1:7" ht="13.5" customHeight="1">
      <c r="A41" s="422"/>
      <c r="B41" s="422"/>
      <c r="C41" s="1423"/>
      <c r="D41" s="2778"/>
      <c r="E41" s="1520"/>
      <c r="F41" s="1438">
        <v>0</v>
      </c>
      <c r="G41" s="413"/>
    </row>
    <row r="42" spans="1:7" ht="13.5" customHeight="1">
      <c r="A42" s="422"/>
      <c r="B42" s="422"/>
      <c r="C42" s="1488"/>
      <c r="D42" s="2779"/>
      <c r="E42" s="1490"/>
      <c r="F42" s="1493"/>
      <c r="G42" s="413"/>
    </row>
    <row r="43" spans="1:7" ht="13.5" customHeight="1">
      <c r="A43" s="422"/>
      <c r="B43" s="422"/>
      <c r="C43" s="1597" t="s">
        <v>483</v>
      </c>
      <c r="D43" s="2771">
        <f>SUM(D44:D47)</f>
        <v>0</v>
      </c>
      <c r="E43" s="1464">
        <f>SUM(E44:E47)</f>
        <v>0</v>
      </c>
      <c r="F43" s="1462">
        <f t="shared" ref="F43:F59" si="1">SUM(D43:E43)</f>
        <v>0</v>
      </c>
      <c r="G43" s="413"/>
    </row>
    <row r="44" spans="1:7" ht="13.5" customHeight="1">
      <c r="A44" s="422"/>
      <c r="B44" s="422"/>
      <c r="C44" s="1608"/>
      <c r="D44" s="2778"/>
      <c r="E44" s="1520"/>
      <c r="F44" s="1438">
        <f t="shared" si="1"/>
        <v>0</v>
      </c>
      <c r="G44" s="413"/>
    </row>
    <row r="45" spans="1:7" ht="13.5" customHeight="1">
      <c r="A45" s="422"/>
      <c r="B45" s="422"/>
      <c r="C45" s="1423"/>
      <c r="D45" s="2778"/>
      <c r="E45" s="1520"/>
      <c r="F45" s="1438">
        <f t="shared" si="1"/>
        <v>0</v>
      </c>
      <c r="G45" s="413"/>
    </row>
    <row r="46" spans="1:7" ht="13.5" customHeight="1">
      <c r="A46" s="422"/>
      <c r="B46" s="422"/>
      <c r="C46" s="1423"/>
      <c r="D46" s="2778"/>
      <c r="E46" s="1520"/>
      <c r="F46" s="1438">
        <f t="shared" si="1"/>
        <v>0</v>
      </c>
      <c r="G46" s="413"/>
    </row>
    <row r="47" spans="1:7" ht="13.5" customHeight="1">
      <c r="A47" s="422"/>
      <c r="B47" s="422"/>
      <c r="C47" s="1423"/>
      <c r="D47" s="2778"/>
      <c r="E47" s="1520"/>
      <c r="F47" s="1438">
        <f t="shared" si="1"/>
        <v>0</v>
      </c>
      <c r="G47" s="413"/>
    </row>
    <row r="48" spans="1:7" ht="13.5" customHeight="1">
      <c r="A48" s="422"/>
      <c r="B48" s="422"/>
      <c r="C48" s="1488"/>
      <c r="D48" s="2779"/>
      <c r="E48" s="1490"/>
      <c r="F48" s="1493"/>
    </row>
    <row r="49" spans="1:17" ht="13.5" customHeight="1">
      <c r="A49" s="422"/>
      <c r="B49" s="422"/>
      <c r="C49" s="1451" t="s">
        <v>47</v>
      </c>
      <c r="D49" s="2771">
        <f>SUM(D50:D53)</f>
        <v>8450</v>
      </c>
      <c r="E49" s="1464">
        <f>SUM(E50:E53)</f>
        <v>8450</v>
      </c>
      <c r="F49" s="1462">
        <f t="shared" si="1"/>
        <v>16900</v>
      </c>
    </row>
    <row r="50" spans="1:17" ht="13.5" customHeight="1">
      <c r="A50" s="422"/>
      <c r="B50" s="422"/>
      <c r="C50" s="2199" t="s">
        <v>715</v>
      </c>
      <c r="D50" s="2778">
        <v>8450</v>
      </c>
      <c r="E50" s="1672">
        <v>8450</v>
      </c>
      <c r="F50" s="1438">
        <f t="shared" si="1"/>
        <v>16900</v>
      </c>
    </row>
    <row r="51" spans="1:17" ht="13.5" customHeight="1">
      <c r="A51" s="422"/>
      <c r="B51" s="422"/>
      <c r="C51" s="1608"/>
      <c r="D51" s="2778"/>
      <c r="E51" s="1520"/>
      <c r="F51" s="1438">
        <f t="shared" si="1"/>
        <v>0</v>
      </c>
    </row>
    <row r="52" spans="1:17" ht="13.5" customHeight="1">
      <c r="A52" s="422"/>
      <c r="B52" s="422"/>
      <c r="C52" s="1423"/>
      <c r="D52" s="2778"/>
      <c r="E52" s="1520"/>
      <c r="F52" s="1438">
        <f t="shared" si="1"/>
        <v>0</v>
      </c>
    </row>
    <row r="53" spans="1:17" ht="13.5" customHeight="1">
      <c r="A53" s="422"/>
      <c r="B53" s="422"/>
      <c r="C53" s="1423"/>
      <c r="D53" s="2778"/>
      <c r="E53" s="1520"/>
      <c r="F53" s="1438">
        <f t="shared" si="1"/>
        <v>0</v>
      </c>
    </row>
    <row r="54" spans="1:17" ht="13.5" customHeight="1">
      <c r="A54" s="422"/>
      <c r="B54" s="422"/>
      <c r="C54" s="1488"/>
      <c r="D54" s="2779"/>
      <c r="E54" s="1490"/>
      <c r="F54" s="1493"/>
    </row>
    <row r="55" spans="1:17" ht="13.5" customHeight="1">
      <c r="A55" s="422"/>
      <c r="B55" s="422"/>
      <c r="C55" s="1451" t="s">
        <v>48</v>
      </c>
      <c r="D55" s="2771">
        <f>SUM(D56:D59)</f>
        <v>0</v>
      </c>
      <c r="E55" s="1464">
        <f>SUM(E56:E59)</f>
        <v>0</v>
      </c>
      <c r="F55" s="1462">
        <f t="shared" si="1"/>
        <v>0</v>
      </c>
    </row>
    <row r="56" spans="1:17" ht="13.5" customHeight="1">
      <c r="A56" s="422"/>
      <c r="B56" s="422"/>
      <c r="C56" s="1608"/>
      <c r="D56" s="2778"/>
      <c r="E56" s="1504"/>
      <c r="F56" s="1438">
        <f t="shared" si="1"/>
        <v>0</v>
      </c>
    </row>
    <row r="57" spans="1:17" ht="13.5" customHeight="1">
      <c r="A57" s="422"/>
      <c r="B57" s="422"/>
      <c r="C57" s="1608"/>
      <c r="D57" s="2778"/>
      <c r="E57" s="1504"/>
      <c r="F57" s="1438">
        <f t="shared" si="1"/>
        <v>0</v>
      </c>
    </row>
    <row r="58" spans="1:17" ht="13.5" customHeight="1">
      <c r="A58" s="422"/>
      <c r="B58" s="422"/>
      <c r="C58" s="1423"/>
      <c r="D58" s="2778"/>
      <c r="E58" s="1504"/>
      <c r="F58" s="1438">
        <f t="shared" si="1"/>
        <v>0</v>
      </c>
    </row>
    <row r="59" spans="1:17" ht="13.5" customHeight="1">
      <c r="A59" s="422"/>
      <c r="B59" s="422"/>
      <c r="C59" s="1423"/>
      <c r="D59" s="2778"/>
      <c r="E59" s="1504"/>
      <c r="F59" s="1438">
        <f t="shared" si="1"/>
        <v>0</v>
      </c>
    </row>
    <row r="60" spans="1:17" s="1605" customFormat="1" ht="13.5" customHeight="1">
      <c r="A60" s="1606"/>
      <c r="B60" s="1606"/>
      <c r="C60" s="1488"/>
      <c r="D60" s="2779"/>
      <c r="E60" s="1490"/>
      <c r="F60" s="1493"/>
      <c r="Q60" s="1652"/>
    </row>
    <row r="61" spans="1:17" ht="13.5" customHeight="1">
      <c r="A61" s="422"/>
      <c r="B61" s="422"/>
      <c r="C61" s="1451" t="s">
        <v>49</v>
      </c>
      <c r="D61" s="2780">
        <f>SUM(D62:D65)</f>
        <v>12565</v>
      </c>
      <c r="E61" s="1613">
        <f>SUM(E62:E65)</f>
        <v>12565</v>
      </c>
      <c r="F61" s="1602">
        <f t="shared" ref="F61:F65" si="2">SUM(D61:E61)</f>
        <v>25130</v>
      </c>
    </row>
    <row r="62" spans="1:17" ht="13.5" customHeight="1">
      <c r="A62" s="422"/>
      <c r="C62" s="3616" t="s">
        <v>714</v>
      </c>
      <c r="D62" s="2778">
        <v>12565</v>
      </c>
      <c r="E62" s="1672">
        <v>12565</v>
      </c>
      <c r="F62" s="1438">
        <f t="shared" si="2"/>
        <v>25130</v>
      </c>
    </row>
    <row r="63" spans="1:17">
      <c r="C63" s="3617"/>
      <c r="D63" s="2778"/>
      <c r="E63" s="1672"/>
      <c r="F63" s="1661">
        <f t="shared" si="2"/>
        <v>0</v>
      </c>
    </row>
    <row r="64" spans="1:17">
      <c r="C64" s="3618"/>
      <c r="D64" s="2778"/>
      <c r="E64" s="1672"/>
      <c r="F64" s="1661">
        <f t="shared" si="2"/>
        <v>0</v>
      </c>
    </row>
    <row r="65" spans="3:6">
      <c r="C65" s="1604"/>
      <c r="D65" s="2778"/>
      <c r="E65" s="1520"/>
      <c r="F65" s="1661">
        <f t="shared" si="2"/>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0" activePane="bottomRight" state="frozen"/>
      <selection pane="bottomRight" activeCell="A48" sqref="A48"/>
      <pageMargins left="0.27" right="0.35" top="0.45" bottom="0.36" header="0.3" footer="0.3"/>
      <pageSetup paperSize="17" scale="60" orientation="landscape" r:id="rId1"/>
    </customSheetView>
    <customSheetView guid="{074EB09C-6289-46D7-9513-012B68BCA7BF}" showGridLines="0" fitToPage="1">
      <pane xSplit="1" ySplit="1" topLeftCell="B2" activePane="bottomRight" state="frozen"/>
      <selection pane="bottomRight" activeCell="G4" sqref="G4:G6"/>
      <pageMargins left="0.27" right="0.35" top="0.45" bottom="0.36" header="0.3" footer="0.3"/>
      <pageSetup paperSize="17" scale="60" orientation="landscape" r:id="rId2"/>
    </customSheetView>
  </customSheetViews>
  <mergeCells count="1">
    <mergeCell ref="C62:C64"/>
  </mergeCells>
  <pageMargins left="0.27" right="0.35" top="0.45" bottom="0.36" header="0.3" footer="0.3"/>
  <pageSetup paperSize="3" scale="56" orientation="landscape" r:id="rId3"/>
  <drawing r:id="rId4"/>
  <legacyDrawing r:id="rId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tabColor theme="6" tint="-0.249977111117893"/>
  </sheetPr>
  <dimension ref="A1:R70"/>
  <sheetViews>
    <sheetView showGridLines="0" workbookViewId="0">
      <pane xSplit="1" ySplit="1" topLeftCell="B5" activePane="bottomRight" state="frozen"/>
      <selection pane="topRight" activeCell="B1" sqref="B1"/>
      <selection pane="bottomLeft" activeCell="A2" sqref="A2"/>
      <selection pane="bottomRight" activeCell="G24" sqref="G24"/>
    </sheetView>
  </sheetViews>
  <sheetFormatPr defaultColWidth="34.85546875" defaultRowHeight="12.75"/>
  <cols>
    <col min="1" max="1" width="18.28515625" style="1652" customWidth="1"/>
    <col min="2" max="2" width="16" style="1652" customWidth="1"/>
    <col min="3" max="3" width="30.28515625" style="1652" customWidth="1"/>
    <col min="4" max="5" width="20" style="1652" customWidth="1"/>
    <col min="6" max="6" width="24.42578125" style="1652" customWidth="1"/>
    <col min="7" max="9" width="20.7109375" style="1652" customWidth="1"/>
    <col min="10" max="11" width="18.85546875" style="1652" customWidth="1"/>
    <col min="12" max="13" width="16.42578125" style="1652" customWidth="1"/>
    <col min="14" max="14" width="17.140625" style="1652" customWidth="1"/>
    <col min="15" max="15" width="20.140625" style="1652" customWidth="1"/>
    <col min="16" max="16" width="18.85546875" style="1652" customWidth="1"/>
    <col min="17" max="17" width="21.28515625" style="1652" customWidth="1"/>
    <col min="18" max="16384" width="34.85546875" style="1652"/>
  </cols>
  <sheetData>
    <row r="1" spans="1:18" ht="57.75" customHeight="1">
      <c r="D1" s="2148" t="s">
        <v>651</v>
      </c>
      <c r="E1" s="1366" t="s">
        <v>22</v>
      </c>
      <c r="F1" s="1428">
        <v>18231031</v>
      </c>
      <c r="G1" s="2148" t="s">
        <v>28</v>
      </c>
      <c r="M1" s="2148" t="s">
        <v>651</v>
      </c>
      <c r="N1" s="1366" t="s">
        <v>22</v>
      </c>
      <c r="O1" s="1428">
        <v>18231031</v>
      </c>
      <c r="P1" s="2148" t="s">
        <v>28</v>
      </c>
    </row>
    <row r="2" spans="1:18" ht="16.5" thickBot="1">
      <c r="A2" s="1579"/>
      <c r="B2" s="1579"/>
      <c r="D2" s="414"/>
      <c r="E2" s="414"/>
      <c r="F2" s="414"/>
      <c r="G2" s="1354"/>
      <c r="H2" s="1178" t="s">
        <v>647</v>
      </c>
      <c r="I2" s="1354"/>
      <c r="J2" s="1354"/>
      <c r="K2" s="1354"/>
      <c r="L2" s="1354"/>
      <c r="M2" s="1354"/>
      <c r="N2" s="1354"/>
      <c r="O2" s="1354"/>
      <c r="P2" s="1354"/>
      <c r="Q2" s="2147"/>
      <c r="R2" s="1354"/>
    </row>
    <row r="3" spans="1:18" ht="26.25" thickBot="1">
      <c r="A3" s="2149" t="s">
        <v>651</v>
      </c>
      <c r="B3" s="1364"/>
      <c r="D3" s="419"/>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1579"/>
      <c r="D4" s="1579"/>
      <c r="E4" s="1579"/>
      <c r="F4" s="1579"/>
      <c r="G4" s="2946" t="s">
        <v>1726</v>
      </c>
      <c r="H4" s="2959">
        <f>D15</f>
        <v>151204.21000000002</v>
      </c>
      <c r="I4" s="2960">
        <f>D21</f>
        <v>4000</v>
      </c>
      <c r="J4" s="2960">
        <f>D27</f>
        <v>103521.20807000002</v>
      </c>
      <c r="K4" s="2960">
        <f>D37</f>
        <v>14000</v>
      </c>
      <c r="L4" s="2960">
        <f>D43</f>
        <v>5000</v>
      </c>
      <c r="M4" s="2960">
        <f>D49</f>
        <v>16000</v>
      </c>
      <c r="N4" s="2960">
        <f>D55</f>
        <v>1500</v>
      </c>
      <c r="O4" s="2960">
        <f>D61</f>
        <v>0</v>
      </c>
      <c r="P4" s="2960">
        <v>0</v>
      </c>
      <c r="Q4" s="2960">
        <f>D70</f>
        <v>-313321.74</v>
      </c>
      <c r="R4" s="2979">
        <f>SUM(H4:Q4)</f>
        <v>-18096.321929999976</v>
      </c>
    </row>
    <row r="5" spans="1:18" ht="15.75">
      <c r="A5" s="1428">
        <v>18231031</v>
      </c>
      <c r="G5" s="3205" t="s">
        <v>1753</v>
      </c>
      <c r="H5" s="2617">
        <v>154984.49</v>
      </c>
      <c r="I5" s="2618">
        <v>4100</v>
      </c>
      <c r="J5" s="2618">
        <v>108177.4532</v>
      </c>
      <c r="K5" s="2618">
        <v>14000</v>
      </c>
      <c r="L5" s="2618">
        <v>5000</v>
      </c>
      <c r="M5" s="2618">
        <v>16000</v>
      </c>
      <c r="N5" s="2618">
        <v>1500</v>
      </c>
      <c r="O5" s="2618">
        <v>0</v>
      </c>
      <c r="P5" s="2618">
        <v>0</v>
      </c>
      <c r="Q5" s="2618">
        <v>-313321.74</v>
      </c>
      <c r="R5" s="2735">
        <v>-9559.796800000011</v>
      </c>
    </row>
    <row r="6" spans="1:18" ht="16.5" thickBot="1">
      <c r="A6" s="2352" t="s">
        <v>28</v>
      </c>
      <c r="B6" s="1428"/>
      <c r="C6" s="1352"/>
      <c r="D6" s="1579"/>
      <c r="E6" s="1579"/>
      <c r="F6" s="1579"/>
      <c r="G6" s="3206" t="s">
        <v>1754</v>
      </c>
      <c r="H6" s="2621">
        <f>E15</f>
        <v>139381.01999999999</v>
      </c>
      <c r="I6" s="2622">
        <f>E21</f>
        <v>4100</v>
      </c>
      <c r="J6" s="2623">
        <f>E27</f>
        <v>128845.95595999999</v>
      </c>
      <c r="K6" s="2622">
        <f>E37</f>
        <v>25000</v>
      </c>
      <c r="L6" s="2622">
        <f>E43</f>
        <v>5000</v>
      </c>
      <c r="M6" s="2622">
        <f>E49</f>
        <v>20000</v>
      </c>
      <c r="N6" s="2622">
        <f>E55</f>
        <v>1500</v>
      </c>
      <c r="O6" s="2622">
        <f>E61</f>
        <v>0</v>
      </c>
      <c r="P6" s="2622">
        <v>0</v>
      </c>
      <c r="Q6" s="2622">
        <f>E70</f>
        <v>-328321.74</v>
      </c>
      <c r="R6" s="2760">
        <f>SUM(H6:Q6)</f>
        <v>-4494.7640400000382</v>
      </c>
    </row>
    <row r="7" spans="1:18" ht="15.75">
      <c r="B7" s="1363"/>
      <c r="C7" s="418"/>
      <c r="D7" s="418"/>
      <c r="E7" s="418"/>
      <c r="F7" s="418"/>
      <c r="G7" s="2688"/>
      <c r="H7" s="2607"/>
      <c r="I7" s="2607"/>
      <c r="J7" s="2607"/>
      <c r="K7" s="2607"/>
      <c r="L7" s="2607"/>
      <c r="M7" s="2607"/>
      <c r="N7" s="2607"/>
      <c r="O7" s="2607"/>
      <c r="P7" s="2607"/>
      <c r="Q7" s="2607"/>
      <c r="R7" s="2607"/>
    </row>
    <row r="8" spans="1:18" ht="25.5">
      <c r="B8" s="1364"/>
      <c r="C8" s="418"/>
      <c r="D8" s="418"/>
      <c r="E8" s="415"/>
      <c r="F8" s="1335"/>
      <c r="G8" s="1579"/>
      <c r="H8" s="1579"/>
      <c r="I8" s="1579"/>
      <c r="J8" s="1579"/>
      <c r="K8" s="1579"/>
      <c r="L8" s="1579"/>
      <c r="M8" s="1579"/>
      <c r="O8" s="1579"/>
      <c r="P8" s="1606" t="s">
        <v>17</v>
      </c>
      <c r="Q8" s="1606" t="s">
        <v>17</v>
      </c>
    </row>
    <row r="9" spans="1:18">
      <c r="A9" s="1363"/>
      <c r="B9" s="1363"/>
      <c r="C9" s="418"/>
      <c r="D9" s="418"/>
      <c r="E9" s="415"/>
      <c r="F9" s="1335"/>
      <c r="G9" s="1579"/>
      <c r="H9" s="1579"/>
      <c r="I9" s="1579"/>
      <c r="J9" s="1579"/>
      <c r="K9" s="1579"/>
      <c r="L9" s="1579"/>
      <c r="M9" s="1579"/>
      <c r="O9" s="1579"/>
      <c r="P9" s="1606" t="s">
        <v>18</v>
      </c>
      <c r="Q9" s="1606" t="s">
        <v>18</v>
      </c>
    </row>
    <row r="10" spans="1:18">
      <c r="A10" s="1370"/>
      <c r="B10" s="1370"/>
      <c r="C10" s="1454" t="s">
        <v>310</v>
      </c>
      <c r="D10" s="1454"/>
      <c r="E10" s="1454"/>
      <c r="F10" s="1454"/>
    </row>
    <row r="11" spans="1:18">
      <c r="A11" s="1370"/>
      <c r="B11" s="1370"/>
      <c r="E11" s="1663"/>
    </row>
    <row r="12" spans="1:18">
      <c r="A12" s="1370"/>
      <c r="B12" s="1606"/>
      <c r="C12" s="1434" t="s">
        <v>298</v>
      </c>
      <c r="D12" s="2766">
        <f>D15+D21+D27+D37+D43+D49+D55+D61+D67+D70</f>
        <v>-18096.321929999976</v>
      </c>
      <c r="E12" s="1484">
        <f>E15+E21+E27+E37+E43+E49+E55+E61+E67+E70</f>
        <v>-4494.7640400000382</v>
      </c>
      <c r="F12" s="1638">
        <f>D12+E12</f>
        <v>-22591.085970000015</v>
      </c>
    </row>
    <row r="13" spans="1:18" ht="15.75">
      <c r="A13" s="1606"/>
      <c r="B13" s="423"/>
      <c r="C13" s="1483"/>
      <c r="D13" s="2767"/>
      <c r="E13" s="1336"/>
      <c r="G13" s="1087"/>
      <c r="H13" s="1087"/>
      <c r="I13" s="1579"/>
      <c r="J13" s="1579"/>
      <c r="K13" s="1579"/>
      <c r="L13" s="1579"/>
      <c r="M13" s="1579"/>
      <c r="N13" s="1579"/>
      <c r="O13" s="1579"/>
      <c r="P13" s="1579"/>
      <c r="Q13" s="1579"/>
    </row>
    <row r="14" spans="1:18" ht="15.75">
      <c r="A14" s="423"/>
      <c r="B14" s="423"/>
      <c r="C14" s="1435" t="s">
        <v>42</v>
      </c>
      <c r="D14" s="2768">
        <v>2016</v>
      </c>
      <c r="E14" s="1502">
        <v>2017</v>
      </c>
      <c r="F14" s="1486" t="s">
        <v>20</v>
      </c>
      <c r="G14" s="424"/>
      <c r="H14" s="424"/>
      <c r="I14" s="418"/>
      <c r="J14" s="418"/>
      <c r="K14" s="418"/>
      <c r="L14" s="418"/>
      <c r="M14" s="418"/>
      <c r="N14" s="418"/>
      <c r="O14" s="418"/>
      <c r="P14" s="418"/>
      <c r="Q14" s="418"/>
    </row>
    <row r="15" spans="1:18" ht="15.75">
      <c r="A15" s="423"/>
      <c r="B15" s="1433" t="s">
        <v>296</v>
      </c>
      <c r="C15" s="1597" t="s">
        <v>43</v>
      </c>
      <c r="D15" s="2771">
        <f>SUM(D16:D19)</f>
        <v>151204.21000000002</v>
      </c>
      <c r="E15" s="1464">
        <f>SUM(E16:E19)</f>
        <v>139381.01999999999</v>
      </c>
      <c r="F15" s="1638">
        <f t="shared" ref="F15:F21" si="0">SUM(D15:E15)</f>
        <v>290585.23</v>
      </c>
      <c r="G15" s="424"/>
      <c r="H15" s="424"/>
      <c r="I15" s="418"/>
      <c r="J15" s="418"/>
      <c r="K15" s="418"/>
      <c r="L15" s="418"/>
      <c r="M15" s="418"/>
      <c r="N15" s="418"/>
      <c r="O15" s="418"/>
      <c r="P15" s="418"/>
      <c r="Q15" s="418"/>
    </row>
    <row r="16" spans="1:18">
      <c r="A16" s="1606"/>
      <c r="B16" s="1982">
        <v>0.5</v>
      </c>
      <c r="C16" s="1667" t="s">
        <v>735</v>
      </c>
      <c r="D16" s="2772">
        <v>45316.5</v>
      </c>
      <c r="E16" s="1669">
        <v>38875</v>
      </c>
      <c r="F16" s="1426">
        <f t="shared" si="0"/>
        <v>84191.5</v>
      </c>
      <c r="G16" s="1579"/>
      <c r="H16" s="1579"/>
    </row>
    <row r="17" spans="1:8">
      <c r="A17" s="1606"/>
      <c r="B17" s="1982">
        <v>0.5</v>
      </c>
      <c r="C17" s="1667" t="s">
        <v>736</v>
      </c>
      <c r="D17" s="2784">
        <v>45316.5</v>
      </c>
      <c r="E17" s="1668">
        <v>38875</v>
      </c>
      <c r="F17" s="1661">
        <f t="shared" si="0"/>
        <v>84191.5</v>
      </c>
      <c r="G17" s="1579"/>
      <c r="H17" s="1579"/>
    </row>
    <row r="18" spans="1:8">
      <c r="A18" s="1606"/>
      <c r="B18" s="1982">
        <v>0.03</v>
      </c>
      <c r="C18" s="1667" t="s">
        <v>734</v>
      </c>
      <c r="D18" s="2784">
        <v>2718.99</v>
      </c>
      <c r="E18" s="1668">
        <v>2332.5</v>
      </c>
      <c r="F18" s="1661">
        <f t="shared" si="0"/>
        <v>5051.49</v>
      </c>
      <c r="G18" s="1579"/>
      <c r="H18" s="1579"/>
    </row>
    <row r="19" spans="1:8">
      <c r="A19" s="1606"/>
      <c r="B19" s="1982">
        <v>1</v>
      </c>
      <c r="C19" s="1667" t="s">
        <v>1590</v>
      </c>
      <c r="D19" s="2784">
        <v>57852.22</v>
      </c>
      <c r="E19" s="1668">
        <v>59298.52</v>
      </c>
      <c r="F19" s="1661">
        <f t="shared" si="0"/>
        <v>117150.73999999999</v>
      </c>
      <c r="G19" s="1579"/>
      <c r="H19" s="1579"/>
    </row>
    <row r="20" spans="1:8">
      <c r="A20" s="1606"/>
      <c r="B20" s="1449">
        <f>SUM(B16:B19)</f>
        <v>2.0300000000000002</v>
      </c>
      <c r="C20" s="1488"/>
      <c r="D20" s="2770"/>
      <c r="E20" s="1490"/>
      <c r="F20" s="1492"/>
      <c r="G20" s="1579"/>
      <c r="H20" s="1579"/>
    </row>
    <row r="21" spans="1:8">
      <c r="A21" s="1606"/>
      <c r="B21" s="1606"/>
      <c r="C21" s="1597" t="s">
        <v>44</v>
      </c>
      <c r="D21" s="2780">
        <f>SUM(D22:D25)</f>
        <v>4000</v>
      </c>
      <c r="E21" s="1464">
        <f>SUM(E22:E25)</f>
        <v>4100</v>
      </c>
      <c r="F21" s="1638">
        <f t="shared" si="0"/>
        <v>8100</v>
      </c>
      <c r="G21" s="420" t="s">
        <v>6</v>
      </c>
      <c r="H21" s="1579"/>
    </row>
    <row r="22" spans="1:8">
      <c r="A22" s="1606"/>
      <c r="B22" s="1606"/>
      <c r="C22" s="1667" t="s">
        <v>1428</v>
      </c>
      <c r="D22" s="2772">
        <v>4000</v>
      </c>
      <c r="E22" s="1669">
        <v>4100</v>
      </c>
      <c r="F22" s="1426">
        <f>D22+E22</f>
        <v>8100</v>
      </c>
      <c r="G22" s="421"/>
      <c r="H22" s="1579"/>
    </row>
    <row r="23" spans="1:8">
      <c r="A23" s="1606"/>
      <c r="B23" s="1606"/>
      <c r="C23" s="1667"/>
      <c r="D23" s="2773"/>
      <c r="E23" s="1444"/>
      <c r="F23" s="1661">
        <f>D23+E23</f>
        <v>0</v>
      </c>
      <c r="G23" s="1579"/>
      <c r="H23" s="1579"/>
    </row>
    <row r="24" spans="1:8">
      <c r="A24" s="1606"/>
      <c r="B24" s="423"/>
      <c r="C24" s="1667"/>
      <c r="D24" s="2774"/>
      <c r="E24" s="1443"/>
      <c r="F24" s="1661">
        <f t="shared" ref="F24:F25" si="1">D24+E24</f>
        <v>0</v>
      </c>
      <c r="G24" s="1579"/>
      <c r="H24" s="1579"/>
    </row>
    <row r="25" spans="1:8">
      <c r="A25" s="423"/>
      <c r="B25" s="1606"/>
      <c r="C25" s="1667"/>
      <c r="D25" s="2775"/>
      <c r="E25" s="1444"/>
      <c r="F25" s="1661">
        <f t="shared" si="1"/>
        <v>0</v>
      </c>
      <c r="G25" s="418"/>
      <c r="H25" s="418"/>
    </row>
    <row r="26" spans="1:8">
      <c r="A26" s="1606"/>
      <c r="B26" s="423"/>
      <c r="C26" s="1424"/>
      <c r="D26" s="2776"/>
      <c r="E26" s="1431"/>
      <c r="F26" s="1439"/>
      <c r="G26" s="1579"/>
      <c r="H26" s="1579"/>
    </row>
    <row r="27" spans="1:8">
      <c r="A27" s="423"/>
      <c r="B27" s="1606"/>
      <c r="C27" s="1597" t="s">
        <v>45</v>
      </c>
      <c r="D27" s="2771">
        <f>SUM(D29:D35)</f>
        <v>103521.20807000002</v>
      </c>
      <c r="E27" s="1657">
        <f>SUM(E29:E31)+SUM(E33:E35)</f>
        <v>128845.95595999999</v>
      </c>
      <c r="F27" s="1638">
        <f>SUM(F29:F35)</f>
        <v>232367.16403000001</v>
      </c>
      <c r="G27" s="418"/>
      <c r="H27" s="418"/>
    </row>
    <row r="28" spans="1:8">
      <c r="A28" s="1606"/>
      <c r="B28" s="1606"/>
      <c r="C28" s="1450" t="s">
        <v>1733</v>
      </c>
      <c r="D28" s="2777">
        <v>0.66700000000000004</v>
      </c>
      <c r="E28" s="1452">
        <v>0.68799999999999994</v>
      </c>
      <c r="F28" s="1485"/>
      <c r="G28" s="1579"/>
      <c r="H28" s="1579"/>
    </row>
    <row r="29" spans="1:8">
      <c r="A29" s="1606"/>
      <c r="B29" s="1606"/>
      <c r="C29" s="1667" t="s">
        <v>719</v>
      </c>
      <c r="D29" s="2778">
        <f>D15*D28</f>
        <v>100853.20807000002</v>
      </c>
      <c r="E29" s="1641">
        <f>E15*E28</f>
        <v>95894.141759999984</v>
      </c>
      <c r="F29" s="1661">
        <f>SUM(D29:E29)</f>
        <v>196747.34983000002</v>
      </c>
      <c r="G29" s="1579"/>
      <c r="H29" s="1579"/>
    </row>
    <row r="30" spans="1:8">
      <c r="A30" s="1606"/>
      <c r="B30" s="1606"/>
      <c r="C30" s="1667" t="s">
        <v>720</v>
      </c>
      <c r="D30" s="2785">
        <f>D21*D28</f>
        <v>2668</v>
      </c>
      <c r="E30" s="1641">
        <f>E21*E28</f>
        <v>2820.7999999999997</v>
      </c>
      <c r="F30" s="1661">
        <f>SUM(D30:E30)</f>
        <v>5488.7999999999993</v>
      </c>
      <c r="G30" s="1579"/>
      <c r="H30" s="1579"/>
    </row>
    <row r="31" spans="1:8">
      <c r="A31" s="1606"/>
      <c r="B31" s="1606"/>
      <c r="C31" s="1667"/>
      <c r="D31" s="2774"/>
      <c r="E31" s="1443"/>
      <c r="F31" s="1661">
        <f>SUM(D31:E31)</f>
        <v>0</v>
      </c>
      <c r="G31" s="1579"/>
      <c r="H31" s="1579"/>
    </row>
    <row r="32" spans="1:8">
      <c r="A32" s="1606"/>
      <c r="B32" s="1606"/>
      <c r="C32" s="1450" t="s">
        <v>1734</v>
      </c>
      <c r="D32" s="2777"/>
      <c r="E32" s="1452">
        <v>0.21</v>
      </c>
      <c r="F32" s="1485"/>
      <c r="G32" s="1579"/>
    </row>
    <row r="33" spans="1:7">
      <c r="A33" s="1606"/>
      <c r="B33" s="1350"/>
      <c r="C33" s="1667" t="s">
        <v>719</v>
      </c>
      <c r="D33" s="2778"/>
      <c r="E33" s="1641">
        <f>E15*E32</f>
        <v>29270.014199999998</v>
      </c>
      <c r="F33" s="1661">
        <f>SUM(D33:E33)</f>
        <v>29270.014199999998</v>
      </c>
      <c r="G33" s="1579"/>
    </row>
    <row r="34" spans="1:7" ht="25.5">
      <c r="A34" s="2149" t="s">
        <v>651</v>
      </c>
      <c r="B34" s="1606"/>
      <c r="C34" s="1667" t="s">
        <v>720</v>
      </c>
      <c r="D34" s="2785"/>
      <c r="E34" s="1641">
        <f>E21*E32</f>
        <v>861</v>
      </c>
      <c r="F34" s="1661">
        <f t="shared" ref="F34" si="2">SUM(D34:E34)</f>
        <v>861</v>
      </c>
      <c r="G34" s="417"/>
    </row>
    <row r="35" spans="1:7">
      <c r="A35" s="1515" t="s">
        <v>22</v>
      </c>
      <c r="B35" s="423"/>
      <c r="C35" s="1445"/>
      <c r="D35" s="2775"/>
      <c r="E35" s="1444"/>
      <c r="F35" s="1661">
        <f>SUM(D35:E35)</f>
        <v>0</v>
      </c>
      <c r="G35" s="1579"/>
    </row>
    <row r="36" spans="1:7">
      <c r="A36" s="1428">
        <v>18321031</v>
      </c>
      <c r="B36" s="1606"/>
      <c r="C36" s="1488"/>
      <c r="D36" s="2779"/>
      <c r="E36" s="1490"/>
      <c r="F36" s="1493"/>
      <c r="G36" s="418"/>
    </row>
    <row r="37" spans="1:7">
      <c r="A37" s="2352" t="s">
        <v>28</v>
      </c>
      <c r="B37" s="1606"/>
      <c r="C37" s="1597" t="s">
        <v>46</v>
      </c>
      <c r="D37" s="2787">
        <f>SUM(D38:D41)</f>
        <v>14000</v>
      </c>
      <c r="E37" s="1706">
        <f>SUM(E38:E41)</f>
        <v>25000</v>
      </c>
      <c r="F37" s="1638">
        <f>SUM(D37:E37)</f>
        <v>39000</v>
      </c>
      <c r="G37" s="1579"/>
    </row>
    <row r="38" spans="1:7">
      <c r="A38" s="1606"/>
      <c r="B38" s="1606"/>
      <c r="C38" s="1667"/>
      <c r="D38" s="2778">
        <v>14000</v>
      </c>
      <c r="E38" s="1672">
        <v>25000</v>
      </c>
      <c r="F38" s="1661">
        <v>0</v>
      </c>
      <c r="G38" s="1579"/>
    </row>
    <row r="39" spans="1:7">
      <c r="A39" s="1606"/>
      <c r="B39" s="1606"/>
      <c r="C39" s="1667"/>
      <c r="D39" s="2778"/>
      <c r="E39" s="1672"/>
      <c r="F39" s="1661">
        <v>0</v>
      </c>
      <c r="G39" s="1579"/>
    </row>
    <row r="40" spans="1:7">
      <c r="A40" s="1606"/>
      <c r="B40" s="1606"/>
      <c r="C40" s="1667"/>
      <c r="D40" s="2778"/>
      <c r="E40" s="1672"/>
      <c r="F40" s="1661">
        <v>0</v>
      </c>
      <c r="G40" s="1579"/>
    </row>
    <row r="41" spans="1:7">
      <c r="A41" s="1606"/>
      <c r="B41" s="1606"/>
      <c r="C41" s="1667"/>
      <c r="D41" s="2778"/>
      <c r="E41" s="1672"/>
      <c r="F41" s="1661">
        <v>0</v>
      </c>
      <c r="G41" s="1579"/>
    </row>
    <row r="42" spans="1:7">
      <c r="A42" s="1606"/>
      <c r="B42" s="1606"/>
      <c r="C42" s="1488"/>
      <c r="D42" s="2779"/>
      <c r="E42" s="1490"/>
      <c r="F42" s="1493"/>
      <c r="G42" s="1579"/>
    </row>
    <row r="43" spans="1:7">
      <c r="A43" s="1606"/>
      <c r="B43" s="1606"/>
      <c r="C43" s="1597" t="s">
        <v>483</v>
      </c>
      <c r="D43" s="2771">
        <f>SUM(D44:D47)</f>
        <v>5000</v>
      </c>
      <c r="E43" s="1464">
        <f>SUM(E44:E47)</f>
        <v>5000</v>
      </c>
      <c r="F43" s="1638">
        <f>SUM(D43:E43)</f>
        <v>10000</v>
      </c>
      <c r="G43" s="1579"/>
    </row>
    <row r="44" spans="1:7">
      <c r="A44" s="1606"/>
      <c r="B44" s="1606"/>
      <c r="C44" s="1667"/>
      <c r="D44" s="2778">
        <v>5000</v>
      </c>
      <c r="E44" s="1672">
        <v>5000</v>
      </c>
      <c r="F44" s="1661">
        <f>SUM(D44:E44)</f>
        <v>10000</v>
      </c>
      <c r="G44" s="1579"/>
    </row>
    <row r="45" spans="1:7">
      <c r="A45" s="1606"/>
      <c r="B45" s="1606"/>
      <c r="C45" s="1667"/>
      <c r="D45" s="2778"/>
      <c r="E45" s="1672"/>
      <c r="F45" s="1661">
        <v>0</v>
      </c>
      <c r="G45" s="1579"/>
    </row>
    <row r="46" spans="1:7">
      <c r="A46" s="1606"/>
      <c r="B46" s="1606"/>
      <c r="C46" s="1667"/>
      <c r="D46" s="2778"/>
      <c r="E46" s="1672"/>
      <c r="F46" s="1661">
        <v>0</v>
      </c>
      <c r="G46" s="1579"/>
    </row>
    <row r="47" spans="1:7">
      <c r="A47" s="1606"/>
      <c r="B47" s="1606"/>
      <c r="C47" s="1667"/>
      <c r="D47" s="2778"/>
      <c r="E47" s="1672"/>
      <c r="F47" s="1661">
        <v>0</v>
      </c>
      <c r="G47" s="1579"/>
    </row>
    <row r="48" spans="1:7">
      <c r="A48" s="1606"/>
      <c r="B48" s="1606"/>
      <c r="C48" s="1488"/>
      <c r="D48" s="2779"/>
      <c r="E48" s="1490"/>
      <c r="F48" s="1493"/>
    </row>
    <row r="49" spans="1:6">
      <c r="A49" s="1606"/>
      <c r="B49" s="1606"/>
      <c r="C49" s="1597" t="s">
        <v>47</v>
      </c>
      <c r="D49" s="2771">
        <f>SUM(D50:D53)</f>
        <v>16000</v>
      </c>
      <c r="E49" s="1464">
        <f>SUM(E50:E53)</f>
        <v>20000</v>
      </c>
      <c r="F49" s="1638">
        <f>SUM(D49:E49)</f>
        <v>36000</v>
      </c>
    </row>
    <row r="50" spans="1:6">
      <c r="A50" s="1606"/>
      <c r="B50" s="1606"/>
      <c r="C50" s="1667"/>
      <c r="D50" s="2778">
        <v>16000</v>
      </c>
      <c r="E50" s="1672">
        <v>20000</v>
      </c>
      <c r="F50" s="1661">
        <f>SUM(D50:E50)</f>
        <v>36000</v>
      </c>
    </row>
    <row r="51" spans="1:6">
      <c r="A51" s="1606"/>
      <c r="B51" s="1606"/>
      <c r="C51" s="1667"/>
      <c r="D51" s="2778"/>
      <c r="E51" s="1672"/>
      <c r="F51" s="1661">
        <f>SUM(D51:E51)</f>
        <v>0</v>
      </c>
    </row>
    <row r="52" spans="1:6">
      <c r="A52" s="1606"/>
      <c r="B52" s="1606"/>
      <c r="C52" s="1667"/>
      <c r="D52" s="2778"/>
      <c r="E52" s="1672"/>
      <c r="F52" s="1661">
        <v>0</v>
      </c>
    </row>
    <row r="53" spans="1:6">
      <c r="A53" s="1606"/>
      <c r="B53" s="1606"/>
      <c r="C53" s="1667"/>
      <c r="D53" s="2778"/>
      <c r="E53" s="1672"/>
      <c r="F53" s="1661">
        <v>0</v>
      </c>
    </row>
    <row r="54" spans="1:6">
      <c r="A54" s="1606"/>
      <c r="B54" s="1606"/>
      <c r="C54" s="1488"/>
      <c r="D54" s="2779"/>
      <c r="E54" s="1490"/>
      <c r="F54" s="1493"/>
    </row>
    <row r="55" spans="1:6">
      <c r="A55" s="1606"/>
      <c r="B55" s="1606"/>
      <c r="C55" s="1597" t="s">
        <v>48</v>
      </c>
      <c r="D55" s="2771">
        <f>SUM(D56:D59)</f>
        <v>1500</v>
      </c>
      <c r="E55" s="1464">
        <f>SUM(E56:E59)</f>
        <v>1500</v>
      </c>
      <c r="F55" s="1638">
        <f>SUM(D55:E55)</f>
        <v>3000</v>
      </c>
    </row>
    <row r="56" spans="1:6">
      <c r="A56" s="1606"/>
      <c r="B56" s="1606"/>
      <c r="C56" s="1667"/>
      <c r="D56" s="2778">
        <v>1500</v>
      </c>
      <c r="E56" s="1641">
        <v>1500</v>
      </c>
      <c r="F56" s="1661">
        <f>SUM(D56:E56)</f>
        <v>3000</v>
      </c>
    </row>
    <row r="57" spans="1:6">
      <c r="A57" s="1606"/>
      <c r="B57" s="1606"/>
      <c r="C57" s="1667"/>
      <c r="D57" s="2778"/>
      <c r="E57" s="1641"/>
      <c r="F57" s="1661">
        <f>SUM(D57:E57)</f>
        <v>0</v>
      </c>
    </row>
    <row r="58" spans="1:6">
      <c r="A58" s="1606"/>
      <c r="B58" s="1606"/>
      <c r="C58" s="1667"/>
      <c r="D58" s="2778"/>
      <c r="E58" s="1641"/>
      <c r="F58" s="1661">
        <v>0</v>
      </c>
    </row>
    <row r="59" spans="1:6">
      <c r="A59" s="1606"/>
      <c r="B59" s="1606"/>
      <c r="C59" s="1667"/>
      <c r="D59" s="2778"/>
      <c r="E59" s="1641"/>
      <c r="F59" s="1661">
        <v>0</v>
      </c>
    </row>
    <row r="60" spans="1:6">
      <c r="A60" s="1606"/>
      <c r="B60" s="1606"/>
      <c r="C60" s="1488"/>
      <c r="D60" s="2779"/>
      <c r="E60" s="1490"/>
      <c r="F60" s="1493"/>
    </row>
    <row r="61" spans="1:6">
      <c r="A61" s="1606"/>
      <c r="B61" s="1606"/>
      <c r="C61" s="1597" t="s">
        <v>49</v>
      </c>
      <c r="D61" s="2771">
        <f>SUM(D62:D65)</f>
        <v>0</v>
      </c>
      <c r="E61" s="1464">
        <f>SUM(E62:E65)</f>
        <v>0</v>
      </c>
      <c r="F61" s="1638">
        <f t="shared" ref="F61:F65" si="3">SUM(D61:E61)</f>
        <v>0</v>
      </c>
    </row>
    <row r="62" spans="1:6">
      <c r="A62" s="1606"/>
      <c r="B62" s="1606"/>
      <c r="C62" s="1667"/>
      <c r="D62" s="2778"/>
      <c r="E62" s="1672"/>
      <c r="F62" s="1661">
        <f t="shared" si="3"/>
        <v>0</v>
      </c>
    </row>
    <row r="63" spans="1:6">
      <c r="C63" s="1667"/>
      <c r="D63" s="2778"/>
      <c r="E63" s="1672"/>
      <c r="F63" s="1661">
        <f t="shared" si="3"/>
        <v>0</v>
      </c>
    </row>
    <row r="64" spans="1:6">
      <c r="C64" s="1667"/>
      <c r="D64" s="2778"/>
      <c r="E64" s="1672"/>
      <c r="F64" s="1661">
        <f t="shared" si="3"/>
        <v>0</v>
      </c>
    </row>
    <row r="65" spans="3:6">
      <c r="C65" s="1667"/>
      <c r="D65" s="2778"/>
      <c r="E65" s="1672"/>
      <c r="F65" s="1661">
        <f t="shared" si="3"/>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t="s">
        <v>1429</v>
      </c>
      <c r="D70" s="2778">
        <v>-313321.74</v>
      </c>
      <c r="E70" s="1671">
        <v>-328321.74</v>
      </c>
      <c r="F70" s="1491">
        <f>E70+D70</f>
        <v>-641643.48</v>
      </c>
    </row>
  </sheetData>
  <customSheetViews>
    <customSheetView guid="{D9EFFE19-D14B-4C6F-BDF4-FF696F73968D}" showGridLines="0">
      <pane xSplit="1" ySplit="1" topLeftCell="B2" activePane="bottomRight" state="frozen"/>
      <selection pane="bottomRight" activeCell="C73" sqref="C73"/>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3" scale="55" orientation="landscape" horizontalDpi="1200" verticalDpi="1200" r:id="rId1"/>
    </customSheetView>
  </customSheetViews>
  <pageMargins left="0.7" right="0.2" top="0.75" bottom="0.75" header="0.3" footer="0.3"/>
  <pageSetup paperSize="3" scale="55" orientation="landscape" horizontalDpi="1200" verticalDpi="1200" r:id="rId2"/>
  <drawing r:id="rId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8DB4E3"/>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140625" style="1413" customWidth="1"/>
    <col min="3" max="3" width="29.85546875" customWidth="1"/>
    <col min="4" max="4" width="22.140625" customWidth="1"/>
    <col min="5" max="5" width="24" customWidth="1"/>
    <col min="6" max="6" width="18.140625" customWidth="1"/>
    <col min="7" max="7" width="17.85546875" customWidth="1"/>
    <col min="8" max="8" width="20.42578125" customWidth="1"/>
    <col min="9" max="9" width="19.7109375" customWidth="1"/>
    <col min="10" max="10" width="18.140625" customWidth="1"/>
    <col min="11" max="11" width="23.7109375" customWidth="1"/>
    <col min="12" max="12" width="20.42578125" customWidth="1"/>
    <col min="13" max="13" width="18" customWidth="1"/>
    <col min="14" max="14" width="18.42578125" customWidth="1"/>
    <col min="15" max="15" width="16.28515625" customWidth="1"/>
    <col min="16" max="16" width="15.85546875" customWidth="1"/>
    <col min="17" max="17" width="15.42578125" customWidth="1"/>
  </cols>
  <sheetData>
    <row r="1" spans="1:18" ht="54.75" customHeight="1">
      <c r="D1" s="1358" t="s">
        <v>24</v>
      </c>
      <c r="E1" s="1509" t="s">
        <v>22</v>
      </c>
      <c r="F1" s="1440">
        <v>18230809</v>
      </c>
      <c r="G1" s="1509" t="s">
        <v>4</v>
      </c>
      <c r="M1" s="1358" t="s">
        <v>24</v>
      </c>
      <c r="N1" s="1509" t="s">
        <v>22</v>
      </c>
      <c r="O1" s="1440">
        <v>18230809</v>
      </c>
      <c r="P1" s="1509" t="s">
        <v>4</v>
      </c>
    </row>
    <row r="2" spans="1:18" ht="16.5" thickBot="1">
      <c r="D2" s="38"/>
      <c r="E2" s="1349"/>
      <c r="F2" s="1349"/>
      <c r="G2" s="1354"/>
      <c r="H2" s="1178" t="s">
        <v>627</v>
      </c>
      <c r="I2" s="1354"/>
      <c r="J2" s="1354"/>
      <c r="K2" s="1354"/>
      <c r="L2" s="1354"/>
      <c r="M2" s="1354"/>
      <c r="N2" s="1354"/>
      <c r="O2" s="1354"/>
      <c r="P2" s="1354"/>
      <c r="Q2" s="1354"/>
    </row>
    <row r="3" spans="1:18" ht="26.25" thickBot="1">
      <c r="A3" s="1356" t="s">
        <v>24</v>
      </c>
      <c r="B3" s="1356"/>
      <c r="D3" s="1283"/>
      <c r="E3" s="1283"/>
      <c r="F3" s="1283"/>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508"/>
      <c r="E4" s="1413"/>
      <c r="F4" s="1413"/>
      <c r="G4" s="2946" t="s">
        <v>1726</v>
      </c>
      <c r="H4" s="2959">
        <f>D15</f>
        <v>91546.79</v>
      </c>
      <c r="I4" s="2960">
        <f>D21</f>
        <v>0</v>
      </c>
      <c r="J4" s="2960">
        <f>D27</f>
        <v>61061.708930000001</v>
      </c>
      <c r="K4" s="2960">
        <f>D37</f>
        <v>0</v>
      </c>
      <c r="L4" s="2960">
        <f>D43</f>
        <v>1044</v>
      </c>
      <c r="M4" s="2960">
        <f>D49</f>
        <v>287100</v>
      </c>
      <c r="N4" s="2960">
        <f>D55</f>
        <v>0</v>
      </c>
      <c r="O4" s="2960">
        <f>D61</f>
        <v>0</v>
      </c>
      <c r="P4" s="2960">
        <v>0</v>
      </c>
      <c r="Q4" s="2960"/>
      <c r="R4" s="2960">
        <f>SUM(H4:P4)</f>
        <v>440752.49893</v>
      </c>
    </row>
    <row r="5" spans="1:18" ht="15.75">
      <c r="A5" s="1440">
        <v>18230809</v>
      </c>
      <c r="C5" s="9"/>
      <c r="E5" s="1413"/>
      <c r="F5" s="1413"/>
      <c r="G5" s="3205" t="s">
        <v>1753</v>
      </c>
      <c r="H5" s="2617">
        <v>93835.5</v>
      </c>
      <c r="I5" s="2618">
        <v>0</v>
      </c>
      <c r="J5" s="2618">
        <v>63808.140000000007</v>
      </c>
      <c r="K5" s="2618">
        <v>0</v>
      </c>
      <c r="L5" s="2618">
        <v>1044</v>
      </c>
      <c r="M5" s="2618">
        <v>17400</v>
      </c>
      <c r="N5" s="2618">
        <v>0</v>
      </c>
      <c r="O5" s="2618">
        <v>0</v>
      </c>
      <c r="P5" s="2618">
        <v>0</v>
      </c>
      <c r="Q5" s="2618"/>
      <c r="R5" s="2618">
        <v>176087.64</v>
      </c>
    </row>
    <row r="6" spans="1:18" ht="16.5" thickBot="1">
      <c r="A6" s="1508" t="s">
        <v>4</v>
      </c>
      <c r="B6" s="1440"/>
      <c r="C6" s="943"/>
      <c r="E6" s="1413"/>
      <c r="F6" s="1413"/>
      <c r="G6" s="3206" t="s">
        <v>1754</v>
      </c>
      <c r="H6" s="2621">
        <f>E15</f>
        <v>102708.72</v>
      </c>
      <c r="I6" s="2622">
        <f>E21</f>
        <v>0</v>
      </c>
      <c r="J6" s="2623">
        <f>E27</f>
        <v>70663.599359999993</v>
      </c>
      <c r="K6" s="2622">
        <f>E37</f>
        <v>0</v>
      </c>
      <c r="L6" s="2622">
        <f>E43</f>
        <v>1044</v>
      </c>
      <c r="M6" s="2622">
        <f>E49</f>
        <v>77082</v>
      </c>
      <c r="N6" s="2622">
        <f>E55</f>
        <v>0</v>
      </c>
      <c r="O6" s="2622">
        <f>E61</f>
        <v>0</v>
      </c>
      <c r="P6" s="2622">
        <v>0</v>
      </c>
      <c r="Q6" s="2622"/>
      <c r="R6" s="2622">
        <f>SUM(H6:P6)</f>
        <v>251498.31935999999</v>
      </c>
    </row>
    <row r="7" spans="1:18" s="18" customFormat="1">
      <c r="A7" s="1311"/>
      <c r="B7" s="1511"/>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440752.49893</v>
      </c>
      <c r="E12" s="1484">
        <f>E15+E21+E27+E37+E43+E49+E55+E61</f>
        <v>251498.31935999999</v>
      </c>
      <c r="F12" s="1462">
        <f>D12+E12</f>
        <v>692250.81828999997</v>
      </c>
    </row>
    <row r="13" spans="1:18" ht="13.5" customHeight="1">
      <c r="A13" s="21"/>
      <c r="B13" s="1412"/>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ht="13.5" customHeight="1">
      <c r="A15" s="21"/>
      <c r="B15" s="1433" t="s">
        <v>296</v>
      </c>
      <c r="C15" s="1451" t="s">
        <v>43</v>
      </c>
      <c r="D15" s="2771">
        <f>SUM(D16:D19)</f>
        <v>91546.79</v>
      </c>
      <c r="E15" s="1464">
        <f>SUM(E16:E19)</f>
        <v>102708.72</v>
      </c>
      <c r="F15" s="1462">
        <f>SUM(F16:F19)</f>
        <v>194255.51</v>
      </c>
    </row>
    <row r="16" spans="1:18" ht="13.5" customHeight="1">
      <c r="A16" s="21"/>
      <c r="B16" s="1432">
        <v>0.87</v>
      </c>
      <c r="C16" s="1565" t="s">
        <v>724</v>
      </c>
      <c r="D16" s="2772">
        <v>91546.79</v>
      </c>
      <c r="E16" s="1448">
        <v>102708.72</v>
      </c>
      <c r="F16" s="1426">
        <f>SUM(D16:E16)</f>
        <v>194255.51</v>
      </c>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0.87</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2"/>
      <c r="C24" s="1423"/>
      <c r="D24" s="2774"/>
      <c r="E24" s="1443"/>
      <c r="F24" s="1438">
        <f>SUM(D24:E24)</f>
        <v>0</v>
      </c>
    </row>
    <row r="25" spans="1:7" s="18" customFormat="1" ht="13.5" customHeight="1">
      <c r="A25" s="28"/>
      <c r="B25" s="1410"/>
      <c r="C25" s="1423"/>
      <c r="D25" s="2775"/>
      <c r="E25" s="1444"/>
      <c r="F25" s="1438">
        <f>SUM(D25:E25)</f>
        <v>0</v>
      </c>
    </row>
    <row r="26" spans="1:7" ht="13.5" customHeight="1">
      <c r="A26" s="21"/>
      <c r="B26" s="1412"/>
      <c r="C26" s="1424"/>
      <c r="D26" s="2776"/>
      <c r="E26" s="1431"/>
      <c r="F26" s="1439"/>
    </row>
    <row r="27" spans="1:7" s="18" customFormat="1" ht="13.5" customHeight="1">
      <c r="A27" s="28"/>
      <c r="B27" s="1410"/>
      <c r="C27" s="1451" t="s">
        <v>45</v>
      </c>
      <c r="D27" s="2771">
        <f>SUM(D29:D35)</f>
        <v>61061.708930000001</v>
      </c>
      <c r="E27" s="1657">
        <f>SUM(E29:E31)+SUM(E33:E35)</f>
        <v>70663.599359999993</v>
      </c>
      <c r="F27" s="1462">
        <f>SUM(F29:F35)</f>
        <v>131725.30828999999</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61061.708930000001</v>
      </c>
      <c r="E29" s="1504">
        <f>E15*E28</f>
        <v>70663.599359999993</v>
      </c>
      <c r="F29" s="1438">
        <f>SUM(D29:E29)</f>
        <v>131725.30828999999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412"/>
      <c r="C33" s="1667" t="s">
        <v>719</v>
      </c>
      <c r="D33" s="2778"/>
      <c r="E33" s="1641">
        <f>E15*E32</f>
        <v>0</v>
      </c>
      <c r="F33" s="1661">
        <f>SUM(D33:E33)</f>
        <v>0</v>
      </c>
    </row>
    <row r="34" spans="1:7" ht="13.5" customHeight="1">
      <c r="A34" s="21"/>
      <c r="B34" s="1412"/>
      <c r="C34" s="1667" t="s">
        <v>720</v>
      </c>
      <c r="D34" s="2785"/>
      <c r="E34" s="1641">
        <f>E21*E32</f>
        <v>0</v>
      </c>
      <c r="F34" s="1661">
        <f t="shared" ref="F34" si="0">SUM(D34:E34)</f>
        <v>0</v>
      </c>
      <c r="G34" s="37"/>
    </row>
    <row r="35" spans="1:7" ht="13.5" customHeight="1">
      <c r="A35" s="1356" t="s">
        <v>24</v>
      </c>
      <c r="B35" s="1412"/>
      <c r="C35" s="1445"/>
      <c r="D35" s="2775"/>
      <c r="E35" s="1444"/>
      <c r="F35" s="1661">
        <f>SUM(D35:E35)</f>
        <v>0</v>
      </c>
    </row>
    <row r="36" spans="1:7" s="18" customFormat="1" ht="13.5" customHeight="1">
      <c r="A36" s="1508" t="s">
        <v>22</v>
      </c>
      <c r="B36" s="1410"/>
      <c r="C36" s="1488"/>
      <c r="D36" s="2779"/>
      <c r="E36" s="1490"/>
      <c r="F36" s="1493"/>
    </row>
    <row r="37" spans="1:7" ht="13.5" customHeight="1">
      <c r="A37" s="1440">
        <v>18230809</v>
      </c>
      <c r="B37" s="1412"/>
      <c r="C37" s="1451" t="s">
        <v>46</v>
      </c>
      <c r="D37" s="2771">
        <v>0</v>
      </c>
      <c r="E37" s="1464">
        <v>0</v>
      </c>
      <c r="F37" s="1462">
        <v>0</v>
      </c>
    </row>
    <row r="38" spans="1:7" ht="13.5" customHeight="1">
      <c r="A38" s="1508" t="s">
        <v>4</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1044</v>
      </c>
      <c r="E43" s="1464">
        <f>SUM(E44:E47)</f>
        <v>1044</v>
      </c>
      <c r="F43" s="1462">
        <f t="shared" ref="F43:F59" si="1">SUM(D43:E43)</f>
        <v>2088</v>
      </c>
    </row>
    <row r="44" spans="1:7" ht="13.5" customHeight="1">
      <c r="A44" s="21"/>
      <c r="B44" s="1412"/>
      <c r="C44" s="1423"/>
      <c r="D44" s="2778">
        <v>1044</v>
      </c>
      <c r="E44" s="1520">
        <v>1044</v>
      </c>
      <c r="F44" s="1438">
        <f t="shared" si="1"/>
        <v>2088</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287100</v>
      </c>
      <c r="E49" s="1464">
        <f>SUM(E50:E53)</f>
        <v>77082</v>
      </c>
      <c r="F49" s="1462">
        <f t="shared" si="1"/>
        <v>364182</v>
      </c>
    </row>
    <row r="50" spans="1:6" ht="13.5" customHeight="1">
      <c r="A50" s="21"/>
      <c r="B50" s="1412"/>
      <c r="C50" s="1565" t="s">
        <v>725</v>
      </c>
      <c r="D50" s="2778">
        <v>287100</v>
      </c>
      <c r="E50" s="1520">
        <v>77082</v>
      </c>
      <c r="F50" s="1438">
        <f t="shared" si="1"/>
        <v>364182</v>
      </c>
    </row>
    <row r="51" spans="1:6" ht="13.5" customHeight="1">
      <c r="A51" s="21"/>
      <c r="B51" s="1412"/>
      <c r="C51" s="1423"/>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65"/>
      <c r="D56" s="2778"/>
      <c r="E56" s="1504"/>
      <c r="F56" s="1438">
        <f t="shared" si="1"/>
        <v>0</v>
      </c>
    </row>
    <row r="57" spans="1:6" ht="13.5" customHeight="1">
      <c r="A57" s="21"/>
      <c r="B57" s="1412"/>
      <c r="C57" s="1565"/>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B17" sqref="B17"/>
      <pageMargins left="0.17" right="0.21" top="0.41" bottom="0.4"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17" right="0.21" top="0.41" bottom="0.4" header="0.3" footer="0.3"/>
      <pageSetup paperSize="17" scale="63" orientation="landscape" r:id="rId2"/>
    </customSheetView>
  </customSheetViews>
  <pageMargins left="0.17" right="0.21" top="0.41" bottom="0.4" header="0.3" footer="0.3"/>
  <pageSetup paperSize="3" scale="63" orientation="landscape"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8DB4E3"/>
  </sheetPr>
  <dimension ref="A1:AE115"/>
  <sheetViews>
    <sheetView showGridLines="0" zoomScale="70" zoomScaleNormal="70" workbookViewId="0">
      <pane xSplit="1" ySplit="1" topLeftCell="K2" activePane="bottomRight" state="frozen"/>
      <selection pane="topRight" activeCell="B1" sqref="B1"/>
      <selection pane="bottomLeft" activeCell="A2" sqref="A2"/>
      <selection pane="bottomRight" activeCell="I6" sqref="I6"/>
    </sheetView>
  </sheetViews>
  <sheetFormatPr defaultRowHeight="12.75"/>
  <cols>
    <col min="1" max="1" width="18.7109375" style="849" customWidth="1"/>
    <col min="2" max="2" width="16.42578125" style="1413" customWidth="1"/>
    <col min="3" max="3" width="31.42578125" customWidth="1"/>
    <col min="4" max="4" width="23.7109375" customWidth="1"/>
    <col min="5" max="5" width="16.85546875" style="9" customWidth="1"/>
    <col min="6" max="6" width="15.140625" customWidth="1"/>
    <col min="7" max="7" width="19.28515625" customWidth="1"/>
    <col min="8" max="8" width="44" customWidth="1"/>
    <col min="9" max="9" width="15.28515625" bestFit="1" customWidth="1"/>
    <col min="10" max="10" width="14.140625" bestFit="1" customWidth="1"/>
    <col min="11" max="11" width="12" bestFit="1" customWidth="1"/>
    <col min="12" max="12" width="16.7109375" bestFit="1" customWidth="1"/>
    <col min="13" max="13" width="17" bestFit="1" customWidth="1"/>
    <col min="14" max="14" width="18.7109375" customWidth="1"/>
    <col min="15" max="15" width="13.7109375" customWidth="1"/>
    <col min="16" max="16" width="15.42578125" bestFit="1" customWidth="1"/>
    <col min="17" max="18" width="15.5703125" bestFit="1" customWidth="1"/>
    <col min="19" max="19" width="16.7109375" bestFit="1" customWidth="1"/>
    <col min="20" max="21" width="15.5703125" bestFit="1" customWidth="1"/>
    <col min="22" max="22" width="16.42578125" bestFit="1" customWidth="1"/>
    <col min="23" max="23" width="16.28515625" customWidth="1"/>
    <col min="24" max="24" width="15.7109375" customWidth="1"/>
    <col min="25" max="25" width="15" customWidth="1"/>
    <col min="26" max="30" width="15" style="1652" customWidth="1"/>
    <col min="31" max="31" width="13.5703125" bestFit="1" customWidth="1"/>
    <col min="254" max="254" width="24" bestFit="1" customWidth="1"/>
    <col min="255" max="255" width="45.7109375" bestFit="1" customWidth="1"/>
    <col min="256" max="256" width="34" bestFit="1" customWidth="1"/>
    <col min="257" max="257" width="13.5703125" bestFit="1" customWidth="1"/>
    <col min="258" max="258" width="46.5703125" bestFit="1" customWidth="1"/>
    <col min="259" max="259" width="13.42578125" customWidth="1"/>
    <col min="260" max="260" width="15.28515625" bestFit="1" customWidth="1"/>
    <col min="261" max="261" width="14.140625" bestFit="1" customWidth="1"/>
    <col min="262" max="262" width="12" bestFit="1" customWidth="1"/>
    <col min="263" max="263" width="16.7109375" bestFit="1" customWidth="1"/>
    <col min="264" max="264" width="17" bestFit="1" customWidth="1"/>
    <col min="265" max="265" width="18.7109375" customWidth="1"/>
    <col min="266" max="266" width="13.7109375" customWidth="1"/>
    <col min="267" max="267" width="15.42578125" bestFit="1" customWidth="1"/>
    <col min="268" max="269" width="15.5703125" bestFit="1" customWidth="1"/>
    <col min="270" max="270" width="16.7109375" bestFit="1" customWidth="1"/>
    <col min="271" max="272" width="15.5703125" bestFit="1" customWidth="1"/>
    <col min="273" max="273" width="16.42578125" bestFit="1"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4" bestFit="1" customWidth="1"/>
    <col min="511" max="511" width="45.7109375" bestFit="1" customWidth="1"/>
    <col min="512" max="512" width="34" bestFit="1" customWidth="1"/>
    <col min="513" max="513" width="13.5703125" bestFit="1" customWidth="1"/>
    <col min="514" max="514" width="46.5703125" bestFit="1" customWidth="1"/>
    <col min="515" max="515" width="13.42578125" customWidth="1"/>
    <col min="516" max="516" width="15.28515625" bestFit="1" customWidth="1"/>
    <col min="517" max="517" width="14.140625" bestFit="1" customWidth="1"/>
    <col min="518" max="518" width="12" bestFit="1" customWidth="1"/>
    <col min="519" max="519" width="16.7109375" bestFit="1" customWidth="1"/>
    <col min="520" max="520" width="17" bestFit="1" customWidth="1"/>
    <col min="521" max="521" width="18.7109375" customWidth="1"/>
    <col min="522" max="522" width="13.7109375" customWidth="1"/>
    <col min="523" max="523" width="15.42578125" bestFit="1" customWidth="1"/>
    <col min="524" max="525" width="15.5703125" bestFit="1" customWidth="1"/>
    <col min="526" max="526" width="16.7109375" bestFit="1" customWidth="1"/>
    <col min="527" max="528" width="15.5703125" bestFit="1" customWidth="1"/>
    <col min="529" max="529" width="16.42578125" bestFit="1"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4" bestFit="1" customWidth="1"/>
    <col min="767" max="767" width="45.7109375" bestFit="1" customWidth="1"/>
    <col min="768" max="768" width="34" bestFit="1" customWidth="1"/>
    <col min="769" max="769" width="13.5703125" bestFit="1" customWidth="1"/>
    <col min="770" max="770" width="46.5703125" bestFit="1" customWidth="1"/>
    <col min="771" max="771" width="13.42578125" customWidth="1"/>
    <col min="772" max="772" width="15.28515625" bestFit="1" customWidth="1"/>
    <col min="773" max="773" width="14.140625" bestFit="1" customWidth="1"/>
    <col min="774" max="774" width="12" bestFit="1" customWidth="1"/>
    <col min="775" max="775" width="16.7109375" bestFit="1" customWidth="1"/>
    <col min="776" max="776" width="17" bestFit="1" customWidth="1"/>
    <col min="777" max="777" width="18.7109375" customWidth="1"/>
    <col min="778" max="778" width="13.7109375" customWidth="1"/>
    <col min="779" max="779" width="15.42578125" bestFit="1" customWidth="1"/>
    <col min="780" max="781" width="15.5703125" bestFit="1" customWidth="1"/>
    <col min="782" max="782" width="16.7109375" bestFit="1" customWidth="1"/>
    <col min="783" max="784" width="15.5703125" bestFit="1" customWidth="1"/>
    <col min="785" max="785" width="16.42578125" bestFit="1"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4" bestFit="1" customWidth="1"/>
    <col min="1023" max="1023" width="45.7109375" bestFit="1" customWidth="1"/>
    <col min="1024" max="1024" width="34" bestFit="1" customWidth="1"/>
    <col min="1025" max="1025" width="13.5703125" bestFit="1" customWidth="1"/>
    <col min="1026" max="1026" width="46.5703125" bestFit="1" customWidth="1"/>
    <col min="1027" max="1027" width="13.42578125" customWidth="1"/>
    <col min="1028" max="1028" width="15.28515625" bestFit="1" customWidth="1"/>
    <col min="1029" max="1029" width="14.140625" bestFit="1" customWidth="1"/>
    <col min="1030" max="1030" width="12" bestFit="1" customWidth="1"/>
    <col min="1031" max="1031" width="16.7109375" bestFit="1" customWidth="1"/>
    <col min="1032" max="1032" width="17" bestFit="1" customWidth="1"/>
    <col min="1033" max="1033" width="18.7109375" customWidth="1"/>
    <col min="1034" max="1034" width="13.7109375" customWidth="1"/>
    <col min="1035" max="1035" width="15.42578125" bestFit="1" customWidth="1"/>
    <col min="1036" max="1037" width="15.5703125" bestFit="1" customWidth="1"/>
    <col min="1038" max="1038" width="16.7109375" bestFit="1" customWidth="1"/>
    <col min="1039" max="1040" width="15.5703125" bestFit="1" customWidth="1"/>
    <col min="1041" max="1041" width="16.42578125" bestFit="1"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4" bestFit="1" customWidth="1"/>
    <col min="1279" max="1279" width="45.7109375" bestFit="1" customWidth="1"/>
    <col min="1280" max="1280" width="34" bestFit="1" customWidth="1"/>
    <col min="1281" max="1281" width="13.5703125" bestFit="1" customWidth="1"/>
    <col min="1282" max="1282" width="46.5703125" bestFit="1" customWidth="1"/>
    <col min="1283" max="1283" width="13.42578125" customWidth="1"/>
    <col min="1284" max="1284" width="15.28515625" bestFit="1" customWidth="1"/>
    <col min="1285" max="1285" width="14.140625" bestFit="1" customWidth="1"/>
    <col min="1286" max="1286" width="12" bestFit="1" customWidth="1"/>
    <col min="1287" max="1287" width="16.7109375" bestFit="1" customWidth="1"/>
    <col min="1288" max="1288" width="17" bestFit="1" customWidth="1"/>
    <col min="1289" max="1289" width="18.7109375" customWidth="1"/>
    <col min="1290" max="1290" width="13.7109375" customWidth="1"/>
    <col min="1291" max="1291" width="15.42578125" bestFit="1" customWidth="1"/>
    <col min="1292" max="1293" width="15.5703125" bestFit="1" customWidth="1"/>
    <col min="1294" max="1294" width="16.7109375" bestFit="1" customWidth="1"/>
    <col min="1295" max="1296" width="15.5703125" bestFit="1" customWidth="1"/>
    <col min="1297" max="1297" width="16.42578125" bestFit="1"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4" bestFit="1" customWidth="1"/>
    <col min="1535" max="1535" width="45.7109375" bestFit="1" customWidth="1"/>
    <col min="1536" max="1536" width="34" bestFit="1" customWidth="1"/>
    <col min="1537" max="1537" width="13.5703125" bestFit="1" customWidth="1"/>
    <col min="1538" max="1538" width="46.5703125" bestFit="1" customWidth="1"/>
    <col min="1539" max="1539" width="13.42578125" customWidth="1"/>
    <col min="1540" max="1540" width="15.28515625" bestFit="1" customWidth="1"/>
    <col min="1541" max="1541" width="14.140625" bestFit="1" customWidth="1"/>
    <col min="1542" max="1542" width="12" bestFit="1" customWidth="1"/>
    <col min="1543" max="1543" width="16.7109375" bestFit="1" customWidth="1"/>
    <col min="1544" max="1544" width="17" bestFit="1" customWidth="1"/>
    <col min="1545" max="1545" width="18.7109375" customWidth="1"/>
    <col min="1546" max="1546" width="13.7109375" customWidth="1"/>
    <col min="1547" max="1547" width="15.42578125" bestFit="1" customWidth="1"/>
    <col min="1548" max="1549" width="15.5703125" bestFit="1" customWidth="1"/>
    <col min="1550" max="1550" width="16.7109375" bestFit="1" customWidth="1"/>
    <col min="1551" max="1552" width="15.5703125" bestFit="1" customWidth="1"/>
    <col min="1553" max="1553" width="16.42578125" bestFit="1"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4" bestFit="1" customWidth="1"/>
    <col min="1791" max="1791" width="45.7109375" bestFit="1" customWidth="1"/>
    <col min="1792" max="1792" width="34" bestFit="1" customWidth="1"/>
    <col min="1793" max="1793" width="13.5703125" bestFit="1" customWidth="1"/>
    <col min="1794" max="1794" width="46.5703125" bestFit="1" customWidth="1"/>
    <col min="1795" max="1795" width="13.42578125" customWidth="1"/>
    <col min="1796" max="1796" width="15.28515625" bestFit="1" customWidth="1"/>
    <col min="1797" max="1797" width="14.140625" bestFit="1" customWidth="1"/>
    <col min="1798" max="1798" width="12" bestFit="1" customWidth="1"/>
    <col min="1799" max="1799" width="16.7109375" bestFit="1" customWidth="1"/>
    <col min="1800" max="1800" width="17" bestFit="1" customWidth="1"/>
    <col min="1801" max="1801" width="18.7109375" customWidth="1"/>
    <col min="1802" max="1802" width="13.7109375" customWidth="1"/>
    <col min="1803" max="1803" width="15.42578125" bestFit="1" customWidth="1"/>
    <col min="1804" max="1805" width="15.5703125" bestFit="1" customWidth="1"/>
    <col min="1806" max="1806" width="16.7109375" bestFit="1" customWidth="1"/>
    <col min="1807" max="1808" width="15.5703125" bestFit="1" customWidth="1"/>
    <col min="1809" max="1809" width="16.42578125" bestFit="1"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4" bestFit="1" customWidth="1"/>
    <col min="2047" max="2047" width="45.7109375" bestFit="1" customWidth="1"/>
    <col min="2048" max="2048" width="34" bestFit="1" customWidth="1"/>
    <col min="2049" max="2049" width="13.5703125" bestFit="1" customWidth="1"/>
    <col min="2050" max="2050" width="46.5703125" bestFit="1" customWidth="1"/>
    <col min="2051" max="2051" width="13.42578125" customWidth="1"/>
    <col min="2052" max="2052" width="15.28515625" bestFit="1" customWidth="1"/>
    <col min="2053" max="2053" width="14.140625" bestFit="1" customWidth="1"/>
    <col min="2054" max="2054" width="12" bestFit="1" customWidth="1"/>
    <col min="2055" max="2055" width="16.7109375" bestFit="1" customWidth="1"/>
    <col min="2056" max="2056" width="17" bestFit="1" customWidth="1"/>
    <col min="2057" max="2057" width="18.7109375" customWidth="1"/>
    <col min="2058" max="2058" width="13.7109375" customWidth="1"/>
    <col min="2059" max="2059" width="15.42578125" bestFit="1" customWidth="1"/>
    <col min="2060" max="2061" width="15.5703125" bestFit="1" customWidth="1"/>
    <col min="2062" max="2062" width="16.7109375" bestFit="1" customWidth="1"/>
    <col min="2063" max="2064" width="15.5703125" bestFit="1" customWidth="1"/>
    <col min="2065" max="2065" width="16.42578125" bestFit="1"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4" bestFit="1" customWidth="1"/>
    <col min="2303" max="2303" width="45.7109375" bestFit="1" customWidth="1"/>
    <col min="2304" max="2304" width="34" bestFit="1" customWidth="1"/>
    <col min="2305" max="2305" width="13.5703125" bestFit="1" customWidth="1"/>
    <col min="2306" max="2306" width="46.5703125" bestFit="1" customWidth="1"/>
    <col min="2307" max="2307" width="13.42578125" customWidth="1"/>
    <col min="2308" max="2308" width="15.28515625" bestFit="1" customWidth="1"/>
    <col min="2309" max="2309" width="14.140625" bestFit="1" customWidth="1"/>
    <col min="2310" max="2310" width="12" bestFit="1" customWidth="1"/>
    <col min="2311" max="2311" width="16.7109375" bestFit="1" customWidth="1"/>
    <col min="2312" max="2312" width="17" bestFit="1" customWidth="1"/>
    <col min="2313" max="2313" width="18.7109375" customWidth="1"/>
    <col min="2314" max="2314" width="13.7109375" customWidth="1"/>
    <col min="2315" max="2315" width="15.42578125" bestFit="1" customWidth="1"/>
    <col min="2316" max="2317" width="15.5703125" bestFit="1" customWidth="1"/>
    <col min="2318" max="2318" width="16.7109375" bestFit="1" customWidth="1"/>
    <col min="2319" max="2320" width="15.5703125" bestFit="1" customWidth="1"/>
    <col min="2321" max="2321" width="16.42578125" bestFit="1"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4" bestFit="1" customWidth="1"/>
    <col min="2559" max="2559" width="45.7109375" bestFit="1" customWidth="1"/>
    <col min="2560" max="2560" width="34" bestFit="1" customWidth="1"/>
    <col min="2561" max="2561" width="13.5703125" bestFit="1" customWidth="1"/>
    <col min="2562" max="2562" width="46.5703125" bestFit="1" customWidth="1"/>
    <col min="2563" max="2563" width="13.42578125" customWidth="1"/>
    <col min="2564" max="2564" width="15.28515625" bestFit="1" customWidth="1"/>
    <col min="2565" max="2565" width="14.140625" bestFit="1" customWidth="1"/>
    <col min="2566" max="2566" width="12" bestFit="1" customWidth="1"/>
    <col min="2567" max="2567" width="16.7109375" bestFit="1" customWidth="1"/>
    <col min="2568" max="2568" width="17" bestFit="1" customWidth="1"/>
    <col min="2569" max="2569" width="18.7109375" customWidth="1"/>
    <col min="2570" max="2570" width="13.7109375" customWidth="1"/>
    <col min="2571" max="2571" width="15.42578125" bestFit="1" customWidth="1"/>
    <col min="2572" max="2573" width="15.5703125" bestFit="1" customWidth="1"/>
    <col min="2574" max="2574" width="16.7109375" bestFit="1" customWidth="1"/>
    <col min="2575" max="2576" width="15.5703125" bestFit="1" customWidth="1"/>
    <col min="2577" max="2577" width="16.42578125" bestFit="1"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4" bestFit="1" customWidth="1"/>
    <col min="2815" max="2815" width="45.7109375" bestFit="1" customWidth="1"/>
    <col min="2816" max="2816" width="34" bestFit="1" customWidth="1"/>
    <col min="2817" max="2817" width="13.5703125" bestFit="1" customWidth="1"/>
    <col min="2818" max="2818" width="46.5703125" bestFit="1" customWidth="1"/>
    <col min="2819" max="2819" width="13.42578125" customWidth="1"/>
    <col min="2820" max="2820" width="15.28515625" bestFit="1" customWidth="1"/>
    <col min="2821" max="2821" width="14.140625" bestFit="1" customWidth="1"/>
    <col min="2822" max="2822" width="12" bestFit="1" customWidth="1"/>
    <col min="2823" max="2823" width="16.7109375" bestFit="1" customWidth="1"/>
    <col min="2824" max="2824" width="17" bestFit="1" customWidth="1"/>
    <col min="2825" max="2825" width="18.7109375" customWidth="1"/>
    <col min="2826" max="2826" width="13.7109375" customWidth="1"/>
    <col min="2827" max="2827" width="15.42578125" bestFit="1" customWidth="1"/>
    <col min="2828" max="2829" width="15.5703125" bestFit="1" customWidth="1"/>
    <col min="2830" max="2830" width="16.7109375" bestFit="1" customWidth="1"/>
    <col min="2831" max="2832" width="15.5703125" bestFit="1" customWidth="1"/>
    <col min="2833" max="2833" width="16.42578125" bestFit="1"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4" bestFit="1" customWidth="1"/>
    <col min="3071" max="3071" width="45.7109375" bestFit="1" customWidth="1"/>
    <col min="3072" max="3072" width="34" bestFit="1" customWidth="1"/>
    <col min="3073" max="3073" width="13.5703125" bestFit="1" customWidth="1"/>
    <col min="3074" max="3074" width="46.5703125" bestFit="1" customWidth="1"/>
    <col min="3075" max="3075" width="13.42578125" customWidth="1"/>
    <col min="3076" max="3076" width="15.28515625" bestFit="1" customWidth="1"/>
    <col min="3077" max="3077" width="14.140625" bestFit="1" customWidth="1"/>
    <col min="3078" max="3078" width="12" bestFit="1" customWidth="1"/>
    <col min="3079" max="3079" width="16.7109375" bestFit="1" customWidth="1"/>
    <col min="3080" max="3080" width="17" bestFit="1" customWidth="1"/>
    <col min="3081" max="3081" width="18.7109375" customWidth="1"/>
    <col min="3082" max="3082" width="13.7109375" customWidth="1"/>
    <col min="3083" max="3083" width="15.42578125" bestFit="1" customWidth="1"/>
    <col min="3084" max="3085" width="15.5703125" bestFit="1" customWidth="1"/>
    <col min="3086" max="3086" width="16.7109375" bestFit="1" customWidth="1"/>
    <col min="3087" max="3088" width="15.5703125" bestFit="1" customWidth="1"/>
    <col min="3089" max="3089" width="16.42578125" bestFit="1"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4" bestFit="1" customWidth="1"/>
    <col min="3327" max="3327" width="45.7109375" bestFit="1" customWidth="1"/>
    <col min="3328" max="3328" width="34" bestFit="1" customWidth="1"/>
    <col min="3329" max="3329" width="13.5703125" bestFit="1" customWidth="1"/>
    <col min="3330" max="3330" width="46.5703125" bestFit="1" customWidth="1"/>
    <col min="3331" max="3331" width="13.42578125" customWidth="1"/>
    <col min="3332" max="3332" width="15.28515625" bestFit="1" customWidth="1"/>
    <col min="3333" max="3333" width="14.140625" bestFit="1" customWidth="1"/>
    <col min="3334" max="3334" width="12" bestFit="1" customWidth="1"/>
    <col min="3335" max="3335" width="16.7109375" bestFit="1" customWidth="1"/>
    <col min="3336" max="3336" width="17" bestFit="1" customWidth="1"/>
    <col min="3337" max="3337" width="18.7109375" customWidth="1"/>
    <col min="3338" max="3338" width="13.7109375" customWidth="1"/>
    <col min="3339" max="3339" width="15.42578125" bestFit="1" customWidth="1"/>
    <col min="3340" max="3341" width="15.5703125" bestFit="1" customWidth="1"/>
    <col min="3342" max="3342" width="16.7109375" bestFit="1" customWidth="1"/>
    <col min="3343" max="3344" width="15.5703125" bestFit="1" customWidth="1"/>
    <col min="3345" max="3345" width="16.42578125" bestFit="1"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4" bestFit="1" customWidth="1"/>
    <col min="3583" max="3583" width="45.7109375" bestFit="1" customWidth="1"/>
    <col min="3584" max="3584" width="34" bestFit="1" customWidth="1"/>
    <col min="3585" max="3585" width="13.5703125" bestFit="1" customWidth="1"/>
    <col min="3586" max="3586" width="46.5703125" bestFit="1" customWidth="1"/>
    <col min="3587" max="3587" width="13.42578125" customWidth="1"/>
    <col min="3588" max="3588" width="15.28515625" bestFit="1" customWidth="1"/>
    <col min="3589" max="3589" width="14.140625" bestFit="1" customWidth="1"/>
    <col min="3590" max="3590" width="12" bestFit="1" customWidth="1"/>
    <col min="3591" max="3591" width="16.7109375" bestFit="1" customWidth="1"/>
    <col min="3592" max="3592" width="17" bestFit="1" customWidth="1"/>
    <col min="3593" max="3593" width="18.7109375" customWidth="1"/>
    <col min="3594" max="3594" width="13.7109375" customWidth="1"/>
    <col min="3595" max="3595" width="15.42578125" bestFit="1" customWidth="1"/>
    <col min="3596" max="3597" width="15.5703125" bestFit="1" customWidth="1"/>
    <col min="3598" max="3598" width="16.7109375" bestFit="1" customWidth="1"/>
    <col min="3599" max="3600" width="15.5703125" bestFit="1" customWidth="1"/>
    <col min="3601" max="3601" width="16.42578125" bestFit="1"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4" bestFit="1" customWidth="1"/>
    <col min="3839" max="3839" width="45.7109375" bestFit="1" customWidth="1"/>
    <col min="3840" max="3840" width="34" bestFit="1" customWidth="1"/>
    <col min="3841" max="3841" width="13.5703125" bestFit="1" customWidth="1"/>
    <col min="3842" max="3842" width="46.5703125" bestFit="1" customWidth="1"/>
    <col min="3843" max="3843" width="13.42578125" customWidth="1"/>
    <col min="3844" max="3844" width="15.28515625" bestFit="1" customWidth="1"/>
    <col min="3845" max="3845" width="14.140625" bestFit="1" customWidth="1"/>
    <col min="3846" max="3846" width="12" bestFit="1" customWidth="1"/>
    <col min="3847" max="3847" width="16.7109375" bestFit="1" customWidth="1"/>
    <col min="3848" max="3848" width="17" bestFit="1" customWidth="1"/>
    <col min="3849" max="3849" width="18.7109375" customWidth="1"/>
    <col min="3850" max="3850" width="13.7109375" customWidth="1"/>
    <col min="3851" max="3851" width="15.42578125" bestFit="1" customWidth="1"/>
    <col min="3852" max="3853" width="15.5703125" bestFit="1" customWidth="1"/>
    <col min="3854" max="3854" width="16.7109375" bestFit="1" customWidth="1"/>
    <col min="3855" max="3856" width="15.5703125" bestFit="1" customWidth="1"/>
    <col min="3857" max="3857" width="16.42578125" bestFit="1"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4" bestFit="1" customWidth="1"/>
    <col min="4095" max="4095" width="45.7109375" bestFit="1" customWidth="1"/>
    <col min="4096" max="4096" width="34" bestFit="1" customWidth="1"/>
    <col min="4097" max="4097" width="13.5703125" bestFit="1" customWidth="1"/>
    <col min="4098" max="4098" width="46.5703125" bestFit="1" customWidth="1"/>
    <col min="4099" max="4099" width="13.42578125" customWidth="1"/>
    <col min="4100" max="4100" width="15.28515625" bestFit="1" customWidth="1"/>
    <col min="4101" max="4101" width="14.140625" bestFit="1" customWidth="1"/>
    <col min="4102" max="4102" width="12" bestFit="1" customWidth="1"/>
    <col min="4103" max="4103" width="16.7109375" bestFit="1" customWidth="1"/>
    <col min="4104" max="4104" width="17" bestFit="1" customWidth="1"/>
    <col min="4105" max="4105" width="18.7109375" customWidth="1"/>
    <col min="4106" max="4106" width="13.7109375" customWidth="1"/>
    <col min="4107" max="4107" width="15.42578125" bestFit="1" customWidth="1"/>
    <col min="4108" max="4109" width="15.5703125" bestFit="1" customWidth="1"/>
    <col min="4110" max="4110" width="16.7109375" bestFit="1" customWidth="1"/>
    <col min="4111" max="4112" width="15.5703125" bestFit="1" customWidth="1"/>
    <col min="4113" max="4113" width="16.42578125" bestFit="1"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4" bestFit="1" customWidth="1"/>
    <col min="4351" max="4351" width="45.7109375" bestFit="1" customWidth="1"/>
    <col min="4352" max="4352" width="34" bestFit="1" customWidth="1"/>
    <col min="4353" max="4353" width="13.5703125" bestFit="1" customWidth="1"/>
    <col min="4354" max="4354" width="46.5703125" bestFit="1" customWidth="1"/>
    <col min="4355" max="4355" width="13.42578125" customWidth="1"/>
    <col min="4356" max="4356" width="15.28515625" bestFit="1" customWidth="1"/>
    <col min="4357" max="4357" width="14.140625" bestFit="1" customWidth="1"/>
    <col min="4358" max="4358" width="12" bestFit="1" customWidth="1"/>
    <col min="4359" max="4359" width="16.7109375" bestFit="1" customWidth="1"/>
    <col min="4360" max="4360" width="17" bestFit="1" customWidth="1"/>
    <col min="4361" max="4361" width="18.7109375" customWidth="1"/>
    <col min="4362" max="4362" width="13.7109375" customWidth="1"/>
    <col min="4363" max="4363" width="15.42578125" bestFit="1" customWidth="1"/>
    <col min="4364" max="4365" width="15.5703125" bestFit="1" customWidth="1"/>
    <col min="4366" max="4366" width="16.7109375" bestFit="1" customWidth="1"/>
    <col min="4367" max="4368" width="15.5703125" bestFit="1" customWidth="1"/>
    <col min="4369" max="4369" width="16.42578125" bestFit="1"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4" bestFit="1" customWidth="1"/>
    <col min="4607" max="4607" width="45.7109375" bestFit="1" customWidth="1"/>
    <col min="4608" max="4608" width="34" bestFit="1" customWidth="1"/>
    <col min="4609" max="4609" width="13.5703125" bestFit="1" customWidth="1"/>
    <col min="4610" max="4610" width="46.5703125" bestFit="1" customWidth="1"/>
    <col min="4611" max="4611" width="13.42578125" customWidth="1"/>
    <col min="4612" max="4612" width="15.28515625" bestFit="1" customWidth="1"/>
    <col min="4613" max="4613" width="14.140625" bestFit="1" customWidth="1"/>
    <col min="4614" max="4614" width="12" bestFit="1" customWidth="1"/>
    <col min="4615" max="4615" width="16.7109375" bestFit="1" customWidth="1"/>
    <col min="4616" max="4616" width="17" bestFit="1" customWidth="1"/>
    <col min="4617" max="4617" width="18.7109375" customWidth="1"/>
    <col min="4618" max="4618" width="13.7109375" customWidth="1"/>
    <col min="4619" max="4619" width="15.42578125" bestFit="1" customWidth="1"/>
    <col min="4620" max="4621" width="15.5703125" bestFit="1" customWidth="1"/>
    <col min="4622" max="4622" width="16.7109375" bestFit="1" customWidth="1"/>
    <col min="4623" max="4624" width="15.5703125" bestFit="1" customWidth="1"/>
    <col min="4625" max="4625" width="16.42578125" bestFit="1"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4" bestFit="1" customWidth="1"/>
    <col min="4863" max="4863" width="45.7109375" bestFit="1" customWidth="1"/>
    <col min="4864" max="4864" width="34" bestFit="1" customWidth="1"/>
    <col min="4865" max="4865" width="13.5703125" bestFit="1" customWidth="1"/>
    <col min="4866" max="4866" width="46.5703125" bestFit="1" customWidth="1"/>
    <col min="4867" max="4867" width="13.42578125" customWidth="1"/>
    <col min="4868" max="4868" width="15.28515625" bestFit="1" customWidth="1"/>
    <col min="4869" max="4869" width="14.140625" bestFit="1" customWidth="1"/>
    <col min="4870" max="4870" width="12" bestFit="1" customWidth="1"/>
    <col min="4871" max="4871" width="16.7109375" bestFit="1" customWidth="1"/>
    <col min="4872" max="4872" width="17" bestFit="1" customWidth="1"/>
    <col min="4873" max="4873" width="18.7109375" customWidth="1"/>
    <col min="4874" max="4874" width="13.7109375" customWidth="1"/>
    <col min="4875" max="4875" width="15.42578125" bestFit="1" customWidth="1"/>
    <col min="4876" max="4877" width="15.5703125" bestFit="1" customWidth="1"/>
    <col min="4878" max="4878" width="16.7109375" bestFit="1" customWidth="1"/>
    <col min="4879" max="4880" width="15.5703125" bestFit="1" customWidth="1"/>
    <col min="4881" max="4881" width="16.42578125" bestFit="1"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4" bestFit="1" customWidth="1"/>
    <col min="5119" max="5119" width="45.7109375" bestFit="1" customWidth="1"/>
    <col min="5120" max="5120" width="34" bestFit="1" customWidth="1"/>
    <col min="5121" max="5121" width="13.5703125" bestFit="1" customWidth="1"/>
    <col min="5122" max="5122" width="46.5703125" bestFit="1" customWidth="1"/>
    <col min="5123" max="5123" width="13.42578125" customWidth="1"/>
    <col min="5124" max="5124" width="15.28515625" bestFit="1" customWidth="1"/>
    <col min="5125" max="5125" width="14.140625" bestFit="1" customWidth="1"/>
    <col min="5126" max="5126" width="12" bestFit="1" customWidth="1"/>
    <col min="5127" max="5127" width="16.7109375" bestFit="1" customWidth="1"/>
    <col min="5128" max="5128" width="17" bestFit="1" customWidth="1"/>
    <col min="5129" max="5129" width="18.7109375" customWidth="1"/>
    <col min="5130" max="5130" width="13.7109375" customWidth="1"/>
    <col min="5131" max="5131" width="15.42578125" bestFit="1" customWidth="1"/>
    <col min="5132" max="5133" width="15.5703125" bestFit="1" customWidth="1"/>
    <col min="5134" max="5134" width="16.7109375" bestFit="1" customWidth="1"/>
    <col min="5135" max="5136" width="15.5703125" bestFit="1" customWidth="1"/>
    <col min="5137" max="5137" width="16.42578125" bestFit="1"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4" bestFit="1" customWidth="1"/>
    <col min="5375" max="5375" width="45.7109375" bestFit="1" customWidth="1"/>
    <col min="5376" max="5376" width="34" bestFit="1" customWidth="1"/>
    <col min="5377" max="5377" width="13.5703125" bestFit="1" customWidth="1"/>
    <col min="5378" max="5378" width="46.5703125" bestFit="1" customWidth="1"/>
    <col min="5379" max="5379" width="13.42578125" customWidth="1"/>
    <col min="5380" max="5380" width="15.28515625" bestFit="1" customWidth="1"/>
    <col min="5381" max="5381" width="14.140625" bestFit="1" customWidth="1"/>
    <col min="5382" max="5382" width="12" bestFit="1" customWidth="1"/>
    <col min="5383" max="5383" width="16.7109375" bestFit="1" customWidth="1"/>
    <col min="5384" max="5384" width="17" bestFit="1" customWidth="1"/>
    <col min="5385" max="5385" width="18.7109375" customWidth="1"/>
    <col min="5386" max="5386" width="13.7109375" customWidth="1"/>
    <col min="5387" max="5387" width="15.42578125" bestFit="1" customWidth="1"/>
    <col min="5388" max="5389" width="15.5703125" bestFit="1" customWidth="1"/>
    <col min="5390" max="5390" width="16.7109375" bestFit="1" customWidth="1"/>
    <col min="5391" max="5392" width="15.5703125" bestFit="1" customWidth="1"/>
    <col min="5393" max="5393" width="16.42578125" bestFit="1"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4" bestFit="1" customWidth="1"/>
    <col min="5631" max="5631" width="45.7109375" bestFit="1" customWidth="1"/>
    <col min="5632" max="5632" width="34" bestFit="1" customWidth="1"/>
    <col min="5633" max="5633" width="13.5703125" bestFit="1" customWidth="1"/>
    <col min="5634" max="5634" width="46.5703125" bestFit="1" customWidth="1"/>
    <col min="5635" max="5635" width="13.42578125" customWidth="1"/>
    <col min="5636" max="5636" width="15.28515625" bestFit="1" customWidth="1"/>
    <col min="5637" max="5637" width="14.140625" bestFit="1" customWidth="1"/>
    <col min="5638" max="5638" width="12" bestFit="1" customWidth="1"/>
    <col min="5639" max="5639" width="16.7109375" bestFit="1" customWidth="1"/>
    <col min="5640" max="5640" width="17" bestFit="1" customWidth="1"/>
    <col min="5641" max="5641" width="18.7109375" customWidth="1"/>
    <col min="5642" max="5642" width="13.7109375" customWidth="1"/>
    <col min="5643" max="5643" width="15.42578125" bestFit="1" customWidth="1"/>
    <col min="5644" max="5645" width="15.5703125" bestFit="1" customWidth="1"/>
    <col min="5646" max="5646" width="16.7109375" bestFit="1" customWidth="1"/>
    <col min="5647" max="5648" width="15.5703125" bestFit="1" customWidth="1"/>
    <col min="5649" max="5649" width="16.42578125" bestFit="1"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4" bestFit="1" customWidth="1"/>
    <col min="5887" max="5887" width="45.7109375" bestFit="1" customWidth="1"/>
    <col min="5888" max="5888" width="34" bestFit="1" customWidth="1"/>
    <col min="5889" max="5889" width="13.5703125" bestFit="1" customWidth="1"/>
    <col min="5890" max="5890" width="46.5703125" bestFit="1" customWidth="1"/>
    <col min="5891" max="5891" width="13.42578125" customWidth="1"/>
    <col min="5892" max="5892" width="15.28515625" bestFit="1" customWidth="1"/>
    <col min="5893" max="5893" width="14.140625" bestFit="1" customWidth="1"/>
    <col min="5894" max="5894" width="12" bestFit="1" customWidth="1"/>
    <col min="5895" max="5895" width="16.7109375" bestFit="1" customWidth="1"/>
    <col min="5896" max="5896" width="17" bestFit="1" customWidth="1"/>
    <col min="5897" max="5897" width="18.7109375" customWidth="1"/>
    <col min="5898" max="5898" width="13.7109375" customWidth="1"/>
    <col min="5899" max="5899" width="15.42578125" bestFit="1" customWidth="1"/>
    <col min="5900" max="5901" width="15.5703125" bestFit="1" customWidth="1"/>
    <col min="5902" max="5902" width="16.7109375" bestFit="1" customWidth="1"/>
    <col min="5903" max="5904" width="15.5703125" bestFit="1" customWidth="1"/>
    <col min="5905" max="5905" width="16.42578125" bestFit="1"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4" bestFit="1" customWidth="1"/>
    <col min="6143" max="6143" width="45.7109375" bestFit="1" customWidth="1"/>
    <col min="6144" max="6144" width="34" bestFit="1" customWidth="1"/>
    <col min="6145" max="6145" width="13.5703125" bestFit="1" customWidth="1"/>
    <col min="6146" max="6146" width="46.5703125" bestFit="1" customWidth="1"/>
    <col min="6147" max="6147" width="13.42578125" customWidth="1"/>
    <col min="6148" max="6148" width="15.28515625" bestFit="1" customWidth="1"/>
    <col min="6149" max="6149" width="14.140625" bestFit="1" customWidth="1"/>
    <col min="6150" max="6150" width="12" bestFit="1" customWidth="1"/>
    <col min="6151" max="6151" width="16.7109375" bestFit="1" customWidth="1"/>
    <col min="6152" max="6152" width="17" bestFit="1" customWidth="1"/>
    <col min="6153" max="6153" width="18.7109375" customWidth="1"/>
    <col min="6154" max="6154" width="13.7109375" customWidth="1"/>
    <col min="6155" max="6155" width="15.42578125" bestFit="1" customWidth="1"/>
    <col min="6156" max="6157" width="15.5703125" bestFit="1" customWidth="1"/>
    <col min="6158" max="6158" width="16.7109375" bestFit="1" customWidth="1"/>
    <col min="6159" max="6160" width="15.5703125" bestFit="1" customWidth="1"/>
    <col min="6161" max="6161" width="16.42578125" bestFit="1"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4" bestFit="1" customWidth="1"/>
    <col min="6399" max="6399" width="45.7109375" bestFit="1" customWidth="1"/>
    <col min="6400" max="6400" width="34" bestFit="1" customWidth="1"/>
    <col min="6401" max="6401" width="13.5703125" bestFit="1" customWidth="1"/>
    <col min="6402" max="6402" width="46.5703125" bestFit="1" customWidth="1"/>
    <col min="6403" max="6403" width="13.42578125" customWidth="1"/>
    <col min="6404" max="6404" width="15.28515625" bestFit="1" customWidth="1"/>
    <col min="6405" max="6405" width="14.140625" bestFit="1" customWidth="1"/>
    <col min="6406" max="6406" width="12" bestFit="1" customWidth="1"/>
    <col min="6407" max="6407" width="16.7109375" bestFit="1" customWidth="1"/>
    <col min="6408" max="6408" width="17" bestFit="1" customWidth="1"/>
    <col min="6409" max="6409" width="18.7109375" customWidth="1"/>
    <col min="6410" max="6410" width="13.7109375" customWidth="1"/>
    <col min="6411" max="6411" width="15.42578125" bestFit="1" customWidth="1"/>
    <col min="6412" max="6413" width="15.5703125" bestFit="1" customWidth="1"/>
    <col min="6414" max="6414" width="16.7109375" bestFit="1" customWidth="1"/>
    <col min="6415" max="6416" width="15.5703125" bestFit="1" customWidth="1"/>
    <col min="6417" max="6417" width="16.42578125" bestFit="1"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4" bestFit="1" customWidth="1"/>
    <col min="6655" max="6655" width="45.7109375" bestFit="1" customWidth="1"/>
    <col min="6656" max="6656" width="34" bestFit="1" customWidth="1"/>
    <col min="6657" max="6657" width="13.5703125" bestFit="1" customWidth="1"/>
    <col min="6658" max="6658" width="46.5703125" bestFit="1" customWidth="1"/>
    <col min="6659" max="6659" width="13.42578125" customWidth="1"/>
    <col min="6660" max="6660" width="15.28515625" bestFit="1" customWidth="1"/>
    <col min="6661" max="6661" width="14.140625" bestFit="1" customWidth="1"/>
    <col min="6662" max="6662" width="12" bestFit="1" customWidth="1"/>
    <col min="6663" max="6663" width="16.7109375" bestFit="1" customWidth="1"/>
    <col min="6664" max="6664" width="17" bestFit="1" customWidth="1"/>
    <col min="6665" max="6665" width="18.7109375" customWidth="1"/>
    <col min="6666" max="6666" width="13.7109375" customWidth="1"/>
    <col min="6667" max="6667" width="15.42578125" bestFit="1" customWidth="1"/>
    <col min="6668" max="6669" width="15.5703125" bestFit="1" customWidth="1"/>
    <col min="6670" max="6670" width="16.7109375" bestFit="1" customWidth="1"/>
    <col min="6671" max="6672" width="15.5703125" bestFit="1" customWidth="1"/>
    <col min="6673" max="6673" width="16.42578125" bestFit="1"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4" bestFit="1" customWidth="1"/>
    <col min="6911" max="6911" width="45.7109375" bestFit="1" customWidth="1"/>
    <col min="6912" max="6912" width="34" bestFit="1" customWidth="1"/>
    <col min="6913" max="6913" width="13.5703125" bestFit="1" customWidth="1"/>
    <col min="6914" max="6914" width="46.5703125" bestFit="1" customWidth="1"/>
    <col min="6915" max="6915" width="13.42578125" customWidth="1"/>
    <col min="6916" max="6916" width="15.28515625" bestFit="1" customWidth="1"/>
    <col min="6917" max="6917" width="14.140625" bestFit="1" customWidth="1"/>
    <col min="6918" max="6918" width="12" bestFit="1" customWidth="1"/>
    <col min="6919" max="6919" width="16.7109375" bestFit="1" customWidth="1"/>
    <col min="6920" max="6920" width="17" bestFit="1" customWidth="1"/>
    <col min="6921" max="6921" width="18.7109375" customWidth="1"/>
    <col min="6922" max="6922" width="13.7109375" customWidth="1"/>
    <col min="6923" max="6923" width="15.42578125" bestFit="1" customWidth="1"/>
    <col min="6924" max="6925" width="15.5703125" bestFit="1" customWidth="1"/>
    <col min="6926" max="6926" width="16.7109375" bestFit="1" customWidth="1"/>
    <col min="6927" max="6928" width="15.5703125" bestFit="1" customWidth="1"/>
    <col min="6929" max="6929" width="16.42578125" bestFit="1"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4" bestFit="1" customWidth="1"/>
    <col min="7167" max="7167" width="45.7109375" bestFit="1" customWidth="1"/>
    <col min="7168" max="7168" width="34" bestFit="1" customWidth="1"/>
    <col min="7169" max="7169" width="13.5703125" bestFit="1" customWidth="1"/>
    <col min="7170" max="7170" width="46.5703125" bestFit="1" customWidth="1"/>
    <col min="7171" max="7171" width="13.42578125" customWidth="1"/>
    <col min="7172" max="7172" width="15.28515625" bestFit="1" customWidth="1"/>
    <col min="7173" max="7173" width="14.140625" bestFit="1" customWidth="1"/>
    <col min="7174" max="7174" width="12" bestFit="1" customWidth="1"/>
    <col min="7175" max="7175" width="16.7109375" bestFit="1" customWidth="1"/>
    <col min="7176" max="7176" width="17" bestFit="1" customWidth="1"/>
    <col min="7177" max="7177" width="18.7109375" customWidth="1"/>
    <col min="7178" max="7178" width="13.7109375" customWidth="1"/>
    <col min="7179" max="7179" width="15.42578125" bestFit="1" customWidth="1"/>
    <col min="7180" max="7181" width="15.5703125" bestFit="1" customWidth="1"/>
    <col min="7182" max="7182" width="16.7109375" bestFit="1" customWidth="1"/>
    <col min="7183" max="7184" width="15.5703125" bestFit="1" customWidth="1"/>
    <col min="7185" max="7185" width="16.42578125" bestFit="1"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4" bestFit="1" customWidth="1"/>
    <col min="7423" max="7423" width="45.7109375" bestFit="1" customWidth="1"/>
    <col min="7424" max="7424" width="34" bestFit="1" customWidth="1"/>
    <col min="7425" max="7425" width="13.5703125" bestFit="1" customWidth="1"/>
    <col min="7426" max="7426" width="46.5703125" bestFit="1" customWidth="1"/>
    <col min="7427" max="7427" width="13.42578125" customWidth="1"/>
    <col min="7428" max="7428" width="15.28515625" bestFit="1" customWidth="1"/>
    <col min="7429" max="7429" width="14.140625" bestFit="1" customWidth="1"/>
    <col min="7430" max="7430" width="12" bestFit="1" customWidth="1"/>
    <col min="7431" max="7431" width="16.7109375" bestFit="1" customWidth="1"/>
    <col min="7432" max="7432" width="17" bestFit="1" customWidth="1"/>
    <col min="7433" max="7433" width="18.7109375" customWidth="1"/>
    <col min="7434" max="7434" width="13.7109375" customWidth="1"/>
    <col min="7435" max="7435" width="15.42578125" bestFit="1" customWidth="1"/>
    <col min="7436" max="7437" width="15.5703125" bestFit="1" customWidth="1"/>
    <col min="7438" max="7438" width="16.7109375" bestFit="1" customWidth="1"/>
    <col min="7439" max="7440" width="15.5703125" bestFit="1" customWidth="1"/>
    <col min="7441" max="7441" width="16.42578125" bestFit="1"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4" bestFit="1" customWidth="1"/>
    <col min="7679" max="7679" width="45.7109375" bestFit="1" customWidth="1"/>
    <col min="7680" max="7680" width="34" bestFit="1" customWidth="1"/>
    <col min="7681" max="7681" width="13.5703125" bestFit="1" customWidth="1"/>
    <col min="7682" max="7682" width="46.5703125" bestFit="1" customWidth="1"/>
    <col min="7683" max="7683" width="13.42578125" customWidth="1"/>
    <col min="7684" max="7684" width="15.28515625" bestFit="1" customWidth="1"/>
    <col min="7685" max="7685" width="14.140625" bestFit="1" customWidth="1"/>
    <col min="7686" max="7686" width="12" bestFit="1" customWidth="1"/>
    <col min="7687" max="7687" width="16.7109375" bestFit="1" customWidth="1"/>
    <col min="7688" max="7688" width="17" bestFit="1" customWidth="1"/>
    <col min="7689" max="7689" width="18.7109375" customWidth="1"/>
    <col min="7690" max="7690" width="13.7109375" customWidth="1"/>
    <col min="7691" max="7691" width="15.42578125" bestFit="1" customWidth="1"/>
    <col min="7692" max="7693" width="15.5703125" bestFit="1" customWidth="1"/>
    <col min="7694" max="7694" width="16.7109375" bestFit="1" customWidth="1"/>
    <col min="7695" max="7696" width="15.5703125" bestFit="1" customWidth="1"/>
    <col min="7697" max="7697" width="16.42578125" bestFit="1"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4" bestFit="1" customWidth="1"/>
    <col min="7935" max="7935" width="45.7109375" bestFit="1" customWidth="1"/>
    <col min="7936" max="7936" width="34" bestFit="1" customWidth="1"/>
    <col min="7937" max="7937" width="13.5703125" bestFit="1" customWidth="1"/>
    <col min="7938" max="7938" width="46.5703125" bestFit="1" customWidth="1"/>
    <col min="7939" max="7939" width="13.42578125" customWidth="1"/>
    <col min="7940" max="7940" width="15.28515625" bestFit="1" customWidth="1"/>
    <col min="7941" max="7941" width="14.140625" bestFit="1" customWidth="1"/>
    <col min="7942" max="7942" width="12" bestFit="1" customWidth="1"/>
    <col min="7943" max="7943" width="16.7109375" bestFit="1" customWidth="1"/>
    <col min="7944" max="7944" width="17" bestFit="1" customWidth="1"/>
    <col min="7945" max="7945" width="18.7109375" customWidth="1"/>
    <col min="7946" max="7946" width="13.7109375" customWidth="1"/>
    <col min="7947" max="7947" width="15.42578125" bestFit="1" customWidth="1"/>
    <col min="7948" max="7949" width="15.5703125" bestFit="1" customWidth="1"/>
    <col min="7950" max="7950" width="16.7109375" bestFit="1" customWidth="1"/>
    <col min="7951" max="7952" width="15.5703125" bestFit="1" customWidth="1"/>
    <col min="7953" max="7953" width="16.42578125" bestFit="1"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4" bestFit="1" customWidth="1"/>
    <col min="8191" max="8191" width="45.7109375" bestFit="1" customWidth="1"/>
    <col min="8192" max="8192" width="34" bestFit="1" customWidth="1"/>
    <col min="8193" max="8193" width="13.5703125" bestFit="1" customWidth="1"/>
    <col min="8194" max="8194" width="46.5703125" bestFit="1" customWidth="1"/>
    <col min="8195" max="8195" width="13.42578125" customWidth="1"/>
    <col min="8196" max="8196" width="15.28515625" bestFit="1" customWidth="1"/>
    <col min="8197" max="8197" width="14.140625" bestFit="1" customWidth="1"/>
    <col min="8198" max="8198" width="12" bestFit="1" customWidth="1"/>
    <col min="8199" max="8199" width="16.7109375" bestFit="1" customWidth="1"/>
    <col min="8200" max="8200" width="17" bestFit="1" customWidth="1"/>
    <col min="8201" max="8201" width="18.7109375" customWidth="1"/>
    <col min="8202" max="8202" width="13.7109375" customWidth="1"/>
    <col min="8203" max="8203" width="15.42578125" bestFit="1" customWidth="1"/>
    <col min="8204" max="8205" width="15.5703125" bestFit="1" customWidth="1"/>
    <col min="8206" max="8206" width="16.7109375" bestFit="1" customWidth="1"/>
    <col min="8207" max="8208" width="15.5703125" bestFit="1" customWidth="1"/>
    <col min="8209" max="8209" width="16.42578125" bestFit="1"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4" bestFit="1" customWidth="1"/>
    <col min="8447" max="8447" width="45.7109375" bestFit="1" customWidth="1"/>
    <col min="8448" max="8448" width="34" bestFit="1" customWidth="1"/>
    <col min="8449" max="8449" width="13.5703125" bestFit="1" customWidth="1"/>
    <col min="8450" max="8450" width="46.5703125" bestFit="1" customWidth="1"/>
    <col min="8451" max="8451" width="13.42578125" customWidth="1"/>
    <col min="8452" max="8452" width="15.28515625" bestFit="1" customWidth="1"/>
    <col min="8453" max="8453" width="14.140625" bestFit="1" customWidth="1"/>
    <col min="8454" max="8454" width="12" bestFit="1" customWidth="1"/>
    <col min="8455" max="8455" width="16.7109375" bestFit="1" customWidth="1"/>
    <col min="8456" max="8456" width="17" bestFit="1" customWidth="1"/>
    <col min="8457" max="8457" width="18.7109375" customWidth="1"/>
    <col min="8458" max="8458" width="13.7109375" customWidth="1"/>
    <col min="8459" max="8459" width="15.42578125" bestFit="1" customWidth="1"/>
    <col min="8460" max="8461" width="15.5703125" bestFit="1" customWidth="1"/>
    <col min="8462" max="8462" width="16.7109375" bestFit="1" customWidth="1"/>
    <col min="8463" max="8464" width="15.5703125" bestFit="1" customWidth="1"/>
    <col min="8465" max="8465" width="16.42578125" bestFit="1"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4" bestFit="1" customWidth="1"/>
    <col min="8703" max="8703" width="45.7109375" bestFit="1" customWidth="1"/>
    <col min="8704" max="8704" width="34" bestFit="1" customWidth="1"/>
    <col min="8705" max="8705" width="13.5703125" bestFit="1" customWidth="1"/>
    <col min="8706" max="8706" width="46.5703125" bestFit="1" customWidth="1"/>
    <col min="8707" max="8707" width="13.42578125" customWidth="1"/>
    <col min="8708" max="8708" width="15.28515625" bestFit="1" customWidth="1"/>
    <col min="8709" max="8709" width="14.140625" bestFit="1" customWidth="1"/>
    <col min="8710" max="8710" width="12" bestFit="1" customWidth="1"/>
    <col min="8711" max="8711" width="16.7109375" bestFit="1" customWidth="1"/>
    <col min="8712" max="8712" width="17" bestFit="1" customWidth="1"/>
    <col min="8713" max="8713" width="18.7109375" customWidth="1"/>
    <col min="8714" max="8714" width="13.7109375" customWidth="1"/>
    <col min="8715" max="8715" width="15.42578125" bestFit="1" customWidth="1"/>
    <col min="8716" max="8717" width="15.5703125" bestFit="1" customWidth="1"/>
    <col min="8718" max="8718" width="16.7109375" bestFit="1" customWidth="1"/>
    <col min="8719" max="8720" width="15.5703125" bestFit="1" customWidth="1"/>
    <col min="8721" max="8721" width="16.42578125" bestFit="1"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4" bestFit="1" customWidth="1"/>
    <col min="8959" max="8959" width="45.7109375" bestFit="1" customWidth="1"/>
    <col min="8960" max="8960" width="34" bestFit="1" customWidth="1"/>
    <col min="8961" max="8961" width="13.5703125" bestFit="1" customWidth="1"/>
    <col min="8962" max="8962" width="46.5703125" bestFit="1" customWidth="1"/>
    <col min="8963" max="8963" width="13.42578125" customWidth="1"/>
    <col min="8964" max="8964" width="15.28515625" bestFit="1" customWidth="1"/>
    <col min="8965" max="8965" width="14.140625" bestFit="1" customWidth="1"/>
    <col min="8966" max="8966" width="12" bestFit="1" customWidth="1"/>
    <col min="8967" max="8967" width="16.7109375" bestFit="1" customWidth="1"/>
    <col min="8968" max="8968" width="17" bestFit="1" customWidth="1"/>
    <col min="8969" max="8969" width="18.7109375" customWidth="1"/>
    <col min="8970" max="8970" width="13.7109375" customWidth="1"/>
    <col min="8971" max="8971" width="15.42578125" bestFit="1" customWidth="1"/>
    <col min="8972" max="8973" width="15.5703125" bestFit="1" customWidth="1"/>
    <col min="8974" max="8974" width="16.7109375" bestFit="1" customWidth="1"/>
    <col min="8975" max="8976" width="15.5703125" bestFit="1" customWidth="1"/>
    <col min="8977" max="8977" width="16.42578125" bestFit="1"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4" bestFit="1" customWidth="1"/>
    <col min="9215" max="9215" width="45.7109375" bestFit="1" customWidth="1"/>
    <col min="9216" max="9216" width="34" bestFit="1" customWidth="1"/>
    <col min="9217" max="9217" width="13.5703125" bestFit="1" customWidth="1"/>
    <col min="9218" max="9218" width="46.5703125" bestFit="1" customWidth="1"/>
    <col min="9219" max="9219" width="13.42578125" customWidth="1"/>
    <col min="9220" max="9220" width="15.28515625" bestFit="1" customWidth="1"/>
    <col min="9221" max="9221" width="14.140625" bestFit="1" customWidth="1"/>
    <col min="9222" max="9222" width="12" bestFit="1" customWidth="1"/>
    <col min="9223" max="9223" width="16.7109375" bestFit="1" customWidth="1"/>
    <col min="9224" max="9224" width="17" bestFit="1" customWidth="1"/>
    <col min="9225" max="9225" width="18.7109375" customWidth="1"/>
    <col min="9226" max="9226" width="13.7109375" customWidth="1"/>
    <col min="9227" max="9227" width="15.42578125" bestFit="1" customWidth="1"/>
    <col min="9228" max="9229" width="15.5703125" bestFit="1" customWidth="1"/>
    <col min="9230" max="9230" width="16.7109375" bestFit="1" customWidth="1"/>
    <col min="9231" max="9232" width="15.5703125" bestFit="1" customWidth="1"/>
    <col min="9233" max="9233" width="16.42578125" bestFit="1"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4" bestFit="1" customWidth="1"/>
    <col min="9471" max="9471" width="45.7109375" bestFit="1" customWidth="1"/>
    <col min="9472" max="9472" width="34" bestFit="1" customWidth="1"/>
    <col min="9473" max="9473" width="13.5703125" bestFit="1" customWidth="1"/>
    <col min="9474" max="9474" width="46.5703125" bestFit="1" customWidth="1"/>
    <col min="9475" max="9475" width="13.42578125" customWidth="1"/>
    <col min="9476" max="9476" width="15.28515625" bestFit="1" customWidth="1"/>
    <col min="9477" max="9477" width="14.140625" bestFit="1" customWidth="1"/>
    <col min="9478" max="9478" width="12" bestFit="1" customWidth="1"/>
    <col min="9479" max="9479" width="16.7109375" bestFit="1" customWidth="1"/>
    <col min="9480" max="9480" width="17" bestFit="1" customWidth="1"/>
    <col min="9481" max="9481" width="18.7109375" customWidth="1"/>
    <col min="9482" max="9482" width="13.7109375" customWidth="1"/>
    <col min="9483" max="9483" width="15.42578125" bestFit="1" customWidth="1"/>
    <col min="9484" max="9485" width="15.5703125" bestFit="1" customWidth="1"/>
    <col min="9486" max="9486" width="16.7109375" bestFit="1" customWidth="1"/>
    <col min="9487" max="9488" width="15.5703125" bestFit="1" customWidth="1"/>
    <col min="9489" max="9489" width="16.42578125" bestFit="1"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4" bestFit="1" customWidth="1"/>
    <col min="9727" max="9727" width="45.7109375" bestFit="1" customWidth="1"/>
    <col min="9728" max="9728" width="34" bestFit="1" customWidth="1"/>
    <col min="9729" max="9729" width="13.5703125" bestFit="1" customWidth="1"/>
    <col min="9730" max="9730" width="46.5703125" bestFit="1" customWidth="1"/>
    <col min="9731" max="9731" width="13.42578125" customWidth="1"/>
    <col min="9732" max="9732" width="15.28515625" bestFit="1" customWidth="1"/>
    <col min="9733" max="9733" width="14.140625" bestFit="1" customWidth="1"/>
    <col min="9734" max="9734" width="12" bestFit="1" customWidth="1"/>
    <col min="9735" max="9735" width="16.7109375" bestFit="1" customWidth="1"/>
    <col min="9736" max="9736" width="17" bestFit="1" customWidth="1"/>
    <col min="9737" max="9737" width="18.7109375" customWidth="1"/>
    <col min="9738" max="9738" width="13.7109375" customWidth="1"/>
    <col min="9739" max="9739" width="15.42578125" bestFit="1" customWidth="1"/>
    <col min="9740" max="9741" width="15.5703125" bestFit="1" customWidth="1"/>
    <col min="9742" max="9742" width="16.7109375" bestFit="1" customWidth="1"/>
    <col min="9743" max="9744" width="15.5703125" bestFit="1" customWidth="1"/>
    <col min="9745" max="9745" width="16.42578125" bestFit="1"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4" bestFit="1" customWidth="1"/>
    <col min="9983" max="9983" width="45.7109375" bestFit="1" customWidth="1"/>
    <col min="9984" max="9984" width="34" bestFit="1" customWidth="1"/>
    <col min="9985" max="9985" width="13.5703125" bestFit="1" customWidth="1"/>
    <col min="9986" max="9986" width="46.5703125" bestFit="1" customWidth="1"/>
    <col min="9987" max="9987" width="13.42578125" customWidth="1"/>
    <col min="9988" max="9988" width="15.28515625" bestFit="1" customWidth="1"/>
    <col min="9989" max="9989" width="14.140625" bestFit="1" customWidth="1"/>
    <col min="9990" max="9990" width="12" bestFit="1" customWidth="1"/>
    <col min="9991" max="9991" width="16.7109375" bestFit="1" customWidth="1"/>
    <col min="9992" max="9992" width="17" bestFit="1" customWidth="1"/>
    <col min="9993" max="9993" width="18.7109375" customWidth="1"/>
    <col min="9994" max="9994" width="13.7109375" customWidth="1"/>
    <col min="9995" max="9995" width="15.42578125" bestFit="1" customWidth="1"/>
    <col min="9996" max="9997" width="15.5703125" bestFit="1" customWidth="1"/>
    <col min="9998" max="9998" width="16.7109375" bestFit="1" customWidth="1"/>
    <col min="9999" max="10000" width="15.5703125" bestFit="1" customWidth="1"/>
    <col min="10001" max="10001" width="16.42578125" bestFit="1"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4" bestFit="1" customWidth="1"/>
    <col min="10239" max="10239" width="45.7109375" bestFit="1" customWidth="1"/>
    <col min="10240" max="10240" width="34" bestFit="1" customWidth="1"/>
    <col min="10241" max="10241" width="13.5703125" bestFit="1" customWidth="1"/>
    <col min="10242" max="10242" width="46.5703125" bestFit="1" customWidth="1"/>
    <col min="10243" max="10243" width="13.42578125" customWidth="1"/>
    <col min="10244" max="10244" width="15.28515625" bestFit="1" customWidth="1"/>
    <col min="10245" max="10245" width="14.140625" bestFit="1" customWidth="1"/>
    <col min="10246" max="10246" width="12" bestFit="1" customWidth="1"/>
    <col min="10247" max="10247" width="16.7109375" bestFit="1" customWidth="1"/>
    <col min="10248" max="10248" width="17" bestFit="1" customWidth="1"/>
    <col min="10249" max="10249" width="18.7109375" customWidth="1"/>
    <col min="10250" max="10250" width="13.7109375" customWidth="1"/>
    <col min="10251" max="10251" width="15.42578125" bestFit="1" customWidth="1"/>
    <col min="10252" max="10253" width="15.5703125" bestFit="1" customWidth="1"/>
    <col min="10254" max="10254" width="16.7109375" bestFit="1" customWidth="1"/>
    <col min="10255" max="10256" width="15.5703125" bestFit="1" customWidth="1"/>
    <col min="10257" max="10257" width="16.42578125" bestFit="1"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4" bestFit="1" customWidth="1"/>
    <col min="10495" max="10495" width="45.7109375" bestFit="1" customWidth="1"/>
    <col min="10496" max="10496" width="34" bestFit="1" customWidth="1"/>
    <col min="10497" max="10497" width="13.5703125" bestFit="1" customWidth="1"/>
    <col min="10498" max="10498" width="46.5703125" bestFit="1" customWidth="1"/>
    <col min="10499" max="10499" width="13.42578125" customWidth="1"/>
    <col min="10500" max="10500" width="15.28515625" bestFit="1" customWidth="1"/>
    <col min="10501" max="10501" width="14.140625" bestFit="1" customWidth="1"/>
    <col min="10502" max="10502" width="12" bestFit="1" customWidth="1"/>
    <col min="10503" max="10503" width="16.7109375" bestFit="1" customWidth="1"/>
    <col min="10504" max="10504" width="17" bestFit="1" customWidth="1"/>
    <col min="10505" max="10505" width="18.7109375" customWidth="1"/>
    <col min="10506" max="10506" width="13.7109375" customWidth="1"/>
    <col min="10507" max="10507" width="15.42578125" bestFit="1" customWidth="1"/>
    <col min="10508" max="10509" width="15.5703125" bestFit="1" customWidth="1"/>
    <col min="10510" max="10510" width="16.7109375" bestFit="1" customWidth="1"/>
    <col min="10511" max="10512" width="15.5703125" bestFit="1" customWidth="1"/>
    <col min="10513" max="10513" width="16.42578125" bestFit="1"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4" bestFit="1" customWidth="1"/>
    <col min="10751" max="10751" width="45.7109375" bestFit="1" customWidth="1"/>
    <col min="10752" max="10752" width="34" bestFit="1" customWidth="1"/>
    <col min="10753" max="10753" width="13.5703125" bestFit="1" customWidth="1"/>
    <col min="10754" max="10754" width="46.5703125" bestFit="1" customWidth="1"/>
    <col min="10755" max="10755" width="13.42578125" customWidth="1"/>
    <col min="10756" max="10756" width="15.28515625" bestFit="1" customWidth="1"/>
    <col min="10757" max="10757" width="14.140625" bestFit="1" customWidth="1"/>
    <col min="10758" max="10758" width="12" bestFit="1" customWidth="1"/>
    <col min="10759" max="10759" width="16.7109375" bestFit="1" customWidth="1"/>
    <col min="10760" max="10760" width="17" bestFit="1" customWidth="1"/>
    <col min="10761" max="10761" width="18.7109375" customWidth="1"/>
    <col min="10762" max="10762" width="13.7109375" customWidth="1"/>
    <col min="10763" max="10763" width="15.42578125" bestFit="1" customWidth="1"/>
    <col min="10764" max="10765" width="15.5703125" bestFit="1" customWidth="1"/>
    <col min="10766" max="10766" width="16.7109375" bestFit="1" customWidth="1"/>
    <col min="10767" max="10768" width="15.5703125" bestFit="1" customWidth="1"/>
    <col min="10769" max="10769" width="16.42578125" bestFit="1"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4" bestFit="1" customWidth="1"/>
    <col min="11007" max="11007" width="45.7109375" bestFit="1" customWidth="1"/>
    <col min="11008" max="11008" width="34" bestFit="1" customWidth="1"/>
    <col min="11009" max="11009" width="13.5703125" bestFit="1" customWidth="1"/>
    <col min="11010" max="11010" width="46.5703125" bestFit="1" customWidth="1"/>
    <col min="11011" max="11011" width="13.42578125" customWidth="1"/>
    <col min="11012" max="11012" width="15.28515625" bestFit="1" customWidth="1"/>
    <col min="11013" max="11013" width="14.140625" bestFit="1" customWidth="1"/>
    <col min="11014" max="11014" width="12" bestFit="1" customWidth="1"/>
    <col min="11015" max="11015" width="16.7109375" bestFit="1" customWidth="1"/>
    <col min="11016" max="11016" width="17" bestFit="1" customWidth="1"/>
    <col min="11017" max="11017" width="18.7109375" customWidth="1"/>
    <col min="11018" max="11018" width="13.7109375" customWidth="1"/>
    <col min="11019" max="11019" width="15.42578125" bestFit="1" customWidth="1"/>
    <col min="11020" max="11021" width="15.5703125" bestFit="1" customWidth="1"/>
    <col min="11022" max="11022" width="16.7109375" bestFit="1" customWidth="1"/>
    <col min="11023" max="11024" width="15.5703125" bestFit="1" customWidth="1"/>
    <col min="11025" max="11025" width="16.42578125" bestFit="1"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4" bestFit="1" customWidth="1"/>
    <col min="11263" max="11263" width="45.7109375" bestFit="1" customWidth="1"/>
    <col min="11264" max="11264" width="34" bestFit="1" customWidth="1"/>
    <col min="11265" max="11265" width="13.5703125" bestFit="1" customWidth="1"/>
    <col min="11266" max="11266" width="46.5703125" bestFit="1" customWidth="1"/>
    <col min="11267" max="11267" width="13.42578125" customWidth="1"/>
    <col min="11268" max="11268" width="15.28515625" bestFit="1" customWidth="1"/>
    <col min="11269" max="11269" width="14.140625" bestFit="1" customWidth="1"/>
    <col min="11270" max="11270" width="12" bestFit="1" customWidth="1"/>
    <col min="11271" max="11271" width="16.7109375" bestFit="1" customWidth="1"/>
    <col min="11272" max="11272" width="17" bestFit="1" customWidth="1"/>
    <col min="11273" max="11273" width="18.7109375" customWidth="1"/>
    <col min="11274" max="11274" width="13.7109375" customWidth="1"/>
    <col min="11275" max="11275" width="15.42578125" bestFit="1" customWidth="1"/>
    <col min="11276" max="11277" width="15.5703125" bestFit="1" customWidth="1"/>
    <col min="11278" max="11278" width="16.7109375" bestFit="1" customWidth="1"/>
    <col min="11279" max="11280" width="15.5703125" bestFit="1" customWidth="1"/>
    <col min="11281" max="11281" width="16.42578125" bestFit="1"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4" bestFit="1" customWidth="1"/>
    <col min="11519" max="11519" width="45.7109375" bestFit="1" customWidth="1"/>
    <col min="11520" max="11520" width="34" bestFit="1" customWidth="1"/>
    <col min="11521" max="11521" width="13.5703125" bestFit="1" customWidth="1"/>
    <col min="11522" max="11522" width="46.5703125" bestFit="1" customWidth="1"/>
    <col min="11523" max="11523" width="13.42578125" customWidth="1"/>
    <col min="11524" max="11524" width="15.28515625" bestFit="1" customWidth="1"/>
    <col min="11525" max="11525" width="14.140625" bestFit="1" customWidth="1"/>
    <col min="11526" max="11526" width="12" bestFit="1" customWidth="1"/>
    <col min="11527" max="11527" width="16.7109375" bestFit="1" customWidth="1"/>
    <col min="11528" max="11528" width="17" bestFit="1" customWidth="1"/>
    <col min="11529" max="11529" width="18.7109375" customWidth="1"/>
    <col min="11530" max="11530" width="13.7109375" customWidth="1"/>
    <col min="11531" max="11531" width="15.42578125" bestFit="1" customWidth="1"/>
    <col min="11532" max="11533" width="15.5703125" bestFit="1" customWidth="1"/>
    <col min="11534" max="11534" width="16.7109375" bestFit="1" customWidth="1"/>
    <col min="11535" max="11536" width="15.5703125" bestFit="1" customWidth="1"/>
    <col min="11537" max="11537" width="16.42578125" bestFit="1"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4" bestFit="1" customWidth="1"/>
    <col min="11775" max="11775" width="45.7109375" bestFit="1" customWidth="1"/>
    <col min="11776" max="11776" width="34" bestFit="1" customWidth="1"/>
    <col min="11777" max="11777" width="13.5703125" bestFit="1" customWidth="1"/>
    <col min="11778" max="11778" width="46.5703125" bestFit="1" customWidth="1"/>
    <col min="11779" max="11779" width="13.42578125" customWidth="1"/>
    <col min="11780" max="11780" width="15.28515625" bestFit="1" customWidth="1"/>
    <col min="11781" max="11781" width="14.140625" bestFit="1" customWidth="1"/>
    <col min="11782" max="11782" width="12" bestFit="1" customWidth="1"/>
    <col min="11783" max="11783" width="16.7109375" bestFit="1" customWidth="1"/>
    <col min="11784" max="11784" width="17" bestFit="1" customWidth="1"/>
    <col min="11785" max="11785" width="18.7109375" customWidth="1"/>
    <col min="11786" max="11786" width="13.7109375" customWidth="1"/>
    <col min="11787" max="11787" width="15.42578125" bestFit="1" customWidth="1"/>
    <col min="11788" max="11789" width="15.5703125" bestFit="1" customWidth="1"/>
    <col min="11790" max="11790" width="16.7109375" bestFit="1" customWidth="1"/>
    <col min="11791" max="11792" width="15.5703125" bestFit="1" customWidth="1"/>
    <col min="11793" max="11793" width="16.42578125" bestFit="1"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4" bestFit="1" customWidth="1"/>
    <col min="12031" max="12031" width="45.7109375" bestFit="1" customWidth="1"/>
    <col min="12032" max="12032" width="34" bestFit="1" customWidth="1"/>
    <col min="12033" max="12033" width="13.5703125" bestFit="1" customWidth="1"/>
    <col min="12034" max="12034" width="46.5703125" bestFit="1" customWidth="1"/>
    <col min="12035" max="12035" width="13.42578125" customWidth="1"/>
    <col min="12036" max="12036" width="15.28515625" bestFit="1" customWidth="1"/>
    <col min="12037" max="12037" width="14.140625" bestFit="1" customWidth="1"/>
    <col min="12038" max="12038" width="12" bestFit="1" customWidth="1"/>
    <col min="12039" max="12039" width="16.7109375" bestFit="1" customWidth="1"/>
    <col min="12040" max="12040" width="17" bestFit="1" customWidth="1"/>
    <col min="12041" max="12041" width="18.7109375" customWidth="1"/>
    <col min="12042" max="12042" width="13.7109375" customWidth="1"/>
    <col min="12043" max="12043" width="15.42578125" bestFit="1" customWidth="1"/>
    <col min="12044" max="12045" width="15.5703125" bestFit="1" customWidth="1"/>
    <col min="12046" max="12046" width="16.7109375" bestFit="1" customWidth="1"/>
    <col min="12047" max="12048" width="15.5703125" bestFit="1" customWidth="1"/>
    <col min="12049" max="12049" width="16.42578125" bestFit="1"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4" bestFit="1" customWidth="1"/>
    <col min="12287" max="12287" width="45.7109375" bestFit="1" customWidth="1"/>
    <col min="12288" max="12288" width="34" bestFit="1" customWidth="1"/>
    <col min="12289" max="12289" width="13.5703125" bestFit="1" customWidth="1"/>
    <col min="12290" max="12290" width="46.5703125" bestFit="1" customWidth="1"/>
    <col min="12291" max="12291" width="13.42578125" customWidth="1"/>
    <col min="12292" max="12292" width="15.28515625" bestFit="1" customWidth="1"/>
    <col min="12293" max="12293" width="14.140625" bestFit="1" customWidth="1"/>
    <col min="12294" max="12294" width="12" bestFit="1" customWidth="1"/>
    <col min="12295" max="12295" width="16.7109375" bestFit="1" customWidth="1"/>
    <col min="12296" max="12296" width="17" bestFit="1" customWidth="1"/>
    <col min="12297" max="12297" width="18.7109375" customWidth="1"/>
    <col min="12298" max="12298" width="13.7109375" customWidth="1"/>
    <col min="12299" max="12299" width="15.42578125" bestFit="1" customWidth="1"/>
    <col min="12300" max="12301" width="15.5703125" bestFit="1" customWidth="1"/>
    <col min="12302" max="12302" width="16.7109375" bestFit="1" customWidth="1"/>
    <col min="12303" max="12304" width="15.5703125" bestFit="1" customWidth="1"/>
    <col min="12305" max="12305" width="16.42578125" bestFit="1"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4" bestFit="1" customWidth="1"/>
    <col min="12543" max="12543" width="45.7109375" bestFit="1" customWidth="1"/>
    <col min="12544" max="12544" width="34" bestFit="1" customWidth="1"/>
    <col min="12545" max="12545" width="13.5703125" bestFit="1" customWidth="1"/>
    <col min="12546" max="12546" width="46.5703125" bestFit="1" customWidth="1"/>
    <col min="12547" max="12547" width="13.42578125" customWidth="1"/>
    <col min="12548" max="12548" width="15.28515625" bestFit="1" customWidth="1"/>
    <col min="12549" max="12549" width="14.140625" bestFit="1" customWidth="1"/>
    <col min="12550" max="12550" width="12" bestFit="1" customWidth="1"/>
    <col min="12551" max="12551" width="16.7109375" bestFit="1" customWidth="1"/>
    <col min="12552" max="12552" width="17" bestFit="1" customWidth="1"/>
    <col min="12553" max="12553" width="18.7109375" customWidth="1"/>
    <col min="12554" max="12554" width="13.7109375" customWidth="1"/>
    <col min="12555" max="12555" width="15.42578125" bestFit="1" customWidth="1"/>
    <col min="12556" max="12557" width="15.5703125" bestFit="1" customWidth="1"/>
    <col min="12558" max="12558" width="16.7109375" bestFit="1" customWidth="1"/>
    <col min="12559" max="12560" width="15.5703125" bestFit="1" customWidth="1"/>
    <col min="12561" max="12561" width="16.42578125" bestFit="1"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4" bestFit="1" customWidth="1"/>
    <col min="12799" max="12799" width="45.7109375" bestFit="1" customWidth="1"/>
    <col min="12800" max="12800" width="34" bestFit="1" customWidth="1"/>
    <col min="12801" max="12801" width="13.5703125" bestFit="1" customWidth="1"/>
    <col min="12802" max="12802" width="46.5703125" bestFit="1" customWidth="1"/>
    <col min="12803" max="12803" width="13.42578125" customWidth="1"/>
    <col min="12804" max="12804" width="15.28515625" bestFit="1" customWidth="1"/>
    <col min="12805" max="12805" width="14.140625" bestFit="1" customWidth="1"/>
    <col min="12806" max="12806" width="12" bestFit="1" customWidth="1"/>
    <col min="12807" max="12807" width="16.7109375" bestFit="1" customWidth="1"/>
    <col min="12808" max="12808" width="17" bestFit="1" customWidth="1"/>
    <col min="12809" max="12809" width="18.7109375" customWidth="1"/>
    <col min="12810" max="12810" width="13.7109375" customWidth="1"/>
    <col min="12811" max="12811" width="15.42578125" bestFit="1" customWidth="1"/>
    <col min="12812" max="12813" width="15.5703125" bestFit="1" customWidth="1"/>
    <col min="12814" max="12814" width="16.7109375" bestFit="1" customWidth="1"/>
    <col min="12815" max="12816" width="15.5703125" bestFit="1" customWidth="1"/>
    <col min="12817" max="12817" width="16.42578125" bestFit="1"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4" bestFit="1" customWidth="1"/>
    <col min="13055" max="13055" width="45.7109375" bestFit="1" customWidth="1"/>
    <col min="13056" max="13056" width="34" bestFit="1" customWidth="1"/>
    <col min="13057" max="13057" width="13.5703125" bestFit="1" customWidth="1"/>
    <col min="13058" max="13058" width="46.5703125" bestFit="1" customWidth="1"/>
    <col min="13059" max="13059" width="13.42578125" customWidth="1"/>
    <col min="13060" max="13060" width="15.28515625" bestFit="1" customWidth="1"/>
    <col min="13061" max="13061" width="14.140625" bestFit="1" customWidth="1"/>
    <col min="13062" max="13062" width="12" bestFit="1" customWidth="1"/>
    <col min="13063" max="13063" width="16.7109375" bestFit="1" customWidth="1"/>
    <col min="13064" max="13064" width="17" bestFit="1" customWidth="1"/>
    <col min="13065" max="13065" width="18.7109375" customWidth="1"/>
    <col min="13066" max="13066" width="13.7109375" customWidth="1"/>
    <col min="13067" max="13067" width="15.42578125" bestFit="1" customWidth="1"/>
    <col min="13068" max="13069" width="15.5703125" bestFit="1" customWidth="1"/>
    <col min="13070" max="13070" width="16.7109375" bestFit="1" customWidth="1"/>
    <col min="13071" max="13072" width="15.5703125" bestFit="1" customWidth="1"/>
    <col min="13073" max="13073" width="16.42578125" bestFit="1"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4" bestFit="1" customWidth="1"/>
    <col min="13311" max="13311" width="45.7109375" bestFit="1" customWidth="1"/>
    <col min="13312" max="13312" width="34" bestFit="1" customWidth="1"/>
    <col min="13313" max="13313" width="13.5703125" bestFit="1" customWidth="1"/>
    <col min="13314" max="13314" width="46.5703125" bestFit="1" customWidth="1"/>
    <col min="13315" max="13315" width="13.42578125" customWidth="1"/>
    <col min="13316" max="13316" width="15.28515625" bestFit="1" customWidth="1"/>
    <col min="13317" max="13317" width="14.140625" bestFit="1" customWidth="1"/>
    <col min="13318" max="13318" width="12" bestFit="1" customWidth="1"/>
    <col min="13319" max="13319" width="16.7109375" bestFit="1" customWidth="1"/>
    <col min="13320" max="13320" width="17" bestFit="1" customWidth="1"/>
    <col min="13321" max="13321" width="18.7109375" customWidth="1"/>
    <col min="13322" max="13322" width="13.7109375" customWidth="1"/>
    <col min="13323" max="13323" width="15.42578125" bestFit="1" customWidth="1"/>
    <col min="13324" max="13325" width="15.5703125" bestFit="1" customWidth="1"/>
    <col min="13326" max="13326" width="16.7109375" bestFit="1" customWidth="1"/>
    <col min="13327" max="13328" width="15.5703125" bestFit="1" customWidth="1"/>
    <col min="13329" max="13329" width="16.42578125" bestFit="1"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4" bestFit="1" customWidth="1"/>
    <col min="13567" max="13567" width="45.7109375" bestFit="1" customWidth="1"/>
    <col min="13568" max="13568" width="34" bestFit="1" customWidth="1"/>
    <col min="13569" max="13569" width="13.5703125" bestFit="1" customWidth="1"/>
    <col min="13570" max="13570" width="46.5703125" bestFit="1" customWidth="1"/>
    <col min="13571" max="13571" width="13.42578125" customWidth="1"/>
    <col min="13572" max="13572" width="15.28515625" bestFit="1" customWidth="1"/>
    <col min="13573" max="13573" width="14.140625" bestFit="1" customWidth="1"/>
    <col min="13574" max="13574" width="12" bestFit="1" customWidth="1"/>
    <col min="13575" max="13575" width="16.7109375" bestFit="1" customWidth="1"/>
    <col min="13576" max="13576" width="17" bestFit="1" customWidth="1"/>
    <col min="13577" max="13577" width="18.7109375" customWidth="1"/>
    <col min="13578" max="13578" width="13.7109375" customWidth="1"/>
    <col min="13579" max="13579" width="15.42578125" bestFit="1" customWidth="1"/>
    <col min="13580" max="13581" width="15.5703125" bestFit="1" customWidth="1"/>
    <col min="13582" max="13582" width="16.7109375" bestFit="1" customWidth="1"/>
    <col min="13583" max="13584" width="15.5703125" bestFit="1" customWidth="1"/>
    <col min="13585" max="13585" width="16.42578125" bestFit="1"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4" bestFit="1" customWidth="1"/>
    <col min="13823" max="13823" width="45.7109375" bestFit="1" customWidth="1"/>
    <col min="13824" max="13824" width="34" bestFit="1" customWidth="1"/>
    <col min="13825" max="13825" width="13.5703125" bestFit="1" customWidth="1"/>
    <col min="13826" max="13826" width="46.5703125" bestFit="1" customWidth="1"/>
    <col min="13827" max="13827" width="13.42578125" customWidth="1"/>
    <col min="13828" max="13828" width="15.28515625" bestFit="1" customWidth="1"/>
    <col min="13829" max="13829" width="14.140625" bestFit="1" customWidth="1"/>
    <col min="13830" max="13830" width="12" bestFit="1" customWidth="1"/>
    <col min="13831" max="13831" width="16.7109375" bestFit="1" customWidth="1"/>
    <col min="13832" max="13832" width="17" bestFit="1" customWidth="1"/>
    <col min="13833" max="13833" width="18.7109375" customWidth="1"/>
    <col min="13834" max="13834" width="13.7109375" customWidth="1"/>
    <col min="13835" max="13835" width="15.42578125" bestFit="1" customWidth="1"/>
    <col min="13836" max="13837" width="15.5703125" bestFit="1" customWidth="1"/>
    <col min="13838" max="13838" width="16.7109375" bestFit="1" customWidth="1"/>
    <col min="13839" max="13840" width="15.5703125" bestFit="1" customWidth="1"/>
    <col min="13841" max="13841" width="16.42578125" bestFit="1"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4" bestFit="1" customWidth="1"/>
    <col min="14079" max="14079" width="45.7109375" bestFit="1" customWidth="1"/>
    <col min="14080" max="14080" width="34" bestFit="1" customWidth="1"/>
    <col min="14081" max="14081" width="13.5703125" bestFit="1" customWidth="1"/>
    <col min="14082" max="14082" width="46.5703125" bestFit="1" customWidth="1"/>
    <col min="14083" max="14083" width="13.42578125" customWidth="1"/>
    <col min="14084" max="14084" width="15.28515625" bestFit="1" customWidth="1"/>
    <col min="14085" max="14085" width="14.140625" bestFit="1" customWidth="1"/>
    <col min="14086" max="14086" width="12" bestFit="1" customWidth="1"/>
    <col min="14087" max="14087" width="16.7109375" bestFit="1" customWidth="1"/>
    <col min="14088" max="14088" width="17" bestFit="1" customWidth="1"/>
    <col min="14089" max="14089" width="18.7109375" customWidth="1"/>
    <col min="14090" max="14090" width="13.7109375" customWidth="1"/>
    <col min="14091" max="14091" width="15.42578125" bestFit="1" customWidth="1"/>
    <col min="14092" max="14093" width="15.5703125" bestFit="1" customWidth="1"/>
    <col min="14094" max="14094" width="16.7109375" bestFit="1" customWidth="1"/>
    <col min="14095" max="14096" width="15.5703125" bestFit="1" customWidth="1"/>
    <col min="14097" max="14097" width="16.42578125" bestFit="1"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4" bestFit="1" customWidth="1"/>
    <col min="14335" max="14335" width="45.7109375" bestFit="1" customWidth="1"/>
    <col min="14336" max="14336" width="34" bestFit="1" customWidth="1"/>
    <col min="14337" max="14337" width="13.5703125" bestFit="1" customWidth="1"/>
    <col min="14338" max="14338" width="46.5703125" bestFit="1" customWidth="1"/>
    <col min="14339" max="14339" width="13.42578125" customWidth="1"/>
    <col min="14340" max="14340" width="15.28515625" bestFit="1" customWidth="1"/>
    <col min="14341" max="14341" width="14.140625" bestFit="1" customWidth="1"/>
    <col min="14342" max="14342" width="12" bestFit="1" customWidth="1"/>
    <col min="14343" max="14343" width="16.7109375" bestFit="1" customWidth="1"/>
    <col min="14344" max="14344" width="17" bestFit="1" customWidth="1"/>
    <col min="14345" max="14345" width="18.7109375" customWidth="1"/>
    <col min="14346" max="14346" width="13.7109375" customWidth="1"/>
    <col min="14347" max="14347" width="15.42578125" bestFit="1" customWidth="1"/>
    <col min="14348" max="14349" width="15.5703125" bestFit="1" customWidth="1"/>
    <col min="14350" max="14350" width="16.7109375" bestFit="1" customWidth="1"/>
    <col min="14351" max="14352" width="15.5703125" bestFit="1" customWidth="1"/>
    <col min="14353" max="14353" width="16.42578125" bestFit="1"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4" bestFit="1" customWidth="1"/>
    <col min="14591" max="14591" width="45.7109375" bestFit="1" customWidth="1"/>
    <col min="14592" max="14592" width="34" bestFit="1" customWidth="1"/>
    <col min="14593" max="14593" width="13.5703125" bestFit="1" customWidth="1"/>
    <col min="14594" max="14594" width="46.5703125" bestFit="1" customWidth="1"/>
    <col min="14595" max="14595" width="13.42578125" customWidth="1"/>
    <col min="14596" max="14596" width="15.28515625" bestFit="1" customWidth="1"/>
    <col min="14597" max="14597" width="14.140625" bestFit="1" customWidth="1"/>
    <col min="14598" max="14598" width="12" bestFit="1" customWidth="1"/>
    <col min="14599" max="14599" width="16.7109375" bestFit="1" customWidth="1"/>
    <col min="14600" max="14600" width="17" bestFit="1" customWidth="1"/>
    <col min="14601" max="14601" width="18.7109375" customWidth="1"/>
    <col min="14602" max="14602" width="13.7109375" customWidth="1"/>
    <col min="14603" max="14603" width="15.42578125" bestFit="1" customWidth="1"/>
    <col min="14604" max="14605" width="15.5703125" bestFit="1" customWidth="1"/>
    <col min="14606" max="14606" width="16.7109375" bestFit="1" customWidth="1"/>
    <col min="14607" max="14608" width="15.5703125" bestFit="1" customWidth="1"/>
    <col min="14609" max="14609" width="16.42578125" bestFit="1"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4" bestFit="1" customWidth="1"/>
    <col min="14847" max="14847" width="45.7109375" bestFit="1" customWidth="1"/>
    <col min="14848" max="14848" width="34" bestFit="1" customWidth="1"/>
    <col min="14849" max="14849" width="13.5703125" bestFit="1" customWidth="1"/>
    <col min="14850" max="14850" width="46.5703125" bestFit="1" customWidth="1"/>
    <col min="14851" max="14851" width="13.42578125" customWidth="1"/>
    <col min="14852" max="14852" width="15.28515625" bestFit="1" customWidth="1"/>
    <col min="14853" max="14853" width="14.140625" bestFit="1" customWidth="1"/>
    <col min="14854" max="14854" width="12" bestFit="1" customWidth="1"/>
    <col min="14855" max="14855" width="16.7109375" bestFit="1" customWidth="1"/>
    <col min="14856" max="14856" width="17" bestFit="1" customWidth="1"/>
    <col min="14857" max="14857" width="18.7109375" customWidth="1"/>
    <col min="14858" max="14858" width="13.7109375" customWidth="1"/>
    <col min="14859" max="14859" width="15.42578125" bestFit="1" customWidth="1"/>
    <col min="14860" max="14861" width="15.5703125" bestFit="1" customWidth="1"/>
    <col min="14862" max="14862" width="16.7109375" bestFit="1" customWidth="1"/>
    <col min="14863" max="14864" width="15.5703125" bestFit="1" customWidth="1"/>
    <col min="14865" max="14865" width="16.42578125" bestFit="1"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4" bestFit="1" customWidth="1"/>
    <col min="15103" max="15103" width="45.7109375" bestFit="1" customWidth="1"/>
    <col min="15104" max="15104" width="34" bestFit="1" customWidth="1"/>
    <col min="15105" max="15105" width="13.5703125" bestFit="1" customWidth="1"/>
    <col min="15106" max="15106" width="46.5703125" bestFit="1" customWidth="1"/>
    <col min="15107" max="15107" width="13.42578125" customWidth="1"/>
    <col min="15108" max="15108" width="15.28515625" bestFit="1" customWidth="1"/>
    <col min="15109" max="15109" width="14.140625" bestFit="1" customWidth="1"/>
    <col min="15110" max="15110" width="12" bestFit="1" customWidth="1"/>
    <col min="15111" max="15111" width="16.7109375" bestFit="1" customWidth="1"/>
    <col min="15112" max="15112" width="17" bestFit="1" customWidth="1"/>
    <col min="15113" max="15113" width="18.7109375" customWidth="1"/>
    <col min="15114" max="15114" width="13.7109375" customWidth="1"/>
    <col min="15115" max="15115" width="15.42578125" bestFit="1" customWidth="1"/>
    <col min="15116" max="15117" width="15.5703125" bestFit="1" customWidth="1"/>
    <col min="15118" max="15118" width="16.7109375" bestFit="1" customWidth="1"/>
    <col min="15119" max="15120" width="15.5703125" bestFit="1" customWidth="1"/>
    <col min="15121" max="15121" width="16.42578125" bestFit="1"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4" bestFit="1" customWidth="1"/>
    <col min="15359" max="15359" width="45.7109375" bestFit="1" customWidth="1"/>
    <col min="15360" max="15360" width="34" bestFit="1" customWidth="1"/>
    <col min="15361" max="15361" width="13.5703125" bestFit="1" customWidth="1"/>
    <col min="15362" max="15362" width="46.5703125" bestFit="1" customWidth="1"/>
    <col min="15363" max="15363" width="13.42578125" customWidth="1"/>
    <col min="15364" max="15364" width="15.28515625" bestFit="1" customWidth="1"/>
    <col min="15365" max="15365" width="14.140625" bestFit="1" customWidth="1"/>
    <col min="15366" max="15366" width="12" bestFit="1" customWidth="1"/>
    <col min="15367" max="15367" width="16.7109375" bestFit="1" customWidth="1"/>
    <col min="15368" max="15368" width="17" bestFit="1" customWidth="1"/>
    <col min="15369" max="15369" width="18.7109375" customWidth="1"/>
    <col min="15370" max="15370" width="13.7109375" customWidth="1"/>
    <col min="15371" max="15371" width="15.42578125" bestFit="1" customWidth="1"/>
    <col min="15372" max="15373" width="15.5703125" bestFit="1" customWidth="1"/>
    <col min="15374" max="15374" width="16.7109375" bestFit="1" customWidth="1"/>
    <col min="15375" max="15376" width="15.5703125" bestFit="1" customWidth="1"/>
    <col min="15377" max="15377" width="16.42578125" bestFit="1"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4" bestFit="1" customWidth="1"/>
    <col min="15615" max="15615" width="45.7109375" bestFit="1" customWidth="1"/>
    <col min="15616" max="15616" width="34" bestFit="1" customWidth="1"/>
    <col min="15617" max="15617" width="13.5703125" bestFit="1" customWidth="1"/>
    <col min="15618" max="15618" width="46.5703125" bestFit="1" customWidth="1"/>
    <col min="15619" max="15619" width="13.42578125" customWidth="1"/>
    <col min="15620" max="15620" width="15.28515625" bestFit="1" customWidth="1"/>
    <col min="15621" max="15621" width="14.140625" bestFit="1" customWidth="1"/>
    <col min="15622" max="15622" width="12" bestFit="1" customWidth="1"/>
    <col min="15623" max="15623" width="16.7109375" bestFit="1" customWidth="1"/>
    <col min="15624" max="15624" width="17" bestFit="1" customWidth="1"/>
    <col min="15625" max="15625" width="18.7109375" customWidth="1"/>
    <col min="15626" max="15626" width="13.7109375" customWidth="1"/>
    <col min="15627" max="15627" width="15.42578125" bestFit="1" customWidth="1"/>
    <col min="15628" max="15629" width="15.5703125" bestFit="1" customWidth="1"/>
    <col min="15630" max="15630" width="16.7109375" bestFit="1" customWidth="1"/>
    <col min="15631" max="15632" width="15.5703125" bestFit="1" customWidth="1"/>
    <col min="15633" max="15633" width="16.42578125" bestFit="1"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4" bestFit="1" customWidth="1"/>
    <col min="15871" max="15871" width="45.7109375" bestFit="1" customWidth="1"/>
    <col min="15872" max="15872" width="34" bestFit="1" customWidth="1"/>
    <col min="15873" max="15873" width="13.5703125" bestFit="1" customWidth="1"/>
    <col min="15874" max="15874" width="46.5703125" bestFit="1" customWidth="1"/>
    <col min="15875" max="15875" width="13.42578125" customWidth="1"/>
    <col min="15876" max="15876" width="15.28515625" bestFit="1" customWidth="1"/>
    <col min="15877" max="15877" width="14.140625" bestFit="1" customWidth="1"/>
    <col min="15878" max="15878" width="12" bestFit="1" customWidth="1"/>
    <col min="15879" max="15879" width="16.7109375" bestFit="1" customWidth="1"/>
    <col min="15880" max="15880" width="17" bestFit="1" customWidth="1"/>
    <col min="15881" max="15881" width="18.7109375" customWidth="1"/>
    <col min="15882" max="15882" width="13.7109375" customWidth="1"/>
    <col min="15883" max="15883" width="15.42578125" bestFit="1" customWidth="1"/>
    <col min="15884" max="15885" width="15.5703125" bestFit="1" customWidth="1"/>
    <col min="15886" max="15886" width="16.7109375" bestFit="1" customWidth="1"/>
    <col min="15887" max="15888" width="15.5703125" bestFit="1" customWidth="1"/>
    <col min="15889" max="15889" width="16.42578125" bestFit="1"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4" bestFit="1" customWidth="1"/>
    <col min="16127" max="16127" width="45.7109375" bestFit="1" customWidth="1"/>
    <col min="16128" max="16128" width="34" bestFit="1" customWidth="1"/>
    <col min="16129" max="16129" width="13.5703125" bestFit="1" customWidth="1"/>
    <col min="16130" max="16130" width="46.5703125" bestFit="1" customWidth="1"/>
    <col min="16131" max="16131" width="13.42578125" customWidth="1"/>
    <col min="16132" max="16132" width="15.28515625" bestFit="1" customWidth="1"/>
    <col min="16133" max="16133" width="14.140625" bestFit="1" customWidth="1"/>
    <col min="16134" max="16134" width="12" bestFit="1" customWidth="1"/>
    <col min="16135" max="16135" width="16.7109375" bestFit="1" customWidth="1"/>
    <col min="16136" max="16136" width="17" bestFit="1" customWidth="1"/>
    <col min="16137" max="16137" width="18.7109375" customWidth="1"/>
    <col min="16138" max="16138" width="13.7109375" customWidth="1"/>
    <col min="16139" max="16139" width="15.42578125" bestFit="1" customWidth="1"/>
    <col min="16140" max="16141" width="15.5703125" bestFit="1" customWidth="1"/>
    <col min="16142" max="16142" width="16.7109375" bestFit="1" customWidth="1"/>
    <col min="16143" max="16144" width="15.5703125" bestFit="1" customWidth="1"/>
    <col min="16145" max="16145" width="16.42578125" bestFit="1"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5.5" customHeight="1" thickBot="1">
      <c r="A1" s="1652"/>
      <c r="C1" s="1401" t="s">
        <v>165</v>
      </c>
      <c r="D1" s="1361" t="s">
        <v>281</v>
      </c>
      <c r="E1" s="1401" t="s">
        <v>5</v>
      </c>
      <c r="F1" s="1401">
        <v>18230611</v>
      </c>
      <c r="G1" s="1401" t="s">
        <v>4</v>
      </c>
      <c r="J1" s="1361"/>
      <c r="K1" s="1361"/>
      <c r="L1" s="1401" t="s">
        <v>165</v>
      </c>
      <c r="M1" s="1361" t="s">
        <v>281</v>
      </c>
      <c r="N1" s="1401" t="s">
        <v>5</v>
      </c>
      <c r="O1" s="1401">
        <v>18230611</v>
      </c>
      <c r="P1" s="1401" t="s">
        <v>4</v>
      </c>
      <c r="T1" s="1401" t="s">
        <v>165</v>
      </c>
      <c r="U1" s="1361" t="s">
        <v>281</v>
      </c>
      <c r="V1" s="1401" t="s">
        <v>5</v>
      </c>
      <c r="W1" s="1401">
        <v>18230611</v>
      </c>
      <c r="X1" s="1401" t="s">
        <v>4</v>
      </c>
    </row>
    <row r="2" spans="1:31" ht="16.5" thickBot="1">
      <c r="A2" s="1652"/>
      <c r="C2" s="44"/>
      <c r="D2" s="45"/>
      <c r="G2" s="1652"/>
      <c r="I2" s="2612" t="s">
        <v>627</v>
      </c>
      <c r="J2" s="1737"/>
      <c r="K2" s="1737"/>
      <c r="L2" s="1737"/>
      <c r="M2" s="1737"/>
      <c r="N2" s="1737"/>
      <c r="O2" s="1737"/>
      <c r="P2" s="1737"/>
      <c r="Q2" s="1737"/>
      <c r="R2" s="1737"/>
      <c r="S2" s="3570"/>
      <c r="T2" s="3570"/>
      <c r="U2" s="3571" t="s">
        <v>33</v>
      </c>
      <c r="V2" s="3572"/>
      <c r="W2" s="3573"/>
      <c r="X2" s="3568" t="s">
        <v>34</v>
      </c>
      <c r="Z2"/>
      <c r="AE2" s="1652"/>
    </row>
    <row r="3" spans="1:31" ht="26.25" thickBot="1">
      <c r="A3" s="1401" t="s">
        <v>165</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E3" s="1652"/>
    </row>
    <row r="4" spans="1:31" ht="16.5" thickBot="1">
      <c r="A4" s="1357" t="s">
        <v>281</v>
      </c>
      <c r="C4" s="44"/>
      <c r="F4" s="2945"/>
      <c r="G4" s="2945"/>
      <c r="H4" s="2946" t="s">
        <v>1726</v>
      </c>
      <c r="I4" s="2947">
        <f>D15</f>
        <v>127736.469</v>
      </c>
      <c r="J4" s="2948">
        <f>D27</f>
        <v>14400</v>
      </c>
      <c r="K4" s="2948">
        <f>D33</f>
        <v>94805.024823</v>
      </c>
      <c r="L4" s="2948">
        <f>D43</f>
        <v>45000</v>
      </c>
      <c r="M4" s="2948">
        <f>D49</f>
        <v>4000</v>
      </c>
      <c r="N4" s="2948">
        <f>D55</f>
        <v>25000</v>
      </c>
      <c r="O4" s="2948">
        <f>D61</f>
        <v>1000</v>
      </c>
      <c r="P4" s="2948">
        <f>D67</f>
        <v>1000</v>
      </c>
      <c r="Q4" s="2948">
        <f>D21+D73</f>
        <v>3073684.0324999997</v>
      </c>
      <c r="R4" s="2948">
        <f>D76</f>
        <v>0</v>
      </c>
      <c r="S4" s="2949">
        <f>SUM(I4:R4)</f>
        <v>3386625.526323</v>
      </c>
      <c r="T4" s="2950">
        <f>T15</f>
        <v>1560346.06</v>
      </c>
      <c r="U4" s="2951">
        <f>Q4/S4</f>
        <v>0.90759489309029873</v>
      </c>
      <c r="V4" s="2951">
        <f>(L4+(J4*1.63))/S4</f>
        <v>2.0218355843535762E-2</v>
      </c>
      <c r="W4" s="2951">
        <f>N4/S4</f>
        <v>7.3819794381410507E-3</v>
      </c>
      <c r="X4" s="2952">
        <f>S4/T4</f>
        <v>2.1704323246876402</v>
      </c>
      <c r="Z4"/>
      <c r="AE4" s="1652"/>
    </row>
    <row r="5" spans="1:31" ht="16.5" thickBot="1">
      <c r="A5" s="1400" t="s">
        <v>5</v>
      </c>
      <c r="B5" s="1357"/>
      <c r="C5" s="45"/>
      <c r="G5" s="1652"/>
      <c r="H5" s="3205" t="s">
        <v>1753</v>
      </c>
      <c r="I5" s="2617">
        <v>130929.68</v>
      </c>
      <c r="J5" s="2618">
        <v>14400</v>
      </c>
      <c r="K5" s="2618">
        <v>98824.182400000005</v>
      </c>
      <c r="L5" s="2618">
        <v>45000</v>
      </c>
      <c r="M5" s="2618">
        <v>4000</v>
      </c>
      <c r="N5" s="2618">
        <v>6500</v>
      </c>
      <c r="O5" s="2618">
        <v>1000</v>
      </c>
      <c r="P5" s="2618">
        <v>1000</v>
      </c>
      <c r="Q5" s="2618">
        <v>3073684.0324999997</v>
      </c>
      <c r="R5" s="2618">
        <v>0</v>
      </c>
      <c r="S5" s="2619">
        <v>3375337.8948999997</v>
      </c>
      <c r="T5" s="2620">
        <v>1560346.06</v>
      </c>
      <c r="U5" s="2614">
        <f>Q5/S5</f>
        <v>0.91063002526183023</v>
      </c>
      <c r="V5" s="2614">
        <f>(L5+(J5*1.63))/S5</f>
        <v>2.0285969029488409E-2</v>
      </c>
      <c r="W5" s="2614">
        <f>N5/S5</f>
        <v>1.9257331272881566E-3</v>
      </c>
      <c r="X5" s="1183">
        <f>S5/T5</f>
        <v>2.1631982682738977</v>
      </c>
      <c r="Z5"/>
      <c r="AE5" s="1652"/>
    </row>
    <row r="6" spans="1:31" ht="16.5" thickBot="1">
      <c r="A6" s="1400">
        <v>18230611</v>
      </c>
      <c r="B6" s="1400"/>
      <c r="D6" s="44"/>
      <c r="G6" s="1652"/>
      <c r="H6" s="3206" t="s">
        <v>1754</v>
      </c>
      <c r="I6" s="2621">
        <f>E15</f>
        <v>100686.25</v>
      </c>
      <c r="J6" s="2622">
        <f>E27</f>
        <v>14400</v>
      </c>
      <c r="K6" s="2623">
        <f>E33</f>
        <v>103347.4525</v>
      </c>
      <c r="L6" s="2622">
        <f>E43</f>
        <v>45000</v>
      </c>
      <c r="M6" s="2622">
        <f>E49</f>
        <v>4000</v>
      </c>
      <c r="N6" s="2622">
        <f>E55</f>
        <v>6500</v>
      </c>
      <c r="O6" s="2622">
        <f>E61</f>
        <v>1000</v>
      </c>
      <c r="P6" s="2622">
        <f>E67</f>
        <v>1000</v>
      </c>
      <c r="Q6" s="2622">
        <f>E73+E21</f>
        <v>3459494.2250000001</v>
      </c>
      <c r="R6" s="2622">
        <f>E76</f>
        <v>0</v>
      </c>
      <c r="S6" s="2624">
        <f>SUM(I6:R6)</f>
        <v>3735427.9275000002</v>
      </c>
      <c r="T6" s="2625">
        <f>U15</f>
        <v>1835728.31</v>
      </c>
      <c r="U6" s="2615">
        <f>Q6/S6</f>
        <v>0.9261306313880151</v>
      </c>
      <c r="V6" s="2615">
        <f>(L6+(J6*1.63))/S6</f>
        <v>1.833042996116005E-2</v>
      </c>
      <c r="W6" s="2615">
        <f>N6/S6</f>
        <v>1.7400951446947706E-3</v>
      </c>
      <c r="X6" s="2616">
        <f>S6/T6</f>
        <v>2.0348479168466929</v>
      </c>
      <c r="Z6"/>
      <c r="AE6" s="1652"/>
    </row>
    <row r="7" spans="1:31" ht="15.75">
      <c r="A7" s="1400" t="s">
        <v>4</v>
      </c>
      <c r="B7" s="1357"/>
      <c r="D7" s="51"/>
      <c r="G7" s="2611"/>
      <c r="H7" s="1551"/>
      <c r="I7" s="1551"/>
      <c r="J7" s="1551"/>
      <c r="K7" s="1551"/>
      <c r="L7" s="1551"/>
      <c r="M7" s="1551"/>
      <c r="N7" s="1551"/>
      <c r="O7" s="1551"/>
      <c r="P7" s="1551"/>
      <c r="Q7" s="1551"/>
      <c r="R7" s="1551"/>
      <c r="S7" s="1552"/>
      <c r="T7" s="2609"/>
      <c r="U7" s="2609"/>
      <c r="V7" s="2609"/>
      <c r="W7" s="2610"/>
    </row>
    <row r="8" spans="1:31">
      <c r="B8" s="1400"/>
    </row>
    <row r="9" spans="1:31" ht="16.149999999999999" customHeight="1">
      <c r="A9" s="1357"/>
      <c r="B9" s="1357"/>
      <c r="C9" s="2394" t="s">
        <v>1564</v>
      </c>
      <c r="D9" s="1455"/>
      <c r="E9" s="1455"/>
      <c r="F9" s="1196"/>
      <c r="I9" s="3003" t="s">
        <v>1730</v>
      </c>
      <c r="Q9" s="3003" t="s">
        <v>1729</v>
      </c>
      <c r="T9" s="3003" t="s">
        <v>1729</v>
      </c>
      <c r="W9" s="3003" t="s">
        <v>1729</v>
      </c>
    </row>
    <row r="10" spans="1:3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465"/>
      <c r="AA10" s="1465"/>
      <c r="AB10" s="1465"/>
      <c r="AC10" s="1465"/>
      <c r="AD10" s="1465"/>
      <c r="AE10" s="1905" t="s">
        <v>300</v>
      </c>
    </row>
    <row r="11" spans="1:31">
      <c r="A11" s="1357"/>
      <c r="B11" s="1357"/>
      <c r="H11" s="1456"/>
      <c r="I11" s="1457"/>
      <c r="J11" s="1457"/>
      <c r="K11" s="1456"/>
      <c r="L11" s="1456"/>
      <c r="M11" s="1456"/>
      <c r="N11" s="1456"/>
      <c r="O11" s="1456"/>
      <c r="P11" s="1456"/>
      <c r="Q11" s="1456"/>
      <c r="R11" s="1456"/>
      <c r="S11" s="1456"/>
      <c r="T11" s="1456"/>
      <c r="U11" s="1456"/>
      <c r="V11" s="1456"/>
      <c r="W11" s="1456"/>
      <c r="X11" s="1456"/>
      <c r="Y11" s="1456"/>
      <c r="Z11" s="1456"/>
      <c r="AA11" s="1456"/>
      <c r="AB11" s="1456"/>
      <c r="AC11" s="1456"/>
      <c r="AD11" s="1456"/>
      <c r="AE11" s="1456"/>
    </row>
    <row r="12" spans="1:31" s="1413" customFormat="1">
      <c r="A12" s="1357"/>
      <c r="B12" s="1357"/>
      <c r="C12" s="1434" t="s">
        <v>298</v>
      </c>
      <c r="D12" s="2766">
        <f>D15+D21+D27+D33+D43+D49+D55+D61+D67+D73</f>
        <v>3386625.526323</v>
      </c>
      <c r="E12" s="1484">
        <f>E15++E21+E27+E33+E43+E49+E55+E61+E67+E73</f>
        <v>3735427.9275000002</v>
      </c>
      <c r="F12" s="1441">
        <f>D12+E12</f>
        <v>7122053.4538230002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6" t="s">
        <v>546</v>
      </c>
      <c r="AA12" s="3566"/>
      <c r="AB12" s="3566"/>
      <c r="AC12" s="3566"/>
      <c r="AD12" s="3566"/>
      <c r="AE12" s="3567" t="s">
        <v>998</v>
      </c>
    </row>
    <row r="13" spans="1:31" s="1413" customFormat="1">
      <c r="A13" s="1357"/>
      <c r="B13" s="135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1894" t="s">
        <v>547</v>
      </c>
      <c r="AA13" s="1894" t="s">
        <v>548</v>
      </c>
      <c r="AB13" s="1894" t="s">
        <v>548</v>
      </c>
      <c r="AC13" s="1894" t="s">
        <v>548</v>
      </c>
      <c r="AD13" s="1894" t="s">
        <v>549</v>
      </c>
      <c r="AE13" s="3567"/>
    </row>
    <row r="14" spans="1:31" s="1413" customFormat="1" ht="15.75">
      <c r="A14" s="1357"/>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890" t="s">
        <v>307</v>
      </c>
      <c r="AA14" s="1894" t="s">
        <v>550</v>
      </c>
      <c r="AB14" s="1894" t="s">
        <v>551</v>
      </c>
      <c r="AC14" s="1894" t="s">
        <v>306</v>
      </c>
      <c r="AD14" s="1890" t="s">
        <v>307</v>
      </c>
      <c r="AE14" s="1458" t="s">
        <v>307</v>
      </c>
    </row>
    <row r="15" spans="1:31">
      <c r="B15" s="1433" t="s">
        <v>296</v>
      </c>
      <c r="C15" s="1451" t="s">
        <v>1749</v>
      </c>
      <c r="D15" s="2771">
        <f>SUM(D16:D19)</f>
        <v>127736.469</v>
      </c>
      <c r="E15" s="1464">
        <f>SUM(E16:E19)</f>
        <v>100686.25</v>
      </c>
      <c r="F15" s="1462">
        <f>D15+E15</f>
        <v>228422.71899999998</v>
      </c>
      <c r="G15" s="1487"/>
      <c r="H15" s="1475" t="s">
        <v>308</v>
      </c>
      <c r="I15" s="1476"/>
      <c r="J15" s="1476"/>
      <c r="K15" s="1477"/>
      <c r="L15" s="2397">
        <f>SUMPRODUCT(L16:L115,S16:S115)</f>
        <v>5834162.1274999985</v>
      </c>
      <c r="M15" s="2397">
        <f>SUM(M16:M114)</f>
        <v>2971853.5600000005</v>
      </c>
      <c r="N15" s="1479" t="s">
        <v>229</v>
      </c>
      <c r="O15" s="1477" t="s">
        <v>309</v>
      </c>
      <c r="P15" s="1477"/>
      <c r="Q15" s="3225"/>
      <c r="R15" s="1477"/>
      <c r="S15" s="1477"/>
      <c r="T15" s="2983">
        <f>SUM(T17:T115)</f>
        <v>1560346.06</v>
      </c>
      <c r="U15" s="1480">
        <f>SUM(U17:U115)</f>
        <v>1835728.31</v>
      </c>
      <c r="V15" s="1480">
        <f>SUM(V17:V115)</f>
        <v>3396074.37</v>
      </c>
      <c r="W15" s="2987">
        <v>2561403.3624999998</v>
      </c>
      <c r="X15" s="1478">
        <f>SUM(X17:X115)</f>
        <v>2869803.835</v>
      </c>
      <c r="Y15" s="1478">
        <f>SUM(Y17:Y115)</f>
        <v>5431207.1974999998</v>
      </c>
      <c r="Z15" s="1893"/>
      <c r="AA15" s="1893">
        <f>SUM(AA16:AA114)</f>
        <v>1101957.5575000001</v>
      </c>
      <c r="AB15" s="1893">
        <f>SUM(AB16:AB115)</f>
        <v>597402.12760338781</v>
      </c>
      <c r="AC15" s="1893">
        <f>SUM(AC16:AC115)</f>
        <v>1699373.1851033876</v>
      </c>
      <c r="AD15" s="1893">
        <v>0</v>
      </c>
      <c r="AE15" s="1481">
        <v>0</v>
      </c>
    </row>
    <row r="16" spans="1:31">
      <c r="B16" s="1432">
        <v>0.9</v>
      </c>
      <c r="C16" s="1875" t="s">
        <v>735</v>
      </c>
      <c r="D16" s="2944">
        <f>B16*98638.2</f>
        <v>88774.38</v>
      </c>
      <c r="E16" s="2140">
        <v>69975</v>
      </c>
      <c r="F16" s="1426">
        <f>E16+D16</f>
        <v>158749.38</v>
      </c>
      <c r="H16" s="1876" t="s">
        <v>896</v>
      </c>
      <c r="I16" s="1877">
        <v>0</v>
      </c>
      <c r="J16" s="1878" t="s">
        <v>110</v>
      </c>
      <c r="K16" s="1880" t="s">
        <v>991</v>
      </c>
      <c r="L16" s="1882"/>
      <c r="M16" s="1882"/>
      <c r="N16" s="1461"/>
      <c r="O16" s="1885"/>
      <c r="P16" s="1885" t="s">
        <v>995</v>
      </c>
      <c r="Q16" s="3226"/>
      <c r="R16" s="1885"/>
      <c r="S16" s="1885"/>
      <c r="T16" s="2984" t="s">
        <v>229</v>
      </c>
      <c r="U16" s="1887" t="s">
        <v>229</v>
      </c>
      <c r="V16" s="1887" t="s">
        <v>229</v>
      </c>
      <c r="W16" s="2988" t="s">
        <v>229</v>
      </c>
      <c r="X16" s="1889" t="s">
        <v>229</v>
      </c>
      <c r="Y16" s="1889" t="s">
        <v>229</v>
      </c>
      <c r="Z16" s="1896">
        <v>0</v>
      </c>
      <c r="AA16" s="1895"/>
      <c r="AB16" s="1895"/>
      <c r="AC16" s="1895" t="s">
        <v>229</v>
      </c>
      <c r="AD16" s="1892"/>
      <c r="AE16" s="1482"/>
    </row>
    <row r="17" spans="2:31">
      <c r="B17" s="1432">
        <v>0.3</v>
      </c>
      <c r="C17" s="1875" t="s">
        <v>736</v>
      </c>
      <c r="D17" s="2944">
        <f>0.3*98638.2</f>
        <v>29591.46</v>
      </c>
      <c r="E17" s="2140">
        <v>23325</v>
      </c>
      <c r="F17" s="1438">
        <f>E17+D17</f>
        <v>52916.46</v>
      </c>
      <c r="H17" s="1876" t="s">
        <v>897</v>
      </c>
      <c r="I17" s="1877">
        <v>0</v>
      </c>
      <c r="J17" s="1878" t="s">
        <v>110</v>
      </c>
      <c r="K17" s="1880" t="s">
        <v>991</v>
      </c>
      <c r="L17" s="1881">
        <v>1471945.18</v>
      </c>
      <c r="M17" s="1881">
        <v>1471945.18</v>
      </c>
      <c r="N17" s="1461"/>
      <c r="O17" s="1883">
        <v>1</v>
      </c>
      <c r="P17" s="1884" t="s">
        <v>995</v>
      </c>
      <c r="Q17" s="3227">
        <v>0.5</v>
      </c>
      <c r="R17" s="2392">
        <v>0.5</v>
      </c>
      <c r="S17" s="2228">
        <f>SUM(Q17:R17)</f>
        <v>1</v>
      </c>
      <c r="T17" s="2985">
        <v>0</v>
      </c>
      <c r="U17" s="1886">
        <v>0</v>
      </c>
      <c r="V17" s="1886">
        <f>SUM(T17:U17)</f>
        <v>0</v>
      </c>
      <c r="W17" s="2989">
        <v>657189.5</v>
      </c>
      <c r="X17" s="1888">
        <v>735972.59</v>
      </c>
      <c r="Y17" s="1888">
        <f>SUM(W17:X17)</f>
        <v>1393162.0899999999</v>
      </c>
      <c r="Z17" s="2231">
        <v>0.2</v>
      </c>
      <c r="AA17" s="1891">
        <v>294389.03600000002</v>
      </c>
      <c r="AB17" s="2418">
        <v>159594.60573174836</v>
      </c>
      <c r="AC17" s="1891">
        <f>SUM(AA17:AB17)</f>
        <v>453983.64173174836</v>
      </c>
      <c r="AD17" s="1897"/>
      <c r="AE17" s="2419">
        <v>1371945</v>
      </c>
    </row>
    <row r="18" spans="2:31">
      <c r="B18" s="1432">
        <v>0.05</v>
      </c>
      <c r="C18" s="1875" t="s">
        <v>734</v>
      </c>
      <c r="D18" s="2944">
        <f>B18*98638.2</f>
        <v>4931.91</v>
      </c>
      <c r="E18" s="2140">
        <v>3887.5</v>
      </c>
      <c r="F18" s="1438">
        <f>E18+D18</f>
        <v>8819.41</v>
      </c>
      <c r="H18" s="2398" t="s">
        <v>898</v>
      </c>
      <c r="I18" s="2399">
        <v>503</v>
      </c>
      <c r="J18" s="1878" t="s">
        <v>110</v>
      </c>
      <c r="K18" s="1879" t="s">
        <v>845</v>
      </c>
      <c r="L18" s="1881">
        <v>545</v>
      </c>
      <c r="M18" s="1881">
        <v>545</v>
      </c>
      <c r="N18" s="1461"/>
      <c r="O18" s="1883">
        <v>22</v>
      </c>
      <c r="P18" s="1884" t="s">
        <v>995</v>
      </c>
      <c r="Q18" s="3227">
        <v>0</v>
      </c>
      <c r="R18" s="2392">
        <v>0</v>
      </c>
      <c r="S18" s="2228">
        <f>SUM(Q18:R18)</f>
        <v>0</v>
      </c>
      <c r="T18" s="2985">
        <v>0</v>
      </c>
      <c r="U18" s="1886">
        <f>R18*I18</f>
        <v>0</v>
      </c>
      <c r="V18" s="1886">
        <f>SUM(T18:U18)</f>
        <v>0</v>
      </c>
      <c r="W18" s="2989">
        <v>0</v>
      </c>
      <c r="X18" s="1888">
        <f>R18*M18</f>
        <v>0</v>
      </c>
      <c r="Y18" s="1888">
        <f>SUM(W18:X18)</f>
        <v>0</v>
      </c>
      <c r="Z18" s="2231">
        <v>0.2</v>
      </c>
      <c r="AA18" s="1891">
        <v>0</v>
      </c>
      <c r="AB18" s="2418">
        <v>0</v>
      </c>
      <c r="AC18" s="1891">
        <f>SUM(AA18:AB18)</f>
        <v>0</v>
      </c>
      <c r="AD18" s="1892"/>
      <c r="AE18" s="2419">
        <v>0</v>
      </c>
    </row>
    <row r="19" spans="2:31">
      <c r="B19" s="1432">
        <v>4.4999999999999998E-2</v>
      </c>
      <c r="C19" s="1875" t="s">
        <v>894</v>
      </c>
      <c r="D19" s="2944">
        <f>B19*98638.2</f>
        <v>4438.7190000000001</v>
      </c>
      <c r="E19" s="2140">
        <v>3498.75</v>
      </c>
      <c r="F19" s="1438">
        <f>E19+D19</f>
        <v>7937.4690000000001</v>
      </c>
      <c r="H19" s="2398" t="s">
        <v>899</v>
      </c>
      <c r="I19" s="2400">
        <v>503</v>
      </c>
      <c r="J19" s="1878" t="s">
        <v>110</v>
      </c>
      <c r="K19" s="1879" t="s">
        <v>845</v>
      </c>
      <c r="L19" s="1881">
        <v>545</v>
      </c>
      <c r="M19" s="1881">
        <v>545</v>
      </c>
      <c r="N19" s="1461"/>
      <c r="O19" s="1883">
        <v>22</v>
      </c>
      <c r="P19" s="1884" t="s">
        <v>994</v>
      </c>
      <c r="Q19" s="3227">
        <v>15</v>
      </c>
      <c r="R19" s="2392">
        <v>16</v>
      </c>
      <c r="S19" s="2228">
        <f t="shared" ref="S19:S82" si="0">SUM(Q19:R19)</f>
        <v>31</v>
      </c>
      <c r="T19" s="2985">
        <v>7545</v>
      </c>
      <c r="U19" s="1919">
        <f>R19*I19</f>
        <v>8048</v>
      </c>
      <c r="V19" s="1915">
        <f>SUM(T19:U19)</f>
        <v>15593</v>
      </c>
      <c r="W19" s="2989">
        <v>8175</v>
      </c>
      <c r="X19" s="1916">
        <f>R19*M19</f>
        <v>8720</v>
      </c>
      <c r="Y19" s="1916">
        <f t="shared" ref="Y19:Y82" si="1">SUM(W19:X19)</f>
        <v>16895</v>
      </c>
      <c r="Z19" s="2231">
        <v>0.2</v>
      </c>
      <c r="AA19" s="1891">
        <v>3379</v>
      </c>
      <c r="AB19" s="2418">
        <v>1831.8283183874337</v>
      </c>
      <c r="AC19" s="1916">
        <f t="shared" ref="AC19:AC82" si="2">SUM(AA19:AB19)</f>
        <v>5210.8283183874337</v>
      </c>
      <c r="AD19" s="1892"/>
      <c r="AE19" s="2419">
        <v>0</v>
      </c>
    </row>
    <row r="20" spans="2:31">
      <c r="B20" s="1449">
        <f>SUM(B16:B19)</f>
        <v>1.2949999999999999</v>
      </c>
      <c r="C20" s="1488"/>
      <c r="D20" s="2770"/>
      <c r="E20" s="1490"/>
      <c r="F20" s="1492"/>
      <c r="H20" s="2398" t="s">
        <v>900</v>
      </c>
      <c r="I20" s="2399">
        <v>503</v>
      </c>
      <c r="J20" s="1878" t="s">
        <v>110</v>
      </c>
      <c r="K20" s="1879" t="s">
        <v>845</v>
      </c>
      <c r="L20" s="1881">
        <v>545</v>
      </c>
      <c r="M20" s="1881">
        <v>545</v>
      </c>
      <c r="N20" s="1461"/>
      <c r="O20" s="1883">
        <v>22</v>
      </c>
      <c r="P20" s="1884" t="s">
        <v>995</v>
      </c>
      <c r="Q20" s="3227">
        <v>12</v>
      </c>
      <c r="R20" s="2392">
        <v>16</v>
      </c>
      <c r="S20" s="2228">
        <f t="shared" si="0"/>
        <v>28</v>
      </c>
      <c r="T20" s="2985">
        <v>6036</v>
      </c>
      <c r="U20" s="1919">
        <f t="shared" ref="U20:U82" si="3">R20*I20</f>
        <v>8048</v>
      </c>
      <c r="V20" s="1915">
        <f t="shared" ref="V20:V82" si="4">SUM(T20:U20)</f>
        <v>14084</v>
      </c>
      <c r="W20" s="2989">
        <v>6540</v>
      </c>
      <c r="X20" s="1916">
        <f t="shared" ref="X20:X82" si="5">R20*M20</f>
        <v>8720</v>
      </c>
      <c r="Y20" s="1916">
        <f t="shared" si="1"/>
        <v>15260</v>
      </c>
      <c r="Z20" s="2231">
        <v>0.2</v>
      </c>
      <c r="AA20" s="1891">
        <v>3052.0000000000005</v>
      </c>
      <c r="AB20" s="2418">
        <v>1654.5546101563921</v>
      </c>
      <c r="AC20" s="1916">
        <f t="shared" si="2"/>
        <v>4706.5546101563923</v>
      </c>
      <c r="AD20" s="1892"/>
      <c r="AE20" s="2419">
        <v>0</v>
      </c>
    </row>
    <row r="21" spans="2:31">
      <c r="B21" s="1489"/>
      <c r="C21" s="1597" t="s">
        <v>1469</v>
      </c>
      <c r="D21" s="2771">
        <f>SUM(D22:D25)</f>
        <v>512280.67</v>
      </c>
      <c r="E21" s="1464">
        <f>SUM(E22:E25)</f>
        <v>589690.39</v>
      </c>
      <c r="F21" s="1638">
        <f>D21+E21</f>
        <v>1101971.06</v>
      </c>
      <c r="H21" s="2398" t="s">
        <v>901</v>
      </c>
      <c r="I21" s="2400">
        <v>2645.44</v>
      </c>
      <c r="J21" s="1878" t="s">
        <v>110</v>
      </c>
      <c r="K21" s="1879" t="s">
        <v>845</v>
      </c>
      <c r="L21" s="1881">
        <v>3407</v>
      </c>
      <c r="M21" s="1881">
        <v>3407</v>
      </c>
      <c r="N21" s="1461"/>
      <c r="O21" s="1883">
        <v>15</v>
      </c>
      <c r="P21" s="1884" t="s">
        <v>995</v>
      </c>
      <c r="Q21" s="3227">
        <v>40</v>
      </c>
      <c r="R21" s="2392">
        <v>130</v>
      </c>
      <c r="S21" s="2228">
        <f t="shared" si="0"/>
        <v>170</v>
      </c>
      <c r="T21" s="2985">
        <v>105817.60000000001</v>
      </c>
      <c r="U21" s="1919">
        <f t="shared" si="3"/>
        <v>343907.2</v>
      </c>
      <c r="V21" s="1915">
        <f t="shared" si="4"/>
        <v>449724.80000000005</v>
      </c>
      <c r="W21" s="2989">
        <v>136280</v>
      </c>
      <c r="X21" s="1916">
        <f t="shared" si="5"/>
        <v>442910</v>
      </c>
      <c r="Y21" s="1916">
        <f t="shared" si="1"/>
        <v>579190</v>
      </c>
      <c r="Z21" s="2231">
        <v>0.2</v>
      </c>
      <c r="AA21" s="1891">
        <v>115838</v>
      </c>
      <c r="AB21" s="2418">
        <v>62798.2624283408</v>
      </c>
      <c r="AC21" s="1916">
        <f t="shared" si="2"/>
        <v>178636.26242834079</v>
      </c>
      <c r="AD21" s="1892"/>
      <c r="AE21" s="2419">
        <v>37.130000000000003</v>
      </c>
    </row>
    <row r="22" spans="2:31">
      <c r="C22" s="1667" t="s">
        <v>1470</v>
      </c>
      <c r="D22" s="2772">
        <v>512280.67</v>
      </c>
      <c r="E22" s="1669">
        <v>589690.39</v>
      </c>
      <c r="F22" s="1426">
        <f>E22+D22</f>
        <v>1101971.06</v>
      </c>
      <c r="H22" s="2401" t="s">
        <v>902</v>
      </c>
      <c r="I22" s="2402">
        <v>3447.84</v>
      </c>
      <c r="J22" s="1878" t="s">
        <v>110</v>
      </c>
      <c r="K22" s="1879" t="s">
        <v>845</v>
      </c>
      <c r="L22" s="1881">
        <v>4130</v>
      </c>
      <c r="M22" s="1881">
        <v>3407</v>
      </c>
      <c r="N22" s="1461"/>
      <c r="O22" s="1883">
        <v>15</v>
      </c>
      <c r="P22" s="1884" t="s">
        <v>994</v>
      </c>
      <c r="Q22" s="3227">
        <v>65</v>
      </c>
      <c r="R22" s="2392">
        <v>78</v>
      </c>
      <c r="S22" s="2228">
        <f t="shared" si="0"/>
        <v>143</v>
      </c>
      <c r="T22" s="2985">
        <v>224109.6</v>
      </c>
      <c r="U22" s="1919">
        <f t="shared" si="3"/>
        <v>268931.52</v>
      </c>
      <c r="V22" s="1915">
        <f t="shared" si="4"/>
        <v>493041.12</v>
      </c>
      <c r="W22" s="2989">
        <v>221455</v>
      </c>
      <c r="X22" s="1916">
        <f t="shared" si="5"/>
        <v>265746</v>
      </c>
      <c r="Y22" s="1916">
        <f t="shared" si="1"/>
        <v>487201</v>
      </c>
      <c r="Z22" s="2231">
        <v>0.2</v>
      </c>
      <c r="AA22" s="1891">
        <v>97440.200000000012</v>
      </c>
      <c r="AB22" s="2418">
        <v>52824.420748545497</v>
      </c>
      <c r="AC22" s="1916">
        <f t="shared" si="2"/>
        <v>150264.62074854551</v>
      </c>
      <c r="AD22" s="1892"/>
      <c r="AE22" s="2419">
        <v>67.11</v>
      </c>
    </row>
    <row r="23" spans="2:31">
      <c r="C23" s="2355" t="s">
        <v>1506</v>
      </c>
      <c r="D23" s="2773"/>
      <c r="E23" s="1444"/>
      <c r="F23" s="1661">
        <f>E23+D23</f>
        <v>0</v>
      </c>
      <c r="H23" s="2403" t="s">
        <v>903</v>
      </c>
      <c r="I23" s="2234">
        <v>149</v>
      </c>
      <c r="J23" s="2235" t="s">
        <v>110</v>
      </c>
      <c r="K23" s="2236" t="s">
        <v>845</v>
      </c>
      <c r="L23" s="2237">
        <v>67</v>
      </c>
      <c r="M23" s="2237">
        <v>67</v>
      </c>
      <c r="N23" s="2238"/>
      <c r="O23" s="2239">
        <v>15</v>
      </c>
      <c r="P23" s="2240" t="s">
        <v>995</v>
      </c>
      <c r="Q23" s="3227">
        <v>0</v>
      </c>
      <c r="R23" s="2392">
        <v>0</v>
      </c>
      <c r="S23" s="2228">
        <f t="shared" si="0"/>
        <v>0</v>
      </c>
      <c r="T23" s="2985">
        <v>0</v>
      </c>
      <c r="U23" s="1919">
        <f t="shared" si="3"/>
        <v>0</v>
      </c>
      <c r="V23" s="1915">
        <f t="shared" si="4"/>
        <v>0</v>
      </c>
      <c r="W23" s="2989">
        <v>0</v>
      </c>
      <c r="X23" s="1916">
        <f t="shared" si="5"/>
        <v>0</v>
      </c>
      <c r="Y23" s="1916">
        <f t="shared" si="1"/>
        <v>0</v>
      </c>
      <c r="Z23" s="2231">
        <v>0.2</v>
      </c>
      <c r="AA23" s="1891">
        <v>0</v>
      </c>
      <c r="AB23" s="2418">
        <v>0</v>
      </c>
      <c r="AC23" s="1916">
        <f t="shared" si="2"/>
        <v>0</v>
      </c>
      <c r="AD23" s="1892"/>
      <c r="AE23" s="2419">
        <v>0</v>
      </c>
    </row>
    <row r="24" spans="2:31">
      <c r="C24" s="1875"/>
      <c r="D24" s="2944"/>
      <c r="E24" s="2140"/>
      <c r="F24" s="1661">
        <f>E24+D24</f>
        <v>0</v>
      </c>
      <c r="H24" s="2403" t="s">
        <v>904</v>
      </c>
      <c r="I24" s="2234">
        <v>149</v>
      </c>
      <c r="J24" s="2235" t="s">
        <v>110</v>
      </c>
      <c r="K24" s="2236" t="s">
        <v>845</v>
      </c>
      <c r="L24" s="2237">
        <v>67</v>
      </c>
      <c r="M24" s="2237">
        <v>67</v>
      </c>
      <c r="N24" s="2238"/>
      <c r="O24" s="2239">
        <v>15</v>
      </c>
      <c r="P24" s="2240" t="s">
        <v>995</v>
      </c>
      <c r="Q24" s="3227">
        <v>0</v>
      </c>
      <c r="R24" s="2392">
        <v>0</v>
      </c>
      <c r="S24" s="2228">
        <f t="shared" si="0"/>
        <v>0</v>
      </c>
      <c r="T24" s="2985">
        <v>0</v>
      </c>
      <c r="U24" s="1919">
        <f t="shared" si="3"/>
        <v>0</v>
      </c>
      <c r="V24" s="1915">
        <f t="shared" si="4"/>
        <v>0</v>
      </c>
      <c r="W24" s="2989">
        <v>0</v>
      </c>
      <c r="X24" s="1916">
        <f t="shared" si="5"/>
        <v>0</v>
      </c>
      <c r="Y24" s="1916">
        <f t="shared" si="1"/>
        <v>0</v>
      </c>
      <c r="Z24" s="2231">
        <v>0.2</v>
      </c>
      <c r="AA24" s="1891">
        <v>0</v>
      </c>
      <c r="AB24" s="2418">
        <v>0</v>
      </c>
      <c r="AC24" s="1916">
        <f t="shared" si="2"/>
        <v>0</v>
      </c>
      <c r="AD24" s="1892"/>
      <c r="AE24" s="2419">
        <v>0</v>
      </c>
    </row>
    <row r="25" spans="2:31">
      <c r="C25" s="1875"/>
      <c r="D25" s="2944"/>
      <c r="E25" s="2140"/>
      <c r="F25" s="1661">
        <f>E25+D25</f>
        <v>0</v>
      </c>
      <c r="H25" s="2403" t="s">
        <v>905</v>
      </c>
      <c r="I25" s="2234">
        <v>149</v>
      </c>
      <c r="J25" s="2235" t="s">
        <v>110</v>
      </c>
      <c r="K25" s="2236" t="s">
        <v>845</v>
      </c>
      <c r="L25" s="2237">
        <v>67</v>
      </c>
      <c r="M25" s="2237">
        <v>67</v>
      </c>
      <c r="N25" s="2238"/>
      <c r="O25" s="2239">
        <v>15</v>
      </c>
      <c r="P25" s="2240" t="s">
        <v>994</v>
      </c>
      <c r="Q25" s="3227">
        <v>0</v>
      </c>
      <c r="R25" s="2392">
        <v>0</v>
      </c>
      <c r="S25" s="2228">
        <f t="shared" si="0"/>
        <v>0</v>
      </c>
      <c r="T25" s="2985">
        <v>0</v>
      </c>
      <c r="U25" s="1919">
        <f t="shared" si="3"/>
        <v>0</v>
      </c>
      <c r="V25" s="1915">
        <f t="shared" si="4"/>
        <v>0</v>
      </c>
      <c r="W25" s="2989">
        <v>0</v>
      </c>
      <c r="X25" s="1916">
        <f t="shared" si="5"/>
        <v>0</v>
      </c>
      <c r="Y25" s="1916">
        <f t="shared" si="1"/>
        <v>0</v>
      </c>
      <c r="Z25" s="2231">
        <v>0.2</v>
      </c>
      <c r="AA25" s="1891">
        <v>0</v>
      </c>
      <c r="AB25" s="2418">
        <v>0</v>
      </c>
      <c r="AC25" s="1916">
        <f t="shared" si="2"/>
        <v>0</v>
      </c>
      <c r="AD25" s="1892"/>
      <c r="AE25" s="2419">
        <v>0</v>
      </c>
    </row>
    <row r="26" spans="2:31">
      <c r="C26" s="1488"/>
      <c r="D26" s="2770"/>
      <c r="E26" s="1490"/>
      <c r="F26" s="1492"/>
      <c r="H26" s="2398" t="s">
        <v>906</v>
      </c>
      <c r="I26" s="1976">
        <v>0.9</v>
      </c>
      <c r="J26" s="1878" t="s">
        <v>110</v>
      </c>
      <c r="K26" s="1879" t="s">
        <v>992</v>
      </c>
      <c r="L26" s="1881">
        <v>2.21</v>
      </c>
      <c r="M26" s="1881">
        <v>2.21</v>
      </c>
      <c r="N26" s="1461"/>
      <c r="O26" s="1883">
        <v>30</v>
      </c>
      <c r="P26" s="1884" t="s">
        <v>994</v>
      </c>
      <c r="Q26" s="3227">
        <v>0</v>
      </c>
      <c r="R26" s="2392">
        <v>0</v>
      </c>
      <c r="S26" s="2228">
        <f t="shared" si="0"/>
        <v>0</v>
      </c>
      <c r="T26" s="2985">
        <v>0</v>
      </c>
      <c r="U26" s="1919">
        <f t="shared" si="3"/>
        <v>0</v>
      </c>
      <c r="V26" s="1915">
        <f t="shared" si="4"/>
        <v>0</v>
      </c>
      <c r="W26" s="2989">
        <v>0</v>
      </c>
      <c r="X26" s="1916">
        <f t="shared" si="5"/>
        <v>0</v>
      </c>
      <c r="Y26" s="1916">
        <f t="shared" si="1"/>
        <v>0</v>
      </c>
      <c r="Z26" s="2231">
        <v>0.2</v>
      </c>
      <c r="AA26" s="1891">
        <v>0</v>
      </c>
      <c r="AB26" s="2418">
        <v>0</v>
      </c>
      <c r="AC26" s="1916">
        <f t="shared" si="2"/>
        <v>0</v>
      </c>
      <c r="AD26" s="1892"/>
      <c r="AE26" s="2419">
        <v>0</v>
      </c>
    </row>
    <row r="27" spans="2:31">
      <c r="B27" s="1433" t="s">
        <v>296</v>
      </c>
      <c r="C27" s="1658" t="s">
        <v>44</v>
      </c>
      <c r="D27" s="2771">
        <f>SUM(D28:D31)</f>
        <v>14400</v>
      </c>
      <c r="E27" s="1464">
        <f>SUM(E28:E31)</f>
        <v>14400</v>
      </c>
      <c r="F27" s="1462">
        <f>D27+E27</f>
        <v>28800</v>
      </c>
      <c r="H27" s="2404" t="s">
        <v>907</v>
      </c>
      <c r="I27" s="1976">
        <v>0.5</v>
      </c>
      <c r="J27" s="1878" t="s">
        <v>110</v>
      </c>
      <c r="K27" s="1879" t="s">
        <v>992</v>
      </c>
      <c r="L27" s="1881">
        <v>1.1000000000000001</v>
      </c>
      <c r="M27" s="1881">
        <v>1.1000000000000001</v>
      </c>
      <c r="N27" s="1461"/>
      <c r="O27" s="1883">
        <v>25</v>
      </c>
      <c r="P27" s="1884" t="s">
        <v>996</v>
      </c>
      <c r="Q27" s="3227">
        <v>6719</v>
      </c>
      <c r="R27" s="2392">
        <v>2700</v>
      </c>
      <c r="S27" s="2228">
        <f t="shared" si="0"/>
        <v>9419</v>
      </c>
      <c r="T27" s="2985">
        <v>3359.5</v>
      </c>
      <c r="U27" s="1919">
        <f t="shared" si="3"/>
        <v>1350</v>
      </c>
      <c r="V27" s="1915">
        <f t="shared" si="4"/>
        <v>4709.5</v>
      </c>
      <c r="W27" s="2989">
        <v>7390.9000000000005</v>
      </c>
      <c r="X27" s="1916">
        <f t="shared" si="5"/>
        <v>2970.0000000000005</v>
      </c>
      <c r="Y27" s="1916">
        <f t="shared" si="1"/>
        <v>10360.900000000001</v>
      </c>
      <c r="Z27" s="2231">
        <v>0.2</v>
      </c>
      <c r="AA27" s="1891">
        <v>2072.1800000000003</v>
      </c>
      <c r="AB27" s="2418">
        <v>1123.373188752907</v>
      </c>
      <c r="AC27" s="1916">
        <f t="shared" si="2"/>
        <v>3195.5531887529073</v>
      </c>
      <c r="AD27" s="1892"/>
      <c r="AE27" s="2419">
        <v>0</v>
      </c>
    </row>
    <row r="28" spans="2:31">
      <c r="B28" s="1982">
        <f>(SUM(D28:E28)/2)/((80000+(80000*1.025))/2)</f>
        <v>0.17777777777777778</v>
      </c>
      <c r="C28" s="1667" t="s">
        <v>895</v>
      </c>
      <c r="D28" s="2772">
        <f>0.18*80000</f>
        <v>14400</v>
      </c>
      <c r="E28" s="1448">
        <v>14400</v>
      </c>
      <c r="F28" s="1426">
        <f t="shared" ref="F28:F36" si="6">SUM(D28:E28)</f>
        <v>28800</v>
      </c>
      <c r="H28" s="2403" t="s">
        <v>908</v>
      </c>
      <c r="I28" s="2234">
        <v>1.38</v>
      </c>
      <c r="J28" s="2235" t="s">
        <v>110</v>
      </c>
      <c r="K28" s="2236" t="s">
        <v>992</v>
      </c>
      <c r="L28" s="2237">
        <v>2.21</v>
      </c>
      <c r="M28" s="2237">
        <v>2.21</v>
      </c>
      <c r="N28" s="2238"/>
      <c r="O28" s="2239">
        <v>30</v>
      </c>
      <c r="P28" s="2240" t="s">
        <v>995</v>
      </c>
      <c r="Q28" s="3227">
        <v>0</v>
      </c>
      <c r="R28" s="2392">
        <v>0</v>
      </c>
      <c r="S28" s="2228">
        <f t="shared" si="0"/>
        <v>0</v>
      </c>
      <c r="T28" s="2985">
        <v>0</v>
      </c>
      <c r="U28" s="1919">
        <f t="shared" si="3"/>
        <v>0</v>
      </c>
      <c r="V28" s="1915">
        <f t="shared" si="4"/>
        <v>0</v>
      </c>
      <c r="W28" s="2989">
        <v>0</v>
      </c>
      <c r="X28" s="1916">
        <f t="shared" si="5"/>
        <v>0</v>
      </c>
      <c r="Y28" s="1916">
        <f t="shared" si="1"/>
        <v>0</v>
      </c>
      <c r="Z28" s="2231">
        <v>0.2</v>
      </c>
      <c r="AA28" s="1891">
        <v>0</v>
      </c>
      <c r="AB28" s="2418">
        <v>0</v>
      </c>
      <c r="AC28" s="1916">
        <f t="shared" si="2"/>
        <v>0</v>
      </c>
      <c r="AD28" s="1892"/>
      <c r="AE28" s="2419">
        <v>0</v>
      </c>
    </row>
    <row r="29" spans="2:31">
      <c r="B29" s="1982"/>
      <c r="C29" s="1667"/>
      <c r="D29" s="2773"/>
      <c r="E29" s="1444"/>
      <c r="F29" s="1438">
        <f t="shared" si="6"/>
        <v>0</v>
      </c>
      <c r="H29" s="2398" t="s">
        <v>909</v>
      </c>
      <c r="I29" s="2400">
        <v>0.3</v>
      </c>
      <c r="J29" s="1878" t="s">
        <v>110</v>
      </c>
      <c r="K29" s="1879" t="s">
        <v>992</v>
      </c>
      <c r="L29" s="1881">
        <v>2.1</v>
      </c>
      <c r="M29" s="1881">
        <v>1.25</v>
      </c>
      <c r="N29" s="1461"/>
      <c r="O29" s="1883">
        <v>25</v>
      </c>
      <c r="P29" s="1884" t="s">
        <v>995</v>
      </c>
      <c r="Q29" s="3227">
        <v>32561</v>
      </c>
      <c r="R29" s="2392">
        <v>16500</v>
      </c>
      <c r="S29" s="2228">
        <f t="shared" si="0"/>
        <v>49061</v>
      </c>
      <c r="T29" s="2985">
        <v>9768.2999999999993</v>
      </c>
      <c r="U29" s="1919">
        <f t="shared" si="3"/>
        <v>4950</v>
      </c>
      <c r="V29" s="1915">
        <f t="shared" si="4"/>
        <v>14718.3</v>
      </c>
      <c r="W29" s="2989">
        <v>40701.25</v>
      </c>
      <c r="X29" s="1916">
        <f t="shared" si="5"/>
        <v>20625</v>
      </c>
      <c r="Y29" s="1916">
        <f t="shared" si="1"/>
        <v>61326.25</v>
      </c>
      <c r="Z29" s="2231">
        <v>0.2</v>
      </c>
      <c r="AA29" s="1891">
        <v>12265.25</v>
      </c>
      <c r="AB29" s="2418">
        <v>6649.2548926017971</v>
      </c>
      <c r="AC29" s="1916">
        <f t="shared" si="2"/>
        <v>18914.504892601799</v>
      </c>
      <c r="AD29" s="1892"/>
      <c r="AE29" s="2419">
        <v>2E-3</v>
      </c>
    </row>
    <row r="30" spans="2:31">
      <c r="B30" s="1982"/>
      <c r="C30" s="1667"/>
      <c r="D30" s="2774"/>
      <c r="E30" s="1443"/>
      <c r="F30" s="1438">
        <f t="shared" si="6"/>
        <v>0</v>
      </c>
      <c r="H30" s="2398" t="s">
        <v>910</v>
      </c>
      <c r="I30" s="1976">
        <v>1.2</v>
      </c>
      <c r="J30" s="1878" t="s">
        <v>110</v>
      </c>
      <c r="K30" s="1879" t="s">
        <v>992</v>
      </c>
      <c r="L30" s="1881">
        <v>2.4300000000000002</v>
      </c>
      <c r="M30" s="1881">
        <v>2.4300000000000002</v>
      </c>
      <c r="N30" s="1461"/>
      <c r="O30" s="1883">
        <v>30</v>
      </c>
      <c r="P30" s="1884" t="s">
        <v>995</v>
      </c>
      <c r="Q30" s="3227">
        <v>6585</v>
      </c>
      <c r="R30" s="2392">
        <v>7700</v>
      </c>
      <c r="S30" s="2228">
        <f t="shared" si="0"/>
        <v>14285</v>
      </c>
      <c r="T30" s="2985">
        <v>14355.300000000001</v>
      </c>
      <c r="U30" s="1919">
        <f t="shared" si="3"/>
        <v>9240</v>
      </c>
      <c r="V30" s="1915">
        <f t="shared" si="4"/>
        <v>23595.300000000003</v>
      </c>
      <c r="W30" s="2989">
        <v>16001.550000000001</v>
      </c>
      <c r="X30" s="1916">
        <f t="shared" si="5"/>
        <v>18711</v>
      </c>
      <c r="Y30" s="1916">
        <f t="shared" si="1"/>
        <v>34712.550000000003</v>
      </c>
      <c r="Z30" s="2231">
        <v>0.2</v>
      </c>
      <c r="AA30" s="1891">
        <v>6942.51</v>
      </c>
      <c r="AB30" s="2418">
        <v>3763.6834621745911</v>
      </c>
      <c r="AC30" s="1916">
        <f t="shared" si="2"/>
        <v>10706.193462174591</v>
      </c>
      <c r="AD30" s="1892"/>
      <c r="AE30" s="2419">
        <v>0</v>
      </c>
    </row>
    <row r="31" spans="2:31">
      <c r="B31" s="1982"/>
      <c r="C31" s="1667"/>
      <c r="D31" s="2775"/>
      <c r="E31" s="1444"/>
      <c r="F31" s="1438">
        <f t="shared" si="6"/>
        <v>0</v>
      </c>
      <c r="H31" s="2405" t="s">
        <v>911</v>
      </c>
      <c r="I31" s="2400">
        <v>2.2000000000000002</v>
      </c>
      <c r="J31" s="1878" t="s">
        <v>110</v>
      </c>
      <c r="K31" s="1879" t="s">
        <v>992</v>
      </c>
      <c r="L31" s="1881">
        <v>2.4300000000000002</v>
      </c>
      <c r="M31" s="1881">
        <v>2.4300000000000002</v>
      </c>
      <c r="N31" s="1461"/>
      <c r="O31" s="1883">
        <v>30</v>
      </c>
      <c r="P31" s="1884" t="s">
        <v>995</v>
      </c>
      <c r="Q31" s="3227">
        <v>10000</v>
      </c>
      <c r="R31" s="2392">
        <v>5000</v>
      </c>
      <c r="S31" s="2228">
        <f t="shared" si="0"/>
        <v>15000</v>
      </c>
      <c r="T31" s="2985">
        <v>22000</v>
      </c>
      <c r="U31" s="1919">
        <f t="shared" si="3"/>
        <v>11000</v>
      </c>
      <c r="V31" s="1915">
        <f t="shared" si="4"/>
        <v>33000</v>
      </c>
      <c r="W31" s="2989">
        <v>24300</v>
      </c>
      <c r="X31" s="1916">
        <f t="shared" si="5"/>
        <v>12150</v>
      </c>
      <c r="Y31" s="1916">
        <f t="shared" si="1"/>
        <v>36450</v>
      </c>
      <c r="Z31" s="2231">
        <v>0.2</v>
      </c>
      <c r="AA31" s="1891">
        <v>7290.0000000000009</v>
      </c>
      <c r="AB31" s="2418">
        <v>3952.0652385452486</v>
      </c>
      <c r="AC31" s="1916">
        <f t="shared" si="2"/>
        <v>11242.065238545249</v>
      </c>
      <c r="AD31" s="1892"/>
      <c r="AE31" s="2419">
        <v>3.1249629526816258E-2</v>
      </c>
    </row>
    <row r="32" spans="2:31">
      <c r="B32" s="1449">
        <f>SUM(B28:B31)</f>
        <v>0.17777777777777778</v>
      </c>
      <c r="C32" s="1424"/>
      <c r="D32" s="2776"/>
      <c r="E32" s="1431"/>
      <c r="F32" s="1439"/>
      <c r="H32" s="2406" t="s">
        <v>912</v>
      </c>
      <c r="I32" s="2400">
        <v>0.1</v>
      </c>
      <c r="J32" s="1878" t="s">
        <v>110</v>
      </c>
      <c r="K32" s="1879" t="s">
        <v>992</v>
      </c>
      <c r="L32" s="1881">
        <v>1.71</v>
      </c>
      <c r="M32" s="1881">
        <v>1.25</v>
      </c>
      <c r="N32" s="1461"/>
      <c r="O32" s="1883">
        <v>25</v>
      </c>
      <c r="P32" s="1884" t="s">
        <v>995</v>
      </c>
      <c r="Q32" s="3227">
        <v>25842</v>
      </c>
      <c r="R32" s="2392">
        <v>0</v>
      </c>
      <c r="S32" s="2228">
        <f t="shared" si="0"/>
        <v>25842</v>
      </c>
      <c r="T32" s="2985">
        <v>2584.2000000000003</v>
      </c>
      <c r="U32" s="1919">
        <f t="shared" si="3"/>
        <v>0</v>
      </c>
      <c r="V32" s="1915">
        <f t="shared" si="4"/>
        <v>2584.2000000000003</v>
      </c>
      <c r="W32" s="2989">
        <v>32302.5</v>
      </c>
      <c r="X32" s="1916">
        <f t="shared" si="5"/>
        <v>0</v>
      </c>
      <c r="Y32" s="1916">
        <f t="shared" si="1"/>
        <v>32302.5</v>
      </c>
      <c r="Z32" s="2231">
        <v>0.2</v>
      </c>
      <c r="AA32" s="1891">
        <v>6460.5000000000009</v>
      </c>
      <c r="AB32" s="2418">
        <v>3502.3755107848524</v>
      </c>
      <c r="AC32" s="1916">
        <f t="shared" si="2"/>
        <v>9962.8755107848538</v>
      </c>
      <c r="AD32" s="1892"/>
      <c r="AE32" s="2419">
        <v>0</v>
      </c>
    </row>
    <row r="33" spans="1:31">
      <c r="C33" s="1597" t="s">
        <v>1737</v>
      </c>
      <c r="D33" s="2787">
        <f>SUM(D35:D41)</f>
        <v>94805.024823</v>
      </c>
      <c r="E33" s="1707">
        <f>SUM(E35:E37)+SUM(E39:E41)</f>
        <v>103347.4525</v>
      </c>
      <c r="F33" s="1602">
        <f>D33+E33</f>
        <v>198152.477323</v>
      </c>
      <c r="H33" s="2398" t="s">
        <v>913</v>
      </c>
      <c r="I33" s="1976">
        <v>1.39</v>
      </c>
      <c r="J33" s="1878" t="s">
        <v>110</v>
      </c>
      <c r="K33" s="1879" t="s">
        <v>992</v>
      </c>
      <c r="L33" s="1881">
        <v>1.95</v>
      </c>
      <c r="M33" s="1881">
        <v>1.95</v>
      </c>
      <c r="N33" s="1461"/>
      <c r="O33" s="1883">
        <v>30</v>
      </c>
      <c r="P33" s="1884" t="s">
        <v>880</v>
      </c>
      <c r="Q33" s="3227">
        <v>0</v>
      </c>
      <c r="R33" s="2392">
        <v>20000</v>
      </c>
      <c r="S33" s="2228">
        <f t="shared" si="0"/>
        <v>20000</v>
      </c>
      <c r="T33" s="2985">
        <v>0</v>
      </c>
      <c r="U33" s="1919">
        <f t="shared" si="3"/>
        <v>27799.999999999996</v>
      </c>
      <c r="V33" s="1915">
        <f t="shared" si="4"/>
        <v>27799.999999999996</v>
      </c>
      <c r="W33" s="2989">
        <v>0</v>
      </c>
      <c r="X33" s="1916">
        <f t="shared" si="5"/>
        <v>39000</v>
      </c>
      <c r="Y33" s="1916">
        <f t="shared" si="1"/>
        <v>39000</v>
      </c>
      <c r="Z33" s="2231">
        <v>0.2</v>
      </c>
      <c r="AA33" s="1891">
        <v>7800</v>
      </c>
      <c r="AB33" s="2418">
        <v>4228.547168813845</v>
      </c>
      <c r="AC33" s="1916">
        <f t="shared" si="2"/>
        <v>12028.547168813846</v>
      </c>
      <c r="AD33" s="1892"/>
      <c r="AE33" s="2419">
        <v>0</v>
      </c>
    </row>
    <row r="34" spans="1:31" ht="25.5">
      <c r="A34" s="1401" t="s">
        <v>165</v>
      </c>
      <c r="B34" s="1489"/>
      <c r="C34" s="1450" t="s">
        <v>1733</v>
      </c>
      <c r="D34" s="2777">
        <v>0.66700000000000004</v>
      </c>
      <c r="E34" s="1452">
        <v>0.68799999999999994</v>
      </c>
      <c r="F34" s="1485"/>
      <c r="H34" s="2407" t="s">
        <v>914</v>
      </c>
      <c r="I34" s="2400">
        <v>0.47</v>
      </c>
      <c r="J34" s="1878" t="s">
        <v>110</v>
      </c>
      <c r="K34" s="1879" t="s">
        <v>992</v>
      </c>
      <c r="L34" s="1881">
        <v>1.95</v>
      </c>
      <c r="M34" s="1881">
        <v>1.95</v>
      </c>
      <c r="N34" s="1461"/>
      <c r="O34" s="1883">
        <v>30</v>
      </c>
      <c r="P34" s="1884" t="s">
        <v>880</v>
      </c>
      <c r="Q34" s="3227">
        <v>11179</v>
      </c>
      <c r="R34" s="2392">
        <v>10000</v>
      </c>
      <c r="S34" s="2228">
        <f t="shared" si="0"/>
        <v>21179</v>
      </c>
      <c r="T34" s="2985">
        <v>5254.13</v>
      </c>
      <c r="U34" s="1919">
        <f t="shared" si="3"/>
        <v>4700</v>
      </c>
      <c r="V34" s="1915">
        <f t="shared" si="4"/>
        <v>9954.130000000001</v>
      </c>
      <c r="W34" s="2989">
        <v>21799.05</v>
      </c>
      <c r="X34" s="1916">
        <f t="shared" si="5"/>
        <v>19500</v>
      </c>
      <c r="Y34" s="1916">
        <f t="shared" si="1"/>
        <v>41299.050000000003</v>
      </c>
      <c r="Z34" s="2231">
        <v>0.2</v>
      </c>
      <c r="AA34" s="1891">
        <v>8259.81</v>
      </c>
      <c r="AB34" s="2418">
        <v>4477.8200244154223</v>
      </c>
      <c r="AC34" s="1916">
        <f t="shared" si="2"/>
        <v>12737.630024415423</v>
      </c>
      <c r="AD34" s="1892"/>
      <c r="AE34" s="2419">
        <v>6.7142655073156934E-3</v>
      </c>
    </row>
    <row r="35" spans="1:31">
      <c r="A35" s="1357" t="s">
        <v>281</v>
      </c>
      <c r="C35" s="1667" t="s">
        <v>719</v>
      </c>
      <c r="D35" s="2778">
        <f>D15*D34</f>
        <v>85200.224822999997</v>
      </c>
      <c r="E35" s="1504">
        <f>E15*E34</f>
        <v>69272.14</v>
      </c>
      <c r="F35" s="1438">
        <f t="shared" si="6"/>
        <v>154472.36482299998</v>
      </c>
      <c r="H35" s="2398" t="s">
        <v>915</v>
      </c>
      <c r="I35" s="1976">
        <v>0.3</v>
      </c>
      <c r="J35" s="1878" t="s">
        <v>110</v>
      </c>
      <c r="K35" s="1879" t="s">
        <v>992</v>
      </c>
      <c r="L35" s="1881">
        <v>1.35</v>
      </c>
      <c r="M35" s="1881">
        <v>1.35</v>
      </c>
      <c r="N35" s="1461"/>
      <c r="O35" s="1883">
        <v>30</v>
      </c>
      <c r="P35" s="1884" t="s">
        <v>880</v>
      </c>
      <c r="Q35" s="3227">
        <v>4350</v>
      </c>
      <c r="R35" s="2392">
        <v>1000</v>
      </c>
      <c r="S35" s="2228">
        <f t="shared" si="0"/>
        <v>5350</v>
      </c>
      <c r="T35" s="2985">
        <v>2523</v>
      </c>
      <c r="U35" s="1919">
        <f t="shared" si="3"/>
        <v>300</v>
      </c>
      <c r="V35" s="1915">
        <f t="shared" si="4"/>
        <v>2823</v>
      </c>
      <c r="W35" s="2989">
        <v>5872.5</v>
      </c>
      <c r="X35" s="1916">
        <f t="shared" si="5"/>
        <v>1350</v>
      </c>
      <c r="Y35" s="1916">
        <f t="shared" si="1"/>
        <v>7222.5</v>
      </c>
      <c r="Z35" s="2231">
        <v>0.2</v>
      </c>
      <c r="AA35" s="1891">
        <v>1444.5</v>
      </c>
      <c r="AB35" s="2418">
        <v>783.09440837841032</v>
      </c>
      <c r="AC35" s="1916">
        <f t="shared" si="2"/>
        <v>2227.5944083784102</v>
      </c>
      <c r="AD35" s="1892"/>
      <c r="AE35" s="2419">
        <v>0</v>
      </c>
    </row>
    <row r="36" spans="1:31">
      <c r="A36" s="1400" t="s">
        <v>5</v>
      </c>
      <c r="C36" s="1667" t="s">
        <v>720</v>
      </c>
      <c r="D36" s="2785">
        <f>D27*D34</f>
        <v>9604.8000000000011</v>
      </c>
      <c r="E36" s="1504">
        <f>E27*E34</f>
        <v>9907.1999999999989</v>
      </c>
      <c r="F36" s="1438">
        <f t="shared" si="6"/>
        <v>19512</v>
      </c>
      <c r="H36" s="2398" t="s">
        <v>916</v>
      </c>
      <c r="I36" s="2400">
        <v>0.22</v>
      </c>
      <c r="J36" s="1878" t="s">
        <v>110</v>
      </c>
      <c r="K36" s="1879" t="s">
        <v>992</v>
      </c>
      <c r="L36" s="1881">
        <v>1.35</v>
      </c>
      <c r="M36" s="1881">
        <v>1.35</v>
      </c>
      <c r="N36" s="1461"/>
      <c r="O36" s="1883">
        <v>30</v>
      </c>
      <c r="P36" s="1884" t="s">
        <v>880</v>
      </c>
      <c r="Q36" s="3227">
        <v>23304</v>
      </c>
      <c r="R36" s="2392">
        <v>25000</v>
      </c>
      <c r="S36" s="2228">
        <f t="shared" si="0"/>
        <v>48304</v>
      </c>
      <c r="T36" s="2985">
        <v>5126.88</v>
      </c>
      <c r="U36" s="1919">
        <f t="shared" si="3"/>
        <v>5500</v>
      </c>
      <c r="V36" s="1915">
        <f t="shared" si="4"/>
        <v>10626.880000000001</v>
      </c>
      <c r="W36" s="2989">
        <v>31460.400000000001</v>
      </c>
      <c r="X36" s="1916">
        <f t="shared" si="5"/>
        <v>33750</v>
      </c>
      <c r="Y36" s="1916">
        <f t="shared" si="1"/>
        <v>65210.400000000001</v>
      </c>
      <c r="Z36" s="2231">
        <v>0.2</v>
      </c>
      <c r="AA36" s="1891">
        <v>13042.080000000002</v>
      </c>
      <c r="AB36" s="2418">
        <v>7070.3910845440614</v>
      </c>
      <c r="AC36" s="1916">
        <f t="shared" si="2"/>
        <v>20112.471084544064</v>
      </c>
      <c r="AD36" s="1892"/>
      <c r="AE36" s="2419">
        <v>3.1548759396094472E-3</v>
      </c>
    </row>
    <row r="37" spans="1:31">
      <c r="A37" s="1400">
        <v>18230611</v>
      </c>
      <c r="C37" s="1667"/>
      <c r="D37" s="3009"/>
      <c r="E37" s="3010"/>
      <c r="F37" s="3011"/>
      <c r="H37" s="2398" t="s">
        <v>917</v>
      </c>
      <c r="I37" s="1976">
        <v>4.6500000000000004</v>
      </c>
      <c r="J37" s="1878" t="s">
        <v>110</v>
      </c>
      <c r="K37" s="1879" t="s">
        <v>993</v>
      </c>
      <c r="L37" s="1881">
        <v>6.46</v>
      </c>
      <c r="M37" s="1881">
        <v>6.46</v>
      </c>
      <c r="N37" s="1461"/>
      <c r="O37" s="1883">
        <v>30</v>
      </c>
      <c r="P37" s="1884" t="s">
        <v>880</v>
      </c>
      <c r="Q37" s="3227">
        <v>0</v>
      </c>
      <c r="R37" s="2392">
        <v>0</v>
      </c>
      <c r="S37" s="2228">
        <f t="shared" si="0"/>
        <v>0</v>
      </c>
      <c r="T37" s="2985">
        <v>0</v>
      </c>
      <c r="U37" s="1919">
        <f t="shared" si="3"/>
        <v>0</v>
      </c>
      <c r="V37" s="1915">
        <f t="shared" si="4"/>
        <v>0</v>
      </c>
      <c r="W37" s="2989">
        <v>0</v>
      </c>
      <c r="X37" s="1916">
        <f t="shared" si="5"/>
        <v>0</v>
      </c>
      <c r="Y37" s="1916">
        <f t="shared" si="1"/>
        <v>0</v>
      </c>
      <c r="Z37" s="2231">
        <v>0.2</v>
      </c>
      <c r="AA37" s="1891">
        <v>0</v>
      </c>
      <c r="AB37" s="2418">
        <v>0</v>
      </c>
      <c r="AC37" s="1916">
        <f t="shared" si="2"/>
        <v>0</v>
      </c>
      <c r="AD37" s="1892"/>
      <c r="AE37" s="2419">
        <v>0</v>
      </c>
    </row>
    <row r="38" spans="1:31">
      <c r="A38" s="1400" t="s">
        <v>4</v>
      </c>
      <c r="C38" s="1450" t="s">
        <v>1734</v>
      </c>
      <c r="D38" s="2777"/>
      <c r="E38" s="1452">
        <v>0.21</v>
      </c>
      <c r="F38" s="1485"/>
      <c r="H38" s="2408" t="s">
        <v>918</v>
      </c>
      <c r="I38" s="1976">
        <v>4.6500000000000004</v>
      </c>
      <c r="J38" s="1878" t="s">
        <v>110</v>
      </c>
      <c r="K38" s="1879" t="s">
        <v>993</v>
      </c>
      <c r="L38" s="1881">
        <v>6.46</v>
      </c>
      <c r="M38" s="1881">
        <v>6.46</v>
      </c>
      <c r="N38" s="1461"/>
      <c r="O38" s="1883">
        <v>30</v>
      </c>
      <c r="P38" s="1884" t="s">
        <v>880</v>
      </c>
      <c r="Q38" s="3227">
        <v>4810</v>
      </c>
      <c r="R38" s="2392">
        <v>4810</v>
      </c>
      <c r="S38" s="2228">
        <f t="shared" si="0"/>
        <v>9620</v>
      </c>
      <c r="T38" s="2985">
        <v>22366.5</v>
      </c>
      <c r="U38" s="1919">
        <f t="shared" si="3"/>
        <v>22366.5</v>
      </c>
      <c r="V38" s="1915">
        <f t="shared" si="4"/>
        <v>44733</v>
      </c>
      <c r="W38" s="2989">
        <v>31072.6</v>
      </c>
      <c r="X38" s="1916">
        <f t="shared" si="5"/>
        <v>31072.6</v>
      </c>
      <c r="Y38" s="1916">
        <f t="shared" si="1"/>
        <v>62145.2</v>
      </c>
      <c r="Z38" s="2231">
        <v>0.2</v>
      </c>
      <c r="AA38" s="1891">
        <v>12429.039999999999</v>
      </c>
      <c r="AB38" s="2418">
        <v>6738.048961932569</v>
      </c>
      <c r="AC38" s="1916">
        <f t="shared" si="2"/>
        <v>19167.088961932568</v>
      </c>
      <c r="AD38" s="1892"/>
      <c r="AE38" s="2419">
        <v>0</v>
      </c>
    </row>
    <row r="39" spans="1:31">
      <c r="C39" s="1667" t="s">
        <v>719</v>
      </c>
      <c r="D39" s="2778"/>
      <c r="E39" s="1641">
        <f>E15*E38</f>
        <v>21144.112499999999</v>
      </c>
      <c r="F39" s="1661">
        <f>SUM(D39:E39)</f>
        <v>21144.112499999999</v>
      </c>
      <c r="H39" s="2398" t="s">
        <v>919</v>
      </c>
      <c r="I39" s="1976">
        <v>1.1000000000000001</v>
      </c>
      <c r="J39" s="1878" t="s">
        <v>110</v>
      </c>
      <c r="K39" s="1879" t="s">
        <v>992</v>
      </c>
      <c r="L39" s="1881">
        <v>1.87</v>
      </c>
      <c r="M39" s="1881">
        <v>1.87</v>
      </c>
      <c r="N39" s="1461"/>
      <c r="O39" s="1883">
        <v>30</v>
      </c>
      <c r="P39" s="1884" t="s">
        <v>880</v>
      </c>
      <c r="Q39" s="3227">
        <v>0</v>
      </c>
      <c r="R39" s="2392">
        <v>525</v>
      </c>
      <c r="S39" s="2228">
        <f t="shared" si="0"/>
        <v>525</v>
      </c>
      <c r="T39" s="2985">
        <v>0</v>
      </c>
      <c r="U39" s="1919">
        <f t="shared" si="3"/>
        <v>577.5</v>
      </c>
      <c r="V39" s="1915">
        <f t="shared" si="4"/>
        <v>577.5</v>
      </c>
      <c r="W39" s="2989">
        <v>0</v>
      </c>
      <c r="X39" s="1916">
        <f t="shared" si="5"/>
        <v>981.75</v>
      </c>
      <c r="Y39" s="1916">
        <f t="shared" si="1"/>
        <v>981.75</v>
      </c>
      <c r="Z39" s="2231">
        <v>0.2</v>
      </c>
      <c r="AA39" s="1891">
        <v>196.35000000000002</v>
      </c>
      <c r="AB39" s="2418">
        <v>106.44554315341007</v>
      </c>
      <c r="AC39" s="1916">
        <f t="shared" si="2"/>
        <v>302.79554315341011</v>
      </c>
      <c r="AD39" s="1892"/>
      <c r="AE39" s="2419">
        <v>0</v>
      </c>
    </row>
    <row r="40" spans="1:31">
      <c r="B40" s="1489"/>
      <c r="C40" s="1667" t="s">
        <v>720</v>
      </c>
      <c r="D40" s="2785"/>
      <c r="E40" s="1641">
        <f>E27*E38</f>
        <v>3024</v>
      </c>
      <c r="F40" s="1661">
        <f t="shared" ref="F40" si="7">SUM(D40:E40)</f>
        <v>3024</v>
      </c>
      <c r="G40" s="1495"/>
      <c r="H40" s="2398" t="s">
        <v>920</v>
      </c>
      <c r="I40" s="2400">
        <v>0.91</v>
      </c>
      <c r="J40" s="1878" t="s">
        <v>110</v>
      </c>
      <c r="K40" s="1879" t="s">
        <v>992</v>
      </c>
      <c r="L40" s="1881">
        <v>1.87</v>
      </c>
      <c r="M40" s="1881">
        <v>1.87</v>
      </c>
      <c r="N40" s="1461"/>
      <c r="O40" s="1883">
        <v>30</v>
      </c>
      <c r="P40" s="1884" t="s">
        <v>846</v>
      </c>
      <c r="Q40" s="3227">
        <v>20377</v>
      </c>
      <c r="R40" s="2392">
        <v>25000</v>
      </c>
      <c r="S40" s="2228">
        <f t="shared" si="0"/>
        <v>45377</v>
      </c>
      <c r="T40" s="2985">
        <v>18543.07</v>
      </c>
      <c r="U40" s="1919">
        <f t="shared" si="3"/>
        <v>22750</v>
      </c>
      <c r="V40" s="1915">
        <f t="shared" si="4"/>
        <v>41293.07</v>
      </c>
      <c r="W40" s="2989">
        <v>38104.990000000005</v>
      </c>
      <c r="X40" s="1916">
        <f t="shared" si="5"/>
        <v>46750</v>
      </c>
      <c r="Y40" s="1916">
        <f t="shared" si="1"/>
        <v>84854.99</v>
      </c>
      <c r="Z40" s="2231">
        <v>0.2</v>
      </c>
      <c r="AA40" s="1891">
        <v>16970.998</v>
      </c>
      <c r="AB40" s="2418">
        <v>9200.3417365186451</v>
      </c>
      <c r="AC40" s="1916">
        <f t="shared" si="2"/>
        <v>26171.339736518647</v>
      </c>
      <c r="AD40" s="1892"/>
      <c r="AE40" s="2419">
        <v>1.4172807412021111E-2</v>
      </c>
    </row>
    <row r="41" spans="1:31">
      <c r="C41" s="1667"/>
      <c r="D41" s="3009"/>
      <c r="E41" s="3010"/>
      <c r="F41" s="3011"/>
      <c r="H41" s="2398" t="s">
        <v>921</v>
      </c>
      <c r="I41" s="2400">
        <v>0.5</v>
      </c>
      <c r="J41" s="1878" t="s">
        <v>110</v>
      </c>
      <c r="K41" s="1879" t="s">
        <v>992</v>
      </c>
      <c r="L41" s="1881">
        <v>2.2599999999999998</v>
      </c>
      <c r="M41" s="1881">
        <v>1.5</v>
      </c>
      <c r="N41" s="1461"/>
      <c r="O41" s="1883">
        <v>25</v>
      </c>
      <c r="P41" s="1884" t="s">
        <v>846</v>
      </c>
      <c r="Q41" s="3227">
        <v>99722</v>
      </c>
      <c r="R41" s="2392">
        <v>42000</v>
      </c>
      <c r="S41" s="2228">
        <f t="shared" si="0"/>
        <v>141722</v>
      </c>
      <c r="T41" s="2985">
        <v>49861</v>
      </c>
      <c r="U41" s="1919">
        <f t="shared" si="3"/>
        <v>21000</v>
      </c>
      <c r="V41" s="1915">
        <f t="shared" si="4"/>
        <v>70861</v>
      </c>
      <c r="W41" s="2989">
        <v>149583</v>
      </c>
      <c r="X41" s="1916">
        <f t="shared" si="5"/>
        <v>63000</v>
      </c>
      <c r="Y41" s="1916">
        <f t="shared" si="1"/>
        <v>212583</v>
      </c>
      <c r="Z41" s="2231">
        <v>0.2</v>
      </c>
      <c r="AA41" s="1891">
        <v>42516.600000000006</v>
      </c>
      <c r="AB41" s="2418">
        <v>23049.160071485996</v>
      </c>
      <c r="AC41" s="1916">
        <f t="shared" si="2"/>
        <v>65565.760071486002</v>
      </c>
      <c r="AD41" s="1892"/>
      <c r="AE41" s="2419">
        <v>3.0000000000000001E-3</v>
      </c>
    </row>
    <row r="42" spans="1:31">
      <c r="C42" s="1488"/>
      <c r="D42" s="2779"/>
      <c r="E42" s="1490"/>
      <c r="F42" s="1493"/>
      <c r="H42" s="2398" t="s">
        <v>922</v>
      </c>
      <c r="I42" s="1976">
        <v>1.4</v>
      </c>
      <c r="J42" s="1878" t="s">
        <v>110</v>
      </c>
      <c r="K42" s="1879" t="s">
        <v>992</v>
      </c>
      <c r="L42" s="1881">
        <v>2.2000000000000002</v>
      </c>
      <c r="M42" s="1881">
        <v>2.2000000000000002</v>
      </c>
      <c r="N42" s="1461"/>
      <c r="O42" s="1883">
        <v>30</v>
      </c>
      <c r="P42" s="1884" t="s">
        <v>846</v>
      </c>
      <c r="Q42" s="3227">
        <v>0</v>
      </c>
      <c r="R42" s="2392">
        <v>0</v>
      </c>
      <c r="S42" s="2228">
        <f t="shared" si="0"/>
        <v>0</v>
      </c>
      <c r="T42" s="2985">
        <v>0</v>
      </c>
      <c r="U42" s="1919">
        <f t="shared" si="3"/>
        <v>0</v>
      </c>
      <c r="V42" s="1915">
        <f t="shared" si="4"/>
        <v>0</v>
      </c>
      <c r="W42" s="2989">
        <v>0</v>
      </c>
      <c r="X42" s="1916">
        <f t="shared" si="5"/>
        <v>0</v>
      </c>
      <c r="Y42" s="1916">
        <f t="shared" si="1"/>
        <v>0</v>
      </c>
      <c r="Z42" s="2231">
        <v>0.2</v>
      </c>
      <c r="AA42" s="1891">
        <v>0</v>
      </c>
      <c r="AB42" s="2418">
        <v>0</v>
      </c>
      <c r="AC42" s="1916">
        <f t="shared" si="2"/>
        <v>0</v>
      </c>
      <c r="AD42" s="1892"/>
      <c r="AE42" s="2419">
        <v>0</v>
      </c>
    </row>
    <row r="43" spans="1:31">
      <c r="C43" s="1451" t="s">
        <v>46</v>
      </c>
      <c r="D43" s="2771">
        <f>SUM(D44:D47)</f>
        <v>45000</v>
      </c>
      <c r="E43" s="1464">
        <f>SUM(E44:E47)</f>
        <v>45000</v>
      </c>
      <c r="F43" s="1462">
        <f>D43+E43</f>
        <v>90000</v>
      </c>
      <c r="H43" s="2398" t="s">
        <v>923</v>
      </c>
      <c r="I43" s="1976">
        <v>1.47</v>
      </c>
      <c r="J43" s="1878" t="s">
        <v>110</v>
      </c>
      <c r="K43" s="1879" t="s">
        <v>992</v>
      </c>
      <c r="L43" s="1881">
        <v>2.46</v>
      </c>
      <c r="M43" s="1881">
        <v>2.46</v>
      </c>
      <c r="N43" s="1461"/>
      <c r="O43" s="1883">
        <v>25</v>
      </c>
      <c r="P43" s="1884" t="s">
        <v>846</v>
      </c>
      <c r="Q43" s="3227">
        <v>35712</v>
      </c>
      <c r="R43" s="2392">
        <v>26000</v>
      </c>
      <c r="S43" s="2228">
        <f t="shared" si="0"/>
        <v>61712</v>
      </c>
      <c r="T43" s="2985">
        <v>52496.639999999999</v>
      </c>
      <c r="U43" s="1919">
        <f t="shared" si="3"/>
        <v>38220</v>
      </c>
      <c r="V43" s="1915">
        <f t="shared" si="4"/>
        <v>90716.64</v>
      </c>
      <c r="W43" s="2989">
        <v>87851.520000000004</v>
      </c>
      <c r="X43" s="1916">
        <f t="shared" si="5"/>
        <v>63960</v>
      </c>
      <c r="Y43" s="1916">
        <f t="shared" si="1"/>
        <v>151811.52000000002</v>
      </c>
      <c r="Z43" s="2231">
        <v>0.2</v>
      </c>
      <c r="AA43" s="1891">
        <v>30362.304000000004</v>
      </c>
      <c r="AB43" s="2418">
        <v>16460.055720239143</v>
      </c>
      <c r="AC43" s="1916">
        <f t="shared" si="2"/>
        <v>46822.359720239147</v>
      </c>
      <c r="AD43" s="1892"/>
      <c r="AE43" s="2419">
        <v>0</v>
      </c>
    </row>
    <row r="44" spans="1:31">
      <c r="C44" s="1667" t="s">
        <v>12</v>
      </c>
      <c r="D44" s="2778">
        <v>45000</v>
      </c>
      <c r="E44" s="1520">
        <v>45000</v>
      </c>
      <c r="F44" s="1438">
        <f t="shared" ref="F44:F53" si="8">SUM(D44:E44)</f>
        <v>90000</v>
      </c>
      <c r="H44" s="2398" t="s">
        <v>924</v>
      </c>
      <c r="I44" s="2400">
        <v>1.02</v>
      </c>
      <c r="J44" s="1878" t="s">
        <v>110</v>
      </c>
      <c r="K44" s="1879" t="s">
        <v>992</v>
      </c>
      <c r="L44" s="1881">
        <v>2.2000000000000002</v>
      </c>
      <c r="M44" s="1881">
        <v>2.2000000000000002</v>
      </c>
      <c r="N44" s="1461"/>
      <c r="O44" s="1883">
        <v>30</v>
      </c>
      <c r="P44" s="1884" t="s">
        <v>878</v>
      </c>
      <c r="Q44" s="3227">
        <v>19185</v>
      </c>
      <c r="R44" s="2392">
        <v>19185</v>
      </c>
      <c r="S44" s="2228">
        <f t="shared" si="0"/>
        <v>38370</v>
      </c>
      <c r="T44" s="2985">
        <v>19568.7</v>
      </c>
      <c r="U44" s="1919">
        <f t="shared" si="3"/>
        <v>19568.7</v>
      </c>
      <c r="V44" s="1915">
        <f t="shared" si="4"/>
        <v>39137.4</v>
      </c>
      <c r="W44" s="2989">
        <v>42207</v>
      </c>
      <c r="X44" s="1916">
        <f t="shared" si="5"/>
        <v>42207</v>
      </c>
      <c r="Y44" s="1916">
        <f t="shared" si="1"/>
        <v>84414</v>
      </c>
      <c r="Z44" s="2231">
        <v>0.2</v>
      </c>
      <c r="AA44" s="1891">
        <v>16882.800000000003</v>
      </c>
      <c r="AB44" s="2418">
        <v>9152.527710467999</v>
      </c>
      <c r="AC44" s="1916">
        <f t="shared" si="2"/>
        <v>26035.327710468002</v>
      </c>
      <c r="AD44" s="1892"/>
      <c r="AE44" s="2419">
        <v>1.5838437054840622E-2</v>
      </c>
    </row>
    <row r="45" spans="1:31">
      <c r="C45" s="1423"/>
      <c r="D45" s="2778"/>
      <c r="E45" s="1520"/>
      <c r="F45" s="1438">
        <f t="shared" si="8"/>
        <v>0</v>
      </c>
      <c r="H45" s="2398" t="s">
        <v>925</v>
      </c>
      <c r="I45" s="2400">
        <v>0.2</v>
      </c>
      <c r="J45" s="1878" t="s">
        <v>110</v>
      </c>
      <c r="K45" s="1879" t="s">
        <v>992</v>
      </c>
      <c r="L45" s="1881">
        <v>1.4</v>
      </c>
      <c r="M45" s="1881">
        <v>1.25</v>
      </c>
      <c r="N45" s="1461"/>
      <c r="O45" s="1883">
        <v>25</v>
      </c>
      <c r="P45" s="1884" t="s">
        <v>878</v>
      </c>
      <c r="Q45" s="3227">
        <v>9709</v>
      </c>
      <c r="R45" s="2392">
        <v>15000</v>
      </c>
      <c r="S45" s="2228">
        <f t="shared" si="0"/>
        <v>24709</v>
      </c>
      <c r="T45" s="2985">
        <v>1941.8000000000002</v>
      </c>
      <c r="U45" s="1919">
        <f t="shared" si="3"/>
        <v>3000</v>
      </c>
      <c r="V45" s="1915">
        <f t="shared" si="4"/>
        <v>4941.8</v>
      </c>
      <c r="W45" s="2989">
        <v>12136.25</v>
      </c>
      <c r="X45" s="1916">
        <f t="shared" si="5"/>
        <v>18750</v>
      </c>
      <c r="Y45" s="1916">
        <f t="shared" si="1"/>
        <v>30886.25</v>
      </c>
      <c r="Z45" s="2231">
        <v>0.2</v>
      </c>
      <c r="AA45" s="1891">
        <v>6177.25</v>
      </c>
      <c r="AB45" s="2418">
        <v>3348.8196151994007</v>
      </c>
      <c r="AC45" s="1916">
        <f t="shared" si="2"/>
        <v>9526.0696151994016</v>
      </c>
      <c r="AD45" s="1892"/>
      <c r="AE45" s="2419">
        <v>1E-3</v>
      </c>
    </row>
    <row r="46" spans="1:31">
      <c r="C46" s="1423"/>
      <c r="D46" s="2778"/>
      <c r="E46" s="1520"/>
      <c r="F46" s="1438">
        <f t="shared" si="8"/>
        <v>0</v>
      </c>
      <c r="H46" s="2398" t="s">
        <v>926</v>
      </c>
      <c r="I46" s="1976">
        <v>0.66</v>
      </c>
      <c r="J46" s="1878" t="s">
        <v>110</v>
      </c>
      <c r="K46" s="1879" t="s">
        <v>992</v>
      </c>
      <c r="L46" s="1881">
        <v>1.1299999999999999</v>
      </c>
      <c r="M46" s="1881">
        <v>1.1299999999999999</v>
      </c>
      <c r="N46" s="1461"/>
      <c r="O46" s="1883">
        <v>30</v>
      </c>
      <c r="P46" s="1884" t="s">
        <v>878</v>
      </c>
      <c r="Q46" s="3227">
        <v>0</v>
      </c>
      <c r="R46" s="2392">
        <v>14350</v>
      </c>
      <c r="S46" s="2228">
        <f t="shared" si="0"/>
        <v>14350</v>
      </c>
      <c r="T46" s="2985">
        <v>0</v>
      </c>
      <c r="U46" s="1919">
        <f t="shared" si="3"/>
        <v>9471</v>
      </c>
      <c r="V46" s="1915">
        <f t="shared" si="4"/>
        <v>9471</v>
      </c>
      <c r="W46" s="2989">
        <v>0</v>
      </c>
      <c r="X46" s="1916">
        <f t="shared" si="5"/>
        <v>16215.499999999998</v>
      </c>
      <c r="Y46" s="1916">
        <f t="shared" si="1"/>
        <v>16215.499999999998</v>
      </c>
      <c r="Z46" s="2231">
        <v>0.2</v>
      </c>
      <c r="AA46" s="1891">
        <v>3243.1</v>
      </c>
      <c r="AB46" s="2418">
        <v>1758.1540157923309</v>
      </c>
      <c r="AC46" s="1916">
        <f t="shared" si="2"/>
        <v>5001.2540157923304</v>
      </c>
      <c r="AD46" s="1892"/>
      <c r="AE46" s="2419">
        <v>0</v>
      </c>
    </row>
    <row r="47" spans="1:31">
      <c r="C47" s="1423"/>
      <c r="D47" s="2778"/>
      <c r="E47" s="1520"/>
      <c r="F47" s="1438">
        <f t="shared" si="8"/>
        <v>0</v>
      </c>
      <c r="H47" s="2409" t="s">
        <v>927</v>
      </c>
      <c r="I47" s="2234">
        <v>0.61</v>
      </c>
      <c r="J47" s="2235" t="s">
        <v>110</v>
      </c>
      <c r="K47" s="2236" t="s">
        <v>992</v>
      </c>
      <c r="L47" s="2237">
        <v>1.38</v>
      </c>
      <c r="M47" s="2237">
        <v>1.38</v>
      </c>
      <c r="N47" s="2238"/>
      <c r="O47" s="2239">
        <v>30</v>
      </c>
      <c r="P47" s="2240" t="s">
        <v>880</v>
      </c>
      <c r="Q47" s="3227">
        <v>1610</v>
      </c>
      <c r="R47" s="2392">
        <v>1610</v>
      </c>
      <c r="S47" s="2228">
        <f t="shared" si="0"/>
        <v>3220</v>
      </c>
      <c r="T47" s="2985">
        <v>982.1</v>
      </c>
      <c r="U47" s="1919">
        <f t="shared" si="3"/>
        <v>982.1</v>
      </c>
      <c r="V47" s="1915">
        <f t="shared" si="4"/>
        <v>1964.2</v>
      </c>
      <c r="W47" s="2989">
        <v>2221.7999999999997</v>
      </c>
      <c r="X47" s="1916">
        <f t="shared" si="5"/>
        <v>2221.7999999999997</v>
      </c>
      <c r="Y47" s="1916">
        <f t="shared" si="1"/>
        <v>4443.5999999999995</v>
      </c>
      <c r="Z47" s="2231">
        <v>0.2</v>
      </c>
      <c r="AA47" s="1891">
        <v>888.71999999999991</v>
      </c>
      <c r="AB47" s="2418">
        <v>481.79415895746672</v>
      </c>
      <c r="AC47" s="1916">
        <f t="shared" si="2"/>
        <v>1370.5141589574666</v>
      </c>
      <c r="AD47" s="1892"/>
      <c r="AE47" s="2419">
        <v>0</v>
      </c>
    </row>
    <row r="48" spans="1:31">
      <c r="C48" s="1488"/>
      <c r="D48" s="2779"/>
      <c r="E48" s="1490"/>
      <c r="F48" s="1493"/>
      <c r="H48" s="2398" t="s">
        <v>928</v>
      </c>
      <c r="I48" s="1976">
        <v>2</v>
      </c>
      <c r="J48" s="1878" t="s">
        <v>110</v>
      </c>
      <c r="K48" s="1879" t="s">
        <v>992</v>
      </c>
      <c r="L48" s="1881">
        <v>2.75</v>
      </c>
      <c r="M48" s="1881">
        <v>2.75</v>
      </c>
      <c r="N48" s="1461"/>
      <c r="O48" s="1883">
        <v>30</v>
      </c>
      <c r="P48" s="1884" t="s">
        <v>880</v>
      </c>
      <c r="Q48" s="3227">
        <v>0</v>
      </c>
      <c r="R48" s="2392">
        <v>450</v>
      </c>
      <c r="S48" s="2228">
        <f t="shared" si="0"/>
        <v>450</v>
      </c>
      <c r="T48" s="2985">
        <v>0</v>
      </c>
      <c r="U48" s="1919">
        <f t="shared" si="3"/>
        <v>900</v>
      </c>
      <c r="V48" s="1915">
        <f t="shared" si="4"/>
        <v>900</v>
      </c>
      <c r="W48" s="2989">
        <v>0</v>
      </c>
      <c r="X48" s="1916">
        <f t="shared" si="5"/>
        <v>1237.5</v>
      </c>
      <c r="Y48" s="1916">
        <f t="shared" si="1"/>
        <v>1237.5</v>
      </c>
      <c r="Z48" s="2231">
        <v>0.2</v>
      </c>
      <c r="AA48" s="1891">
        <v>247.5</v>
      </c>
      <c r="AB48" s="2418">
        <v>134.1750543950547</v>
      </c>
      <c r="AC48" s="1916">
        <f t="shared" si="2"/>
        <v>381.6750543950547</v>
      </c>
      <c r="AD48" s="1892"/>
      <c r="AE48" s="2419">
        <v>0</v>
      </c>
    </row>
    <row r="49" spans="2:31">
      <c r="C49" s="1597" t="s">
        <v>483</v>
      </c>
      <c r="D49" s="2771">
        <f>SUM(D50:D53)</f>
        <v>4000</v>
      </c>
      <c r="E49" s="1464">
        <f>SUM(E50:E53)</f>
        <v>4000</v>
      </c>
      <c r="F49" s="1462">
        <f>D49+E49</f>
        <v>8000</v>
      </c>
      <c r="H49" s="2398" t="s">
        <v>929</v>
      </c>
      <c r="I49" s="1976">
        <v>1.68</v>
      </c>
      <c r="J49" s="1878" t="s">
        <v>110</v>
      </c>
      <c r="K49" s="1879" t="s">
        <v>992</v>
      </c>
      <c r="L49" s="1881">
        <v>2.75</v>
      </c>
      <c r="M49" s="1881">
        <v>2.75</v>
      </c>
      <c r="N49" s="1461"/>
      <c r="O49" s="1883">
        <v>25</v>
      </c>
      <c r="P49" s="1884" t="s">
        <v>880</v>
      </c>
      <c r="Q49" s="3227">
        <v>1433</v>
      </c>
      <c r="R49" s="2392">
        <v>100</v>
      </c>
      <c r="S49" s="2228">
        <f t="shared" si="0"/>
        <v>1533</v>
      </c>
      <c r="T49" s="2985">
        <v>2407.44</v>
      </c>
      <c r="U49" s="1919">
        <f t="shared" si="3"/>
        <v>168</v>
      </c>
      <c r="V49" s="1915">
        <f t="shared" si="4"/>
        <v>2575.44</v>
      </c>
      <c r="W49" s="2989">
        <v>3940.75</v>
      </c>
      <c r="X49" s="1916">
        <f t="shared" si="5"/>
        <v>275</v>
      </c>
      <c r="Y49" s="1916">
        <f t="shared" si="1"/>
        <v>4215.75</v>
      </c>
      <c r="Z49" s="2231">
        <v>0.2</v>
      </c>
      <c r="AA49" s="1891">
        <v>843.15000000000009</v>
      </c>
      <c r="AB49" s="2418">
        <v>457.08968530581978</v>
      </c>
      <c r="AC49" s="1916">
        <f t="shared" si="2"/>
        <v>1300.2396853058199</v>
      </c>
      <c r="AD49" s="1892"/>
      <c r="AE49" s="2419">
        <v>0</v>
      </c>
    </row>
    <row r="50" spans="2:31">
      <c r="C50" s="1667"/>
      <c r="D50" s="2778">
        <v>4000</v>
      </c>
      <c r="E50" s="1520">
        <v>4000</v>
      </c>
      <c r="F50" s="1438">
        <f t="shared" si="8"/>
        <v>8000</v>
      </c>
      <c r="H50" s="2398" t="s">
        <v>930</v>
      </c>
      <c r="I50" s="2400">
        <v>1.78</v>
      </c>
      <c r="J50" s="1878" t="s">
        <v>110</v>
      </c>
      <c r="K50" s="1879" t="s">
        <v>992</v>
      </c>
      <c r="L50" s="1881">
        <v>2.75</v>
      </c>
      <c r="M50" s="1881">
        <v>2.75</v>
      </c>
      <c r="N50" s="1461"/>
      <c r="O50" s="1883">
        <v>30</v>
      </c>
      <c r="P50" s="1884" t="s">
        <v>880</v>
      </c>
      <c r="Q50" s="3227">
        <v>6902</v>
      </c>
      <c r="R50" s="2392">
        <v>6902</v>
      </c>
      <c r="S50" s="2228">
        <f t="shared" si="0"/>
        <v>13804</v>
      </c>
      <c r="T50" s="2985">
        <v>12285.56</v>
      </c>
      <c r="U50" s="1919">
        <f t="shared" si="3"/>
        <v>12285.56</v>
      </c>
      <c r="V50" s="1915">
        <f t="shared" si="4"/>
        <v>24571.119999999999</v>
      </c>
      <c r="W50" s="2989">
        <v>18980.5</v>
      </c>
      <c r="X50" s="1916">
        <f t="shared" si="5"/>
        <v>18980.5</v>
      </c>
      <c r="Y50" s="1916">
        <f t="shared" si="1"/>
        <v>37961</v>
      </c>
      <c r="Z50" s="2231">
        <v>0.2</v>
      </c>
      <c r="AA50" s="1891">
        <v>7592.2000000000007</v>
      </c>
      <c r="AB50" s="2418">
        <v>4115.8943352651895</v>
      </c>
      <c r="AC50" s="1916">
        <f t="shared" si="2"/>
        <v>11708.09433526519</v>
      </c>
      <c r="AD50" s="1892"/>
      <c r="AE50" s="2419">
        <v>2.7619390344973307E-2</v>
      </c>
    </row>
    <row r="51" spans="2:31">
      <c r="C51" s="1423"/>
      <c r="D51" s="2778"/>
      <c r="E51" s="1520"/>
      <c r="F51" s="1438">
        <f t="shared" si="8"/>
        <v>0</v>
      </c>
      <c r="H51" s="2398" t="s">
        <v>931</v>
      </c>
      <c r="I51" s="1976">
        <v>139</v>
      </c>
      <c r="J51" s="1878" t="s">
        <v>110</v>
      </c>
      <c r="K51" s="1879" t="s">
        <v>845</v>
      </c>
      <c r="L51" s="1881">
        <v>40.5</v>
      </c>
      <c r="M51" s="1881">
        <v>40.5</v>
      </c>
      <c r="N51" s="1461"/>
      <c r="O51" s="1883">
        <v>10</v>
      </c>
      <c r="P51" s="1884" t="s">
        <v>880</v>
      </c>
      <c r="Q51" s="3227">
        <v>0</v>
      </c>
      <c r="R51" s="2392">
        <v>44</v>
      </c>
      <c r="S51" s="2228">
        <f t="shared" si="0"/>
        <v>44</v>
      </c>
      <c r="T51" s="2985">
        <v>0</v>
      </c>
      <c r="U51" s="1919">
        <f t="shared" si="3"/>
        <v>6116</v>
      </c>
      <c r="V51" s="1915">
        <f t="shared" si="4"/>
        <v>6116</v>
      </c>
      <c r="W51" s="2989">
        <v>0</v>
      </c>
      <c r="X51" s="1916">
        <f t="shared" si="5"/>
        <v>1782</v>
      </c>
      <c r="Y51" s="1916">
        <f t="shared" si="1"/>
        <v>1782</v>
      </c>
      <c r="Z51" s="2231">
        <v>0.2</v>
      </c>
      <c r="AA51" s="1891">
        <v>356.40000000000003</v>
      </c>
      <c r="AB51" s="2418">
        <v>193.21207832887879</v>
      </c>
      <c r="AC51" s="1916">
        <f t="shared" si="2"/>
        <v>549.61207832887885</v>
      </c>
      <c r="AD51" s="1892"/>
      <c r="AE51" s="2419">
        <v>17</v>
      </c>
    </row>
    <row r="52" spans="2:31">
      <c r="B52" s="1489"/>
      <c r="C52" s="1423"/>
      <c r="D52" s="2778"/>
      <c r="E52" s="1520"/>
      <c r="F52" s="1438">
        <f t="shared" si="8"/>
        <v>0</v>
      </c>
      <c r="G52" s="1495"/>
      <c r="H52" s="2398" t="s">
        <v>932</v>
      </c>
      <c r="I52" s="1976">
        <v>139</v>
      </c>
      <c r="J52" s="1878" t="s">
        <v>110</v>
      </c>
      <c r="K52" s="1879" t="s">
        <v>845</v>
      </c>
      <c r="L52" s="1881">
        <v>40.5</v>
      </c>
      <c r="M52" s="1881">
        <v>40.5</v>
      </c>
      <c r="N52" s="1461"/>
      <c r="O52" s="1883">
        <v>10</v>
      </c>
      <c r="P52" s="1884"/>
      <c r="Q52" s="3227">
        <v>300</v>
      </c>
      <c r="R52" s="2392">
        <v>50</v>
      </c>
      <c r="S52" s="2228">
        <f t="shared" si="0"/>
        <v>350</v>
      </c>
      <c r="T52" s="2985">
        <v>41700</v>
      </c>
      <c r="U52" s="1919">
        <f t="shared" si="3"/>
        <v>6950</v>
      </c>
      <c r="V52" s="1915">
        <f t="shared" si="4"/>
        <v>48650</v>
      </c>
      <c r="W52" s="2989">
        <v>12150</v>
      </c>
      <c r="X52" s="1916">
        <f t="shared" si="5"/>
        <v>2025</v>
      </c>
      <c r="Y52" s="1916">
        <f t="shared" si="1"/>
        <v>14175</v>
      </c>
      <c r="Z52" s="2231">
        <v>0.2</v>
      </c>
      <c r="AA52" s="1891">
        <v>2835</v>
      </c>
      <c r="AB52" s="2418">
        <v>1536.9142594342632</v>
      </c>
      <c r="AC52" s="1916">
        <f t="shared" si="2"/>
        <v>4371.9142594342629</v>
      </c>
      <c r="AD52" s="1892"/>
      <c r="AE52" s="2419">
        <v>17</v>
      </c>
    </row>
    <row r="53" spans="2:31">
      <c r="C53" s="1423"/>
      <c r="D53" s="2778"/>
      <c r="E53" s="1520"/>
      <c r="F53" s="1438">
        <f t="shared" si="8"/>
        <v>0</v>
      </c>
      <c r="H53" s="2398" t="s">
        <v>933</v>
      </c>
      <c r="I53" s="1976">
        <v>139</v>
      </c>
      <c r="J53" s="1878" t="s">
        <v>110</v>
      </c>
      <c r="K53" s="1879" t="s">
        <v>845</v>
      </c>
      <c r="L53" s="1881">
        <v>40.5</v>
      </c>
      <c r="M53" s="1881">
        <v>40.5</v>
      </c>
      <c r="N53" s="1461"/>
      <c r="O53" s="1883">
        <v>10</v>
      </c>
      <c r="P53" s="1884" t="s">
        <v>846</v>
      </c>
      <c r="Q53" s="3227">
        <v>200</v>
      </c>
      <c r="R53" s="2392">
        <v>6</v>
      </c>
      <c r="S53" s="2228">
        <f t="shared" si="0"/>
        <v>206</v>
      </c>
      <c r="T53" s="2985">
        <v>27800</v>
      </c>
      <c r="U53" s="1919">
        <f t="shared" si="3"/>
        <v>834</v>
      </c>
      <c r="V53" s="1915">
        <f t="shared" si="4"/>
        <v>28634</v>
      </c>
      <c r="W53" s="2989">
        <v>8100</v>
      </c>
      <c r="X53" s="1916">
        <f t="shared" si="5"/>
        <v>243</v>
      </c>
      <c r="Y53" s="1916">
        <f t="shared" si="1"/>
        <v>8343</v>
      </c>
      <c r="Z53" s="2231">
        <v>0.2</v>
      </c>
      <c r="AA53" s="1891">
        <v>1668.6000000000001</v>
      </c>
      <c r="AB53" s="2418">
        <v>904.58382126702338</v>
      </c>
      <c r="AC53" s="1916">
        <f t="shared" si="2"/>
        <v>2573.1838212670236</v>
      </c>
      <c r="AD53" s="1892"/>
      <c r="AE53" s="2419">
        <v>17</v>
      </c>
    </row>
    <row r="54" spans="2:31">
      <c r="C54" s="1488"/>
      <c r="D54" s="2779"/>
      <c r="E54" s="1490"/>
      <c r="F54" s="1493"/>
      <c r="H54" s="2398" t="s">
        <v>934</v>
      </c>
      <c r="I54" s="2410">
        <v>973</v>
      </c>
      <c r="J54" s="1878" t="s">
        <v>110</v>
      </c>
      <c r="K54" s="1879" t="s">
        <v>845</v>
      </c>
      <c r="L54" s="1881">
        <v>500</v>
      </c>
      <c r="M54" s="1881">
        <v>500</v>
      </c>
      <c r="N54" s="1461"/>
      <c r="O54" s="1883">
        <v>18</v>
      </c>
      <c r="P54" s="1884" t="s">
        <v>846</v>
      </c>
      <c r="Q54" s="3227">
        <v>104</v>
      </c>
      <c r="R54" s="2392">
        <v>104</v>
      </c>
      <c r="S54" s="2228">
        <f t="shared" si="0"/>
        <v>208</v>
      </c>
      <c r="T54" s="2985">
        <v>101192</v>
      </c>
      <c r="U54" s="1919">
        <f t="shared" si="3"/>
        <v>101192</v>
      </c>
      <c r="V54" s="1915">
        <f t="shared" si="4"/>
        <v>202384</v>
      </c>
      <c r="W54" s="2989">
        <v>52000</v>
      </c>
      <c r="X54" s="1916">
        <f t="shared" si="5"/>
        <v>52000</v>
      </c>
      <c r="Y54" s="1916">
        <f t="shared" si="1"/>
        <v>104000</v>
      </c>
      <c r="Z54" s="2231">
        <v>0.2</v>
      </c>
      <c r="AA54" s="1891">
        <v>20800</v>
      </c>
      <c r="AB54" s="2418">
        <v>11276.125783503589</v>
      </c>
      <c r="AC54" s="1916">
        <f t="shared" si="2"/>
        <v>32076.125783503587</v>
      </c>
      <c r="AD54" s="1892"/>
      <c r="AE54" s="2419">
        <v>0</v>
      </c>
    </row>
    <row r="55" spans="2:31">
      <c r="C55" s="1451" t="s">
        <v>47</v>
      </c>
      <c r="D55" s="2771">
        <f>SUM(D56:D59)</f>
        <v>25000</v>
      </c>
      <c r="E55" s="1464">
        <f>SUM(E56:E59)</f>
        <v>6500</v>
      </c>
      <c r="F55" s="1462">
        <f>D55+E55</f>
        <v>31500</v>
      </c>
      <c r="H55" s="2398" t="s">
        <v>935</v>
      </c>
      <c r="I55" s="2399">
        <v>735</v>
      </c>
      <c r="J55" s="1878" t="s">
        <v>110</v>
      </c>
      <c r="K55" s="1879" t="s">
        <v>845</v>
      </c>
      <c r="L55" s="1881">
        <v>500</v>
      </c>
      <c r="M55" s="1881">
        <v>500</v>
      </c>
      <c r="N55" s="1461"/>
      <c r="O55" s="1883">
        <v>20</v>
      </c>
      <c r="P55" s="1884" t="s">
        <v>846</v>
      </c>
      <c r="Q55" s="3227">
        <v>20</v>
      </c>
      <c r="R55" s="2392">
        <v>20</v>
      </c>
      <c r="S55" s="2228">
        <f t="shared" si="0"/>
        <v>40</v>
      </c>
      <c r="T55" s="2985">
        <v>14700</v>
      </c>
      <c r="U55" s="1919">
        <f t="shared" si="3"/>
        <v>14700</v>
      </c>
      <c r="V55" s="1915">
        <f t="shared" si="4"/>
        <v>29400</v>
      </c>
      <c r="W55" s="2989">
        <v>10000</v>
      </c>
      <c r="X55" s="1916">
        <f t="shared" si="5"/>
        <v>10000</v>
      </c>
      <c r="Y55" s="1916">
        <f t="shared" si="1"/>
        <v>20000</v>
      </c>
      <c r="Z55" s="2231">
        <v>0.2</v>
      </c>
      <c r="AA55" s="1891">
        <v>4000</v>
      </c>
      <c r="AB55" s="2418">
        <v>2168.4857275968438</v>
      </c>
      <c r="AC55" s="1916">
        <f t="shared" si="2"/>
        <v>6168.4857275968443</v>
      </c>
      <c r="AD55" s="1892"/>
      <c r="AE55" s="2419">
        <v>11</v>
      </c>
    </row>
    <row r="56" spans="2:31">
      <c r="C56" s="1667"/>
      <c r="D56" s="2778">
        <v>25000</v>
      </c>
      <c r="E56" s="1520">
        <v>6500</v>
      </c>
      <c r="F56" s="1438">
        <f t="shared" ref="F56:F71" si="9">SUM(D56:E56)</f>
        <v>31500</v>
      </c>
      <c r="H56" s="2398" t="s">
        <v>936</v>
      </c>
      <c r="I56" s="2400">
        <v>0.2</v>
      </c>
      <c r="J56" s="1878" t="s">
        <v>110</v>
      </c>
      <c r="K56" s="1879" t="s">
        <v>992</v>
      </c>
      <c r="L56" s="1881">
        <v>1</v>
      </c>
      <c r="M56" s="1881">
        <v>1</v>
      </c>
      <c r="N56" s="1461"/>
      <c r="O56" s="1883">
        <v>25</v>
      </c>
      <c r="P56" s="1884" t="s">
        <v>994</v>
      </c>
      <c r="Q56" s="3227">
        <v>128601</v>
      </c>
      <c r="R56" s="2392">
        <v>48000</v>
      </c>
      <c r="S56" s="2228">
        <f t="shared" si="0"/>
        <v>176601</v>
      </c>
      <c r="T56" s="2985">
        <v>25720.2</v>
      </c>
      <c r="U56" s="1919">
        <f t="shared" si="3"/>
        <v>9600</v>
      </c>
      <c r="V56" s="1915">
        <f t="shared" si="4"/>
        <v>35320.199999999997</v>
      </c>
      <c r="W56" s="2989">
        <v>128601</v>
      </c>
      <c r="X56" s="1916">
        <f t="shared" si="5"/>
        <v>48000</v>
      </c>
      <c r="Y56" s="1916">
        <f t="shared" si="1"/>
        <v>176601</v>
      </c>
      <c r="Z56" s="2231">
        <v>0.2</v>
      </c>
      <c r="AA56" s="1891">
        <v>35320.200000000004</v>
      </c>
      <c r="AB56" s="2418">
        <v>19147.837398966512</v>
      </c>
      <c r="AC56" s="1916">
        <f t="shared" si="2"/>
        <v>54468.037398966517</v>
      </c>
      <c r="AD56" s="1892"/>
      <c r="AE56" s="2419">
        <v>2E-3</v>
      </c>
    </row>
    <row r="57" spans="2:31">
      <c r="B57" s="1201"/>
      <c r="C57" s="1423"/>
      <c r="D57" s="2778"/>
      <c r="E57" s="1520"/>
      <c r="F57" s="1438">
        <f t="shared" si="9"/>
        <v>0</v>
      </c>
      <c r="G57" s="1489"/>
      <c r="H57" s="2398" t="s">
        <v>937</v>
      </c>
      <c r="I57" s="2400">
        <v>0.48</v>
      </c>
      <c r="J57" s="1878" t="s">
        <v>110</v>
      </c>
      <c r="K57" s="1879" t="s">
        <v>992</v>
      </c>
      <c r="L57" s="1881">
        <v>1</v>
      </c>
      <c r="M57" s="1881">
        <v>1</v>
      </c>
      <c r="N57" s="1461"/>
      <c r="O57" s="1883">
        <v>15</v>
      </c>
      <c r="P57" s="1884" t="s">
        <v>994</v>
      </c>
      <c r="Q57" s="3227">
        <v>72849</v>
      </c>
      <c r="R57" s="2392">
        <v>72849</v>
      </c>
      <c r="S57" s="2228">
        <f t="shared" si="0"/>
        <v>145698</v>
      </c>
      <c r="T57" s="2985">
        <v>34967.519999999997</v>
      </c>
      <c r="U57" s="1919">
        <f t="shared" si="3"/>
        <v>34967.519999999997</v>
      </c>
      <c r="V57" s="1915">
        <f t="shared" si="4"/>
        <v>69935.039999999994</v>
      </c>
      <c r="W57" s="2989">
        <v>72849</v>
      </c>
      <c r="X57" s="1916">
        <f t="shared" si="5"/>
        <v>72849</v>
      </c>
      <c r="Y57" s="1916">
        <f t="shared" si="1"/>
        <v>145698</v>
      </c>
      <c r="Z57" s="2231">
        <v>0.2</v>
      </c>
      <c r="AA57" s="1891">
        <v>29139.600000000002</v>
      </c>
      <c r="AB57" s="2418">
        <v>15797.201676970248</v>
      </c>
      <c r="AC57" s="1916">
        <f t="shared" si="2"/>
        <v>44936.801676970252</v>
      </c>
      <c r="AD57" s="1892"/>
      <c r="AE57" s="2419">
        <v>0.01</v>
      </c>
    </row>
    <row r="58" spans="2:31">
      <c r="C58" s="1423"/>
      <c r="D58" s="2778"/>
      <c r="E58" s="1520"/>
      <c r="F58" s="1438">
        <f t="shared" si="9"/>
        <v>0</v>
      </c>
      <c r="H58" s="2398" t="s">
        <v>938</v>
      </c>
      <c r="I58" s="1976">
        <v>2.1800000000000002</v>
      </c>
      <c r="J58" s="1878" t="s">
        <v>110</v>
      </c>
      <c r="K58" s="1879" t="s">
        <v>992</v>
      </c>
      <c r="L58" s="1881">
        <v>2.1800000000000002</v>
      </c>
      <c r="M58" s="1881">
        <v>2.1800000000000002</v>
      </c>
      <c r="N58" s="1461"/>
      <c r="O58" s="1883">
        <v>30</v>
      </c>
      <c r="P58" s="1884" t="s">
        <v>995</v>
      </c>
      <c r="Q58" s="3227">
        <v>100000</v>
      </c>
      <c r="R58" s="2392">
        <v>215000</v>
      </c>
      <c r="S58" s="2228">
        <f t="shared" si="0"/>
        <v>315000</v>
      </c>
      <c r="T58" s="2985">
        <v>218000.00000000003</v>
      </c>
      <c r="U58" s="1919">
        <f t="shared" si="3"/>
        <v>468700.00000000006</v>
      </c>
      <c r="V58" s="1915">
        <f t="shared" si="4"/>
        <v>686700.00000000012</v>
      </c>
      <c r="W58" s="2989">
        <v>218000.00000000003</v>
      </c>
      <c r="X58" s="1916">
        <f t="shared" si="5"/>
        <v>468700.00000000006</v>
      </c>
      <c r="Y58" s="1916">
        <f t="shared" si="1"/>
        <v>686700.00000000012</v>
      </c>
      <c r="Z58" s="2231">
        <v>0.2</v>
      </c>
      <c r="AA58" s="1891">
        <v>137340</v>
      </c>
      <c r="AB58" s="2418">
        <v>74454.957457037628</v>
      </c>
      <c r="AC58" s="1916">
        <f t="shared" si="2"/>
        <v>211794.95745703764</v>
      </c>
      <c r="AD58" s="1892"/>
      <c r="AE58" s="2419">
        <v>0</v>
      </c>
    </row>
    <row r="59" spans="2:31">
      <c r="C59" s="1423"/>
      <c r="D59" s="2778"/>
      <c r="E59" s="1520"/>
      <c r="F59" s="1438">
        <f t="shared" si="9"/>
        <v>0</v>
      </c>
      <c r="H59" s="2398" t="s">
        <v>939</v>
      </c>
      <c r="I59" s="2399">
        <v>143</v>
      </c>
      <c r="J59" s="1878" t="s">
        <v>110</v>
      </c>
      <c r="K59" s="1879" t="s">
        <v>845</v>
      </c>
      <c r="L59" s="1881">
        <v>250</v>
      </c>
      <c r="M59" s="1881">
        <v>250</v>
      </c>
      <c r="N59" s="1461"/>
      <c r="O59" s="1883">
        <v>15</v>
      </c>
      <c r="P59" s="1884" t="s">
        <v>994</v>
      </c>
      <c r="Q59" s="3227">
        <v>25</v>
      </c>
      <c r="R59" s="2392">
        <v>44</v>
      </c>
      <c r="S59" s="2228">
        <f t="shared" si="0"/>
        <v>69</v>
      </c>
      <c r="T59" s="2985">
        <v>3575</v>
      </c>
      <c r="U59" s="1919">
        <f t="shared" si="3"/>
        <v>6292</v>
      </c>
      <c r="V59" s="1915">
        <f t="shared" si="4"/>
        <v>9867</v>
      </c>
      <c r="W59" s="2989">
        <v>6250</v>
      </c>
      <c r="X59" s="1916">
        <f t="shared" si="5"/>
        <v>11000</v>
      </c>
      <c r="Y59" s="1916">
        <f t="shared" si="1"/>
        <v>17250</v>
      </c>
      <c r="Z59" s="2231">
        <v>0.2</v>
      </c>
      <c r="AA59" s="1891">
        <v>3450</v>
      </c>
      <c r="AB59" s="2418">
        <v>1870.3189400522779</v>
      </c>
      <c r="AC59" s="1916">
        <f t="shared" si="2"/>
        <v>5320.3189400522779</v>
      </c>
      <c r="AD59" s="1892"/>
      <c r="AE59" s="2419">
        <v>0</v>
      </c>
    </row>
    <row r="60" spans="2:31">
      <c r="C60" s="1488"/>
      <c r="D60" s="2779"/>
      <c r="E60" s="1490"/>
      <c r="F60" s="1493"/>
      <c r="G60" s="1422"/>
      <c r="H60" s="2398" t="s">
        <v>940</v>
      </c>
      <c r="I60" s="2399">
        <v>143</v>
      </c>
      <c r="J60" s="1878" t="s">
        <v>110</v>
      </c>
      <c r="K60" s="1879" t="s">
        <v>845</v>
      </c>
      <c r="L60" s="1881">
        <v>50</v>
      </c>
      <c r="M60" s="1881">
        <v>50</v>
      </c>
      <c r="N60" s="1461"/>
      <c r="O60" s="1883">
        <v>15</v>
      </c>
      <c r="P60" s="1884" t="s">
        <v>995</v>
      </c>
      <c r="Q60" s="3227">
        <v>77</v>
      </c>
      <c r="R60" s="2392">
        <v>77</v>
      </c>
      <c r="S60" s="2228">
        <f t="shared" si="0"/>
        <v>154</v>
      </c>
      <c r="T60" s="2985">
        <v>11011</v>
      </c>
      <c r="U60" s="1919">
        <f t="shared" si="3"/>
        <v>11011</v>
      </c>
      <c r="V60" s="1915">
        <f t="shared" si="4"/>
        <v>22022</v>
      </c>
      <c r="W60" s="2989">
        <v>3850</v>
      </c>
      <c r="X60" s="1916">
        <f t="shared" si="5"/>
        <v>3850</v>
      </c>
      <c r="Y60" s="1916">
        <f t="shared" si="1"/>
        <v>7700</v>
      </c>
      <c r="Z60" s="2231">
        <v>0.2</v>
      </c>
      <c r="AA60" s="1891">
        <v>1540</v>
      </c>
      <c r="AB60" s="2418">
        <v>834.8670051247849</v>
      </c>
      <c r="AC60" s="1916">
        <f t="shared" si="2"/>
        <v>2374.867005124785</v>
      </c>
      <c r="AD60" s="1892"/>
      <c r="AE60" s="2419">
        <v>0</v>
      </c>
    </row>
    <row r="61" spans="2:31">
      <c r="C61" s="1451" t="s">
        <v>48</v>
      </c>
      <c r="D61" s="2771">
        <f>SUM(D62:D65)</f>
        <v>1000</v>
      </c>
      <c r="E61" s="1464">
        <f>SUM(E62:E65)</f>
        <v>1000</v>
      </c>
      <c r="F61" s="1462">
        <f>D61+E61</f>
        <v>2000</v>
      </c>
      <c r="G61" s="54"/>
      <c r="H61" s="2398" t="s">
        <v>941</v>
      </c>
      <c r="I61" s="2399">
        <v>143</v>
      </c>
      <c r="J61" s="1878" t="s">
        <v>110</v>
      </c>
      <c r="K61" s="1879" t="s">
        <v>845</v>
      </c>
      <c r="L61" s="1881">
        <v>50</v>
      </c>
      <c r="M61" s="1881">
        <v>50</v>
      </c>
      <c r="N61" s="1461"/>
      <c r="O61" s="1883">
        <v>15</v>
      </c>
      <c r="P61" s="1884" t="s">
        <v>880</v>
      </c>
      <c r="Q61" s="3227">
        <v>73</v>
      </c>
      <c r="R61" s="2392">
        <v>74</v>
      </c>
      <c r="S61" s="2228">
        <f t="shared" si="0"/>
        <v>147</v>
      </c>
      <c r="T61" s="2985">
        <v>10439</v>
      </c>
      <c r="U61" s="1919">
        <f t="shared" si="3"/>
        <v>10582</v>
      </c>
      <c r="V61" s="1915">
        <f t="shared" si="4"/>
        <v>21021</v>
      </c>
      <c r="W61" s="2989">
        <v>3650</v>
      </c>
      <c r="X61" s="1916">
        <f t="shared" si="5"/>
        <v>3700</v>
      </c>
      <c r="Y61" s="1916">
        <f t="shared" si="1"/>
        <v>7350</v>
      </c>
      <c r="Z61" s="2231">
        <v>0.2</v>
      </c>
      <c r="AA61" s="1891">
        <v>1470</v>
      </c>
      <c r="AB61" s="2418">
        <v>796.91850489184014</v>
      </c>
      <c r="AC61" s="1916">
        <f t="shared" si="2"/>
        <v>2266.9185048918403</v>
      </c>
      <c r="AD61" s="1892"/>
      <c r="AE61" s="2419">
        <v>0</v>
      </c>
    </row>
    <row r="62" spans="2:31">
      <c r="C62" s="1423"/>
      <c r="D62" s="2778">
        <v>1000</v>
      </c>
      <c r="E62" s="1504">
        <v>1000</v>
      </c>
      <c r="F62" s="1438">
        <f t="shared" si="9"/>
        <v>2000</v>
      </c>
      <c r="G62" s="1118"/>
      <c r="H62" s="2398" t="s">
        <v>942</v>
      </c>
      <c r="I62" s="2399">
        <v>143</v>
      </c>
      <c r="J62" s="1878" t="s">
        <v>110</v>
      </c>
      <c r="K62" s="1879" t="s">
        <v>845</v>
      </c>
      <c r="L62" s="1881">
        <v>50</v>
      </c>
      <c r="M62" s="1881">
        <v>50</v>
      </c>
      <c r="N62" s="1461"/>
      <c r="O62" s="1883">
        <v>15</v>
      </c>
      <c r="P62" s="1884" t="s">
        <v>880</v>
      </c>
      <c r="Q62" s="3227">
        <v>6</v>
      </c>
      <c r="R62" s="2392">
        <v>96</v>
      </c>
      <c r="S62" s="2228">
        <f t="shared" si="0"/>
        <v>102</v>
      </c>
      <c r="T62" s="2985">
        <v>858</v>
      </c>
      <c r="U62" s="1919">
        <f t="shared" si="3"/>
        <v>13728</v>
      </c>
      <c r="V62" s="1915">
        <f t="shared" si="4"/>
        <v>14586</v>
      </c>
      <c r="W62" s="2989">
        <v>300</v>
      </c>
      <c r="X62" s="1916">
        <f t="shared" si="5"/>
        <v>4800</v>
      </c>
      <c r="Y62" s="1916">
        <f t="shared" si="1"/>
        <v>5100</v>
      </c>
      <c r="Z62" s="2231">
        <v>0.2</v>
      </c>
      <c r="AA62" s="1891">
        <v>1020.0000000000001</v>
      </c>
      <c r="AB62" s="2418">
        <v>552.96386053719516</v>
      </c>
      <c r="AC62" s="1916">
        <f t="shared" si="2"/>
        <v>1572.9638605371952</v>
      </c>
      <c r="AD62" s="1892"/>
      <c r="AE62" s="2419">
        <v>0</v>
      </c>
    </row>
    <row r="63" spans="2:31">
      <c r="C63" s="1423"/>
      <c r="D63" s="2778"/>
      <c r="E63" s="1504"/>
      <c r="F63" s="1438">
        <f t="shared" si="9"/>
        <v>0</v>
      </c>
      <c r="G63" s="1119"/>
      <c r="H63" s="2398" t="s">
        <v>943</v>
      </c>
      <c r="I63" s="1976">
        <v>20</v>
      </c>
      <c r="J63" s="1878" t="s">
        <v>110</v>
      </c>
      <c r="K63" s="1879" t="s">
        <v>993</v>
      </c>
      <c r="L63" s="1881">
        <v>20</v>
      </c>
      <c r="M63" s="1881">
        <v>20</v>
      </c>
      <c r="N63" s="1461"/>
      <c r="O63" s="1883">
        <v>15</v>
      </c>
      <c r="P63" s="1884" t="s">
        <v>880</v>
      </c>
      <c r="Q63" s="3227">
        <v>6</v>
      </c>
      <c r="R63" s="2392">
        <v>46</v>
      </c>
      <c r="S63" s="2228">
        <f t="shared" si="0"/>
        <v>52</v>
      </c>
      <c r="T63" s="2985">
        <v>120</v>
      </c>
      <c r="U63" s="1919">
        <f t="shared" si="3"/>
        <v>920</v>
      </c>
      <c r="V63" s="1915">
        <f t="shared" si="4"/>
        <v>1040</v>
      </c>
      <c r="W63" s="2989">
        <v>120</v>
      </c>
      <c r="X63" s="1916">
        <f t="shared" si="5"/>
        <v>920</v>
      </c>
      <c r="Y63" s="1916">
        <f t="shared" si="1"/>
        <v>1040</v>
      </c>
      <c r="Z63" s="2231">
        <v>0.2</v>
      </c>
      <c r="AA63" s="1891">
        <v>208</v>
      </c>
      <c r="AB63" s="2418">
        <v>112.76125783503588</v>
      </c>
      <c r="AC63" s="1916">
        <f t="shared" si="2"/>
        <v>320.76125783503585</v>
      </c>
      <c r="AD63" s="1892"/>
      <c r="AE63" s="2419">
        <v>0</v>
      </c>
    </row>
    <row r="64" spans="2:31">
      <c r="B64" s="1489"/>
      <c r="C64" s="1423"/>
      <c r="D64" s="2778"/>
      <c r="E64" s="1504"/>
      <c r="F64" s="1438">
        <f t="shared" si="9"/>
        <v>0</v>
      </c>
      <c r="G64" s="1119"/>
      <c r="H64" s="2398" t="s">
        <v>944</v>
      </c>
      <c r="I64" s="1976">
        <v>20</v>
      </c>
      <c r="J64" s="1878" t="s">
        <v>110</v>
      </c>
      <c r="K64" s="1879" t="s">
        <v>993</v>
      </c>
      <c r="L64" s="1881">
        <v>20</v>
      </c>
      <c r="M64" s="1881">
        <v>20</v>
      </c>
      <c r="N64" s="1461"/>
      <c r="O64" s="1883">
        <v>15</v>
      </c>
      <c r="P64" s="1884" t="s">
        <v>995</v>
      </c>
      <c r="Q64" s="3227">
        <v>73</v>
      </c>
      <c r="R64" s="2392">
        <v>56</v>
      </c>
      <c r="S64" s="2228">
        <f t="shared" si="0"/>
        <v>129</v>
      </c>
      <c r="T64" s="2985">
        <v>1460</v>
      </c>
      <c r="U64" s="1919">
        <f t="shared" si="3"/>
        <v>1120</v>
      </c>
      <c r="V64" s="1915">
        <f t="shared" si="4"/>
        <v>2580</v>
      </c>
      <c r="W64" s="2989">
        <v>1460</v>
      </c>
      <c r="X64" s="1916">
        <f t="shared" si="5"/>
        <v>1120</v>
      </c>
      <c r="Y64" s="1916">
        <f t="shared" si="1"/>
        <v>2580</v>
      </c>
      <c r="Z64" s="2231">
        <v>0.2</v>
      </c>
      <c r="AA64" s="1891">
        <v>516</v>
      </c>
      <c r="AB64" s="2418">
        <v>279.73465885999286</v>
      </c>
      <c r="AC64" s="1916">
        <f t="shared" si="2"/>
        <v>795.73465885999281</v>
      </c>
      <c r="AD64" s="1892"/>
      <c r="AE64" s="2419">
        <v>0</v>
      </c>
    </row>
    <row r="65" spans="1:31">
      <c r="B65" s="1489"/>
      <c r="C65" s="1423"/>
      <c r="D65" s="2778"/>
      <c r="E65" s="1504"/>
      <c r="F65" s="1438">
        <f t="shared" si="9"/>
        <v>0</v>
      </c>
      <c r="G65" s="1425"/>
      <c r="H65" s="2398" t="s">
        <v>945</v>
      </c>
      <c r="I65" s="1976">
        <v>20</v>
      </c>
      <c r="J65" s="1878" t="s">
        <v>110</v>
      </c>
      <c r="K65" s="1879" t="s">
        <v>993</v>
      </c>
      <c r="L65" s="1881">
        <v>20</v>
      </c>
      <c r="M65" s="1881">
        <v>20</v>
      </c>
      <c r="N65" s="1461"/>
      <c r="O65" s="1883">
        <v>15</v>
      </c>
      <c r="P65" s="1884" t="s">
        <v>994</v>
      </c>
      <c r="Q65" s="3227">
        <v>33</v>
      </c>
      <c r="R65" s="2392">
        <v>60</v>
      </c>
      <c r="S65" s="2228">
        <f t="shared" si="0"/>
        <v>93</v>
      </c>
      <c r="T65" s="2985">
        <v>660</v>
      </c>
      <c r="U65" s="1919">
        <f t="shared" si="3"/>
        <v>1200</v>
      </c>
      <c r="V65" s="1915">
        <f t="shared" si="4"/>
        <v>1860</v>
      </c>
      <c r="W65" s="2989">
        <v>660</v>
      </c>
      <c r="X65" s="1916">
        <f t="shared" si="5"/>
        <v>1200</v>
      </c>
      <c r="Y65" s="1916">
        <f t="shared" si="1"/>
        <v>1860</v>
      </c>
      <c r="Z65" s="2231">
        <v>0.2</v>
      </c>
      <c r="AA65" s="1891">
        <v>372</v>
      </c>
      <c r="AB65" s="2418">
        <v>201.66917266650648</v>
      </c>
      <c r="AC65" s="1916">
        <f t="shared" si="2"/>
        <v>573.66917266650648</v>
      </c>
      <c r="AD65" s="1892"/>
      <c r="AE65" s="2419">
        <v>0</v>
      </c>
    </row>
    <row r="66" spans="1:31">
      <c r="B66" s="1201"/>
      <c r="C66" s="1488"/>
      <c r="D66" s="2779"/>
      <c r="E66" s="1490"/>
      <c r="F66" s="1493"/>
      <c r="G66" s="1121"/>
      <c r="H66" s="2398" t="s">
        <v>946</v>
      </c>
      <c r="I66" s="1976">
        <v>15.4</v>
      </c>
      <c r="J66" s="1878" t="s">
        <v>110</v>
      </c>
      <c r="K66" s="1879" t="s">
        <v>992</v>
      </c>
      <c r="L66" s="1881">
        <v>35</v>
      </c>
      <c r="M66" s="1881">
        <v>8</v>
      </c>
      <c r="O66" s="1883">
        <v>30</v>
      </c>
      <c r="P66" s="1884" t="s">
        <v>995</v>
      </c>
      <c r="Q66" s="3227">
        <v>0</v>
      </c>
      <c r="R66" s="2392">
        <v>0</v>
      </c>
      <c r="S66" s="2228">
        <f t="shared" si="0"/>
        <v>0</v>
      </c>
      <c r="T66" s="2985">
        <v>0</v>
      </c>
      <c r="U66" s="1919">
        <f t="shared" si="3"/>
        <v>0</v>
      </c>
      <c r="V66" s="1915">
        <f t="shared" si="4"/>
        <v>0</v>
      </c>
      <c r="W66" s="2989">
        <v>0</v>
      </c>
      <c r="X66" s="1916">
        <f t="shared" si="5"/>
        <v>0</v>
      </c>
      <c r="Y66" s="1916">
        <f t="shared" si="1"/>
        <v>0</v>
      </c>
      <c r="Z66" s="2231">
        <v>0.2</v>
      </c>
      <c r="AA66" s="1891">
        <v>0</v>
      </c>
      <c r="AB66" s="2418">
        <v>0</v>
      </c>
      <c r="AC66" s="1916">
        <f t="shared" si="2"/>
        <v>0</v>
      </c>
      <c r="AD66" s="1892"/>
      <c r="AE66" s="2419">
        <v>0</v>
      </c>
    </row>
    <row r="67" spans="1:31" ht="25.5">
      <c r="A67" s="1401" t="s">
        <v>165</v>
      </c>
      <c r="B67" s="1489"/>
      <c r="C67" s="1451" t="s">
        <v>49</v>
      </c>
      <c r="D67" s="2771">
        <f>SUM(D68:D71)</f>
        <v>1000</v>
      </c>
      <c r="E67" s="1464">
        <f>SUM(E68:E71)</f>
        <v>1000</v>
      </c>
      <c r="F67" s="1462">
        <f>D67+E67</f>
        <v>2000</v>
      </c>
      <c r="G67" s="1119"/>
      <c r="H67" s="2398" t="s">
        <v>947</v>
      </c>
      <c r="I67" s="2400">
        <v>6.13</v>
      </c>
      <c r="J67" s="1878" t="s">
        <v>110</v>
      </c>
      <c r="K67" s="1879" t="s">
        <v>992</v>
      </c>
      <c r="L67" s="1881">
        <v>35</v>
      </c>
      <c r="M67" s="1881">
        <v>8</v>
      </c>
      <c r="O67" s="1883">
        <v>30</v>
      </c>
      <c r="P67" s="1884" t="s">
        <v>995</v>
      </c>
      <c r="Q67" s="3227">
        <v>0</v>
      </c>
      <c r="R67" s="2392">
        <v>0</v>
      </c>
      <c r="S67" s="2228">
        <f t="shared" si="0"/>
        <v>0</v>
      </c>
      <c r="T67" s="2985">
        <v>0</v>
      </c>
      <c r="U67" s="1919">
        <f t="shared" si="3"/>
        <v>0</v>
      </c>
      <c r="V67" s="1915">
        <f t="shared" si="4"/>
        <v>0</v>
      </c>
      <c r="W67" s="2989">
        <v>0</v>
      </c>
      <c r="X67" s="1916">
        <f t="shared" si="5"/>
        <v>0</v>
      </c>
      <c r="Y67" s="1916">
        <f t="shared" si="1"/>
        <v>0</v>
      </c>
      <c r="Z67" s="2231">
        <v>0.2</v>
      </c>
      <c r="AA67" s="1891">
        <v>0</v>
      </c>
      <c r="AB67" s="2418">
        <v>0</v>
      </c>
      <c r="AC67" s="1916">
        <f t="shared" si="2"/>
        <v>0</v>
      </c>
      <c r="AD67" s="1892"/>
      <c r="AE67" s="2419">
        <v>8.7572239977268568E-2</v>
      </c>
    </row>
    <row r="68" spans="1:31">
      <c r="A68" s="1357" t="s">
        <v>281</v>
      </c>
      <c r="C68" s="1423"/>
      <c r="D68" s="2778">
        <v>1000</v>
      </c>
      <c r="E68" s="1520">
        <v>1000</v>
      </c>
      <c r="F68" s="1438">
        <f t="shared" si="9"/>
        <v>2000</v>
      </c>
      <c r="G68" s="1119"/>
      <c r="H68" s="2398" t="s">
        <v>948</v>
      </c>
      <c r="I68" s="1976">
        <v>12.8</v>
      </c>
      <c r="J68" s="1878" t="s">
        <v>110</v>
      </c>
      <c r="K68" s="1879" t="s">
        <v>992</v>
      </c>
      <c r="L68" s="1881">
        <v>32.520000000000003</v>
      </c>
      <c r="M68" s="1881">
        <v>6</v>
      </c>
      <c r="O68" s="1883">
        <v>30</v>
      </c>
      <c r="P68" s="1884" t="s">
        <v>995</v>
      </c>
      <c r="Q68" s="3227">
        <v>0</v>
      </c>
      <c r="R68" s="2392">
        <v>0</v>
      </c>
      <c r="S68" s="2228">
        <f t="shared" si="0"/>
        <v>0</v>
      </c>
      <c r="T68" s="2985">
        <v>0</v>
      </c>
      <c r="U68" s="1919">
        <f t="shared" si="3"/>
        <v>0</v>
      </c>
      <c r="V68" s="1915">
        <f t="shared" si="4"/>
        <v>0</v>
      </c>
      <c r="W68" s="2989">
        <v>0</v>
      </c>
      <c r="X68" s="1916">
        <f t="shared" si="5"/>
        <v>0</v>
      </c>
      <c r="Y68" s="1916">
        <f t="shared" si="1"/>
        <v>0</v>
      </c>
      <c r="Z68" s="2231">
        <v>0.2</v>
      </c>
      <c r="AA68" s="1891">
        <v>0</v>
      </c>
      <c r="AB68" s="2418">
        <v>0</v>
      </c>
      <c r="AC68" s="1916">
        <f t="shared" si="2"/>
        <v>0</v>
      </c>
      <c r="AD68" s="1892"/>
      <c r="AE68" s="2419">
        <v>0</v>
      </c>
    </row>
    <row r="69" spans="1:31">
      <c r="A69" s="1400" t="s">
        <v>5</v>
      </c>
      <c r="C69" s="1423"/>
      <c r="D69" s="2778"/>
      <c r="E69" s="1520"/>
      <c r="F69" s="1438">
        <f t="shared" si="9"/>
        <v>0</v>
      </c>
      <c r="G69" s="1119"/>
      <c r="H69" s="2398" t="s">
        <v>949</v>
      </c>
      <c r="I69" s="1976">
        <v>12.26</v>
      </c>
      <c r="J69" s="1878" t="s">
        <v>110</v>
      </c>
      <c r="K69" s="1879" t="s">
        <v>992</v>
      </c>
      <c r="L69" s="1881">
        <v>32.520000000000003</v>
      </c>
      <c r="M69" s="1881">
        <v>10</v>
      </c>
      <c r="O69" s="1883">
        <v>25</v>
      </c>
      <c r="P69" s="1884" t="s">
        <v>994</v>
      </c>
      <c r="Q69" s="3227">
        <v>46</v>
      </c>
      <c r="R69" s="2392">
        <v>46</v>
      </c>
      <c r="S69" s="2228">
        <f t="shared" si="0"/>
        <v>92</v>
      </c>
      <c r="T69" s="2985">
        <v>563.96</v>
      </c>
      <c r="U69" s="1919">
        <f t="shared" si="3"/>
        <v>563.96</v>
      </c>
      <c r="V69" s="1915">
        <f t="shared" si="4"/>
        <v>1127.92</v>
      </c>
      <c r="W69" s="2989">
        <v>460</v>
      </c>
      <c r="X69" s="1916">
        <f t="shared" si="5"/>
        <v>460</v>
      </c>
      <c r="Y69" s="1916">
        <f t="shared" si="1"/>
        <v>920</v>
      </c>
      <c r="Z69" s="2231">
        <v>0.2</v>
      </c>
      <c r="AA69" s="1891">
        <v>184.00000000000003</v>
      </c>
      <c r="AB69" s="2418">
        <v>99.750343469454805</v>
      </c>
      <c r="AC69" s="1916">
        <f t="shared" si="2"/>
        <v>283.75034346945483</v>
      </c>
      <c r="AD69" s="1892"/>
      <c r="AE69" s="2419">
        <v>0</v>
      </c>
    </row>
    <row r="70" spans="1:31">
      <c r="A70" s="1400">
        <v>18230611</v>
      </c>
      <c r="C70" s="1423"/>
      <c r="D70" s="2778"/>
      <c r="E70" s="1520"/>
      <c r="F70" s="1437">
        <f t="shared" si="9"/>
        <v>0</v>
      </c>
      <c r="G70" s="1119"/>
      <c r="H70" s="2398" t="s">
        <v>950</v>
      </c>
      <c r="I70" s="2400">
        <v>5.28</v>
      </c>
      <c r="J70" s="1878" t="s">
        <v>110</v>
      </c>
      <c r="K70" s="1879" t="s">
        <v>992</v>
      </c>
      <c r="L70" s="1881">
        <v>32.520000000000003</v>
      </c>
      <c r="M70" s="1881">
        <v>10</v>
      </c>
      <c r="O70" s="1883">
        <v>30</v>
      </c>
      <c r="P70" s="1884" t="s">
        <v>995</v>
      </c>
      <c r="Q70" s="3227">
        <v>0</v>
      </c>
      <c r="R70" s="2392">
        <v>0</v>
      </c>
      <c r="S70" s="2228">
        <f t="shared" si="0"/>
        <v>0</v>
      </c>
      <c r="T70" s="2985">
        <v>0</v>
      </c>
      <c r="U70" s="1919">
        <f t="shared" si="3"/>
        <v>0</v>
      </c>
      <c r="V70" s="1915">
        <f t="shared" si="4"/>
        <v>0</v>
      </c>
      <c r="W70" s="2989">
        <v>0</v>
      </c>
      <c r="X70" s="1916">
        <f t="shared" si="5"/>
        <v>0</v>
      </c>
      <c r="Y70" s="1916">
        <f t="shared" si="1"/>
        <v>0</v>
      </c>
      <c r="Z70" s="2231">
        <v>0.2</v>
      </c>
      <c r="AA70" s="1891">
        <v>0</v>
      </c>
      <c r="AB70" s="2418">
        <v>0</v>
      </c>
      <c r="AC70" s="1916">
        <f t="shared" si="2"/>
        <v>0</v>
      </c>
      <c r="AD70" s="1892"/>
      <c r="AE70" s="2419">
        <v>7.4736022866343274E-2</v>
      </c>
    </row>
    <row r="71" spans="1:31">
      <c r="A71" s="1400" t="s">
        <v>4</v>
      </c>
      <c r="C71" s="1423"/>
      <c r="D71" s="2778"/>
      <c r="E71" s="1520"/>
      <c r="F71" s="1438">
        <f t="shared" si="9"/>
        <v>0</v>
      </c>
      <c r="G71" s="1119"/>
      <c r="H71" s="2398" t="s">
        <v>951</v>
      </c>
      <c r="I71" s="1976">
        <v>23.7</v>
      </c>
      <c r="J71" s="1878" t="s">
        <v>110</v>
      </c>
      <c r="K71" s="1879" t="s">
        <v>992</v>
      </c>
      <c r="L71" s="1881">
        <v>32.520000000000003</v>
      </c>
      <c r="M71" s="1881">
        <v>16.2</v>
      </c>
      <c r="O71" s="1883">
        <v>30</v>
      </c>
      <c r="P71" s="1884" t="s">
        <v>995</v>
      </c>
      <c r="Q71" s="3227">
        <v>0</v>
      </c>
      <c r="R71" s="2392">
        <v>0</v>
      </c>
      <c r="S71" s="2228">
        <f t="shared" si="0"/>
        <v>0</v>
      </c>
      <c r="T71" s="2985">
        <v>0</v>
      </c>
      <c r="U71" s="1919">
        <f t="shared" si="3"/>
        <v>0</v>
      </c>
      <c r="V71" s="1915">
        <f t="shared" si="4"/>
        <v>0</v>
      </c>
      <c r="W71" s="2989">
        <v>0</v>
      </c>
      <c r="X71" s="1916">
        <f t="shared" si="5"/>
        <v>0</v>
      </c>
      <c r="Y71" s="1916">
        <f t="shared" si="1"/>
        <v>0</v>
      </c>
      <c r="Z71" s="2231">
        <v>0.2</v>
      </c>
      <c r="AA71" s="1891">
        <v>0</v>
      </c>
      <c r="AB71" s="2418">
        <v>0</v>
      </c>
      <c r="AC71" s="1916">
        <f t="shared" si="2"/>
        <v>0</v>
      </c>
      <c r="AD71" s="1892"/>
      <c r="AE71" s="2419">
        <v>0</v>
      </c>
    </row>
    <row r="72" spans="1:31">
      <c r="C72" s="1488"/>
      <c r="D72" s="2779"/>
      <c r="E72" s="1490"/>
      <c r="F72" s="1493"/>
      <c r="G72" s="1119"/>
      <c r="H72" s="2398" t="s">
        <v>952</v>
      </c>
      <c r="I72" s="1976">
        <v>20.11</v>
      </c>
      <c r="J72" s="1878" t="s">
        <v>110</v>
      </c>
      <c r="K72" s="1879" t="s">
        <v>992</v>
      </c>
      <c r="L72" s="1881">
        <v>32.520000000000003</v>
      </c>
      <c r="M72" s="1881">
        <v>12</v>
      </c>
      <c r="O72" s="1883">
        <v>25</v>
      </c>
      <c r="P72" s="1884" t="s">
        <v>994</v>
      </c>
      <c r="Q72" s="3227">
        <v>1000</v>
      </c>
      <c r="R72" s="2392">
        <v>860</v>
      </c>
      <c r="S72" s="2228">
        <f t="shared" si="0"/>
        <v>1860</v>
      </c>
      <c r="T72" s="2985">
        <v>20110</v>
      </c>
      <c r="U72" s="1919">
        <f t="shared" si="3"/>
        <v>17294.599999999999</v>
      </c>
      <c r="V72" s="1915">
        <f t="shared" si="4"/>
        <v>37404.6</v>
      </c>
      <c r="W72" s="2989">
        <v>12000</v>
      </c>
      <c r="X72" s="1916">
        <f t="shared" si="5"/>
        <v>10320</v>
      </c>
      <c r="Y72" s="1916">
        <f t="shared" si="1"/>
        <v>22320</v>
      </c>
      <c r="Z72" s="2231">
        <v>0.2</v>
      </c>
      <c r="AA72" s="1891">
        <v>4464</v>
      </c>
      <c r="AB72" s="2418">
        <v>2420.0300719980778</v>
      </c>
      <c r="AC72" s="1916">
        <f t="shared" si="2"/>
        <v>6884.0300719980778</v>
      </c>
      <c r="AD72" s="1892"/>
      <c r="AE72" s="2419">
        <v>0</v>
      </c>
    </row>
    <row r="73" spans="1:31">
      <c r="C73" s="1451" t="s">
        <v>50</v>
      </c>
      <c r="D73" s="2771">
        <f>W15</f>
        <v>2561403.3624999998</v>
      </c>
      <c r="E73" s="1464">
        <f>X15</f>
        <v>2869803.835</v>
      </c>
      <c r="F73" s="1462">
        <f>D73+E73</f>
        <v>5431207.1974999998</v>
      </c>
      <c r="G73" s="52"/>
      <c r="H73" s="2398" t="s">
        <v>953</v>
      </c>
      <c r="I73" s="2400">
        <v>11.4</v>
      </c>
      <c r="J73" s="1878" t="s">
        <v>110</v>
      </c>
      <c r="K73" s="1879" t="s">
        <v>992</v>
      </c>
      <c r="L73" s="1881">
        <v>32.520000000000003</v>
      </c>
      <c r="M73" s="1881">
        <v>13</v>
      </c>
      <c r="O73" s="1883">
        <v>30</v>
      </c>
      <c r="P73" s="1884" t="s">
        <v>995</v>
      </c>
      <c r="Q73" s="3227">
        <v>403</v>
      </c>
      <c r="R73" s="2392">
        <v>400</v>
      </c>
      <c r="S73" s="2228">
        <f t="shared" si="0"/>
        <v>803</v>
      </c>
      <c r="T73" s="2985">
        <v>4594.2</v>
      </c>
      <c r="U73" s="1919">
        <f t="shared" si="3"/>
        <v>4560</v>
      </c>
      <c r="V73" s="1915">
        <f t="shared" si="4"/>
        <v>9154.2000000000007</v>
      </c>
      <c r="W73" s="2989">
        <v>5239</v>
      </c>
      <c r="X73" s="1916">
        <f t="shared" si="5"/>
        <v>5200</v>
      </c>
      <c r="Y73" s="1916">
        <f t="shared" si="1"/>
        <v>10439</v>
      </c>
      <c r="Z73" s="2231">
        <v>0.2</v>
      </c>
      <c r="AA73" s="1891">
        <v>2087.8000000000002</v>
      </c>
      <c r="AB73" s="2418">
        <v>1131.8411255191727</v>
      </c>
      <c r="AC73" s="1916">
        <f t="shared" si="2"/>
        <v>3219.6411255191729</v>
      </c>
      <c r="AD73" s="1892"/>
      <c r="AE73" s="2419">
        <v>0.16630451850935446</v>
      </c>
    </row>
    <row r="74" spans="1:31">
      <c r="C74" s="1500" t="s">
        <v>297</v>
      </c>
      <c r="D74" s="2938">
        <f>D73/D12</f>
        <v>0.75632907819041384</v>
      </c>
      <c r="E74" s="1986">
        <f>E73/E12</f>
        <v>0.76826641838614351</v>
      </c>
      <c r="F74" s="1499"/>
      <c r="H74" s="2398" t="s">
        <v>954</v>
      </c>
      <c r="I74" s="2400">
        <v>26.3</v>
      </c>
      <c r="J74" s="1878" t="s">
        <v>110</v>
      </c>
      <c r="K74" s="1879" t="s">
        <v>992</v>
      </c>
      <c r="L74" s="1881">
        <v>35</v>
      </c>
      <c r="M74" s="1881">
        <v>18</v>
      </c>
      <c r="O74" s="1883">
        <v>30</v>
      </c>
      <c r="P74" s="1884" t="s">
        <v>995</v>
      </c>
      <c r="Q74" s="3228">
        <v>0</v>
      </c>
      <c r="R74" s="2393">
        <v>0</v>
      </c>
      <c r="S74" s="2228">
        <f t="shared" si="0"/>
        <v>0</v>
      </c>
      <c r="T74" s="2985">
        <v>0</v>
      </c>
      <c r="U74" s="1919">
        <f t="shared" si="3"/>
        <v>0</v>
      </c>
      <c r="V74" s="1915">
        <f t="shared" si="4"/>
        <v>0</v>
      </c>
      <c r="W74" s="2989">
        <v>0</v>
      </c>
      <c r="X74" s="1916">
        <f t="shared" si="5"/>
        <v>0</v>
      </c>
      <c r="Y74" s="1916">
        <f t="shared" si="1"/>
        <v>0</v>
      </c>
      <c r="Z74" s="2231">
        <v>0.2</v>
      </c>
      <c r="AA74" s="1891">
        <v>0</v>
      </c>
      <c r="AB74" s="2418">
        <v>0</v>
      </c>
      <c r="AC74" s="1916">
        <f t="shared" si="2"/>
        <v>0</v>
      </c>
      <c r="AD74" s="1892"/>
      <c r="AE74" s="2419">
        <v>0.18144845922080971</v>
      </c>
    </row>
    <row r="75" spans="1:31">
      <c r="C75" s="1501"/>
      <c r="D75" s="2782"/>
      <c r="E75" s="1497"/>
      <c r="F75" s="1498"/>
      <c r="H75" s="2398" t="s">
        <v>955</v>
      </c>
      <c r="I75" s="1976">
        <v>20.13</v>
      </c>
      <c r="J75" s="1878" t="s">
        <v>110</v>
      </c>
      <c r="K75" s="1879" t="s">
        <v>992</v>
      </c>
      <c r="L75" s="1881">
        <v>35</v>
      </c>
      <c r="M75" s="1881">
        <v>18</v>
      </c>
      <c r="O75" s="1883">
        <v>30</v>
      </c>
      <c r="P75" s="1884" t="s">
        <v>994</v>
      </c>
      <c r="Q75" s="3228">
        <v>0</v>
      </c>
      <c r="R75" s="2393">
        <v>0</v>
      </c>
      <c r="S75" s="2228">
        <f t="shared" si="0"/>
        <v>0</v>
      </c>
      <c r="T75" s="2985">
        <v>0</v>
      </c>
      <c r="U75" s="1919">
        <f t="shared" si="3"/>
        <v>0</v>
      </c>
      <c r="V75" s="1915">
        <f t="shared" si="4"/>
        <v>0</v>
      </c>
      <c r="W75" s="2989">
        <v>0</v>
      </c>
      <c r="X75" s="1916">
        <f t="shared" si="5"/>
        <v>0</v>
      </c>
      <c r="Y75" s="1916">
        <f t="shared" si="1"/>
        <v>0</v>
      </c>
      <c r="Z75" s="2231">
        <v>0.2</v>
      </c>
      <c r="AA75" s="1891">
        <v>0</v>
      </c>
      <c r="AB75" s="2418">
        <v>0</v>
      </c>
      <c r="AC75" s="1916">
        <f t="shared" si="2"/>
        <v>0</v>
      </c>
      <c r="AD75" s="1892"/>
      <c r="AE75" s="2419">
        <v>0</v>
      </c>
    </row>
    <row r="76" spans="1:31">
      <c r="C76" s="1494" t="s">
        <v>51</v>
      </c>
      <c r="D76" s="2778">
        <v>0</v>
      </c>
      <c r="E76" s="1503">
        <v>0</v>
      </c>
      <c r="F76" s="1491">
        <v>0</v>
      </c>
      <c r="H76" s="2398" t="s">
        <v>956</v>
      </c>
      <c r="I76" s="1976">
        <v>49</v>
      </c>
      <c r="J76" s="1878" t="s">
        <v>110</v>
      </c>
      <c r="K76" s="1879" t="s">
        <v>845</v>
      </c>
      <c r="L76" s="1881">
        <v>67.5</v>
      </c>
      <c r="M76" s="1881">
        <v>67.5</v>
      </c>
      <c r="O76" s="1883">
        <v>15</v>
      </c>
      <c r="P76" s="1884" t="s">
        <v>994</v>
      </c>
      <c r="Q76" s="3228">
        <v>1</v>
      </c>
      <c r="R76" s="2393">
        <v>1</v>
      </c>
      <c r="S76" s="2228">
        <f t="shared" si="0"/>
        <v>2</v>
      </c>
      <c r="T76" s="2985">
        <v>348</v>
      </c>
      <c r="U76" s="1919">
        <f t="shared" si="3"/>
        <v>49</v>
      </c>
      <c r="V76" s="1915">
        <f t="shared" si="4"/>
        <v>397</v>
      </c>
      <c r="W76" s="2989">
        <v>202.5</v>
      </c>
      <c r="X76" s="1916">
        <f t="shared" si="5"/>
        <v>67.5</v>
      </c>
      <c r="Y76" s="1916">
        <f t="shared" si="1"/>
        <v>270</v>
      </c>
      <c r="Z76" s="2231">
        <v>0.2</v>
      </c>
      <c r="AA76" s="1891">
        <v>27</v>
      </c>
      <c r="AB76" s="2418">
        <v>14.637278661278696</v>
      </c>
      <c r="AC76" s="1916">
        <f t="shared" si="2"/>
        <v>41.6372786612787</v>
      </c>
      <c r="AD76" s="1892"/>
      <c r="AE76" s="2419">
        <v>0</v>
      </c>
    </row>
    <row r="77" spans="1:31">
      <c r="C77" s="1204"/>
      <c r="D77" s="1442" t="s">
        <v>299</v>
      </c>
      <c r="E77" s="1206"/>
      <c r="F77" s="1206"/>
      <c r="H77" s="2398" t="s">
        <v>957</v>
      </c>
      <c r="I77" s="1976">
        <v>54135</v>
      </c>
      <c r="J77" s="1878" t="s">
        <v>110</v>
      </c>
      <c r="K77" s="1879" t="s">
        <v>991</v>
      </c>
      <c r="L77" s="1881">
        <v>16055</v>
      </c>
      <c r="M77" s="1881">
        <v>8000</v>
      </c>
      <c r="O77" s="1883">
        <v>15</v>
      </c>
      <c r="P77" s="1884" t="s">
        <v>996</v>
      </c>
      <c r="Q77" s="3228">
        <v>0</v>
      </c>
      <c r="R77" s="2393">
        <v>0</v>
      </c>
      <c r="S77" s="2228">
        <f t="shared" si="0"/>
        <v>0</v>
      </c>
      <c r="T77" s="2985">
        <v>0</v>
      </c>
      <c r="U77" s="1919">
        <f t="shared" si="3"/>
        <v>0</v>
      </c>
      <c r="V77" s="1915">
        <f t="shared" si="4"/>
        <v>0</v>
      </c>
      <c r="W77" s="2989">
        <v>0</v>
      </c>
      <c r="X77" s="1916">
        <f t="shared" si="5"/>
        <v>0</v>
      </c>
      <c r="Y77" s="1916">
        <f t="shared" si="1"/>
        <v>0</v>
      </c>
      <c r="Z77" s="2231">
        <v>0.2</v>
      </c>
      <c r="AA77" s="1891">
        <v>0</v>
      </c>
      <c r="AB77" s="2418">
        <v>0</v>
      </c>
      <c r="AC77" s="1916">
        <f t="shared" si="2"/>
        <v>0</v>
      </c>
      <c r="AD77" s="1892"/>
      <c r="AE77" s="2419">
        <v>0</v>
      </c>
    </row>
    <row r="78" spans="1:31">
      <c r="C78" s="1204"/>
      <c r="D78" s="1203"/>
      <c r="E78" s="1203"/>
      <c r="F78" s="1203"/>
      <c r="H78" s="2411" t="s">
        <v>958</v>
      </c>
      <c r="I78" s="2400">
        <v>230602</v>
      </c>
      <c r="J78" s="1878" t="s">
        <v>110</v>
      </c>
      <c r="K78" s="1879" t="s">
        <v>991</v>
      </c>
      <c r="L78" s="1881">
        <v>287464.75</v>
      </c>
      <c r="M78" s="1881">
        <v>287464.75</v>
      </c>
      <c r="O78" s="1883">
        <v>20</v>
      </c>
      <c r="P78" s="1884" t="s">
        <v>995</v>
      </c>
      <c r="Q78" s="3228">
        <v>0.3</v>
      </c>
      <c r="R78" s="2393">
        <v>0</v>
      </c>
      <c r="S78" s="2391">
        <f t="shared" si="0"/>
        <v>0.3</v>
      </c>
      <c r="T78" s="2985">
        <v>69180.599999999991</v>
      </c>
      <c r="U78" s="1919">
        <f t="shared" si="3"/>
        <v>0</v>
      </c>
      <c r="V78" s="1915">
        <f t="shared" si="4"/>
        <v>69180.599999999991</v>
      </c>
      <c r="W78" s="2989">
        <v>86239.425000000003</v>
      </c>
      <c r="X78" s="1916">
        <f t="shared" si="5"/>
        <v>0</v>
      </c>
      <c r="Y78" s="1916">
        <f t="shared" si="1"/>
        <v>86239.425000000003</v>
      </c>
      <c r="Z78" s="2231">
        <v>0.2</v>
      </c>
      <c r="AA78" s="1891">
        <v>17247.884999999998</v>
      </c>
      <c r="AB78" s="2418">
        <v>9350.4481134329235</v>
      </c>
      <c r="AC78" s="1916">
        <f t="shared" si="2"/>
        <v>26598.33311343292</v>
      </c>
      <c r="AD78" s="1892"/>
      <c r="AE78" s="2419">
        <v>0</v>
      </c>
    </row>
    <row r="79" spans="1:31">
      <c r="C79" s="1204"/>
      <c r="D79" s="1206"/>
      <c r="E79" s="1206"/>
      <c r="F79" s="1206"/>
      <c r="H79" s="2411" t="s">
        <v>959</v>
      </c>
      <c r="I79" s="2400">
        <v>588506</v>
      </c>
      <c r="J79" s="1878" t="s">
        <v>110</v>
      </c>
      <c r="K79" s="1879" t="s">
        <v>991</v>
      </c>
      <c r="L79" s="1881">
        <v>728951.7</v>
      </c>
      <c r="M79" s="1881">
        <v>728951.7</v>
      </c>
      <c r="O79" s="1883">
        <v>15</v>
      </c>
      <c r="P79" s="1884" t="s">
        <v>995</v>
      </c>
      <c r="Q79" s="3228">
        <v>0.25</v>
      </c>
      <c r="R79" s="2393">
        <v>0.25</v>
      </c>
      <c r="S79" s="2391">
        <f t="shared" si="0"/>
        <v>0.5</v>
      </c>
      <c r="T79" s="2985">
        <v>147126.5</v>
      </c>
      <c r="U79" s="1919">
        <f t="shared" si="3"/>
        <v>147126.5</v>
      </c>
      <c r="V79" s="1915">
        <f t="shared" si="4"/>
        <v>294253</v>
      </c>
      <c r="W79" s="2989">
        <v>182237.92499999999</v>
      </c>
      <c r="X79" s="1916">
        <f t="shared" si="5"/>
        <v>182237.92499999999</v>
      </c>
      <c r="Y79" s="1916">
        <f t="shared" si="1"/>
        <v>364475.85</v>
      </c>
      <c r="Z79" s="2231">
        <v>0.2</v>
      </c>
      <c r="AA79" s="1891">
        <v>72895.17</v>
      </c>
      <c r="AB79" s="2418">
        <v>39518.033938936402</v>
      </c>
      <c r="AC79" s="1916">
        <f t="shared" si="2"/>
        <v>112413.20393893641</v>
      </c>
      <c r="AD79" s="1892"/>
      <c r="AE79" s="2419">
        <v>0</v>
      </c>
    </row>
    <row r="80" spans="1:31">
      <c r="C80" s="1204"/>
      <c r="D80" s="1206"/>
      <c r="E80" s="1206"/>
      <c r="F80" s="1206"/>
      <c r="H80" s="2411" t="s">
        <v>960</v>
      </c>
      <c r="I80" s="2400">
        <v>223191</v>
      </c>
      <c r="J80" s="1878" t="s">
        <v>110</v>
      </c>
      <c r="K80" s="1879" t="s">
        <v>991</v>
      </c>
      <c r="L80" s="1881">
        <v>66000</v>
      </c>
      <c r="M80" s="1881">
        <v>66000</v>
      </c>
      <c r="O80" s="1883">
        <v>15</v>
      </c>
      <c r="P80" s="1884" t="s">
        <v>995</v>
      </c>
      <c r="Q80" s="3228">
        <v>0.15</v>
      </c>
      <c r="R80" s="2393">
        <v>0.15</v>
      </c>
      <c r="S80" s="2391">
        <f t="shared" si="0"/>
        <v>0.3</v>
      </c>
      <c r="T80" s="2985">
        <v>33478.65</v>
      </c>
      <c r="U80" s="1919">
        <f t="shared" si="3"/>
        <v>33478.65</v>
      </c>
      <c r="V80" s="1915">
        <f t="shared" si="4"/>
        <v>66957.3</v>
      </c>
      <c r="W80" s="2989">
        <v>9900</v>
      </c>
      <c r="X80" s="1916">
        <f t="shared" si="5"/>
        <v>9900</v>
      </c>
      <c r="Y80" s="1916">
        <f t="shared" si="1"/>
        <v>19800</v>
      </c>
      <c r="Z80" s="2231">
        <v>0.2</v>
      </c>
      <c r="AA80" s="1891">
        <v>3960</v>
      </c>
      <c r="AB80" s="2418">
        <v>2146.8008703208757</v>
      </c>
      <c r="AC80" s="1916">
        <f t="shared" si="2"/>
        <v>6106.8008703208761</v>
      </c>
      <c r="AD80" s="1892"/>
      <c r="AE80" s="2419">
        <v>0</v>
      </c>
    </row>
    <row r="81" spans="4:31">
      <c r="D81" s="53"/>
      <c r="E81" s="54"/>
      <c r="F81" s="54"/>
      <c r="H81" s="2411" t="s">
        <v>961</v>
      </c>
      <c r="I81" s="2400">
        <v>164124</v>
      </c>
      <c r="J81" s="1878" t="s">
        <v>110</v>
      </c>
      <c r="K81" s="1879" t="s">
        <v>991</v>
      </c>
      <c r="L81" s="1881">
        <v>168059.41</v>
      </c>
      <c r="M81" s="1881">
        <v>168059.41</v>
      </c>
      <c r="O81" s="1883">
        <v>30</v>
      </c>
      <c r="P81" s="1884" t="s">
        <v>995</v>
      </c>
      <c r="Q81" s="3228">
        <v>0.15</v>
      </c>
      <c r="R81" s="2393">
        <v>0</v>
      </c>
      <c r="S81" s="2391">
        <f t="shared" si="0"/>
        <v>0.15</v>
      </c>
      <c r="T81" s="2985">
        <v>24618.6</v>
      </c>
      <c r="U81" s="1919">
        <f t="shared" si="3"/>
        <v>0</v>
      </c>
      <c r="V81" s="1915">
        <f t="shared" si="4"/>
        <v>24618.6</v>
      </c>
      <c r="W81" s="2989">
        <v>25208.911499999998</v>
      </c>
      <c r="X81" s="1916">
        <f t="shared" si="5"/>
        <v>0</v>
      </c>
      <c r="Y81" s="1916">
        <f t="shared" si="1"/>
        <v>25208.911499999998</v>
      </c>
      <c r="Z81" s="2231">
        <v>0.2</v>
      </c>
      <c r="AA81" s="1891">
        <v>5041.7822999999999</v>
      </c>
      <c r="AB81" s="2418">
        <v>2733.2582398000973</v>
      </c>
      <c r="AC81" s="1916">
        <f t="shared" si="2"/>
        <v>7775.0405398000967</v>
      </c>
      <c r="AD81" s="1892"/>
      <c r="AE81" s="2419">
        <v>0</v>
      </c>
    </row>
    <row r="82" spans="4:31">
      <c r="D82" s="1117"/>
      <c r="E82" s="1118"/>
      <c r="F82" s="1119"/>
      <c r="H82" s="2411" t="s">
        <v>962</v>
      </c>
      <c r="I82" s="2400">
        <v>243836</v>
      </c>
      <c r="J82" s="1878" t="s">
        <v>110</v>
      </c>
      <c r="K82" s="1879" t="s">
        <v>991</v>
      </c>
      <c r="L82" s="1881">
        <v>225868.07</v>
      </c>
      <c r="M82" s="1881">
        <v>225868.07</v>
      </c>
      <c r="O82" s="1883">
        <v>30</v>
      </c>
      <c r="P82" s="1884" t="s">
        <v>995</v>
      </c>
      <c r="Q82" s="3228">
        <v>0.3</v>
      </c>
      <c r="R82" s="2393">
        <v>0</v>
      </c>
      <c r="S82" s="2391">
        <f t="shared" si="0"/>
        <v>0.3</v>
      </c>
      <c r="T82" s="2985">
        <v>73150.8</v>
      </c>
      <c r="U82" s="1919">
        <f t="shared" si="3"/>
        <v>0</v>
      </c>
      <c r="V82" s="1915">
        <f t="shared" si="4"/>
        <v>73150.8</v>
      </c>
      <c r="W82" s="2989">
        <v>67760.421000000002</v>
      </c>
      <c r="X82" s="1916">
        <f t="shared" si="5"/>
        <v>0</v>
      </c>
      <c r="Y82" s="1916">
        <f t="shared" si="1"/>
        <v>67760.421000000002</v>
      </c>
      <c r="Z82" s="2231">
        <v>0.2</v>
      </c>
      <c r="AA82" s="1891">
        <v>13552.084199999999</v>
      </c>
      <c r="AB82" s="2418">
        <v>7346.8752917226739</v>
      </c>
      <c r="AC82" s="1916">
        <f t="shared" si="2"/>
        <v>20898.959491722671</v>
      </c>
      <c r="AD82" s="1892"/>
      <c r="AE82" s="2419">
        <v>0</v>
      </c>
    </row>
    <row r="83" spans="4:31">
      <c r="D83" s="1120"/>
      <c r="E83" s="1119"/>
      <c r="F83" s="1119"/>
      <c r="H83" s="2398" t="s">
        <v>963</v>
      </c>
      <c r="I83" s="2400">
        <v>16.52</v>
      </c>
      <c r="J83" s="1878" t="s">
        <v>110</v>
      </c>
      <c r="K83" s="1879" t="s">
        <v>845</v>
      </c>
      <c r="L83" s="1881">
        <v>15</v>
      </c>
      <c r="M83" s="1881">
        <v>15</v>
      </c>
      <c r="O83" s="1883">
        <v>12</v>
      </c>
      <c r="P83" s="1884" t="s">
        <v>880</v>
      </c>
      <c r="Q83" s="3227">
        <v>1</v>
      </c>
      <c r="R83" s="2392">
        <v>54</v>
      </c>
      <c r="S83" s="2228">
        <f t="shared" ref="S83:S88" si="10">SUM(Q83:R83)</f>
        <v>55</v>
      </c>
      <c r="T83" s="2985">
        <v>18.97</v>
      </c>
      <c r="U83" s="1919">
        <f t="shared" ref="U83:U88" si="11">R83*I83</f>
        <v>892.07999999999993</v>
      </c>
      <c r="V83" s="1915">
        <f t="shared" ref="V83:V88" si="12">SUM(T83:U83)</f>
        <v>911.05</v>
      </c>
      <c r="W83" s="2989">
        <v>15</v>
      </c>
      <c r="X83" s="1916">
        <f t="shared" ref="X83:X88" si="13">R83*M83</f>
        <v>810</v>
      </c>
      <c r="Y83" s="1916">
        <f t="shared" ref="Y83:Y88" si="14">SUM(W83:X83)</f>
        <v>825</v>
      </c>
      <c r="Z83" s="2231">
        <v>0.2</v>
      </c>
      <c r="AA83" s="1891">
        <v>165</v>
      </c>
      <c r="AB83" s="2418">
        <v>89.45003626336981</v>
      </c>
      <c r="AC83" s="1916">
        <f t="shared" ref="AC83:AC88" si="15">SUM(AA83:AB83)</f>
        <v>254.45003626336981</v>
      </c>
      <c r="AD83" s="1892"/>
      <c r="AE83" s="2419">
        <v>0</v>
      </c>
    </row>
    <row r="84" spans="4:31">
      <c r="H84" s="2398" t="s">
        <v>964</v>
      </c>
      <c r="I84" s="2400">
        <v>20.67</v>
      </c>
      <c r="J84" s="1878" t="s">
        <v>110</v>
      </c>
      <c r="K84" s="1879" t="s">
        <v>845</v>
      </c>
      <c r="L84" s="1881">
        <v>15</v>
      </c>
      <c r="M84" s="1881">
        <v>15</v>
      </c>
      <c r="O84" s="1883">
        <v>12</v>
      </c>
      <c r="P84" s="1884" t="s">
        <v>880</v>
      </c>
      <c r="Q84" s="3227">
        <v>15</v>
      </c>
      <c r="R84" s="2392">
        <v>100</v>
      </c>
      <c r="S84" s="2228">
        <f t="shared" si="10"/>
        <v>115</v>
      </c>
      <c r="T84" s="2985">
        <v>279.89999999999998</v>
      </c>
      <c r="U84" s="1919">
        <f t="shared" si="11"/>
        <v>2067</v>
      </c>
      <c r="V84" s="1915">
        <f t="shared" si="12"/>
        <v>2346.9</v>
      </c>
      <c r="W84" s="2989">
        <v>225</v>
      </c>
      <c r="X84" s="1916">
        <f t="shared" si="13"/>
        <v>1500</v>
      </c>
      <c r="Y84" s="1916">
        <f t="shared" si="14"/>
        <v>1725</v>
      </c>
      <c r="Z84" s="2231">
        <v>0.2</v>
      </c>
      <c r="AA84" s="1891">
        <v>345</v>
      </c>
      <c r="AB84" s="2418">
        <v>187.0318940052278</v>
      </c>
      <c r="AC84" s="1916">
        <f t="shared" si="15"/>
        <v>532.03189400522774</v>
      </c>
      <c r="AD84" s="1892"/>
      <c r="AE84" s="2419">
        <v>0</v>
      </c>
    </row>
    <row r="85" spans="4:31">
      <c r="H85" s="2398" t="s">
        <v>965</v>
      </c>
      <c r="I85" s="2400">
        <v>20.67</v>
      </c>
      <c r="J85" s="1878" t="s">
        <v>110</v>
      </c>
      <c r="K85" s="1879" t="s">
        <v>845</v>
      </c>
      <c r="L85" s="1881">
        <v>15</v>
      </c>
      <c r="M85" s="1881">
        <v>15</v>
      </c>
      <c r="O85" s="1883">
        <v>12</v>
      </c>
      <c r="P85" s="1884" t="s">
        <v>880</v>
      </c>
      <c r="Q85" s="3227">
        <v>15</v>
      </c>
      <c r="R85" s="2392">
        <v>100</v>
      </c>
      <c r="S85" s="2228">
        <f t="shared" si="10"/>
        <v>115</v>
      </c>
      <c r="T85" s="2985">
        <v>305.7</v>
      </c>
      <c r="U85" s="1919">
        <f t="shared" si="11"/>
        <v>2067</v>
      </c>
      <c r="V85" s="1915">
        <f t="shared" si="12"/>
        <v>2372.6999999999998</v>
      </c>
      <c r="W85" s="2989">
        <v>225</v>
      </c>
      <c r="X85" s="1916">
        <f t="shared" si="13"/>
        <v>1500</v>
      </c>
      <c r="Y85" s="1916">
        <f t="shared" si="14"/>
        <v>1725</v>
      </c>
      <c r="Z85" s="2231">
        <v>0.2</v>
      </c>
      <c r="AA85" s="1891">
        <v>345</v>
      </c>
      <c r="AB85" s="2418">
        <v>187.0318940052278</v>
      </c>
      <c r="AC85" s="1916">
        <f t="shared" si="15"/>
        <v>532.03189400522774</v>
      </c>
      <c r="AD85" s="1892"/>
      <c r="AE85" s="2419">
        <v>0</v>
      </c>
    </row>
    <row r="86" spans="4:31">
      <c r="H86" s="2398" t="s">
        <v>2622</v>
      </c>
      <c r="I86" s="2400">
        <v>20.8</v>
      </c>
      <c r="J86" s="1878" t="s">
        <v>110</v>
      </c>
      <c r="K86" s="1879" t="s">
        <v>845</v>
      </c>
      <c r="L86" s="1881">
        <v>15</v>
      </c>
      <c r="M86" s="1881">
        <v>15</v>
      </c>
      <c r="O86" s="1883">
        <v>12</v>
      </c>
      <c r="P86" s="1884" t="s">
        <v>880</v>
      </c>
      <c r="Q86" s="3227">
        <v>5</v>
      </c>
      <c r="R86" s="2392">
        <v>5</v>
      </c>
      <c r="S86" s="2228">
        <f t="shared" si="10"/>
        <v>10</v>
      </c>
      <c r="T86" s="2985">
        <v>139.70000000000002</v>
      </c>
      <c r="U86" s="1919">
        <f t="shared" si="11"/>
        <v>104</v>
      </c>
      <c r="V86" s="1915">
        <f t="shared" si="12"/>
        <v>243.70000000000002</v>
      </c>
      <c r="W86" s="2989">
        <v>75</v>
      </c>
      <c r="X86" s="1916">
        <f t="shared" si="13"/>
        <v>75</v>
      </c>
      <c r="Y86" s="1916">
        <f t="shared" si="14"/>
        <v>150</v>
      </c>
      <c r="Z86" s="2231">
        <v>0.2</v>
      </c>
      <c r="AA86" s="1891">
        <v>30</v>
      </c>
      <c r="AB86" s="2418">
        <v>16.263642956976327</v>
      </c>
      <c r="AC86" s="1916">
        <f t="shared" si="15"/>
        <v>46.263642956976327</v>
      </c>
      <c r="AD86" s="1892"/>
      <c r="AE86" s="2419">
        <v>0</v>
      </c>
    </row>
    <row r="87" spans="4:31">
      <c r="H87" s="2398" t="s">
        <v>2623</v>
      </c>
      <c r="I87" s="2400">
        <v>20.190000000000001</v>
      </c>
      <c r="J87" s="1878" t="s">
        <v>110</v>
      </c>
      <c r="K87" s="1879" t="s">
        <v>845</v>
      </c>
      <c r="L87" s="1881">
        <v>15</v>
      </c>
      <c r="M87" s="1881">
        <v>15</v>
      </c>
      <c r="O87" s="1883">
        <v>12</v>
      </c>
      <c r="P87" s="1884" t="s">
        <v>880</v>
      </c>
      <c r="Q87" s="3227">
        <v>5</v>
      </c>
      <c r="R87" s="2392">
        <v>5</v>
      </c>
      <c r="S87" s="2228">
        <f t="shared" si="10"/>
        <v>10</v>
      </c>
      <c r="T87" s="2985">
        <v>191.1</v>
      </c>
      <c r="U87" s="1919">
        <f t="shared" si="11"/>
        <v>100.95</v>
      </c>
      <c r="V87" s="1915">
        <f t="shared" si="12"/>
        <v>292.05</v>
      </c>
      <c r="W87" s="2989">
        <v>75</v>
      </c>
      <c r="X87" s="1916">
        <f t="shared" si="13"/>
        <v>75</v>
      </c>
      <c r="Y87" s="1916">
        <f t="shared" si="14"/>
        <v>150</v>
      </c>
      <c r="Z87" s="2231">
        <v>0.2</v>
      </c>
      <c r="AA87" s="1891">
        <v>30</v>
      </c>
      <c r="AB87" s="2418">
        <v>16.263642956976327</v>
      </c>
      <c r="AC87" s="1916">
        <f t="shared" si="15"/>
        <v>46.263642956976327</v>
      </c>
      <c r="AD87" s="1892"/>
      <c r="AE87" s="2419">
        <v>0</v>
      </c>
    </row>
    <row r="88" spans="4:31">
      <c r="H88" s="2398" t="s">
        <v>966</v>
      </c>
      <c r="I88" s="2400">
        <v>9.09</v>
      </c>
      <c r="J88" s="1878" t="s">
        <v>110</v>
      </c>
      <c r="K88" s="1879" t="s">
        <v>845</v>
      </c>
      <c r="L88" s="1881">
        <v>15</v>
      </c>
      <c r="M88" s="1881">
        <v>15</v>
      </c>
      <c r="O88" s="1883">
        <v>12</v>
      </c>
      <c r="P88" s="1884" t="s">
        <v>880</v>
      </c>
      <c r="Q88" s="3227">
        <v>5</v>
      </c>
      <c r="R88" s="2392">
        <v>5</v>
      </c>
      <c r="S88" s="2228">
        <f t="shared" si="10"/>
        <v>10</v>
      </c>
      <c r="T88" s="2985">
        <v>110.35</v>
      </c>
      <c r="U88" s="1919">
        <f t="shared" si="11"/>
        <v>45.45</v>
      </c>
      <c r="V88" s="1915">
        <f t="shared" si="12"/>
        <v>155.80000000000001</v>
      </c>
      <c r="W88" s="2989">
        <v>75</v>
      </c>
      <c r="X88" s="1916">
        <f t="shared" si="13"/>
        <v>75</v>
      </c>
      <c r="Y88" s="1916">
        <f t="shared" si="14"/>
        <v>150</v>
      </c>
      <c r="Z88" s="2231">
        <v>0.2</v>
      </c>
      <c r="AA88" s="1891">
        <v>30</v>
      </c>
      <c r="AB88" s="2418">
        <v>16.263642956976327</v>
      </c>
      <c r="AC88" s="1916">
        <f t="shared" si="15"/>
        <v>46.263642956976327</v>
      </c>
      <c r="AD88" s="1892"/>
      <c r="AE88" s="2419">
        <v>0</v>
      </c>
    </row>
    <row r="89" spans="4:31">
      <c r="H89" s="2398" t="s">
        <v>967</v>
      </c>
      <c r="I89" s="2400">
        <v>16.010000000000002</v>
      </c>
      <c r="J89" s="2226" t="s">
        <v>110</v>
      </c>
      <c r="K89" s="2224" t="s">
        <v>845</v>
      </c>
      <c r="L89" s="2227">
        <v>15</v>
      </c>
      <c r="M89" s="2227">
        <v>15</v>
      </c>
      <c r="O89" s="2224">
        <v>12</v>
      </c>
      <c r="P89" s="2225" t="s">
        <v>880</v>
      </c>
      <c r="Q89" s="3227">
        <v>5</v>
      </c>
      <c r="R89" s="2392">
        <v>5</v>
      </c>
      <c r="S89" s="2228">
        <f t="shared" ref="S89:S115" si="16">SUM(Q89:R89)</f>
        <v>10</v>
      </c>
      <c r="T89" s="2986">
        <v>111.15</v>
      </c>
      <c r="U89" s="2228">
        <f t="shared" ref="U89:U113" si="17">R89*I89</f>
        <v>80.050000000000011</v>
      </c>
      <c r="V89" s="2228">
        <f t="shared" ref="V89:V112" si="18">SUM(T89:U89)</f>
        <v>191.20000000000002</v>
      </c>
      <c r="W89" s="2990">
        <v>75</v>
      </c>
      <c r="X89" s="2230">
        <f t="shared" ref="X89:X113" si="19">R89*M89</f>
        <v>75</v>
      </c>
      <c r="Y89" s="2230">
        <f t="shared" ref="Y89:Y113" si="20">SUM(W89:X89)</f>
        <v>150</v>
      </c>
      <c r="Z89" s="2232">
        <v>0.2</v>
      </c>
      <c r="AA89" s="2230">
        <v>30</v>
      </c>
      <c r="AB89" s="2418">
        <v>16.263642956976327</v>
      </c>
      <c r="AC89" s="2230">
        <f t="shared" ref="AC89:AC113" si="21">SUM(AA89:AB89)</f>
        <v>46.263642956976327</v>
      </c>
      <c r="AD89" s="2227"/>
      <c r="AE89" s="2419">
        <v>0</v>
      </c>
    </row>
    <row r="90" spans="4:31">
      <c r="H90" s="2412" t="s">
        <v>968</v>
      </c>
      <c r="I90" s="2413">
        <v>1069</v>
      </c>
      <c r="J90" s="2226" t="s">
        <v>110</v>
      </c>
      <c r="K90" s="2224" t="s">
        <v>845</v>
      </c>
      <c r="L90" s="2227">
        <v>900</v>
      </c>
      <c r="M90" s="2227">
        <v>900</v>
      </c>
      <c r="O90" s="2224">
        <v>13</v>
      </c>
      <c r="P90" s="2225" t="s">
        <v>846</v>
      </c>
      <c r="Q90" s="3227">
        <v>1</v>
      </c>
      <c r="R90" s="2392">
        <v>1</v>
      </c>
      <c r="S90" s="2228">
        <f t="shared" si="16"/>
        <v>2</v>
      </c>
      <c r="T90" s="2986">
        <v>1069</v>
      </c>
      <c r="U90" s="2228">
        <f t="shared" si="17"/>
        <v>1069</v>
      </c>
      <c r="V90" s="2228">
        <f t="shared" si="18"/>
        <v>2138</v>
      </c>
      <c r="W90" s="2990">
        <v>900</v>
      </c>
      <c r="X90" s="2230">
        <f t="shared" si="19"/>
        <v>900</v>
      </c>
      <c r="Y90" s="2230">
        <f t="shared" si="20"/>
        <v>1800</v>
      </c>
      <c r="Z90" s="2232">
        <v>0.2</v>
      </c>
      <c r="AA90" s="2230">
        <v>360</v>
      </c>
      <c r="AB90" s="2418">
        <v>195.16371548371595</v>
      </c>
      <c r="AC90" s="2230">
        <f t="shared" si="21"/>
        <v>555.16371548371592</v>
      </c>
      <c r="AD90" s="2227"/>
      <c r="AE90" s="2419">
        <v>0</v>
      </c>
    </row>
    <row r="91" spans="4:31">
      <c r="H91" s="2412" t="s">
        <v>969</v>
      </c>
      <c r="I91" s="2413">
        <v>1069</v>
      </c>
      <c r="J91" s="2226" t="s">
        <v>110</v>
      </c>
      <c r="K91" s="2224" t="s">
        <v>845</v>
      </c>
      <c r="L91" s="2227">
        <v>900</v>
      </c>
      <c r="M91" s="2227">
        <v>900</v>
      </c>
      <c r="O91" s="2224">
        <v>13</v>
      </c>
      <c r="P91" s="2225" t="s">
        <v>846</v>
      </c>
      <c r="Q91" s="3227">
        <v>1</v>
      </c>
      <c r="R91" s="2392">
        <v>1</v>
      </c>
      <c r="S91" s="2228">
        <f t="shared" si="16"/>
        <v>2</v>
      </c>
      <c r="T91" s="2986">
        <v>1069</v>
      </c>
      <c r="U91" s="2228">
        <f t="shared" si="17"/>
        <v>1069</v>
      </c>
      <c r="V91" s="2228">
        <f t="shared" si="18"/>
        <v>2138</v>
      </c>
      <c r="W91" s="2990">
        <v>900</v>
      </c>
      <c r="X91" s="2230">
        <f t="shared" si="19"/>
        <v>900</v>
      </c>
      <c r="Y91" s="2230">
        <f t="shared" si="20"/>
        <v>1800</v>
      </c>
      <c r="Z91" s="2232">
        <v>0.2</v>
      </c>
      <c r="AA91" s="2230">
        <v>360</v>
      </c>
      <c r="AB91" s="2418">
        <v>195.16371548371595</v>
      </c>
      <c r="AC91" s="2230">
        <f t="shared" si="21"/>
        <v>555.16371548371592</v>
      </c>
      <c r="AD91" s="2227"/>
      <c r="AE91" s="2419">
        <v>0</v>
      </c>
    </row>
    <row r="92" spans="4:31">
      <c r="H92" s="2412" t="s">
        <v>970</v>
      </c>
      <c r="I92" s="2413">
        <v>1518</v>
      </c>
      <c r="J92" s="2226" t="s">
        <v>110</v>
      </c>
      <c r="K92" s="2224" t="s">
        <v>845</v>
      </c>
      <c r="L92" s="2227">
        <v>1369</v>
      </c>
      <c r="M92" s="2227">
        <v>1369</v>
      </c>
      <c r="O92" s="2224">
        <v>13</v>
      </c>
      <c r="P92" s="2225" t="s">
        <v>846</v>
      </c>
      <c r="Q92" s="3227">
        <v>1</v>
      </c>
      <c r="R92" s="2392">
        <v>1</v>
      </c>
      <c r="S92" s="2228">
        <f t="shared" si="16"/>
        <v>2</v>
      </c>
      <c r="T92" s="2986">
        <v>1518</v>
      </c>
      <c r="U92" s="2228">
        <f t="shared" si="17"/>
        <v>1518</v>
      </c>
      <c r="V92" s="2228">
        <f t="shared" si="18"/>
        <v>3036</v>
      </c>
      <c r="W92" s="2990">
        <v>1369</v>
      </c>
      <c r="X92" s="2230">
        <f t="shared" si="19"/>
        <v>1369</v>
      </c>
      <c r="Y92" s="2230">
        <f t="shared" si="20"/>
        <v>2738</v>
      </c>
      <c r="Z92" s="2232">
        <v>0.2</v>
      </c>
      <c r="AA92" s="2230">
        <v>547.6</v>
      </c>
      <c r="AB92" s="2418">
        <v>296.86569610800791</v>
      </c>
      <c r="AC92" s="2230">
        <f t="shared" si="21"/>
        <v>844.46569610800793</v>
      </c>
      <c r="AD92" s="2227"/>
      <c r="AE92" s="2419">
        <v>0</v>
      </c>
    </row>
    <row r="93" spans="4:31">
      <c r="H93" s="2412" t="s">
        <v>971</v>
      </c>
      <c r="I93" s="2413">
        <v>1518</v>
      </c>
      <c r="J93" s="2226" t="s">
        <v>110</v>
      </c>
      <c r="K93" s="2224" t="s">
        <v>845</v>
      </c>
      <c r="L93" s="2227">
        <v>1369</v>
      </c>
      <c r="M93" s="2227">
        <v>1369</v>
      </c>
      <c r="O93" s="2224">
        <v>13</v>
      </c>
      <c r="P93" s="2225" t="s">
        <v>846</v>
      </c>
      <c r="Q93" s="3227">
        <v>1</v>
      </c>
      <c r="R93" s="2392">
        <v>1</v>
      </c>
      <c r="S93" s="2228">
        <f t="shared" si="16"/>
        <v>2</v>
      </c>
      <c r="T93" s="2986">
        <v>1518</v>
      </c>
      <c r="U93" s="2228">
        <f t="shared" si="17"/>
        <v>1518</v>
      </c>
      <c r="V93" s="2228">
        <f t="shared" si="18"/>
        <v>3036</v>
      </c>
      <c r="W93" s="2990">
        <v>1369</v>
      </c>
      <c r="X93" s="2230">
        <f t="shared" si="19"/>
        <v>1369</v>
      </c>
      <c r="Y93" s="2230">
        <f t="shared" si="20"/>
        <v>2738</v>
      </c>
      <c r="Z93" s="2232">
        <v>0.2</v>
      </c>
      <c r="AA93" s="2230">
        <v>547.6</v>
      </c>
      <c r="AB93" s="2418">
        <v>296.86569610800791</v>
      </c>
      <c r="AC93" s="2230">
        <f t="shared" si="21"/>
        <v>844.46569610800793</v>
      </c>
      <c r="AD93" s="2227"/>
      <c r="AE93" s="2419">
        <v>0</v>
      </c>
    </row>
    <row r="94" spans="4:31">
      <c r="H94" s="2412" t="s">
        <v>972</v>
      </c>
      <c r="I94" s="2414">
        <v>216</v>
      </c>
      <c r="J94" s="2226" t="s">
        <v>110</v>
      </c>
      <c r="K94" s="2224" t="s">
        <v>845</v>
      </c>
      <c r="L94" s="2227">
        <v>55</v>
      </c>
      <c r="M94" s="2227">
        <v>55</v>
      </c>
      <c r="O94" s="2224">
        <v>5</v>
      </c>
      <c r="P94" s="2225" t="s">
        <v>878</v>
      </c>
      <c r="Q94" s="3227">
        <v>50</v>
      </c>
      <c r="R94" s="2392">
        <v>50</v>
      </c>
      <c r="S94" s="2228">
        <f t="shared" si="16"/>
        <v>100</v>
      </c>
      <c r="T94" s="2986">
        <v>10800</v>
      </c>
      <c r="U94" s="2228">
        <f t="shared" si="17"/>
        <v>10800</v>
      </c>
      <c r="V94" s="2228">
        <f t="shared" si="18"/>
        <v>21600</v>
      </c>
      <c r="W94" s="2990">
        <v>2750</v>
      </c>
      <c r="X94" s="2230">
        <f t="shared" si="19"/>
        <v>2750</v>
      </c>
      <c r="Y94" s="2230">
        <f t="shared" si="20"/>
        <v>5500</v>
      </c>
      <c r="Z94" s="2232">
        <v>0.2</v>
      </c>
      <c r="AA94" s="2230">
        <v>1100</v>
      </c>
      <c r="AB94" s="2418">
        <v>596.33357508913207</v>
      </c>
      <c r="AC94" s="2230">
        <f t="shared" si="21"/>
        <v>1696.333575089132</v>
      </c>
      <c r="AD94" s="2227"/>
      <c r="AE94" s="2419">
        <v>0</v>
      </c>
    </row>
    <row r="95" spans="4:31">
      <c r="H95" s="2412" t="s">
        <v>973</v>
      </c>
      <c r="I95" s="2414">
        <v>216</v>
      </c>
      <c r="J95" s="2226" t="s">
        <v>110</v>
      </c>
      <c r="K95" s="2224" t="s">
        <v>845</v>
      </c>
      <c r="L95" s="2227">
        <v>55</v>
      </c>
      <c r="M95" s="2227">
        <v>55</v>
      </c>
      <c r="O95" s="2224">
        <v>5</v>
      </c>
      <c r="P95" s="2225" t="s">
        <v>878</v>
      </c>
      <c r="Q95" s="3227">
        <v>150</v>
      </c>
      <c r="R95" s="2392">
        <v>150</v>
      </c>
      <c r="S95" s="2228">
        <f t="shared" si="16"/>
        <v>300</v>
      </c>
      <c r="T95" s="2986">
        <v>32400</v>
      </c>
      <c r="U95" s="2228">
        <f t="shared" si="17"/>
        <v>32400</v>
      </c>
      <c r="V95" s="2228">
        <f t="shared" si="18"/>
        <v>64800</v>
      </c>
      <c r="W95" s="2990">
        <v>8250</v>
      </c>
      <c r="X95" s="2230">
        <f t="shared" si="19"/>
        <v>8250</v>
      </c>
      <c r="Y95" s="2230">
        <f t="shared" si="20"/>
        <v>16500</v>
      </c>
      <c r="Z95" s="2232">
        <v>0.2</v>
      </c>
      <c r="AA95" s="2230">
        <v>3300</v>
      </c>
      <c r="AB95" s="2418">
        <v>1789.0007252673963</v>
      </c>
      <c r="AC95" s="2230">
        <f t="shared" si="21"/>
        <v>5089.0007252673968</v>
      </c>
      <c r="AD95" s="2227"/>
      <c r="AE95" s="2419">
        <v>0</v>
      </c>
    </row>
    <row r="96" spans="4:31">
      <c r="H96" s="2412" t="s">
        <v>974</v>
      </c>
      <c r="I96" s="2414">
        <v>216</v>
      </c>
      <c r="J96" s="2226" t="s">
        <v>110</v>
      </c>
      <c r="K96" s="2224" t="s">
        <v>845</v>
      </c>
      <c r="L96" s="2227">
        <v>55</v>
      </c>
      <c r="M96" s="2227">
        <v>55</v>
      </c>
      <c r="O96" s="2224">
        <v>5</v>
      </c>
      <c r="P96" s="2225" t="s">
        <v>878</v>
      </c>
      <c r="Q96" s="3227">
        <v>75</v>
      </c>
      <c r="R96" s="2392">
        <v>75</v>
      </c>
      <c r="S96" s="2228">
        <f t="shared" si="16"/>
        <v>150</v>
      </c>
      <c r="T96" s="2986">
        <v>16200</v>
      </c>
      <c r="U96" s="2228">
        <f t="shared" si="17"/>
        <v>16200</v>
      </c>
      <c r="V96" s="2228">
        <f t="shared" si="18"/>
        <v>32400</v>
      </c>
      <c r="W96" s="2990">
        <v>4125</v>
      </c>
      <c r="X96" s="2230">
        <f t="shared" si="19"/>
        <v>4125</v>
      </c>
      <c r="Y96" s="2230">
        <f t="shared" si="20"/>
        <v>8250</v>
      </c>
      <c r="Z96" s="2232">
        <v>0.2</v>
      </c>
      <c r="AA96" s="2230">
        <v>1650</v>
      </c>
      <c r="AB96" s="2418">
        <v>894.50036263369816</v>
      </c>
      <c r="AC96" s="2230">
        <f t="shared" si="21"/>
        <v>2544.5003626336984</v>
      </c>
      <c r="AD96" s="2227"/>
      <c r="AE96" s="2419">
        <v>0</v>
      </c>
    </row>
    <row r="97" spans="8:31">
      <c r="H97" s="2412" t="s">
        <v>975</v>
      </c>
      <c r="I97" s="2413">
        <v>16.010000000000002</v>
      </c>
      <c r="J97" s="2226" t="s">
        <v>110</v>
      </c>
      <c r="K97" s="2224" t="s">
        <v>845</v>
      </c>
      <c r="L97" s="2227">
        <v>15</v>
      </c>
      <c r="M97" s="2227">
        <v>15</v>
      </c>
      <c r="O97" s="2224">
        <v>12</v>
      </c>
      <c r="P97" s="2225" t="s">
        <v>880</v>
      </c>
      <c r="Q97" s="3227">
        <v>15</v>
      </c>
      <c r="R97" s="2392">
        <v>15</v>
      </c>
      <c r="S97" s="2228">
        <f t="shared" si="16"/>
        <v>30</v>
      </c>
      <c r="T97" s="2986">
        <v>339.45</v>
      </c>
      <c r="U97" s="2228">
        <f t="shared" si="17"/>
        <v>240.15000000000003</v>
      </c>
      <c r="V97" s="2228">
        <f t="shared" si="18"/>
        <v>579.6</v>
      </c>
      <c r="W97" s="2990">
        <v>225</v>
      </c>
      <c r="X97" s="2230">
        <f t="shared" si="19"/>
        <v>225</v>
      </c>
      <c r="Y97" s="2230">
        <f t="shared" si="20"/>
        <v>450</v>
      </c>
      <c r="Z97" s="2232">
        <v>0.2</v>
      </c>
      <c r="AA97" s="2230">
        <v>90</v>
      </c>
      <c r="AB97" s="2418">
        <v>48.790928870928987</v>
      </c>
      <c r="AC97" s="2230">
        <f t="shared" si="21"/>
        <v>138.79092887092898</v>
      </c>
      <c r="AD97" s="2227"/>
      <c r="AE97" s="2419">
        <v>0</v>
      </c>
    </row>
    <row r="98" spans="8:31">
      <c r="H98" s="2412" t="s">
        <v>976</v>
      </c>
      <c r="I98" s="2413">
        <v>18.09</v>
      </c>
      <c r="J98" s="2226" t="s">
        <v>110</v>
      </c>
      <c r="K98" s="2224" t="s">
        <v>845</v>
      </c>
      <c r="L98" s="2227">
        <v>15</v>
      </c>
      <c r="M98" s="2227">
        <v>15</v>
      </c>
      <c r="O98" s="2224">
        <v>12</v>
      </c>
      <c r="P98" s="2225" t="s">
        <v>880</v>
      </c>
      <c r="Q98" s="3227">
        <v>10</v>
      </c>
      <c r="R98" s="2392">
        <v>10</v>
      </c>
      <c r="S98" s="2228">
        <f t="shared" si="16"/>
        <v>20</v>
      </c>
      <c r="T98" s="2986">
        <v>179</v>
      </c>
      <c r="U98" s="2228">
        <f t="shared" si="17"/>
        <v>180.9</v>
      </c>
      <c r="V98" s="2228">
        <f t="shared" si="18"/>
        <v>359.9</v>
      </c>
      <c r="W98" s="2990">
        <v>150</v>
      </c>
      <c r="X98" s="2230">
        <f t="shared" si="19"/>
        <v>150</v>
      </c>
      <c r="Y98" s="2230">
        <f t="shared" si="20"/>
        <v>300</v>
      </c>
      <c r="Z98" s="2232">
        <v>0.2</v>
      </c>
      <c r="AA98" s="2230">
        <v>60</v>
      </c>
      <c r="AB98" s="2418">
        <v>32.527285913952653</v>
      </c>
      <c r="AC98" s="2230">
        <f t="shared" si="21"/>
        <v>92.527285913952653</v>
      </c>
      <c r="AD98" s="2227"/>
      <c r="AE98" s="2419">
        <v>0</v>
      </c>
    </row>
    <row r="99" spans="8:31">
      <c r="H99" s="2412" t="s">
        <v>977</v>
      </c>
      <c r="I99" s="2413">
        <v>14.15</v>
      </c>
      <c r="J99" s="2226" t="s">
        <v>110</v>
      </c>
      <c r="K99" s="2224" t="s">
        <v>845</v>
      </c>
      <c r="L99" s="2227">
        <v>15</v>
      </c>
      <c r="M99" s="2227">
        <v>15</v>
      </c>
      <c r="O99" s="2224">
        <v>12</v>
      </c>
      <c r="P99" s="2225" t="s">
        <v>880</v>
      </c>
      <c r="Q99" s="3227">
        <v>10</v>
      </c>
      <c r="R99" s="2392">
        <v>10</v>
      </c>
      <c r="S99" s="2228">
        <f t="shared" si="16"/>
        <v>20</v>
      </c>
      <c r="T99" s="2986">
        <v>190.3</v>
      </c>
      <c r="U99" s="2228">
        <f t="shared" si="17"/>
        <v>141.5</v>
      </c>
      <c r="V99" s="2228">
        <f t="shared" si="18"/>
        <v>331.8</v>
      </c>
      <c r="W99" s="2990">
        <v>150</v>
      </c>
      <c r="X99" s="2230">
        <f t="shared" si="19"/>
        <v>150</v>
      </c>
      <c r="Y99" s="2230">
        <f t="shared" si="20"/>
        <v>300</v>
      </c>
      <c r="Z99" s="2232">
        <v>0.2</v>
      </c>
      <c r="AA99" s="2230">
        <v>60</v>
      </c>
      <c r="AB99" s="2418">
        <v>32.527285913952653</v>
      </c>
      <c r="AC99" s="2230">
        <f t="shared" si="21"/>
        <v>92.527285913952653</v>
      </c>
      <c r="AD99" s="2227"/>
      <c r="AE99" s="2419">
        <v>0</v>
      </c>
    </row>
    <row r="100" spans="8:31">
      <c r="H100" s="2412" t="s">
        <v>978</v>
      </c>
      <c r="I100" s="2413">
        <v>18.09</v>
      </c>
      <c r="J100" s="2226" t="s">
        <v>110</v>
      </c>
      <c r="K100" s="2224" t="s">
        <v>845</v>
      </c>
      <c r="L100" s="2227">
        <v>15</v>
      </c>
      <c r="M100" s="2227">
        <v>15</v>
      </c>
      <c r="O100" s="2224">
        <v>12</v>
      </c>
      <c r="P100" s="2225" t="s">
        <v>880</v>
      </c>
      <c r="Q100" s="3227">
        <v>10</v>
      </c>
      <c r="R100" s="2392">
        <v>10</v>
      </c>
      <c r="S100" s="2228">
        <f t="shared" si="16"/>
        <v>20</v>
      </c>
      <c r="T100" s="2986">
        <v>196.8</v>
      </c>
      <c r="U100" s="2228">
        <f t="shared" si="17"/>
        <v>180.9</v>
      </c>
      <c r="V100" s="2228">
        <f t="shared" si="18"/>
        <v>377.70000000000005</v>
      </c>
      <c r="W100" s="2990">
        <v>150</v>
      </c>
      <c r="X100" s="2230">
        <f t="shared" si="19"/>
        <v>150</v>
      </c>
      <c r="Y100" s="2230">
        <f t="shared" si="20"/>
        <v>300</v>
      </c>
      <c r="Z100" s="2232">
        <v>0.2</v>
      </c>
      <c r="AA100" s="2230">
        <v>60</v>
      </c>
      <c r="AB100" s="2418">
        <v>32.527285913952653</v>
      </c>
      <c r="AC100" s="2230">
        <f t="shared" si="21"/>
        <v>92.527285913952653</v>
      </c>
      <c r="AD100" s="2227"/>
      <c r="AE100" s="2419">
        <v>0</v>
      </c>
    </row>
    <row r="101" spans="8:31">
      <c r="H101" s="2412" t="s">
        <v>979</v>
      </c>
      <c r="I101" s="2413">
        <v>9.66</v>
      </c>
      <c r="J101" s="2226" t="s">
        <v>110</v>
      </c>
      <c r="K101" s="2224" t="s">
        <v>845</v>
      </c>
      <c r="L101" s="2227">
        <v>15</v>
      </c>
      <c r="M101" s="2227">
        <v>15</v>
      </c>
      <c r="O101" s="2224">
        <v>12</v>
      </c>
      <c r="P101" s="2225" t="s">
        <v>880</v>
      </c>
      <c r="Q101" s="3227">
        <v>10</v>
      </c>
      <c r="R101" s="2392">
        <v>10</v>
      </c>
      <c r="S101" s="2228">
        <f t="shared" si="16"/>
        <v>20</v>
      </c>
      <c r="T101" s="2986">
        <v>333.9</v>
      </c>
      <c r="U101" s="2228">
        <f t="shared" si="17"/>
        <v>96.6</v>
      </c>
      <c r="V101" s="2228">
        <f t="shared" si="18"/>
        <v>430.5</v>
      </c>
      <c r="W101" s="2990">
        <v>150</v>
      </c>
      <c r="X101" s="2230">
        <f t="shared" si="19"/>
        <v>150</v>
      </c>
      <c r="Y101" s="2230">
        <f t="shared" si="20"/>
        <v>300</v>
      </c>
      <c r="Z101" s="2232">
        <v>0.2</v>
      </c>
      <c r="AA101" s="2230">
        <v>60</v>
      </c>
      <c r="AB101" s="2418">
        <v>32.527285913952653</v>
      </c>
      <c r="AC101" s="2230">
        <f t="shared" si="21"/>
        <v>92.527285913952653</v>
      </c>
      <c r="AD101" s="2227"/>
      <c r="AE101" s="2419">
        <v>0</v>
      </c>
    </row>
    <row r="102" spans="8:31">
      <c r="H102" s="2415"/>
      <c r="I102" s="2416"/>
      <c r="J102" s="2226" t="s">
        <v>110</v>
      </c>
      <c r="K102" s="2224"/>
      <c r="L102" s="2227"/>
      <c r="M102" s="2227"/>
      <c r="O102" s="2224"/>
      <c r="P102" s="2225"/>
      <c r="Q102" s="3227"/>
      <c r="R102" s="2392"/>
      <c r="S102" s="2228">
        <f t="shared" si="16"/>
        <v>0</v>
      </c>
      <c r="T102" s="2986" t="s">
        <v>229</v>
      </c>
      <c r="U102" s="2228">
        <f t="shared" si="17"/>
        <v>0</v>
      </c>
      <c r="V102" s="2228">
        <f t="shared" si="18"/>
        <v>0</v>
      </c>
      <c r="W102" s="2990" t="s">
        <v>229</v>
      </c>
      <c r="X102" s="2230">
        <f t="shared" si="19"/>
        <v>0</v>
      </c>
      <c r="Y102" s="2230">
        <f t="shared" si="20"/>
        <v>0</v>
      </c>
      <c r="Z102" s="2232">
        <v>0.2</v>
      </c>
      <c r="AA102" s="2230" t="s">
        <v>229</v>
      </c>
      <c r="AB102" s="2418" t="s">
        <v>229</v>
      </c>
      <c r="AC102" s="2230">
        <f t="shared" si="21"/>
        <v>0</v>
      </c>
      <c r="AD102" s="2227"/>
      <c r="AE102" s="2419">
        <v>0</v>
      </c>
    </row>
    <row r="103" spans="8:31">
      <c r="H103" s="2412" t="s">
        <v>980</v>
      </c>
      <c r="I103" s="2413">
        <v>36.729999999999997</v>
      </c>
      <c r="J103" s="2226" t="s">
        <v>110</v>
      </c>
      <c r="K103" s="2224" t="s">
        <v>845</v>
      </c>
      <c r="L103" s="2227">
        <v>2.1</v>
      </c>
      <c r="M103" s="2227">
        <v>2.1</v>
      </c>
      <c r="O103" s="2224">
        <v>10</v>
      </c>
      <c r="P103" s="2225" t="s">
        <v>846</v>
      </c>
      <c r="Q103" s="3227">
        <v>75</v>
      </c>
      <c r="R103" s="2392">
        <v>10</v>
      </c>
      <c r="S103" s="2228">
        <f t="shared" si="16"/>
        <v>85</v>
      </c>
      <c r="T103" s="2986">
        <v>2754.7499999999995</v>
      </c>
      <c r="U103" s="2228">
        <f t="shared" si="17"/>
        <v>367.29999999999995</v>
      </c>
      <c r="V103" s="2228">
        <f t="shared" si="18"/>
        <v>3122.0499999999993</v>
      </c>
      <c r="W103" s="2990">
        <v>157.5</v>
      </c>
      <c r="X103" s="2230">
        <f t="shared" si="19"/>
        <v>21</v>
      </c>
      <c r="Y103" s="2230">
        <f t="shared" si="20"/>
        <v>178.5</v>
      </c>
      <c r="Z103" s="2232">
        <v>0.2</v>
      </c>
      <c r="AA103" s="2230">
        <v>35.700000000000003</v>
      </c>
      <c r="AB103" s="2418">
        <v>19.353735118801833</v>
      </c>
      <c r="AC103" s="2230">
        <f t="shared" si="21"/>
        <v>55.053735118801839</v>
      </c>
      <c r="AD103" s="2227"/>
      <c r="AE103" s="2419">
        <v>3.97</v>
      </c>
    </row>
    <row r="104" spans="8:31">
      <c r="H104" s="2412" t="s">
        <v>981</v>
      </c>
      <c r="I104" s="2413">
        <v>44.84</v>
      </c>
      <c r="J104" s="2226" t="s">
        <v>110</v>
      </c>
      <c r="K104" s="2224" t="s">
        <v>845</v>
      </c>
      <c r="L104" s="2227">
        <v>2.1</v>
      </c>
      <c r="M104" s="2227">
        <v>2.1</v>
      </c>
      <c r="O104" s="2224">
        <v>10</v>
      </c>
      <c r="P104" s="2225" t="s">
        <v>846</v>
      </c>
      <c r="Q104" s="3227">
        <v>200</v>
      </c>
      <c r="R104" s="2392">
        <v>50</v>
      </c>
      <c r="S104" s="2228">
        <f t="shared" si="16"/>
        <v>250</v>
      </c>
      <c r="T104" s="2986">
        <v>8968</v>
      </c>
      <c r="U104" s="2228">
        <f t="shared" si="17"/>
        <v>2242</v>
      </c>
      <c r="V104" s="2228">
        <f t="shared" si="18"/>
        <v>11210</v>
      </c>
      <c r="W104" s="2990">
        <v>420</v>
      </c>
      <c r="X104" s="2230">
        <f t="shared" si="19"/>
        <v>105</v>
      </c>
      <c r="Y104" s="2230">
        <f t="shared" si="20"/>
        <v>525</v>
      </c>
      <c r="Z104" s="2232">
        <v>0.2</v>
      </c>
      <c r="AA104" s="2230">
        <v>105</v>
      </c>
      <c r="AB104" s="2418">
        <v>56.922750349417157</v>
      </c>
      <c r="AC104" s="2230">
        <f t="shared" si="21"/>
        <v>161.92275034941716</v>
      </c>
      <c r="AD104" s="2227"/>
      <c r="AE104" s="2419">
        <v>4.8499999999999996</v>
      </c>
    </row>
    <row r="105" spans="8:31">
      <c r="H105" s="2412" t="s">
        <v>982</v>
      </c>
      <c r="I105" s="2413">
        <v>36.729999999999997</v>
      </c>
      <c r="J105" s="2226" t="s">
        <v>110</v>
      </c>
      <c r="K105" s="2224" t="s">
        <v>845</v>
      </c>
      <c r="L105" s="2227">
        <v>2.1</v>
      </c>
      <c r="M105" s="2227">
        <v>2.1</v>
      </c>
      <c r="O105" s="2224">
        <v>10</v>
      </c>
      <c r="P105" s="2225" t="s">
        <v>846</v>
      </c>
      <c r="Q105" s="3227">
        <v>75</v>
      </c>
      <c r="R105" s="2392">
        <v>75</v>
      </c>
      <c r="S105" s="2228">
        <f t="shared" si="16"/>
        <v>150</v>
      </c>
      <c r="T105" s="2986">
        <v>2754.7499999999995</v>
      </c>
      <c r="U105" s="2228">
        <f t="shared" si="17"/>
        <v>2754.7499999999995</v>
      </c>
      <c r="V105" s="2228">
        <f t="shared" si="18"/>
        <v>5509.4999999999991</v>
      </c>
      <c r="W105" s="2990">
        <v>157.5</v>
      </c>
      <c r="X105" s="2230">
        <f t="shared" si="19"/>
        <v>157.5</v>
      </c>
      <c r="Y105" s="2230">
        <f t="shared" si="20"/>
        <v>315</v>
      </c>
      <c r="Z105" s="2232">
        <v>0.2</v>
      </c>
      <c r="AA105" s="2230">
        <v>63</v>
      </c>
      <c r="AB105" s="2418">
        <v>34.153650209650294</v>
      </c>
      <c r="AC105" s="2230">
        <f t="shared" si="21"/>
        <v>97.153650209650294</v>
      </c>
      <c r="AD105" s="2227"/>
      <c r="AE105" s="2419">
        <v>3.97</v>
      </c>
    </row>
    <row r="106" spans="8:31">
      <c r="H106" s="2412" t="s">
        <v>983</v>
      </c>
      <c r="I106" s="2416"/>
      <c r="J106" s="2226" t="s">
        <v>110</v>
      </c>
      <c r="K106" s="2224" t="s">
        <v>845</v>
      </c>
      <c r="L106" s="2227"/>
      <c r="M106" s="2227"/>
      <c r="O106" s="2224"/>
      <c r="P106" s="2225" t="s">
        <v>994</v>
      </c>
      <c r="Q106" s="3227"/>
      <c r="R106" s="2392"/>
      <c r="S106" s="2228">
        <f t="shared" si="16"/>
        <v>0</v>
      </c>
      <c r="T106" s="2986" t="s">
        <v>229</v>
      </c>
      <c r="U106" s="2228">
        <f t="shared" si="17"/>
        <v>0</v>
      </c>
      <c r="V106" s="2228">
        <f t="shared" si="18"/>
        <v>0</v>
      </c>
      <c r="W106" s="2990" t="s">
        <v>229</v>
      </c>
      <c r="X106" s="2230">
        <f t="shared" si="19"/>
        <v>0</v>
      </c>
      <c r="Y106" s="2230">
        <f t="shared" si="20"/>
        <v>0</v>
      </c>
      <c r="Z106" s="2232">
        <v>0.2</v>
      </c>
      <c r="AA106" s="2230" t="s">
        <v>229</v>
      </c>
      <c r="AB106" s="2418" t="s">
        <v>229</v>
      </c>
      <c r="AC106" s="2230">
        <f t="shared" si="21"/>
        <v>0</v>
      </c>
      <c r="AD106" s="2227"/>
      <c r="AE106" s="2419">
        <v>0</v>
      </c>
    </row>
    <row r="107" spans="8:31">
      <c r="H107" s="2411" t="s">
        <v>984</v>
      </c>
      <c r="I107" s="2413">
        <v>2.23</v>
      </c>
      <c r="J107" s="2226" t="s">
        <v>110</v>
      </c>
      <c r="K107" s="2224" t="s">
        <v>992</v>
      </c>
      <c r="L107" s="2227">
        <v>2.4300000000000002</v>
      </c>
      <c r="M107" s="2227">
        <v>2.4300000000000002</v>
      </c>
      <c r="O107" s="2224">
        <v>30</v>
      </c>
      <c r="P107" s="2225" t="s">
        <v>994</v>
      </c>
      <c r="Q107" s="3227">
        <v>7119</v>
      </c>
      <c r="R107" s="2392">
        <v>7119</v>
      </c>
      <c r="S107" s="2228">
        <f t="shared" si="16"/>
        <v>14238</v>
      </c>
      <c r="T107" s="2986">
        <v>15875.369999999999</v>
      </c>
      <c r="U107" s="2228">
        <f t="shared" si="17"/>
        <v>15875.369999999999</v>
      </c>
      <c r="V107" s="2228">
        <f t="shared" si="18"/>
        <v>31750.739999999998</v>
      </c>
      <c r="W107" s="2990">
        <v>17299.170000000002</v>
      </c>
      <c r="X107" s="2230">
        <f t="shared" si="19"/>
        <v>17299.170000000002</v>
      </c>
      <c r="Y107" s="2230">
        <f t="shared" si="20"/>
        <v>34598.340000000004</v>
      </c>
      <c r="Z107" s="2232">
        <v>0.2</v>
      </c>
      <c r="AA107" s="2230">
        <v>6919.6680000000015</v>
      </c>
      <c r="AB107" s="2418">
        <v>3751.3003244271499</v>
      </c>
      <c r="AC107" s="2230">
        <f t="shared" si="21"/>
        <v>10670.968324427151</v>
      </c>
      <c r="AD107" s="2227"/>
      <c r="AE107" s="2419">
        <v>3.1919350594928661E-2</v>
      </c>
    </row>
    <row r="108" spans="8:31">
      <c r="H108" s="2411" t="s">
        <v>985</v>
      </c>
      <c r="I108" s="2413">
        <v>1.2</v>
      </c>
      <c r="J108" s="2226" t="s">
        <v>110</v>
      </c>
      <c r="K108" s="2224" t="s">
        <v>992</v>
      </c>
      <c r="L108" s="2227">
        <v>2.4300000000000002</v>
      </c>
      <c r="M108" s="2227">
        <v>2.4300000000000002</v>
      </c>
      <c r="O108" s="2224">
        <v>30</v>
      </c>
      <c r="P108" s="2225" t="s">
        <v>995</v>
      </c>
      <c r="Q108" s="3227">
        <v>2000</v>
      </c>
      <c r="R108" s="2392">
        <v>1000</v>
      </c>
      <c r="S108" s="2228">
        <f t="shared" si="16"/>
        <v>3000</v>
      </c>
      <c r="T108" s="2986">
        <v>4620</v>
      </c>
      <c r="U108" s="2228">
        <f t="shared" si="17"/>
        <v>1200</v>
      </c>
      <c r="V108" s="2228">
        <f t="shared" si="18"/>
        <v>5820</v>
      </c>
      <c r="W108" s="2990">
        <v>4860</v>
      </c>
      <c r="X108" s="2230">
        <f t="shared" si="19"/>
        <v>2430</v>
      </c>
      <c r="Y108" s="2230">
        <f t="shared" si="20"/>
        <v>7290</v>
      </c>
      <c r="Z108" s="2232">
        <v>0.2</v>
      </c>
      <c r="AA108" s="2230">
        <v>1458</v>
      </c>
      <c r="AB108" s="2418">
        <v>790.41304770904969</v>
      </c>
      <c r="AC108" s="2230">
        <f t="shared" si="21"/>
        <v>2248.4130477090498</v>
      </c>
      <c r="AD108" s="2227"/>
      <c r="AE108" s="2419">
        <v>0</v>
      </c>
    </row>
    <row r="109" spans="8:31">
      <c r="H109" s="2411" t="s">
        <v>986</v>
      </c>
      <c r="I109" s="2413">
        <v>0.51</v>
      </c>
      <c r="J109" s="2226" t="s">
        <v>110</v>
      </c>
      <c r="K109" s="2224" t="s">
        <v>992</v>
      </c>
      <c r="L109" s="2227">
        <v>1.95</v>
      </c>
      <c r="M109" s="2227">
        <v>1.95</v>
      </c>
      <c r="O109" s="2224">
        <v>30</v>
      </c>
      <c r="P109" s="2225" t="s">
        <v>994</v>
      </c>
      <c r="Q109" s="3227">
        <v>7000</v>
      </c>
      <c r="R109" s="2392">
        <v>7000</v>
      </c>
      <c r="S109" s="2228">
        <f t="shared" si="16"/>
        <v>14000</v>
      </c>
      <c r="T109" s="2986">
        <v>3570</v>
      </c>
      <c r="U109" s="2228">
        <f t="shared" si="17"/>
        <v>3570</v>
      </c>
      <c r="V109" s="2228">
        <f t="shared" si="18"/>
        <v>7140</v>
      </c>
      <c r="W109" s="2990">
        <v>13650</v>
      </c>
      <c r="X109" s="2230">
        <f t="shared" si="19"/>
        <v>13650</v>
      </c>
      <c r="Y109" s="2230">
        <f t="shared" si="20"/>
        <v>27300</v>
      </c>
      <c r="Z109" s="2232">
        <v>0.2</v>
      </c>
      <c r="AA109" s="2230">
        <v>5460</v>
      </c>
      <c r="AB109" s="2418">
        <v>2959.9830181696921</v>
      </c>
      <c r="AC109" s="2230">
        <f t="shared" si="21"/>
        <v>8419.9830181696925</v>
      </c>
      <c r="AD109" s="2227"/>
      <c r="AE109" s="2419">
        <v>7.4153226467526482E-3</v>
      </c>
    </row>
    <row r="110" spans="8:31">
      <c r="H110" s="2411" t="s">
        <v>987</v>
      </c>
      <c r="I110" s="2413">
        <v>0.4</v>
      </c>
      <c r="J110" s="2226" t="s">
        <v>110</v>
      </c>
      <c r="K110" s="2224" t="s">
        <v>992</v>
      </c>
      <c r="L110" s="2227">
        <v>1.95</v>
      </c>
      <c r="M110" s="2227">
        <v>1.95</v>
      </c>
      <c r="O110" s="2224">
        <v>30</v>
      </c>
      <c r="P110" s="2225" t="s">
        <v>995</v>
      </c>
      <c r="Q110" s="3227">
        <v>1</v>
      </c>
      <c r="R110" s="2392">
        <v>1000</v>
      </c>
      <c r="S110" s="2228">
        <f t="shared" si="16"/>
        <v>1001</v>
      </c>
      <c r="T110" s="2986">
        <v>0.72</v>
      </c>
      <c r="U110" s="2228">
        <f t="shared" si="17"/>
        <v>400</v>
      </c>
      <c r="V110" s="2228">
        <f t="shared" si="18"/>
        <v>400.72</v>
      </c>
      <c r="W110" s="2990">
        <v>1.95</v>
      </c>
      <c r="X110" s="2230">
        <f t="shared" si="19"/>
        <v>1950</v>
      </c>
      <c r="Y110" s="2230">
        <f t="shared" si="20"/>
        <v>1951.95</v>
      </c>
      <c r="Z110" s="2232">
        <v>0.2</v>
      </c>
      <c r="AA110" s="2230">
        <v>390.39000000000004</v>
      </c>
      <c r="AB110" s="2418">
        <v>211.63878579913296</v>
      </c>
      <c r="AC110" s="2230">
        <f t="shared" si="21"/>
        <v>602.02878579913295</v>
      </c>
      <c r="AD110" s="2227"/>
      <c r="AE110" s="2227">
        <v>0</v>
      </c>
    </row>
    <row r="111" spans="8:31">
      <c r="H111" s="2417" t="s">
        <v>988</v>
      </c>
      <c r="I111" s="2416">
        <v>26.63</v>
      </c>
      <c r="J111" s="2226" t="s">
        <v>110</v>
      </c>
      <c r="K111" s="2224" t="s">
        <v>845</v>
      </c>
      <c r="L111" s="2227">
        <v>40</v>
      </c>
      <c r="M111" s="2227">
        <v>40</v>
      </c>
      <c r="O111" s="2224">
        <v>12</v>
      </c>
      <c r="P111" s="2225" t="s">
        <v>880</v>
      </c>
      <c r="Q111" s="3227">
        <v>5</v>
      </c>
      <c r="R111" s="2392">
        <v>0</v>
      </c>
      <c r="S111" s="2228">
        <f t="shared" si="16"/>
        <v>5</v>
      </c>
      <c r="T111" s="2986">
        <v>133.15</v>
      </c>
      <c r="U111" s="2228">
        <f t="shared" si="17"/>
        <v>0</v>
      </c>
      <c r="V111" s="2228">
        <f t="shared" si="18"/>
        <v>133.15</v>
      </c>
      <c r="W111" s="2990">
        <v>200</v>
      </c>
      <c r="X111" s="2230">
        <f t="shared" si="19"/>
        <v>0</v>
      </c>
      <c r="Y111" s="2230">
        <f t="shared" si="20"/>
        <v>200</v>
      </c>
      <c r="Z111" s="2232">
        <v>0.2</v>
      </c>
      <c r="AA111" s="2230">
        <v>40</v>
      </c>
      <c r="AB111" s="2418">
        <v>21.684857275968437</v>
      </c>
      <c r="AC111" s="2230">
        <f t="shared" si="21"/>
        <v>61.68485727596844</v>
      </c>
      <c r="AD111" s="2227"/>
      <c r="AE111" s="2227">
        <v>0</v>
      </c>
    </row>
    <row r="112" spans="8:31">
      <c r="H112" s="2417" t="s">
        <v>989</v>
      </c>
      <c r="I112" s="2416">
        <v>24.56</v>
      </c>
      <c r="J112" s="2226" t="s">
        <v>110</v>
      </c>
      <c r="K112" s="2224" t="s">
        <v>845</v>
      </c>
      <c r="L112" s="2227">
        <v>40</v>
      </c>
      <c r="M112" s="2227">
        <v>40</v>
      </c>
      <c r="O112" s="2224">
        <v>12</v>
      </c>
      <c r="P112" s="2225" t="s">
        <v>880</v>
      </c>
      <c r="Q112" s="3227">
        <v>10</v>
      </c>
      <c r="R112" s="2392">
        <v>0</v>
      </c>
      <c r="S112" s="2228">
        <f t="shared" si="16"/>
        <v>10</v>
      </c>
      <c r="T112" s="2986">
        <v>245.6</v>
      </c>
      <c r="U112" s="2228">
        <f t="shared" si="17"/>
        <v>0</v>
      </c>
      <c r="V112" s="2228">
        <f t="shared" si="18"/>
        <v>245.6</v>
      </c>
      <c r="W112" s="2990">
        <v>400</v>
      </c>
      <c r="X112" s="2230">
        <f t="shared" si="19"/>
        <v>0</v>
      </c>
      <c r="Y112" s="2230">
        <f t="shared" si="20"/>
        <v>400</v>
      </c>
      <c r="Z112" s="2232">
        <v>0.2</v>
      </c>
      <c r="AA112" s="2230">
        <v>80</v>
      </c>
      <c r="AB112" s="2418">
        <v>43.369714551936873</v>
      </c>
      <c r="AC112" s="2230">
        <f t="shared" si="21"/>
        <v>123.36971455193688</v>
      </c>
      <c r="AD112" s="2227"/>
      <c r="AE112" s="2227">
        <v>0</v>
      </c>
    </row>
    <row r="113" spans="8:31">
      <c r="H113" s="2417" t="s">
        <v>990</v>
      </c>
      <c r="I113" s="2416">
        <v>29.41</v>
      </c>
      <c r="J113" s="2226" t="s">
        <v>110</v>
      </c>
      <c r="K113" s="2224" t="s">
        <v>845</v>
      </c>
      <c r="L113" s="2227">
        <v>40</v>
      </c>
      <c r="M113" s="2227">
        <v>40</v>
      </c>
      <c r="O113" s="2224">
        <v>12</v>
      </c>
      <c r="P113" s="2225" t="s">
        <v>880</v>
      </c>
      <c r="Q113" s="3227">
        <v>5</v>
      </c>
      <c r="R113" s="2392">
        <v>0</v>
      </c>
      <c r="S113" s="2228">
        <f t="shared" si="16"/>
        <v>5</v>
      </c>
      <c r="T113" s="2986">
        <v>147.05000000000001</v>
      </c>
      <c r="U113" s="2228">
        <f t="shared" si="17"/>
        <v>0</v>
      </c>
      <c r="V113" s="2228">
        <f>SUM(T113:U113)</f>
        <v>147.05000000000001</v>
      </c>
      <c r="W113" s="2990">
        <v>200</v>
      </c>
      <c r="X113" s="2230">
        <f t="shared" si="19"/>
        <v>0</v>
      </c>
      <c r="Y113" s="2230">
        <f t="shared" si="20"/>
        <v>200</v>
      </c>
      <c r="Z113" s="2232">
        <v>0.2</v>
      </c>
      <c r="AA113" s="2230">
        <v>40</v>
      </c>
      <c r="AB113" s="2418">
        <v>21.684857275968437</v>
      </c>
      <c r="AC113" s="2230">
        <f t="shared" si="21"/>
        <v>61.68485727596844</v>
      </c>
      <c r="AD113" s="2227"/>
      <c r="AE113" s="2227">
        <v>0</v>
      </c>
    </row>
    <row r="114" spans="8:31">
      <c r="H114" s="2224" t="s">
        <v>1768</v>
      </c>
      <c r="I114" s="2225">
        <v>49</v>
      </c>
      <c r="J114" s="2226" t="s">
        <v>110</v>
      </c>
      <c r="K114" s="2224" t="s">
        <v>845</v>
      </c>
      <c r="L114" s="2227">
        <v>67.5</v>
      </c>
      <c r="M114" s="2227">
        <v>67.5</v>
      </c>
      <c r="O114" s="2224">
        <v>15</v>
      </c>
      <c r="P114" s="2225" t="s">
        <v>995</v>
      </c>
      <c r="Q114" s="3227">
        <v>0</v>
      </c>
      <c r="R114" s="2392">
        <v>50</v>
      </c>
      <c r="S114" s="2228">
        <f t="shared" si="16"/>
        <v>50</v>
      </c>
      <c r="T114" s="2986">
        <v>0</v>
      </c>
      <c r="U114" s="2228">
        <f t="shared" ref="U114:U115" si="22">R114*I114</f>
        <v>2450</v>
      </c>
      <c r="V114" s="2228">
        <f>SUM(T114:U114)</f>
        <v>2450</v>
      </c>
      <c r="W114" s="2990">
        <v>0</v>
      </c>
      <c r="X114" s="2230">
        <f t="shared" ref="X114:X115" si="23">R114*M114</f>
        <v>3375</v>
      </c>
      <c r="Y114" s="2230">
        <f t="shared" ref="Y114:Y115" si="24">SUM(W114:X114)</f>
        <v>3375</v>
      </c>
      <c r="Z114" s="2232">
        <v>1.2</v>
      </c>
      <c r="AA114" s="2230">
        <v>675</v>
      </c>
      <c r="AB114" s="2418">
        <v>365.93196653196742</v>
      </c>
      <c r="AC114" s="2230">
        <f t="shared" ref="AC114:AC115" si="25">SUM(AA114:AB114)</f>
        <v>1040.9319665319674</v>
      </c>
      <c r="AD114" s="2227"/>
      <c r="AE114" s="2227">
        <v>0</v>
      </c>
    </row>
    <row r="115" spans="8:31">
      <c r="H115" s="2224" t="s">
        <v>1769</v>
      </c>
      <c r="I115" s="2225">
        <v>49</v>
      </c>
      <c r="J115" s="2226" t="s">
        <v>110</v>
      </c>
      <c r="K115" s="2224" t="s">
        <v>845</v>
      </c>
      <c r="L115" s="2227">
        <v>67.5</v>
      </c>
      <c r="M115" s="2227">
        <v>67.5</v>
      </c>
      <c r="N115" s="1652"/>
      <c r="O115" s="2224">
        <v>15</v>
      </c>
      <c r="P115" s="2225" t="s">
        <v>994</v>
      </c>
      <c r="Q115" s="3227">
        <v>0</v>
      </c>
      <c r="R115" s="2392">
        <v>1</v>
      </c>
      <c r="S115" s="2228">
        <f t="shared" si="16"/>
        <v>1</v>
      </c>
      <c r="T115" s="2986">
        <v>0</v>
      </c>
      <c r="U115" s="2228">
        <f t="shared" si="22"/>
        <v>49</v>
      </c>
      <c r="V115" s="2228">
        <f>SUM(T115:U115)</f>
        <v>49</v>
      </c>
      <c r="W115" s="2990">
        <v>0</v>
      </c>
      <c r="X115" s="2230">
        <f t="shared" si="23"/>
        <v>67.5</v>
      </c>
      <c r="Y115" s="2230">
        <f t="shared" si="24"/>
        <v>67.5</v>
      </c>
      <c r="Z115" s="2232">
        <v>2.2000000000000002</v>
      </c>
      <c r="AA115" s="2230">
        <v>13.5</v>
      </c>
      <c r="AB115" s="2418">
        <v>7.318639330639348</v>
      </c>
      <c r="AC115" s="2230">
        <f t="shared" si="25"/>
        <v>20.81863933063935</v>
      </c>
      <c r="AD115" s="2227"/>
      <c r="AE115" s="2227">
        <v>0</v>
      </c>
    </row>
  </sheetData>
  <customSheetViews>
    <customSheetView guid="{D9EFFE19-D14B-4C6F-BDF4-FF696F73968D}">
      <selection activeCell="H4" sqref="H4:H6"/>
      <pageMargins left="0.17" right="0.24" top="0.43" bottom="0.39" header="0.3" footer="0.3"/>
      <pageSetup paperSize="17" scale="40" orientation="landscape" r:id="rId1"/>
    </customSheetView>
    <customSheetView guid="{074EB09C-6289-46D7-9513-012B68BCA7BF}">
      <selection activeCell="AD32" sqref="AD32"/>
      <pageMargins left="0.17" right="0.24" top="0.43" bottom="0.39" header="0.3" footer="0.3"/>
      <pageSetup paperSize="17" scale="40" orientation="landscape" r:id="rId2"/>
    </customSheetView>
  </customSheetViews>
  <mergeCells count="10">
    <mergeCell ref="AE12:AE13"/>
    <mergeCell ref="X2:X3"/>
    <mergeCell ref="S2:T2"/>
    <mergeCell ref="U2:W2"/>
    <mergeCell ref="T12:V12"/>
    <mergeCell ref="H10:P10"/>
    <mergeCell ref="H12:P12"/>
    <mergeCell ref="W12:Y12"/>
    <mergeCell ref="Q12:S12"/>
    <mergeCell ref="Z12:AD12"/>
  </mergeCells>
  <pageMargins left="0.17" right="0.24" top="0.43" bottom="0.39" header="0.3" footer="0.3"/>
  <pageSetup paperSize="3" scale="38" orientation="landscape" r:id="rId3"/>
  <ignoredErrors>
    <ignoredError sqref="AC17:AC88" formulaRange="1"/>
  </ignoredErrors>
  <drawing r:id="rId4"/>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8DB4E3"/>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85546875" customWidth="1"/>
    <col min="2" max="2" width="16" style="1413" customWidth="1"/>
    <col min="3" max="3" width="35.42578125" customWidth="1"/>
    <col min="4" max="4" width="20" style="1" customWidth="1"/>
    <col min="5" max="5" width="20" style="2" customWidth="1"/>
    <col min="6" max="10" width="18.85546875" customWidth="1"/>
    <col min="11" max="11" width="17.5703125" customWidth="1"/>
    <col min="12" max="12" width="19.28515625" customWidth="1"/>
    <col min="13" max="13" width="24.42578125" customWidth="1"/>
    <col min="14" max="14" width="19.42578125" customWidth="1"/>
    <col min="15" max="15" width="13.28515625" customWidth="1"/>
    <col min="16" max="16" width="15.85546875" customWidth="1"/>
    <col min="17" max="17" width="14.140625" customWidth="1"/>
  </cols>
  <sheetData>
    <row r="1" spans="1:18" ht="53.25" customHeight="1">
      <c r="D1" s="1361" t="s">
        <v>27</v>
      </c>
      <c r="E1" s="1509" t="s">
        <v>22</v>
      </c>
      <c r="F1" s="1427">
        <v>18230469</v>
      </c>
      <c r="G1" s="1509" t="s">
        <v>4</v>
      </c>
      <c r="H1" s="1201"/>
      <c r="M1" s="1361" t="s">
        <v>27</v>
      </c>
      <c r="N1" s="1509" t="s">
        <v>22</v>
      </c>
      <c r="O1" s="1427">
        <v>18230469</v>
      </c>
      <c r="P1" s="1509" t="s">
        <v>4</v>
      </c>
    </row>
    <row r="2" spans="1:18" ht="16.5" thickBot="1">
      <c r="D2" s="38"/>
      <c r="E2" s="1208"/>
      <c r="F2" s="1208"/>
      <c r="G2" s="891"/>
      <c r="H2" s="1178" t="s">
        <v>627</v>
      </c>
      <c r="I2" s="1354"/>
      <c r="J2" s="1354"/>
      <c r="K2" s="1354"/>
      <c r="L2" s="1354"/>
      <c r="M2" s="1354"/>
      <c r="N2" s="1354"/>
      <c r="O2" s="1354"/>
      <c r="P2" s="1354"/>
      <c r="Q2" s="1354"/>
    </row>
    <row r="3" spans="1:18" ht="26.25" thickBot="1">
      <c r="A3" s="1392" t="s">
        <v>487</v>
      </c>
      <c r="B3" s="1357"/>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t="s">
        <v>29</v>
      </c>
      <c r="B4" s="1508"/>
      <c r="D4"/>
      <c r="E4" s="1413"/>
      <c r="F4" s="1413"/>
      <c r="G4" s="2946" t="s">
        <v>1726</v>
      </c>
      <c r="H4" s="2959">
        <f>D15</f>
        <v>83917.24</v>
      </c>
      <c r="I4" s="2960">
        <f>D21</f>
        <v>0</v>
      </c>
      <c r="J4" s="2960">
        <f>D27</f>
        <v>55972.799080000004</v>
      </c>
      <c r="K4" s="2960">
        <f>D37</f>
        <v>0</v>
      </c>
      <c r="L4" s="2960">
        <f>D43</f>
        <v>1044</v>
      </c>
      <c r="M4" s="2960">
        <f>D49</f>
        <v>0</v>
      </c>
      <c r="N4" s="2960">
        <f>D55</f>
        <v>0</v>
      </c>
      <c r="O4" s="2960">
        <f>D61</f>
        <v>0</v>
      </c>
      <c r="P4" s="2960">
        <v>0</v>
      </c>
      <c r="Q4" s="2960"/>
      <c r="R4" s="2960">
        <f>SUM(H4:P4)</f>
        <v>140934.03908000002</v>
      </c>
    </row>
    <row r="5" spans="1:18" ht="15.75">
      <c r="A5" s="1508" t="s">
        <v>22</v>
      </c>
      <c r="E5" s="1355"/>
      <c r="F5" s="1355"/>
      <c r="G5" s="3205" t="s">
        <v>1753</v>
      </c>
      <c r="H5" s="2617">
        <v>86014.9</v>
      </c>
      <c r="I5" s="2618">
        <v>0</v>
      </c>
      <c r="J5" s="2618">
        <v>58490.131999999998</v>
      </c>
      <c r="K5" s="2618">
        <v>0</v>
      </c>
      <c r="L5" s="2618">
        <v>1044</v>
      </c>
      <c r="M5" s="2618">
        <v>0</v>
      </c>
      <c r="N5" s="2618">
        <v>0</v>
      </c>
      <c r="O5" s="2618">
        <v>0</v>
      </c>
      <c r="P5" s="2618">
        <v>0</v>
      </c>
      <c r="Q5" s="2618"/>
      <c r="R5" s="2618">
        <v>145549.03200000001</v>
      </c>
    </row>
    <row r="6" spans="1:18" ht="16.5" thickBot="1">
      <c r="A6" s="1427">
        <v>18230469</v>
      </c>
      <c r="B6" s="1427"/>
      <c r="C6" s="943"/>
      <c r="D6"/>
      <c r="E6" s="1413"/>
      <c r="F6" s="1413"/>
      <c r="G6" s="3206" t="s">
        <v>1754</v>
      </c>
      <c r="H6" s="2621">
        <f>E15</f>
        <v>116249.4</v>
      </c>
      <c r="I6" s="2622">
        <f>E21</f>
        <v>0</v>
      </c>
      <c r="J6" s="2623">
        <f>E27</f>
        <v>79979.587199999994</v>
      </c>
      <c r="K6" s="2622">
        <f>E37</f>
        <v>0</v>
      </c>
      <c r="L6" s="2622">
        <f>E43</f>
        <v>1044</v>
      </c>
      <c r="M6" s="2622">
        <f>E49</f>
        <v>514200</v>
      </c>
      <c r="N6" s="2622">
        <f>E55</f>
        <v>0</v>
      </c>
      <c r="O6" s="2622">
        <f>E61</f>
        <v>0</v>
      </c>
      <c r="P6" s="2622">
        <v>0</v>
      </c>
      <c r="Q6" s="2622"/>
      <c r="R6" s="2622">
        <f>SUM(H6:P6)</f>
        <v>711472.98719999997</v>
      </c>
    </row>
    <row r="7" spans="1:18" s="18" customFormat="1">
      <c r="A7" s="1508" t="s">
        <v>4</v>
      </c>
      <c r="B7" s="1510"/>
      <c r="E7" s="1409"/>
      <c r="F7" s="1409"/>
      <c r="G7" s="2733"/>
      <c r="H7" s="2607"/>
      <c r="I7" s="2607"/>
      <c r="J7" s="2607"/>
      <c r="K7" s="2607"/>
      <c r="L7" s="2607"/>
      <c r="M7" s="2607"/>
      <c r="N7" s="2607"/>
      <c r="O7" s="2607"/>
      <c r="P7" s="2607"/>
      <c r="Q7" s="2607"/>
      <c r="R7" s="2607"/>
    </row>
    <row r="8" spans="1:18" s="18" customFormat="1" ht="25.5">
      <c r="B8" s="1357"/>
      <c r="E8" s="1409"/>
      <c r="F8" s="1409"/>
      <c r="G8" s="1355"/>
      <c r="H8" s="1339"/>
      <c r="I8" s="1413"/>
      <c r="J8" s="1413"/>
      <c r="K8" s="1413"/>
      <c r="L8" s="1413"/>
      <c r="M8" s="1413"/>
      <c r="N8" s="1413"/>
      <c r="O8" s="1413"/>
      <c r="P8" s="1412" t="s">
        <v>17</v>
      </c>
      <c r="Q8" s="1413"/>
    </row>
    <row r="9" spans="1:18" s="18" customFormat="1">
      <c r="A9" s="28"/>
      <c r="B9" s="1410"/>
      <c r="E9" s="1409"/>
      <c r="F9" s="1409"/>
      <c r="G9" s="1355"/>
      <c r="H9" s="1339"/>
      <c r="I9" s="1413"/>
      <c r="J9" s="1413"/>
      <c r="K9" s="1413"/>
      <c r="L9" s="1413"/>
      <c r="M9" s="1413"/>
      <c r="N9" s="1413"/>
      <c r="O9" s="1413"/>
      <c r="P9" s="1412" t="s">
        <v>18</v>
      </c>
      <c r="Q9" s="1413"/>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140934.03908000002</v>
      </c>
      <c r="E12" s="1484">
        <f>E15+E21+E27+E37+E43+E49+E55+E61</f>
        <v>711472.98719999997</v>
      </c>
      <c r="F12" s="1462">
        <f>D12+E12</f>
        <v>852407.02627999999</v>
      </c>
    </row>
    <row r="13" spans="1:18">
      <c r="A13" s="21"/>
      <c r="B13" s="1410"/>
      <c r="C13" s="1483"/>
      <c r="D13" s="2767"/>
      <c r="E13" s="1336"/>
      <c r="F13" s="1413"/>
    </row>
    <row r="14" spans="1:18" s="18" customFormat="1" ht="15.75">
      <c r="A14" s="28"/>
      <c r="B14" s="1410"/>
      <c r="C14" s="1435" t="s">
        <v>42</v>
      </c>
      <c r="D14" s="2768">
        <v>2016</v>
      </c>
      <c r="E14" s="1502">
        <v>2017</v>
      </c>
      <c r="F14" s="1486" t="s">
        <v>20</v>
      </c>
      <c r="G14" s="29"/>
      <c r="H14" s="29"/>
    </row>
    <row r="15" spans="1:18" s="18" customFormat="1" ht="15.75">
      <c r="A15" s="28"/>
      <c r="B15" s="1433" t="s">
        <v>296</v>
      </c>
      <c r="C15" s="1451" t="s">
        <v>43</v>
      </c>
      <c r="D15" s="2771">
        <f>SUM(D16:D19)</f>
        <v>83917.24</v>
      </c>
      <c r="E15" s="1464">
        <f>SUM(E16:E19)</f>
        <v>116249.4</v>
      </c>
      <c r="F15" s="1462">
        <f>SUM(F16:F19)</f>
        <v>200166.64</v>
      </c>
      <c r="G15" s="29"/>
      <c r="H15" s="29"/>
    </row>
    <row r="16" spans="1:18">
      <c r="A16" s="21"/>
      <c r="B16" s="1432">
        <v>0.7</v>
      </c>
      <c r="C16" s="1568" t="s">
        <v>726</v>
      </c>
      <c r="D16" s="2772">
        <v>83917.24</v>
      </c>
      <c r="E16" s="1448">
        <v>116249.4</v>
      </c>
      <c r="F16" s="1426">
        <f>SUM(D16:E16)</f>
        <v>200166.64</v>
      </c>
    </row>
    <row r="17" spans="1:7">
      <c r="A17" s="21"/>
      <c r="B17" s="1432"/>
      <c r="C17" s="1423"/>
      <c r="D17" s="2784"/>
      <c r="E17" s="1447"/>
      <c r="F17" s="1438">
        <f>SUM(D17:E17)</f>
        <v>0</v>
      </c>
    </row>
    <row r="18" spans="1:7">
      <c r="A18" s="21"/>
      <c r="B18" s="1432"/>
      <c r="C18" s="1423"/>
      <c r="D18" s="2784"/>
      <c r="E18" s="1447"/>
      <c r="F18" s="1438">
        <f>SUM(D18:E18)</f>
        <v>0</v>
      </c>
    </row>
    <row r="19" spans="1:7">
      <c r="A19" s="21"/>
      <c r="B19" s="1432"/>
      <c r="C19" s="1423"/>
      <c r="D19" s="2786"/>
      <c r="E19" s="1446"/>
      <c r="F19" s="1438">
        <f>SUM(D19:E19)</f>
        <v>0</v>
      </c>
    </row>
    <row r="20" spans="1:7">
      <c r="A20" s="21"/>
      <c r="B20" s="1449">
        <f>SUM(B16:B19)</f>
        <v>0.7</v>
      </c>
      <c r="C20" s="1488"/>
      <c r="D20" s="2770"/>
      <c r="E20" s="1490"/>
      <c r="F20" s="1492"/>
    </row>
    <row r="21" spans="1:7">
      <c r="A21" s="21"/>
      <c r="B21" s="1412"/>
      <c r="C21" s="1451" t="s">
        <v>44</v>
      </c>
      <c r="D21" s="2771">
        <f>SUM(D22:D25)</f>
        <v>0</v>
      </c>
      <c r="E21" s="1464">
        <f>SUM(E22:E25)</f>
        <v>0</v>
      </c>
      <c r="F21" s="1462">
        <f>SUM(F22:F25)</f>
        <v>0</v>
      </c>
      <c r="G21" s="33" t="s">
        <v>6</v>
      </c>
    </row>
    <row r="22" spans="1:7">
      <c r="A22" s="21"/>
      <c r="B22" s="1412"/>
      <c r="C22" s="1423"/>
      <c r="D22" s="2772"/>
      <c r="E22" s="1448"/>
      <c r="F22" s="1426">
        <f>SUM(D22:E22)</f>
        <v>0</v>
      </c>
      <c r="G22" s="34"/>
    </row>
    <row r="23" spans="1:7">
      <c r="A23" s="21"/>
      <c r="B23" s="1412"/>
      <c r="C23" s="1423"/>
      <c r="D23" s="2773"/>
      <c r="E23" s="1444"/>
      <c r="F23" s="1438">
        <f>SUM(D23:E23)</f>
        <v>0</v>
      </c>
    </row>
    <row r="24" spans="1:7">
      <c r="A24" s="21"/>
      <c r="B24" s="1410"/>
      <c r="C24" s="1423"/>
      <c r="D24" s="2774"/>
      <c r="E24" s="1443"/>
      <c r="F24" s="1438">
        <f>SUM(D24:E24)</f>
        <v>0</v>
      </c>
    </row>
    <row r="25" spans="1:7" s="18" customFormat="1">
      <c r="A25" s="28"/>
      <c r="B25" s="1412"/>
      <c r="C25" s="1423"/>
      <c r="D25" s="2775"/>
      <c r="E25" s="1444"/>
      <c r="F25" s="1438">
        <f>SUM(D25:E25)</f>
        <v>0</v>
      </c>
    </row>
    <row r="26" spans="1:7">
      <c r="A26" s="21"/>
      <c r="B26" s="1410"/>
      <c r="C26" s="1424"/>
      <c r="D26" s="2776"/>
      <c r="E26" s="1431"/>
      <c r="F26" s="1439"/>
    </row>
    <row r="27" spans="1:7" s="18" customFormat="1">
      <c r="A27" s="28"/>
      <c r="B27" s="1412"/>
      <c r="C27" s="1451" t="s">
        <v>45</v>
      </c>
      <c r="D27" s="2771">
        <f>SUM(D29:D35)</f>
        <v>55972.799080000004</v>
      </c>
      <c r="E27" s="1657">
        <f>SUM(E29:E31)+SUM(E33:E35)</f>
        <v>79979.587199999994</v>
      </c>
      <c r="F27" s="1462">
        <f>SUM(F29:F35)</f>
        <v>135952.38628000001</v>
      </c>
    </row>
    <row r="28" spans="1:7">
      <c r="A28" s="21"/>
      <c r="B28" s="1412"/>
      <c r="C28" s="1450" t="s">
        <v>1733</v>
      </c>
      <c r="D28" s="2777">
        <v>0.66700000000000004</v>
      </c>
      <c r="E28" s="1452">
        <v>0.68799999999999994</v>
      </c>
      <c r="F28" s="1485"/>
    </row>
    <row r="29" spans="1:7">
      <c r="A29" s="21"/>
      <c r="B29" s="1412"/>
      <c r="C29" s="1667" t="s">
        <v>719</v>
      </c>
      <c r="D29" s="2778">
        <f>D15*D28</f>
        <v>55972.799080000004</v>
      </c>
      <c r="E29" s="1504">
        <f>E15*E28</f>
        <v>79979.587199999994</v>
      </c>
      <c r="F29" s="1438">
        <f>SUM(D29:E29)</f>
        <v>135952.38628000001</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v>
      </c>
      <c r="F32" s="1485"/>
    </row>
    <row r="33" spans="1:7">
      <c r="A33" s="21"/>
      <c r="B33" s="1350"/>
      <c r="C33" s="1667" t="s">
        <v>719</v>
      </c>
      <c r="D33" s="2778"/>
      <c r="E33" s="1641">
        <f>E15*E32</f>
        <v>0</v>
      </c>
      <c r="F33" s="1661">
        <f>SUM(D33:E33)</f>
        <v>0</v>
      </c>
    </row>
    <row r="34" spans="1:7">
      <c r="A34" s="1392" t="s">
        <v>487</v>
      </c>
      <c r="B34" s="1412"/>
      <c r="C34" s="1667" t="s">
        <v>720</v>
      </c>
      <c r="D34" s="2785"/>
      <c r="E34" s="1641">
        <f>E21*E32</f>
        <v>0</v>
      </c>
      <c r="F34" s="1661">
        <f t="shared" ref="F34" si="0">SUM(D34:E34)</f>
        <v>0</v>
      </c>
      <c r="G34" s="37"/>
    </row>
    <row r="35" spans="1:7" ht="18.75" customHeight="1">
      <c r="A35" s="1392" t="s">
        <v>29</v>
      </c>
      <c r="B35" s="1410"/>
      <c r="C35" s="1445"/>
      <c r="D35" s="2775"/>
      <c r="E35" s="1444"/>
      <c r="F35" s="1661">
        <f>SUM(D35:E35)</f>
        <v>0</v>
      </c>
    </row>
    <row r="36" spans="1:7" s="18" customFormat="1">
      <c r="A36" s="1508" t="s">
        <v>22</v>
      </c>
      <c r="B36" s="1412"/>
      <c r="C36" s="1488"/>
      <c r="D36" s="2779"/>
      <c r="E36" s="1490"/>
      <c r="F36" s="1493"/>
    </row>
    <row r="37" spans="1:7">
      <c r="A37" s="1427">
        <v>18230469</v>
      </c>
      <c r="B37" s="1412"/>
      <c r="C37" s="1451" t="s">
        <v>46</v>
      </c>
      <c r="D37" s="2771">
        <v>0</v>
      </c>
      <c r="E37" s="1464">
        <v>0</v>
      </c>
      <c r="F37" s="1462">
        <v>0</v>
      </c>
    </row>
    <row r="38" spans="1:7">
      <c r="A38" s="1508" t="s">
        <v>4</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1044</v>
      </c>
      <c r="E43" s="1464">
        <f>SUM(E44:E47)</f>
        <v>1044</v>
      </c>
      <c r="F43" s="1462">
        <f t="shared" ref="F43:F59" si="1">SUM(D43:E43)</f>
        <v>2088</v>
      </c>
    </row>
    <row r="44" spans="1:7">
      <c r="A44" s="21"/>
      <c r="B44" s="1412"/>
      <c r="C44" s="1423"/>
      <c r="D44" s="2778">
        <v>1044</v>
      </c>
      <c r="E44" s="1520">
        <v>1044</v>
      </c>
      <c r="F44" s="1438">
        <f t="shared" si="1"/>
        <v>2088</v>
      </c>
    </row>
    <row r="45" spans="1:7">
      <c r="A45" s="21"/>
      <c r="B45" s="1412"/>
      <c r="C45" s="1667"/>
      <c r="D45" s="2778"/>
      <c r="E45" s="1672"/>
      <c r="F45" s="1438">
        <f t="shared" si="1"/>
        <v>0</v>
      </c>
    </row>
    <row r="46" spans="1:7">
      <c r="A46" s="21"/>
      <c r="B46" s="1412"/>
      <c r="C46" s="1423"/>
      <c r="D46" s="2778"/>
      <c r="E46" s="1520"/>
      <c r="F46" s="1438">
        <f t="shared" si="1"/>
        <v>0</v>
      </c>
    </row>
    <row r="47" spans="1:7">
      <c r="A47" s="21"/>
      <c r="B47" s="1412"/>
      <c r="C47" s="1423"/>
      <c r="D47" s="2778"/>
      <c r="E47" s="1520"/>
      <c r="F47" s="1438">
        <f t="shared" si="1"/>
        <v>0</v>
      </c>
    </row>
    <row r="48" spans="1:7">
      <c r="A48" s="21"/>
      <c r="B48" s="1412"/>
      <c r="C48" s="1488"/>
      <c r="D48" s="2779"/>
      <c r="E48" s="1490"/>
      <c r="F48" s="1493"/>
    </row>
    <row r="49" spans="1:6">
      <c r="A49" s="21"/>
      <c r="B49" s="1412"/>
      <c r="C49" s="1451" t="s">
        <v>47</v>
      </c>
      <c r="D49" s="2771">
        <f>SUM(D50:D53)</f>
        <v>0</v>
      </c>
      <c r="E49" s="1464">
        <f>SUM(E50:E53)</f>
        <v>514200</v>
      </c>
      <c r="F49" s="1462">
        <f t="shared" si="1"/>
        <v>514200</v>
      </c>
    </row>
    <row r="50" spans="1:6">
      <c r="A50" s="21"/>
      <c r="B50" s="1412"/>
      <c r="C50" s="1580" t="s">
        <v>2635</v>
      </c>
      <c r="D50" s="2778"/>
      <c r="E50" s="1520">
        <v>375000</v>
      </c>
      <c r="F50" s="1438">
        <f t="shared" si="1"/>
        <v>375000</v>
      </c>
    </row>
    <row r="51" spans="1:6">
      <c r="A51" s="21"/>
      <c r="B51" s="1412"/>
      <c r="C51" s="1423" t="s">
        <v>2636</v>
      </c>
      <c r="D51" s="2778"/>
      <c r="E51" s="1520">
        <v>139200</v>
      </c>
      <c r="F51" s="1438">
        <f t="shared" si="1"/>
        <v>139200</v>
      </c>
    </row>
    <row r="52" spans="1:6">
      <c r="A52" s="21"/>
      <c r="B52" s="1412"/>
      <c r="C52" s="1423"/>
      <c r="D52" s="2778"/>
      <c r="E52" s="1520"/>
      <c r="F52" s="1438">
        <f t="shared" si="1"/>
        <v>0</v>
      </c>
    </row>
    <row r="53" spans="1:6">
      <c r="A53" s="21"/>
      <c r="B53" s="1412"/>
      <c r="C53" s="1423"/>
      <c r="D53" s="2778"/>
      <c r="E53" s="1520"/>
      <c r="F53" s="1438">
        <f t="shared" si="1"/>
        <v>0</v>
      </c>
    </row>
    <row r="54" spans="1:6">
      <c r="A54" s="21"/>
      <c r="B54" s="1412"/>
      <c r="C54" s="1488"/>
      <c r="D54" s="2779"/>
      <c r="E54" s="1490"/>
      <c r="F54" s="1493"/>
    </row>
    <row r="55" spans="1:6">
      <c r="A55" s="21"/>
      <c r="B55" s="1412"/>
      <c r="C55" s="1451" t="s">
        <v>48</v>
      </c>
      <c r="D55" s="2771">
        <f>SUM(D56:D59)</f>
        <v>0</v>
      </c>
      <c r="E55" s="1464">
        <f>SUM(E56:E59)</f>
        <v>0</v>
      </c>
      <c r="F55" s="1462">
        <f t="shared" si="1"/>
        <v>0</v>
      </c>
    </row>
    <row r="56" spans="1:6">
      <c r="A56" s="21"/>
      <c r="B56" s="1412"/>
      <c r="C56" s="1568"/>
      <c r="D56" s="2778"/>
      <c r="E56" s="1504"/>
      <c r="F56" s="1438">
        <f t="shared" si="1"/>
        <v>0</v>
      </c>
    </row>
    <row r="57" spans="1:6">
      <c r="A57" s="21"/>
      <c r="B57" s="1412"/>
      <c r="C57" s="1568"/>
      <c r="D57" s="2778"/>
      <c r="E57" s="1504"/>
      <c r="F57" s="1438">
        <f t="shared" si="1"/>
        <v>0</v>
      </c>
    </row>
    <row r="58" spans="1:6">
      <c r="A58" s="21"/>
      <c r="B58" s="1412"/>
      <c r="C58" s="1423"/>
      <c r="D58" s="2778"/>
      <c r="E58" s="1504"/>
      <c r="F58" s="1438">
        <f t="shared" si="1"/>
        <v>0</v>
      </c>
    </row>
    <row r="59" spans="1:6">
      <c r="A59" s="21"/>
      <c r="B59" s="1412"/>
      <c r="C59" s="1423"/>
      <c r="D59" s="2778"/>
      <c r="E59" s="1504"/>
      <c r="F59" s="1438">
        <f t="shared" si="1"/>
        <v>0</v>
      </c>
    </row>
    <row r="60" spans="1:6">
      <c r="A60" s="21"/>
      <c r="B60" s="1412"/>
      <c r="C60" s="1488"/>
      <c r="D60" s="2779"/>
      <c r="E60" s="1490"/>
      <c r="F60" s="1493"/>
    </row>
    <row r="61" spans="1:6">
      <c r="A61" s="21"/>
      <c r="C61" s="1451" t="s">
        <v>49</v>
      </c>
      <c r="D61" s="2771">
        <f>SUM(D62:D63)</f>
        <v>0</v>
      </c>
      <c r="E61" s="1464">
        <f>SUM(E62:E63)</f>
        <v>0</v>
      </c>
      <c r="F61" s="1462">
        <f>SUM(F62:F63)</f>
        <v>0</v>
      </c>
    </row>
    <row r="62" spans="1:6">
      <c r="C62" s="1568"/>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B17" sqref="B17"/>
      <pageMargins left="0.17" right="0.22" top="0.38" bottom="0.37" header="0.3" footer="0.3"/>
      <pageSetup paperSize="17" scale="64" orientation="landscape" r:id="rId1"/>
    </customSheetView>
    <customSheetView guid="{074EB09C-6289-46D7-9513-012B68BCA7BF}" showGridLines="0" fitToPage="1">
      <pane xSplit="1" ySplit="1" topLeftCell="B14" activePane="bottomRight" state="frozen"/>
      <selection pane="bottomRight" activeCell="E33" sqref="E33"/>
      <pageMargins left="0.17" right="0.22" top="0.38" bottom="0.37" header="0.3" footer="0.3"/>
      <pageSetup paperSize="17" scale="64" orientation="landscape" r:id="rId2"/>
    </customSheetView>
  </customSheetViews>
  <pageMargins left="0.17" right="0.22" top="0.38" bottom="0.37" header="0.3" footer="0.3"/>
  <pageSetup paperSize="3" scale="64" orientation="landscape" r:id="rId3"/>
  <drawing r:id="rId4"/>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8DB4E3"/>
    <pageSetUpPr fitToPage="1"/>
  </sheetPr>
  <dimension ref="A1:R71"/>
  <sheetViews>
    <sheetView showGridLines="0" zoomScaleNormal="100" workbookViewId="0">
      <pane xSplit="1" ySplit="1" topLeftCell="B2" activePane="bottomRight" state="frozen"/>
      <selection pane="topRight" activeCell="B1" sqref="B1"/>
      <selection pane="bottomLeft" activeCell="A2" sqref="A2"/>
      <selection pane="bottomRight" activeCell="E33" sqref="E33"/>
    </sheetView>
  </sheetViews>
  <sheetFormatPr defaultRowHeight="12.75"/>
  <cols>
    <col min="1" max="1" width="18.42578125" customWidth="1"/>
    <col min="2" max="2" width="16" style="1413" customWidth="1"/>
    <col min="3" max="3" width="36.7109375" customWidth="1"/>
    <col min="4" max="4" width="19.140625" style="1" customWidth="1"/>
    <col min="5" max="5" width="19.140625" style="2" customWidth="1"/>
    <col min="6" max="10" width="18.85546875" customWidth="1"/>
    <col min="11" max="11" width="17.5703125" customWidth="1"/>
    <col min="12" max="12" width="19.42578125" customWidth="1"/>
    <col min="13" max="13" width="24.42578125" customWidth="1"/>
    <col min="14" max="14" width="19.42578125" customWidth="1"/>
    <col min="15" max="15" width="13.28515625" customWidth="1"/>
    <col min="16" max="16" width="17.140625" customWidth="1"/>
    <col min="17" max="17" width="10.5703125" customWidth="1"/>
    <col min="18" max="18" width="15" customWidth="1"/>
  </cols>
  <sheetData>
    <row r="1" spans="1:18" ht="54.75" customHeight="1">
      <c r="D1" s="1380" t="s">
        <v>326</v>
      </c>
      <c r="E1" s="1509" t="s">
        <v>22</v>
      </c>
      <c r="F1" s="1427">
        <v>18230437</v>
      </c>
      <c r="G1" s="1509" t="s">
        <v>4</v>
      </c>
      <c r="M1" s="1380" t="s">
        <v>326</v>
      </c>
      <c r="N1" s="1509" t="s">
        <v>22</v>
      </c>
      <c r="O1" s="1427">
        <v>18230437</v>
      </c>
      <c r="P1" s="1509" t="s">
        <v>4</v>
      </c>
    </row>
    <row r="2" spans="1:18" ht="16.5" thickBot="1">
      <c r="D2" s="38"/>
      <c r="E2" s="1349"/>
      <c r="F2" s="1349"/>
      <c r="G2" s="1354"/>
      <c r="H2" s="1178" t="s">
        <v>627</v>
      </c>
      <c r="I2" s="1354"/>
      <c r="J2" s="1354"/>
      <c r="K2" s="1354"/>
      <c r="L2" s="1354"/>
      <c r="M2" s="1354"/>
      <c r="N2" s="1354"/>
      <c r="O2" s="1354"/>
      <c r="P2" s="1354"/>
      <c r="Q2" s="1354"/>
    </row>
    <row r="3" spans="1:18" s="1310" customFormat="1" ht="26.25" thickBot="1">
      <c r="A3" s="1392" t="s">
        <v>484</v>
      </c>
      <c r="B3" s="1357"/>
      <c r="D3" s="1283"/>
      <c r="E3" s="1283"/>
      <c r="F3" s="1283"/>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335</v>
      </c>
      <c r="B4" s="1508"/>
      <c r="D4"/>
      <c r="E4" s="1413"/>
      <c r="F4" s="1413"/>
      <c r="G4" s="2946" t="s">
        <v>1726</v>
      </c>
      <c r="H4" s="2959">
        <f>D15</f>
        <v>146812.5</v>
      </c>
      <c r="I4" s="2960">
        <f>D21</f>
        <v>0</v>
      </c>
      <c r="J4" s="2960">
        <f>D27</f>
        <v>97923.9375</v>
      </c>
      <c r="K4" s="2960">
        <f>D37</f>
        <v>0</v>
      </c>
      <c r="L4" s="2960">
        <f>D43</f>
        <v>4254.3</v>
      </c>
      <c r="M4" s="2960">
        <f>D50</f>
        <v>31363.5</v>
      </c>
      <c r="N4" s="2960">
        <f>D57</f>
        <v>1348.5</v>
      </c>
      <c r="O4" s="2960">
        <f>D63</f>
        <v>0</v>
      </c>
      <c r="P4" s="2960">
        <v>0</v>
      </c>
      <c r="Q4" s="2960"/>
      <c r="R4" s="2960">
        <f>SUM(H4:P4)</f>
        <v>281702.73749999999</v>
      </c>
    </row>
    <row r="5" spans="1:18" ht="15.75">
      <c r="A5" s="1508" t="s">
        <v>22</v>
      </c>
      <c r="E5" s="1355"/>
      <c r="F5" s="1355"/>
      <c r="G5" s="3205" t="s">
        <v>1753</v>
      </c>
      <c r="H5" s="2617">
        <v>150482.81</v>
      </c>
      <c r="I5" s="2618">
        <v>0</v>
      </c>
      <c r="J5" s="2618">
        <v>102328.31080000001</v>
      </c>
      <c r="K5" s="2618">
        <v>0</v>
      </c>
      <c r="L5" s="2618">
        <v>4254.3</v>
      </c>
      <c r="M5" s="2618">
        <v>32552.355</v>
      </c>
      <c r="N5" s="2618">
        <v>1348.5</v>
      </c>
      <c r="O5" s="2618">
        <v>0</v>
      </c>
      <c r="P5" s="2618">
        <v>0</v>
      </c>
      <c r="Q5" s="2618"/>
      <c r="R5" s="2618">
        <v>290966.2758</v>
      </c>
    </row>
    <row r="6" spans="1:18" ht="16.5" thickBot="1">
      <c r="A6" s="1427">
        <v>18230437</v>
      </c>
      <c r="B6" s="1427"/>
      <c r="C6" s="943"/>
      <c r="D6"/>
      <c r="E6" s="1413"/>
      <c r="F6" s="1413"/>
      <c r="G6" s="3206" t="s">
        <v>1754</v>
      </c>
      <c r="H6" s="2621">
        <f>E15</f>
        <v>150482.81</v>
      </c>
      <c r="I6" s="2622">
        <f>E21</f>
        <v>0</v>
      </c>
      <c r="J6" s="2623">
        <f>E27</f>
        <v>103532.17327999999</v>
      </c>
      <c r="K6" s="2622">
        <f>E37</f>
        <v>0</v>
      </c>
      <c r="L6" s="2622">
        <f>E43</f>
        <v>4254.3</v>
      </c>
      <c r="M6" s="2622">
        <f>E50</f>
        <v>32552.355</v>
      </c>
      <c r="N6" s="2622">
        <f>E57</f>
        <v>1348.5</v>
      </c>
      <c r="O6" s="2622">
        <f>E63</f>
        <v>0</v>
      </c>
      <c r="P6" s="2622">
        <v>0</v>
      </c>
      <c r="Q6" s="2622"/>
      <c r="R6" s="2622">
        <f>SUM(H6:P6)</f>
        <v>292170.13827999996</v>
      </c>
    </row>
    <row r="7" spans="1:18" s="18" customFormat="1" ht="15.75">
      <c r="A7" s="1508" t="s">
        <v>4</v>
      </c>
      <c r="B7" s="1368"/>
      <c r="E7" s="1409"/>
      <c r="F7" s="1409"/>
      <c r="G7" s="2688"/>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1368"/>
      <c r="B9" s="1368"/>
      <c r="E9" s="1"/>
      <c r="F9" s="2"/>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D15+D21+D27+D37+D43+D50+D57+D63</f>
        <v>281702.73749999999</v>
      </c>
      <c r="E12" s="1484">
        <f>E15+E21+E27+E37+E43+E50+E57+E63</f>
        <v>292170.13827999996</v>
      </c>
      <c r="F12" s="1462">
        <f>D12+E12</f>
        <v>573872.87577999989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146812.5</v>
      </c>
      <c r="E15" s="1464">
        <f>SUM(E16:E19)</f>
        <v>150482.81</v>
      </c>
      <c r="F15" s="1462">
        <f t="shared" ref="F15:F21" si="0">SUM(D15:E15)</f>
        <v>297295.31</v>
      </c>
      <c r="G15" s="29"/>
      <c r="H15" s="29"/>
    </row>
    <row r="16" spans="1:18" ht="13.5" customHeight="1">
      <c r="A16" s="21"/>
      <c r="B16" s="1432">
        <v>1.96</v>
      </c>
      <c r="C16" s="2201" t="s">
        <v>744</v>
      </c>
      <c r="D16" s="2790">
        <v>146812.5</v>
      </c>
      <c r="E16" s="2202">
        <v>150482.81</v>
      </c>
      <c r="F16" s="1426">
        <f t="shared" si="0"/>
        <v>297295.31</v>
      </c>
    </row>
    <row r="17" spans="1:7" ht="13.5" customHeight="1">
      <c r="A17" s="21"/>
      <c r="B17" s="1432"/>
      <c r="C17" s="1423"/>
      <c r="D17" s="2784"/>
      <c r="E17" s="1447"/>
      <c r="F17" s="1438">
        <f t="shared" si="0"/>
        <v>0</v>
      </c>
    </row>
    <row r="18" spans="1:7" ht="13.5" customHeight="1">
      <c r="A18" s="21"/>
      <c r="B18" s="1432"/>
      <c r="C18" s="1423"/>
      <c r="D18" s="2784"/>
      <c r="E18" s="1447"/>
      <c r="F18" s="1438">
        <f t="shared" si="0"/>
        <v>0</v>
      </c>
    </row>
    <row r="19" spans="1:7" ht="13.5" customHeight="1">
      <c r="A19" s="21"/>
      <c r="B19" s="1432"/>
      <c r="C19" s="1423"/>
      <c r="D19" s="2786"/>
      <c r="E19" s="1446"/>
      <c r="F19" s="1438">
        <f t="shared" si="0"/>
        <v>0</v>
      </c>
    </row>
    <row r="20" spans="1:7" ht="13.5" customHeight="1">
      <c r="A20" s="21"/>
      <c r="B20" s="1449">
        <f>SUM(B16:B19)</f>
        <v>1.96</v>
      </c>
      <c r="C20" s="1488"/>
      <c r="D20" s="2770"/>
      <c r="E20" s="1490"/>
      <c r="F20" s="1492"/>
    </row>
    <row r="21" spans="1:7" ht="13.5" customHeight="1">
      <c r="A21" s="21"/>
      <c r="B21" s="1412"/>
      <c r="C21" s="1451" t="s">
        <v>44</v>
      </c>
      <c r="D21" s="2771">
        <v>0</v>
      </c>
      <c r="E21" s="1464">
        <v>0</v>
      </c>
      <c r="F21" s="1462">
        <f t="shared" si="0"/>
        <v>0</v>
      </c>
      <c r="G21" s="33" t="s">
        <v>6</v>
      </c>
    </row>
    <row r="22" spans="1:7" ht="13.5" customHeight="1">
      <c r="A22" s="21"/>
      <c r="B22" s="1412"/>
      <c r="C22" s="1423"/>
      <c r="D22" s="2772"/>
      <c r="E22" s="1448"/>
      <c r="F22" s="1426">
        <v>0</v>
      </c>
      <c r="G22" s="34"/>
    </row>
    <row r="23" spans="1:7" ht="13.5" customHeight="1">
      <c r="A23" s="21"/>
      <c r="B23" s="1412"/>
      <c r="C23" s="1423"/>
      <c r="D23" s="2791"/>
      <c r="E23" s="1562"/>
      <c r="F23" s="1438">
        <v>0</v>
      </c>
    </row>
    <row r="24" spans="1:7" ht="13.5" customHeight="1">
      <c r="A24" s="21"/>
      <c r="B24" s="1410"/>
      <c r="C24" s="1423"/>
      <c r="D24" s="2792"/>
      <c r="E24" s="1563"/>
      <c r="F24" s="1438">
        <v>0</v>
      </c>
    </row>
    <row r="25" spans="1:7" s="18" customFormat="1" ht="13.5" customHeight="1">
      <c r="A25" s="28"/>
      <c r="B25" s="1412"/>
      <c r="C25" s="1423"/>
      <c r="D25" s="2793"/>
      <c r="E25" s="1562"/>
      <c r="F25" s="1438">
        <v>0</v>
      </c>
    </row>
    <row r="26" spans="1:7" ht="13.5" customHeight="1">
      <c r="A26" s="21"/>
      <c r="B26" s="1410"/>
      <c r="C26" s="1424"/>
      <c r="D26" s="2776"/>
      <c r="E26" s="1431"/>
      <c r="F26" s="1439"/>
    </row>
    <row r="27" spans="1:7" s="18" customFormat="1" ht="13.5" customHeight="1">
      <c r="A27" s="28"/>
      <c r="B27" s="1412"/>
      <c r="C27" s="1451" t="s">
        <v>45</v>
      </c>
      <c r="D27" s="2771">
        <f>SUM(D29:D35)</f>
        <v>97923.9375</v>
      </c>
      <c r="E27" s="1657">
        <f>SUM(E29:E31)+SUM(E33:E35)</f>
        <v>103532.17327999999</v>
      </c>
      <c r="F27" s="1462">
        <f>SUM(F29:F35)</f>
        <v>201456.11077999999</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97923.9375</v>
      </c>
      <c r="E29" s="1504">
        <f>E15*E28</f>
        <v>103532.17327999999</v>
      </c>
      <c r="F29" s="1438">
        <f>SUM(D29:E29)</f>
        <v>201456.11077999999</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1392" t="s">
        <v>484</v>
      </c>
      <c r="B33" s="1350"/>
      <c r="C33" s="1667" t="s">
        <v>719</v>
      </c>
      <c r="D33" s="2778"/>
      <c r="E33" s="1641">
        <f>E15*E32</f>
        <v>0</v>
      </c>
      <c r="F33" s="1661">
        <f>SUM(D33:E33)</f>
        <v>0</v>
      </c>
    </row>
    <row r="34" spans="1:7">
      <c r="A34" s="1392" t="s">
        <v>335</v>
      </c>
      <c r="B34" s="1412"/>
      <c r="C34" s="1667" t="s">
        <v>720</v>
      </c>
      <c r="D34" s="2785"/>
      <c r="E34" s="1641">
        <f>E21*E32</f>
        <v>0</v>
      </c>
      <c r="F34" s="1661">
        <f t="shared" ref="F34" si="1">SUM(D34:E34)</f>
        <v>0</v>
      </c>
      <c r="G34" s="37"/>
    </row>
    <row r="35" spans="1:7" ht="13.5" customHeight="1">
      <c r="A35" s="1508" t="s">
        <v>22</v>
      </c>
      <c r="B35" s="1410"/>
      <c r="C35" s="1445"/>
      <c r="D35" s="2775"/>
      <c r="E35" s="1444"/>
      <c r="F35" s="1661">
        <f>SUM(D35:E35)</f>
        <v>0</v>
      </c>
    </row>
    <row r="36" spans="1:7" s="18" customFormat="1" ht="13.5" customHeight="1">
      <c r="A36" s="1427">
        <v>18230437</v>
      </c>
      <c r="B36" s="1412"/>
      <c r="C36" s="1488"/>
      <c r="D36" s="2779"/>
      <c r="E36" s="1490"/>
      <c r="F36" s="1493"/>
    </row>
    <row r="37" spans="1:7" ht="13.5" customHeight="1">
      <c r="A37" s="1508" t="s">
        <v>4</v>
      </c>
      <c r="B37" s="1412"/>
      <c r="C37" s="1451" t="s">
        <v>46</v>
      </c>
      <c r="D37" s="2771">
        <v>0</v>
      </c>
      <c r="E37" s="1464">
        <v>0</v>
      </c>
      <c r="F37" s="1462">
        <f>SUM(D37:E37)</f>
        <v>0</v>
      </c>
    </row>
    <row r="38" spans="1:7" ht="13.5" customHeight="1">
      <c r="A38" s="21"/>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80">
        <f>SUM(D44:D48)</f>
        <v>4254.3</v>
      </c>
      <c r="E43" s="1657">
        <f>SUM(E44:E48)</f>
        <v>4254.3</v>
      </c>
      <c r="F43" s="1602">
        <f>SUM(D43:E43)</f>
        <v>8508.6</v>
      </c>
    </row>
    <row r="44" spans="1:7" ht="13.5" customHeight="1">
      <c r="A44" s="21"/>
      <c r="B44" s="1412"/>
      <c r="C44" s="1667" t="s">
        <v>745</v>
      </c>
      <c r="D44" s="2788">
        <f>[3]Total!D41*0.87</f>
        <v>1261.5</v>
      </c>
      <c r="E44" s="1672">
        <f>[3]Total!E41*0.87</f>
        <v>1261.5</v>
      </c>
      <c r="F44" s="1438">
        <f t="shared" ref="F44:F48" si="2">SUM(D44:E44)</f>
        <v>2523</v>
      </c>
    </row>
    <row r="45" spans="1:7" s="1652" customFormat="1" ht="13.5" customHeight="1">
      <c r="A45" s="1653"/>
      <c r="B45" s="1653"/>
      <c r="C45" s="1667" t="s">
        <v>746</v>
      </c>
      <c r="D45" s="2788">
        <f>[3]Total!D42*0.87</f>
        <v>1261.5</v>
      </c>
      <c r="E45" s="1672">
        <f>[3]Total!E42*0.87</f>
        <v>1261.5</v>
      </c>
      <c r="F45" s="1438">
        <f t="shared" si="2"/>
        <v>2523</v>
      </c>
    </row>
    <row r="46" spans="1:7" ht="13.5" customHeight="1">
      <c r="A46" s="21"/>
      <c r="B46" s="1412"/>
      <c r="C46" s="1667" t="s">
        <v>747</v>
      </c>
      <c r="D46" s="2788">
        <f>[3]Total!D43*0.87</f>
        <v>252.3</v>
      </c>
      <c r="E46" s="1672">
        <f>[3]Total!E43*0.87</f>
        <v>252.3</v>
      </c>
      <c r="F46" s="1661">
        <f t="shared" si="2"/>
        <v>504.6</v>
      </c>
    </row>
    <row r="47" spans="1:7" ht="13.5" customHeight="1">
      <c r="A47" s="21"/>
      <c r="B47" s="1412"/>
      <c r="C47" s="1667" t="s">
        <v>748</v>
      </c>
      <c r="D47" s="2788">
        <f>[3]Total!D44*0.87</f>
        <v>1000.5</v>
      </c>
      <c r="E47" s="1672">
        <f>[3]Total!E44*0.87</f>
        <v>1000.5</v>
      </c>
      <c r="F47" s="1661">
        <f t="shared" si="2"/>
        <v>2001</v>
      </c>
    </row>
    <row r="48" spans="1:7" ht="13.5" customHeight="1">
      <c r="A48" s="21"/>
      <c r="B48" s="1412"/>
      <c r="C48" s="1667" t="s">
        <v>321</v>
      </c>
      <c r="D48" s="2788">
        <f>[3]Total!D45*0.87</f>
        <v>478.5</v>
      </c>
      <c r="E48" s="1672">
        <f>[3]Total!E45*0.87</f>
        <v>478.5</v>
      </c>
      <c r="F48" s="1661">
        <f t="shared" si="2"/>
        <v>957</v>
      </c>
    </row>
    <row r="49" spans="1:6" s="1652" customFormat="1" ht="13.5" customHeight="1">
      <c r="A49" s="1653"/>
      <c r="B49" s="1653"/>
      <c r="C49" s="1488"/>
      <c r="D49" s="2779"/>
      <c r="E49" s="1490"/>
      <c r="F49" s="1493"/>
    </row>
    <row r="50" spans="1:6" s="1652" customFormat="1" ht="13.5" customHeight="1">
      <c r="A50" s="1653"/>
      <c r="B50" s="1653"/>
      <c r="C50" s="1451" t="s">
        <v>47</v>
      </c>
      <c r="D50" s="2780">
        <f>SUM(D51:D55)</f>
        <v>31363.5</v>
      </c>
      <c r="E50" s="1657">
        <f>SUM(E51:E55)</f>
        <v>32552.355</v>
      </c>
      <c r="F50" s="1462">
        <f t="shared" ref="F50:F55" si="3">SUM(D50:E50)</f>
        <v>63915.854999999996</v>
      </c>
    </row>
    <row r="51" spans="1:6" s="1652" customFormat="1" ht="13.5" customHeight="1">
      <c r="A51" s="1653"/>
      <c r="B51" s="1653"/>
      <c r="C51" s="1667" t="s">
        <v>749</v>
      </c>
      <c r="D51" s="2788">
        <f>[3]Total!D48*0.87</f>
        <v>0</v>
      </c>
      <c r="E51" s="1672">
        <f>[3]Total!E48*0.87</f>
        <v>0</v>
      </c>
      <c r="F51" s="1438">
        <f t="shared" si="3"/>
        <v>0</v>
      </c>
    </row>
    <row r="52" spans="1:6" ht="13.5" customHeight="1">
      <c r="A52" s="21"/>
      <c r="B52" s="1412"/>
      <c r="C52" s="1667" t="s">
        <v>750</v>
      </c>
      <c r="D52" s="2788">
        <v>0</v>
      </c>
      <c r="E52" s="1672">
        <v>0</v>
      </c>
      <c r="F52" s="1661">
        <f>D52+E52</f>
        <v>0</v>
      </c>
    </row>
    <row r="53" spans="1:6" ht="13.5" customHeight="1">
      <c r="A53" s="21"/>
      <c r="B53" s="1412"/>
      <c r="C53" s="1667" t="s">
        <v>751</v>
      </c>
      <c r="D53" s="2788">
        <f>[3]Total!D50*0.87</f>
        <v>12397.5</v>
      </c>
      <c r="E53" s="1672">
        <f>[3]Total!E50*0.87</f>
        <v>13017.375</v>
      </c>
      <c r="F53" s="1661">
        <f>D53+E53</f>
        <v>25414.875</v>
      </c>
    </row>
    <row r="54" spans="1:6" ht="13.5" customHeight="1">
      <c r="A54" s="21"/>
      <c r="B54" s="1412"/>
      <c r="C54" s="1667" t="s">
        <v>752</v>
      </c>
      <c r="D54" s="2788">
        <v>17226</v>
      </c>
      <c r="E54" s="1672">
        <v>17742.78</v>
      </c>
      <c r="F54" s="1661">
        <f t="shared" si="3"/>
        <v>34968.78</v>
      </c>
    </row>
    <row r="55" spans="1:6" ht="13.5" customHeight="1">
      <c r="A55" s="21"/>
      <c r="B55" s="1412"/>
      <c r="C55" s="1667" t="s">
        <v>322</v>
      </c>
      <c r="D55" s="2788">
        <f>[3]Total!D53*0.87</f>
        <v>1740</v>
      </c>
      <c r="E55" s="1672">
        <f>[3]Total!E53*0.87</f>
        <v>1792.2</v>
      </c>
      <c r="F55" s="1655">
        <f t="shared" si="3"/>
        <v>3532.2</v>
      </c>
    </row>
    <row r="56" spans="1:6" ht="13.5" customHeight="1">
      <c r="A56" s="21"/>
      <c r="B56" s="1412"/>
      <c r="C56" s="1488"/>
      <c r="D56" s="2779"/>
      <c r="E56" s="1490"/>
      <c r="F56" s="1493"/>
    </row>
    <row r="57" spans="1:6" ht="13.5" customHeight="1">
      <c r="A57" s="21"/>
      <c r="B57" s="1412"/>
      <c r="C57" s="1451" t="s">
        <v>48</v>
      </c>
      <c r="D57" s="2780">
        <f>SUM(D58:D61)</f>
        <v>1348.5</v>
      </c>
      <c r="E57" s="1657">
        <f>SUM(E58:E61)</f>
        <v>1348.5</v>
      </c>
      <c r="F57" s="1462">
        <f>SUM(D57:E57)</f>
        <v>2697</v>
      </c>
    </row>
    <row r="58" spans="1:6" ht="13.5" customHeight="1">
      <c r="A58" s="21"/>
      <c r="B58" s="1412"/>
      <c r="C58" s="1667" t="s">
        <v>753</v>
      </c>
      <c r="D58" s="2789">
        <f>[3]Total!D55*0.87</f>
        <v>1348.5</v>
      </c>
      <c r="E58" s="1641">
        <f>[3]Total!E55*0.87</f>
        <v>1348.5</v>
      </c>
      <c r="F58" s="1438">
        <f>SUM(D58:E58)</f>
        <v>2697</v>
      </c>
    </row>
    <row r="59" spans="1:6" ht="13.5" customHeight="1">
      <c r="A59" s="21"/>
      <c r="B59" s="1412"/>
      <c r="C59" s="1423"/>
      <c r="D59" s="2778"/>
      <c r="E59" s="1504"/>
      <c r="F59" s="1438">
        <f>SUM(D59:E59)</f>
        <v>0</v>
      </c>
    </row>
    <row r="60" spans="1:6" ht="13.5" customHeight="1">
      <c r="A60" s="21"/>
      <c r="B60" s="1412"/>
      <c r="C60" s="1423"/>
      <c r="D60" s="2778"/>
      <c r="E60" s="1504"/>
      <c r="F60" s="1438">
        <v>0</v>
      </c>
    </row>
    <row r="61" spans="1:6" ht="13.5" customHeight="1">
      <c r="A61" s="21"/>
      <c r="B61" s="1412"/>
      <c r="C61" s="1423"/>
      <c r="D61" s="2778"/>
      <c r="E61" s="1504"/>
      <c r="F61" s="1438">
        <v>0</v>
      </c>
    </row>
    <row r="62" spans="1:6" ht="13.5" customHeight="1">
      <c r="A62" s="21"/>
      <c r="C62" s="1488"/>
      <c r="D62" s="2779"/>
      <c r="E62" s="1490"/>
      <c r="F62" s="1493"/>
    </row>
    <row r="63" spans="1:6">
      <c r="C63" s="1451" t="s">
        <v>49</v>
      </c>
      <c r="D63" s="2780">
        <f>SUM(D64:D66)</f>
        <v>0</v>
      </c>
      <c r="E63" s="1657">
        <f>SUM(E64:E66)</f>
        <v>0</v>
      </c>
      <c r="F63" s="1462">
        <f>SUM(D63:E63)</f>
        <v>0</v>
      </c>
    </row>
    <row r="64" spans="1:6">
      <c r="C64" s="1564"/>
      <c r="D64" s="2778"/>
      <c r="E64" s="1520"/>
      <c r="F64" s="1438">
        <f>SUM(D64:E64)</f>
        <v>0</v>
      </c>
    </row>
    <row r="65" spans="3:6">
      <c r="C65" s="1423"/>
      <c r="D65" s="2778"/>
      <c r="E65" s="1520"/>
      <c r="F65" s="1437">
        <v>0</v>
      </c>
    </row>
    <row r="66" spans="3:6">
      <c r="C66" s="1423"/>
      <c r="D66" s="2778"/>
      <c r="E66" s="1520"/>
      <c r="F66" s="1438">
        <v>0</v>
      </c>
    </row>
    <row r="67" spans="3:6">
      <c r="C67" s="1488"/>
      <c r="D67" s="2779"/>
      <c r="E67" s="1490"/>
      <c r="F67" s="1493"/>
    </row>
    <row r="68" spans="3:6">
      <c r="C68" s="1451"/>
      <c r="D68" s="2771"/>
      <c r="E68" s="1464"/>
      <c r="F68" s="1462"/>
    </row>
    <row r="69" spans="3:6">
      <c r="C69" s="1500"/>
      <c r="D69" s="2781"/>
      <c r="E69" s="1496"/>
      <c r="F69" s="1499"/>
    </row>
    <row r="70" spans="3:6">
      <c r="C70" s="1501"/>
      <c r="D70" s="2782"/>
      <c r="E70" s="1497"/>
      <c r="F70" s="1498"/>
    </row>
    <row r="71" spans="3:6">
      <c r="C71" s="1494"/>
      <c r="D71" s="2778"/>
      <c r="E71" s="1503"/>
      <c r="F71" s="1491"/>
    </row>
  </sheetData>
  <customSheetViews>
    <customSheetView guid="{D9EFFE19-D14B-4C6F-BDF4-FF696F73968D}" showGridLines="0" fitToPage="1">
      <pane xSplit="1" ySplit="1" topLeftCell="B8" activePane="bottomRight" state="frozen"/>
      <selection pane="bottomRight"/>
      <pageMargins left="0.17" right="0.24" top="0.35" bottom="0.4" header="0.3" footer="0.3"/>
      <pageSetup paperSize="17" scale="62" orientation="landscape" r:id="rId1"/>
    </customSheetView>
    <customSheetView guid="{074EB09C-6289-46D7-9513-012B68BCA7BF}" showGridLines="0" fitToPage="1">
      <pane xSplit="1" ySplit="1" topLeftCell="B14" activePane="bottomRight" state="frozen"/>
      <selection pane="bottomRight" activeCell="E33" sqref="E33"/>
      <pageMargins left="0.17" right="0.24" top="0.35" bottom="0.4" header="0.3" footer="0.3"/>
      <pageSetup paperSize="17" scale="62" orientation="landscape" r:id="rId2"/>
    </customSheetView>
  </customSheetViews>
  <pageMargins left="0.17" right="0.24" top="0.35" bottom="0.4" header="0.3" footer="0.3"/>
  <pageSetup paperSize="3" scale="63" orientation="landscape" r:id="rId3"/>
  <drawing r:id="rId4"/>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8DB4E3"/>
    <pageSetUpPr fitToPage="1"/>
  </sheetPr>
  <dimension ref="A1:R73"/>
  <sheetViews>
    <sheetView showGridLines="0" zoomScaleNormal="100" workbookViewId="0">
      <pane xSplit="1" ySplit="1" topLeftCell="B11" activePane="bottomRight" state="frozen"/>
      <selection pane="topRight" activeCell="B1" sqref="B1"/>
      <selection pane="bottomLeft" activeCell="A2" sqref="A2"/>
      <selection pane="bottomRight"/>
    </sheetView>
  </sheetViews>
  <sheetFormatPr defaultRowHeight="12.75"/>
  <cols>
    <col min="1" max="1" width="18.42578125" customWidth="1"/>
    <col min="2" max="2" width="16.140625" style="1413" customWidth="1"/>
    <col min="3" max="3" width="31.5703125" customWidth="1"/>
    <col min="4" max="5" width="17.7109375" customWidth="1"/>
    <col min="6" max="6" width="20.28515625" customWidth="1"/>
    <col min="7" max="7" width="18.5703125" customWidth="1"/>
    <col min="8" max="9" width="23.7109375" customWidth="1"/>
    <col min="10" max="10" width="18.140625" customWidth="1"/>
    <col min="11" max="11" width="23.7109375" customWidth="1"/>
    <col min="12" max="12" width="18.28515625" customWidth="1"/>
    <col min="13" max="13" width="18" customWidth="1"/>
    <col min="14" max="14" width="17.5703125" customWidth="1"/>
    <col min="15" max="15" width="15" customWidth="1"/>
    <col min="16" max="16" width="17.85546875" customWidth="1"/>
    <col min="17" max="17" width="10.5703125" customWidth="1"/>
    <col min="18" max="18" width="15" customWidth="1"/>
  </cols>
  <sheetData>
    <row r="1" spans="1:18" ht="57" customHeight="1">
      <c r="D1" s="1360" t="s">
        <v>25</v>
      </c>
      <c r="E1" s="1507" t="s">
        <v>22</v>
      </c>
      <c r="F1" s="1429">
        <v>18230802</v>
      </c>
      <c r="G1" s="1509" t="s">
        <v>4</v>
      </c>
      <c r="M1" s="1360" t="s">
        <v>25</v>
      </c>
      <c r="N1" s="1507" t="s">
        <v>22</v>
      </c>
      <c r="O1" s="1429">
        <v>18230802</v>
      </c>
      <c r="P1" s="1509" t="s">
        <v>4</v>
      </c>
    </row>
    <row r="2" spans="1:18" ht="16.5" thickBot="1">
      <c r="D2" s="38"/>
      <c r="E2" s="1349"/>
      <c r="F2" s="1349"/>
      <c r="G2" s="1354"/>
      <c r="H2" s="1178" t="s">
        <v>627</v>
      </c>
      <c r="I2" s="1354"/>
      <c r="J2" s="1354"/>
      <c r="K2" s="1354"/>
      <c r="L2" s="1354"/>
      <c r="M2" s="1354"/>
      <c r="N2" s="1354"/>
      <c r="O2" s="1354"/>
      <c r="P2" s="1354"/>
      <c r="Q2" s="1354"/>
    </row>
    <row r="3" spans="1:18" ht="26.25" thickBot="1">
      <c r="A3" s="1298" t="s">
        <v>25</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156888.68</v>
      </c>
      <c r="I4" s="2960">
        <f>D21</f>
        <v>0</v>
      </c>
      <c r="J4" s="2960">
        <f>D27</f>
        <v>104644.74956</v>
      </c>
      <c r="K4" s="2960">
        <f>D37</f>
        <v>0</v>
      </c>
      <c r="L4" s="2960">
        <f>D43</f>
        <v>1000.5</v>
      </c>
      <c r="M4" s="2960">
        <f>D49</f>
        <v>1544250</v>
      </c>
      <c r="N4" s="2960">
        <f>D59</f>
        <v>0</v>
      </c>
      <c r="O4" s="2960">
        <f>D65</f>
        <v>3915</v>
      </c>
      <c r="P4" s="2960">
        <v>0</v>
      </c>
      <c r="Q4" s="2960"/>
      <c r="R4" s="2960">
        <f>SUM(H4:P4)</f>
        <v>1810698.9295600001</v>
      </c>
    </row>
    <row r="5" spans="1:18" ht="15.75">
      <c r="A5" s="1429">
        <v>18230802</v>
      </c>
      <c r="E5" s="1413"/>
      <c r="F5" s="1413"/>
      <c r="G5" s="3205" t="s">
        <v>1753</v>
      </c>
      <c r="H5" s="2617">
        <v>160860.54999999999</v>
      </c>
      <c r="I5" s="2618">
        <v>0</v>
      </c>
      <c r="J5" s="2618">
        <v>109385.174</v>
      </c>
      <c r="K5" s="2618">
        <v>0</v>
      </c>
      <c r="L5" s="2618">
        <v>1000.5</v>
      </c>
      <c r="M5" s="2618">
        <v>1544250</v>
      </c>
      <c r="N5" s="2618">
        <v>0</v>
      </c>
      <c r="O5" s="2618">
        <v>3915</v>
      </c>
      <c r="P5" s="2618">
        <v>0</v>
      </c>
      <c r="Q5" s="2618"/>
      <c r="R5" s="2618">
        <v>1819411.2239999999</v>
      </c>
    </row>
    <row r="6" spans="1:18" ht="16.5" thickBot="1">
      <c r="A6" s="1508" t="s">
        <v>4</v>
      </c>
      <c r="B6" s="1429"/>
      <c r="C6" s="943"/>
      <c r="E6" s="1413"/>
      <c r="F6" s="1413"/>
      <c r="G6" s="3206" t="s">
        <v>1754</v>
      </c>
      <c r="H6" s="2621">
        <f>E15</f>
        <v>160860.54999999999</v>
      </c>
      <c r="I6" s="2622">
        <f>E21</f>
        <v>0</v>
      </c>
      <c r="J6" s="2623">
        <f>E27</f>
        <v>110672.05839999998</v>
      </c>
      <c r="K6" s="2622">
        <f>E37</f>
        <v>0</v>
      </c>
      <c r="L6" s="2622">
        <f>E43</f>
        <v>1000.5</v>
      </c>
      <c r="M6" s="2622">
        <f>E49</f>
        <v>1500938</v>
      </c>
      <c r="N6" s="2622">
        <f>E59</f>
        <v>0</v>
      </c>
      <c r="O6" s="2622">
        <f>E65</f>
        <v>4250</v>
      </c>
      <c r="P6" s="2622">
        <v>0</v>
      </c>
      <c r="Q6" s="2622"/>
      <c r="R6" s="2622">
        <f>SUM(H6:P6)</f>
        <v>1777721.1084</v>
      </c>
    </row>
    <row r="7" spans="1:18" s="18" customFormat="1">
      <c r="A7" s="131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c r="H11" s="1678"/>
      <c r="I11" s="1311"/>
      <c r="J11" s="1311"/>
      <c r="K11" s="1311"/>
      <c r="L11" s="1311"/>
      <c r="M11" s="1311"/>
      <c r="N11" s="1311"/>
    </row>
    <row r="12" spans="1:18" ht="15">
      <c r="A12" s="21"/>
      <c r="B12" s="1412"/>
      <c r="C12" s="1434" t="s">
        <v>298</v>
      </c>
      <c r="D12" s="2766">
        <f>D15+D21+D27+D37+D43+D49+D59+D65</f>
        <v>1810698.9295600001</v>
      </c>
      <c r="E12" s="1484">
        <f>E15+E21+E27+E37+E43+E49+E59+E65</f>
        <v>1777721.1084</v>
      </c>
      <c r="F12" s="1462">
        <f>D12+E12</f>
        <v>3588420.0379600003</v>
      </c>
      <c r="H12" s="1679"/>
      <c r="I12" s="1679"/>
      <c r="J12" s="1680"/>
      <c r="K12" s="1680"/>
      <c r="L12" s="1680"/>
      <c r="M12" s="1680"/>
      <c r="N12" s="1680"/>
    </row>
    <row r="13" spans="1:18" ht="13.5" customHeight="1">
      <c r="A13" s="21"/>
      <c r="B13" s="1412"/>
      <c r="C13" s="1483"/>
      <c r="D13" s="2767"/>
      <c r="E13" s="1336"/>
      <c r="F13" s="1413"/>
      <c r="G13" s="939"/>
      <c r="H13" s="1681"/>
      <c r="I13" s="1311"/>
      <c r="J13" s="1682"/>
      <c r="K13" s="1683"/>
      <c r="L13" s="1684"/>
      <c r="M13" s="1673"/>
      <c r="N13" s="1685"/>
    </row>
    <row r="14" spans="1:18" s="18" customFormat="1" ht="13.5" customHeight="1">
      <c r="A14" s="28"/>
      <c r="B14" s="1410"/>
      <c r="C14" s="1435" t="s">
        <v>42</v>
      </c>
      <c r="D14" s="2768">
        <v>2016</v>
      </c>
      <c r="E14" s="1502">
        <v>2017</v>
      </c>
      <c r="F14" s="1486" t="s">
        <v>20</v>
      </c>
      <c r="G14" s="29"/>
      <c r="H14" s="1681"/>
      <c r="I14" s="1311"/>
      <c r="J14" s="1682"/>
      <c r="K14" s="1683"/>
      <c r="L14" s="1684"/>
      <c r="M14" s="1673"/>
      <c r="N14" s="1685"/>
    </row>
    <row r="15" spans="1:18" ht="13.5" customHeight="1">
      <c r="A15" s="21"/>
      <c r="B15" s="1433" t="s">
        <v>296</v>
      </c>
      <c r="C15" s="1451" t="s">
        <v>43</v>
      </c>
      <c r="D15" s="2771">
        <f>SUM(D16:D19)</f>
        <v>156888.68</v>
      </c>
      <c r="E15" s="1464">
        <f>SUM(E16:E19)</f>
        <v>160860.54999999999</v>
      </c>
      <c r="F15" s="1462">
        <f>SUM(F16:F19)</f>
        <v>317749.23</v>
      </c>
      <c r="H15" s="1681"/>
      <c r="I15" s="1311"/>
      <c r="J15" s="1682"/>
      <c r="K15" s="1682"/>
      <c r="L15" s="1684"/>
      <c r="M15" s="1673"/>
      <c r="N15" s="1685"/>
    </row>
    <row r="16" spans="1:18" ht="13.5" customHeight="1">
      <c r="A16" s="21"/>
      <c r="B16" s="1982">
        <f>2*0.872</f>
        <v>1.744</v>
      </c>
      <c r="C16" s="1667"/>
      <c r="D16" s="2772">
        <v>156888.68</v>
      </c>
      <c r="E16" s="1669">
        <v>160860.54999999999</v>
      </c>
      <c r="F16" s="1426">
        <f>SUM(D16:E16)</f>
        <v>317749.23</v>
      </c>
      <c r="H16" s="1681"/>
      <c r="I16" s="1311"/>
      <c r="J16" s="1682"/>
      <c r="K16" s="1682"/>
      <c r="L16" s="1684"/>
      <c r="M16" s="1673"/>
      <c r="N16" s="1685"/>
    </row>
    <row r="17" spans="1:14" ht="13.5" customHeight="1">
      <c r="A17" s="21"/>
      <c r="B17" s="1432"/>
      <c r="C17" s="1565"/>
      <c r="D17" s="2784"/>
      <c r="E17" s="1447"/>
      <c r="F17" s="1438">
        <f>SUM(D17:E17)</f>
        <v>0</v>
      </c>
      <c r="H17" s="1681"/>
      <c r="I17" s="1311"/>
      <c r="J17" s="1682"/>
      <c r="K17" s="1682"/>
      <c r="L17" s="1684"/>
      <c r="M17" s="1673"/>
      <c r="N17" s="1685"/>
    </row>
    <row r="18" spans="1:14" ht="13.5" customHeight="1">
      <c r="A18" s="21"/>
      <c r="B18" s="1432"/>
      <c r="C18" s="1423"/>
      <c r="D18" s="2784"/>
      <c r="E18" s="1447"/>
      <c r="F18" s="1438">
        <f>SUM(D18:E18)</f>
        <v>0</v>
      </c>
      <c r="H18" s="1681"/>
      <c r="I18" s="1311"/>
      <c r="J18" s="1682"/>
      <c r="K18" s="1682"/>
      <c r="L18" s="1684"/>
      <c r="M18" s="1673"/>
      <c r="N18" s="1685"/>
    </row>
    <row r="19" spans="1:14" ht="13.5" customHeight="1">
      <c r="A19" s="21"/>
      <c r="B19" s="1432"/>
      <c r="C19" s="1423"/>
      <c r="D19" s="2786"/>
      <c r="E19" s="1446"/>
      <c r="F19" s="1438">
        <f>SUM(D19:E19)</f>
        <v>0</v>
      </c>
      <c r="H19" s="1681"/>
      <c r="I19" s="1311"/>
      <c r="J19" s="1682"/>
      <c r="K19" s="1682"/>
      <c r="L19" s="1684"/>
      <c r="M19" s="1673"/>
      <c r="N19" s="1685"/>
    </row>
    <row r="20" spans="1:14" ht="13.5" customHeight="1">
      <c r="A20" s="21"/>
      <c r="B20" s="1449">
        <f>SUM(B16:B19)</f>
        <v>1.744</v>
      </c>
      <c r="C20" s="1488"/>
      <c r="D20" s="2770"/>
      <c r="E20" s="1490"/>
      <c r="F20" s="1492"/>
      <c r="G20" s="33" t="s">
        <v>6</v>
      </c>
      <c r="H20" s="1681"/>
      <c r="I20" s="1311"/>
      <c r="J20" s="1682"/>
      <c r="K20" s="1682"/>
      <c r="L20" s="1684"/>
      <c r="M20" s="1673"/>
      <c r="N20" s="1685"/>
    </row>
    <row r="21" spans="1:14" ht="13.5" customHeight="1">
      <c r="A21" s="21"/>
      <c r="B21" s="1412"/>
      <c r="C21" s="1451" t="s">
        <v>44</v>
      </c>
      <c r="D21" s="2771">
        <f>SUM(D22:D25)</f>
        <v>0</v>
      </c>
      <c r="E21" s="1464">
        <f>SUM(E22:E25)</f>
        <v>0</v>
      </c>
      <c r="F21" s="1462">
        <f>SUM(F22:F25)</f>
        <v>0</v>
      </c>
      <c r="G21" s="34"/>
      <c r="H21" s="1681"/>
      <c r="I21" s="1311"/>
      <c r="J21" s="1682"/>
      <c r="K21" s="1682"/>
      <c r="L21" s="1684"/>
      <c r="M21" s="1673"/>
      <c r="N21" s="1685"/>
    </row>
    <row r="22" spans="1:14" ht="13.5" customHeight="1">
      <c r="A22" s="21"/>
      <c r="B22" s="1412"/>
      <c r="C22" s="1423"/>
      <c r="D22" s="2772"/>
      <c r="E22" s="1448"/>
      <c r="F22" s="1426">
        <f>SUM(D22:E22)</f>
        <v>0</v>
      </c>
      <c r="H22" s="1681"/>
      <c r="I22" s="1311"/>
      <c r="J22" s="1682"/>
      <c r="K22" s="1682"/>
      <c r="L22" s="1684"/>
      <c r="M22" s="1673"/>
      <c r="N22" s="1685"/>
    </row>
    <row r="23" spans="1:14" ht="13.5" customHeight="1">
      <c r="A23" s="21"/>
      <c r="B23" s="1412"/>
      <c r="C23" s="1423"/>
      <c r="D23" s="2773"/>
      <c r="E23" s="1444"/>
      <c r="F23" s="1438">
        <f>SUM(D23:E23)</f>
        <v>0</v>
      </c>
      <c r="H23" s="1674"/>
      <c r="I23" s="1311"/>
      <c r="J23" s="1675"/>
      <c r="K23" s="1675"/>
      <c r="L23" s="1684"/>
      <c r="M23" s="1676"/>
      <c r="N23" s="1676"/>
    </row>
    <row r="24" spans="1:14" s="18" customFormat="1" ht="13.5" customHeight="1">
      <c r="A24" s="28"/>
      <c r="B24" s="1410"/>
      <c r="C24" s="1423"/>
      <c r="D24" s="2774"/>
      <c r="E24" s="1443"/>
      <c r="F24" s="1438">
        <f>SUM(D24:E24)</f>
        <v>0</v>
      </c>
      <c r="H24" s="1679"/>
      <c r="I24" s="1679"/>
      <c r="J24" s="1680"/>
      <c r="K24" s="1680"/>
      <c r="L24" s="1680"/>
      <c r="M24" s="1680"/>
      <c r="N24" s="1680"/>
    </row>
    <row r="25" spans="1:14" ht="13.5" customHeight="1">
      <c r="A25" s="21"/>
      <c r="B25" s="1412"/>
      <c r="C25" s="1423"/>
      <c r="D25" s="2775"/>
      <c r="E25" s="1444"/>
      <c r="F25" s="1438">
        <f>SUM(D25:E25)</f>
        <v>0</v>
      </c>
      <c r="H25" s="1681"/>
      <c r="I25" s="1311"/>
      <c r="J25" s="1682"/>
      <c r="K25" s="1683"/>
      <c r="L25" s="1684"/>
      <c r="M25" s="1673"/>
      <c r="N25" s="1685"/>
    </row>
    <row r="26" spans="1:14" s="18" customFormat="1" ht="13.5" customHeight="1">
      <c r="A26" s="28"/>
      <c r="B26" s="1410"/>
      <c r="C26" s="1424"/>
      <c r="D26" s="2776"/>
      <c r="E26" s="1431"/>
      <c r="F26" s="1439"/>
      <c r="H26" s="1681"/>
      <c r="I26" s="1311"/>
      <c r="J26" s="1686"/>
      <c r="K26" s="1682"/>
      <c r="L26" s="1684"/>
      <c r="M26" s="1673"/>
      <c r="N26" s="1685"/>
    </row>
    <row r="27" spans="1:14" ht="13.5" customHeight="1">
      <c r="A27" s="21"/>
      <c r="B27" s="1412"/>
      <c r="C27" s="1451" t="s">
        <v>45</v>
      </c>
      <c r="D27" s="2771">
        <f>SUM(D29:D35)</f>
        <v>104644.74956</v>
      </c>
      <c r="E27" s="1657">
        <f>SUM(E29:E31)+SUM(E33:E35)</f>
        <v>110672.05839999998</v>
      </c>
      <c r="F27" s="1462">
        <f>SUM(F29:F35)</f>
        <v>215316.80795999998</v>
      </c>
      <c r="H27" s="1681"/>
      <c r="I27" s="1311"/>
      <c r="J27" s="1682"/>
      <c r="K27" s="1682"/>
      <c r="L27" s="1684"/>
      <c r="M27" s="1673"/>
      <c r="N27" s="1685"/>
    </row>
    <row r="28" spans="1:14" ht="13.5" customHeight="1">
      <c r="A28" s="21"/>
      <c r="B28" s="1412"/>
      <c r="C28" s="1450" t="s">
        <v>1733</v>
      </c>
      <c r="D28" s="2777">
        <v>0.66700000000000004</v>
      </c>
      <c r="E28" s="1452">
        <v>0.68799999999999994</v>
      </c>
      <c r="F28" s="1485"/>
      <c r="H28" s="1681"/>
      <c r="I28" s="1311"/>
      <c r="J28" s="1682"/>
      <c r="K28" s="1682"/>
      <c r="L28" s="1684"/>
      <c r="M28" s="1673"/>
      <c r="N28" s="1685"/>
    </row>
    <row r="29" spans="1:14" ht="13.5" customHeight="1">
      <c r="A29" s="21"/>
      <c r="B29" s="1412"/>
      <c r="C29" s="1667" t="s">
        <v>719</v>
      </c>
      <c r="D29" s="2778">
        <f>D15*D28</f>
        <v>104644.74956</v>
      </c>
      <c r="E29" s="1504">
        <f>E15*E28</f>
        <v>110672.05839999998</v>
      </c>
      <c r="F29" s="1438">
        <f>SUM(D29:E29)</f>
        <v>215316.80795999998</v>
      </c>
      <c r="H29" s="1681"/>
      <c r="I29" s="1311"/>
      <c r="J29" s="1682"/>
      <c r="K29" s="1682"/>
      <c r="L29" s="1684"/>
      <c r="M29" s="1673"/>
      <c r="N29" s="1685"/>
    </row>
    <row r="30" spans="1:14" ht="13.5" customHeight="1">
      <c r="A30" s="21"/>
      <c r="B30" s="1412"/>
      <c r="C30" s="1667" t="s">
        <v>720</v>
      </c>
      <c r="D30" s="2785">
        <f>D21*D28</f>
        <v>0</v>
      </c>
      <c r="E30" s="1504">
        <f>E21*E28</f>
        <v>0</v>
      </c>
      <c r="F30" s="1661">
        <f>SUM(D30:E30)</f>
        <v>0</v>
      </c>
      <c r="H30" s="1570"/>
      <c r="I30" s="1311"/>
      <c r="J30" s="1682"/>
      <c r="K30" s="1687"/>
      <c r="L30" s="1684"/>
      <c r="M30" s="1673"/>
      <c r="N30" s="1685"/>
    </row>
    <row r="31" spans="1:14" ht="13.5" customHeight="1">
      <c r="A31" s="21"/>
      <c r="B31" s="1412"/>
      <c r="C31" s="1667"/>
      <c r="D31" s="2774"/>
      <c r="E31" s="1443"/>
      <c r="F31" s="1661">
        <f>SUM(D31:E31)</f>
        <v>0</v>
      </c>
      <c r="H31" s="1570"/>
      <c r="I31" s="1311"/>
      <c r="J31" s="1682"/>
      <c r="K31" s="1687"/>
      <c r="L31" s="1684"/>
      <c r="M31" s="1673"/>
      <c r="N31" s="1685"/>
    </row>
    <row r="32" spans="1:14" ht="13.5" customHeight="1">
      <c r="A32" s="21"/>
      <c r="B32" s="1412"/>
      <c r="C32" s="1450" t="s">
        <v>1734</v>
      </c>
      <c r="D32" s="2777"/>
      <c r="E32" s="1452">
        <v>0</v>
      </c>
      <c r="F32" s="1485"/>
      <c r="H32" s="1674"/>
      <c r="I32" s="1311"/>
      <c r="J32" s="1688"/>
      <c r="K32" s="1688"/>
      <c r="L32" s="1684"/>
      <c r="M32" s="1689"/>
      <c r="N32" s="1689"/>
    </row>
    <row r="33" spans="1:14" ht="13.5" customHeight="1">
      <c r="A33" s="41"/>
      <c r="B33" s="1350"/>
      <c r="C33" s="1667" t="s">
        <v>719</v>
      </c>
      <c r="D33" s="2778"/>
      <c r="E33" s="1641">
        <f>E15*E32</f>
        <v>0</v>
      </c>
      <c r="F33" s="1661">
        <f>SUM(D33:E33)</f>
        <v>0</v>
      </c>
      <c r="G33" s="37"/>
      <c r="H33" s="1679"/>
      <c r="I33" s="1679"/>
      <c r="J33" s="1680"/>
      <c r="K33" s="1680"/>
      <c r="L33" s="1680"/>
      <c r="M33" s="1680"/>
      <c r="N33" s="1680"/>
    </row>
    <row r="34" spans="1:14" ht="13.5" customHeight="1">
      <c r="A34" s="21"/>
      <c r="B34" s="1412"/>
      <c r="C34" s="1667" t="s">
        <v>720</v>
      </c>
      <c r="D34" s="2785"/>
      <c r="E34" s="1641">
        <f>E21*E32</f>
        <v>0</v>
      </c>
      <c r="F34" s="1661">
        <f t="shared" ref="F34" si="0">SUM(D34:E34)</f>
        <v>0</v>
      </c>
      <c r="H34" s="1681"/>
      <c r="I34" s="1311"/>
      <c r="J34" s="1690"/>
      <c r="K34" s="1690"/>
      <c r="L34" s="1684"/>
      <c r="M34" s="1677"/>
      <c r="N34" s="1691"/>
    </row>
    <row r="35" spans="1:14" s="18" customFormat="1" ht="13.5" customHeight="1">
      <c r="A35" s="1298" t="s">
        <v>25</v>
      </c>
      <c r="B35" s="1410"/>
      <c r="C35" s="1445"/>
      <c r="D35" s="2775"/>
      <c r="E35" s="1444"/>
      <c r="F35" s="1661">
        <f>SUM(D35:E35)</f>
        <v>0</v>
      </c>
      <c r="H35" s="1570"/>
      <c r="I35" s="1311"/>
      <c r="J35" s="1691"/>
      <c r="K35" s="1691"/>
      <c r="L35" s="1684"/>
      <c r="M35" s="1677"/>
      <c r="N35" s="1691"/>
    </row>
    <row r="36" spans="1:14" ht="13.5" customHeight="1">
      <c r="A36" s="1506" t="s">
        <v>22</v>
      </c>
      <c r="B36" s="1412"/>
      <c r="C36" s="1488"/>
      <c r="D36" s="2779"/>
      <c r="E36" s="1490"/>
      <c r="F36" s="1493"/>
      <c r="H36" s="1570"/>
      <c r="I36" s="1311"/>
      <c r="J36" s="1691"/>
      <c r="K36" s="1691"/>
      <c r="L36" s="1684"/>
      <c r="M36" s="1677"/>
      <c r="N36" s="1691"/>
    </row>
    <row r="37" spans="1:14" ht="13.5" customHeight="1">
      <c r="A37" s="1429">
        <v>18230802</v>
      </c>
      <c r="B37" s="1412"/>
      <c r="C37" s="1451" t="s">
        <v>46</v>
      </c>
      <c r="D37" s="2771">
        <v>0</v>
      </c>
      <c r="E37" s="1464">
        <v>0</v>
      </c>
      <c r="F37" s="1462">
        <v>0</v>
      </c>
      <c r="H37" s="1674"/>
      <c r="I37" s="1311"/>
      <c r="J37" s="1692"/>
      <c r="K37" s="1692"/>
      <c r="L37" s="1684"/>
      <c r="M37" s="1692"/>
      <c r="N37" s="1692"/>
    </row>
    <row r="38" spans="1:14" ht="13.5" customHeight="1">
      <c r="A38" s="1508" t="s">
        <v>4</v>
      </c>
      <c r="B38" s="1412"/>
      <c r="C38" s="1423"/>
      <c r="D38" s="2778"/>
      <c r="E38" s="1520"/>
      <c r="F38" s="1438">
        <v>0</v>
      </c>
      <c r="H38" s="1679"/>
      <c r="I38" s="1679"/>
      <c r="J38" s="1693"/>
      <c r="K38" s="1693"/>
      <c r="L38" s="1693"/>
      <c r="M38" s="1694"/>
      <c r="N38" s="1694"/>
    </row>
    <row r="39" spans="1:14" ht="13.5" customHeight="1">
      <c r="A39" s="21"/>
      <c r="B39" s="1412"/>
      <c r="C39" s="1423"/>
      <c r="D39" s="2778"/>
      <c r="E39" s="1520"/>
      <c r="F39" s="1438">
        <v>0</v>
      </c>
      <c r="H39" s="1570"/>
      <c r="I39" s="1311"/>
      <c r="J39" s="1311"/>
      <c r="K39" s="1311"/>
      <c r="L39" s="1311"/>
      <c r="M39" s="1311"/>
      <c r="N39" s="1311"/>
    </row>
    <row r="40" spans="1:14" ht="13.5" customHeight="1">
      <c r="A40" s="21"/>
      <c r="B40" s="1412"/>
      <c r="C40" s="1423"/>
      <c r="D40" s="2778"/>
      <c r="E40" s="1520"/>
      <c r="F40" s="1438">
        <v>0</v>
      </c>
      <c r="H40" s="1570"/>
      <c r="I40" s="1311"/>
      <c r="J40" s="1311"/>
      <c r="K40" s="1311"/>
      <c r="L40" s="1311"/>
      <c r="M40" s="1311"/>
      <c r="N40" s="1311"/>
    </row>
    <row r="41" spans="1:14" ht="13.5" customHeight="1">
      <c r="A41" s="21"/>
      <c r="B41" s="1412"/>
      <c r="C41" s="1423"/>
      <c r="D41" s="2778"/>
      <c r="E41" s="1520"/>
      <c r="F41" s="1438">
        <v>0</v>
      </c>
      <c r="H41" s="1311"/>
      <c r="I41" s="1311"/>
      <c r="J41" s="1311"/>
      <c r="K41" s="1311"/>
      <c r="L41" s="1311"/>
      <c r="M41" s="1311"/>
      <c r="N41" s="1311"/>
    </row>
    <row r="42" spans="1:14" ht="13.5" customHeight="1">
      <c r="A42" s="21"/>
      <c r="B42" s="1412"/>
      <c r="C42" s="1488"/>
      <c r="D42" s="2779"/>
      <c r="E42" s="1490"/>
      <c r="F42" s="1493"/>
      <c r="H42" s="1311"/>
      <c r="I42" s="1311"/>
      <c r="J42" s="1311"/>
      <c r="K42" s="1311"/>
      <c r="L42" s="1311"/>
      <c r="M42" s="1311"/>
      <c r="N42" s="1311"/>
    </row>
    <row r="43" spans="1:14" ht="13.5" customHeight="1">
      <c r="A43" s="21"/>
      <c r="B43" s="1412"/>
      <c r="C43" s="1597" t="s">
        <v>483</v>
      </c>
      <c r="D43" s="2771">
        <f>SUM(D44:D47)</f>
        <v>1000.5</v>
      </c>
      <c r="E43" s="1464">
        <f>SUM(E44:E47)</f>
        <v>1000.5</v>
      </c>
      <c r="F43" s="1462">
        <f t="shared" ref="F43:F63" si="1">SUM(D43:E43)</f>
        <v>2001</v>
      </c>
    </row>
    <row r="44" spans="1:14" ht="13.5" customHeight="1">
      <c r="A44" s="21"/>
      <c r="B44" s="1412"/>
      <c r="C44" s="1667" t="s">
        <v>825</v>
      </c>
      <c r="D44" s="2778">
        <v>1000.5</v>
      </c>
      <c r="E44" s="1672">
        <v>1000.5</v>
      </c>
      <c r="F44" s="1438">
        <f t="shared" si="1"/>
        <v>2001</v>
      </c>
    </row>
    <row r="45" spans="1:14" ht="13.5" customHeight="1">
      <c r="A45" s="21"/>
      <c r="B45" s="1412"/>
      <c r="C45" s="1667"/>
      <c r="D45" s="2778"/>
      <c r="E45" s="1672"/>
      <c r="F45" s="1438">
        <f t="shared" si="1"/>
        <v>0</v>
      </c>
    </row>
    <row r="46" spans="1:14" ht="13.5" customHeight="1">
      <c r="A46" s="21"/>
      <c r="B46" s="1412"/>
      <c r="C46" s="1423"/>
      <c r="D46" s="2778"/>
      <c r="E46" s="1520"/>
      <c r="F46" s="1438">
        <f t="shared" si="1"/>
        <v>0</v>
      </c>
    </row>
    <row r="47" spans="1:14" ht="13.5" customHeight="1">
      <c r="A47" s="21"/>
      <c r="B47" s="1412"/>
      <c r="C47" s="1423"/>
      <c r="D47" s="2778"/>
      <c r="E47" s="1520"/>
      <c r="F47" s="1438">
        <f t="shared" si="1"/>
        <v>0</v>
      </c>
    </row>
    <row r="48" spans="1:14" ht="13.5" customHeight="1">
      <c r="A48" s="21"/>
      <c r="B48" s="1412"/>
      <c r="C48" s="1488"/>
      <c r="D48" s="2779"/>
      <c r="E48" s="1490"/>
      <c r="F48" s="1493"/>
    </row>
    <row r="49" spans="1:6" ht="13.5" customHeight="1">
      <c r="A49" s="21"/>
      <c r="B49" s="1412"/>
      <c r="C49" s="1451" t="s">
        <v>47</v>
      </c>
      <c r="D49" s="2771">
        <f>SUM(D50:D57)</f>
        <v>1544250</v>
      </c>
      <c r="E49" s="1657">
        <f>SUM(E50:E57)</f>
        <v>1500938</v>
      </c>
      <c r="F49" s="1462">
        <f t="shared" si="1"/>
        <v>3045188</v>
      </c>
    </row>
    <row r="50" spans="1:6" ht="13.5" customHeight="1">
      <c r="A50" s="21"/>
      <c r="B50" s="1412"/>
      <c r="C50" s="1667" t="s">
        <v>2620</v>
      </c>
      <c r="D50" s="2778">
        <v>1544250</v>
      </c>
      <c r="E50" s="1672"/>
      <c r="F50" s="1438">
        <f t="shared" si="1"/>
        <v>1544250</v>
      </c>
    </row>
    <row r="51" spans="1:6" s="1652" customFormat="1" ht="13.5" customHeight="1">
      <c r="A51" s="1653"/>
      <c r="B51" s="1653"/>
      <c r="C51" s="3431" t="s">
        <v>274</v>
      </c>
      <c r="D51" s="2778"/>
      <c r="E51" s="1672">
        <v>154000</v>
      </c>
      <c r="F51" s="1661">
        <f t="shared" si="1"/>
        <v>154000</v>
      </c>
    </row>
    <row r="52" spans="1:6" s="1652" customFormat="1" ht="13.5" customHeight="1">
      <c r="A52" s="1653"/>
      <c r="B52" s="1653"/>
      <c r="C52" s="3431" t="s">
        <v>2646</v>
      </c>
      <c r="D52" s="2778"/>
      <c r="E52" s="1672">
        <v>167538</v>
      </c>
      <c r="F52" s="1661">
        <f t="shared" si="1"/>
        <v>167538</v>
      </c>
    </row>
    <row r="53" spans="1:6" s="1652" customFormat="1" ht="13.5" customHeight="1">
      <c r="A53" s="1653"/>
      <c r="B53" s="1653"/>
      <c r="C53" s="3431" t="s">
        <v>570</v>
      </c>
      <c r="D53" s="2778"/>
      <c r="E53" s="1672">
        <v>386399.99999999994</v>
      </c>
      <c r="F53" s="1661">
        <f t="shared" si="1"/>
        <v>386399.99999999994</v>
      </c>
    </row>
    <row r="54" spans="1:6" s="1652" customFormat="1" ht="13.5" customHeight="1">
      <c r="A54" s="1653"/>
      <c r="B54" s="1653"/>
      <c r="C54" s="3431" t="s">
        <v>137</v>
      </c>
      <c r="D54" s="2778"/>
      <c r="E54" s="1672">
        <v>276000</v>
      </c>
      <c r="F54" s="1661">
        <f t="shared" si="1"/>
        <v>276000</v>
      </c>
    </row>
    <row r="55" spans="1:6" ht="13.5" customHeight="1">
      <c r="A55" s="21"/>
      <c r="B55" s="1412"/>
      <c r="C55" s="3431" t="s">
        <v>138</v>
      </c>
      <c r="D55" s="2778"/>
      <c r="E55" s="1520">
        <v>102000</v>
      </c>
      <c r="F55" s="1438">
        <f t="shared" si="1"/>
        <v>102000</v>
      </c>
    </row>
    <row r="56" spans="1:6" ht="13.5" customHeight="1">
      <c r="A56" s="21"/>
      <c r="B56" s="1412"/>
      <c r="C56" s="3431" t="s">
        <v>862</v>
      </c>
      <c r="D56" s="2778"/>
      <c r="E56" s="1520">
        <v>100000</v>
      </c>
      <c r="F56" s="1438">
        <f t="shared" si="1"/>
        <v>100000</v>
      </c>
    </row>
    <row r="57" spans="1:6" ht="13.5" customHeight="1">
      <c r="A57" s="21"/>
      <c r="B57" s="1412"/>
      <c r="C57" s="3431" t="s">
        <v>2597</v>
      </c>
      <c r="D57" s="2778"/>
      <c r="E57" s="1520">
        <v>315000</v>
      </c>
      <c r="F57" s="1438">
        <f t="shared" si="1"/>
        <v>315000</v>
      </c>
    </row>
    <row r="58" spans="1:6" ht="13.5" customHeight="1">
      <c r="A58" s="21"/>
      <c r="B58" s="1412"/>
      <c r="C58" s="1488"/>
      <c r="D58" s="2779"/>
      <c r="E58" s="1490"/>
      <c r="F58" s="1493"/>
    </row>
    <row r="59" spans="1:6" ht="13.5" customHeight="1">
      <c r="A59" s="21"/>
      <c r="B59" s="1412"/>
      <c r="C59" s="1451" t="s">
        <v>48</v>
      </c>
      <c r="D59" s="2771">
        <f>SUM(D60:D63)</f>
        <v>0</v>
      </c>
      <c r="E59" s="1464">
        <f>SUM(E60:E63)</f>
        <v>0</v>
      </c>
      <c r="F59" s="1462">
        <f t="shared" si="1"/>
        <v>0</v>
      </c>
    </row>
    <row r="60" spans="1:6" ht="13.5" customHeight="1">
      <c r="A60" s="21"/>
      <c r="B60" s="1412"/>
      <c r="C60" s="1565"/>
      <c r="D60" s="2778"/>
      <c r="E60" s="1504"/>
      <c r="F60" s="1438">
        <f t="shared" si="1"/>
        <v>0</v>
      </c>
    </row>
    <row r="61" spans="1:6" ht="13.5" customHeight="1">
      <c r="A61" s="21"/>
      <c r="B61" s="1412"/>
      <c r="C61" s="1423"/>
      <c r="D61" s="2778"/>
      <c r="E61" s="1504"/>
      <c r="F61" s="1438">
        <f t="shared" si="1"/>
        <v>0</v>
      </c>
    </row>
    <row r="62" spans="1:6" ht="13.5" customHeight="1">
      <c r="A62" s="21"/>
      <c r="B62" s="1412"/>
      <c r="C62" s="1423"/>
      <c r="D62" s="2778"/>
      <c r="E62" s="1504"/>
      <c r="F62" s="1438">
        <f t="shared" si="1"/>
        <v>0</v>
      </c>
    </row>
    <row r="63" spans="1:6" ht="13.5" customHeight="1">
      <c r="A63" s="21"/>
      <c r="B63" s="1412"/>
      <c r="C63" s="1423"/>
      <c r="D63" s="2778"/>
      <c r="E63" s="1504"/>
      <c r="F63" s="1438">
        <f t="shared" si="1"/>
        <v>0</v>
      </c>
    </row>
    <row r="64" spans="1:6" ht="13.5" customHeight="1">
      <c r="A64" s="21"/>
      <c r="B64" s="1412"/>
      <c r="C64" s="1488"/>
      <c r="D64" s="2779"/>
      <c r="E64" s="1490"/>
      <c r="F64" s="1493"/>
    </row>
    <row r="65" spans="3:6">
      <c r="C65" s="1451" t="s">
        <v>49</v>
      </c>
      <c r="D65" s="2771">
        <f>SUM(D66:D67)</f>
        <v>3915</v>
      </c>
      <c r="E65" s="1464">
        <f>SUM(E66:E67)</f>
        <v>4250</v>
      </c>
      <c r="F65" s="1462">
        <f>SUM(F66:F67)</f>
        <v>8165</v>
      </c>
    </row>
    <row r="66" spans="3:6">
      <c r="C66" s="1667" t="s">
        <v>826</v>
      </c>
      <c r="D66" s="2778">
        <v>3915</v>
      </c>
      <c r="E66" s="1671">
        <v>4250</v>
      </c>
      <c r="F66" s="1438">
        <f>SUM(D66:E66)</f>
        <v>8165</v>
      </c>
    </row>
    <row r="67" spans="3:6">
      <c r="C67" s="1423"/>
      <c r="D67" s="2778"/>
      <c r="E67" s="1520"/>
      <c r="F67" s="1438">
        <f>SUM(D67:E67)</f>
        <v>0</v>
      </c>
    </row>
    <row r="68" spans="3:6">
      <c r="C68" s="1423"/>
      <c r="D68" s="2778"/>
      <c r="E68" s="1520"/>
      <c r="F68" s="1437">
        <v>0</v>
      </c>
    </row>
    <row r="69" spans="3:6">
      <c r="C69" s="1423"/>
      <c r="D69" s="2778"/>
      <c r="E69" s="1520"/>
      <c r="F69" s="1438">
        <v>0</v>
      </c>
    </row>
    <row r="70" spans="3:6">
      <c r="C70" s="1451"/>
      <c r="D70" s="2771"/>
      <c r="E70" s="1464"/>
      <c r="F70" s="1462"/>
    </row>
    <row r="71" spans="3:6">
      <c r="C71" s="1500"/>
      <c r="D71" s="2781"/>
      <c r="E71" s="1496"/>
      <c r="F71" s="1499"/>
    </row>
    <row r="72" spans="3:6">
      <c r="C72" s="1501"/>
      <c r="D72" s="2782"/>
      <c r="E72" s="1497"/>
      <c r="F72" s="1498"/>
    </row>
    <row r="73" spans="3:6">
      <c r="C73" s="1494"/>
      <c r="D73" s="2778"/>
      <c r="E73" s="1503"/>
      <c r="F73" s="1491"/>
    </row>
  </sheetData>
  <customSheetViews>
    <customSheetView guid="{D9EFFE19-D14B-4C6F-BDF4-FF696F73968D}" showGridLines="0" fitToPage="1">
      <pane xSplit="1" ySplit="1" topLeftCell="B14" activePane="bottomRight" state="frozen"/>
      <selection pane="bottomRight" activeCell="H48" sqref="H48"/>
      <pageMargins left="0.24" right="0.21" top="0.38" bottom="0.35" header="0.3" footer="0.3"/>
      <pageSetup paperSize="17" scale="63" orientation="landscape" r:id="rId1"/>
    </customSheetView>
    <customSheetView guid="{074EB09C-6289-46D7-9513-012B68BCA7BF}" showGridLines="0" fitToPage="1">
      <pane xSplit="1" ySplit="1" topLeftCell="B14" activePane="bottomRight" state="frozen"/>
      <selection pane="bottomRight" activeCell="E33" sqref="E33"/>
      <pageMargins left="0.24" right="0.21" top="0.38" bottom="0.35" header="0.3" footer="0.3"/>
      <pageSetup paperSize="17" scale="63" orientation="landscape" r:id="rId2"/>
    </customSheetView>
  </customSheetViews>
  <pageMargins left="0.24" right="0.21" top="0.38" bottom="0.35" header="0.3" footer="0.3"/>
  <pageSetup paperSize="17" scale="63" orientation="landscape" r:id="rId3"/>
  <drawing r:id="rId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tabColor rgb="FF8DB4E3"/>
  </sheetPr>
  <dimension ref="A1:R69"/>
  <sheetViews>
    <sheetView showGridLines="0" workbookViewId="0">
      <pane xSplit="1" ySplit="1" topLeftCell="B14" activePane="bottomRight" state="frozen"/>
      <selection pane="topRight" activeCell="B1" sqref="B1"/>
      <selection pane="bottomLeft" activeCell="A2" sqref="A2"/>
      <selection pane="bottomRight" activeCell="E32" sqref="E32"/>
    </sheetView>
  </sheetViews>
  <sheetFormatPr defaultColWidth="9.140625" defaultRowHeight="12.75"/>
  <cols>
    <col min="1" max="2" width="16.140625" style="1652" customWidth="1"/>
    <col min="3" max="3" width="28.85546875" style="1652" customWidth="1"/>
    <col min="4" max="5" width="17.7109375" style="1652" customWidth="1"/>
    <col min="6" max="6" width="20.28515625" style="1652" customWidth="1"/>
    <col min="7" max="7" width="18.5703125" style="1652" customWidth="1"/>
    <col min="8" max="9" width="23.7109375" style="1652" customWidth="1"/>
    <col min="10" max="10" width="18.140625" style="1652" customWidth="1"/>
    <col min="11" max="11" width="23.7109375" style="1652" customWidth="1"/>
    <col min="12" max="12" width="19.85546875" style="1652" customWidth="1"/>
    <col min="13" max="13" width="18" style="1652" customWidth="1"/>
    <col min="14" max="14" width="17.5703125" style="1652" customWidth="1"/>
    <col min="15" max="15" width="15" style="1652" customWidth="1"/>
    <col min="16" max="16" width="17.85546875" style="1652" customWidth="1"/>
    <col min="17" max="17" width="10.5703125" style="1652" customWidth="1"/>
    <col min="18" max="18" width="15" style="1652" customWidth="1"/>
    <col min="19" max="16384" width="9.140625" style="1652"/>
  </cols>
  <sheetData>
    <row r="1" spans="1:18" ht="44.25" customHeight="1">
      <c r="D1" s="1380" t="s">
        <v>414</v>
      </c>
      <c r="E1" s="1507" t="s">
        <v>22</v>
      </c>
      <c r="F1" s="1720">
        <v>18230624</v>
      </c>
      <c r="G1" s="1509" t="s">
        <v>4</v>
      </c>
      <c r="M1" s="1380" t="s">
        <v>414</v>
      </c>
      <c r="N1" s="1507" t="s">
        <v>22</v>
      </c>
      <c r="O1" s="1720">
        <v>18230624</v>
      </c>
      <c r="P1" s="1509" t="s">
        <v>4</v>
      </c>
    </row>
    <row r="2" spans="1:18" ht="16.5" thickBot="1">
      <c r="D2" s="1349"/>
      <c r="E2" s="1349"/>
      <c r="F2" s="1349"/>
      <c r="G2" s="1354"/>
      <c r="H2" s="1178" t="s">
        <v>627</v>
      </c>
      <c r="I2" s="1354"/>
      <c r="J2" s="1354"/>
      <c r="K2" s="1354"/>
      <c r="L2" s="1354"/>
      <c r="M2" s="1354"/>
      <c r="N2" s="1354"/>
      <c r="O2" s="1354"/>
      <c r="P2" s="1354"/>
      <c r="Q2" s="1354"/>
    </row>
    <row r="3" spans="1:18" ht="26.25" thickBot="1">
      <c r="A3" s="1380" t="s">
        <v>488</v>
      </c>
      <c r="B3" s="1298"/>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489</v>
      </c>
      <c r="B4" s="1506"/>
      <c r="G4" s="2946" t="s">
        <v>1726</v>
      </c>
      <c r="H4" s="2959">
        <f>D15</f>
        <v>0</v>
      </c>
      <c r="I4" s="2960">
        <f>D21</f>
        <v>0</v>
      </c>
      <c r="J4" s="2960">
        <f>D27</f>
        <v>0</v>
      </c>
      <c r="K4" s="2960">
        <f>D37</f>
        <v>0</v>
      </c>
      <c r="L4" s="2960">
        <f>D43</f>
        <v>0</v>
      </c>
      <c r="M4" s="2960">
        <f>D49</f>
        <v>70000</v>
      </c>
      <c r="N4" s="2960">
        <f>D55</f>
        <v>0</v>
      </c>
      <c r="O4" s="2960">
        <f>D61</f>
        <v>0</v>
      </c>
      <c r="P4" s="2960">
        <v>0</v>
      </c>
      <c r="Q4" s="2960"/>
      <c r="R4" s="2960">
        <f>SUM(H4:P4)</f>
        <v>70000</v>
      </c>
    </row>
    <row r="5" spans="1:18" ht="15.75">
      <c r="A5" s="1663" t="s">
        <v>490</v>
      </c>
      <c r="G5" s="3205" t="s">
        <v>1753</v>
      </c>
      <c r="H5" s="2617">
        <v>0</v>
      </c>
      <c r="I5" s="2618">
        <v>0</v>
      </c>
      <c r="J5" s="2618">
        <v>0</v>
      </c>
      <c r="K5" s="2618">
        <v>0</v>
      </c>
      <c r="L5" s="2618">
        <v>0</v>
      </c>
      <c r="M5" s="2618">
        <v>100000</v>
      </c>
      <c r="N5" s="2618">
        <v>0</v>
      </c>
      <c r="O5" s="2618">
        <v>0</v>
      </c>
      <c r="P5" s="2618">
        <v>0</v>
      </c>
      <c r="Q5" s="2618"/>
      <c r="R5" s="2618">
        <v>100000</v>
      </c>
    </row>
    <row r="6" spans="1:18" ht="16.5" thickBot="1">
      <c r="A6" s="1506" t="s">
        <v>22</v>
      </c>
      <c r="B6" s="1429"/>
      <c r="C6" s="1352"/>
      <c r="G6" s="3206" t="s">
        <v>1754</v>
      </c>
      <c r="H6" s="2621">
        <f>E15</f>
        <v>0</v>
      </c>
      <c r="I6" s="2622">
        <f>E21</f>
        <v>0</v>
      </c>
      <c r="J6" s="2623">
        <f>E27</f>
        <v>0</v>
      </c>
      <c r="K6" s="2622">
        <f>E37</f>
        <v>0</v>
      </c>
      <c r="L6" s="2622">
        <f>E43</f>
        <v>0</v>
      </c>
      <c r="M6" s="2622">
        <f>E49</f>
        <v>54000</v>
      </c>
      <c r="N6" s="2622">
        <f>E55</f>
        <v>0</v>
      </c>
      <c r="O6" s="2622">
        <f>E61</f>
        <v>0</v>
      </c>
      <c r="P6" s="2622">
        <v>0</v>
      </c>
      <c r="Q6" s="2622"/>
      <c r="R6" s="2622">
        <f>SUM(H6:P6)</f>
        <v>54000</v>
      </c>
    </row>
    <row r="7" spans="1:18" s="1664" customFormat="1">
      <c r="A7" s="1720">
        <v>18230624</v>
      </c>
      <c r="B7" s="1510"/>
      <c r="G7" s="2733"/>
      <c r="H7" s="2607"/>
      <c r="I7" s="2607"/>
      <c r="J7" s="2607"/>
      <c r="K7" s="2607"/>
      <c r="L7" s="2607"/>
      <c r="M7" s="2607"/>
      <c r="N7" s="2607"/>
      <c r="O7" s="2607"/>
      <c r="P7" s="2607"/>
      <c r="Q7" s="2607"/>
      <c r="R7" s="2607"/>
    </row>
    <row r="8" spans="1:18" s="1664" customFormat="1" ht="25.5">
      <c r="A8" s="1508" t="s">
        <v>4</v>
      </c>
      <c r="B8" s="1719"/>
      <c r="G8" s="1662"/>
      <c r="H8" s="1339"/>
      <c r="I8" s="1652"/>
      <c r="J8" s="1652"/>
      <c r="K8" s="1652"/>
      <c r="L8" s="1652"/>
      <c r="M8" s="1652"/>
      <c r="N8" s="1652"/>
      <c r="O8" s="1652"/>
      <c r="P8" s="1653" t="s">
        <v>17</v>
      </c>
      <c r="Q8" s="1652"/>
    </row>
    <row r="9" spans="1:18" s="1664" customFormat="1">
      <c r="A9" s="1410"/>
      <c r="B9" s="1410"/>
      <c r="G9" s="1662"/>
      <c r="H9" s="1339"/>
      <c r="I9" s="1652"/>
      <c r="J9" s="1652"/>
      <c r="K9" s="1652"/>
      <c r="L9" s="1652"/>
      <c r="M9" s="1652"/>
      <c r="N9" s="1652"/>
      <c r="O9" s="1652"/>
      <c r="P9" s="1653" t="s">
        <v>18</v>
      </c>
      <c r="Q9" s="1652"/>
    </row>
    <row r="10" spans="1:18" s="1663" customFormat="1">
      <c r="A10" s="1653"/>
      <c r="B10" s="1653"/>
      <c r="C10" s="1454" t="s">
        <v>310</v>
      </c>
      <c r="D10" s="1454"/>
      <c r="E10" s="1454"/>
      <c r="F10" s="1454"/>
    </row>
    <row r="11" spans="1:18" ht="18" customHeight="1">
      <c r="A11" s="1653"/>
      <c r="B11" s="1653"/>
      <c r="E11" s="1663"/>
      <c r="H11" s="1678"/>
      <c r="I11" s="1311"/>
      <c r="J11" s="1311"/>
      <c r="K11" s="1311"/>
      <c r="L11" s="1311"/>
      <c r="M11" s="1311"/>
      <c r="N11" s="1311"/>
    </row>
    <row r="12" spans="1:18" ht="15">
      <c r="A12" s="1653"/>
      <c r="B12" s="1653"/>
      <c r="C12" s="1434" t="s">
        <v>298</v>
      </c>
      <c r="D12" s="2766">
        <f>D15+D21+D27+D37+D43+D49+D55+D61</f>
        <v>70000</v>
      </c>
      <c r="E12" s="1484">
        <f>E15+E21+E27+E37+E43+E49+E55+E61</f>
        <v>54000</v>
      </c>
      <c r="F12" s="1638">
        <f>D12+E12</f>
        <v>124000</v>
      </c>
      <c r="H12" s="1679"/>
      <c r="I12" s="1679"/>
      <c r="J12" s="1680"/>
      <c r="K12" s="1680"/>
      <c r="L12" s="1680"/>
      <c r="M12" s="1680"/>
      <c r="N12" s="1680"/>
    </row>
    <row r="13" spans="1:18" ht="13.5" customHeight="1">
      <c r="A13" s="1653"/>
      <c r="B13" s="1653"/>
      <c r="C13" s="1483"/>
      <c r="D13" s="2767"/>
      <c r="E13" s="1336"/>
      <c r="G13" s="1351"/>
      <c r="H13" s="1681"/>
      <c r="I13" s="1311"/>
      <c r="J13" s="1682"/>
      <c r="K13" s="1683"/>
      <c r="L13" s="1684"/>
      <c r="M13" s="1673"/>
      <c r="N13" s="1685"/>
    </row>
    <row r="14" spans="1:18" s="1664" customFormat="1" ht="13.5" customHeight="1">
      <c r="A14" s="1410"/>
      <c r="B14" s="1410"/>
      <c r="C14" s="1435" t="s">
        <v>42</v>
      </c>
      <c r="D14" s="2768">
        <v>2016</v>
      </c>
      <c r="E14" s="1502">
        <v>2017</v>
      </c>
      <c r="F14" s="1486" t="s">
        <v>20</v>
      </c>
      <c r="G14" s="1345"/>
      <c r="H14" s="1681"/>
      <c r="I14" s="1311"/>
      <c r="J14" s="1682"/>
      <c r="K14" s="1683"/>
      <c r="L14" s="1684"/>
      <c r="M14" s="1673"/>
      <c r="N14" s="1685"/>
    </row>
    <row r="15" spans="1:18" ht="13.5" customHeight="1">
      <c r="A15" s="1653"/>
      <c r="B15" s="1433" t="s">
        <v>296</v>
      </c>
      <c r="C15" s="1597" t="s">
        <v>43</v>
      </c>
      <c r="D15" s="2771">
        <f>SUM(D16:D19)</f>
        <v>0</v>
      </c>
      <c r="E15" s="1464">
        <f>SUM(E16:E19)</f>
        <v>0</v>
      </c>
      <c r="F15" s="1638">
        <f>SUM(F16:F19)</f>
        <v>0</v>
      </c>
      <c r="H15" s="1681"/>
      <c r="I15" s="1311"/>
      <c r="J15" s="1682"/>
      <c r="K15" s="1682"/>
      <c r="L15" s="1684"/>
      <c r="M15" s="1673"/>
      <c r="N15" s="1685"/>
    </row>
    <row r="16" spans="1:18" ht="13.5" customHeight="1">
      <c r="A16" s="1653"/>
      <c r="B16" s="1609"/>
      <c r="C16" s="1667"/>
      <c r="D16" s="2772"/>
      <c r="E16" s="1669"/>
      <c r="F16" s="1426">
        <f>SUM(D16:E16)</f>
        <v>0</v>
      </c>
      <c r="H16" s="1681"/>
      <c r="I16" s="1311"/>
      <c r="J16" s="1682"/>
      <c r="K16" s="1682"/>
      <c r="L16" s="1684"/>
      <c r="M16" s="1673"/>
      <c r="N16" s="1685"/>
    </row>
    <row r="17" spans="1:14">
      <c r="A17" s="1653"/>
      <c r="B17" s="1609"/>
      <c r="C17" s="1667"/>
      <c r="D17" s="2784"/>
      <c r="E17" s="1668"/>
      <c r="F17" s="1661">
        <f>SUM(D17:E17)</f>
        <v>0</v>
      </c>
      <c r="H17" s="1681"/>
      <c r="I17" s="1311"/>
      <c r="J17" s="1682"/>
      <c r="K17" s="1682"/>
      <c r="L17" s="1684"/>
      <c r="M17" s="1673"/>
      <c r="N17" s="1685"/>
    </row>
    <row r="18" spans="1:14">
      <c r="A18" s="1653"/>
      <c r="B18" s="1609"/>
      <c r="C18" s="1667"/>
      <c r="D18" s="2784"/>
      <c r="E18" s="1668"/>
      <c r="F18" s="1661">
        <f>SUM(D18:E18)</f>
        <v>0</v>
      </c>
      <c r="H18" s="1681"/>
      <c r="I18" s="1311"/>
      <c r="J18" s="1682"/>
      <c r="K18" s="1682"/>
      <c r="L18" s="1684"/>
      <c r="M18" s="1673"/>
      <c r="N18" s="1685"/>
    </row>
    <row r="19" spans="1:14">
      <c r="A19" s="1653"/>
      <c r="B19" s="1609"/>
      <c r="C19" s="1667"/>
      <c r="D19" s="2786"/>
      <c r="E19" s="1446"/>
      <c r="F19" s="1661">
        <f>SUM(D19:E19)</f>
        <v>0</v>
      </c>
      <c r="H19" s="1681"/>
      <c r="I19" s="1311"/>
      <c r="J19" s="1682"/>
      <c r="K19" s="1682"/>
      <c r="L19" s="1684"/>
      <c r="M19" s="1673"/>
      <c r="N19" s="1685"/>
    </row>
    <row r="20" spans="1:14">
      <c r="A20" s="1653"/>
      <c r="B20" s="1449">
        <f>SUM(B16:B19)</f>
        <v>0</v>
      </c>
      <c r="C20" s="1488"/>
      <c r="D20" s="2770"/>
      <c r="E20" s="1490"/>
      <c r="F20" s="1492"/>
      <c r="G20" s="1346" t="s">
        <v>6</v>
      </c>
      <c r="H20" s="1681"/>
      <c r="I20" s="1311"/>
      <c r="J20" s="1682"/>
      <c r="K20" s="1682"/>
      <c r="L20" s="1684"/>
      <c r="M20" s="1673"/>
      <c r="N20" s="1685"/>
    </row>
    <row r="21" spans="1:14">
      <c r="A21" s="1653"/>
      <c r="B21" s="1653"/>
      <c r="C21" s="1597" t="s">
        <v>44</v>
      </c>
      <c r="D21" s="2771">
        <f>SUM(D22:D25)</f>
        <v>0</v>
      </c>
      <c r="E21" s="1464">
        <f>SUM(E22:E25)</f>
        <v>0</v>
      </c>
      <c r="F21" s="1638">
        <f>SUM(F22:F25)</f>
        <v>0</v>
      </c>
      <c r="G21" s="1347"/>
      <c r="H21" s="1681"/>
      <c r="I21" s="1311"/>
      <c r="J21" s="1682"/>
      <c r="K21" s="1682"/>
      <c r="L21" s="1684"/>
      <c r="M21" s="1673"/>
      <c r="N21" s="1685"/>
    </row>
    <row r="22" spans="1:14">
      <c r="A22" s="1653"/>
      <c r="B22" s="1653"/>
      <c r="C22" s="1667"/>
      <c r="D22" s="2772"/>
      <c r="E22" s="1669"/>
      <c r="F22" s="1426">
        <f>SUM(D22:E22)</f>
        <v>0</v>
      </c>
      <c r="H22" s="1681"/>
      <c r="I22" s="1311"/>
      <c r="J22" s="1682"/>
      <c r="K22" s="1682"/>
      <c r="L22" s="1684"/>
      <c r="M22" s="1673"/>
      <c r="N22" s="1685"/>
    </row>
    <row r="23" spans="1:14" ht="15">
      <c r="A23" s="1653"/>
      <c r="B23" s="1653"/>
      <c r="C23" s="1667"/>
      <c r="D23" s="2773"/>
      <c r="E23" s="1444"/>
      <c r="F23" s="1661">
        <f>SUM(D23:E23)</f>
        <v>0</v>
      </c>
      <c r="H23" s="1674"/>
      <c r="I23" s="1311"/>
      <c r="J23" s="1675"/>
      <c r="K23" s="1675"/>
      <c r="L23" s="1684"/>
      <c r="M23" s="1676"/>
      <c r="N23" s="1676"/>
    </row>
    <row r="24" spans="1:14" s="1664" customFormat="1" ht="15">
      <c r="A24" s="1410"/>
      <c r="B24" s="1410"/>
      <c r="C24" s="1667"/>
      <c r="D24" s="2774"/>
      <c r="E24" s="1443"/>
      <c r="F24" s="1661">
        <f>SUM(D24:E24)</f>
        <v>0</v>
      </c>
      <c r="H24" s="1679"/>
      <c r="I24" s="1679"/>
      <c r="J24" s="1680"/>
      <c r="K24" s="1680"/>
      <c r="L24" s="1680"/>
      <c r="M24" s="1680"/>
      <c r="N24" s="1680"/>
    </row>
    <row r="25" spans="1:14">
      <c r="A25" s="1653"/>
      <c r="B25" s="1653"/>
      <c r="C25" s="1667"/>
      <c r="D25" s="2775"/>
      <c r="E25" s="1444"/>
      <c r="F25" s="1661">
        <f>SUM(D25:E25)</f>
        <v>0</v>
      </c>
      <c r="H25" s="1681"/>
      <c r="I25" s="1311"/>
      <c r="J25" s="1682"/>
      <c r="K25" s="1683"/>
      <c r="L25" s="1684"/>
      <c r="M25" s="1673"/>
      <c r="N25" s="1685"/>
    </row>
    <row r="26" spans="1:14" s="1664" customFormat="1">
      <c r="A26" s="1410"/>
      <c r="B26" s="1410"/>
      <c r="C26" s="1424"/>
      <c r="D26" s="2776"/>
      <c r="E26" s="1431"/>
      <c r="F26" s="1439"/>
      <c r="H26" s="1681"/>
      <c r="I26" s="1311"/>
      <c r="J26" s="1686"/>
      <c r="K26" s="1682"/>
      <c r="L26" s="1684"/>
      <c r="M26" s="1673"/>
      <c r="N26" s="1685"/>
    </row>
    <row r="27" spans="1:14">
      <c r="A27" s="1653"/>
      <c r="B27" s="1653"/>
      <c r="C27" s="1597" t="s">
        <v>45</v>
      </c>
      <c r="D27" s="2771">
        <f>SUM(D29:D35)</f>
        <v>0</v>
      </c>
      <c r="E27" s="1657">
        <f>SUM(E29:E31)+SUM(E33:E35)</f>
        <v>0</v>
      </c>
      <c r="F27" s="1638">
        <f>SUM(F29:F35)</f>
        <v>0</v>
      </c>
      <c r="H27" s="1681"/>
      <c r="I27" s="1311"/>
      <c r="J27" s="1682"/>
      <c r="K27" s="1682"/>
      <c r="L27" s="1684"/>
      <c r="M27" s="1673"/>
      <c r="N27" s="1685"/>
    </row>
    <row r="28" spans="1:14">
      <c r="A28" s="1653"/>
      <c r="B28" s="1653"/>
      <c r="C28" s="1450" t="s">
        <v>1733</v>
      </c>
      <c r="D28" s="2777">
        <v>0.66700000000000004</v>
      </c>
      <c r="E28" s="1452">
        <v>0.68799999999999994</v>
      </c>
      <c r="F28" s="1485"/>
      <c r="H28" s="1681"/>
      <c r="I28" s="1311"/>
      <c r="J28" s="1682"/>
      <c r="K28" s="1682"/>
      <c r="L28" s="1684"/>
      <c r="M28" s="1673"/>
      <c r="N28" s="1685"/>
    </row>
    <row r="29" spans="1:14">
      <c r="A29" s="1653"/>
      <c r="B29" s="1653"/>
      <c r="C29" s="1667" t="s">
        <v>719</v>
      </c>
      <c r="D29" s="2778">
        <f>D15*D28</f>
        <v>0</v>
      </c>
      <c r="E29" s="1641">
        <f>E15*E28</f>
        <v>0</v>
      </c>
      <c r="F29" s="1661">
        <f>SUM(D29:E29)</f>
        <v>0</v>
      </c>
      <c r="H29" s="1681"/>
      <c r="I29" s="1311"/>
      <c r="J29" s="1682"/>
      <c r="K29" s="1682"/>
      <c r="L29" s="1684"/>
      <c r="M29" s="1673"/>
      <c r="N29" s="1685"/>
    </row>
    <row r="30" spans="1:14">
      <c r="A30" s="1653"/>
      <c r="B30" s="1653"/>
      <c r="C30" s="1667" t="s">
        <v>720</v>
      </c>
      <c r="D30" s="2785">
        <f>D21*D28</f>
        <v>0</v>
      </c>
      <c r="E30" s="1641">
        <f>E21*E28</f>
        <v>0</v>
      </c>
      <c r="F30" s="1661">
        <f>SUM(D30:E30)</f>
        <v>0</v>
      </c>
      <c r="H30" s="1570"/>
      <c r="I30" s="1311"/>
      <c r="J30" s="1682"/>
      <c r="K30" s="1687"/>
      <c r="L30" s="1684"/>
      <c r="M30" s="1673"/>
      <c r="N30" s="1685"/>
    </row>
    <row r="31" spans="1:14">
      <c r="A31" s="1653"/>
      <c r="B31" s="1653"/>
      <c r="C31" s="1667"/>
      <c r="D31" s="2774"/>
      <c r="E31" s="1443"/>
      <c r="F31" s="1661">
        <f>SUM(D31:E31)</f>
        <v>0</v>
      </c>
      <c r="H31" s="1570"/>
      <c r="I31" s="1311"/>
      <c r="J31" s="1682"/>
      <c r="K31" s="1687"/>
      <c r="L31" s="1684"/>
      <c r="M31" s="1673"/>
      <c r="N31" s="1685"/>
    </row>
    <row r="32" spans="1:14" ht="15">
      <c r="A32" s="1653"/>
      <c r="B32" s="1653"/>
      <c r="C32" s="1450" t="s">
        <v>1734</v>
      </c>
      <c r="D32" s="2777"/>
      <c r="E32" s="1452">
        <v>0</v>
      </c>
      <c r="F32" s="1485"/>
      <c r="H32" s="1674"/>
      <c r="I32" s="1311"/>
      <c r="J32" s="1688"/>
      <c r="K32" s="1688"/>
      <c r="L32" s="1684"/>
      <c r="M32" s="1689"/>
      <c r="N32" s="1689"/>
    </row>
    <row r="33" spans="1:14" ht="15">
      <c r="A33" s="1350"/>
      <c r="B33" s="1350"/>
      <c r="C33" s="1667" t="s">
        <v>719</v>
      </c>
      <c r="D33" s="2778"/>
      <c r="E33" s="1641">
        <f>E15*E32</f>
        <v>0</v>
      </c>
      <c r="F33" s="1661">
        <f>SUM(D33:E33)</f>
        <v>0</v>
      </c>
      <c r="G33" s="1348"/>
      <c r="H33" s="1679"/>
      <c r="I33" s="1679"/>
      <c r="J33" s="1680"/>
      <c r="K33" s="1680"/>
      <c r="L33" s="1680"/>
      <c r="M33" s="1680"/>
      <c r="N33" s="1680"/>
    </row>
    <row r="34" spans="1:14">
      <c r="A34" s="1380" t="s">
        <v>491</v>
      </c>
      <c r="B34" s="1653"/>
      <c r="C34" s="1667" t="s">
        <v>720</v>
      </c>
      <c r="D34" s="2785"/>
      <c r="E34" s="1641">
        <f>E21*E32</f>
        <v>0</v>
      </c>
      <c r="F34" s="1661">
        <f t="shared" ref="F34" si="0">SUM(D34:E34)</f>
        <v>0</v>
      </c>
      <c r="H34" s="1681"/>
      <c r="I34" s="1311"/>
      <c r="J34" s="1690"/>
      <c r="K34" s="1690"/>
      <c r="L34" s="1684"/>
      <c r="M34" s="1677"/>
      <c r="N34" s="1691"/>
    </row>
    <row r="35" spans="1:14" s="1664" customFormat="1">
      <c r="A35" s="1754" t="s">
        <v>487</v>
      </c>
      <c r="B35" s="1410"/>
      <c r="C35" s="1445"/>
      <c r="D35" s="2775"/>
      <c r="E35" s="1444"/>
      <c r="F35" s="1661">
        <f>SUM(D35:E35)</f>
        <v>0</v>
      </c>
      <c r="H35" s="1570"/>
      <c r="I35" s="1311"/>
      <c r="J35" s="1691"/>
      <c r="K35" s="1691"/>
      <c r="L35" s="1684"/>
      <c r="M35" s="1677"/>
      <c r="N35" s="1691"/>
    </row>
    <row r="36" spans="1:14">
      <c r="A36" s="1663" t="s">
        <v>490</v>
      </c>
      <c r="B36" s="1653"/>
      <c r="C36" s="1488"/>
      <c r="D36" s="2779"/>
      <c r="E36" s="1490"/>
      <c r="F36" s="1493"/>
      <c r="H36" s="1570"/>
      <c r="I36" s="1311"/>
      <c r="J36" s="1691"/>
      <c r="K36" s="1691"/>
      <c r="L36" s="1684"/>
      <c r="M36" s="1677"/>
      <c r="N36" s="1691"/>
    </row>
    <row r="37" spans="1:14" ht="15">
      <c r="A37" s="1506" t="s">
        <v>22</v>
      </c>
      <c r="B37" s="1653"/>
      <c r="C37" s="1597" t="s">
        <v>46</v>
      </c>
      <c r="D37" s="2771">
        <v>0</v>
      </c>
      <c r="E37" s="1464">
        <v>0</v>
      </c>
      <c r="F37" s="1638">
        <v>0</v>
      </c>
      <c r="H37" s="1674"/>
      <c r="I37" s="1311"/>
      <c r="J37" s="1692"/>
      <c r="K37" s="1692"/>
      <c r="L37" s="1684"/>
      <c r="M37" s="1692"/>
      <c r="N37" s="1692"/>
    </row>
    <row r="38" spans="1:14" ht="15">
      <c r="A38" s="1720">
        <v>18230624</v>
      </c>
      <c r="B38" s="1653"/>
      <c r="C38" s="1667"/>
      <c r="D38" s="2778"/>
      <c r="E38" s="1672"/>
      <c r="F38" s="1661">
        <v>0</v>
      </c>
      <c r="H38" s="1679"/>
      <c r="I38" s="1679"/>
      <c r="J38" s="1693"/>
      <c r="K38" s="1693"/>
      <c r="L38" s="1693"/>
      <c r="M38" s="1694"/>
      <c r="N38" s="1694"/>
    </row>
    <row r="39" spans="1:14">
      <c r="A39" s="1508" t="s">
        <v>4</v>
      </c>
      <c r="B39" s="1653"/>
      <c r="C39" s="1667"/>
      <c r="D39" s="2778"/>
      <c r="E39" s="1672"/>
      <c r="F39" s="1661">
        <v>0</v>
      </c>
      <c r="H39" s="1570"/>
      <c r="I39" s="1311"/>
      <c r="J39" s="1311"/>
      <c r="K39" s="1311"/>
      <c r="L39" s="1311"/>
      <c r="M39" s="1311"/>
      <c r="N39" s="1311"/>
    </row>
    <row r="40" spans="1:14">
      <c r="A40" s="1653"/>
      <c r="B40" s="1653"/>
      <c r="C40" s="1667"/>
      <c r="D40" s="2778"/>
      <c r="E40" s="1672"/>
      <c r="F40" s="1661">
        <v>0</v>
      </c>
      <c r="H40" s="1570"/>
      <c r="I40" s="1311"/>
      <c r="J40" s="1311"/>
      <c r="K40" s="1311"/>
      <c r="L40" s="1311"/>
      <c r="M40" s="1311"/>
      <c r="N40" s="1311"/>
    </row>
    <row r="41" spans="1:14">
      <c r="A41" s="1653"/>
      <c r="B41" s="1653"/>
      <c r="C41" s="1667"/>
      <c r="D41" s="2778"/>
      <c r="E41" s="1672"/>
      <c r="F41" s="1661">
        <v>0</v>
      </c>
      <c r="H41" s="1311"/>
      <c r="I41" s="1311"/>
      <c r="J41" s="1311"/>
      <c r="K41" s="1311"/>
      <c r="L41" s="1311"/>
      <c r="M41" s="1311"/>
      <c r="N41" s="1311"/>
    </row>
    <row r="42" spans="1:14">
      <c r="A42" s="1653"/>
      <c r="B42" s="1653"/>
      <c r="C42" s="1488"/>
      <c r="D42" s="2779"/>
      <c r="E42" s="1490"/>
      <c r="F42" s="1493"/>
      <c r="H42" s="1311"/>
      <c r="I42" s="1311"/>
      <c r="J42" s="1311"/>
      <c r="K42" s="1311"/>
      <c r="L42" s="1311"/>
      <c r="M42" s="1311"/>
      <c r="N42" s="1311"/>
    </row>
    <row r="43" spans="1:14">
      <c r="A43" s="1653"/>
      <c r="B43" s="1653"/>
      <c r="C43" s="1597" t="s">
        <v>483</v>
      </c>
      <c r="D43" s="2771">
        <f>SUM(D44:D47)</f>
        <v>0</v>
      </c>
      <c r="E43" s="1464">
        <f>SUM(E44:E47)</f>
        <v>0</v>
      </c>
      <c r="F43" s="1638">
        <f t="shared" ref="F43:F59" si="1">SUM(D43:E43)</f>
        <v>0</v>
      </c>
    </row>
    <row r="44" spans="1:14">
      <c r="A44" s="1653"/>
      <c r="B44" s="1653"/>
      <c r="C44" s="1667"/>
      <c r="D44" s="2778"/>
      <c r="E44" s="1672"/>
      <c r="F44" s="1661">
        <f t="shared" si="1"/>
        <v>0</v>
      </c>
    </row>
    <row r="45" spans="1:14">
      <c r="A45" s="1653"/>
      <c r="B45" s="1653"/>
      <c r="C45" s="1667"/>
      <c r="D45" s="2778"/>
      <c r="E45" s="1672"/>
      <c r="F45" s="1661">
        <f t="shared" si="1"/>
        <v>0</v>
      </c>
    </row>
    <row r="46" spans="1:14">
      <c r="A46" s="1653"/>
      <c r="B46" s="1653"/>
      <c r="C46" s="1667"/>
      <c r="D46" s="2778"/>
      <c r="E46" s="1672"/>
      <c r="F46" s="1661">
        <f t="shared" si="1"/>
        <v>0</v>
      </c>
    </row>
    <row r="47" spans="1:14">
      <c r="A47" s="1653"/>
      <c r="B47" s="1653"/>
      <c r="C47" s="1667"/>
      <c r="D47" s="2778"/>
      <c r="E47" s="1672"/>
      <c r="F47" s="1661">
        <f t="shared" si="1"/>
        <v>0</v>
      </c>
    </row>
    <row r="48" spans="1:14">
      <c r="A48" s="1653"/>
      <c r="B48" s="1653"/>
      <c r="C48" s="1488"/>
      <c r="D48" s="2779"/>
      <c r="E48" s="1490"/>
      <c r="F48" s="1493"/>
    </row>
    <row r="49" spans="1:6">
      <c r="A49" s="1653"/>
      <c r="B49" s="1653"/>
      <c r="C49" s="1597" t="s">
        <v>47</v>
      </c>
      <c r="D49" s="2771">
        <f>SUM(D50:D53)</f>
        <v>70000</v>
      </c>
      <c r="E49" s="1464">
        <f>SUM(E50:E53)</f>
        <v>54000</v>
      </c>
      <c r="F49" s="1638">
        <f t="shared" si="1"/>
        <v>124000</v>
      </c>
    </row>
    <row r="50" spans="1:6">
      <c r="A50" s="1653"/>
      <c r="B50" s="1653"/>
      <c r="C50" s="1667" t="s">
        <v>727</v>
      </c>
      <c r="D50" s="2778">
        <v>50000</v>
      </c>
      <c r="E50" s="1672"/>
      <c r="F50" s="1661">
        <f t="shared" si="1"/>
        <v>50000</v>
      </c>
    </row>
    <row r="51" spans="1:6">
      <c r="A51" s="1653"/>
      <c r="B51" s="1653"/>
      <c r="C51" s="1667" t="s">
        <v>728</v>
      </c>
      <c r="D51" s="2778">
        <v>20000</v>
      </c>
      <c r="E51" s="1672">
        <v>54000</v>
      </c>
      <c r="F51" s="1661">
        <f t="shared" si="1"/>
        <v>74000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E2" activePane="bottomRight" state="frozen"/>
      <selection pane="bottomRight"/>
      <pageMargins left="0.25" right="0.22" top="0.43" bottom="0.75" header="0.3" footer="0.3"/>
      <pageSetup paperSize="3" scale="62" orientation="landscape" r:id="rId1"/>
    </customSheetView>
    <customSheetView guid="{074EB09C-6289-46D7-9513-012B68BCA7BF}" showGridLines="0">
      <pane xSplit="1" ySplit="1" topLeftCell="B14" activePane="bottomRight" state="frozen"/>
      <selection pane="bottomRight" activeCell="E32" sqref="E32"/>
      <pageMargins left="0.25" right="0.22" top="0.43" bottom="0.75" header="0.3" footer="0.3"/>
      <pageSetup paperSize="3" scale="62" orientation="landscape" r:id="rId2"/>
    </customSheetView>
  </customSheetViews>
  <pageMargins left="0.25" right="0.22" top="0.43" bottom="0.75" header="0.3" footer="0.3"/>
  <pageSetup paperSize="3" scale="62" orientation="landscape" r:id="rId3"/>
  <drawing r:id="rId4"/>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8DB4E3"/>
  </sheetPr>
  <dimension ref="A1:R69"/>
  <sheetViews>
    <sheetView showGridLines="0" workbookViewId="0">
      <pane xSplit="1" ySplit="1" topLeftCell="B5" activePane="bottomRight" state="frozen"/>
      <selection pane="topRight" activeCell="B1" sqref="B1"/>
      <selection pane="bottomLeft" activeCell="A2" sqref="A2"/>
      <selection pane="bottomRight" activeCell="B19" sqref="B19"/>
    </sheetView>
  </sheetViews>
  <sheetFormatPr defaultColWidth="9.140625" defaultRowHeight="12.75"/>
  <cols>
    <col min="1" max="1" width="18.140625" style="1196" customWidth="1"/>
    <col min="2" max="2" width="16.140625" style="1413" customWidth="1"/>
    <col min="3" max="3" width="27.85546875" style="1196" customWidth="1"/>
    <col min="4" max="5" width="20.85546875" style="1196" customWidth="1"/>
    <col min="6" max="6" width="20.28515625" style="1196" customWidth="1"/>
    <col min="7" max="7" width="18.5703125" style="1196" customWidth="1"/>
    <col min="8" max="9" width="23.7109375" style="1196" customWidth="1"/>
    <col min="10" max="10" width="18.140625" style="1196" customWidth="1"/>
    <col min="11" max="11" width="23.7109375" style="1196" customWidth="1"/>
    <col min="12" max="12" width="20.42578125" style="1196" customWidth="1"/>
    <col min="13" max="13" width="18" style="1196" customWidth="1"/>
    <col min="14" max="14" width="23.7109375" style="1196" customWidth="1"/>
    <col min="15" max="15" width="15" style="1196" customWidth="1"/>
    <col min="16" max="16" width="15.5703125" style="1196" customWidth="1"/>
    <col min="17" max="17" width="10.5703125" style="1196" customWidth="1"/>
    <col min="18" max="18" width="15" style="1196" customWidth="1"/>
    <col min="19" max="16384" width="9.140625" style="1196"/>
  </cols>
  <sheetData>
    <row r="1" spans="1:18" ht="54.75" customHeight="1">
      <c r="D1" s="1360" t="s">
        <v>251</v>
      </c>
      <c r="E1" s="1507" t="s">
        <v>22</v>
      </c>
      <c r="F1" s="1429">
        <v>18230418</v>
      </c>
      <c r="G1" s="1509" t="s">
        <v>4</v>
      </c>
      <c r="M1" s="1360" t="s">
        <v>251</v>
      </c>
      <c r="N1" s="1507" t="s">
        <v>22</v>
      </c>
      <c r="O1" s="1429">
        <v>18230418</v>
      </c>
      <c r="P1" s="1509" t="s">
        <v>4</v>
      </c>
    </row>
    <row r="2" spans="1:18" ht="16.5" thickBot="1">
      <c r="D2" s="1200"/>
      <c r="E2" s="1349"/>
      <c r="F2" s="1349"/>
      <c r="G2" s="1354"/>
      <c r="H2" s="1178" t="s">
        <v>627</v>
      </c>
      <c r="I2" s="1354"/>
      <c r="J2" s="1354"/>
      <c r="K2" s="1354"/>
      <c r="L2" s="1354"/>
      <c r="M2" s="1354"/>
      <c r="N2" s="1354"/>
      <c r="O2" s="1354"/>
      <c r="P2" s="1354"/>
      <c r="Q2" s="1354"/>
    </row>
    <row r="3" spans="1:18" ht="26.25" thickBot="1">
      <c r="A3" s="1298" t="s">
        <v>251</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191236.788</v>
      </c>
      <c r="I4" s="2960">
        <f>D21</f>
        <v>0</v>
      </c>
      <c r="J4" s="2960">
        <f>D27</f>
        <v>127554.937596</v>
      </c>
      <c r="K4" s="2960">
        <f>D37</f>
        <v>0</v>
      </c>
      <c r="L4" s="2960">
        <f>D43</f>
        <v>8526</v>
      </c>
      <c r="M4" s="2960">
        <f>D49</f>
        <v>78300</v>
      </c>
      <c r="N4" s="2960">
        <f>D55</f>
        <v>4785</v>
      </c>
      <c r="O4" s="2960">
        <f>D61</f>
        <v>0</v>
      </c>
      <c r="P4" s="2960">
        <v>0</v>
      </c>
      <c r="Q4" s="2960"/>
      <c r="R4" s="2960">
        <f>SUM(H4:P4)</f>
        <v>410402.72559599997</v>
      </c>
    </row>
    <row r="5" spans="1:18" ht="15.75">
      <c r="A5" s="1429">
        <v>18230418</v>
      </c>
      <c r="B5" s="1196"/>
      <c r="E5" s="1413"/>
      <c r="F5" s="1413"/>
      <c r="G5" s="3205" t="s">
        <v>1753</v>
      </c>
      <c r="H5" s="2617">
        <v>196017.003</v>
      </c>
      <c r="I5" s="2618">
        <v>0</v>
      </c>
      <c r="J5" s="2618">
        <v>133291.56204000002</v>
      </c>
      <c r="K5" s="2618">
        <v>0</v>
      </c>
      <c r="L5" s="2618">
        <v>8526</v>
      </c>
      <c r="M5" s="2618">
        <v>78300</v>
      </c>
      <c r="N5" s="2618">
        <v>4785</v>
      </c>
      <c r="O5" s="2618">
        <v>0</v>
      </c>
      <c r="P5" s="2618">
        <v>0</v>
      </c>
      <c r="Q5" s="2618"/>
      <c r="R5" s="2618">
        <v>457749</v>
      </c>
    </row>
    <row r="6" spans="1:18" ht="16.5" thickBot="1">
      <c r="A6" s="1508" t="s">
        <v>4</v>
      </c>
      <c r="B6" s="1429"/>
      <c r="C6" s="943"/>
      <c r="E6" s="1413"/>
      <c r="F6" s="1413"/>
      <c r="G6" s="3206" t="s">
        <v>1754</v>
      </c>
      <c r="H6" s="2621">
        <f>E15</f>
        <v>250167.5</v>
      </c>
      <c r="I6" s="2622">
        <f>E21</f>
        <v>0</v>
      </c>
      <c r="J6" s="2623">
        <f>E27</f>
        <v>224650.41499999998</v>
      </c>
      <c r="K6" s="2622">
        <f>E37</f>
        <v>0</v>
      </c>
      <c r="L6" s="2622">
        <f>E43</f>
        <v>10800</v>
      </c>
      <c r="M6" s="2622">
        <f>E49</f>
        <v>78300</v>
      </c>
      <c r="N6" s="2622">
        <f>E55</f>
        <v>6200</v>
      </c>
      <c r="O6" s="2622">
        <f>E61</f>
        <v>0</v>
      </c>
      <c r="P6" s="2622">
        <v>0</v>
      </c>
      <c r="Q6" s="2622"/>
      <c r="R6" s="2622">
        <f>SUM(H6:P6)</f>
        <v>570117.91500000004</v>
      </c>
    </row>
    <row r="7" spans="1:18" s="1255" customFormat="1">
      <c r="A7" s="1311"/>
      <c r="B7" s="1510"/>
      <c r="E7" s="1409"/>
      <c r="F7" s="1409"/>
      <c r="G7" s="2733"/>
      <c r="H7" s="2607"/>
      <c r="I7" s="2607"/>
      <c r="J7" s="2607"/>
      <c r="K7" s="2607"/>
      <c r="L7" s="2607"/>
      <c r="M7" s="2607"/>
      <c r="N7" s="2607"/>
      <c r="O7" s="2607"/>
      <c r="P7" s="2607"/>
      <c r="Q7" s="2607"/>
      <c r="R7" s="2607"/>
    </row>
    <row r="8" spans="1:18" s="1255" customFormat="1" ht="25.5">
      <c r="B8" s="1357"/>
      <c r="E8" s="1409"/>
      <c r="F8" s="1409"/>
      <c r="G8" s="1197"/>
      <c r="H8" s="2"/>
      <c r="I8" s="1196"/>
      <c r="J8" s="1196"/>
      <c r="K8" s="1196"/>
      <c r="L8" s="1196"/>
      <c r="M8" s="1196"/>
      <c r="N8" s="1196"/>
      <c r="O8" s="1196"/>
      <c r="P8" s="21" t="s">
        <v>17</v>
      </c>
      <c r="Q8" s="1196"/>
    </row>
    <row r="9" spans="1:18" s="1255" customFormat="1">
      <c r="A9" s="28"/>
      <c r="B9" s="1410"/>
      <c r="E9" s="1409"/>
      <c r="F9" s="1409"/>
      <c r="G9" s="1197"/>
      <c r="H9" s="2"/>
      <c r="I9" s="1196"/>
      <c r="J9" s="1196"/>
      <c r="K9" s="1196"/>
      <c r="L9" s="1196"/>
      <c r="M9" s="1196"/>
      <c r="N9" s="1196"/>
      <c r="O9" s="1196"/>
      <c r="P9" s="21" t="s">
        <v>18</v>
      </c>
      <c r="Q9" s="1196"/>
    </row>
    <row r="10" spans="1:18" s="1198"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410402.72559599997</v>
      </c>
      <c r="E12" s="1484">
        <f>E15+E21+E27+E37+E43+E49+E55+E61</f>
        <v>570117.91500000004</v>
      </c>
      <c r="F12" s="1462">
        <f>D12+E12</f>
        <v>980520.64059600001</v>
      </c>
    </row>
    <row r="13" spans="1:18" ht="13.5" customHeight="1">
      <c r="A13" s="21"/>
      <c r="B13" s="1412"/>
      <c r="C13" s="1483"/>
      <c r="D13" s="2767"/>
      <c r="E13" s="1336"/>
      <c r="F13" s="1413"/>
      <c r="G13" s="939"/>
      <c r="H13" s="939"/>
    </row>
    <row r="14" spans="1:18" s="1255" customFormat="1" ht="13.5" customHeight="1">
      <c r="A14" s="28"/>
      <c r="B14" s="1410"/>
      <c r="C14" s="1435" t="s">
        <v>42</v>
      </c>
      <c r="D14" s="2768">
        <v>2016</v>
      </c>
      <c r="E14" s="1502">
        <v>2017</v>
      </c>
      <c r="F14" s="1486" t="s">
        <v>20</v>
      </c>
      <c r="G14" s="29"/>
      <c r="H14" s="29"/>
    </row>
    <row r="15" spans="1:18" ht="13.5" customHeight="1">
      <c r="A15" s="21"/>
      <c r="B15" s="1433" t="s">
        <v>296</v>
      </c>
      <c r="C15" s="1451" t="s">
        <v>43</v>
      </c>
      <c r="D15" s="2771">
        <f>SUM(D16:D19)</f>
        <v>191236.788</v>
      </c>
      <c r="E15" s="1464">
        <f>SUM(E16:E19)</f>
        <v>250167.5</v>
      </c>
      <c r="F15" s="1462">
        <f>SUM(F16:F19)</f>
        <v>441404.288</v>
      </c>
    </row>
    <row r="16" spans="1:18">
      <c r="A16" s="21"/>
      <c r="B16" s="1982">
        <v>0.44</v>
      </c>
      <c r="C16" s="1667" t="s">
        <v>734</v>
      </c>
      <c r="D16" s="2772">
        <v>191236.788</v>
      </c>
      <c r="E16" s="1669">
        <v>41919.5</v>
      </c>
      <c r="F16" s="1426">
        <f t="shared" ref="F16:F19" si="0">SUM(D16:E16)</f>
        <v>233156.288</v>
      </c>
    </row>
    <row r="17" spans="1:7" s="1605" customFormat="1">
      <c r="A17" s="1607"/>
      <c r="B17" s="1609">
        <v>0.87</v>
      </c>
      <c r="C17" s="1608" t="s">
        <v>2598</v>
      </c>
      <c r="D17" s="2772"/>
      <c r="E17" s="1611">
        <v>68403</v>
      </c>
      <c r="F17" s="1426">
        <f t="shared" si="0"/>
        <v>68403</v>
      </c>
    </row>
    <row r="18" spans="1:7">
      <c r="A18" s="21"/>
      <c r="B18" s="1432">
        <v>2.61</v>
      </c>
      <c r="C18" s="1608" t="s">
        <v>2599</v>
      </c>
      <c r="D18" s="2784"/>
      <c r="E18" s="1447">
        <v>139845</v>
      </c>
      <c r="F18" s="1438">
        <f t="shared" si="0"/>
        <v>139845</v>
      </c>
    </row>
    <row r="19" spans="1:7">
      <c r="A19" s="21"/>
      <c r="B19" s="1432"/>
      <c r="C19" s="1608"/>
      <c r="D19" s="2784"/>
      <c r="E19" s="1668"/>
      <c r="F19" s="1438">
        <f t="shared" si="0"/>
        <v>0</v>
      </c>
    </row>
    <row r="20" spans="1:7">
      <c r="A20" s="21"/>
      <c r="B20" s="1449">
        <f>SUM(B16:B19)</f>
        <v>3.92</v>
      </c>
      <c r="C20" s="1488"/>
      <c r="D20" s="2770"/>
      <c r="E20" s="1490"/>
      <c r="F20" s="1492"/>
      <c r="G20" s="33" t="s">
        <v>6</v>
      </c>
    </row>
    <row r="21" spans="1:7">
      <c r="A21" s="21"/>
      <c r="B21" s="1412"/>
      <c r="C21" s="1451" t="s">
        <v>44</v>
      </c>
      <c r="D21" s="2771">
        <f>SUM(D22:D25)</f>
        <v>0</v>
      </c>
      <c r="E21" s="1464">
        <f>SUM(E22:E25)</f>
        <v>0</v>
      </c>
      <c r="F21" s="1462">
        <f>SUM(F22:F25)</f>
        <v>0</v>
      </c>
      <c r="G21" s="34"/>
    </row>
    <row r="22" spans="1:7">
      <c r="A22" s="21"/>
      <c r="B22" s="1412"/>
      <c r="C22" s="1423"/>
      <c r="D22" s="2772"/>
      <c r="E22" s="1448"/>
      <c r="F22" s="1426">
        <f>SUM(D22:E22)</f>
        <v>0</v>
      </c>
    </row>
    <row r="23" spans="1:7">
      <c r="A23" s="21"/>
      <c r="B23" s="1412"/>
      <c r="C23" s="1423"/>
      <c r="D23" s="2773"/>
      <c r="E23" s="1444"/>
      <c r="F23" s="1438">
        <f>SUM(D23:E23)</f>
        <v>0</v>
      </c>
    </row>
    <row r="24" spans="1:7" s="1255" customFormat="1">
      <c r="A24" s="28"/>
      <c r="B24" s="1410"/>
      <c r="C24" s="1423"/>
      <c r="D24" s="2774"/>
      <c r="E24" s="1443"/>
      <c r="F24" s="1438">
        <f>SUM(D24:E24)</f>
        <v>0</v>
      </c>
    </row>
    <row r="25" spans="1:7">
      <c r="A25" s="21"/>
      <c r="B25" s="1412"/>
      <c r="C25" s="1423"/>
      <c r="D25" s="2775"/>
      <c r="E25" s="1444"/>
      <c r="F25" s="1438">
        <f>SUM(D25:E25)</f>
        <v>0</v>
      </c>
    </row>
    <row r="26" spans="1:7" s="1255" customFormat="1">
      <c r="A26" s="28"/>
      <c r="B26" s="1410"/>
      <c r="C26" s="1424"/>
      <c r="D26" s="2776"/>
      <c r="E26" s="1431"/>
      <c r="F26" s="1439"/>
    </row>
    <row r="27" spans="1:7">
      <c r="A27" s="21"/>
      <c r="B27" s="1412"/>
      <c r="C27" s="1451" t="s">
        <v>45</v>
      </c>
      <c r="D27" s="2771">
        <f>SUM(D29:D35)</f>
        <v>127554.937596</v>
      </c>
      <c r="E27" s="1657">
        <f>SUM(E29:E31)+SUM(E33:E35)</f>
        <v>224650.41499999998</v>
      </c>
      <c r="F27" s="1462">
        <f>SUM(F29:F35)</f>
        <v>352205.35259600001</v>
      </c>
    </row>
    <row r="28" spans="1:7">
      <c r="A28" s="21"/>
      <c r="B28" s="1412"/>
      <c r="C28" s="1450" t="s">
        <v>1733</v>
      </c>
      <c r="D28" s="2777">
        <v>0.66700000000000004</v>
      </c>
      <c r="E28" s="1452">
        <v>0.68799999999999994</v>
      </c>
      <c r="F28" s="1485"/>
    </row>
    <row r="29" spans="1:7">
      <c r="A29" s="21"/>
      <c r="B29" s="1412"/>
      <c r="C29" s="1667" t="s">
        <v>719</v>
      </c>
      <c r="D29" s="2778">
        <f>D15*D28</f>
        <v>127554.937596</v>
      </c>
      <c r="E29" s="1504">
        <f>E15*E28</f>
        <v>172115.24</v>
      </c>
      <c r="F29" s="1438">
        <f>SUM(D29:E29)</f>
        <v>299670.17759600002</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0.21</v>
      </c>
      <c r="F32" s="1485"/>
    </row>
    <row r="33" spans="1:7">
      <c r="A33" s="425"/>
      <c r="B33" s="1350"/>
      <c r="C33" s="1667" t="s">
        <v>719</v>
      </c>
      <c r="D33" s="2778"/>
      <c r="E33" s="1641">
        <f>E15*E32</f>
        <v>52535.174999999996</v>
      </c>
      <c r="F33" s="1661">
        <f>SUM(D33:E33)</f>
        <v>52535.174999999996</v>
      </c>
      <c r="G33" s="37"/>
    </row>
    <row r="34" spans="1:7">
      <c r="A34" s="21"/>
      <c r="B34" s="1412"/>
      <c r="C34" s="1667" t="s">
        <v>720</v>
      </c>
      <c r="D34" s="2785"/>
      <c r="E34" s="1641">
        <f>E21*E32</f>
        <v>0</v>
      </c>
      <c r="F34" s="1661">
        <f t="shared" ref="F34" si="1">SUM(D34:E34)</f>
        <v>0</v>
      </c>
    </row>
    <row r="35" spans="1:7" s="1255" customFormat="1">
      <c r="A35" s="1298" t="s">
        <v>251</v>
      </c>
      <c r="B35" s="1410"/>
      <c r="C35" s="1445"/>
      <c r="D35" s="2775"/>
      <c r="E35" s="1444"/>
      <c r="F35" s="1661">
        <f>SUM(D35:E35)</f>
        <v>0</v>
      </c>
    </row>
    <row r="36" spans="1:7">
      <c r="A36" s="1506" t="s">
        <v>22</v>
      </c>
      <c r="B36" s="1412"/>
      <c r="C36" s="1488"/>
      <c r="D36" s="2779"/>
      <c r="E36" s="1490"/>
      <c r="F36" s="1493"/>
    </row>
    <row r="37" spans="1:7">
      <c r="A37" s="1429">
        <v>18230418</v>
      </c>
      <c r="B37" s="1412"/>
      <c r="C37" s="1451" t="s">
        <v>46</v>
      </c>
      <c r="D37" s="2771">
        <v>0</v>
      </c>
      <c r="E37" s="1464">
        <v>0</v>
      </c>
      <c r="F37" s="1462">
        <v>0</v>
      </c>
    </row>
    <row r="38" spans="1:7">
      <c r="A38" s="1508" t="s">
        <v>4</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8526</v>
      </c>
      <c r="E43" s="1464">
        <f>SUM(E44:E47)</f>
        <v>10800</v>
      </c>
      <c r="F43" s="1462">
        <f t="shared" ref="F43:F59" si="2">SUM(D43:E43)</f>
        <v>19326</v>
      </c>
    </row>
    <row r="44" spans="1:7">
      <c r="A44" s="21"/>
      <c r="B44" s="1412"/>
      <c r="C44" s="1667" t="s">
        <v>1456</v>
      </c>
      <c r="D44" s="2778">
        <f>8000*0.87</f>
        <v>6960</v>
      </c>
      <c r="E44" s="1672">
        <v>8000</v>
      </c>
      <c r="F44" s="1438">
        <f t="shared" si="2"/>
        <v>14960</v>
      </c>
    </row>
    <row r="45" spans="1:7">
      <c r="A45" s="21"/>
      <c r="B45" s="1412"/>
      <c r="C45" s="1667" t="s">
        <v>1457</v>
      </c>
      <c r="D45" s="2778">
        <f>1800*0.87</f>
        <v>1566</v>
      </c>
      <c r="E45" s="1672">
        <v>2800</v>
      </c>
      <c r="F45" s="1438">
        <f t="shared" si="2"/>
        <v>4366</v>
      </c>
    </row>
    <row r="46" spans="1:7">
      <c r="A46" s="21"/>
      <c r="B46" s="1412"/>
      <c r="C46" s="1423"/>
      <c r="D46" s="2778"/>
      <c r="E46" s="1520"/>
      <c r="F46" s="1438">
        <f t="shared" si="2"/>
        <v>0</v>
      </c>
    </row>
    <row r="47" spans="1:7">
      <c r="A47" s="21"/>
      <c r="B47" s="1412"/>
      <c r="C47" s="1423"/>
      <c r="D47" s="2778"/>
      <c r="E47" s="1520"/>
      <c r="F47" s="1438">
        <f t="shared" si="2"/>
        <v>0</v>
      </c>
    </row>
    <row r="48" spans="1:7">
      <c r="A48" s="21"/>
      <c r="B48" s="1412"/>
      <c r="C48" s="1488"/>
      <c r="D48" s="2779"/>
      <c r="E48" s="1490"/>
      <c r="F48" s="1493"/>
    </row>
    <row r="49" spans="1:6">
      <c r="A49" s="21"/>
      <c r="B49" s="1412"/>
      <c r="C49" s="1451" t="s">
        <v>47</v>
      </c>
      <c r="D49" s="2771">
        <f>SUM(D50:D53)</f>
        <v>78300</v>
      </c>
      <c r="E49" s="1464">
        <f>SUM(E50:E53)</f>
        <v>78300</v>
      </c>
      <c r="F49" s="1462">
        <f t="shared" si="2"/>
        <v>156600</v>
      </c>
    </row>
    <row r="50" spans="1:6">
      <c r="A50" s="21"/>
      <c r="B50" s="1412"/>
      <c r="C50" s="1667" t="s">
        <v>1458</v>
      </c>
      <c r="D50" s="2778">
        <f>90000*0.87</f>
        <v>78300</v>
      </c>
      <c r="E50" s="1672">
        <f>90000*0.87</f>
        <v>78300</v>
      </c>
      <c r="F50" s="1438">
        <f t="shared" si="2"/>
        <v>156600</v>
      </c>
    </row>
    <row r="51" spans="1:6">
      <c r="A51" s="21"/>
      <c r="B51" s="1412"/>
      <c r="C51" s="1423"/>
      <c r="D51" s="2778"/>
      <c r="E51" s="1520"/>
      <c r="F51" s="1438">
        <f t="shared" si="2"/>
        <v>0</v>
      </c>
    </row>
    <row r="52" spans="1:6">
      <c r="A52" s="21"/>
      <c r="B52" s="1412"/>
      <c r="C52" s="1423"/>
      <c r="D52" s="2778"/>
      <c r="E52" s="1520"/>
      <c r="F52" s="1438">
        <f t="shared" si="2"/>
        <v>0</v>
      </c>
    </row>
    <row r="53" spans="1:6">
      <c r="A53" s="21"/>
      <c r="B53" s="1412"/>
      <c r="C53" s="1423"/>
      <c r="D53" s="2778"/>
      <c r="E53" s="1520"/>
      <c r="F53" s="1438">
        <f t="shared" si="2"/>
        <v>0</v>
      </c>
    </row>
    <row r="54" spans="1:6">
      <c r="A54" s="21"/>
      <c r="B54" s="1412"/>
      <c r="C54" s="1488"/>
      <c r="D54" s="2779"/>
      <c r="E54" s="1490"/>
      <c r="F54" s="1493"/>
    </row>
    <row r="55" spans="1:6">
      <c r="A55" s="21"/>
      <c r="B55" s="1412"/>
      <c r="C55" s="1451" t="s">
        <v>48</v>
      </c>
      <c r="D55" s="2771">
        <f>SUM(D56:D59)</f>
        <v>4785</v>
      </c>
      <c r="E55" s="1464">
        <f>SUM(E56:E59)</f>
        <v>6200</v>
      </c>
      <c r="F55" s="1462">
        <f t="shared" si="2"/>
        <v>10985</v>
      </c>
    </row>
    <row r="56" spans="1:6">
      <c r="A56" s="21"/>
      <c r="B56" s="1412"/>
      <c r="C56" s="1667" t="s">
        <v>1459</v>
      </c>
      <c r="D56" s="2778">
        <f>4000*0.87</f>
        <v>3480</v>
      </c>
      <c r="E56" s="1641">
        <v>4200</v>
      </c>
      <c r="F56" s="1438">
        <f t="shared" si="2"/>
        <v>7680</v>
      </c>
    </row>
    <row r="57" spans="1:6">
      <c r="A57" s="21"/>
      <c r="B57" s="1412"/>
      <c r="C57" s="1667" t="s">
        <v>1460</v>
      </c>
      <c r="D57" s="2778">
        <f>1500*0.87</f>
        <v>1305</v>
      </c>
      <c r="E57" s="1641">
        <v>2000</v>
      </c>
      <c r="F57" s="1438">
        <f t="shared" si="2"/>
        <v>3305</v>
      </c>
    </row>
    <row r="58" spans="1:6">
      <c r="A58" s="21"/>
      <c r="B58" s="1412"/>
      <c r="C58" s="1423"/>
      <c r="D58" s="2778"/>
      <c r="E58" s="1504"/>
      <c r="F58" s="1438">
        <f t="shared" si="2"/>
        <v>0</v>
      </c>
    </row>
    <row r="59" spans="1:6">
      <c r="A59" s="21"/>
      <c r="B59" s="1412"/>
      <c r="C59" s="1423"/>
      <c r="D59" s="2778"/>
      <c r="E59" s="1504"/>
      <c r="F59" s="1438">
        <f t="shared" si="2"/>
        <v>0</v>
      </c>
    </row>
    <row r="60" spans="1:6">
      <c r="A60" s="21"/>
      <c r="B60" s="1412"/>
      <c r="C60" s="1488"/>
      <c r="D60" s="2779"/>
      <c r="E60" s="1490"/>
      <c r="F60" s="1493"/>
    </row>
    <row r="61" spans="1:6">
      <c r="C61" s="1451" t="s">
        <v>49</v>
      </c>
      <c r="D61" s="2771">
        <f>SUM(D62:D63)</f>
        <v>0</v>
      </c>
      <c r="E61" s="1464">
        <f>SUM(E62:E63)</f>
        <v>0</v>
      </c>
      <c r="F61" s="1462">
        <f>SUM(F62:F63)</f>
        <v>0</v>
      </c>
    </row>
    <row r="62" spans="1:6">
      <c r="C62" s="1608"/>
      <c r="D62" s="2778"/>
      <c r="E62" s="1520"/>
      <c r="F62" s="1438">
        <f>SUM(D62:E62)</f>
        <v>0</v>
      </c>
    </row>
    <row r="63" spans="1:6">
      <c r="C63" s="1423"/>
      <c r="D63" s="2778"/>
      <c r="E63" s="1520"/>
      <c r="F63" s="1438">
        <f>SUM(D63:E63)</f>
        <v>0</v>
      </c>
    </row>
    <row r="64" spans="1:6">
      <c r="C64" s="1423"/>
      <c r="D64" s="2778"/>
      <c r="E64" s="1520"/>
      <c r="F64" s="1438">
        <v>0</v>
      </c>
    </row>
    <row r="65" spans="3:6">
      <c r="C65" s="1488"/>
      <c r="D65" s="2779"/>
      <c r="E65" s="1490"/>
      <c r="F65" s="1493"/>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pane xSplit="1" ySplit="1" topLeftCell="B2" activePane="bottomRight" state="frozen"/>
      <selection pane="bottomRight" activeCell="E31" sqref="E31"/>
      <pageMargins left="0.21" right="0.22" top="0.75" bottom="0.75" header="0.3" footer="0.3"/>
      <pageSetup paperSize="3" scale="60" orientation="landscape" r:id="rId1"/>
    </customSheetView>
    <customSheetView guid="{074EB09C-6289-46D7-9513-012B68BCA7BF}" showGridLines="0">
      <pane xSplit="1" ySplit="1" topLeftCell="B2" activePane="bottomRight" state="frozen"/>
      <selection pane="bottomRight" activeCell="G4" sqref="G4:G6"/>
      <pageMargins left="0.21" right="0.22" top="0.75" bottom="0.75" header="0.3" footer="0.3"/>
      <pageSetup paperSize="3" scale="60" orientation="landscape" r:id="rId2"/>
    </customSheetView>
  </customSheetViews>
  <pageMargins left="0.21" right="0.22" top="0.75" bottom="0.75" header="0.3" footer="0.3"/>
  <pageSetup paperSize="3" scale="60" orientation="landscape" r:id="rId3"/>
  <drawing r:id="rId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C000"/>
    <pageSetUpPr fitToPage="1"/>
  </sheetPr>
  <dimension ref="A1:R69"/>
  <sheetViews>
    <sheetView showGridLines="0" zoomScaleNormal="10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7109375" customWidth="1"/>
    <col min="2" max="2" width="16.7109375" style="1413" customWidth="1"/>
    <col min="3" max="3" width="28.5703125" customWidth="1"/>
    <col min="4" max="5" width="19.5703125" customWidth="1"/>
    <col min="6" max="6" width="23.7109375" customWidth="1"/>
    <col min="7" max="7" width="18.7109375" customWidth="1"/>
    <col min="8" max="8" width="23.7109375" customWidth="1"/>
    <col min="9" max="9" width="19.5703125" customWidth="1"/>
    <col min="10" max="10" width="17.140625" customWidth="1"/>
    <col min="11" max="11" width="23.7109375" customWidth="1"/>
    <col min="12" max="12" width="20.140625" customWidth="1"/>
    <col min="13" max="13" width="19" customWidth="1"/>
    <col min="14" max="14" width="19.7109375" customWidth="1"/>
    <col min="15" max="15" width="16.28515625" customWidth="1"/>
    <col min="16" max="16" width="17.42578125" customWidth="1"/>
    <col min="17" max="17" width="10.5703125" customWidth="1"/>
    <col min="18" max="18" width="15" customWidth="1"/>
  </cols>
  <sheetData>
    <row r="1" spans="1:18" ht="51.75" customHeight="1">
      <c r="D1" s="1380" t="s">
        <v>24</v>
      </c>
      <c r="E1" s="1360" t="s">
        <v>22</v>
      </c>
      <c r="F1" s="1429">
        <v>18230703</v>
      </c>
      <c r="G1" s="1361" t="s">
        <v>28</v>
      </c>
      <c r="M1" s="1380" t="s">
        <v>24</v>
      </c>
      <c r="N1" s="1360" t="s">
        <v>22</v>
      </c>
      <c r="O1" s="1429">
        <v>18230703</v>
      </c>
      <c r="P1" s="1361" t="s">
        <v>28</v>
      </c>
    </row>
    <row r="2" spans="1:18" ht="16.5" thickBot="1">
      <c r="D2" s="38"/>
      <c r="E2" s="1349"/>
      <c r="F2" s="1349"/>
      <c r="G2" s="1354"/>
      <c r="H2" s="1178" t="s">
        <v>627</v>
      </c>
      <c r="I2" s="1354"/>
      <c r="J2" s="1354"/>
      <c r="K2" s="1354"/>
      <c r="L2" s="1354"/>
      <c r="M2" s="1354"/>
      <c r="N2" s="1354"/>
      <c r="O2" s="1354"/>
      <c r="P2" s="1354"/>
      <c r="Q2" s="1354"/>
    </row>
    <row r="3" spans="1:18" ht="26.25" thickBot="1">
      <c r="A3" s="1392" t="s">
        <v>24</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13679.41</v>
      </c>
      <c r="I4" s="2960">
        <f>D21</f>
        <v>0</v>
      </c>
      <c r="J4" s="2960">
        <f>D27</f>
        <v>9124.1664700000001</v>
      </c>
      <c r="K4" s="2960">
        <f>D37</f>
        <v>0</v>
      </c>
      <c r="L4" s="2960">
        <f>D43</f>
        <v>156</v>
      </c>
      <c r="M4" s="2960">
        <f>D49</f>
        <v>42900</v>
      </c>
      <c r="N4" s="2960">
        <f>D55</f>
        <v>0</v>
      </c>
      <c r="O4" s="2960">
        <f>D61</f>
        <v>0</v>
      </c>
      <c r="P4" s="2960">
        <v>0</v>
      </c>
      <c r="Q4" s="2960"/>
      <c r="R4" s="2960">
        <f>SUM(H4:P4)</f>
        <v>65859.57647</v>
      </c>
    </row>
    <row r="5" spans="1:18" ht="15.75">
      <c r="A5" s="1429">
        <v>18230703</v>
      </c>
      <c r="E5" s="1413"/>
      <c r="F5" s="1413"/>
      <c r="G5" s="3205" t="s">
        <v>1753</v>
      </c>
      <c r="H5" s="2617">
        <v>14021.4</v>
      </c>
      <c r="I5" s="2618">
        <v>0</v>
      </c>
      <c r="J5" s="2618">
        <v>9534.5519999999997</v>
      </c>
      <c r="K5" s="2618">
        <v>0</v>
      </c>
      <c r="L5" s="2618">
        <v>156</v>
      </c>
      <c r="M5" s="2618">
        <v>2600</v>
      </c>
      <c r="N5" s="2618">
        <v>0</v>
      </c>
      <c r="O5" s="2618">
        <v>0</v>
      </c>
      <c r="P5" s="2618">
        <v>0</v>
      </c>
      <c r="Q5" s="2618"/>
      <c r="R5" s="2618">
        <v>26311.951999999997</v>
      </c>
    </row>
    <row r="6" spans="1:18" ht="16.5" thickBot="1">
      <c r="A6" s="1508" t="s">
        <v>28</v>
      </c>
      <c r="B6" s="1429"/>
      <c r="C6" s="173"/>
      <c r="E6" s="1413"/>
      <c r="F6" s="1413"/>
      <c r="G6" s="3206" t="s">
        <v>1754</v>
      </c>
      <c r="H6" s="2621">
        <f>E15</f>
        <v>15347.28</v>
      </c>
      <c r="I6" s="2622">
        <f>E21</f>
        <v>0</v>
      </c>
      <c r="J6" s="2623">
        <f>E27</f>
        <v>10558.92864</v>
      </c>
      <c r="K6" s="2622">
        <f>E37</f>
        <v>0</v>
      </c>
      <c r="L6" s="2622">
        <f>E43</f>
        <v>156</v>
      </c>
      <c r="M6" s="2622">
        <f>E49</f>
        <v>11518</v>
      </c>
      <c r="N6" s="2622">
        <f>E55</f>
        <v>0</v>
      </c>
      <c r="O6" s="2622">
        <f>E61</f>
        <v>0</v>
      </c>
      <c r="P6" s="2622">
        <v>0</v>
      </c>
      <c r="Q6" s="2622"/>
      <c r="R6" s="2622">
        <f>SUM(H6:P6)</f>
        <v>37580.208639999997</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65859.57647</v>
      </c>
      <c r="E12" s="1484">
        <f>E15+E21+E27+E37+E43+E49+E55+E61</f>
        <v>37580.208639999997</v>
      </c>
      <c r="F12" s="1462">
        <f>D12+E12</f>
        <v>103439.78511</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13679.41</v>
      </c>
      <c r="E15" s="1464">
        <f>SUM(E16:E19)</f>
        <v>15347.28</v>
      </c>
      <c r="F15" s="1462">
        <f>SUM(F16:F19)</f>
        <v>29026.690000000002</v>
      </c>
      <c r="G15" s="29"/>
      <c r="H15" s="29"/>
    </row>
    <row r="16" spans="1:18" ht="13.5" customHeight="1">
      <c r="A16" s="21"/>
      <c r="B16" s="1432">
        <v>0.13</v>
      </c>
      <c r="C16" s="1565" t="s">
        <v>724</v>
      </c>
      <c r="D16" s="2772">
        <v>13679.41</v>
      </c>
      <c r="E16" s="1448">
        <v>15347.28</v>
      </c>
      <c r="F16" s="1426">
        <f>SUM(D16:E16)</f>
        <v>29026.690000000002</v>
      </c>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0.13</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9124.1664700000001</v>
      </c>
      <c r="E27" s="1657">
        <f>SUM(E29:E31)+SUM(E33:E35)</f>
        <v>10558.92864</v>
      </c>
      <c r="F27" s="1462">
        <f>SUM(F29:F35)</f>
        <v>19683.095110000002</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9124.1664700000001</v>
      </c>
      <c r="E29" s="1504">
        <f>E15*E28</f>
        <v>10558.92864</v>
      </c>
      <c r="F29" s="1438">
        <f>SUM(D29:E29)</f>
        <v>19683.095110000002</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41"/>
      <c r="B34" s="1412"/>
      <c r="C34" s="1667" t="s">
        <v>720</v>
      </c>
      <c r="D34" s="2785"/>
      <c r="E34" s="1641">
        <f>E21*E32</f>
        <v>0</v>
      </c>
      <c r="F34" s="1661">
        <f t="shared" ref="F34" si="0">SUM(D34:E34)</f>
        <v>0</v>
      </c>
      <c r="G34" s="37"/>
    </row>
    <row r="35" spans="1:7">
      <c r="A35" s="1392" t="s">
        <v>487</v>
      </c>
      <c r="B35" s="1410"/>
      <c r="C35" s="1445"/>
      <c r="D35" s="2775"/>
      <c r="E35" s="1444"/>
      <c r="F35" s="1661">
        <f>SUM(D35:E35)</f>
        <v>0</v>
      </c>
    </row>
    <row r="36" spans="1:7" s="18" customFormat="1" ht="13.5" customHeight="1">
      <c r="A36" s="1754" t="s">
        <v>494</v>
      </c>
      <c r="B36" s="1412"/>
      <c r="C36" s="1488"/>
      <c r="D36" s="2779"/>
      <c r="E36" s="1490"/>
      <c r="F36" s="1493"/>
    </row>
    <row r="37" spans="1:7" ht="13.5" customHeight="1">
      <c r="A37" s="1506" t="s">
        <v>22</v>
      </c>
      <c r="B37" s="1412"/>
      <c r="C37" s="1451" t="s">
        <v>46</v>
      </c>
      <c r="D37" s="2771">
        <v>0</v>
      </c>
      <c r="E37" s="1464">
        <v>0</v>
      </c>
      <c r="F37" s="1462">
        <v>0</v>
      </c>
    </row>
    <row r="38" spans="1:7" ht="13.5" customHeight="1">
      <c r="A38" s="1429">
        <v>18230703</v>
      </c>
      <c r="B38" s="1412"/>
      <c r="C38" s="1423"/>
      <c r="D38" s="2778"/>
      <c r="E38" s="1520"/>
      <c r="F38" s="1438">
        <v>0</v>
      </c>
    </row>
    <row r="39" spans="1:7" ht="13.5" customHeight="1">
      <c r="A39" s="1508" t="s">
        <v>28</v>
      </c>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156</v>
      </c>
      <c r="E43" s="1464">
        <f>SUM(E44:E47)</f>
        <v>156</v>
      </c>
      <c r="F43" s="1462">
        <f t="shared" ref="F43:F59" si="1">SUM(D43:E43)</f>
        <v>312</v>
      </c>
    </row>
    <row r="44" spans="1:7" ht="13.5" customHeight="1">
      <c r="A44" s="21"/>
      <c r="B44" s="1412"/>
      <c r="C44" s="1423" t="s">
        <v>761</v>
      </c>
      <c r="D44" s="2778">
        <v>156</v>
      </c>
      <c r="E44" s="1520">
        <v>156</v>
      </c>
      <c r="F44" s="1438">
        <f t="shared" si="1"/>
        <v>312</v>
      </c>
    </row>
    <row r="45" spans="1:7" ht="13.5" customHeight="1">
      <c r="A45" s="21"/>
      <c r="B45" s="1412"/>
      <c r="C45" s="1423"/>
      <c r="D45" s="2778"/>
      <c r="E45" s="1520"/>
      <c r="F45" s="1438">
        <f t="shared" si="1"/>
        <v>0</v>
      </c>
    </row>
    <row r="46" spans="1:7" ht="13.5" customHeight="1">
      <c r="A46" s="21"/>
      <c r="B46" s="1412"/>
      <c r="C46" s="1423"/>
      <c r="D46" s="2778"/>
      <c r="E46" s="1520"/>
      <c r="F46" s="1438">
        <f t="shared" si="1"/>
        <v>0</v>
      </c>
    </row>
    <row r="47" spans="1:7" ht="13.5" customHeight="1">
      <c r="A47" s="21"/>
      <c r="B47" s="1412"/>
      <c r="C47" s="1423"/>
      <c r="D47" s="2778"/>
      <c r="E47" s="1520"/>
      <c r="F47" s="1438">
        <f t="shared" si="1"/>
        <v>0</v>
      </c>
    </row>
    <row r="48" spans="1:7" ht="13.5" customHeight="1">
      <c r="A48" s="21"/>
      <c r="B48" s="1412"/>
      <c r="C48" s="1488"/>
      <c r="D48" s="2779"/>
      <c r="E48" s="1490"/>
      <c r="F48" s="1493"/>
    </row>
    <row r="49" spans="1:6" ht="13.5" customHeight="1">
      <c r="A49" s="21"/>
      <c r="B49" s="1412"/>
      <c r="C49" s="1451" t="s">
        <v>47</v>
      </c>
      <c r="D49" s="2771">
        <f>SUM(D50:D53)</f>
        <v>42900</v>
      </c>
      <c r="E49" s="1464">
        <f>SUM(E50:E53)</f>
        <v>11518</v>
      </c>
      <c r="F49" s="1462">
        <f t="shared" si="1"/>
        <v>54418</v>
      </c>
    </row>
    <row r="50" spans="1:6" ht="13.5" customHeight="1">
      <c r="A50" s="21"/>
      <c r="B50" s="1412"/>
      <c r="C50" s="1565" t="s">
        <v>725</v>
      </c>
      <c r="D50" s="2778">
        <v>42900</v>
      </c>
      <c r="E50" s="1520">
        <v>11518</v>
      </c>
      <c r="F50" s="1438">
        <f t="shared" si="1"/>
        <v>54418</v>
      </c>
    </row>
    <row r="51" spans="1:6" ht="13.5" customHeight="1">
      <c r="A51" s="21"/>
      <c r="B51" s="1412"/>
      <c r="C51" s="1423"/>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68"/>
      <c r="D56" s="2778"/>
      <c r="E56" s="1504"/>
      <c r="F56" s="1438">
        <f t="shared" si="1"/>
        <v>0</v>
      </c>
    </row>
    <row r="57" spans="1:6" ht="13.5" customHeight="1">
      <c r="A57" s="21"/>
      <c r="B57" s="1412"/>
      <c r="C57" s="1568"/>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5" activePane="bottomRight" state="frozen"/>
      <selection pane="bottomRight"/>
      <pageMargins left="0.24" right="0.21" top="0.38" bottom="0.37" header="0.3" footer="0.3"/>
      <pageSetup paperSize="17" scale="62" orientation="landscape" r:id="rId1"/>
    </customSheetView>
    <customSheetView guid="{074EB09C-6289-46D7-9513-012B68BCA7BF}" showGridLines="0" fitToPage="1">
      <pane xSplit="1" ySplit="1" topLeftCell="B17" activePane="bottomRight" state="frozen"/>
      <selection pane="bottomRight" activeCell="E33" sqref="E33"/>
      <pageMargins left="0.24" right="0.21" top="0.38" bottom="0.37" header="0.3" footer="0.3"/>
      <pageSetup paperSize="17" scale="62" orientation="landscape" r:id="rId2"/>
    </customSheetView>
  </customSheetViews>
  <pageMargins left="0.24" right="0.21" top="0.38" bottom="0.37" header="0.3" footer="0.3"/>
  <pageSetup paperSize="3" scale="61" orientation="landscape" r:id="rId3"/>
  <drawing r:id="rId4"/>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C000"/>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42578125" customWidth="1"/>
    <col min="2" max="2" width="16" style="1413" customWidth="1"/>
    <col min="3" max="3" width="28.7109375" customWidth="1"/>
    <col min="4" max="5" width="20.28515625" customWidth="1"/>
    <col min="6" max="6" width="19.85546875" customWidth="1"/>
    <col min="7" max="7" width="19" customWidth="1"/>
    <col min="8" max="8" width="23.7109375" customWidth="1"/>
    <col min="9" max="9" width="20.42578125" customWidth="1"/>
    <col min="10" max="10" width="17.7109375" customWidth="1"/>
    <col min="11" max="11" width="23.7109375" customWidth="1"/>
    <col min="12" max="12" width="18.85546875" customWidth="1"/>
    <col min="13" max="13" width="18.7109375" customWidth="1"/>
    <col min="14" max="14" width="19.7109375" customWidth="1"/>
    <col min="15" max="15" width="14.140625" customWidth="1"/>
    <col min="16" max="16" width="16.140625" customWidth="1"/>
    <col min="17" max="17" width="10.5703125" customWidth="1"/>
    <col min="18" max="18" width="15" customWidth="1"/>
  </cols>
  <sheetData>
    <row r="1" spans="1:18" ht="56.25" customHeight="1">
      <c r="D1" s="1360" t="s">
        <v>29</v>
      </c>
      <c r="E1" s="1360" t="s">
        <v>22</v>
      </c>
      <c r="F1" s="1429">
        <v>18230679</v>
      </c>
      <c r="G1" s="1361" t="s">
        <v>28</v>
      </c>
      <c r="M1" s="1360" t="s">
        <v>29</v>
      </c>
      <c r="N1" s="1360" t="s">
        <v>22</v>
      </c>
      <c r="O1" s="1429">
        <v>18230679</v>
      </c>
      <c r="P1" s="1361" t="s">
        <v>28</v>
      </c>
    </row>
    <row r="2" spans="1:18" ht="13.5" thickBot="1">
      <c r="E2" s="1413"/>
      <c r="F2" s="1413"/>
      <c r="G2" s="1354"/>
      <c r="H2" s="1178" t="s">
        <v>627</v>
      </c>
      <c r="I2" s="1354"/>
      <c r="J2" s="1354"/>
      <c r="K2" s="1354"/>
      <c r="L2" s="1354"/>
      <c r="M2" s="1354"/>
      <c r="N2" s="1354"/>
      <c r="O2" s="1354"/>
      <c r="P2" s="1354"/>
      <c r="Q2" s="1354"/>
    </row>
    <row r="3" spans="1:18" ht="27" thickBot="1">
      <c r="A3" s="1298" t="s">
        <v>29</v>
      </c>
      <c r="B3" s="1298"/>
      <c r="D3" s="38"/>
      <c r="E3" s="1349"/>
      <c r="F3" s="1349"/>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98"/>
      <c r="C4" s="3"/>
      <c r="D4" s="39"/>
      <c r="E4" s="1340"/>
      <c r="F4" s="1340"/>
      <c r="G4" s="2946" t="s">
        <v>1726</v>
      </c>
      <c r="H4" s="2959">
        <f>D15</f>
        <v>12539.36</v>
      </c>
      <c r="I4" s="2960">
        <f>D21</f>
        <v>0</v>
      </c>
      <c r="J4" s="2960">
        <f>D27</f>
        <v>8363.7531200000012</v>
      </c>
      <c r="K4" s="2960">
        <f>D37</f>
        <v>0</v>
      </c>
      <c r="L4" s="2960">
        <f>D43</f>
        <v>156</v>
      </c>
      <c r="M4" s="2960">
        <f>D49</f>
        <v>0</v>
      </c>
      <c r="N4" s="2960">
        <f>D55</f>
        <v>0</v>
      </c>
      <c r="O4" s="2960">
        <f>D61</f>
        <v>0</v>
      </c>
      <c r="P4" s="2960">
        <v>0</v>
      </c>
      <c r="Q4" s="2960"/>
      <c r="R4" s="2960">
        <f>SUM(H4:P4)</f>
        <v>21059.113120000002</v>
      </c>
    </row>
    <row r="5" spans="1:18" ht="15.75">
      <c r="A5" s="1429">
        <v>18230679</v>
      </c>
      <c r="D5" s="39"/>
      <c r="E5" s="1340"/>
      <c r="F5" s="1340"/>
      <c r="G5" s="3205" t="s">
        <v>1753</v>
      </c>
      <c r="H5" s="2617">
        <v>12852.8</v>
      </c>
      <c r="I5" s="2618">
        <v>0</v>
      </c>
      <c r="J5" s="2618">
        <v>8739.9040000000005</v>
      </c>
      <c r="K5" s="2618">
        <v>0</v>
      </c>
      <c r="L5" s="2618">
        <v>156</v>
      </c>
      <c r="M5" s="2618">
        <v>0</v>
      </c>
      <c r="N5" s="2618">
        <v>0</v>
      </c>
      <c r="O5" s="2618">
        <v>0</v>
      </c>
      <c r="P5" s="2618">
        <v>0</v>
      </c>
      <c r="Q5" s="2618"/>
      <c r="R5" s="2618">
        <v>21748.703999999998</v>
      </c>
    </row>
    <row r="6" spans="1:18" ht="16.5" thickBot="1">
      <c r="A6" s="1508" t="s">
        <v>28</v>
      </c>
      <c r="B6" s="1429"/>
      <c r="E6" s="1413"/>
      <c r="F6" s="1413"/>
      <c r="G6" s="3206" t="s">
        <v>1754</v>
      </c>
      <c r="H6" s="2621">
        <f>E15</f>
        <v>17370.599999999999</v>
      </c>
      <c r="I6" s="2622">
        <f>E21</f>
        <v>0</v>
      </c>
      <c r="J6" s="2623">
        <f>E27</f>
        <v>11950.972799999998</v>
      </c>
      <c r="K6" s="2622">
        <f>E37</f>
        <v>0</v>
      </c>
      <c r="L6" s="2622">
        <f>E43</f>
        <v>156</v>
      </c>
      <c r="M6" s="2622">
        <f>E49</f>
        <v>20800</v>
      </c>
      <c r="N6" s="2622">
        <f>E55</f>
        <v>0</v>
      </c>
      <c r="O6" s="2622">
        <f>E61</f>
        <v>0</v>
      </c>
      <c r="P6" s="2622">
        <v>0</v>
      </c>
      <c r="Q6" s="2622"/>
      <c r="R6" s="2622">
        <f>SUM(H6:P6)</f>
        <v>50277.572799999994</v>
      </c>
    </row>
    <row r="7" spans="1:18" ht="15.75">
      <c r="B7" s="1298"/>
      <c r="C7" s="943"/>
      <c r="E7" s="1413"/>
      <c r="F7" s="1413"/>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D15+D21+D27+D37+D43+D49+D55+D61</f>
        <v>21059.113120000002</v>
      </c>
      <c r="E12" s="1484">
        <f>E15+E21+E27+E37+E43+E49+E55+E61</f>
        <v>50277.572799999994</v>
      </c>
      <c r="F12" s="1462">
        <f>D12+E12</f>
        <v>71336.685919999989</v>
      </c>
    </row>
    <row r="13" spans="1:18">
      <c r="A13" s="21"/>
      <c r="B13" s="1410"/>
      <c r="C13" s="1483"/>
      <c r="D13" s="2767"/>
      <c r="E13" s="1336"/>
      <c r="F13" s="1413"/>
    </row>
    <row r="14" spans="1:18" ht="15.75">
      <c r="A14" s="21"/>
      <c r="B14" s="1410"/>
      <c r="C14" s="1435" t="s">
        <v>42</v>
      </c>
      <c r="D14" s="2768">
        <v>2016</v>
      </c>
      <c r="E14" s="1502">
        <v>2017</v>
      </c>
      <c r="F14" s="1486" t="s">
        <v>20</v>
      </c>
    </row>
    <row r="15" spans="1:18" s="18" customFormat="1" ht="15.75">
      <c r="A15" s="28"/>
      <c r="B15" s="1433" t="s">
        <v>296</v>
      </c>
      <c r="C15" s="1451" t="s">
        <v>43</v>
      </c>
      <c r="D15" s="2771">
        <f>SUM(D16:D19)</f>
        <v>12539.36</v>
      </c>
      <c r="E15" s="1464">
        <f>SUM(E16:E19)</f>
        <v>17370.599999999999</v>
      </c>
      <c r="F15" s="1462">
        <f>SUM(F16:F19)</f>
        <v>29909.96</v>
      </c>
      <c r="G15" s="29"/>
      <c r="H15" s="29"/>
    </row>
    <row r="16" spans="1:18" s="18" customFormat="1" ht="15.75">
      <c r="A16" s="28"/>
      <c r="B16" s="1432">
        <v>0.1</v>
      </c>
      <c r="C16" s="1568" t="s">
        <v>726</v>
      </c>
      <c r="D16" s="2772">
        <v>12539.36</v>
      </c>
      <c r="E16" s="1448">
        <v>17370.599999999999</v>
      </c>
      <c r="F16" s="1426">
        <f>SUM(D16:E16)</f>
        <v>29909.96</v>
      </c>
      <c r="G16" s="29"/>
      <c r="H16" s="29"/>
    </row>
    <row r="17" spans="1:7">
      <c r="A17" s="21"/>
      <c r="B17" s="1432"/>
      <c r="C17" s="1423"/>
      <c r="D17" s="2784"/>
      <c r="E17" s="1447"/>
      <c r="F17" s="1438">
        <f>SUM(D17:E17)</f>
        <v>0</v>
      </c>
    </row>
    <row r="18" spans="1:7">
      <c r="A18" s="21"/>
      <c r="B18" s="1432"/>
      <c r="C18" s="1423"/>
      <c r="D18" s="2784"/>
      <c r="E18" s="1447"/>
      <c r="F18" s="1438">
        <f>SUM(D18:E18)</f>
        <v>0</v>
      </c>
    </row>
    <row r="19" spans="1:7">
      <c r="A19" s="21"/>
      <c r="B19" s="1432"/>
      <c r="C19" s="1423"/>
      <c r="D19" s="2786"/>
      <c r="E19" s="1446"/>
      <c r="F19" s="1438">
        <f>SUM(D19:E19)</f>
        <v>0</v>
      </c>
    </row>
    <row r="20" spans="1:7">
      <c r="A20" s="21"/>
      <c r="B20" s="1449">
        <f>SUM(B16:B19)</f>
        <v>0.1</v>
      </c>
      <c r="C20" s="1488"/>
      <c r="D20" s="2770"/>
      <c r="E20" s="1490"/>
      <c r="F20" s="1492"/>
    </row>
    <row r="21" spans="1:7">
      <c r="A21" s="21"/>
      <c r="B21" s="1412"/>
      <c r="C21" s="1451" t="s">
        <v>44</v>
      </c>
      <c r="D21" s="2771">
        <f>SUM(D22:D25)</f>
        <v>0</v>
      </c>
      <c r="E21" s="1464">
        <f>SUM(E22:E25)</f>
        <v>0</v>
      </c>
      <c r="F21" s="1462">
        <f>SUM(F22:F25)</f>
        <v>0</v>
      </c>
    </row>
    <row r="22" spans="1:7">
      <c r="A22" s="21"/>
      <c r="B22" s="1412"/>
      <c r="C22" s="1423"/>
      <c r="D22" s="2772"/>
      <c r="E22" s="1448"/>
      <c r="F22" s="1426">
        <f>SUM(D22:E22)</f>
        <v>0</v>
      </c>
      <c r="G22" s="33" t="s">
        <v>6</v>
      </c>
    </row>
    <row r="23" spans="1:7">
      <c r="A23" s="21"/>
      <c r="B23" s="1412"/>
      <c r="C23" s="1423"/>
      <c r="D23" s="2773"/>
      <c r="E23" s="1444"/>
      <c r="F23" s="1438">
        <f>SUM(D23:E23)</f>
        <v>0</v>
      </c>
      <c r="G23" s="34"/>
    </row>
    <row r="24" spans="1:7">
      <c r="A24" s="21"/>
      <c r="B24" s="1410"/>
      <c r="C24" s="1423"/>
      <c r="D24" s="2774"/>
      <c r="E24" s="1443"/>
      <c r="F24" s="1438">
        <f>SUM(D24:E24)</f>
        <v>0</v>
      </c>
    </row>
    <row r="25" spans="1:7">
      <c r="A25" s="21"/>
      <c r="B25" s="1412"/>
      <c r="C25" s="1423"/>
      <c r="D25" s="2775"/>
      <c r="E25" s="1444"/>
      <c r="F25" s="1438">
        <f>SUM(D25:E25)</f>
        <v>0</v>
      </c>
    </row>
    <row r="26" spans="1:7" s="18" customFormat="1">
      <c r="A26" s="28"/>
      <c r="B26" s="1410"/>
      <c r="C26" s="1424"/>
      <c r="D26" s="2776"/>
      <c r="E26" s="1431"/>
      <c r="F26" s="1439"/>
    </row>
    <row r="27" spans="1:7">
      <c r="A27" s="21"/>
      <c r="B27" s="1412"/>
      <c r="C27" s="1451" t="s">
        <v>45</v>
      </c>
      <c r="D27" s="2771">
        <f>SUM(D29:D35)</f>
        <v>8363.7531200000012</v>
      </c>
      <c r="E27" s="1657">
        <f>SUM(E29:E31)+SUM(E33:E35)</f>
        <v>11950.972799999998</v>
      </c>
      <c r="F27" s="1462">
        <f>SUM(F29:F35)</f>
        <v>20314.725919999997</v>
      </c>
    </row>
    <row r="28" spans="1:7" s="18" customFormat="1">
      <c r="A28" s="28"/>
      <c r="B28" s="1412"/>
      <c r="C28" s="1450" t="s">
        <v>1733</v>
      </c>
      <c r="D28" s="2777">
        <v>0.66700000000000004</v>
      </c>
      <c r="E28" s="1452">
        <v>0.68799999999999994</v>
      </c>
      <c r="F28" s="1485"/>
    </row>
    <row r="29" spans="1:7">
      <c r="A29" s="21"/>
      <c r="B29" s="1412"/>
      <c r="C29" s="1667" t="s">
        <v>719</v>
      </c>
      <c r="D29" s="2778">
        <f>D15*D28</f>
        <v>8363.7531200000012</v>
      </c>
      <c r="E29" s="1504">
        <f>E15*E28</f>
        <v>11950.972799999998</v>
      </c>
      <c r="F29" s="1438">
        <f>SUM(D29:E29)</f>
        <v>20314.725919999997</v>
      </c>
    </row>
    <row r="30" spans="1:7">
      <c r="A30" s="21"/>
      <c r="B30" s="1412"/>
      <c r="C30" s="1667" t="s">
        <v>720</v>
      </c>
      <c r="D30" s="2785">
        <f>D21*D28</f>
        <v>0</v>
      </c>
      <c r="E30" s="1504">
        <f>E21*E28</f>
        <v>0</v>
      </c>
      <c r="F30" s="1661">
        <f>SUM(D30:E30)</f>
        <v>0</v>
      </c>
    </row>
    <row r="31" spans="1:7">
      <c r="A31" s="21"/>
      <c r="B31" s="1412"/>
      <c r="C31" s="1667"/>
      <c r="D31" s="2774"/>
      <c r="E31" s="1443"/>
      <c r="F31" s="1661">
        <f>SUM(D31:E31)</f>
        <v>0</v>
      </c>
    </row>
    <row r="32" spans="1:7">
      <c r="A32" s="21"/>
      <c r="B32" s="1412"/>
      <c r="C32" s="1450" t="s">
        <v>1734</v>
      </c>
      <c r="D32" s="2777"/>
      <c r="E32" s="1452">
        <v>0</v>
      </c>
      <c r="F32" s="1485"/>
    </row>
    <row r="33" spans="1:7">
      <c r="A33" s="21"/>
      <c r="B33" s="1350"/>
      <c r="C33" s="1667" t="s">
        <v>719</v>
      </c>
      <c r="D33" s="2778"/>
      <c r="E33" s="1641">
        <f>E15*E32</f>
        <v>0</v>
      </c>
      <c r="F33" s="1661">
        <f>SUM(D33:E33)</f>
        <v>0</v>
      </c>
    </row>
    <row r="34" spans="1:7">
      <c r="A34" s="21"/>
      <c r="B34" s="1412"/>
      <c r="C34" s="1667" t="s">
        <v>720</v>
      </c>
      <c r="D34" s="2785"/>
      <c r="E34" s="1641">
        <f>E21*E32</f>
        <v>0</v>
      </c>
      <c r="F34" s="1661">
        <f t="shared" ref="F34" si="0">SUM(D34:E34)</f>
        <v>0</v>
      </c>
    </row>
    <row r="35" spans="1:7">
      <c r="A35" s="1298" t="s">
        <v>29</v>
      </c>
      <c r="B35" s="1410"/>
      <c r="C35" s="1445"/>
      <c r="D35" s="2775"/>
      <c r="E35" s="1444"/>
      <c r="F35" s="1661">
        <f>SUM(D35:E35)</f>
        <v>0</v>
      </c>
      <c r="G35" s="37"/>
    </row>
    <row r="36" spans="1:7">
      <c r="A36" s="1506" t="s">
        <v>22</v>
      </c>
      <c r="B36" s="1412"/>
      <c r="C36" s="1488"/>
      <c r="D36" s="2779"/>
      <c r="E36" s="1490"/>
      <c r="F36" s="1493"/>
    </row>
    <row r="37" spans="1:7" s="18" customFormat="1">
      <c r="A37" s="1429">
        <v>18230679</v>
      </c>
      <c r="B37" s="1412"/>
      <c r="C37" s="1451" t="s">
        <v>46</v>
      </c>
      <c r="D37" s="2771">
        <v>0</v>
      </c>
      <c r="E37" s="1464">
        <v>0</v>
      </c>
      <c r="F37" s="1462">
        <v>0</v>
      </c>
    </row>
    <row r="38" spans="1:7">
      <c r="A38" s="1508" t="s">
        <v>28</v>
      </c>
      <c r="B38" s="1412"/>
      <c r="C38" s="1423"/>
      <c r="D38" s="2778"/>
      <c r="E38" s="1520"/>
      <c r="F38" s="1438">
        <v>0</v>
      </c>
    </row>
    <row r="39" spans="1:7">
      <c r="A39" s="21"/>
      <c r="B39" s="1412"/>
      <c r="C39" s="1423"/>
      <c r="D39" s="2778"/>
      <c r="E39" s="1520"/>
      <c r="F39" s="1438">
        <v>0</v>
      </c>
    </row>
    <row r="40" spans="1:7">
      <c r="A40" s="21"/>
      <c r="B40" s="1412"/>
      <c r="C40" s="1423"/>
      <c r="D40" s="2778"/>
      <c r="E40" s="1520"/>
      <c r="F40" s="1438">
        <v>0</v>
      </c>
    </row>
    <row r="41" spans="1:7">
      <c r="A41" s="21"/>
      <c r="B41" s="1412"/>
      <c r="C41" s="1423"/>
      <c r="D41" s="2778"/>
      <c r="E41" s="1520"/>
      <c r="F41" s="1438">
        <v>0</v>
      </c>
    </row>
    <row r="42" spans="1:7">
      <c r="A42" s="21"/>
      <c r="B42" s="1412"/>
      <c r="C42" s="1488"/>
      <c r="D42" s="2779"/>
      <c r="E42" s="1490"/>
      <c r="F42" s="1493"/>
    </row>
    <row r="43" spans="1:7">
      <c r="A43" s="21"/>
      <c r="B43" s="1412"/>
      <c r="C43" s="1597" t="s">
        <v>483</v>
      </c>
      <c r="D43" s="2771">
        <f>SUM(D44:D47)</f>
        <v>156</v>
      </c>
      <c r="E43" s="1464">
        <f>SUM(E44:E47)</f>
        <v>156</v>
      </c>
      <c r="F43" s="1462">
        <f t="shared" ref="F43:F59" si="1">SUM(D43:E43)</f>
        <v>312</v>
      </c>
    </row>
    <row r="44" spans="1:7">
      <c r="A44" s="21"/>
      <c r="B44" s="1412"/>
      <c r="C44" s="1423" t="s">
        <v>761</v>
      </c>
      <c r="D44" s="2778">
        <v>156</v>
      </c>
      <c r="E44" s="1520">
        <v>156</v>
      </c>
      <c r="F44" s="1438">
        <f t="shared" si="1"/>
        <v>312</v>
      </c>
    </row>
    <row r="45" spans="1:7">
      <c r="A45" s="21"/>
      <c r="B45" s="1412"/>
      <c r="C45" s="1667"/>
      <c r="D45" s="2778"/>
      <c r="E45" s="1672"/>
      <c r="F45" s="1438">
        <f t="shared" si="1"/>
        <v>0</v>
      </c>
    </row>
    <row r="46" spans="1:7">
      <c r="A46" s="21"/>
      <c r="B46" s="1412"/>
      <c r="C46" s="1423"/>
      <c r="D46" s="2778"/>
      <c r="E46" s="1520"/>
      <c r="F46" s="1438">
        <f t="shared" si="1"/>
        <v>0</v>
      </c>
    </row>
    <row r="47" spans="1:7">
      <c r="A47" s="21"/>
      <c r="B47" s="1412"/>
      <c r="C47" s="1423"/>
      <c r="D47" s="2778"/>
      <c r="E47" s="1520"/>
      <c r="F47" s="1438">
        <f t="shared" si="1"/>
        <v>0</v>
      </c>
    </row>
    <row r="48" spans="1:7">
      <c r="A48" s="21"/>
      <c r="B48" s="1412"/>
      <c r="C48" s="1488"/>
      <c r="D48" s="2779"/>
      <c r="E48" s="1490"/>
      <c r="F48" s="1493"/>
    </row>
    <row r="49" spans="1:6">
      <c r="A49" s="21"/>
      <c r="B49" s="1412"/>
      <c r="C49" s="1451" t="s">
        <v>47</v>
      </c>
      <c r="D49" s="2771">
        <f>SUM(D50:D53)</f>
        <v>0</v>
      </c>
      <c r="E49" s="1464">
        <f>SUM(E50:E53)</f>
        <v>20800</v>
      </c>
      <c r="F49" s="1462">
        <f t="shared" si="1"/>
        <v>20800</v>
      </c>
    </row>
    <row r="50" spans="1:6">
      <c r="A50" s="21"/>
      <c r="B50" s="1412"/>
      <c r="C50" s="1580" t="s">
        <v>2636</v>
      </c>
      <c r="D50" s="2778"/>
      <c r="E50" s="1520">
        <v>20800</v>
      </c>
      <c r="F50" s="1438">
        <f t="shared" si="1"/>
        <v>20800</v>
      </c>
    </row>
    <row r="51" spans="1:6">
      <c r="A51" s="21"/>
      <c r="B51" s="1412"/>
      <c r="C51" s="1423"/>
      <c r="D51" s="2778"/>
      <c r="E51" s="1520"/>
      <c r="F51" s="1438">
        <f t="shared" si="1"/>
        <v>0</v>
      </c>
    </row>
    <row r="52" spans="1:6">
      <c r="A52" s="21"/>
      <c r="B52" s="1412"/>
      <c r="C52" s="1423"/>
      <c r="D52" s="2778"/>
      <c r="E52" s="1520"/>
      <c r="F52" s="1438">
        <f t="shared" si="1"/>
        <v>0</v>
      </c>
    </row>
    <row r="53" spans="1:6">
      <c r="A53" s="21"/>
      <c r="B53" s="1412"/>
      <c r="C53" s="1423"/>
      <c r="D53" s="2778"/>
      <c r="E53" s="1520"/>
      <c r="F53" s="1438">
        <f t="shared" si="1"/>
        <v>0</v>
      </c>
    </row>
    <row r="54" spans="1:6">
      <c r="A54" s="21"/>
      <c r="B54" s="1412"/>
      <c r="C54" s="1488"/>
      <c r="D54" s="2779"/>
      <c r="E54" s="1490"/>
      <c r="F54" s="1493"/>
    </row>
    <row r="55" spans="1:6">
      <c r="A55" s="21"/>
      <c r="B55" s="1412"/>
      <c r="C55" s="1451" t="s">
        <v>48</v>
      </c>
      <c r="D55" s="2771">
        <f>SUM(D56:D59)</f>
        <v>0</v>
      </c>
      <c r="E55" s="1464">
        <f>SUM(E56:E59)</f>
        <v>0</v>
      </c>
      <c r="F55" s="1462">
        <f t="shared" si="1"/>
        <v>0</v>
      </c>
    </row>
    <row r="56" spans="1:6">
      <c r="A56" s="21"/>
      <c r="B56" s="1412"/>
      <c r="C56" s="1568"/>
      <c r="D56" s="2778"/>
      <c r="E56" s="1504"/>
      <c r="F56" s="1438">
        <f t="shared" si="1"/>
        <v>0</v>
      </c>
    </row>
    <row r="57" spans="1:6">
      <c r="A57" s="21"/>
      <c r="B57" s="1412"/>
      <c r="C57" s="1568"/>
      <c r="D57" s="2778"/>
      <c r="E57" s="1504"/>
      <c r="F57" s="1438">
        <f t="shared" si="1"/>
        <v>0</v>
      </c>
    </row>
    <row r="58" spans="1:6">
      <c r="A58" s="21"/>
      <c r="B58" s="1412"/>
      <c r="C58" s="1423"/>
      <c r="D58" s="2778"/>
      <c r="E58" s="1504"/>
      <c r="F58" s="1438">
        <f t="shared" si="1"/>
        <v>0</v>
      </c>
    </row>
    <row r="59" spans="1:6">
      <c r="A59" s="21"/>
      <c r="B59" s="1412"/>
      <c r="C59" s="1423"/>
      <c r="D59" s="2778"/>
      <c r="E59" s="1504"/>
      <c r="F59" s="1438">
        <f t="shared" si="1"/>
        <v>0</v>
      </c>
    </row>
    <row r="60" spans="1:6">
      <c r="A60" s="21"/>
      <c r="B60" s="1412"/>
      <c r="C60" s="1488"/>
      <c r="D60" s="2779"/>
      <c r="E60" s="1490"/>
      <c r="F60" s="1493"/>
    </row>
    <row r="61" spans="1:6">
      <c r="A61" s="21"/>
      <c r="C61" s="1451" t="s">
        <v>49</v>
      </c>
      <c r="D61" s="2771">
        <f>SUM(D62:D63)</f>
        <v>0</v>
      </c>
      <c r="E61" s="1464">
        <f>SUM(E62:E63)</f>
        <v>0</v>
      </c>
      <c r="F61" s="1462">
        <f>SUM(F62:F63)</f>
        <v>0</v>
      </c>
    </row>
    <row r="62" spans="1:6">
      <c r="A62" s="21"/>
      <c r="C62" s="1568"/>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5" activePane="bottomRight" state="frozen"/>
      <selection pane="bottomRight"/>
      <pageMargins left="0.21" right="0.22" top="0.34" bottom="0.37" header="0.3" footer="0.3"/>
      <pageSetup paperSize="17" scale="64" orientation="landscape" r:id="rId1"/>
    </customSheetView>
    <customSheetView guid="{074EB09C-6289-46D7-9513-012B68BCA7BF}" showGridLines="0" fitToPage="1">
      <pane xSplit="1" ySplit="1" topLeftCell="B17" activePane="bottomRight" state="frozen"/>
      <selection pane="bottomRight" activeCell="E33" sqref="E33"/>
      <pageMargins left="0.21" right="0.22" top="0.34" bottom="0.37" header="0.3" footer="0.3"/>
      <pageSetup paperSize="17" scale="64" orientation="landscape" r:id="rId2"/>
    </customSheetView>
  </customSheetViews>
  <pageMargins left="0.21" right="0.22" top="0.34" bottom="0.37" header="0.3" footer="0.3"/>
  <pageSetup paperSize="3" scale="63" orientation="landscape" r:id="rId3"/>
  <drawing r:id="rId4"/>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rgb="FFFFC000"/>
    <pageSetUpPr fitToPage="1"/>
  </sheetPr>
  <dimension ref="A1:R71"/>
  <sheetViews>
    <sheetView showGridLines="0" zoomScaleNormal="100" workbookViewId="0">
      <pane xSplit="1" ySplit="1" topLeftCell="B14" activePane="bottomRight" state="frozen"/>
      <selection pane="topRight" activeCell="B1" sqref="B1"/>
      <selection pane="bottomLeft" activeCell="A2" sqref="A2"/>
      <selection pane="bottomRight" activeCell="E33" sqref="E33"/>
    </sheetView>
  </sheetViews>
  <sheetFormatPr defaultRowHeight="12.75"/>
  <cols>
    <col min="1" max="1" width="18" customWidth="1"/>
    <col min="2" max="2" width="15.42578125" style="1413" customWidth="1"/>
    <col min="3" max="3" width="35.7109375" customWidth="1"/>
    <col min="4" max="5" width="20" customWidth="1"/>
    <col min="6" max="6" width="19.85546875" customWidth="1"/>
    <col min="7" max="7" width="21" customWidth="1"/>
    <col min="8" max="8" width="23.7109375" customWidth="1"/>
    <col min="9" max="9" width="20.42578125" customWidth="1"/>
    <col min="10" max="10" width="17.7109375" customWidth="1"/>
    <col min="11" max="11" width="23.7109375" customWidth="1"/>
    <col min="12" max="12" width="20" customWidth="1"/>
    <col min="13" max="13" width="18.7109375" customWidth="1"/>
    <col min="14" max="14" width="23.7109375" customWidth="1"/>
    <col min="15" max="15" width="14.140625" customWidth="1"/>
    <col min="16" max="16" width="16.140625" customWidth="1"/>
    <col min="17" max="17" width="10.5703125" customWidth="1"/>
    <col min="18" max="18" width="15" customWidth="1"/>
  </cols>
  <sheetData>
    <row r="1" spans="1:18" ht="54" customHeight="1">
      <c r="D1" s="1380" t="s">
        <v>326</v>
      </c>
      <c r="E1" s="1509" t="s">
        <v>22</v>
      </c>
      <c r="F1" s="1427">
        <v>18230670</v>
      </c>
      <c r="G1" s="1509" t="s">
        <v>28</v>
      </c>
      <c r="M1" s="1380" t="s">
        <v>326</v>
      </c>
      <c r="N1" s="1509" t="s">
        <v>22</v>
      </c>
      <c r="O1" s="1427">
        <v>18230670</v>
      </c>
      <c r="P1" s="1509" t="s">
        <v>28</v>
      </c>
    </row>
    <row r="2" spans="1:18" ht="13.5" thickBot="1">
      <c r="E2" s="1201"/>
      <c r="F2" s="1201"/>
      <c r="G2" s="891"/>
      <c r="H2" s="1178" t="s">
        <v>627</v>
      </c>
      <c r="I2" s="1354"/>
      <c r="J2" s="1354"/>
      <c r="K2" s="1354"/>
      <c r="L2" s="1354"/>
      <c r="M2" s="1354"/>
      <c r="N2" s="1354"/>
      <c r="O2" s="1354"/>
      <c r="P2" s="1354"/>
      <c r="Q2" s="1354"/>
    </row>
    <row r="3" spans="1:18" ht="27" thickBot="1">
      <c r="A3" s="1392" t="s">
        <v>326</v>
      </c>
      <c r="B3" s="1357"/>
      <c r="D3" s="38"/>
      <c r="E3" s="1349"/>
      <c r="F3" s="1349"/>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8" t="s">
        <v>22</v>
      </c>
      <c r="B4" s="1357"/>
      <c r="C4" s="3"/>
      <c r="D4" s="39"/>
      <c r="E4" s="1340"/>
      <c r="F4" s="1340"/>
      <c r="G4" s="2946" t="s">
        <v>1726</v>
      </c>
      <c r="H4" s="2959">
        <f>D15</f>
        <v>21937.5</v>
      </c>
      <c r="I4" s="2960">
        <f>D21</f>
        <v>0</v>
      </c>
      <c r="J4" s="2960">
        <f>D27</f>
        <v>14632.3125</v>
      </c>
      <c r="K4" s="2960">
        <f>D37</f>
        <v>0</v>
      </c>
      <c r="L4" s="2960">
        <f>D43</f>
        <v>635.70000000000005</v>
      </c>
      <c r="M4" s="2960">
        <f>D50</f>
        <v>4686.5</v>
      </c>
      <c r="N4" s="2960">
        <f>D57</f>
        <v>201.5</v>
      </c>
      <c r="O4" s="2960">
        <f>D63</f>
        <v>0</v>
      </c>
      <c r="P4" s="2960">
        <v>0</v>
      </c>
      <c r="Q4" s="2960"/>
      <c r="R4" s="2960">
        <f>SUM(H4:P4)</f>
        <v>42093.512499999997</v>
      </c>
    </row>
    <row r="5" spans="1:18" ht="15.75">
      <c r="A5" s="1427">
        <v>18230670</v>
      </c>
      <c r="D5" s="39"/>
      <c r="E5" s="1340"/>
      <c r="F5" s="1340"/>
      <c r="G5" s="3205" t="s">
        <v>1753</v>
      </c>
      <c r="H5" s="2617">
        <v>22485.94</v>
      </c>
      <c r="I5" s="2618">
        <v>0</v>
      </c>
      <c r="J5" s="2618">
        <v>15290.439200000001</v>
      </c>
      <c r="K5" s="2618">
        <v>0</v>
      </c>
      <c r="L5" s="2618">
        <v>635.70000000000005</v>
      </c>
      <c r="M5" s="2618">
        <v>4864.1449999999995</v>
      </c>
      <c r="N5" s="2618">
        <v>201.5</v>
      </c>
      <c r="O5" s="2618">
        <v>0</v>
      </c>
      <c r="P5" s="2618">
        <v>0</v>
      </c>
      <c r="Q5" s="2618"/>
      <c r="R5" s="2618">
        <v>43477.72419999999</v>
      </c>
    </row>
    <row r="6" spans="1:18" ht="16.5" thickBot="1">
      <c r="A6" s="1508" t="s">
        <v>28</v>
      </c>
      <c r="B6" s="1427"/>
      <c r="E6" s="1413"/>
      <c r="F6" s="1413"/>
      <c r="G6" s="3206" t="s">
        <v>1754</v>
      </c>
      <c r="H6" s="2621">
        <f>E15</f>
        <v>22485.94</v>
      </c>
      <c r="I6" s="2622">
        <f>E21</f>
        <v>0</v>
      </c>
      <c r="J6" s="2623">
        <f>E27</f>
        <v>15470.326719999997</v>
      </c>
      <c r="K6" s="2622">
        <f>E37</f>
        <v>0</v>
      </c>
      <c r="L6" s="2622">
        <f>E43</f>
        <v>635.70000000000005</v>
      </c>
      <c r="M6" s="2622">
        <f>E50</f>
        <v>4864.1449999999995</v>
      </c>
      <c r="N6" s="2622">
        <f>E57</f>
        <v>201.5</v>
      </c>
      <c r="O6" s="2622">
        <f>E63</f>
        <v>0</v>
      </c>
      <c r="P6" s="2622">
        <v>0</v>
      </c>
      <c r="Q6" s="2622"/>
      <c r="R6" s="2622">
        <f>SUM(H6:P6)</f>
        <v>43657.611719999994</v>
      </c>
    </row>
    <row r="7" spans="1:18" ht="15.75">
      <c r="B7" s="1357"/>
      <c r="C7" s="943"/>
      <c r="E7" s="1413"/>
      <c r="F7" s="1413"/>
      <c r="G7" s="2733"/>
      <c r="H7" s="2607"/>
      <c r="I7" s="2607"/>
      <c r="J7" s="2607"/>
      <c r="K7" s="2607"/>
      <c r="L7" s="2607"/>
      <c r="M7" s="2607"/>
      <c r="N7" s="2607"/>
      <c r="O7" s="2607"/>
      <c r="P7" s="2607"/>
      <c r="Q7" s="2607"/>
      <c r="R7" s="2607"/>
    </row>
    <row r="8" spans="1:18" s="18" customFormat="1" ht="25.5">
      <c r="B8" s="1357"/>
      <c r="E8" s="1409"/>
      <c r="F8" s="1409"/>
      <c r="G8" s="415"/>
      <c r="H8" s="1335"/>
      <c r="I8" s="413"/>
      <c r="J8" s="413"/>
      <c r="K8" s="413"/>
      <c r="L8" s="413"/>
      <c r="M8" s="413"/>
      <c r="N8" s="413"/>
      <c r="O8" s="413"/>
      <c r="P8" s="422" t="s">
        <v>17</v>
      </c>
      <c r="Q8" s="413"/>
    </row>
    <row r="9" spans="1:18" s="18" customFormat="1">
      <c r="A9" s="28"/>
      <c r="B9" s="1410"/>
      <c r="E9" s="1409"/>
      <c r="F9" s="1409"/>
      <c r="G9" s="415"/>
      <c r="H9" s="1335"/>
      <c r="I9" s="413"/>
      <c r="J9" s="413"/>
      <c r="K9" s="413"/>
      <c r="L9" s="413"/>
      <c r="M9" s="413"/>
      <c r="N9" s="413"/>
      <c r="O9" s="413"/>
      <c r="P9" s="422" t="s">
        <v>18</v>
      </c>
      <c r="Q9" s="413"/>
    </row>
    <row r="10" spans="1:18" s="18" customFormat="1">
      <c r="A10" s="28"/>
      <c r="B10" s="1412"/>
      <c r="C10" s="1454" t="s">
        <v>310</v>
      </c>
      <c r="D10" s="1454"/>
      <c r="E10" s="1454"/>
      <c r="F10" s="1454"/>
    </row>
    <row r="11" spans="1:18" s="9" customFormat="1">
      <c r="A11" s="21"/>
      <c r="B11" s="1412"/>
      <c r="C11" s="1413"/>
      <c r="D11" s="1413"/>
      <c r="E11" s="1414"/>
      <c r="F11" s="1413"/>
    </row>
    <row r="12" spans="1:18" ht="18" customHeight="1">
      <c r="A12" s="21"/>
      <c r="B12" s="1412"/>
      <c r="C12" s="1434" t="s">
        <v>298</v>
      </c>
      <c r="D12" s="2766">
        <f>D15+D21+D27+D37+D43+D50+D57+D63</f>
        <v>42093.512499999997</v>
      </c>
      <c r="E12" s="1484">
        <f>E15+E21+E27+E37+E43+E50+E57+E63</f>
        <v>43657.611719999994</v>
      </c>
      <c r="F12" s="1462">
        <f>D12+E12</f>
        <v>85751.124219999998</v>
      </c>
    </row>
    <row r="13" spans="1:18">
      <c r="A13" s="21"/>
      <c r="B13" s="1410"/>
      <c r="C13" s="1483"/>
      <c r="D13" s="2767"/>
      <c r="E13" s="1336"/>
      <c r="F13" s="1413"/>
    </row>
    <row r="14" spans="1:18" ht="13.5" customHeight="1">
      <c r="A14" s="21"/>
      <c r="B14" s="1410"/>
      <c r="C14" s="1435" t="s">
        <v>42</v>
      </c>
      <c r="D14" s="2768">
        <v>2016</v>
      </c>
      <c r="E14" s="1502">
        <v>2017</v>
      </c>
      <c r="F14" s="1486" t="s">
        <v>20</v>
      </c>
      <c r="G14" s="939"/>
      <c r="H14" s="939"/>
    </row>
    <row r="15" spans="1:18" s="18" customFormat="1" ht="13.5" customHeight="1">
      <c r="A15" s="28"/>
      <c r="B15" s="1433" t="s">
        <v>296</v>
      </c>
      <c r="C15" s="1451" t="s">
        <v>43</v>
      </c>
      <c r="D15" s="2771">
        <f>SUM(D16:D19)</f>
        <v>21937.5</v>
      </c>
      <c r="E15" s="1464">
        <f>SUM(E16:E19)</f>
        <v>22485.94</v>
      </c>
      <c r="F15" s="1462">
        <f>SUM(F16:F19)</f>
        <v>44423.44</v>
      </c>
      <c r="G15" s="29"/>
      <c r="H15" s="29"/>
    </row>
    <row r="16" spans="1:18" s="18" customFormat="1" ht="13.5" customHeight="1">
      <c r="A16" s="28"/>
      <c r="B16" s="1432">
        <v>0.28999999999999998</v>
      </c>
      <c r="C16" s="1564" t="s">
        <v>754</v>
      </c>
      <c r="D16" s="2772">
        <v>21937.5</v>
      </c>
      <c r="E16" s="1448">
        <v>22485.94</v>
      </c>
      <c r="F16" s="1426">
        <f>SUM(D16:E16)</f>
        <v>44423.44</v>
      </c>
      <c r="G16" s="29"/>
      <c r="H16" s="29"/>
    </row>
    <row r="17" spans="1:7" ht="13.5" customHeight="1">
      <c r="A17" s="21"/>
      <c r="B17" s="1432"/>
      <c r="C17" s="1423"/>
      <c r="D17" s="2784"/>
      <c r="E17" s="1447"/>
      <c r="F17" s="1438">
        <f>SUM(D17:E17)</f>
        <v>0</v>
      </c>
    </row>
    <row r="18" spans="1:7" ht="13.5" customHeight="1">
      <c r="A18" s="21"/>
      <c r="B18" s="1432"/>
      <c r="C18" s="1423"/>
      <c r="D18" s="2784"/>
      <c r="E18" s="1447"/>
      <c r="F18" s="1438">
        <f>SUM(D18:E18)</f>
        <v>0</v>
      </c>
    </row>
    <row r="19" spans="1:7" ht="13.5" customHeight="1">
      <c r="A19" s="21"/>
      <c r="B19" s="1432"/>
      <c r="C19" s="1423"/>
      <c r="D19" s="2786"/>
      <c r="E19" s="1446"/>
      <c r="F19" s="1438">
        <f>SUM(D19:E19)</f>
        <v>0</v>
      </c>
    </row>
    <row r="20" spans="1:7" ht="13.5" customHeight="1">
      <c r="A20" s="21"/>
      <c r="B20" s="1449">
        <f>SUM(B16:B19)</f>
        <v>0.28999999999999998</v>
      </c>
      <c r="C20" s="1488"/>
      <c r="D20" s="2770"/>
      <c r="E20" s="1490"/>
      <c r="F20" s="1492"/>
    </row>
    <row r="21" spans="1:7" ht="13.5" customHeight="1">
      <c r="A21" s="21"/>
      <c r="B21" s="1412"/>
      <c r="C21" s="1451" t="s">
        <v>44</v>
      </c>
      <c r="D21" s="2771">
        <f>SUM(D22:D25)</f>
        <v>0</v>
      </c>
      <c r="E21" s="1464">
        <f>SUM(E22:E25)</f>
        <v>0</v>
      </c>
      <c r="F21" s="1462">
        <f>SUM(F22:F25)</f>
        <v>0</v>
      </c>
    </row>
    <row r="22" spans="1:7" ht="13.5" customHeight="1">
      <c r="A22" s="21"/>
      <c r="B22" s="1412"/>
      <c r="C22" s="1423"/>
      <c r="D22" s="2772"/>
      <c r="E22" s="1448"/>
      <c r="F22" s="1426">
        <f>SUM(D22:E22)</f>
        <v>0</v>
      </c>
      <c r="G22" s="33" t="s">
        <v>6</v>
      </c>
    </row>
    <row r="23" spans="1:7" ht="13.5" customHeight="1">
      <c r="A23" s="21"/>
      <c r="B23" s="1412"/>
      <c r="C23" s="1423"/>
      <c r="D23" s="2773"/>
      <c r="E23" s="1444"/>
      <c r="F23" s="1438">
        <f>SUM(D23:E23)</f>
        <v>0</v>
      </c>
      <c r="G23" s="34"/>
    </row>
    <row r="24" spans="1:7" ht="13.5" customHeight="1">
      <c r="A24" s="21"/>
      <c r="B24" s="1410"/>
      <c r="C24" s="1423"/>
      <c r="D24" s="2774"/>
      <c r="E24" s="1443"/>
      <c r="F24" s="1438">
        <f>SUM(D24:E24)</f>
        <v>0</v>
      </c>
    </row>
    <row r="25" spans="1:7" ht="13.5" customHeight="1">
      <c r="A25" s="21"/>
      <c r="B25" s="1412"/>
      <c r="C25" s="1423"/>
      <c r="D25" s="2775"/>
      <c r="E25" s="1444"/>
      <c r="F25" s="1438">
        <f>SUM(D25:E25)</f>
        <v>0</v>
      </c>
    </row>
    <row r="26" spans="1:7" s="18" customFormat="1" ht="13.5" customHeight="1">
      <c r="A26" s="28"/>
      <c r="B26" s="1410"/>
      <c r="C26" s="1424"/>
      <c r="D26" s="2776"/>
      <c r="E26" s="1431"/>
      <c r="F26" s="1439"/>
    </row>
    <row r="27" spans="1:7" ht="13.5" customHeight="1">
      <c r="A27" s="21"/>
      <c r="B27" s="1412"/>
      <c r="C27" s="1451" t="s">
        <v>45</v>
      </c>
      <c r="D27" s="2771">
        <f>SUM(D29:D35)</f>
        <v>14632.3125</v>
      </c>
      <c r="E27" s="1657">
        <f>SUM(E29:E31)+SUM(E33:E35)</f>
        <v>15470.326719999997</v>
      </c>
      <c r="F27" s="1462">
        <f>SUM(F29:F35)</f>
        <v>30102.639219999997</v>
      </c>
    </row>
    <row r="28" spans="1:7" s="18" customFormat="1" ht="13.5" customHeight="1">
      <c r="A28" s="28"/>
      <c r="B28" s="1412"/>
      <c r="C28" s="1450" t="s">
        <v>1733</v>
      </c>
      <c r="D28" s="2777">
        <v>0.66700000000000004</v>
      </c>
      <c r="E28" s="1452">
        <v>0.68799999999999994</v>
      </c>
      <c r="F28" s="1485"/>
    </row>
    <row r="29" spans="1:7" ht="13.5" customHeight="1">
      <c r="A29" s="21"/>
      <c r="B29" s="1412"/>
      <c r="C29" s="1667" t="s">
        <v>719</v>
      </c>
      <c r="D29" s="2778">
        <f>D15*D28</f>
        <v>14632.3125</v>
      </c>
      <c r="E29" s="1504">
        <f>E15*E28</f>
        <v>15470.326719999997</v>
      </c>
      <c r="F29" s="1438">
        <f>SUM(D29:E29)</f>
        <v>30102.639219999997</v>
      </c>
    </row>
    <row r="30" spans="1:7" ht="13.5" customHeight="1">
      <c r="A30" s="21"/>
      <c r="B30" s="1412"/>
      <c r="C30" s="1667" t="s">
        <v>720</v>
      </c>
      <c r="D30" s="2785">
        <f>D21*D28</f>
        <v>0</v>
      </c>
      <c r="E30" s="1504">
        <f>E21*E28</f>
        <v>0</v>
      </c>
      <c r="F30" s="1661">
        <f>SUM(D30:E30)</f>
        <v>0</v>
      </c>
    </row>
    <row r="31" spans="1:7" ht="13.5" customHeight="1">
      <c r="A31" s="21"/>
      <c r="B31" s="1412"/>
      <c r="C31" s="1667"/>
      <c r="D31" s="2774"/>
      <c r="E31" s="1443"/>
      <c r="F31" s="1661">
        <f>SUM(D31:E31)</f>
        <v>0</v>
      </c>
    </row>
    <row r="32" spans="1:7"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ht="13.5" customHeight="1">
      <c r="A34" s="21"/>
      <c r="B34" s="1412"/>
      <c r="C34" s="1667" t="s">
        <v>720</v>
      </c>
      <c r="D34" s="2785"/>
      <c r="E34" s="1641">
        <f>E21*E32</f>
        <v>0</v>
      </c>
      <c r="F34" s="1661">
        <f t="shared" ref="F34" si="0">SUM(D34:E34)</f>
        <v>0</v>
      </c>
    </row>
    <row r="35" spans="1:7" ht="15" customHeight="1">
      <c r="A35" s="1392" t="s">
        <v>484</v>
      </c>
      <c r="B35" s="1410"/>
      <c r="C35" s="1445"/>
      <c r="D35" s="2775"/>
      <c r="E35" s="1444"/>
      <c r="F35" s="1661">
        <f>SUM(D35:E35)</f>
        <v>0</v>
      </c>
      <c r="G35" s="37"/>
    </row>
    <row r="36" spans="1:7" ht="13.5" customHeight="1">
      <c r="A36" s="1663" t="s">
        <v>335</v>
      </c>
      <c r="B36" s="1412"/>
      <c r="C36" s="1488"/>
      <c r="D36" s="2779"/>
      <c r="E36" s="1490"/>
      <c r="F36" s="1493"/>
    </row>
    <row r="37" spans="1:7" s="18" customFormat="1" ht="13.5" customHeight="1">
      <c r="A37" s="1508" t="s">
        <v>22</v>
      </c>
      <c r="B37" s="1412"/>
      <c r="C37" s="1451" t="s">
        <v>46</v>
      </c>
      <c r="D37" s="2771">
        <v>0</v>
      </c>
      <c r="E37" s="1464">
        <v>0</v>
      </c>
      <c r="F37" s="1462">
        <v>0</v>
      </c>
    </row>
    <row r="38" spans="1:7" ht="13.5" customHeight="1">
      <c r="A38" s="1427">
        <v>18230670</v>
      </c>
      <c r="B38" s="1412"/>
      <c r="C38" s="1423"/>
      <c r="D38" s="2778"/>
      <c r="E38" s="1520"/>
      <c r="F38" s="1438">
        <v>0</v>
      </c>
    </row>
    <row r="39" spans="1:7" ht="13.5" customHeight="1">
      <c r="A39" s="1508" t="s">
        <v>28</v>
      </c>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71">
        <f>SUM(D44:D48)</f>
        <v>635.70000000000005</v>
      </c>
      <c r="E43" s="1464">
        <f>SUM(E44:E48)</f>
        <v>635.70000000000005</v>
      </c>
      <c r="F43" s="1462">
        <f t="shared" ref="F43:F61" si="1">SUM(D43:E43)</f>
        <v>1271.4000000000001</v>
      </c>
    </row>
    <row r="44" spans="1:7" s="1652" customFormat="1" ht="13.5" customHeight="1">
      <c r="A44" s="1653"/>
      <c r="B44" s="1653"/>
      <c r="C44" s="1667" t="s">
        <v>745</v>
      </c>
      <c r="D44" s="2788">
        <f>[3]Total!D41*0.13</f>
        <v>188.5</v>
      </c>
      <c r="E44" s="1672">
        <f>[3]Total!E41*0.13</f>
        <v>188.5</v>
      </c>
      <c r="F44" s="1438">
        <f t="shared" si="1"/>
        <v>377</v>
      </c>
    </row>
    <row r="45" spans="1:7" ht="13.5" customHeight="1">
      <c r="A45" s="21"/>
      <c r="B45" s="1412"/>
      <c r="C45" s="1667" t="s">
        <v>746</v>
      </c>
      <c r="D45" s="2788">
        <f>[3]Total!D42*0.13</f>
        <v>188.5</v>
      </c>
      <c r="E45" s="1672">
        <f>[3]Total!E42*0.13</f>
        <v>188.5</v>
      </c>
      <c r="F45" s="1438">
        <f t="shared" si="1"/>
        <v>377</v>
      </c>
    </row>
    <row r="46" spans="1:7" ht="13.5" customHeight="1">
      <c r="A46" s="21"/>
      <c r="B46" s="1412"/>
      <c r="C46" s="1667" t="s">
        <v>747</v>
      </c>
      <c r="D46" s="2788">
        <f>[3]Total!D43*0.13</f>
        <v>37.700000000000003</v>
      </c>
      <c r="E46" s="1672">
        <f>[3]Total!E43*0.13</f>
        <v>37.700000000000003</v>
      </c>
      <c r="F46" s="1661"/>
    </row>
    <row r="47" spans="1:7" ht="13.5" customHeight="1">
      <c r="A47" s="21"/>
      <c r="B47" s="1412"/>
      <c r="C47" s="1667" t="s">
        <v>755</v>
      </c>
      <c r="D47" s="2788">
        <f>[3]Total!D44*0.13</f>
        <v>149.5</v>
      </c>
      <c r="E47" s="1672">
        <f>[3]Total!E44*0.13</f>
        <v>149.5</v>
      </c>
      <c r="F47" s="1661">
        <f t="shared" si="1"/>
        <v>299</v>
      </c>
    </row>
    <row r="48" spans="1:7" ht="13.5" customHeight="1">
      <c r="A48" s="21"/>
      <c r="B48" s="1412"/>
      <c r="C48" s="1667" t="s">
        <v>321</v>
      </c>
      <c r="D48" s="2788">
        <f>[3]Total!D45*0.13</f>
        <v>71.5</v>
      </c>
      <c r="E48" s="1672">
        <f>[3]Total!E45*0.13</f>
        <v>71.5</v>
      </c>
      <c r="F48" s="1438">
        <f t="shared" si="1"/>
        <v>143</v>
      </c>
    </row>
    <row r="49" spans="1:6" s="1652" customFormat="1" ht="13.5" customHeight="1">
      <c r="A49" s="1653"/>
      <c r="B49" s="1653"/>
      <c r="C49" s="1488"/>
      <c r="D49" s="2779"/>
      <c r="E49" s="1490"/>
      <c r="F49" s="1493"/>
    </row>
    <row r="50" spans="1:6" s="1652" customFormat="1" ht="13.5" customHeight="1">
      <c r="A50" s="1653"/>
      <c r="B50" s="1653"/>
      <c r="C50" s="1451" t="s">
        <v>47</v>
      </c>
      <c r="D50" s="2771">
        <f>SUM(D51:D55)</f>
        <v>4686.5</v>
      </c>
      <c r="E50" s="1464">
        <f>SUM(E51:E55)</f>
        <v>4864.1449999999995</v>
      </c>
      <c r="F50" s="1462">
        <f t="shared" si="1"/>
        <v>9550.6450000000004</v>
      </c>
    </row>
    <row r="51" spans="1:6" ht="13.5" customHeight="1">
      <c r="A51" s="21"/>
      <c r="B51" s="1412"/>
      <c r="C51" s="1667" t="s">
        <v>749</v>
      </c>
      <c r="D51" s="2788">
        <f>[3]Total!D48*0.13</f>
        <v>0</v>
      </c>
      <c r="E51" s="1672">
        <f>[3]Total!E48*0.13</f>
        <v>0</v>
      </c>
      <c r="F51" s="1438">
        <f t="shared" si="1"/>
        <v>0</v>
      </c>
    </row>
    <row r="52" spans="1:6" ht="13.5" customHeight="1">
      <c r="A52" s="21"/>
      <c r="B52" s="1412"/>
      <c r="C52" s="1667" t="s">
        <v>750</v>
      </c>
      <c r="D52" s="2788">
        <v>0</v>
      </c>
      <c r="E52" s="1672">
        <v>0</v>
      </c>
      <c r="F52" s="1661"/>
    </row>
    <row r="53" spans="1:6" ht="13.5" customHeight="1">
      <c r="A53" s="21"/>
      <c r="B53" s="1412"/>
      <c r="C53" s="1667" t="s">
        <v>751</v>
      </c>
      <c r="D53" s="2788">
        <f>[3]Total!D50*0.13</f>
        <v>1852.5</v>
      </c>
      <c r="E53" s="1672">
        <f>[3]Total!E50*0.13</f>
        <v>1945.125</v>
      </c>
      <c r="F53" s="1661"/>
    </row>
    <row r="54" spans="1:6" ht="13.5" customHeight="1">
      <c r="A54" s="21"/>
      <c r="B54" s="1412"/>
      <c r="C54" s="1667" t="s">
        <v>756</v>
      </c>
      <c r="D54" s="2788">
        <v>2574</v>
      </c>
      <c r="E54" s="1672">
        <v>2651.22</v>
      </c>
      <c r="F54" s="1438">
        <f t="shared" si="1"/>
        <v>5225.2199999999993</v>
      </c>
    </row>
    <row r="55" spans="1:6" ht="13.5" customHeight="1">
      <c r="A55" s="21"/>
      <c r="B55" s="1412"/>
      <c r="C55" s="1667" t="s">
        <v>322</v>
      </c>
      <c r="D55" s="2788">
        <f>[3]Total!D53*0.13</f>
        <v>260</v>
      </c>
      <c r="E55" s="1672">
        <f>[3]Total!E53*0.13</f>
        <v>267.8</v>
      </c>
      <c r="F55" s="1438">
        <f t="shared" si="1"/>
        <v>527.79999999999995</v>
      </c>
    </row>
    <row r="56" spans="1:6" ht="13.5" customHeight="1">
      <c r="A56" s="21"/>
      <c r="B56" s="1412"/>
      <c r="C56" s="1488"/>
      <c r="D56" s="2779"/>
      <c r="E56" s="1490"/>
      <c r="F56" s="1493"/>
    </row>
    <row r="57" spans="1:6" ht="13.5" customHeight="1">
      <c r="A57" s="21"/>
      <c r="B57" s="1412"/>
      <c r="C57" s="1451" t="s">
        <v>48</v>
      </c>
      <c r="D57" s="2771">
        <f>SUM(D58:D61)</f>
        <v>201.5</v>
      </c>
      <c r="E57" s="1464">
        <f>SUM(E58:E61)</f>
        <v>201.5</v>
      </c>
      <c r="F57" s="1462">
        <f t="shared" si="1"/>
        <v>403</v>
      </c>
    </row>
    <row r="58" spans="1:6" ht="13.5" customHeight="1">
      <c r="A58" s="21"/>
      <c r="B58" s="1412"/>
      <c r="C58" s="1667" t="s">
        <v>757</v>
      </c>
      <c r="D58" s="2789">
        <f>[3]Total!D55*0.13</f>
        <v>201.5</v>
      </c>
      <c r="E58" s="1641">
        <f>[3]Total!E55*0.13</f>
        <v>201.5</v>
      </c>
      <c r="F58" s="1438">
        <f t="shared" si="1"/>
        <v>403</v>
      </c>
    </row>
    <row r="59" spans="1:6" ht="13.5" customHeight="1">
      <c r="A59" s="21"/>
      <c r="B59" s="1412"/>
      <c r="C59" s="1423"/>
      <c r="D59" s="2778"/>
      <c r="E59" s="1504"/>
      <c r="F59" s="1438">
        <f t="shared" si="1"/>
        <v>0</v>
      </c>
    </row>
    <row r="60" spans="1:6" ht="13.5" customHeight="1">
      <c r="A60" s="21"/>
      <c r="B60" s="1412"/>
      <c r="C60" s="1423"/>
      <c r="D60" s="2778"/>
      <c r="E60" s="1504"/>
      <c r="F60" s="1438">
        <f t="shared" si="1"/>
        <v>0</v>
      </c>
    </row>
    <row r="61" spans="1:6" ht="13.5" customHeight="1">
      <c r="A61" s="21"/>
      <c r="B61" s="1412"/>
      <c r="C61" s="1423"/>
      <c r="D61" s="2778"/>
      <c r="E61" s="1504"/>
      <c r="F61" s="1438">
        <f t="shared" si="1"/>
        <v>0</v>
      </c>
    </row>
    <row r="62" spans="1:6" ht="13.5" customHeight="1">
      <c r="A62" s="21"/>
      <c r="C62" s="1488"/>
      <c r="D62" s="2779"/>
      <c r="E62" s="1490"/>
      <c r="F62" s="1493"/>
    </row>
    <row r="63" spans="1:6" ht="13.5" customHeight="1">
      <c r="A63" s="21"/>
      <c r="C63" s="1451" t="s">
        <v>49</v>
      </c>
      <c r="D63" s="2771">
        <f>SUM(D64:D64)</f>
        <v>0</v>
      </c>
      <c r="E63" s="1464">
        <f>SUM(E64:E64)</f>
        <v>0</v>
      </c>
      <c r="F63" s="1462">
        <f>SUM(F64:F64)</f>
        <v>0</v>
      </c>
    </row>
    <row r="64" spans="1:6">
      <c r="C64" s="1564"/>
      <c r="D64" s="2778"/>
      <c r="E64" s="1520"/>
      <c r="F64" s="1438">
        <f>SUM(D64:E64)</f>
        <v>0</v>
      </c>
    </row>
    <row r="65" spans="3:6">
      <c r="C65" s="1423"/>
      <c r="D65" s="2778"/>
      <c r="E65" s="1520"/>
      <c r="F65" s="1437">
        <v>0</v>
      </c>
    </row>
    <row r="66" spans="3:6">
      <c r="C66" s="1423"/>
      <c r="D66" s="2778"/>
      <c r="E66" s="1520"/>
      <c r="F66" s="1438">
        <v>0</v>
      </c>
    </row>
    <row r="67" spans="3:6">
      <c r="C67" s="1488"/>
      <c r="D67" s="2779"/>
      <c r="E67" s="1490"/>
      <c r="F67" s="1493"/>
    </row>
    <row r="68" spans="3:6">
      <c r="C68" s="1451"/>
      <c r="D68" s="2771"/>
      <c r="E68" s="1464"/>
      <c r="F68" s="1462"/>
    </row>
    <row r="69" spans="3:6">
      <c r="C69" s="1500"/>
      <c r="D69" s="2781"/>
      <c r="E69" s="1496"/>
      <c r="F69" s="1499"/>
    </row>
    <row r="70" spans="3:6">
      <c r="C70" s="1501"/>
      <c r="D70" s="2782"/>
      <c r="E70" s="1497"/>
      <c r="F70" s="1498"/>
    </row>
    <row r="71" spans="3:6">
      <c r="C71" s="1494"/>
      <c r="D71" s="2778"/>
      <c r="E71" s="1503"/>
      <c r="F71" s="1491"/>
    </row>
  </sheetData>
  <customSheetViews>
    <customSheetView guid="{D9EFFE19-D14B-4C6F-BDF4-FF696F73968D}" showGridLines="0" fitToPage="1">
      <pane xSplit="1" ySplit="1" topLeftCell="B2" activePane="bottomRight" state="frozen"/>
      <selection pane="bottomRight" activeCell="C55" sqref="C55:E55"/>
      <pageMargins left="0.27" right="0.25" top="0.34" bottom="0.32" header="0.3" footer="0.3"/>
      <pageSetup paperSize="17" scale="59" orientation="landscape" r:id="rId1"/>
    </customSheetView>
    <customSheetView guid="{074EB09C-6289-46D7-9513-012B68BCA7BF}" showGridLines="0" fitToPage="1">
      <pane xSplit="1" ySplit="1" topLeftCell="B14" activePane="bottomRight" state="frozen"/>
      <selection pane="bottomRight" activeCell="E33" sqref="E33"/>
      <pageMargins left="0.27" right="0.25" top="0.34" bottom="0.32" header="0.3" footer="0.3"/>
      <pageSetup paperSize="17" scale="59" orientation="landscape" r:id="rId2"/>
    </customSheetView>
  </customSheetViews>
  <pageMargins left="0.27" right="0.25" top="0.34" bottom="0.32" header="0.3" footer="0.3"/>
  <pageSetup paperSize="3" scale="59" orientation="landscape" r:id="rId3"/>
  <drawing r:id="rId4"/>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FFC000"/>
    <pageSetUpPr fitToPage="1"/>
  </sheetPr>
  <dimension ref="A1:R72"/>
  <sheetViews>
    <sheetView showGridLines="0" zoomScaleNormal="10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8.140625" customWidth="1"/>
    <col min="2" max="2" width="15.5703125" style="1413" customWidth="1"/>
    <col min="3" max="3" width="28.28515625" customWidth="1"/>
    <col min="4" max="5" width="21" customWidth="1"/>
    <col min="6" max="6" width="19.42578125" customWidth="1"/>
    <col min="7" max="7" width="19.5703125" customWidth="1"/>
    <col min="8" max="8" width="23.7109375" customWidth="1"/>
    <col min="9" max="9" width="19.7109375" customWidth="1"/>
    <col min="10" max="10" width="18.28515625" customWidth="1"/>
    <col min="11" max="11" width="23.7109375" customWidth="1"/>
    <col min="12" max="12" width="20.5703125" customWidth="1"/>
    <col min="13" max="13" width="16.5703125" customWidth="1"/>
    <col min="14" max="14" width="19.7109375" customWidth="1"/>
    <col min="15" max="15" width="13.140625" customWidth="1"/>
    <col min="16" max="16" width="18.42578125" customWidth="1"/>
    <col min="17" max="17" width="10.5703125" customWidth="1"/>
    <col min="18" max="18" width="15" customWidth="1"/>
  </cols>
  <sheetData>
    <row r="1" spans="1:18" ht="57" customHeight="1">
      <c r="D1" s="1360" t="s">
        <v>25</v>
      </c>
      <c r="E1" s="1507" t="s">
        <v>22</v>
      </c>
      <c r="F1" s="1429">
        <v>18230699</v>
      </c>
      <c r="G1" s="1509" t="s">
        <v>28</v>
      </c>
      <c r="H1" s="1201"/>
      <c r="M1" s="1360" t="s">
        <v>25</v>
      </c>
      <c r="N1" s="1507" t="s">
        <v>22</v>
      </c>
      <c r="O1" s="1429">
        <v>18230699</v>
      </c>
      <c r="P1" s="1509" t="s">
        <v>28</v>
      </c>
    </row>
    <row r="2" spans="1:18" ht="16.5" thickBot="1">
      <c r="D2" s="38"/>
      <c r="E2" s="1208"/>
      <c r="F2" s="1208"/>
      <c r="G2" s="891"/>
      <c r="H2" s="1178" t="s">
        <v>627</v>
      </c>
      <c r="I2" s="1354"/>
      <c r="J2" s="1354"/>
      <c r="K2" s="1354"/>
      <c r="L2" s="1354"/>
      <c r="M2" s="1354"/>
      <c r="N2" s="1354"/>
      <c r="O2" s="1354"/>
      <c r="P2" s="1354"/>
      <c r="Q2" s="1354"/>
    </row>
    <row r="3" spans="1:18" ht="26.25" thickBot="1">
      <c r="A3" s="1298" t="s">
        <v>25</v>
      </c>
      <c r="B3" s="1298"/>
      <c r="D3" s="39"/>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506"/>
      <c r="E4" s="1413"/>
      <c r="F4" s="1413"/>
      <c r="G4" s="2946" t="s">
        <v>1726</v>
      </c>
      <c r="H4" s="2959">
        <f>D15</f>
        <v>23443.14</v>
      </c>
      <c r="I4" s="2960">
        <f>D21</f>
        <v>0</v>
      </c>
      <c r="J4" s="2960">
        <f>D27</f>
        <v>15636.57438</v>
      </c>
      <c r="K4" s="2960">
        <f>D37</f>
        <v>0</v>
      </c>
      <c r="L4" s="2960">
        <f>D43</f>
        <v>149.5</v>
      </c>
      <c r="M4" s="2960">
        <f>D49</f>
        <v>230750</v>
      </c>
      <c r="N4" s="2960">
        <f>D58</f>
        <v>0</v>
      </c>
      <c r="O4" s="2960">
        <f>D64</f>
        <v>585</v>
      </c>
      <c r="P4" s="2960">
        <v>0</v>
      </c>
      <c r="Q4" s="2960"/>
      <c r="R4" s="2960">
        <f>SUM(H4:P4)</f>
        <v>270564.21438000002</v>
      </c>
    </row>
    <row r="5" spans="1:18" ht="15.75">
      <c r="A5" s="1429">
        <v>18230699</v>
      </c>
      <c r="E5" s="1413"/>
      <c r="F5" s="1413"/>
      <c r="G5" s="3205" t="s">
        <v>1753</v>
      </c>
      <c r="H5" s="2617">
        <v>24036.63</v>
      </c>
      <c r="I5" s="2618">
        <v>0</v>
      </c>
      <c r="J5" s="2618">
        <v>16344.908400000002</v>
      </c>
      <c r="K5" s="2618">
        <v>0</v>
      </c>
      <c r="L5" s="2618">
        <v>149.5</v>
      </c>
      <c r="M5" s="2618">
        <v>230750</v>
      </c>
      <c r="N5" s="2618">
        <v>0</v>
      </c>
      <c r="O5" s="2618">
        <v>585</v>
      </c>
      <c r="P5" s="2618">
        <v>0</v>
      </c>
      <c r="Q5" s="2618"/>
      <c r="R5" s="2618">
        <v>271866.03840000002</v>
      </c>
    </row>
    <row r="6" spans="1:18" ht="16.5" thickBot="1">
      <c r="A6" s="1508" t="s">
        <v>28</v>
      </c>
      <c r="B6" s="1429"/>
      <c r="C6" s="943"/>
      <c r="E6" s="1413"/>
      <c r="F6" s="1413"/>
      <c r="G6" s="3206" t="s">
        <v>1754</v>
      </c>
      <c r="H6" s="2621">
        <f>E15</f>
        <v>24036.63</v>
      </c>
      <c r="I6" s="2622">
        <f>E21</f>
        <v>0</v>
      </c>
      <c r="J6" s="2623">
        <f>E27</f>
        <v>16537.201440000001</v>
      </c>
      <c r="K6" s="2622">
        <f>E37</f>
        <v>0</v>
      </c>
      <c r="L6" s="2622">
        <f>E43</f>
        <v>149.5</v>
      </c>
      <c r="M6" s="2622">
        <f>E49</f>
        <v>321634</v>
      </c>
      <c r="N6" s="2622">
        <f>E58</f>
        <v>0</v>
      </c>
      <c r="O6" s="2622">
        <f>E64</f>
        <v>750</v>
      </c>
      <c r="P6" s="2622">
        <v>0</v>
      </c>
      <c r="Q6" s="2622"/>
      <c r="R6" s="2622">
        <f>SUM(H6:P6)</f>
        <v>363107.33143999998</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1"/>
      <c r="H8" s="2"/>
      <c r="I8"/>
      <c r="J8"/>
      <c r="K8"/>
      <c r="L8"/>
      <c r="M8"/>
      <c r="N8"/>
      <c r="O8"/>
      <c r="P8" s="21" t="s">
        <v>17</v>
      </c>
      <c r="Q8"/>
    </row>
    <row r="9" spans="1:18" s="18" customFormat="1">
      <c r="A9" s="28"/>
      <c r="B9" s="1410"/>
      <c r="E9" s="1409"/>
      <c r="F9" s="1409"/>
      <c r="G9" s="1"/>
      <c r="H9" s="2"/>
      <c r="I9"/>
      <c r="J9"/>
      <c r="K9"/>
      <c r="L9"/>
      <c r="M9"/>
      <c r="N9"/>
      <c r="O9"/>
      <c r="P9" s="21" t="s">
        <v>18</v>
      </c>
      <c r="Q9"/>
    </row>
    <row r="10" spans="1:18" s="9" customFormat="1" ht="15.75">
      <c r="A10" s="21"/>
      <c r="B10" s="1412"/>
      <c r="C10" s="1454" t="s">
        <v>310</v>
      </c>
      <c r="D10" s="1454"/>
      <c r="E10" s="1454"/>
      <c r="F10" s="1454"/>
      <c r="G10" s="939"/>
      <c r="H10" s="939"/>
      <c r="I10"/>
      <c r="J10"/>
      <c r="K10"/>
      <c r="L10"/>
      <c r="M10"/>
      <c r="N10"/>
      <c r="O10"/>
      <c r="P10"/>
    </row>
    <row r="11" spans="1:18" ht="18" customHeight="1">
      <c r="A11" s="21"/>
      <c r="B11" s="1412"/>
      <c r="C11" s="1413"/>
      <c r="D11" s="1413"/>
      <c r="E11" s="1414"/>
      <c r="F11" s="1413"/>
    </row>
    <row r="12" spans="1:18">
      <c r="A12" s="21"/>
      <c r="B12" s="1412"/>
      <c r="C12" s="1434" t="s">
        <v>298</v>
      </c>
      <c r="D12" s="2766">
        <f>D15+D21+D27+D37+D43+D49+D58+D64</f>
        <v>270564.21438000002</v>
      </c>
      <c r="E12" s="1484">
        <f>E15+E21+E27+E37+E43+E49+E58+E64</f>
        <v>363107.33143999998</v>
      </c>
      <c r="F12" s="1462">
        <f>D12+E12</f>
        <v>633671.54582</v>
      </c>
      <c r="H12" s="1567"/>
      <c r="I12" s="1566"/>
      <c r="J12" s="1566"/>
      <c r="K12" s="1566"/>
      <c r="L12" s="1566"/>
      <c r="M12" s="1566"/>
      <c r="N12" s="1566"/>
    </row>
    <row r="13" spans="1:18" ht="13.5" customHeight="1">
      <c r="A13" s="21"/>
      <c r="B13" s="1410"/>
      <c r="C13" s="1483"/>
      <c r="D13" s="2767"/>
      <c r="E13" s="1336"/>
      <c r="F13" s="1413"/>
      <c r="H13" s="1679"/>
      <c r="I13" s="1679"/>
      <c r="J13" s="1680"/>
      <c r="K13" s="1680"/>
      <c r="L13" s="1680"/>
      <c r="M13" s="1680"/>
      <c r="N13" s="1680"/>
    </row>
    <row r="14" spans="1:18" s="18" customFormat="1" ht="13.5" customHeight="1">
      <c r="A14" s="28"/>
      <c r="B14" s="1410"/>
      <c r="C14" s="1435" t="s">
        <v>42</v>
      </c>
      <c r="D14" s="2768">
        <v>2016</v>
      </c>
      <c r="E14" s="1502">
        <v>2017</v>
      </c>
      <c r="F14" s="1486" t="s">
        <v>20</v>
      </c>
      <c r="G14" s="29"/>
      <c r="H14" s="1681"/>
      <c r="I14" s="1311"/>
      <c r="J14" s="1682"/>
      <c r="K14" s="1683"/>
      <c r="L14" s="1684"/>
      <c r="M14" s="1677"/>
      <c r="N14" s="1691"/>
    </row>
    <row r="15" spans="1:18" s="18" customFormat="1" ht="13.5" customHeight="1">
      <c r="A15" s="28"/>
      <c r="B15" s="1433" t="s">
        <v>296</v>
      </c>
      <c r="C15" s="1451" t="s">
        <v>43</v>
      </c>
      <c r="D15" s="2771">
        <f>SUM(D16:D19)</f>
        <v>23443.14</v>
      </c>
      <c r="E15" s="1464">
        <f>SUM(E16:E19)</f>
        <v>24036.63</v>
      </c>
      <c r="F15" s="1462">
        <f>SUM(F16:F19)</f>
        <v>47479.770000000004</v>
      </c>
      <c r="G15" s="29"/>
      <c r="H15" s="1681"/>
      <c r="I15" s="1311"/>
      <c r="J15" s="1682"/>
      <c r="K15" s="1683"/>
      <c r="L15" s="1684"/>
      <c r="M15" s="1677"/>
      <c r="N15" s="1691"/>
    </row>
    <row r="16" spans="1:18" ht="13.5" customHeight="1">
      <c r="A16" s="21"/>
      <c r="B16" s="1432">
        <f>2*0.13</f>
        <v>0.26</v>
      </c>
      <c r="C16" s="1565"/>
      <c r="D16" s="2772">
        <v>23443.14</v>
      </c>
      <c r="E16" s="1448">
        <v>24036.63</v>
      </c>
      <c r="F16" s="1426">
        <f>SUM(D16:E16)</f>
        <v>47479.770000000004</v>
      </c>
      <c r="H16" s="1681"/>
      <c r="I16" s="1311"/>
      <c r="J16" s="1682"/>
      <c r="K16" s="1682"/>
      <c r="L16" s="1684"/>
      <c r="M16" s="1677"/>
      <c r="N16" s="1691"/>
    </row>
    <row r="17" spans="1:14" ht="13.5" customHeight="1">
      <c r="A17" s="21"/>
      <c r="B17" s="1432"/>
      <c r="C17" s="1565"/>
      <c r="D17" s="2784"/>
      <c r="E17" s="1447"/>
      <c r="F17" s="1438">
        <f>SUM(D17:E17)</f>
        <v>0</v>
      </c>
      <c r="H17" s="1681"/>
      <c r="I17" s="1311"/>
      <c r="J17" s="1682"/>
      <c r="K17" s="1682"/>
      <c r="L17" s="1684"/>
      <c r="M17" s="1677"/>
      <c r="N17" s="1691"/>
    </row>
    <row r="18" spans="1:14" ht="13.5" customHeight="1">
      <c r="A18" s="21"/>
      <c r="B18" s="1432"/>
      <c r="C18" s="1423"/>
      <c r="D18" s="2784"/>
      <c r="E18" s="1447"/>
      <c r="F18" s="1438">
        <f>SUM(D18:E18)</f>
        <v>0</v>
      </c>
      <c r="H18" s="1681"/>
      <c r="I18" s="1311"/>
      <c r="J18" s="1682"/>
      <c r="K18" s="1682"/>
      <c r="L18" s="1684"/>
      <c r="M18" s="1677"/>
      <c r="N18" s="1691"/>
    </row>
    <row r="19" spans="1:14" ht="13.5" customHeight="1">
      <c r="A19" s="21"/>
      <c r="B19" s="1432"/>
      <c r="C19" s="1423"/>
      <c r="D19" s="2786"/>
      <c r="E19" s="1446"/>
      <c r="F19" s="1438">
        <f>SUM(D19:E19)</f>
        <v>0</v>
      </c>
      <c r="H19" s="1681"/>
      <c r="I19" s="1311"/>
      <c r="J19" s="1682"/>
      <c r="K19" s="1682"/>
      <c r="L19" s="1684"/>
      <c r="M19" s="1677"/>
      <c r="N19" s="1691"/>
    </row>
    <row r="20" spans="1:14" ht="13.5" customHeight="1">
      <c r="A20" s="21"/>
      <c r="B20" s="1449">
        <f>SUM(B16:B19)</f>
        <v>0.26</v>
      </c>
      <c r="C20" s="1488"/>
      <c r="D20" s="2770"/>
      <c r="E20" s="1490"/>
      <c r="F20" s="1492"/>
      <c r="H20" s="1681"/>
      <c r="I20" s="1311"/>
      <c r="J20" s="1682"/>
      <c r="K20" s="1682"/>
      <c r="L20" s="1684"/>
      <c r="M20" s="1677"/>
      <c r="N20" s="1691"/>
    </row>
    <row r="21" spans="1:14" ht="13.5" customHeight="1">
      <c r="A21" s="21"/>
      <c r="B21" s="1412"/>
      <c r="C21" s="1451" t="s">
        <v>44</v>
      </c>
      <c r="D21" s="2771">
        <f>SUM(D22:D25)</f>
        <v>0</v>
      </c>
      <c r="E21" s="1464">
        <f>SUM(E22:E25)</f>
        <v>0</v>
      </c>
      <c r="F21" s="1462">
        <f>SUM(F22:F25)</f>
        <v>0</v>
      </c>
      <c r="G21" s="33" t="s">
        <v>6</v>
      </c>
      <c r="H21" s="1681"/>
      <c r="I21" s="1311"/>
      <c r="J21" s="1682"/>
      <c r="K21" s="1682"/>
      <c r="L21" s="1695"/>
      <c r="M21" s="1573"/>
      <c r="N21" s="1572"/>
    </row>
    <row r="22" spans="1:14" ht="13.5" customHeight="1">
      <c r="A22" s="21"/>
      <c r="B22" s="1412"/>
      <c r="C22" s="1423"/>
      <c r="D22" s="2772"/>
      <c r="E22" s="1448"/>
      <c r="F22" s="1426">
        <f>SUM(D22:E22)</f>
        <v>0</v>
      </c>
      <c r="G22" s="34"/>
      <c r="H22" s="1700"/>
      <c r="I22" s="1566"/>
      <c r="J22" s="1571"/>
      <c r="K22" s="1571"/>
      <c r="L22" s="1695"/>
      <c r="M22" s="1573"/>
      <c r="N22" s="1572"/>
    </row>
    <row r="23" spans="1:14" ht="13.5" customHeight="1">
      <c r="A23" s="21"/>
      <c r="B23" s="1412"/>
      <c r="C23" s="1423"/>
      <c r="D23" s="2773"/>
      <c r="E23" s="1444"/>
      <c r="F23" s="1438">
        <f>SUM(D23:E23)</f>
        <v>0</v>
      </c>
      <c r="H23" s="1700"/>
      <c r="I23" s="1201"/>
      <c r="J23" s="1571"/>
      <c r="K23" s="1571"/>
      <c r="L23" s="1696"/>
      <c r="M23" s="1677"/>
      <c r="N23" s="1572"/>
    </row>
    <row r="24" spans="1:14" ht="13.5" customHeight="1">
      <c r="A24" s="21"/>
      <c r="B24" s="1410"/>
      <c r="C24" s="1423"/>
      <c r="D24" s="2774"/>
      <c r="E24" s="1443"/>
      <c r="F24" s="1438">
        <f>SUM(D24:E24)</f>
        <v>0</v>
      </c>
      <c r="H24" s="1674"/>
      <c r="I24" s="1311"/>
      <c r="J24" s="1699"/>
      <c r="K24" s="1699"/>
      <c r="L24" s="1697"/>
      <c r="M24" s="1698"/>
      <c r="N24" s="1698"/>
    </row>
    <row r="25" spans="1:14" s="18" customFormat="1" ht="13.5" customHeight="1">
      <c r="A25" s="28"/>
      <c r="B25" s="1412"/>
      <c r="C25" s="1423"/>
      <c r="D25" s="2775"/>
      <c r="E25" s="1444"/>
      <c r="F25" s="1438">
        <f>SUM(D25:E25)</f>
        <v>0</v>
      </c>
      <c r="H25" s="1679"/>
      <c r="I25" s="1679"/>
      <c r="J25" s="1680"/>
      <c r="K25" s="1680"/>
      <c r="L25" s="1680"/>
      <c r="M25" s="1680"/>
      <c r="N25" s="1680"/>
    </row>
    <row r="26" spans="1:14" ht="13.5" customHeight="1">
      <c r="A26" s="21"/>
      <c r="B26" s="1410"/>
      <c r="C26" s="1424"/>
      <c r="D26" s="2776"/>
      <c r="E26" s="1431"/>
      <c r="F26" s="1439"/>
      <c r="H26" s="1681"/>
      <c r="I26" s="1664"/>
      <c r="J26" s="1682"/>
      <c r="K26" s="1683"/>
      <c r="L26" s="1684"/>
      <c r="M26" s="1573"/>
      <c r="N26" s="1691"/>
    </row>
    <row r="27" spans="1:14" s="18" customFormat="1" ht="13.5" customHeight="1">
      <c r="A27" s="28"/>
      <c r="B27" s="1412"/>
      <c r="C27" s="1451" t="s">
        <v>45</v>
      </c>
      <c r="D27" s="2771">
        <f>SUM(D29:D35)</f>
        <v>15636.57438</v>
      </c>
      <c r="E27" s="1657">
        <f>SUM(E29:E31)+SUM(E33:E35)</f>
        <v>16537.201440000001</v>
      </c>
      <c r="F27" s="1462">
        <f>SUM(F29:F35)</f>
        <v>32173.775820000003</v>
      </c>
      <c r="H27" s="1681"/>
      <c r="I27" s="1664"/>
      <c r="J27" s="1686"/>
      <c r="K27" s="1682"/>
      <c r="L27" s="1684"/>
      <c r="M27" s="1573"/>
      <c r="N27" s="1691"/>
    </row>
    <row r="28" spans="1:14" ht="13.5" customHeight="1">
      <c r="A28" s="21"/>
      <c r="B28" s="1412"/>
      <c r="C28" s="1450" t="s">
        <v>1733</v>
      </c>
      <c r="D28" s="2777">
        <v>0.66700000000000004</v>
      </c>
      <c r="E28" s="1452">
        <v>0.68799999999999994</v>
      </c>
      <c r="F28" s="1485"/>
      <c r="H28" s="1681"/>
      <c r="I28" s="1664"/>
      <c r="J28" s="1682"/>
      <c r="K28" s="1682"/>
      <c r="L28" s="1684"/>
      <c r="M28" s="1573"/>
      <c r="N28" s="1691"/>
    </row>
    <row r="29" spans="1:14" ht="13.5" customHeight="1">
      <c r="A29" s="21"/>
      <c r="B29" s="1412"/>
      <c r="C29" s="1667" t="s">
        <v>719</v>
      </c>
      <c r="D29" s="2778">
        <f>D15*D28</f>
        <v>15636.57438</v>
      </c>
      <c r="E29" s="1504">
        <f>E15*E28</f>
        <v>16537.201440000001</v>
      </c>
      <c r="F29" s="1438">
        <f>SUM(D29:E29)</f>
        <v>32173.775820000003</v>
      </c>
      <c r="H29" s="1681"/>
      <c r="I29" s="1664"/>
      <c r="J29" s="1682"/>
      <c r="K29" s="1682"/>
      <c r="L29" s="1684"/>
      <c r="M29" s="1573"/>
      <c r="N29" s="1691"/>
    </row>
    <row r="30" spans="1:14" ht="13.5" customHeight="1">
      <c r="A30" s="21"/>
      <c r="B30" s="1412"/>
      <c r="C30" s="1667" t="s">
        <v>720</v>
      </c>
      <c r="D30" s="2785">
        <f>D21*D28</f>
        <v>0</v>
      </c>
      <c r="E30" s="1504">
        <f>E21*E28</f>
        <v>0</v>
      </c>
      <c r="F30" s="1661">
        <f>SUM(D30:E30)</f>
        <v>0</v>
      </c>
      <c r="H30" s="1681"/>
      <c r="I30" s="1664"/>
      <c r="J30" s="1682"/>
      <c r="K30" s="1682"/>
      <c r="L30" s="1684"/>
      <c r="M30" s="1573"/>
      <c r="N30" s="1691"/>
    </row>
    <row r="31" spans="1:14" ht="13.5" customHeight="1">
      <c r="A31" s="21"/>
      <c r="B31" s="1412"/>
      <c r="C31" s="1667"/>
      <c r="D31" s="2774"/>
      <c r="E31" s="1443"/>
      <c r="F31" s="1661">
        <f>SUM(D31:E31)</f>
        <v>0</v>
      </c>
      <c r="H31" s="1570"/>
      <c r="I31" s="1664"/>
      <c r="J31" s="1682"/>
      <c r="K31" s="1687"/>
      <c r="L31" s="1684"/>
      <c r="M31" s="1573"/>
      <c r="N31" s="1691"/>
    </row>
    <row r="32" spans="1:14" ht="13.5" customHeight="1">
      <c r="A32" s="21"/>
      <c r="B32" s="1412"/>
      <c r="C32" s="1450" t="s">
        <v>1734</v>
      </c>
      <c r="D32" s="2777"/>
      <c r="E32" s="1452">
        <v>0</v>
      </c>
      <c r="F32" s="1485"/>
      <c r="H32" s="1570"/>
      <c r="I32" s="1311"/>
      <c r="J32" s="1682"/>
      <c r="K32" s="1687"/>
      <c r="L32" s="1684"/>
      <c r="M32" s="1573"/>
      <c r="N32" s="1691"/>
    </row>
    <row r="33" spans="1:14" ht="13.5" customHeight="1">
      <c r="A33" s="21"/>
      <c r="B33" s="1350"/>
      <c r="C33" s="1667" t="s">
        <v>719</v>
      </c>
      <c r="D33" s="2778"/>
      <c r="E33" s="1641">
        <f>E15*E32</f>
        <v>0</v>
      </c>
      <c r="F33" s="1661">
        <f>SUM(D33:E33)</f>
        <v>0</v>
      </c>
      <c r="H33" s="1674"/>
      <c r="I33" s="1311"/>
      <c r="J33" s="1688"/>
      <c r="K33" s="1688"/>
      <c r="L33" s="1684"/>
      <c r="M33" s="1692"/>
      <c r="N33" s="1692"/>
    </row>
    <row r="34" spans="1:14" ht="13.5" customHeight="1">
      <c r="A34" s="41"/>
      <c r="B34" s="1412"/>
      <c r="C34" s="1667" t="s">
        <v>720</v>
      </c>
      <c r="D34" s="2785"/>
      <c r="E34" s="1641">
        <f>E21*E32</f>
        <v>0</v>
      </c>
      <c r="F34" s="1661">
        <f t="shared" ref="F34" si="0">SUM(D34:E34)</f>
        <v>0</v>
      </c>
      <c r="G34" s="37"/>
      <c r="H34" s="1679"/>
      <c r="I34" s="1679"/>
      <c r="J34" s="1680"/>
      <c r="K34" s="1680"/>
      <c r="L34" s="1680"/>
      <c r="M34" s="1680"/>
      <c r="N34" s="1680"/>
    </row>
    <row r="35" spans="1:14" ht="13.5" customHeight="1">
      <c r="A35" s="1298" t="s">
        <v>25</v>
      </c>
      <c r="B35" s="1410"/>
      <c r="C35" s="1445"/>
      <c r="D35" s="2775"/>
      <c r="E35" s="1444"/>
      <c r="F35" s="1661">
        <f>SUM(D35:E35)</f>
        <v>0</v>
      </c>
      <c r="H35" s="1681"/>
      <c r="I35" s="1664"/>
      <c r="J35" s="1690"/>
      <c r="K35" s="1690"/>
      <c r="L35" s="1684"/>
      <c r="M35" s="1573"/>
      <c r="N35" s="1691"/>
    </row>
    <row r="36" spans="1:14" s="18" customFormat="1" ht="13.5" customHeight="1">
      <c r="A36" s="1506" t="s">
        <v>22</v>
      </c>
      <c r="B36" s="1412"/>
      <c r="C36" s="1488"/>
      <c r="D36" s="2779"/>
      <c r="E36" s="1490"/>
      <c r="F36" s="1493"/>
      <c r="H36" s="1570"/>
      <c r="I36" s="1664"/>
      <c r="J36" s="1691"/>
      <c r="K36" s="1691"/>
      <c r="L36" s="1684"/>
      <c r="M36" s="1573"/>
      <c r="N36" s="1691"/>
    </row>
    <row r="37" spans="1:14" ht="13.5" customHeight="1">
      <c r="A37" s="1429">
        <v>18230699</v>
      </c>
      <c r="B37" s="1412"/>
      <c r="C37" s="1451" t="s">
        <v>46</v>
      </c>
      <c r="D37" s="2771">
        <v>0</v>
      </c>
      <c r="E37" s="1464">
        <v>0</v>
      </c>
      <c r="F37" s="1462">
        <v>0</v>
      </c>
      <c r="H37" s="1570"/>
      <c r="I37" s="1311"/>
      <c r="J37" s="1691"/>
      <c r="K37" s="1691"/>
      <c r="L37" s="1684"/>
      <c r="M37" s="1677"/>
      <c r="N37" s="1691"/>
    </row>
    <row r="38" spans="1:14" ht="13.5" customHeight="1">
      <c r="A38" s="1508" t="s">
        <v>28</v>
      </c>
      <c r="B38" s="1412"/>
      <c r="C38" s="1423"/>
      <c r="D38" s="2778"/>
      <c r="E38" s="1520"/>
      <c r="F38" s="1438">
        <v>0</v>
      </c>
      <c r="H38" s="1674"/>
      <c r="I38" s="1311"/>
      <c r="J38" s="1692"/>
      <c r="K38" s="1692"/>
      <c r="L38" s="1684"/>
      <c r="M38" s="1692"/>
      <c r="N38" s="1692"/>
    </row>
    <row r="39" spans="1:14" ht="13.5" customHeight="1">
      <c r="A39" s="21"/>
      <c r="B39" s="1412"/>
      <c r="C39" s="1423"/>
      <c r="D39" s="2778"/>
      <c r="E39" s="1520"/>
      <c r="F39" s="1438">
        <v>0</v>
      </c>
      <c r="H39" s="1679"/>
      <c r="I39" s="1679"/>
      <c r="J39" s="1694"/>
      <c r="K39" s="1694"/>
      <c r="L39" s="1693"/>
      <c r="M39" s="1694"/>
      <c r="N39" s="1694"/>
    </row>
    <row r="40" spans="1:14" ht="13.5" customHeight="1">
      <c r="A40" s="21"/>
      <c r="B40" s="1412"/>
      <c r="C40" s="1423"/>
      <c r="D40" s="2778"/>
      <c r="E40" s="1520"/>
      <c r="F40" s="1438">
        <v>0</v>
      </c>
      <c r="H40" s="1569"/>
      <c r="I40" s="1566"/>
      <c r="J40" s="1566"/>
      <c r="K40" s="1566"/>
      <c r="L40" s="1566"/>
      <c r="M40" s="1566"/>
      <c r="N40" s="1566"/>
    </row>
    <row r="41" spans="1:14" ht="13.5" customHeight="1">
      <c r="A41" s="21"/>
      <c r="B41" s="1412"/>
      <c r="C41" s="1423"/>
      <c r="D41" s="2778"/>
      <c r="E41" s="1520"/>
      <c r="F41" s="1438">
        <v>0</v>
      </c>
      <c r="H41" s="1570"/>
      <c r="I41" s="1566"/>
      <c r="J41" s="1566"/>
      <c r="K41" s="1566"/>
      <c r="L41" s="1566"/>
      <c r="M41" s="1566"/>
      <c r="N41" s="1566"/>
    </row>
    <row r="42" spans="1:14" ht="13.5" customHeight="1">
      <c r="A42" s="21"/>
      <c r="B42" s="1412"/>
      <c r="C42" s="1488"/>
      <c r="D42" s="2779"/>
      <c r="E42" s="1490"/>
      <c r="F42" s="1493"/>
      <c r="H42" s="1566"/>
      <c r="I42" s="1566"/>
      <c r="J42" s="1566"/>
      <c r="K42" s="1566"/>
      <c r="L42" s="1566"/>
      <c r="M42" s="1566"/>
      <c r="N42" s="1566"/>
    </row>
    <row r="43" spans="1:14" ht="13.5" customHeight="1">
      <c r="A43" s="21"/>
      <c r="B43" s="1412"/>
      <c r="C43" s="1597" t="s">
        <v>483</v>
      </c>
      <c r="D43" s="2771">
        <f>SUM(D44:D47)</f>
        <v>149.5</v>
      </c>
      <c r="E43" s="1464">
        <f>SUM(E44:E47)</f>
        <v>149.5</v>
      </c>
      <c r="F43" s="1462">
        <f t="shared" ref="F43:F62" si="1">SUM(D43:E43)</f>
        <v>299</v>
      </c>
      <c r="H43" s="1566"/>
      <c r="I43" s="1566"/>
      <c r="J43" s="1566"/>
      <c r="K43" s="1566"/>
      <c r="L43" s="1566"/>
      <c r="M43" s="1566"/>
      <c r="N43" s="1566"/>
    </row>
    <row r="44" spans="1:14" ht="13.5" customHeight="1">
      <c r="A44" s="21"/>
      <c r="B44" s="1412"/>
      <c r="C44" s="1423" t="s">
        <v>825</v>
      </c>
      <c r="D44" s="2778">
        <v>149.5</v>
      </c>
      <c r="E44" s="1671">
        <v>149.5</v>
      </c>
      <c r="F44" s="1438">
        <f t="shared" si="1"/>
        <v>299</v>
      </c>
    </row>
    <row r="45" spans="1:14" ht="13.5" customHeight="1">
      <c r="A45" s="21"/>
      <c r="B45" s="1412"/>
      <c r="C45" s="1667"/>
      <c r="D45" s="2778"/>
      <c r="E45" s="1672"/>
      <c r="F45" s="1438">
        <f t="shared" si="1"/>
        <v>0</v>
      </c>
    </row>
    <row r="46" spans="1:14" ht="13.5" customHeight="1">
      <c r="A46" s="21"/>
      <c r="B46" s="1412"/>
      <c r="C46" s="1423"/>
      <c r="D46" s="2778"/>
      <c r="E46" s="1520"/>
      <c r="F46" s="1438">
        <f t="shared" si="1"/>
        <v>0</v>
      </c>
    </row>
    <row r="47" spans="1:14" ht="13.5" customHeight="1">
      <c r="A47" s="21"/>
      <c r="B47" s="1412"/>
      <c r="C47" s="1423"/>
      <c r="D47" s="2778"/>
      <c r="E47" s="1520"/>
      <c r="F47" s="1438">
        <f t="shared" si="1"/>
        <v>0</v>
      </c>
    </row>
    <row r="48" spans="1:14" ht="13.5" customHeight="1">
      <c r="A48" s="21"/>
      <c r="B48" s="1412"/>
      <c r="C48" s="1488"/>
      <c r="D48" s="2779"/>
      <c r="E48" s="1490"/>
      <c r="F48" s="1493"/>
    </row>
    <row r="49" spans="1:6" ht="13.5" customHeight="1">
      <c r="A49" s="21"/>
      <c r="B49" s="1412"/>
      <c r="C49" s="1451" t="s">
        <v>47</v>
      </c>
      <c r="D49" s="2771">
        <f>SUM(D50:D56)</f>
        <v>230750</v>
      </c>
      <c r="E49" s="1657">
        <f>SUM(E50:E56)</f>
        <v>321634</v>
      </c>
      <c r="F49" s="1462">
        <f t="shared" si="1"/>
        <v>552384</v>
      </c>
    </row>
    <row r="50" spans="1:6" ht="13.5" customHeight="1">
      <c r="A50" s="21"/>
      <c r="B50" s="1412"/>
      <c r="C50" s="1667" t="s">
        <v>2620</v>
      </c>
      <c r="D50" s="2778">
        <v>230750</v>
      </c>
      <c r="E50" s="1672"/>
      <c r="F50" s="1438">
        <f t="shared" si="1"/>
        <v>230750</v>
      </c>
    </row>
    <row r="51" spans="1:6" ht="13.5" customHeight="1">
      <c r="A51" s="21"/>
      <c r="B51" s="1412"/>
      <c r="C51" s="3431" t="s">
        <v>274</v>
      </c>
      <c r="D51" s="2778"/>
      <c r="E51" s="1520">
        <v>46000</v>
      </c>
      <c r="F51" s="1438">
        <f t="shared" si="1"/>
        <v>46000</v>
      </c>
    </row>
    <row r="52" spans="1:6" s="1652" customFormat="1" ht="13.5" customHeight="1">
      <c r="A52" s="1653"/>
      <c r="B52" s="1653"/>
      <c r="C52" s="3431" t="s">
        <v>2646</v>
      </c>
      <c r="D52" s="2778"/>
      <c r="E52" s="1672">
        <v>25034</v>
      </c>
      <c r="F52" s="1661">
        <f t="shared" si="1"/>
        <v>25034</v>
      </c>
    </row>
    <row r="53" spans="1:6" s="1652" customFormat="1" ht="13.5" customHeight="1">
      <c r="A53" s="1653"/>
      <c r="B53" s="1653"/>
      <c r="C53" s="3431" t="s">
        <v>570</v>
      </c>
      <c r="D53" s="2778"/>
      <c r="E53" s="1672">
        <v>173600</v>
      </c>
      <c r="F53" s="1661">
        <f t="shared" si="1"/>
        <v>173600</v>
      </c>
    </row>
    <row r="54" spans="1:6" s="1652" customFormat="1" ht="13.5" customHeight="1">
      <c r="A54" s="1653"/>
      <c r="B54" s="1653"/>
      <c r="C54" s="3431" t="s">
        <v>137</v>
      </c>
      <c r="D54" s="2778"/>
      <c r="E54" s="1672">
        <v>24000</v>
      </c>
      <c r="F54" s="1661">
        <f t="shared" si="1"/>
        <v>24000</v>
      </c>
    </row>
    <row r="55" spans="1:6" ht="13.5" customHeight="1">
      <c r="A55" s="21"/>
      <c r="B55" s="1412"/>
      <c r="C55" s="3431" t="s">
        <v>138</v>
      </c>
      <c r="D55" s="2778"/>
      <c r="E55" s="1520">
        <v>18000</v>
      </c>
      <c r="F55" s="1438">
        <f t="shared" si="1"/>
        <v>18000</v>
      </c>
    </row>
    <row r="56" spans="1:6" ht="13.5" customHeight="1">
      <c r="A56" s="21"/>
      <c r="B56" s="1412"/>
      <c r="C56" s="3431" t="s">
        <v>2597</v>
      </c>
      <c r="D56" s="2778"/>
      <c r="E56" s="1520">
        <v>35000</v>
      </c>
      <c r="F56" s="1438">
        <f t="shared" si="1"/>
        <v>35000</v>
      </c>
    </row>
    <row r="57" spans="1:6" ht="13.5" customHeight="1">
      <c r="A57" s="21"/>
      <c r="B57" s="1412"/>
      <c r="C57" s="1488"/>
      <c r="D57" s="2779"/>
      <c r="E57" s="1490"/>
      <c r="F57" s="1493"/>
    </row>
    <row r="58" spans="1:6" ht="13.5" customHeight="1">
      <c r="A58" s="21"/>
      <c r="B58" s="1412"/>
      <c r="C58" s="1451" t="s">
        <v>48</v>
      </c>
      <c r="D58" s="2771">
        <f>SUM(D59:D62)</f>
        <v>0</v>
      </c>
      <c r="E58" s="1464">
        <f>SUM(E59:E62)</f>
        <v>0</v>
      </c>
      <c r="F58" s="1462">
        <f t="shared" si="1"/>
        <v>0</v>
      </c>
    </row>
    <row r="59" spans="1:6" ht="13.5" customHeight="1">
      <c r="A59" s="21"/>
      <c r="B59" s="1412"/>
      <c r="C59" s="1565"/>
      <c r="D59" s="2778"/>
      <c r="E59" s="1504"/>
      <c r="F59" s="1438">
        <f t="shared" si="1"/>
        <v>0</v>
      </c>
    </row>
    <row r="60" spans="1:6" ht="13.5" customHeight="1">
      <c r="A60" s="21"/>
      <c r="B60" s="1412"/>
      <c r="C60" s="1423"/>
      <c r="D60" s="2778"/>
      <c r="E60" s="1504"/>
      <c r="F60" s="1438">
        <f t="shared" si="1"/>
        <v>0</v>
      </c>
    </row>
    <row r="61" spans="1:6" ht="13.5" customHeight="1">
      <c r="A61" s="21"/>
      <c r="B61" s="1412"/>
      <c r="C61" s="1423"/>
      <c r="D61" s="2778"/>
      <c r="E61" s="1504"/>
      <c r="F61" s="1438">
        <f t="shared" si="1"/>
        <v>0</v>
      </c>
    </row>
    <row r="62" spans="1:6" ht="13.5" customHeight="1">
      <c r="A62" s="21"/>
      <c r="B62" s="1412"/>
      <c r="C62" s="1423"/>
      <c r="D62" s="2778"/>
      <c r="E62" s="1504"/>
      <c r="F62" s="1438">
        <f t="shared" si="1"/>
        <v>0</v>
      </c>
    </row>
    <row r="63" spans="1:6" ht="13.5" customHeight="1">
      <c r="A63" s="21"/>
      <c r="B63" s="1412"/>
      <c r="C63" s="1488"/>
      <c r="D63" s="2779"/>
      <c r="E63" s="1490"/>
      <c r="F63" s="1493"/>
    </row>
    <row r="64" spans="1:6" ht="13.5" customHeight="1">
      <c r="A64" s="21"/>
      <c r="C64" s="1451" t="s">
        <v>49</v>
      </c>
      <c r="D64" s="2787">
        <f>SUM(D65:D68)</f>
        <v>585</v>
      </c>
      <c r="E64" s="1707">
        <f>SUM(E65:E68)</f>
        <v>750</v>
      </c>
      <c r="F64" s="1462">
        <f>SUM(F65:F66)</f>
        <v>1335</v>
      </c>
    </row>
    <row r="65" spans="3:6">
      <c r="C65" s="1667" t="s">
        <v>826</v>
      </c>
      <c r="D65" s="2778">
        <v>585</v>
      </c>
      <c r="E65" s="1671">
        <v>750</v>
      </c>
      <c r="F65" s="1438">
        <f>SUM(D65:E65)</f>
        <v>1335</v>
      </c>
    </row>
    <row r="66" spans="3:6">
      <c r="C66" s="1423"/>
      <c r="D66" s="2778"/>
      <c r="E66" s="1520"/>
      <c r="F66" s="1438">
        <f>SUM(D66:E66)</f>
        <v>0</v>
      </c>
    </row>
    <row r="67" spans="3:6">
      <c r="C67" s="1423"/>
      <c r="D67" s="2778"/>
      <c r="E67" s="1520"/>
      <c r="F67" s="1437">
        <v>0</v>
      </c>
    </row>
    <row r="68" spans="3:6">
      <c r="C68" s="1423"/>
      <c r="D68" s="2778"/>
      <c r="E68" s="1520"/>
      <c r="F68" s="1438">
        <v>0</v>
      </c>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13" activePane="bottomRight" state="frozen"/>
      <selection pane="bottomRight" activeCell="E59" sqref="E50:E59"/>
      <pageMargins left="0.28000000000000003" right="0.21" top="0.37" bottom="0.36"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28000000000000003" right="0.21" top="0.37" bottom="0.36" header="0.3" footer="0.3"/>
      <pageSetup paperSize="17" scale="63" orientation="landscape" r:id="rId2"/>
    </customSheetView>
  </customSheetViews>
  <pageMargins left="0.28000000000000003" right="0.21" top="0.37" bottom="0.36" header="0.3" footer="0.3"/>
  <pageSetup paperSize="17" scale="62" orientation="landscape" r:id="rId3"/>
  <drawing r:id="rId4"/>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ABF8F"/>
    <pageSetUpPr fitToPage="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activeCell="H19" sqref="H19"/>
    </sheetView>
  </sheetViews>
  <sheetFormatPr defaultColWidth="9.140625" defaultRowHeight="12.75"/>
  <cols>
    <col min="1" max="1" width="18" style="1337" customWidth="1"/>
    <col min="2" max="2" width="15.5703125" style="1413" customWidth="1"/>
    <col min="3" max="3" width="28.7109375" style="1337" customWidth="1"/>
    <col min="4" max="5" width="18.7109375" style="1337" customWidth="1"/>
    <col min="6" max="6" width="19.42578125" style="1337" customWidth="1"/>
    <col min="7" max="7" width="17.28515625" style="1337" customWidth="1"/>
    <col min="8" max="8" width="23.7109375" style="1337" customWidth="1"/>
    <col min="9" max="9" width="19.7109375" style="1337" customWidth="1"/>
    <col min="10" max="10" width="18.28515625" style="1337" customWidth="1"/>
    <col min="11" max="11" width="23.7109375" style="1337" customWidth="1"/>
    <col min="12" max="12" width="20.140625" style="1337" customWidth="1"/>
    <col min="13" max="13" width="16.5703125" style="1337" customWidth="1"/>
    <col min="14" max="14" width="18.140625" style="1337" customWidth="1"/>
    <col min="15" max="15" width="13.140625" style="1337" customWidth="1"/>
    <col min="16" max="16" width="18.42578125" style="1337" customWidth="1"/>
    <col min="17" max="17" width="10.5703125" style="1337" customWidth="1"/>
    <col min="18" max="18" width="15" style="1337" customWidth="1"/>
    <col min="19" max="16384" width="9.140625" style="1337"/>
  </cols>
  <sheetData>
    <row r="1" spans="1:18" ht="57" customHeight="1">
      <c r="D1" s="1360" t="s">
        <v>251</v>
      </c>
      <c r="E1" s="1507" t="s">
        <v>22</v>
      </c>
      <c r="F1" s="1429">
        <v>18230668</v>
      </c>
      <c r="G1" s="1509" t="s">
        <v>28</v>
      </c>
      <c r="H1" s="1201"/>
      <c r="M1" s="1360" t="s">
        <v>251</v>
      </c>
      <c r="N1" s="1507" t="s">
        <v>22</v>
      </c>
      <c r="O1" s="1429">
        <v>18230668</v>
      </c>
      <c r="P1" s="1509" t="s">
        <v>28</v>
      </c>
    </row>
    <row r="2" spans="1:18" ht="16.5" thickBot="1">
      <c r="D2" s="1349"/>
      <c r="E2" s="1349"/>
      <c r="F2" s="1349"/>
      <c r="G2" s="1354"/>
      <c r="H2" s="1178" t="s">
        <v>627</v>
      </c>
      <c r="I2" s="1354"/>
      <c r="J2" s="1354"/>
      <c r="K2" s="1354"/>
      <c r="L2" s="1354"/>
      <c r="M2" s="1354"/>
      <c r="N2" s="1354"/>
      <c r="O2" s="1354"/>
      <c r="P2" s="1354"/>
      <c r="Q2" s="1354"/>
    </row>
    <row r="3" spans="1:18" ht="26.25" thickBot="1">
      <c r="A3" s="1310" t="s">
        <v>251</v>
      </c>
      <c r="B3" s="1310"/>
      <c r="D3" s="1340"/>
      <c r="E3" s="1340"/>
      <c r="F3" s="1340"/>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506" t="s">
        <v>22</v>
      </c>
      <c r="B4" s="1262"/>
      <c r="E4" s="1413"/>
      <c r="F4" s="1413"/>
      <c r="G4" s="2946" t="s">
        <v>1726</v>
      </c>
      <c r="H4" s="2959">
        <f>D15</f>
        <v>57151.224000000002</v>
      </c>
      <c r="I4" s="2960">
        <f>D21</f>
        <v>0</v>
      </c>
      <c r="J4" s="2960">
        <f>D27</f>
        <v>38119.866408000002</v>
      </c>
      <c r="K4" s="2960">
        <f>D37</f>
        <v>0</v>
      </c>
      <c r="L4" s="2960">
        <f>D43</f>
        <v>1274</v>
      </c>
      <c r="M4" s="2960">
        <f>D49</f>
        <v>11700</v>
      </c>
      <c r="N4" s="2960">
        <f>D55</f>
        <v>715</v>
      </c>
      <c r="O4" s="2960">
        <f>D61</f>
        <v>0</v>
      </c>
      <c r="P4" s="2960">
        <v>0</v>
      </c>
      <c r="Q4" s="2960"/>
      <c r="R4" s="2960">
        <f>SUM(H4:P4)</f>
        <v>108960.090408</v>
      </c>
    </row>
    <row r="5" spans="1:18" ht="15.75">
      <c r="A5" s="1429">
        <v>18230668</v>
      </c>
      <c r="B5" s="1337"/>
      <c r="D5" s="1341"/>
      <c r="E5" s="1414"/>
      <c r="F5" s="1414"/>
      <c r="G5" s="3205" t="s">
        <v>1753</v>
      </c>
      <c r="H5" s="2617">
        <v>58579.794000000002</v>
      </c>
      <c r="I5" s="2618">
        <v>0</v>
      </c>
      <c r="J5" s="2618">
        <v>39834.259920000004</v>
      </c>
      <c r="K5" s="2618">
        <v>0</v>
      </c>
      <c r="L5" s="2618">
        <v>1274</v>
      </c>
      <c r="M5" s="2618">
        <v>11700</v>
      </c>
      <c r="N5" s="2618">
        <v>715</v>
      </c>
      <c r="O5" s="2618">
        <v>0</v>
      </c>
      <c r="P5" s="2618">
        <v>0</v>
      </c>
      <c r="Q5" s="2618"/>
      <c r="R5" s="2618">
        <v>112103.05392000001</v>
      </c>
    </row>
    <row r="6" spans="1:18" ht="16.5" thickBot="1">
      <c r="A6" s="1508" t="s">
        <v>28</v>
      </c>
      <c r="B6" s="1429"/>
      <c r="C6" s="1352"/>
      <c r="E6" s="1413"/>
      <c r="F6" s="1413"/>
      <c r="G6" s="3206" t="s">
        <v>1754</v>
      </c>
      <c r="H6" s="2621">
        <f>E15</f>
        <v>37382</v>
      </c>
      <c r="I6" s="2622">
        <f>E21</f>
        <v>0</v>
      </c>
      <c r="J6" s="2623">
        <f>E27</f>
        <v>33569.036</v>
      </c>
      <c r="K6" s="2622">
        <f>E37</f>
        <v>0</v>
      </c>
      <c r="L6" s="2622">
        <f>E43</f>
        <v>1850</v>
      </c>
      <c r="M6" s="2622">
        <f>E49</f>
        <v>11700</v>
      </c>
      <c r="N6" s="2622">
        <f>E55</f>
        <v>900</v>
      </c>
      <c r="O6" s="2622">
        <f>E61</f>
        <v>0</v>
      </c>
      <c r="P6" s="2622">
        <v>0</v>
      </c>
      <c r="Q6" s="2622"/>
      <c r="R6" s="2622">
        <f>SUM(H6:P6)</f>
        <v>85401.035999999993</v>
      </c>
    </row>
    <row r="7" spans="1:18" s="1342" customFormat="1">
      <c r="B7" s="1367"/>
      <c r="E7" s="1409"/>
      <c r="F7" s="1409"/>
      <c r="G7" s="2733"/>
      <c r="H7" s="2607"/>
      <c r="I7" s="2607"/>
      <c r="J7" s="2607"/>
      <c r="K7" s="2607"/>
      <c r="L7" s="2607"/>
      <c r="M7" s="2607"/>
      <c r="N7" s="2607"/>
      <c r="O7" s="2607"/>
      <c r="P7" s="2607"/>
      <c r="Q7" s="2607"/>
      <c r="R7" s="2607"/>
    </row>
    <row r="8" spans="1:18" s="1342" customFormat="1" ht="25.5">
      <c r="B8" s="1283"/>
      <c r="E8" s="1409"/>
      <c r="F8" s="1409"/>
      <c r="G8" s="1338"/>
      <c r="H8" s="1339"/>
      <c r="I8" s="1337"/>
      <c r="J8" s="1337"/>
      <c r="K8" s="1337"/>
      <c r="L8" s="1337"/>
      <c r="M8" s="1337"/>
      <c r="N8" s="1337"/>
      <c r="O8" s="1337"/>
      <c r="P8" s="1343" t="s">
        <v>17</v>
      </c>
      <c r="Q8" s="1337"/>
    </row>
    <row r="9" spans="1:18" s="1342" customFormat="1">
      <c r="A9" s="1344"/>
      <c r="B9" s="1410"/>
      <c r="E9" s="1409"/>
      <c r="F9" s="1409"/>
      <c r="G9" s="1338"/>
      <c r="H9" s="1339"/>
      <c r="I9" s="1337"/>
      <c r="J9" s="1337"/>
      <c r="K9" s="1337"/>
      <c r="L9" s="1337"/>
      <c r="M9" s="1337"/>
      <c r="N9" s="1337"/>
      <c r="O9" s="1337"/>
      <c r="P9" s="1343" t="s">
        <v>18</v>
      </c>
      <c r="Q9" s="1337"/>
    </row>
    <row r="10" spans="1:18" s="1341" customFormat="1">
      <c r="A10" s="1343"/>
      <c r="B10" s="1412"/>
      <c r="C10" s="1454" t="s">
        <v>310</v>
      </c>
      <c r="D10" s="1454"/>
      <c r="E10" s="1454"/>
      <c r="F10" s="1454"/>
    </row>
    <row r="11" spans="1:18" ht="18" customHeight="1">
      <c r="A11" s="1343"/>
      <c r="B11" s="1412"/>
      <c r="C11" s="1413"/>
      <c r="D11" s="1413"/>
      <c r="E11" s="1414"/>
      <c r="F11" s="1413"/>
    </row>
    <row r="12" spans="1:18">
      <c r="A12" s="1343"/>
      <c r="B12" s="1412"/>
      <c r="C12" s="1434" t="s">
        <v>298</v>
      </c>
      <c r="D12" s="2766">
        <f>D15+D21+D27+D37+D43+D49+D55+D61</f>
        <v>108960.090408</v>
      </c>
      <c r="E12" s="1484">
        <f>E15+E21+E27+E37+E43+E49+E55+E61</f>
        <v>85401.035999999993</v>
      </c>
      <c r="F12" s="1462">
        <f>D12+E12</f>
        <v>194361.12640800001</v>
      </c>
    </row>
    <row r="13" spans="1:18" ht="13.5" customHeight="1">
      <c r="A13" s="1343"/>
      <c r="B13" s="1410"/>
      <c r="C13" s="1483"/>
      <c r="D13" s="2767"/>
      <c r="E13" s="1336"/>
      <c r="F13" s="1413"/>
      <c r="G13" s="1351"/>
      <c r="H13" s="1351"/>
    </row>
    <row r="14" spans="1:18" s="1342" customFormat="1" ht="13.5" customHeight="1">
      <c r="A14" s="1344"/>
      <c r="B14" s="1410"/>
      <c r="C14" s="1435" t="s">
        <v>42</v>
      </c>
      <c r="D14" s="2768">
        <v>2016</v>
      </c>
      <c r="E14" s="1502">
        <v>2017</v>
      </c>
      <c r="F14" s="1486" t="s">
        <v>20</v>
      </c>
      <c r="G14" s="1345"/>
      <c r="H14" s="1345"/>
    </row>
    <row r="15" spans="1:18" s="1342" customFormat="1" ht="13.5" customHeight="1">
      <c r="A15" s="1344"/>
      <c r="B15" s="1433" t="s">
        <v>296</v>
      </c>
      <c r="C15" s="1451" t="s">
        <v>43</v>
      </c>
      <c r="D15" s="2771">
        <f>SUM(D16:D19)</f>
        <v>57151.224000000002</v>
      </c>
      <c r="E15" s="1464">
        <f>SUM(E16:E19)</f>
        <v>37382</v>
      </c>
      <c r="F15" s="1462">
        <f>SUM(F16:F19)</f>
        <v>94533.224000000002</v>
      </c>
      <c r="G15" s="1345"/>
      <c r="H15" s="1345"/>
    </row>
    <row r="16" spans="1:18" ht="13.5" customHeight="1">
      <c r="A16" s="1343"/>
      <c r="B16" s="1982">
        <v>0.06</v>
      </c>
      <c r="C16" s="1667" t="s">
        <v>734</v>
      </c>
      <c r="D16" s="2772">
        <v>57151.224000000002</v>
      </c>
      <c r="E16" s="1669">
        <v>6263</v>
      </c>
      <c r="F16" s="1426">
        <f t="shared" ref="F16:F19" si="0">SUM(D16:E16)</f>
        <v>63414.224000000002</v>
      </c>
    </row>
    <row r="17" spans="1:7" s="1605" customFormat="1" ht="13.5" customHeight="1">
      <c r="A17" s="1607"/>
      <c r="B17" s="1609">
        <v>0.13</v>
      </c>
      <c r="C17" s="1615" t="s">
        <v>2598</v>
      </c>
      <c r="D17" s="2772"/>
      <c r="E17" s="1619">
        <v>10221</v>
      </c>
      <c r="F17" s="1426">
        <f t="shared" si="0"/>
        <v>10221</v>
      </c>
    </row>
    <row r="18" spans="1:7">
      <c r="A18" s="1343"/>
      <c r="B18" s="1432">
        <v>0.39</v>
      </c>
      <c r="C18" s="1615" t="s">
        <v>2599</v>
      </c>
      <c r="D18" s="2784"/>
      <c r="E18" s="1617">
        <v>20898</v>
      </c>
      <c r="F18" s="1438">
        <f t="shared" si="0"/>
        <v>20898</v>
      </c>
    </row>
    <row r="19" spans="1:7">
      <c r="A19" s="1343"/>
      <c r="B19" s="1432"/>
      <c r="C19" s="1615"/>
      <c r="D19" s="2784"/>
      <c r="E19" s="1618"/>
      <c r="F19" s="1438">
        <f t="shared" si="0"/>
        <v>0</v>
      </c>
    </row>
    <row r="20" spans="1:7">
      <c r="A20" s="1343"/>
      <c r="B20" s="1449">
        <f>SUM(B16:B19)</f>
        <v>0.58000000000000007</v>
      </c>
      <c r="C20" s="1488"/>
      <c r="D20" s="2770"/>
      <c r="E20" s="1490"/>
      <c r="F20" s="1492"/>
    </row>
    <row r="21" spans="1:7">
      <c r="A21" s="1343"/>
      <c r="B21" s="1412"/>
      <c r="C21" s="1451" t="s">
        <v>44</v>
      </c>
      <c r="D21" s="2771">
        <f>SUM(D22:D25)</f>
        <v>0</v>
      </c>
      <c r="E21" s="1464">
        <f>SUM(E22:E25)</f>
        <v>0</v>
      </c>
      <c r="F21" s="1462">
        <f>SUM(F22:F25)</f>
        <v>0</v>
      </c>
      <c r="G21" s="1346" t="s">
        <v>6</v>
      </c>
    </row>
    <row r="22" spans="1:7">
      <c r="A22" s="1343"/>
      <c r="B22" s="1412"/>
      <c r="C22" s="1423"/>
      <c r="D22" s="2772"/>
      <c r="E22" s="1448"/>
      <c r="F22" s="1426">
        <f>SUM(D22:E22)</f>
        <v>0</v>
      </c>
      <c r="G22" s="1347"/>
    </row>
    <row r="23" spans="1:7">
      <c r="A23" s="1343"/>
      <c r="B23" s="1412"/>
      <c r="C23" s="1423"/>
      <c r="D23" s="2773"/>
      <c r="E23" s="1444"/>
      <c r="F23" s="1438">
        <f>SUM(D23:E23)</f>
        <v>0</v>
      </c>
    </row>
    <row r="24" spans="1:7">
      <c r="A24" s="1343"/>
      <c r="B24" s="1410"/>
      <c r="C24" s="1423"/>
      <c r="D24" s="2774"/>
      <c r="E24" s="1443"/>
      <c r="F24" s="1438">
        <f>SUM(D24:E24)</f>
        <v>0</v>
      </c>
    </row>
    <row r="25" spans="1:7" s="1342" customFormat="1">
      <c r="A25" s="1344"/>
      <c r="B25" s="1412"/>
      <c r="C25" s="1423"/>
      <c r="D25" s="2775"/>
      <c r="E25" s="1444"/>
      <c r="F25" s="1438">
        <f>SUM(D25:E25)</f>
        <v>0</v>
      </c>
    </row>
    <row r="26" spans="1:7">
      <c r="A26" s="1343"/>
      <c r="B26" s="1410"/>
      <c r="C26" s="1424"/>
      <c r="D26" s="2776"/>
      <c r="E26" s="1431"/>
      <c r="F26" s="1439"/>
    </row>
    <row r="27" spans="1:7" s="1342" customFormat="1">
      <c r="A27" s="1344"/>
      <c r="B27" s="1412"/>
      <c r="C27" s="1451" t="s">
        <v>45</v>
      </c>
      <c r="D27" s="2771">
        <f>SUM(D29:D35)</f>
        <v>38119.866408000002</v>
      </c>
      <c r="E27" s="1657">
        <f>SUM(E29:E31)+SUM(E33:E35)</f>
        <v>33569.036</v>
      </c>
      <c r="F27" s="1462">
        <f>SUM(F29:F35)</f>
        <v>71688.902407999994</v>
      </c>
    </row>
    <row r="28" spans="1:7">
      <c r="A28" s="1343"/>
      <c r="B28" s="1412"/>
      <c r="C28" s="1450" t="s">
        <v>1733</v>
      </c>
      <c r="D28" s="2777">
        <v>0.66700000000000004</v>
      </c>
      <c r="E28" s="1452">
        <v>0.68799999999999994</v>
      </c>
      <c r="F28" s="1485"/>
    </row>
    <row r="29" spans="1:7">
      <c r="A29" s="1343"/>
      <c r="B29" s="1412"/>
      <c r="C29" s="1667" t="s">
        <v>719</v>
      </c>
      <c r="D29" s="2778">
        <f>D15*D28</f>
        <v>38119.866408000002</v>
      </c>
      <c r="E29" s="1504">
        <f>E15*E28</f>
        <v>25718.815999999999</v>
      </c>
      <c r="F29" s="1438">
        <f>SUM(D29:E29)</f>
        <v>63838.682408000001</v>
      </c>
    </row>
    <row r="30" spans="1:7">
      <c r="A30" s="1343"/>
      <c r="B30" s="1412"/>
      <c r="C30" s="1667" t="s">
        <v>720</v>
      </c>
      <c r="D30" s="2785">
        <f>D21*D28</f>
        <v>0</v>
      </c>
      <c r="E30" s="1504">
        <f>E21*E28</f>
        <v>0</v>
      </c>
      <c r="F30" s="1438">
        <f>SUM(D30:E30)</f>
        <v>0</v>
      </c>
    </row>
    <row r="31" spans="1:7">
      <c r="A31" s="1343"/>
      <c r="B31" s="1412"/>
      <c r="C31" s="1667"/>
      <c r="D31" s="2774"/>
      <c r="E31" s="1443"/>
      <c r="F31" s="1436">
        <f>SUM(D31:E31)</f>
        <v>0</v>
      </c>
    </row>
    <row r="32" spans="1:7">
      <c r="A32" s="1343"/>
      <c r="B32" s="1412"/>
      <c r="C32" s="1450" t="s">
        <v>1734</v>
      </c>
      <c r="D32" s="2777"/>
      <c r="E32" s="1452">
        <v>0.21</v>
      </c>
      <c r="F32" s="1485"/>
    </row>
    <row r="33" spans="1:7">
      <c r="A33" s="1343"/>
      <c r="B33" s="1350"/>
      <c r="C33" s="1667" t="s">
        <v>719</v>
      </c>
      <c r="D33" s="2778"/>
      <c r="E33" s="1641">
        <f>E15*E32</f>
        <v>7850.2199999999993</v>
      </c>
      <c r="F33" s="1661">
        <f>SUM(D33:E33)</f>
        <v>7850.2199999999993</v>
      </c>
    </row>
    <row r="34" spans="1:7">
      <c r="A34" s="1350"/>
      <c r="B34" s="1412"/>
      <c r="C34" s="1667" t="s">
        <v>720</v>
      </c>
      <c r="D34" s="2785"/>
      <c r="E34" s="1641">
        <f>E21*E32</f>
        <v>0</v>
      </c>
      <c r="F34" s="1661">
        <f t="shared" ref="F34" si="1">SUM(D34:E34)</f>
        <v>0</v>
      </c>
      <c r="G34" s="1348"/>
    </row>
    <row r="35" spans="1:7">
      <c r="A35" s="1310" t="s">
        <v>251</v>
      </c>
      <c r="B35" s="1410"/>
      <c r="C35" s="1445"/>
      <c r="D35" s="2775"/>
      <c r="E35" s="1444"/>
      <c r="F35" s="1437">
        <f>SUM(D35:E35)</f>
        <v>0</v>
      </c>
    </row>
    <row r="36" spans="1:7" s="1342" customFormat="1">
      <c r="A36" s="1506" t="s">
        <v>22</v>
      </c>
      <c r="B36" s="1412"/>
      <c r="C36" s="1488"/>
      <c r="D36" s="2779"/>
      <c r="E36" s="1490"/>
      <c r="F36" s="1493"/>
    </row>
    <row r="37" spans="1:7">
      <c r="A37" s="1429">
        <v>18230668</v>
      </c>
      <c r="B37" s="1412"/>
      <c r="C37" s="1451" t="s">
        <v>46</v>
      </c>
      <c r="D37" s="2771">
        <v>0</v>
      </c>
      <c r="E37" s="1464">
        <v>0</v>
      </c>
      <c r="F37" s="1462">
        <v>0</v>
      </c>
    </row>
    <row r="38" spans="1:7">
      <c r="A38" s="1508" t="s">
        <v>28</v>
      </c>
      <c r="B38" s="1412"/>
      <c r="C38" s="1423"/>
      <c r="D38" s="2778"/>
      <c r="E38" s="1520"/>
      <c r="F38" s="1438">
        <v>0</v>
      </c>
    </row>
    <row r="39" spans="1:7">
      <c r="A39" s="1343"/>
      <c r="B39" s="1412"/>
      <c r="C39" s="1423"/>
      <c r="D39" s="2778"/>
      <c r="E39" s="1520"/>
      <c r="F39" s="1438">
        <v>0</v>
      </c>
    </row>
    <row r="40" spans="1:7">
      <c r="A40" s="1343"/>
      <c r="B40" s="1412"/>
      <c r="C40" s="1423"/>
      <c r="D40" s="2778"/>
      <c r="E40" s="1520"/>
      <c r="F40" s="1438">
        <v>0</v>
      </c>
    </row>
    <row r="41" spans="1:7">
      <c r="A41" s="1343"/>
      <c r="B41" s="1412"/>
      <c r="C41" s="1423"/>
      <c r="D41" s="2778"/>
      <c r="E41" s="1520"/>
      <c r="F41" s="1438">
        <v>0</v>
      </c>
    </row>
    <row r="42" spans="1:7">
      <c r="A42" s="1343"/>
      <c r="B42" s="1412"/>
      <c r="C42" s="1488"/>
      <c r="D42" s="2779"/>
      <c r="E42" s="1490"/>
      <c r="F42" s="1493"/>
    </row>
    <row r="43" spans="1:7">
      <c r="A43" s="1343"/>
      <c r="B43" s="1412"/>
      <c r="C43" s="1597" t="s">
        <v>483</v>
      </c>
      <c r="D43" s="2771">
        <f>SUM(D44:D47)</f>
        <v>1274</v>
      </c>
      <c r="E43" s="1464">
        <f>SUM(E44:E47)</f>
        <v>1850</v>
      </c>
      <c r="F43" s="1462">
        <f t="shared" ref="F43:F59" si="2">SUM(D43:E43)</f>
        <v>3124</v>
      </c>
    </row>
    <row r="44" spans="1:7">
      <c r="A44" s="1343"/>
      <c r="B44" s="1412"/>
      <c r="C44" s="1667" t="s">
        <v>1456</v>
      </c>
      <c r="D44" s="2778">
        <f>8000*0.13</f>
        <v>1040</v>
      </c>
      <c r="E44" s="1672">
        <v>1500</v>
      </c>
      <c r="F44" s="1438">
        <f t="shared" si="2"/>
        <v>2540</v>
      </c>
    </row>
    <row r="45" spans="1:7">
      <c r="A45" s="1343"/>
      <c r="B45" s="1412"/>
      <c r="C45" s="1667" t="s">
        <v>1461</v>
      </c>
      <c r="D45" s="2778">
        <f>1800*0.13</f>
        <v>234</v>
      </c>
      <c r="E45" s="1672">
        <v>350</v>
      </c>
      <c r="F45" s="1438">
        <f t="shared" si="2"/>
        <v>584</v>
      </c>
    </row>
    <row r="46" spans="1:7">
      <c r="A46" s="1343"/>
      <c r="B46" s="1412"/>
      <c r="C46" s="1423"/>
      <c r="D46" s="2778"/>
      <c r="E46" s="1520"/>
      <c r="F46" s="1438">
        <f t="shared" si="2"/>
        <v>0</v>
      </c>
    </row>
    <row r="47" spans="1:7">
      <c r="A47" s="1343"/>
      <c r="B47" s="1412"/>
      <c r="C47" s="1423"/>
      <c r="D47" s="2778"/>
      <c r="E47" s="1520"/>
      <c r="F47" s="1438">
        <f t="shared" si="2"/>
        <v>0</v>
      </c>
    </row>
    <row r="48" spans="1:7">
      <c r="A48" s="1343"/>
      <c r="B48" s="1412"/>
      <c r="C48" s="1488"/>
      <c r="D48" s="2779"/>
      <c r="E48" s="1490"/>
      <c r="F48" s="1493"/>
    </row>
    <row r="49" spans="1:6">
      <c r="A49" s="1343"/>
      <c r="B49" s="1412"/>
      <c r="C49" s="1451" t="s">
        <v>47</v>
      </c>
      <c r="D49" s="2771">
        <f>SUM(D50:D53)</f>
        <v>11700</v>
      </c>
      <c r="E49" s="1464">
        <f>SUM(E50:E53)</f>
        <v>11700</v>
      </c>
      <c r="F49" s="1462">
        <f t="shared" si="2"/>
        <v>23400</v>
      </c>
    </row>
    <row r="50" spans="1:6">
      <c r="A50" s="1343"/>
      <c r="B50" s="1412"/>
      <c r="C50" s="1667" t="s">
        <v>1458</v>
      </c>
      <c r="D50" s="2778">
        <v>11700</v>
      </c>
      <c r="E50" s="1672">
        <v>11700</v>
      </c>
      <c r="F50" s="1438">
        <f t="shared" si="2"/>
        <v>23400</v>
      </c>
    </row>
    <row r="51" spans="1:6">
      <c r="A51" s="1343"/>
      <c r="B51" s="1412"/>
      <c r="C51" s="1423"/>
      <c r="D51" s="2778"/>
      <c r="E51" s="1520"/>
      <c r="F51" s="1438">
        <f t="shared" si="2"/>
        <v>0</v>
      </c>
    </row>
    <row r="52" spans="1:6">
      <c r="A52" s="1343"/>
      <c r="B52" s="1412"/>
      <c r="C52" s="1423"/>
      <c r="D52" s="2778"/>
      <c r="E52" s="1520"/>
      <c r="F52" s="1438">
        <f t="shared" si="2"/>
        <v>0</v>
      </c>
    </row>
    <row r="53" spans="1:6">
      <c r="A53" s="1343"/>
      <c r="B53" s="1412"/>
      <c r="C53" s="1423"/>
      <c r="D53" s="2778"/>
      <c r="E53" s="1520"/>
      <c r="F53" s="1438">
        <f t="shared" si="2"/>
        <v>0</v>
      </c>
    </row>
    <row r="54" spans="1:6">
      <c r="A54" s="1343"/>
      <c r="B54" s="1412"/>
      <c r="C54" s="1488"/>
      <c r="D54" s="2779"/>
      <c r="E54" s="1490"/>
      <c r="F54" s="1493"/>
    </row>
    <row r="55" spans="1:6">
      <c r="A55" s="1343"/>
      <c r="B55" s="1412"/>
      <c r="C55" s="1451" t="s">
        <v>48</v>
      </c>
      <c r="D55" s="2771">
        <f>SUM(D56:D59)</f>
        <v>715</v>
      </c>
      <c r="E55" s="1464">
        <f>SUM(E56:E59)</f>
        <v>900</v>
      </c>
      <c r="F55" s="1462">
        <f t="shared" si="2"/>
        <v>1615</v>
      </c>
    </row>
    <row r="56" spans="1:6">
      <c r="A56" s="1343"/>
      <c r="B56" s="1412"/>
      <c r="C56" s="1667" t="s">
        <v>1459</v>
      </c>
      <c r="D56" s="2778">
        <f>4000*0.13</f>
        <v>520</v>
      </c>
      <c r="E56" s="1641">
        <v>600</v>
      </c>
      <c r="F56" s="1438">
        <f t="shared" si="2"/>
        <v>1120</v>
      </c>
    </row>
    <row r="57" spans="1:6">
      <c r="A57" s="1343"/>
      <c r="B57" s="1412"/>
      <c r="C57" s="1667" t="s">
        <v>1462</v>
      </c>
      <c r="D57" s="2778">
        <f>1500*0.13</f>
        <v>195</v>
      </c>
      <c r="E57" s="1641">
        <v>300</v>
      </c>
      <c r="F57" s="1438">
        <f t="shared" si="2"/>
        <v>495</v>
      </c>
    </row>
    <row r="58" spans="1:6">
      <c r="A58" s="1343"/>
      <c r="B58" s="1412"/>
      <c r="C58" s="1423"/>
      <c r="D58" s="2778"/>
      <c r="E58" s="1504"/>
      <c r="F58" s="1438">
        <f t="shared" si="2"/>
        <v>0</v>
      </c>
    </row>
    <row r="59" spans="1:6">
      <c r="A59" s="1343"/>
      <c r="B59" s="1412"/>
      <c r="C59" s="1423"/>
      <c r="D59" s="2778"/>
      <c r="E59" s="1504"/>
      <c r="F59" s="1438">
        <f t="shared" si="2"/>
        <v>0</v>
      </c>
    </row>
    <row r="60" spans="1:6">
      <c r="A60" s="1343"/>
      <c r="B60" s="1412"/>
      <c r="C60" s="1488"/>
      <c r="D60" s="2779"/>
      <c r="E60" s="1490"/>
      <c r="F60" s="1493"/>
    </row>
    <row r="61" spans="1:6">
      <c r="C61" s="1451" t="s">
        <v>49</v>
      </c>
      <c r="D61" s="2771">
        <f>SUM(D62:D63)</f>
        <v>0</v>
      </c>
      <c r="E61" s="1464">
        <f>SUM(E62:E63)</f>
        <v>0</v>
      </c>
      <c r="F61" s="1462">
        <f>SUM(F62:F63)</f>
        <v>0</v>
      </c>
    </row>
    <row r="62" spans="1:6">
      <c r="C62" s="1620"/>
      <c r="D62" s="2778"/>
      <c r="E62" s="1621"/>
      <c r="F62" s="1438">
        <f>SUM(D62:E62)</f>
        <v>0</v>
      </c>
    </row>
    <row r="63" spans="1:6">
      <c r="C63" s="1423"/>
      <c r="D63" s="2778"/>
      <c r="E63" s="1520"/>
      <c r="F63" s="1438">
        <f>SUM(D63:E63)</f>
        <v>0</v>
      </c>
    </row>
    <row r="64" spans="1:6">
      <c r="C64" s="1423"/>
      <c r="D64" s="2778"/>
      <c r="E64" s="1520"/>
      <c r="F64" s="1438">
        <v>0</v>
      </c>
    </row>
    <row r="65" spans="3:6">
      <c r="C65" s="1488"/>
      <c r="D65" s="2779"/>
      <c r="E65" s="1490"/>
      <c r="F65" s="1493"/>
    </row>
    <row r="66" spans="3:6">
      <c r="C66" s="1451"/>
      <c r="D66" s="2771"/>
      <c r="E66" s="1464"/>
      <c r="F66" s="1462"/>
    </row>
    <row r="67" spans="3:6">
      <c r="C67" s="1500"/>
      <c r="D67" s="2781"/>
      <c r="E67" s="1496"/>
      <c r="F67" s="1499"/>
    </row>
    <row r="68" spans="3:6">
      <c r="C68" s="1501"/>
      <c r="D68" s="2782"/>
      <c r="E68" s="1497"/>
      <c r="F68" s="1498"/>
    </row>
    <row r="69" spans="3:6">
      <c r="C69" s="1494"/>
      <c r="D69" s="2778"/>
      <c r="E69" s="1503"/>
      <c r="F69" s="1491"/>
    </row>
  </sheetData>
  <customSheetViews>
    <customSheetView guid="{D9EFFE19-D14B-4C6F-BDF4-FF696F73968D}" showGridLines="0" fitToPage="1">
      <pane xSplit="1" ySplit="1" topLeftCell="B2" activePane="bottomRight" state="frozen"/>
      <selection pane="bottomRight" activeCell="E31" sqref="E31"/>
      <pageMargins left="0.25" right="0.36" top="0.42" bottom="0.43" header="0.3" footer="0.3"/>
      <pageSetup paperSize="3" scale="62" orientation="landscape" r:id="rId1"/>
    </customSheetView>
    <customSheetView guid="{074EB09C-6289-46D7-9513-012B68BCA7BF}" showGridLines="0" fitToPage="1">
      <pane xSplit="1" ySplit="1" topLeftCell="B2" activePane="bottomRight" state="frozen"/>
      <selection pane="bottomRight" activeCell="G4" sqref="G4:G6"/>
      <pageMargins left="0.25" right="0.36" top="0.42" bottom="0.43" header="0.3" footer="0.3"/>
      <pageSetup paperSize="3" scale="62" orientation="landscape" r:id="rId2"/>
    </customSheetView>
  </customSheetViews>
  <pageMargins left="0.25" right="0.36" top="0.42" bottom="0.43" header="0.3" footer="0.3"/>
  <pageSetup paperSize="3" scale="64" orientation="landscape"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249977111117893"/>
  </sheetPr>
  <dimension ref="A1:B4"/>
  <sheetViews>
    <sheetView showGridLines="0" workbookViewId="0">
      <selection activeCell="G19" sqref="G19"/>
    </sheetView>
  </sheetViews>
  <sheetFormatPr defaultRowHeight="12.75"/>
  <sheetData>
    <row r="1" spans="1:2">
      <c r="A1" t="s">
        <v>32</v>
      </c>
    </row>
    <row r="4" spans="1:2">
      <c r="B4" s="1652" t="s">
        <v>344</v>
      </c>
    </row>
  </sheetData>
  <customSheetViews>
    <customSheetView guid="{D9EFFE19-D14B-4C6F-BDF4-FF696F73968D}" showGridLines="0">
      <selection activeCell="C59" sqref="C59:E62"/>
      <pageMargins left="0.7" right="0.7" top="0.75" bottom="0.75" header="0.3" footer="0.3"/>
      <pageSetup paperSize="3" orientation="landscape" r:id="rId1"/>
    </customSheetView>
    <customSheetView guid="{074EB09C-6289-46D7-9513-012B68BCA7BF}" showGridLines="0">
      <selection activeCell="G19" sqref="G1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CC6600"/>
    <pageSetUpPr fitToPage="1"/>
  </sheetPr>
  <dimension ref="A1:R70"/>
  <sheetViews>
    <sheetView showGridLines="0" zoomScaleNormal="100" workbookViewId="0">
      <pane xSplit="1" ySplit="1" topLeftCell="B2" activePane="bottomRight" state="frozen"/>
      <selection pane="topRight"/>
      <selection pane="bottomLeft"/>
      <selection pane="bottomRight" activeCell="I43" sqref="I43"/>
    </sheetView>
  </sheetViews>
  <sheetFormatPr defaultRowHeight="12.75"/>
  <cols>
    <col min="1" max="1" width="15.42578125" customWidth="1"/>
    <col min="2" max="2" width="15.42578125" style="1413" customWidth="1"/>
    <col min="3" max="3" width="30.42578125" customWidth="1"/>
    <col min="4" max="4" width="20.85546875" style="1" customWidth="1"/>
    <col min="5" max="5" width="20.85546875" style="2" customWidth="1"/>
    <col min="6" max="6" width="18.85546875" customWidth="1"/>
    <col min="7" max="7" width="17" customWidth="1"/>
    <col min="8" max="8" width="15.7109375" customWidth="1"/>
    <col min="9" max="9" width="15.5703125" customWidth="1"/>
    <col min="10" max="10" width="16.28515625" customWidth="1"/>
    <col min="11" max="11" width="17.5703125" customWidth="1"/>
    <col min="12" max="12" width="19" customWidth="1"/>
    <col min="13" max="13" width="21.28515625" customWidth="1"/>
    <col min="14" max="14" width="17.140625" customWidth="1"/>
    <col min="15" max="15" width="13.42578125" customWidth="1"/>
    <col min="16" max="16" width="19.28515625" customWidth="1"/>
    <col min="17" max="17" width="10.5703125" customWidth="1"/>
    <col min="18" max="18" width="15" customWidth="1"/>
  </cols>
  <sheetData>
    <row r="1" spans="1:18" ht="45.75" customHeight="1">
      <c r="D1" s="1360" t="s">
        <v>2</v>
      </c>
      <c r="E1" s="1360" t="s">
        <v>3</v>
      </c>
      <c r="F1" s="1360" t="s">
        <v>5</v>
      </c>
      <c r="G1" s="1429">
        <v>18230128</v>
      </c>
      <c r="H1" s="1361" t="s">
        <v>4</v>
      </c>
      <c r="M1" s="1360" t="s">
        <v>2</v>
      </c>
      <c r="N1" s="1360" t="s">
        <v>3</v>
      </c>
      <c r="O1" s="1360" t="s">
        <v>5</v>
      </c>
      <c r="P1" s="1429">
        <v>18230128</v>
      </c>
      <c r="Q1" s="1361" t="s">
        <v>4</v>
      </c>
    </row>
    <row r="2" spans="1:18" ht="13.5" thickBot="1">
      <c r="E2" s="1355"/>
      <c r="F2" s="1355"/>
      <c r="G2" s="1354"/>
      <c r="H2" s="1178" t="s">
        <v>627</v>
      </c>
      <c r="I2" s="1354"/>
      <c r="J2" s="1354"/>
      <c r="K2" s="1354"/>
      <c r="L2" s="1354"/>
      <c r="M2" s="1354"/>
      <c r="N2" s="1354"/>
      <c r="O2" s="1354"/>
      <c r="P2" s="1354"/>
      <c r="Q2" s="1354"/>
    </row>
    <row r="3" spans="1:18" ht="26.25" thickBot="1">
      <c r="A3" s="1298" t="s">
        <v>2</v>
      </c>
      <c r="B3" s="1298"/>
      <c r="E3" s="1355"/>
      <c r="F3" s="1355"/>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298" t="s">
        <v>3</v>
      </c>
      <c r="B4" s="1298"/>
      <c r="E4" s="1355"/>
      <c r="F4" s="1355"/>
      <c r="G4" s="2946" t="s">
        <v>1726</v>
      </c>
      <c r="H4" s="2959">
        <f>D15</f>
        <v>234027.87000000002</v>
      </c>
      <c r="I4" s="2960">
        <f>D21</f>
        <v>0</v>
      </c>
      <c r="J4" s="2960">
        <f>D27</f>
        <v>156096.58929000003</v>
      </c>
      <c r="K4" s="2960">
        <f>D37</f>
        <v>0</v>
      </c>
      <c r="L4" s="2960">
        <f>D43</f>
        <v>11780</v>
      </c>
      <c r="M4" s="2960">
        <f>D49</f>
        <v>50000</v>
      </c>
      <c r="N4" s="2960">
        <f>D55</f>
        <v>5000</v>
      </c>
      <c r="O4" s="2960">
        <f>D61</f>
        <v>455000</v>
      </c>
      <c r="P4" s="2960">
        <v>0</v>
      </c>
      <c r="Q4" s="2960"/>
      <c r="R4" s="2960">
        <f>SUM(H4:P4)</f>
        <v>911904.45929000003</v>
      </c>
    </row>
    <row r="5" spans="1:18" ht="15.75">
      <c r="A5" s="1298" t="s">
        <v>5</v>
      </c>
      <c r="C5" s="4" t="s">
        <v>6</v>
      </c>
      <c r="D5" s="5"/>
      <c r="E5" s="5"/>
      <c r="F5" s="5"/>
      <c r="G5" s="3205" t="s">
        <v>1753</v>
      </c>
      <c r="H5" s="2617">
        <v>239878.59</v>
      </c>
      <c r="I5" s="2618">
        <v>0</v>
      </c>
      <c r="J5" s="2618">
        <v>163117.4412</v>
      </c>
      <c r="K5" s="2618">
        <v>0</v>
      </c>
      <c r="L5" s="2618">
        <v>11780</v>
      </c>
      <c r="M5" s="2618">
        <v>40000</v>
      </c>
      <c r="N5" s="2618">
        <v>5000</v>
      </c>
      <c r="O5" s="2618">
        <v>500000</v>
      </c>
      <c r="P5" s="2618">
        <v>0</v>
      </c>
      <c r="Q5" s="2618"/>
      <c r="R5" s="2618">
        <v>959776.03119999997</v>
      </c>
    </row>
    <row r="6" spans="1:18" ht="16.5" thickBot="1">
      <c r="A6" s="1429">
        <v>18230128</v>
      </c>
      <c r="B6" s="1429"/>
      <c r="C6" s="7"/>
      <c r="D6" s="7"/>
      <c r="E6" s="413"/>
      <c r="F6" s="413"/>
      <c r="G6" s="3206" t="s">
        <v>1754</v>
      </c>
      <c r="H6" s="2621">
        <f>E15</f>
        <v>221373.5</v>
      </c>
      <c r="I6" s="2622">
        <f>E21</f>
        <v>0</v>
      </c>
      <c r="J6" s="2623">
        <f>E27</f>
        <v>198793.40299999999</v>
      </c>
      <c r="K6" s="2622">
        <f>E37</f>
        <v>0</v>
      </c>
      <c r="L6" s="2622">
        <f>E43</f>
        <v>11780</v>
      </c>
      <c r="M6" s="2622">
        <f>E49</f>
        <v>47750</v>
      </c>
      <c r="N6" s="2622">
        <f>E55</f>
        <v>5000</v>
      </c>
      <c r="O6" s="2622">
        <f>E61</f>
        <v>465000</v>
      </c>
      <c r="P6" s="2622">
        <v>0</v>
      </c>
      <c r="Q6" s="2622"/>
      <c r="R6" s="2622">
        <f>SUM(H6:P6)</f>
        <v>949696.90299999993</v>
      </c>
    </row>
    <row r="7" spans="1:18" s="9" customFormat="1" ht="15.75">
      <c r="A7" s="1357" t="s">
        <v>4</v>
      </c>
      <c r="B7" s="1298"/>
      <c r="C7" s="942"/>
      <c r="D7" s="7"/>
      <c r="E7" s="413"/>
      <c r="F7" s="413"/>
      <c r="G7" s="2733"/>
      <c r="H7" s="2607"/>
      <c r="I7" s="2607"/>
      <c r="J7" s="2607"/>
      <c r="K7" s="2607"/>
      <c r="L7" s="2607"/>
      <c r="M7" s="2607"/>
      <c r="N7" s="2607"/>
      <c r="O7" s="2607"/>
      <c r="P7" s="2607"/>
      <c r="Q7" s="2607"/>
      <c r="R7" s="2607"/>
    </row>
    <row r="8" spans="1:18" s="12" customFormat="1" ht="25.5">
      <c r="B8" s="1357"/>
      <c r="C8" s="11"/>
      <c r="D8" s="11"/>
      <c r="E8" s="11"/>
      <c r="F8" s="11"/>
      <c r="G8" s="8"/>
      <c r="H8" s="13"/>
      <c r="I8" s="7"/>
      <c r="J8" s="7"/>
      <c r="K8" s="7"/>
      <c r="L8" s="7"/>
      <c r="M8" s="7"/>
      <c r="N8" s="7"/>
      <c r="O8" s="7"/>
      <c r="P8" s="6" t="s">
        <v>17</v>
      </c>
      <c r="Q8" s="7"/>
    </row>
    <row r="9" spans="1:18" s="14" customFormat="1">
      <c r="A9" s="10"/>
      <c r="B9" s="10"/>
      <c r="C9" s="11"/>
      <c r="D9" s="11"/>
      <c r="E9" s="11"/>
      <c r="F9" s="11"/>
      <c r="G9" s="8"/>
      <c r="H9" s="13"/>
      <c r="I9" s="7"/>
      <c r="J9" s="7"/>
      <c r="K9" s="7"/>
      <c r="L9" s="7"/>
      <c r="M9" s="7"/>
      <c r="N9" s="7"/>
      <c r="O9" s="7"/>
      <c r="P9" s="6" t="s">
        <v>18</v>
      </c>
      <c r="Q9" s="7"/>
    </row>
    <row r="10" spans="1:18">
      <c r="A10" s="6"/>
      <c r="B10" s="422"/>
      <c r="C10" s="1454" t="s">
        <v>310</v>
      </c>
      <c r="D10" s="1454"/>
      <c r="E10" s="1454"/>
      <c r="F10" s="1454"/>
    </row>
    <row r="11" spans="1:18">
      <c r="A11" s="6"/>
      <c r="B11" s="422"/>
      <c r="C11" s="1413"/>
      <c r="D11" s="1413"/>
      <c r="E11" s="1414"/>
      <c r="F11" s="1413"/>
    </row>
    <row r="12" spans="1:18" ht="15.75">
      <c r="A12" s="6"/>
      <c r="B12" s="422"/>
      <c r="C12" s="1434" t="s">
        <v>298</v>
      </c>
      <c r="D12" s="2766">
        <f>D15+D21+D27+D37+D43+D49+D55+D61</f>
        <v>911904.45929000003</v>
      </c>
      <c r="E12" s="1484">
        <f>E15+E21+E27+E37+E43+E49+E55+E61</f>
        <v>949696.90299999993</v>
      </c>
      <c r="F12" s="1462">
        <f>D12+E12</f>
        <v>1861601.3622900001</v>
      </c>
      <c r="G12" s="424"/>
      <c r="H12" s="424"/>
      <c r="I12" s="7"/>
      <c r="J12" s="7"/>
      <c r="K12" s="7"/>
      <c r="L12" s="7"/>
      <c r="M12" s="7"/>
      <c r="N12" s="7"/>
      <c r="O12" s="7"/>
    </row>
    <row r="13" spans="1:18" ht="15.75">
      <c r="A13" s="15"/>
      <c r="B13" s="423"/>
      <c r="C13" s="1483"/>
      <c r="D13" s="1413"/>
      <c r="E13" s="1336"/>
      <c r="F13" s="1413"/>
      <c r="G13" s="16"/>
      <c r="H13" s="16"/>
      <c r="I13" s="17"/>
      <c r="J13" s="17"/>
      <c r="K13" s="17"/>
      <c r="L13" s="17"/>
      <c r="M13" s="17"/>
      <c r="N13" s="17"/>
      <c r="O13" s="17"/>
    </row>
    <row r="14" spans="1:18" ht="15.75">
      <c r="A14" s="15"/>
      <c r="B14" s="423"/>
      <c r="C14" s="1435" t="s">
        <v>42</v>
      </c>
      <c r="D14" s="2768">
        <v>2016</v>
      </c>
      <c r="E14" s="1502">
        <v>2017</v>
      </c>
      <c r="F14" s="1486" t="s">
        <v>20</v>
      </c>
      <c r="G14" s="16"/>
      <c r="H14" s="16"/>
      <c r="I14" s="17"/>
      <c r="J14" s="17"/>
      <c r="K14" s="17"/>
      <c r="L14" s="17"/>
      <c r="M14" s="17"/>
      <c r="N14" s="17"/>
      <c r="O14" s="17"/>
    </row>
    <row r="15" spans="1:18">
      <c r="A15" s="6"/>
      <c r="B15" s="1433" t="s">
        <v>296</v>
      </c>
      <c r="C15" s="1658" t="s">
        <v>43</v>
      </c>
      <c r="D15" s="2766">
        <f>SUM(D16:D19)</f>
        <v>234027.87000000002</v>
      </c>
      <c r="E15" s="1577">
        <f>SUM(E16:E19)</f>
        <v>221373.5</v>
      </c>
      <c r="F15" s="1462">
        <f>SUM(F16:F19)</f>
        <v>455401.37000000005</v>
      </c>
      <c r="G15" s="7"/>
      <c r="H15" s="7"/>
      <c r="I15" s="7"/>
      <c r="J15" s="7"/>
      <c r="K15" s="7"/>
      <c r="L15" s="7"/>
      <c r="M15" s="7"/>
      <c r="N15" s="7"/>
      <c r="O15" s="7"/>
    </row>
    <row r="16" spans="1:18" ht="15.75" customHeight="1">
      <c r="A16" s="6"/>
      <c r="B16" s="2200">
        <v>0.5</v>
      </c>
      <c r="C16" s="2201" t="s">
        <v>730</v>
      </c>
      <c r="D16" s="2783">
        <v>46805.57</v>
      </c>
      <c r="E16" s="2202">
        <v>38875</v>
      </c>
      <c r="F16" s="1426">
        <f>SUM(D16:E16)</f>
        <v>85680.57</v>
      </c>
      <c r="G16" s="7"/>
      <c r="H16" s="7"/>
    </row>
    <row r="17" spans="1:15">
      <c r="A17" s="6"/>
      <c r="B17" s="2200">
        <v>1</v>
      </c>
      <c r="C17" s="2201" t="s">
        <v>731</v>
      </c>
      <c r="D17" s="2783">
        <v>93611.16</v>
      </c>
      <c r="E17" s="2202">
        <v>77750</v>
      </c>
      <c r="F17" s="1438">
        <f>SUM(D17:E17)</f>
        <v>171361.16</v>
      </c>
      <c r="G17" s="7"/>
      <c r="H17" s="7"/>
    </row>
    <row r="18" spans="1:15">
      <c r="A18" s="6"/>
      <c r="B18" s="2200">
        <v>0.5</v>
      </c>
      <c r="C18" s="2201" t="s">
        <v>732</v>
      </c>
      <c r="D18" s="2783">
        <v>46805.57</v>
      </c>
      <c r="E18" s="2202">
        <v>77750</v>
      </c>
      <c r="F18" s="1438">
        <f>SUM(D18:E18)</f>
        <v>124555.57</v>
      </c>
      <c r="G18" s="7"/>
      <c r="H18" s="7"/>
    </row>
    <row r="19" spans="1:15" s="18" customFormat="1">
      <c r="A19" s="6"/>
      <c r="B19" s="2200">
        <v>0.5</v>
      </c>
      <c r="C19" s="2201" t="s">
        <v>733</v>
      </c>
      <c r="D19" s="2783">
        <v>46805.57</v>
      </c>
      <c r="E19" s="2202">
        <v>26998.5</v>
      </c>
      <c r="F19" s="1438">
        <f>SUM(D19:E19)</f>
        <v>73804.070000000007</v>
      </c>
      <c r="G19" s="7"/>
      <c r="H19" s="7"/>
      <c r="I19"/>
      <c r="J19"/>
      <c r="K19"/>
      <c r="L19"/>
      <c r="M19"/>
      <c r="N19"/>
      <c r="O19"/>
    </row>
    <row r="20" spans="1:15">
      <c r="A20" s="6"/>
      <c r="B20" s="1449">
        <f>SUM(B16:B19)</f>
        <v>2.5</v>
      </c>
      <c r="C20" s="1488"/>
      <c r="D20" s="2770"/>
      <c r="E20" s="1490"/>
      <c r="F20" s="1492"/>
      <c r="G20" s="19" t="s">
        <v>6</v>
      </c>
      <c r="H20" s="7"/>
    </row>
    <row r="21" spans="1:15">
      <c r="A21" s="6"/>
      <c r="B21" s="422"/>
      <c r="C21" s="1451" t="s">
        <v>44</v>
      </c>
      <c r="D21" s="2771">
        <f>SUM(D22:D25)</f>
        <v>0</v>
      </c>
      <c r="E21" s="1464">
        <f>SUM(E22:E25)</f>
        <v>0</v>
      </c>
      <c r="F21" s="1462">
        <f>SUM(F22:F25)</f>
        <v>0</v>
      </c>
      <c r="G21" s="20"/>
      <c r="H21" s="7"/>
    </row>
    <row r="22" spans="1:15">
      <c r="A22" s="6"/>
      <c r="B22" s="422"/>
      <c r="C22" s="1423"/>
      <c r="D22" s="2772"/>
      <c r="E22" s="1448"/>
      <c r="F22" s="1426">
        <f>SUM(D22:E22)</f>
        <v>0</v>
      </c>
      <c r="G22" s="7"/>
      <c r="H22" s="7"/>
    </row>
    <row r="23" spans="1:15">
      <c r="A23" s="6"/>
      <c r="B23" s="422"/>
      <c r="C23" s="1423"/>
      <c r="D23" s="2773"/>
      <c r="E23" s="1444"/>
      <c r="F23" s="1438">
        <f>SUM(D23:E23)</f>
        <v>0</v>
      </c>
      <c r="G23" s="7"/>
      <c r="H23" s="7"/>
    </row>
    <row r="24" spans="1:15">
      <c r="A24" s="6"/>
      <c r="B24" s="422"/>
      <c r="C24" s="1423"/>
      <c r="D24" s="2774"/>
      <c r="E24" s="1443"/>
      <c r="F24" s="1438">
        <f>SUM(D24:E24)</f>
        <v>0</v>
      </c>
      <c r="G24" s="7"/>
      <c r="H24" s="7"/>
    </row>
    <row r="25" spans="1:15">
      <c r="A25" s="6"/>
      <c r="B25" s="422"/>
      <c r="C25" s="1423"/>
      <c r="D25" s="2775"/>
      <c r="E25" s="1444"/>
      <c r="F25" s="1438">
        <f>SUM(D25:E25)</f>
        <v>0</v>
      </c>
      <c r="G25" s="7"/>
      <c r="H25" s="7"/>
    </row>
    <row r="26" spans="1:15" s="18" customFormat="1" ht="13.5" customHeight="1">
      <c r="A26" s="15"/>
      <c r="B26" s="423"/>
      <c r="C26" s="1424"/>
      <c r="D26" s="2776"/>
      <c r="E26" s="1431"/>
      <c r="F26" s="1439"/>
      <c r="G26" s="17"/>
      <c r="H26" s="17"/>
    </row>
    <row r="27" spans="1:15">
      <c r="A27" s="6"/>
      <c r="B27" s="422"/>
      <c r="C27" s="1451" t="s">
        <v>45</v>
      </c>
      <c r="D27" s="2771">
        <f>SUM(D29:D35)</f>
        <v>156096.58929000003</v>
      </c>
      <c r="E27" s="1657">
        <f>SUM(E29:E31)+SUM(E33:E35)</f>
        <v>198793.40299999999</v>
      </c>
      <c r="F27" s="1462">
        <f>SUM(F29:F35)</f>
        <v>354889.99229000002</v>
      </c>
      <c r="G27" s="7"/>
      <c r="H27" s="7"/>
    </row>
    <row r="28" spans="1:15">
      <c r="A28" s="15"/>
      <c r="B28" s="423"/>
      <c r="C28" s="1450" t="s">
        <v>1733</v>
      </c>
      <c r="D28" s="2777">
        <v>0.66700000000000004</v>
      </c>
      <c r="E28" s="1452">
        <v>0.68799999999999994</v>
      </c>
      <c r="F28" s="1485"/>
      <c r="G28" s="17"/>
      <c r="H28" s="17"/>
    </row>
    <row r="29" spans="1:15">
      <c r="A29" s="6"/>
      <c r="B29" s="422"/>
      <c r="C29" s="1667" t="s">
        <v>719</v>
      </c>
      <c r="D29" s="2778">
        <f>D15*D28</f>
        <v>156096.58929000003</v>
      </c>
      <c r="E29" s="1504">
        <f>E15*E28</f>
        <v>152304.96799999999</v>
      </c>
      <c r="F29" s="1438">
        <f>SUM(D29:E29)</f>
        <v>308401.55729000003</v>
      </c>
      <c r="G29" s="7"/>
      <c r="H29" s="7"/>
    </row>
    <row r="30" spans="1:15">
      <c r="A30" s="6"/>
      <c r="B30" s="422"/>
      <c r="C30" s="1667" t="s">
        <v>720</v>
      </c>
      <c r="D30" s="2778">
        <f>D21*D28</f>
        <v>0</v>
      </c>
      <c r="E30" s="1581">
        <f>E21*E28</f>
        <v>0</v>
      </c>
      <c r="F30" s="1438">
        <f>SUM(D30:E30)</f>
        <v>0</v>
      </c>
      <c r="G30" s="7"/>
      <c r="H30" s="7"/>
    </row>
    <row r="31" spans="1:15" s="1574" customFormat="1">
      <c r="A31" s="1575"/>
      <c r="B31" s="1575"/>
      <c r="C31" s="1667"/>
      <c r="D31" s="2778"/>
      <c r="E31" s="1581"/>
      <c r="F31" s="1661">
        <f>SUM(D31:E31)</f>
        <v>0</v>
      </c>
      <c r="G31" s="1576"/>
      <c r="H31" s="1576"/>
    </row>
    <row r="32" spans="1:15">
      <c r="A32" s="6"/>
      <c r="B32" s="422"/>
      <c r="C32" s="1450" t="s">
        <v>1734</v>
      </c>
      <c r="D32" s="2777"/>
      <c r="E32" s="1452">
        <v>0.21</v>
      </c>
      <c r="F32" s="1485"/>
      <c r="G32" s="7"/>
      <c r="H32" s="7"/>
    </row>
    <row r="33" spans="1:15">
      <c r="A33" s="6"/>
      <c r="B33" s="422"/>
      <c r="C33" s="1667" t="s">
        <v>719</v>
      </c>
      <c r="D33" s="2778"/>
      <c r="E33" s="1641">
        <f>E15*E32</f>
        <v>46488.434999999998</v>
      </c>
      <c r="F33" s="1661">
        <f>SUM(D33:E33)</f>
        <v>46488.434999999998</v>
      </c>
      <c r="G33" s="7"/>
      <c r="H33" s="7"/>
    </row>
    <row r="34" spans="1:15">
      <c r="A34" s="6"/>
      <c r="B34" s="422"/>
      <c r="C34" s="1667" t="s">
        <v>720</v>
      </c>
      <c r="D34" s="2785"/>
      <c r="E34" s="1641">
        <f>E21*E32</f>
        <v>0</v>
      </c>
      <c r="F34" s="1661">
        <f t="shared" ref="F34" si="0">SUM(D34:E34)</f>
        <v>0</v>
      </c>
      <c r="G34" s="7"/>
      <c r="H34" s="7"/>
    </row>
    <row r="35" spans="1:15">
      <c r="A35" s="1298" t="s">
        <v>2</v>
      </c>
      <c r="B35" s="1412"/>
      <c r="C35" s="1580"/>
      <c r="D35" s="2778"/>
      <c r="E35" s="1581"/>
      <c r="F35" s="1437">
        <f>SUM(D35:E35)</f>
        <v>0</v>
      </c>
      <c r="G35" s="22"/>
    </row>
    <row r="36" spans="1:15">
      <c r="A36" s="1298" t="s">
        <v>3</v>
      </c>
      <c r="B36" s="422"/>
      <c r="C36" s="1488"/>
      <c r="D36" s="2779"/>
      <c r="E36" s="1490"/>
      <c r="F36" s="1493"/>
      <c r="G36" s="7"/>
    </row>
    <row r="37" spans="1:15" s="18" customFormat="1">
      <c r="A37" s="1298" t="s">
        <v>5</v>
      </c>
      <c r="B37" s="423"/>
      <c r="C37" s="1451" t="s">
        <v>46</v>
      </c>
      <c r="D37" s="2771">
        <v>0</v>
      </c>
      <c r="E37" s="1464">
        <v>0</v>
      </c>
      <c r="F37" s="1462">
        <v>0</v>
      </c>
      <c r="G37" s="17"/>
      <c r="H37"/>
      <c r="I37"/>
      <c r="J37"/>
      <c r="K37"/>
      <c r="L37"/>
      <c r="M37"/>
      <c r="N37"/>
      <c r="O37"/>
    </row>
    <row r="38" spans="1:15">
      <c r="A38" s="1429">
        <v>18230128</v>
      </c>
      <c r="B38" s="422"/>
      <c r="C38" s="1423"/>
      <c r="D38" s="2778"/>
      <c r="E38" s="1520"/>
      <c r="F38" s="1438">
        <v>0</v>
      </c>
      <c r="G38" s="7"/>
    </row>
    <row r="39" spans="1:15">
      <c r="A39" s="1357" t="s">
        <v>4</v>
      </c>
      <c r="B39" s="422"/>
      <c r="C39" s="1423"/>
      <c r="D39" s="2778"/>
      <c r="E39" s="1520"/>
      <c r="F39" s="1438">
        <v>0</v>
      </c>
      <c r="G39" s="7"/>
    </row>
    <row r="40" spans="1:15">
      <c r="A40" s="6"/>
      <c r="B40" s="422"/>
      <c r="C40" s="1423"/>
      <c r="D40" s="2778"/>
      <c r="E40" s="1520"/>
      <c r="F40" s="1438">
        <v>0</v>
      </c>
      <c r="G40" s="7"/>
    </row>
    <row r="41" spans="1:15">
      <c r="A41" s="6"/>
      <c r="B41" s="422"/>
      <c r="C41" s="1423"/>
      <c r="D41" s="2778"/>
      <c r="E41" s="1520"/>
      <c r="F41" s="1438">
        <v>0</v>
      </c>
      <c r="G41" s="7"/>
    </row>
    <row r="42" spans="1:15">
      <c r="A42" s="6"/>
      <c r="B42" s="422"/>
      <c r="C42" s="1488"/>
      <c r="D42" s="2779"/>
      <c r="E42" s="1490"/>
      <c r="F42" s="1493"/>
      <c r="G42" s="7"/>
      <c r="H42" s="18"/>
      <c r="I42" s="18"/>
      <c r="J42" s="18"/>
      <c r="K42" s="18"/>
      <c r="L42" s="18"/>
      <c r="M42" s="18"/>
      <c r="N42" s="18"/>
      <c r="O42" s="18"/>
    </row>
    <row r="43" spans="1:15">
      <c r="A43" s="6"/>
      <c r="B43" s="422"/>
      <c r="C43" s="1597" t="s">
        <v>483</v>
      </c>
      <c r="D43" s="2771">
        <f>SUM(D44:D47)</f>
        <v>11780</v>
      </c>
      <c r="E43" s="1464">
        <f>SUM(E44:E47)</f>
        <v>11780</v>
      </c>
      <c r="F43" s="1462">
        <f t="shared" ref="F43:F59" si="1">SUM(D43:E43)</f>
        <v>23560</v>
      </c>
      <c r="G43" s="7"/>
    </row>
    <row r="44" spans="1:15">
      <c r="A44" s="6"/>
      <c r="B44" s="422"/>
      <c r="C44" s="1667" t="s">
        <v>734</v>
      </c>
      <c r="D44" s="2778">
        <v>1830</v>
      </c>
      <c r="E44" s="1672">
        <v>1830</v>
      </c>
      <c r="F44" s="1438">
        <f t="shared" si="1"/>
        <v>3660</v>
      </c>
      <c r="G44" s="7"/>
    </row>
    <row r="45" spans="1:15">
      <c r="A45" s="6"/>
      <c r="B45" s="422"/>
      <c r="C45" s="1667" t="s">
        <v>735</v>
      </c>
      <c r="D45" s="2778">
        <v>4800</v>
      </c>
      <c r="E45" s="1672">
        <v>4800</v>
      </c>
      <c r="F45" s="1438">
        <f t="shared" si="1"/>
        <v>9600</v>
      </c>
      <c r="G45" s="7"/>
    </row>
    <row r="46" spans="1:15">
      <c r="A46" s="6"/>
      <c r="B46" s="422"/>
      <c r="C46" s="1667" t="s">
        <v>736</v>
      </c>
      <c r="D46" s="2778">
        <v>4400</v>
      </c>
      <c r="E46" s="1672">
        <v>4400</v>
      </c>
      <c r="F46" s="1438">
        <f t="shared" si="1"/>
        <v>8800</v>
      </c>
      <c r="G46" s="7"/>
    </row>
    <row r="47" spans="1:15">
      <c r="A47" s="6"/>
      <c r="B47" s="422"/>
      <c r="C47" s="1667" t="s">
        <v>737</v>
      </c>
      <c r="D47" s="2778">
        <v>750</v>
      </c>
      <c r="E47" s="1672">
        <v>750</v>
      </c>
      <c r="F47" s="1438">
        <f t="shared" si="1"/>
        <v>1500</v>
      </c>
      <c r="G47" s="7"/>
    </row>
    <row r="48" spans="1:15">
      <c r="A48" s="6"/>
      <c r="B48" s="422"/>
      <c r="C48" s="1488"/>
      <c r="D48" s="2779"/>
      <c r="E48" s="1490"/>
      <c r="F48" s="1493"/>
      <c r="G48" s="7"/>
    </row>
    <row r="49" spans="1:15">
      <c r="A49" s="6"/>
      <c r="B49" s="422"/>
      <c r="C49" s="1451" t="s">
        <v>47</v>
      </c>
      <c r="D49" s="2771">
        <f>SUM(D50:D53)</f>
        <v>50000</v>
      </c>
      <c r="E49" s="1464">
        <f>SUM(E50:E53)</f>
        <v>47750</v>
      </c>
      <c r="F49" s="1462">
        <f t="shared" si="1"/>
        <v>97750</v>
      </c>
      <c r="G49" s="7"/>
    </row>
    <row r="50" spans="1:15">
      <c r="A50" s="6"/>
      <c r="B50" s="422"/>
      <c r="C50" s="1582" t="s">
        <v>738</v>
      </c>
      <c r="D50" s="2778">
        <v>50000</v>
      </c>
      <c r="E50" s="1520">
        <v>40000</v>
      </c>
      <c r="F50" s="1438">
        <f t="shared" si="1"/>
        <v>90000</v>
      </c>
      <c r="G50" s="7"/>
    </row>
    <row r="51" spans="1:15">
      <c r="A51" s="6"/>
      <c r="B51" s="422"/>
      <c r="C51" s="1582" t="s">
        <v>2619</v>
      </c>
      <c r="D51" s="2778"/>
      <c r="E51" s="1520">
        <v>7750</v>
      </c>
      <c r="F51" s="1438">
        <f t="shared" si="1"/>
        <v>7750</v>
      </c>
      <c r="G51" s="7"/>
    </row>
    <row r="52" spans="1:15">
      <c r="A52" s="6"/>
      <c r="B52" s="422"/>
      <c r="C52" s="1423"/>
      <c r="D52" s="2778"/>
      <c r="E52" s="1520"/>
      <c r="F52" s="1438">
        <f t="shared" si="1"/>
        <v>0</v>
      </c>
      <c r="G52" s="7"/>
    </row>
    <row r="53" spans="1:15" s="18" customFormat="1">
      <c r="A53" s="6"/>
      <c r="B53" s="422"/>
      <c r="C53" s="1423"/>
      <c r="D53" s="2778"/>
      <c r="E53" s="1520"/>
      <c r="F53" s="1438">
        <f t="shared" si="1"/>
        <v>0</v>
      </c>
      <c r="G53"/>
      <c r="H53"/>
      <c r="I53"/>
      <c r="J53"/>
      <c r="K53"/>
      <c r="L53"/>
      <c r="M53"/>
      <c r="N53"/>
      <c r="O53"/>
    </row>
    <row r="54" spans="1:15">
      <c r="A54" s="6"/>
      <c r="B54" s="422"/>
      <c r="C54" s="1488"/>
      <c r="D54" s="2779"/>
      <c r="E54" s="1490"/>
      <c r="F54" s="1493"/>
    </row>
    <row r="55" spans="1:15">
      <c r="A55" s="6"/>
      <c r="B55" s="422"/>
      <c r="C55" s="1451" t="s">
        <v>48</v>
      </c>
      <c r="D55" s="2771">
        <f>SUM(D56:D59)</f>
        <v>5000</v>
      </c>
      <c r="E55" s="1464">
        <f>SUM(E56:E59)</f>
        <v>5000</v>
      </c>
      <c r="F55" s="1462">
        <f t="shared" si="1"/>
        <v>10000</v>
      </c>
    </row>
    <row r="56" spans="1:15">
      <c r="A56" s="6"/>
      <c r="B56" s="422"/>
      <c r="C56" s="1580" t="s">
        <v>739</v>
      </c>
      <c r="D56" s="2778">
        <v>5000</v>
      </c>
      <c r="E56" s="1504">
        <v>5000</v>
      </c>
      <c r="F56" s="1438">
        <f t="shared" si="1"/>
        <v>10000</v>
      </c>
    </row>
    <row r="57" spans="1:15">
      <c r="A57" s="6"/>
      <c r="B57" s="422"/>
      <c r="C57" s="1423"/>
      <c r="D57" s="2778"/>
      <c r="E57" s="1504"/>
      <c r="F57" s="1438">
        <f t="shared" si="1"/>
        <v>0</v>
      </c>
    </row>
    <row r="58" spans="1:15">
      <c r="A58" s="6"/>
      <c r="B58" s="422"/>
      <c r="C58" s="1423"/>
      <c r="D58" s="2778"/>
      <c r="E58" s="1504"/>
      <c r="F58" s="1438">
        <f t="shared" si="1"/>
        <v>0</v>
      </c>
    </row>
    <row r="59" spans="1:15">
      <c r="A59" s="6"/>
      <c r="B59" s="422"/>
      <c r="C59" s="1423"/>
      <c r="D59" s="2778"/>
      <c r="E59" s="1504"/>
      <c r="F59" s="1438">
        <f t="shared" si="1"/>
        <v>0</v>
      </c>
    </row>
    <row r="60" spans="1:15" s="1652" customFormat="1">
      <c r="A60" s="1606"/>
      <c r="B60" s="1606"/>
      <c r="C60" s="1488"/>
      <c r="D60" s="2779"/>
      <c r="E60" s="1490"/>
      <c r="F60" s="1493"/>
      <c r="G60" s="1652" t="s">
        <v>742</v>
      </c>
    </row>
    <row r="61" spans="1:15">
      <c r="A61" s="6"/>
      <c r="B61" s="422"/>
      <c r="C61" s="1451" t="s">
        <v>49</v>
      </c>
      <c r="D61" s="2780">
        <f>SUM(D62:D65)</f>
        <v>455000</v>
      </c>
      <c r="E61" s="1584">
        <f>SUM(E62:E65)</f>
        <v>465000</v>
      </c>
      <c r="F61" s="1602">
        <f>SUM(D61:E61)</f>
        <v>920000</v>
      </c>
      <c r="G61" s="1652" t="s">
        <v>743</v>
      </c>
    </row>
    <row r="62" spans="1:15">
      <c r="B62"/>
      <c r="C62" s="1667" t="s">
        <v>740</v>
      </c>
      <c r="D62" s="2778">
        <v>5000</v>
      </c>
      <c r="E62" s="1672">
        <v>5000</v>
      </c>
      <c r="F62" s="1438">
        <f>SUM(D62:E62)</f>
        <v>10000</v>
      </c>
    </row>
    <row r="63" spans="1:15">
      <c r="B63"/>
      <c r="C63" s="1667" t="s">
        <v>741</v>
      </c>
      <c r="D63" s="2778">
        <v>450000</v>
      </c>
      <c r="E63" s="1672">
        <v>460000</v>
      </c>
      <c r="F63" s="1661">
        <f>D63+E63</f>
        <v>910000</v>
      </c>
    </row>
    <row r="64" spans="1:15">
      <c r="B64"/>
      <c r="C64" s="1583"/>
      <c r="D64" s="2778"/>
      <c r="E64" s="1520"/>
      <c r="F64" s="1661">
        <f>SUM(D64:E64)</f>
        <v>0</v>
      </c>
    </row>
    <row r="65" spans="2:6">
      <c r="B65"/>
      <c r="C65" s="1423"/>
      <c r="D65" s="2778"/>
      <c r="E65" s="1520"/>
      <c r="F65" s="1438">
        <v>0</v>
      </c>
    </row>
    <row r="66" spans="2:6">
      <c r="B66"/>
      <c r="C66" s="1488"/>
      <c r="D66" s="2779"/>
      <c r="E66" s="1490"/>
      <c r="F66" s="1493"/>
    </row>
    <row r="67" spans="2:6">
      <c r="B67"/>
      <c r="C67" s="1451"/>
      <c r="D67" s="2771"/>
      <c r="E67" s="1464"/>
      <c r="F67" s="1462"/>
    </row>
    <row r="68" spans="2:6">
      <c r="C68" s="1500"/>
      <c r="D68" s="2781"/>
      <c r="E68" s="1496"/>
      <c r="F68" s="1499"/>
    </row>
    <row r="69" spans="2:6">
      <c r="C69" s="1501"/>
      <c r="D69" s="2782"/>
      <c r="E69" s="1497"/>
      <c r="F69" s="1498"/>
    </row>
    <row r="70" spans="2:6">
      <c r="C70" s="1494"/>
      <c r="D70" s="2778"/>
      <c r="E70" s="1503"/>
      <c r="F70" s="1491"/>
    </row>
  </sheetData>
  <customSheetViews>
    <customSheetView guid="{D9EFFE19-D14B-4C6F-BDF4-FF696F73968D}" showGridLines="0" fitToPage="1">
      <pane xSplit="1" ySplit="1" topLeftCell="B8" activePane="bottomRight" state="frozen"/>
      <selection pane="bottomRight" activeCell="G54" sqref="G54"/>
      <pageMargins left="0.23" right="0.21" top="0.37" bottom="0.42" header="0.3" footer="0.3"/>
      <pageSetup paperSize="17" scale="66" orientation="landscape" r:id="rId1"/>
    </customSheetView>
    <customSheetView guid="{074EB09C-6289-46D7-9513-012B68BCA7BF}" showGridLines="0" fitToPage="1">
      <pane xSplit="1" ySplit="1" topLeftCell="B14" activePane="bottomRight" state="frozen"/>
      <selection pane="bottomRight"/>
      <pageMargins left="0.23" right="0.21" top="0.37" bottom="0.42" header="0.3" footer="0.3"/>
      <pageSetup paperSize="17" scale="66" orientation="landscape" r:id="rId2"/>
    </customSheetView>
  </customSheetViews>
  <pageMargins left="0.23" right="0.21" top="0.37" bottom="0.42" header="0.3" footer="0.3"/>
  <pageSetup paperSize="3" scale="66" orientation="landscape" r:id="rId3"/>
  <drawing r:id="rId4"/>
  <legacyDrawing r:id="rId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tabColor rgb="FFCC6600"/>
  </sheetPr>
  <dimension ref="A1:R71"/>
  <sheetViews>
    <sheetView showGridLines="0" workbookViewId="0">
      <pane xSplit="1" ySplit="1" topLeftCell="B5" activePane="bottomRight" state="frozen"/>
      <selection pane="topRight"/>
      <selection pane="bottomLeft"/>
      <selection pane="bottomRight" activeCell="D68" sqref="D68"/>
    </sheetView>
  </sheetViews>
  <sheetFormatPr defaultColWidth="9.14062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9.140625" style="1652"/>
  </cols>
  <sheetData>
    <row r="1" spans="1:18" ht="45.75" customHeight="1">
      <c r="D1" s="1361" t="s">
        <v>615</v>
      </c>
      <c r="E1" s="1360" t="s">
        <v>656</v>
      </c>
      <c r="F1" s="1360" t="s">
        <v>5</v>
      </c>
      <c r="G1" s="1429">
        <v>18230613</v>
      </c>
      <c r="H1" s="1361" t="s">
        <v>4</v>
      </c>
      <c r="M1" s="1361" t="s">
        <v>615</v>
      </c>
      <c r="N1" s="1360" t="s">
        <v>656</v>
      </c>
      <c r="O1" s="1360" t="s">
        <v>5</v>
      </c>
      <c r="P1" s="1429">
        <v>18230613</v>
      </c>
      <c r="Q1" s="1361" t="s">
        <v>4</v>
      </c>
    </row>
    <row r="2" spans="1:18" ht="13.5" thickBot="1">
      <c r="E2" s="1662"/>
      <c r="F2" s="1662"/>
      <c r="G2" s="1354"/>
      <c r="H2" s="1178" t="s">
        <v>627</v>
      </c>
      <c r="I2" s="1354"/>
      <c r="J2" s="1354"/>
      <c r="K2" s="1354"/>
      <c r="L2" s="1354"/>
      <c r="M2" s="1354"/>
      <c r="N2" s="1354"/>
      <c r="O2" s="1354"/>
      <c r="P2" s="1354"/>
      <c r="Q2" s="1354"/>
    </row>
    <row r="3" spans="1:18" ht="26.25" thickBot="1">
      <c r="A3" s="1298" t="s">
        <v>657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298" t="s">
        <v>656</v>
      </c>
      <c r="B4" s="1298"/>
      <c r="E4" s="1662"/>
      <c r="F4" s="1662"/>
      <c r="G4" s="2946" t="s">
        <v>1726</v>
      </c>
      <c r="H4" s="2959">
        <f>D15</f>
        <v>127748.7</v>
      </c>
      <c r="I4" s="2960">
        <f>D21</f>
        <v>14400</v>
      </c>
      <c r="J4" s="2960">
        <f>D27</f>
        <v>94813.1829</v>
      </c>
      <c r="K4" s="2960">
        <f>D37</f>
        <v>0</v>
      </c>
      <c r="L4" s="2960">
        <f>D43</f>
        <v>12000</v>
      </c>
      <c r="M4" s="2960">
        <f>D49</f>
        <v>192220</v>
      </c>
      <c r="N4" s="2960">
        <f>D56</f>
        <v>0</v>
      </c>
      <c r="O4" s="2960">
        <f>D62</f>
        <v>0</v>
      </c>
      <c r="P4" s="2960">
        <f>D68</f>
        <v>412500</v>
      </c>
      <c r="Q4" s="2960"/>
      <c r="R4" s="2960">
        <f>SUM(H4:P4)</f>
        <v>853681.88290000008</v>
      </c>
    </row>
    <row r="5" spans="1:18" ht="15.75">
      <c r="A5" s="1652" t="s">
        <v>658</v>
      </c>
      <c r="B5" s="1298"/>
      <c r="C5" s="4" t="s">
        <v>6</v>
      </c>
      <c r="D5" s="5"/>
      <c r="E5" s="5"/>
      <c r="F5" s="5"/>
      <c r="G5" s="3205" t="s">
        <v>1753</v>
      </c>
      <c r="H5" s="2617">
        <v>0</v>
      </c>
      <c r="I5" s="2618">
        <v>0</v>
      </c>
      <c r="J5" s="2618">
        <v>0</v>
      </c>
      <c r="K5" s="2618">
        <v>0</v>
      </c>
      <c r="L5" s="2618">
        <v>0</v>
      </c>
      <c r="M5" s="2618">
        <v>0</v>
      </c>
      <c r="N5" s="2618">
        <v>0</v>
      </c>
      <c r="O5" s="2618">
        <v>0</v>
      </c>
      <c r="P5" s="2618">
        <v>0</v>
      </c>
      <c r="Q5" s="2618"/>
      <c r="R5" s="2618">
        <v>0</v>
      </c>
    </row>
    <row r="6" spans="1:18" ht="16.5" thickBot="1">
      <c r="A6" s="1298" t="s">
        <v>5</v>
      </c>
      <c r="B6" s="1429"/>
      <c r="C6" s="1579"/>
      <c r="D6" s="1579"/>
      <c r="E6" s="1579"/>
      <c r="F6" s="1579"/>
      <c r="G6" s="3206" t="s">
        <v>1754</v>
      </c>
      <c r="H6" s="2621">
        <f>E15</f>
        <v>94640</v>
      </c>
      <c r="I6" s="2622">
        <f>E21</f>
        <v>0</v>
      </c>
      <c r="J6" s="2623">
        <f>E27</f>
        <v>65112.319999999992</v>
      </c>
      <c r="K6" s="2622">
        <f>E37</f>
        <v>0</v>
      </c>
      <c r="L6" s="2622">
        <f>E43</f>
        <v>2300</v>
      </c>
      <c r="M6" s="2622">
        <f>E49</f>
        <v>131572</v>
      </c>
      <c r="N6" s="2622">
        <f>E56</f>
        <v>2000</v>
      </c>
      <c r="O6" s="2622">
        <f>E62</f>
        <v>0</v>
      </c>
      <c r="P6" s="2622">
        <v>0</v>
      </c>
      <c r="Q6" s="2622"/>
      <c r="R6" s="2622">
        <f>SUM(H6:P6)</f>
        <v>295624.32000000001</v>
      </c>
    </row>
    <row r="7" spans="1:18" s="1663" customFormat="1" ht="15.75">
      <c r="A7" s="1429">
        <v>18230613</v>
      </c>
      <c r="B7" s="1298"/>
      <c r="C7" s="942"/>
      <c r="D7" s="1579"/>
      <c r="E7" s="1579"/>
      <c r="F7" s="1579"/>
      <c r="G7" s="2733"/>
      <c r="H7" s="2607"/>
      <c r="I7" s="2607"/>
      <c r="J7" s="2607"/>
      <c r="K7" s="2607"/>
      <c r="L7" s="2607"/>
      <c r="M7" s="2607"/>
      <c r="N7" s="2607"/>
      <c r="O7" s="2607"/>
      <c r="P7" s="2607"/>
      <c r="Q7" s="2607"/>
      <c r="R7" s="2607"/>
    </row>
    <row r="8" spans="1:18" s="12" customFormat="1" ht="25.5">
      <c r="A8" s="2146" t="s">
        <v>4</v>
      </c>
      <c r="B8" s="2146"/>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f>D15+D21+D27+D37+D43+D49+D56+D62+D68</f>
        <v>853681.88290000008</v>
      </c>
      <c r="E12" s="1484">
        <f>E15+E21+E27+E37+E43+E49+E56+E62</f>
        <v>295624.32000000001</v>
      </c>
      <c r="F12" s="1638">
        <f>D12+E12</f>
        <v>1149306.2029000001</v>
      </c>
      <c r="G12" s="424"/>
      <c r="H12" s="424"/>
      <c r="I12" s="1579"/>
      <c r="J12" s="1579"/>
      <c r="K12" s="1579"/>
      <c r="L12" s="1579"/>
      <c r="M12" s="1579"/>
      <c r="N12" s="1579"/>
      <c r="O12" s="1579"/>
    </row>
    <row r="13" spans="1:18" ht="15.75">
      <c r="A13" s="423"/>
      <c r="B13" s="423"/>
      <c r="C13" s="1483"/>
      <c r="D13" s="2767"/>
      <c r="E13" s="1336"/>
      <c r="G13" s="424"/>
      <c r="H13" s="424"/>
      <c r="I13" s="418"/>
      <c r="J13" s="418"/>
      <c r="K13" s="418"/>
      <c r="L13" s="418"/>
      <c r="M13" s="418"/>
      <c r="N13" s="418"/>
      <c r="O13" s="418"/>
    </row>
    <row r="14" spans="1:18" ht="15.75">
      <c r="A14" s="423"/>
      <c r="B14" s="423"/>
      <c r="C14" s="1435" t="s">
        <v>42</v>
      </c>
      <c r="D14" s="2768">
        <v>2016</v>
      </c>
      <c r="E14" s="1502">
        <v>2017</v>
      </c>
      <c r="F14" s="1486" t="s">
        <v>20</v>
      </c>
      <c r="G14" s="424"/>
      <c r="H14" s="424"/>
      <c r="I14" s="418"/>
      <c r="J14" s="418"/>
      <c r="K14" s="418"/>
      <c r="L14" s="418"/>
      <c r="M14" s="418"/>
      <c r="N14" s="418"/>
      <c r="O14" s="418"/>
    </row>
    <row r="15" spans="1:18">
      <c r="A15" s="1606"/>
      <c r="B15" s="1433" t="s">
        <v>296</v>
      </c>
      <c r="C15" s="1658" t="s">
        <v>43</v>
      </c>
      <c r="D15" s="2766">
        <f>SUM(D16:D19)</f>
        <v>127748.7</v>
      </c>
      <c r="E15" s="1657">
        <f>SUM(E16:E19)</f>
        <v>94640</v>
      </c>
      <c r="F15" s="1638">
        <f>SUM(F16:F19)</f>
        <v>222388.7</v>
      </c>
      <c r="G15" s="1579"/>
      <c r="H15" s="1579"/>
      <c r="I15" s="1579"/>
      <c r="J15" s="1579"/>
      <c r="K15" s="1579"/>
      <c r="L15" s="1579"/>
      <c r="M15" s="1579"/>
      <c r="N15" s="1579"/>
      <c r="O15" s="1579"/>
    </row>
    <row r="16" spans="1:18" ht="15.75" customHeight="1">
      <c r="A16" s="1606"/>
      <c r="B16" s="1982">
        <v>1.75</v>
      </c>
      <c r="C16" s="1667" t="s">
        <v>775</v>
      </c>
      <c r="D16" s="2769">
        <v>127748.7</v>
      </c>
      <c r="E16" s="1669">
        <v>94640</v>
      </c>
      <c r="F16" s="1426">
        <f>SUM(D16:E16)</f>
        <v>222388.7</v>
      </c>
      <c r="G16" s="1579"/>
      <c r="H16" s="1579"/>
    </row>
    <row r="17" spans="1:15">
      <c r="A17" s="1606"/>
      <c r="B17" s="1982"/>
      <c r="C17" s="1667"/>
      <c r="D17" s="2769"/>
      <c r="E17" s="1669"/>
      <c r="F17" s="1661">
        <f>SUM(D17:E17)</f>
        <v>0</v>
      </c>
      <c r="G17" s="1579"/>
      <c r="H17" s="1579"/>
    </row>
    <row r="18" spans="1:15">
      <c r="A18" s="1606"/>
      <c r="B18" s="1982"/>
      <c r="C18" s="1667"/>
      <c r="D18" s="2769"/>
      <c r="E18" s="1669"/>
      <c r="F18" s="1661">
        <f>SUM(D18:E18)</f>
        <v>0</v>
      </c>
      <c r="G18" s="1579"/>
      <c r="H18" s="1579"/>
    </row>
    <row r="19" spans="1:15" s="1664" customFormat="1">
      <c r="A19" s="1606"/>
      <c r="B19" s="1982"/>
      <c r="C19" s="1667"/>
      <c r="D19" s="2769"/>
      <c r="E19" s="1578"/>
      <c r="F19" s="1661">
        <f>SUM(D19:E19)</f>
        <v>0</v>
      </c>
      <c r="G19" s="1579"/>
      <c r="H19" s="1579"/>
      <c r="I19" s="1652"/>
      <c r="J19" s="1652"/>
      <c r="K19" s="1652"/>
      <c r="L19" s="1652"/>
      <c r="M19" s="1652"/>
      <c r="N19" s="1652"/>
      <c r="O19" s="1652"/>
    </row>
    <row r="20" spans="1:15">
      <c r="A20" s="1606"/>
      <c r="B20" s="1449">
        <f>SUM(B16:B19)</f>
        <v>1.75</v>
      </c>
      <c r="C20" s="1488"/>
      <c r="D20" s="2770"/>
      <c r="E20" s="1490"/>
      <c r="F20" s="1492"/>
      <c r="G20" s="420" t="s">
        <v>6</v>
      </c>
      <c r="H20" s="1579"/>
    </row>
    <row r="21" spans="1:15">
      <c r="A21" s="1606"/>
      <c r="B21" s="1606"/>
      <c r="C21" s="1597" t="s">
        <v>44</v>
      </c>
      <c r="D21" s="2771">
        <f>SUM(D22:D25)</f>
        <v>14400</v>
      </c>
      <c r="E21" s="1464">
        <f>SUM(E22:E25)</f>
        <v>0</v>
      </c>
      <c r="F21" s="1638">
        <f>SUM(F22:F25)</f>
        <v>14400</v>
      </c>
      <c r="G21" s="421"/>
      <c r="H21" s="1579"/>
    </row>
    <row r="22" spans="1:15">
      <c r="A22" s="1606"/>
      <c r="B22" s="1606"/>
      <c r="C22" s="1667"/>
      <c r="D22" s="2772">
        <v>14400</v>
      </c>
      <c r="E22" s="1669"/>
      <c r="F22" s="1426">
        <f>SUM(D22:E22)</f>
        <v>14400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c r="A26" s="423"/>
      <c r="B26" s="423"/>
      <c r="C26" s="1424"/>
      <c r="D26" s="2776"/>
      <c r="E26" s="1431"/>
      <c r="F26" s="1439"/>
      <c r="G26" s="418"/>
      <c r="H26" s="418"/>
    </row>
    <row r="27" spans="1:15">
      <c r="A27" s="1606"/>
      <c r="B27" s="1606"/>
      <c r="C27" s="1597" t="s">
        <v>45</v>
      </c>
      <c r="D27" s="2771">
        <f>SUM(D29:D35)</f>
        <v>94813.1829</v>
      </c>
      <c r="E27" s="1657">
        <f>SUM(E29:E31)+SUM(E33:E35)</f>
        <v>65112.319999999992</v>
      </c>
      <c r="F27" s="1638">
        <f>SUM(F29:F35)</f>
        <v>159925.50289999996</v>
      </c>
      <c r="G27" s="1579"/>
      <c r="H27" s="1579"/>
    </row>
    <row r="28" spans="1:15">
      <c r="A28" s="423"/>
      <c r="B28" s="423"/>
      <c r="C28" s="1450" t="s">
        <v>1733</v>
      </c>
      <c r="D28" s="2777">
        <v>0.66700000000000004</v>
      </c>
      <c r="E28" s="1452">
        <v>0.68799999999999994</v>
      </c>
      <c r="F28" s="1485"/>
      <c r="G28" s="418"/>
      <c r="H28" s="418"/>
    </row>
    <row r="29" spans="1:15">
      <c r="A29" s="1606"/>
      <c r="B29" s="1606"/>
      <c r="C29" s="1667" t="s">
        <v>719</v>
      </c>
      <c r="D29" s="2778">
        <f>D15*D28</f>
        <v>85208.382899999997</v>
      </c>
      <c r="E29" s="1641">
        <f>E15*E28</f>
        <v>65112.319999999992</v>
      </c>
      <c r="F29" s="1661">
        <f>SUM(D29:E29)</f>
        <v>150320.70289999997</v>
      </c>
      <c r="G29" s="1579"/>
      <c r="H29" s="1579"/>
    </row>
    <row r="30" spans="1:15">
      <c r="A30" s="1606"/>
      <c r="B30" s="1606"/>
      <c r="C30" s="1667" t="s">
        <v>720</v>
      </c>
      <c r="D30" s="2778">
        <f>D21*D28</f>
        <v>9604.8000000000011</v>
      </c>
      <c r="E30" s="1641">
        <f>E21*E28</f>
        <v>0</v>
      </c>
      <c r="F30" s="1661">
        <f>SUM(D30:E30)</f>
        <v>9604.8000000000011</v>
      </c>
      <c r="G30" s="1579"/>
      <c r="H30" s="1579"/>
    </row>
    <row r="31" spans="1:15">
      <c r="A31" s="1606"/>
      <c r="B31" s="1606"/>
      <c r="C31" s="1667"/>
      <c r="D31" s="2778"/>
      <c r="E31" s="1641"/>
      <c r="F31" s="1436">
        <f>SUM(D31:E31)</f>
        <v>0</v>
      </c>
      <c r="G31" s="1579"/>
      <c r="H31" s="1579"/>
    </row>
    <row r="32" spans="1:15">
      <c r="A32" s="1606"/>
      <c r="B32" s="1606"/>
      <c r="C32" s="1450" t="s">
        <v>1734</v>
      </c>
      <c r="D32" s="2777"/>
      <c r="E32" s="1452">
        <v>0</v>
      </c>
      <c r="F32" s="1485"/>
      <c r="G32" s="1579"/>
      <c r="H32" s="1579"/>
    </row>
    <row r="33" spans="1:15">
      <c r="A33" s="1606"/>
      <c r="B33" s="1606"/>
      <c r="C33" s="1667" t="s">
        <v>719</v>
      </c>
      <c r="D33" s="2778"/>
      <c r="E33" s="1641">
        <f>E15*E32</f>
        <v>0</v>
      </c>
      <c r="F33" s="1661">
        <f>SUM(D33:E33)</f>
        <v>0</v>
      </c>
      <c r="G33" s="1579"/>
      <c r="H33" s="1579"/>
    </row>
    <row r="34" spans="1:15">
      <c r="A34" s="1606"/>
      <c r="B34" s="1606"/>
      <c r="C34" s="1667" t="s">
        <v>720</v>
      </c>
      <c r="D34" s="2785"/>
      <c r="E34" s="1641">
        <f>E21*E32</f>
        <v>0</v>
      </c>
      <c r="F34" s="1661">
        <f t="shared" ref="F34" si="0">SUM(D34:E34)</f>
        <v>0</v>
      </c>
      <c r="G34" s="1579"/>
      <c r="H34" s="1579"/>
    </row>
    <row r="35" spans="1:15">
      <c r="A35" s="1298" t="s">
        <v>657</v>
      </c>
      <c r="B35" s="1653"/>
      <c r="C35" s="1667"/>
      <c r="D35" s="2778"/>
      <c r="E35" s="1641"/>
      <c r="F35" s="1437">
        <f>SUM(D35:E35)</f>
        <v>0</v>
      </c>
      <c r="G35" s="417"/>
    </row>
    <row r="36" spans="1:15">
      <c r="A36" s="1652" t="s">
        <v>658</v>
      </c>
      <c r="B36" s="1606"/>
      <c r="C36" s="1488"/>
      <c r="D36" s="2779"/>
      <c r="E36" s="1490"/>
      <c r="F36" s="1493"/>
      <c r="G36" s="1579"/>
    </row>
    <row r="37" spans="1:15" s="1664" customFormat="1">
      <c r="A37" s="1298" t="s">
        <v>656</v>
      </c>
      <c r="B37" s="423"/>
      <c r="C37" s="1597" t="s">
        <v>46</v>
      </c>
      <c r="D37" s="2771">
        <v>0</v>
      </c>
      <c r="E37" s="1464">
        <v>0</v>
      </c>
      <c r="F37" s="1638">
        <v>0</v>
      </c>
      <c r="G37" s="418"/>
      <c r="H37" s="1652"/>
      <c r="I37" s="1652"/>
      <c r="J37" s="1652"/>
      <c r="K37" s="1652"/>
      <c r="L37" s="1652"/>
      <c r="M37" s="1652"/>
      <c r="N37" s="1652"/>
      <c r="O37" s="1652"/>
    </row>
    <row r="38" spans="1:15">
      <c r="A38" s="1298" t="s">
        <v>5</v>
      </c>
      <c r="B38" s="1606"/>
      <c r="C38" s="1667" t="s">
        <v>776</v>
      </c>
      <c r="D38" s="2778">
        <v>4000</v>
      </c>
      <c r="E38" s="1672"/>
      <c r="F38" s="1661">
        <v>0</v>
      </c>
      <c r="G38" s="1579"/>
    </row>
    <row r="39" spans="1:15">
      <c r="A39" s="1429">
        <v>18230613</v>
      </c>
      <c r="B39" s="1606"/>
      <c r="C39" s="1667" t="s">
        <v>777</v>
      </c>
      <c r="D39" s="2778">
        <v>10000</v>
      </c>
      <c r="E39" s="1672">
        <v>6000</v>
      </c>
      <c r="F39" s="1661">
        <v>0</v>
      </c>
      <c r="G39" s="1579"/>
    </row>
    <row r="40" spans="1:15">
      <c r="A40" s="2146"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f>SUM(D44:D47)</f>
        <v>12000</v>
      </c>
      <c r="E43" s="1464">
        <f>SUM(E44:E47)</f>
        <v>2300</v>
      </c>
      <c r="F43" s="1638">
        <f t="shared" ref="F43:F60" si="1">SUM(D43:E43)</f>
        <v>14300</v>
      </c>
      <c r="G43" s="1579"/>
    </row>
    <row r="44" spans="1:15">
      <c r="A44" s="1606"/>
      <c r="B44" s="1606"/>
      <c r="C44" s="1667" t="s">
        <v>778</v>
      </c>
      <c r="D44" s="2778">
        <v>12000</v>
      </c>
      <c r="E44" s="1672">
        <v>2300</v>
      </c>
      <c r="F44" s="1661">
        <f t="shared" si="1"/>
        <v>14300</v>
      </c>
      <c r="G44" s="1579"/>
    </row>
    <row r="45" spans="1:15">
      <c r="A45" s="1606"/>
      <c r="B45" s="1606"/>
      <c r="C45" s="1667"/>
      <c r="D45" s="2778"/>
      <c r="E45" s="1672"/>
      <c r="F45" s="1661">
        <f t="shared" si="1"/>
        <v>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f>SUM(D50:D54)</f>
        <v>192220</v>
      </c>
      <c r="E49" s="1464">
        <f>SUM(E50:E54)</f>
        <v>131572</v>
      </c>
      <c r="F49" s="1638">
        <f t="shared" si="1"/>
        <v>323792</v>
      </c>
      <c r="G49" s="1579"/>
    </row>
    <row r="50" spans="1:15">
      <c r="A50" s="1606"/>
      <c r="B50" s="1606"/>
      <c r="C50" s="1667" t="s">
        <v>779</v>
      </c>
      <c r="D50" s="2778">
        <v>105220</v>
      </c>
      <c r="E50" s="1672">
        <v>2400</v>
      </c>
      <c r="F50" s="1661">
        <f t="shared" si="1"/>
        <v>107620</v>
      </c>
      <c r="G50" s="1579"/>
    </row>
    <row r="51" spans="1:15">
      <c r="A51" s="1606"/>
      <c r="B51" s="1606"/>
      <c r="C51" s="1667" t="s">
        <v>2644</v>
      </c>
      <c r="D51" s="2778"/>
      <c r="E51" s="1672">
        <v>23172</v>
      </c>
      <c r="F51" s="1661">
        <f t="shared" si="1"/>
        <v>23172</v>
      </c>
      <c r="G51" s="1579"/>
    </row>
    <row r="52" spans="1:15">
      <c r="A52" s="1606"/>
      <c r="B52" s="1606"/>
      <c r="C52" s="1667" t="s">
        <v>2645</v>
      </c>
      <c r="D52" s="2778">
        <v>25000</v>
      </c>
      <c r="E52" s="1672">
        <v>34000</v>
      </c>
      <c r="F52" s="1661"/>
      <c r="G52" s="1579"/>
    </row>
    <row r="53" spans="1:15">
      <c r="A53" s="1606"/>
      <c r="B53" s="1606"/>
      <c r="C53" s="1667" t="s">
        <v>780</v>
      </c>
      <c r="D53" s="2778">
        <v>50000</v>
      </c>
      <c r="E53" s="1672">
        <v>70000</v>
      </c>
      <c r="F53" s="1661">
        <f t="shared" si="1"/>
        <v>120000</v>
      </c>
      <c r="G53" s="1579"/>
    </row>
    <row r="54" spans="1:15" s="1664" customFormat="1">
      <c r="A54" s="1606"/>
      <c r="B54" s="1606"/>
      <c r="C54" s="1667" t="s">
        <v>610</v>
      </c>
      <c r="D54" s="2778">
        <v>12000</v>
      </c>
      <c r="E54" s="1672">
        <v>2000</v>
      </c>
      <c r="F54" s="1661">
        <f t="shared" si="1"/>
        <v>14000</v>
      </c>
      <c r="G54" s="1652"/>
      <c r="H54" s="1652"/>
      <c r="I54" s="1652"/>
      <c r="J54" s="1652"/>
      <c r="K54" s="1652"/>
      <c r="L54" s="1652"/>
      <c r="M54" s="1652"/>
      <c r="N54" s="1652"/>
      <c r="O54" s="1652"/>
    </row>
    <row r="55" spans="1:15">
      <c r="A55" s="1606"/>
      <c r="B55" s="1606"/>
      <c r="C55" s="1488"/>
      <c r="D55" s="2779"/>
      <c r="E55" s="1490"/>
      <c r="F55" s="1493"/>
    </row>
    <row r="56" spans="1:15">
      <c r="A56" s="1606"/>
      <c r="B56" s="1606"/>
      <c r="C56" s="1597" t="s">
        <v>48</v>
      </c>
      <c r="D56" s="2771">
        <f>SUM(D57:D60)</f>
        <v>0</v>
      </c>
      <c r="E56" s="1464">
        <f>SUM(E57:E60)</f>
        <v>2000</v>
      </c>
      <c r="F56" s="1638">
        <f t="shared" si="1"/>
        <v>2000</v>
      </c>
    </row>
    <row r="57" spans="1:15">
      <c r="A57" s="1606"/>
      <c r="B57" s="1606"/>
      <c r="C57" s="1667"/>
      <c r="D57" s="2778"/>
      <c r="E57" s="1641">
        <v>2000</v>
      </c>
      <c r="F57" s="1661">
        <f t="shared" si="1"/>
        <v>2000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667"/>
      <c r="D60" s="2778"/>
      <c r="E60" s="1641"/>
      <c r="F60" s="1661">
        <f t="shared" si="1"/>
        <v>0</v>
      </c>
    </row>
    <row r="61" spans="1:15">
      <c r="A61" s="1606"/>
      <c r="B61" s="1606"/>
      <c r="C61" s="1488"/>
      <c r="D61" s="2779"/>
      <c r="E61" s="1490"/>
      <c r="F61" s="1493"/>
    </row>
    <row r="62" spans="1:15">
      <c r="A62" s="1606"/>
      <c r="B62" s="1606"/>
      <c r="C62" s="1597" t="s">
        <v>49</v>
      </c>
      <c r="D62" s="2780">
        <f>SUM(D63:D66)</f>
        <v>0</v>
      </c>
      <c r="E62" s="1657">
        <f>SUM(E63:E66)</f>
        <v>0</v>
      </c>
      <c r="F62" s="1638">
        <f>SUM(F63:F64)</f>
        <v>0</v>
      </c>
    </row>
    <row r="63" spans="1:15">
      <c r="C63" s="1667"/>
      <c r="D63" s="2778"/>
      <c r="E63" s="1672"/>
      <c r="F63" s="1661">
        <f>SUM(D63:E63)</f>
        <v>0</v>
      </c>
    </row>
    <row r="64" spans="1:15">
      <c r="C64" s="1667"/>
      <c r="D64" s="2778"/>
      <c r="E64" s="1672"/>
      <c r="F64" s="1661">
        <f>SUM(D64:E64)</f>
        <v>0</v>
      </c>
    </row>
    <row r="65" spans="3:6">
      <c r="C65" s="1667"/>
      <c r="D65" s="2778"/>
      <c r="E65" s="1672"/>
      <c r="F65" s="1661">
        <f>SUM(D65:E65)</f>
        <v>0</v>
      </c>
    </row>
    <row r="66" spans="3:6">
      <c r="C66" s="1667"/>
      <c r="D66" s="2778"/>
      <c r="E66" s="1672"/>
      <c r="F66" s="1661">
        <v>0</v>
      </c>
    </row>
    <row r="67" spans="3:6">
      <c r="C67" s="1488"/>
      <c r="D67" s="2779"/>
      <c r="E67" s="1490"/>
      <c r="F67" s="1493"/>
    </row>
    <row r="68" spans="3:6">
      <c r="C68" s="1597" t="s">
        <v>14</v>
      </c>
      <c r="D68" s="2771">
        <v>412500</v>
      </c>
      <c r="E68" s="1464">
        <v>100000</v>
      </c>
      <c r="F68" s="1638"/>
    </row>
    <row r="69" spans="3:6">
      <c r="C69" s="1500"/>
      <c r="D69" s="2781"/>
      <c r="E69" s="1496"/>
      <c r="F69" s="1499"/>
    </row>
    <row r="70" spans="3:6">
      <c r="C70" s="1501"/>
      <c r="D70" s="2782"/>
      <c r="E70" s="1497"/>
      <c r="F70" s="1498"/>
    </row>
    <row r="71" spans="3:6">
      <c r="C71" s="1494"/>
      <c r="D71" s="2778"/>
      <c r="E71" s="1671"/>
      <c r="F71"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17" activePane="bottomRight" state="frozen"/>
      <selection pane="bottomRight" activeCell="E33" sqref="E33"/>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00"/>
  </sheetPr>
  <dimension ref="A1:R70"/>
  <sheetViews>
    <sheetView showGridLines="0" zoomScaleNormal="100" workbookViewId="0">
      <pane xSplit="1" ySplit="1" topLeftCell="C2" activePane="bottomRight" state="frozen"/>
      <selection pane="topRight"/>
      <selection pane="bottomLeft"/>
      <selection pane="bottomRight"/>
    </sheetView>
  </sheetViews>
  <sheetFormatPr defaultColWidth="8.8554687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8.85546875" style="1652"/>
  </cols>
  <sheetData>
    <row r="1" spans="1:18" ht="45.75" customHeight="1">
      <c r="D1" s="1360" t="s">
        <v>1757</v>
      </c>
      <c r="E1" s="1360" t="s">
        <v>1764</v>
      </c>
      <c r="F1" s="1360" t="s">
        <v>1762</v>
      </c>
      <c r="G1" s="1360" t="s">
        <v>5</v>
      </c>
      <c r="H1" s="1429" t="s">
        <v>1763</v>
      </c>
      <c r="I1" s="1361" t="s">
        <v>4</v>
      </c>
      <c r="M1" s="1360" t="s">
        <v>1757</v>
      </c>
      <c r="N1" s="1360" t="s">
        <v>1764</v>
      </c>
      <c r="O1" s="1360" t="s">
        <v>1762</v>
      </c>
      <c r="P1" s="1360" t="s">
        <v>5</v>
      </c>
      <c r="Q1" s="1429" t="s">
        <v>1763</v>
      </c>
      <c r="R1" s="1361" t="s">
        <v>4</v>
      </c>
    </row>
    <row r="2" spans="1:18" ht="13.5" thickBot="1">
      <c r="E2" s="1662"/>
      <c r="F2" s="1662"/>
      <c r="G2" s="1354"/>
      <c r="H2" s="1178" t="s">
        <v>627</v>
      </c>
      <c r="I2" s="1354"/>
      <c r="J2" s="1354"/>
      <c r="K2" s="1354"/>
      <c r="L2" s="1354"/>
      <c r="M2" s="1354"/>
      <c r="N2" s="1354"/>
      <c r="O2" s="1354"/>
      <c r="P2" s="1354"/>
      <c r="Q2" s="1354"/>
    </row>
    <row r="3" spans="1:18" ht="26.25" thickBot="1">
      <c r="A3" s="1298" t="s">
        <v>1757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1764</v>
      </c>
      <c r="B4" s="1298"/>
      <c r="E4" s="1662"/>
      <c r="F4" s="1662"/>
      <c r="G4" s="2946" t="s">
        <v>1726</v>
      </c>
      <c r="H4" s="2959"/>
      <c r="I4" s="2960"/>
      <c r="J4" s="2960"/>
      <c r="K4" s="2960"/>
      <c r="L4" s="2960"/>
      <c r="M4" s="2960"/>
      <c r="N4" s="2960"/>
      <c r="O4" s="2960"/>
      <c r="P4" s="2960"/>
      <c r="Q4" s="2960"/>
      <c r="R4" s="2960"/>
    </row>
    <row r="5" spans="1:18" ht="15.75">
      <c r="A5" s="1298" t="s">
        <v>1762</v>
      </c>
      <c r="C5" s="4" t="s">
        <v>6</v>
      </c>
      <c r="D5" s="5"/>
      <c r="E5" s="5"/>
      <c r="F5" s="5"/>
      <c r="G5" s="3205" t="s">
        <v>1753</v>
      </c>
      <c r="H5" s="2617"/>
      <c r="I5" s="2618"/>
      <c r="J5" s="2618"/>
      <c r="K5" s="2618"/>
      <c r="L5" s="2618"/>
      <c r="M5" s="2618"/>
      <c r="N5" s="2618"/>
      <c r="O5" s="2618"/>
      <c r="P5" s="2618"/>
      <c r="Q5" s="2618"/>
      <c r="R5" s="2618"/>
    </row>
    <row r="6" spans="1:18" ht="16.5" thickBot="1">
      <c r="A6" s="1298" t="s">
        <v>5</v>
      </c>
      <c r="B6" s="1429"/>
      <c r="C6" s="1579"/>
      <c r="D6" s="1579"/>
      <c r="E6" s="1579"/>
      <c r="F6" s="1579"/>
      <c r="G6" s="3206" t="s">
        <v>1754</v>
      </c>
      <c r="H6" s="2621">
        <f>E15</f>
        <v>78624</v>
      </c>
      <c r="I6" s="2622">
        <f>E21</f>
        <v>0</v>
      </c>
      <c r="J6" s="2623">
        <f>E27</f>
        <v>70604.351999999999</v>
      </c>
      <c r="K6" s="2622">
        <f>E37</f>
        <v>0</v>
      </c>
      <c r="L6" s="2622">
        <f>E43</f>
        <v>12000</v>
      </c>
      <c r="M6" s="2622">
        <f>E49</f>
        <v>0</v>
      </c>
      <c r="N6" s="2622">
        <f>E55</f>
        <v>0</v>
      </c>
      <c r="O6" s="2622">
        <f>E61</f>
        <v>0</v>
      </c>
      <c r="P6" s="2622">
        <v>0</v>
      </c>
      <c r="Q6" s="2622"/>
      <c r="R6" s="2622">
        <f>SUM(H6:P6)</f>
        <v>161228.35200000001</v>
      </c>
    </row>
    <row r="7" spans="1:18" s="1663" customFormat="1" ht="15.75">
      <c r="A7" s="1429" t="s">
        <v>1763</v>
      </c>
      <c r="B7" s="1298"/>
      <c r="C7" s="942"/>
      <c r="D7" s="1579"/>
      <c r="E7" s="1579"/>
      <c r="F7" s="1579"/>
      <c r="G7" s="2733"/>
      <c r="H7" s="2607"/>
      <c r="I7" s="2607"/>
      <c r="J7" s="2607"/>
      <c r="K7" s="2607"/>
      <c r="L7" s="2607"/>
      <c r="M7" s="2607"/>
      <c r="N7" s="2607"/>
      <c r="O7" s="2607"/>
      <c r="P7" s="2607"/>
      <c r="Q7" s="2607"/>
      <c r="R7" s="2607"/>
    </row>
    <row r="8" spans="1:18" s="12" customFormat="1" ht="25.5">
      <c r="A8" s="3212" t="s">
        <v>4</v>
      </c>
      <c r="B8" s="3212"/>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c r="E12" s="1484">
        <f>E15+E21+E27+E37+E43+E49+E55+E61</f>
        <v>161228.35200000001</v>
      </c>
      <c r="F12" s="1638">
        <f>D12+E12</f>
        <v>161228.35200000001</v>
      </c>
      <c r="G12" s="424"/>
      <c r="H12" s="424"/>
      <c r="I12" s="1579"/>
      <c r="J12" s="1579"/>
      <c r="K12" s="1579"/>
      <c r="L12" s="1579"/>
      <c r="M12" s="1579"/>
      <c r="N12" s="1579"/>
      <c r="O12" s="1579"/>
    </row>
    <row r="13" spans="1:18" ht="15.75">
      <c r="A13" s="423"/>
      <c r="B13" s="423"/>
      <c r="C13" s="1483"/>
      <c r="D13" s="1652"/>
      <c r="E13" s="1336"/>
      <c r="G13" s="424"/>
      <c r="H13" s="424"/>
      <c r="I13" s="418"/>
      <c r="J13" s="418"/>
      <c r="K13" s="418"/>
      <c r="L13" s="418"/>
      <c r="M13" s="418"/>
      <c r="N13" s="418"/>
      <c r="O13" s="418"/>
    </row>
    <row r="14" spans="1:18" ht="15.75">
      <c r="A14" s="423"/>
      <c r="B14" s="423"/>
      <c r="C14" s="1435" t="s">
        <v>42</v>
      </c>
      <c r="D14" s="2768"/>
      <c r="E14" s="1502">
        <v>2017</v>
      </c>
      <c r="F14" s="1486" t="s">
        <v>20</v>
      </c>
      <c r="G14" s="424"/>
      <c r="H14" s="424"/>
      <c r="I14" s="418"/>
      <c r="J14" s="418"/>
      <c r="K14" s="418"/>
      <c r="L14" s="418"/>
      <c r="M14" s="418"/>
      <c r="N14" s="418"/>
      <c r="O14" s="418"/>
    </row>
    <row r="15" spans="1:18">
      <c r="A15" s="1606"/>
      <c r="B15" s="1433" t="s">
        <v>296</v>
      </c>
      <c r="C15" s="1658" t="s">
        <v>43</v>
      </c>
      <c r="D15" s="2766"/>
      <c r="E15" s="1657">
        <f>SUM(E16:E19)</f>
        <v>78624</v>
      </c>
      <c r="F15" s="1638">
        <f>SUM(F16:F19)</f>
        <v>78624</v>
      </c>
      <c r="G15" s="1579"/>
      <c r="H15" s="1579"/>
      <c r="I15" s="1579"/>
      <c r="J15" s="1579"/>
      <c r="K15" s="1579"/>
      <c r="L15" s="1579"/>
      <c r="M15" s="1579"/>
      <c r="N15" s="1579"/>
      <c r="O15" s="1579"/>
    </row>
    <row r="16" spans="1:18" ht="15.75" customHeight="1">
      <c r="A16" s="1606"/>
      <c r="B16" s="2200">
        <v>0.5</v>
      </c>
      <c r="C16" s="2201" t="s">
        <v>781</v>
      </c>
      <c r="D16" s="2783"/>
      <c r="E16" s="2202">
        <v>39312</v>
      </c>
      <c r="F16" s="1426">
        <f>SUM(D16:E16)</f>
        <v>39312</v>
      </c>
      <c r="G16" s="1579"/>
      <c r="H16" s="1579"/>
    </row>
    <row r="17" spans="1:15">
      <c r="A17" s="1606"/>
      <c r="B17" s="2200">
        <v>1.5</v>
      </c>
      <c r="C17" s="2201" t="s">
        <v>735</v>
      </c>
      <c r="D17" s="2783"/>
      <c r="E17" s="2202">
        <v>39312</v>
      </c>
      <c r="F17" s="1661">
        <f>SUM(D17:E17)</f>
        <v>39312</v>
      </c>
      <c r="G17" s="1579"/>
      <c r="H17" s="1579"/>
    </row>
    <row r="18" spans="1:15">
      <c r="A18" s="1606"/>
      <c r="B18" s="2200"/>
      <c r="C18" s="2201"/>
      <c r="D18" s="2783"/>
      <c r="E18" s="2202"/>
      <c r="F18" s="1661">
        <f>SUM(D18:E18)</f>
        <v>0</v>
      </c>
      <c r="G18" s="1579"/>
      <c r="H18" s="1579"/>
    </row>
    <row r="19" spans="1:15" s="1664" customFormat="1">
      <c r="A19" s="1606"/>
      <c r="B19" s="2200"/>
      <c r="C19" s="2201"/>
      <c r="D19" s="2783"/>
      <c r="E19" s="2202"/>
      <c r="F19" s="1661">
        <f>SUM(D19:E19)</f>
        <v>0</v>
      </c>
      <c r="G19" s="1579"/>
      <c r="H19" s="1579"/>
      <c r="I19" s="1652"/>
      <c r="J19" s="1652"/>
      <c r="K19" s="1652"/>
      <c r="L19" s="1652"/>
      <c r="M19" s="1652"/>
      <c r="N19" s="1652"/>
      <c r="O19" s="1652"/>
    </row>
    <row r="20" spans="1:15">
      <c r="A20" s="1606"/>
      <c r="B20" s="1449">
        <f>SUM(B16:B19)</f>
        <v>2</v>
      </c>
      <c r="C20" s="1488"/>
      <c r="D20" s="2770"/>
      <c r="E20" s="1490"/>
      <c r="F20" s="1492"/>
      <c r="G20" s="420" t="s">
        <v>6</v>
      </c>
      <c r="H20" s="1579"/>
    </row>
    <row r="21" spans="1:15">
      <c r="A21" s="1606"/>
      <c r="B21" s="1606"/>
      <c r="C21" s="1597" t="s">
        <v>44</v>
      </c>
      <c r="D21" s="2771"/>
      <c r="E21" s="1464">
        <f>SUM(E22:E25)</f>
        <v>0</v>
      </c>
      <c r="F21" s="1638">
        <f>SUM(F22:F25)</f>
        <v>0</v>
      </c>
      <c r="G21" s="421"/>
      <c r="H21" s="1579"/>
    </row>
    <row r="22" spans="1:15">
      <c r="A22" s="1606"/>
      <c r="B22" s="1606"/>
      <c r="C22" s="1667"/>
      <c r="D22" s="2772"/>
      <c r="E22" s="1669"/>
      <c r="F22" s="1426">
        <f>SUM(D22:E22)</f>
        <v>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ht="13.5" customHeight="1">
      <c r="A26" s="423"/>
      <c r="B26" s="423"/>
      <c r="C26" s="1424"/>
      <c r="D26" s="2776"/>
      <c r="E26" s="1431"/>
      <c r="F26" s="1439"/>
      <c r="G26" s="418"/>
      <c r="H26" s="418"/>
    </row>
    <row r="27" spans="1:15">
      <c r="A27" s="1606"/>
      <c r="B27" s="1606"/>
      <c r="C27" s="1597" t="s">
        <v>45</v>
      </c>
      <c r="D27" s="2771"/>
      <c r="E27" s="1657">
        <f>SUM(E29:E31)+SUM(E33:E35)</f>
        <v>70604.351999999999</v>
      </c>
      <c r="F27" s="1638">
        <f>SUM(F29:F35)</f>
        <v>70604.351999999999</v>
      </c>
      <c r="G27" s="1579"/>
      <c r="H27" s="1579"/>
    </row>
    <row r="28" spans="1:15">
      <c r="A28" s="423"/>
      <c r="B28" s="423"/>
      <c r="C28" s="1450" t="s">
        <v>1733</v>
      </c>
      <c r="D28" s="2777"/>
      <c r="E28" s="1452">
        <v>0.68799999999999994</v>
      </c>
      <c r="F28" s="1485"/>
      <c r="G28" s="418"/>
      <c r="H28" s="418"/>
    </row>
    <row r="29" spans="1:15">
      <c r="A29" s="1606"/>
      <c r="B29" s="1606"/>
      <c r="C29" s="1667" t="s">
        <v>719</v>
      </c>
      <c r="D29" s="2778"/>
      <c r="E29" s="1641">
        <f>E15*E28</f>
        <v>54093.311999999998</v>
      </c>
      <c r="F29" s="1661">
        <f>SUM(D29:E29)</f>
        <v>54093.311999999998</v>
      </c>
      <c r="G29" s="1579"/>
      <c r="H29" s="1579"/>
    </row>
    <row r="30" spans="1:15">
      <c r="A30" s="1606"/>
      <c r="B30" s="1606"/>
      <c r="C30" s="1667" t="s">
        <v>720</v>
      </c>
      <c r="D30" s="2778"/>
      <c r="E30" s="1641">
        <f>E21*E28</f>
        <v>0</v>
      </c>
      <c r="F30" s="1661">
        <f>SUM(D30:E30)</f>
        <v>0</v>
      </c>
      <c r="G30" s="1579"/>
      <c r="H30" s="1579"/>
    </row>
    <row r="31" spans="1:15">
      <c r="A31" s="1606"/>
      <c r="B31" s="1606"/>
      <c r="C31" s="1667"/>
      <c r="D31" s="2778"/>
      <c r="E31" s="1641"/>
      <c r="F31" s="1661">
        <f>SUM(D31:E31)</f>
        <v>0</v>
      </c>
      <c r="G31" s="1579"/>
      <c r="H31" s="1579"/>
    </row>
    <row r="32" spans="1:15">
      <c r="A32" s="1606"/>
      <c r="B32" s="1606"/>
      <c r="C32" s="1450" t="s">
        <v>1734</v>
      </c>
      <c r="D32" s="2777"/>
      <c r="E32" s="1452">
        <v>0.21</v>
      </c>
      <c r="F32" s="1485"/>
      <c r="G32" s="1579"/>
      <c r="H32" s="1579"/>
    </row>
    <row r="33" spans="1:15">
      <c r="A33" s="1606"/>
      <c r="B33" s="1606"/>
      <c r="C33" s="1667" t="s">
        <v>719</v>
      </c>
      <c r="D33" s="2778"/>
      <c r="E33" s="1641">
        <f>E15*E32</f>
        <v>16511.04</v>
      </c>
      <c r="F33" s="1661">
        <f>SUM(D33:E33)</f>
        <v>16511.04</v>
      </c>
      <c r="G33" s="1579"/>
      <c r="H33" s="1579"/>
    </row>
    <row r="34" spans="1:15">
      <c r="A34" s="1606"/>
      <c r="B34" s="1606"/>
      <c r="C34" s="1667" t="s">
        <v>720</v>
      </c>
      <c r="D34" s="2785"/>
      <c r="E34" s="1641">
        <f>E21*E32</f>
        <v>0</v>
      </c>
      <c r="F34" s="1661">
        <f t="shared" ref="F34" si="0">SUM(D34:E34)</f>
        <v>0</v>
      </c>
      <c r="G34" s="1579"/>
      <c r="H34" s="1579"/>
    </row>
    <row r="35" spans="1:15">
      <c r="A35" s="1298" t="s">
        <v>1757</v>
      </c>
      <c r="B35" s="1653"/>
      <c r="C35" s="1667"/>
      <c r="D35" s="2778"/>
      <c r="E35" s="1641"/>
      <c r="F35" s="1437">
        <f>SUM(D35:E35)</f>
        <v>0</v>
      </c>
      <c r="G35" s="417"/>
    </row>
    <row r="36" spans="1:15">
      <c r="A36" s="1663" t="s">
        <v>1764</v>
      </c>
      <c r="B36" s="1606"/>
      <c r="C36" s="1488"/>
      <c r="D36" s="2779"/>
      <c r="E36" s="1490"/>
      <c r="F36" s="1493"/>
      <c r="G36" s="1579"/>
    </row>
    <row r="37" spans="1:15" s="1664" customFormat="1">
      <c r="A37" s="1298" t="s">
        <v>1762</v>
      </c>
      <c r="B37" s="423"/>
      <c r="C37" s="1597" t="s">
        <v>46</v>
      </c>
      <c r="D37" s="2771"/>
      <c r="E37" s="1464">
        <v>0</v>
      </c>
      <c r="F37" s="1638">
        <v>0</v>
      </c>
      <c r="G37" s="418"/>
      <c r="H37" s="1652"/>
      <c r="I37" s="1652"/>
      <c r="J37" s="1652"/>
      <c r="K37" s="1652"/>
      <c r="L37" s="1652"/>
      <c r="M37" s="1652"/>
      <c r="N37" s="1652"/>
      <c r="O37" s="1652"/>
    </row>
    <row r="38" spans="1:15">
      <c r="A38" s="1298" t="s">
        <v>5</v>
      </c>
      <c r="B38" s="1606"/>
      <c r="C38" s="1667"/>
      <c r="D38" s="2778"/>
      <c r="E38" s="1672"/>
      <c r="F38" s="1661">
        <v>0</v>
      </c>
      <c r="G38" s="1579"/>
    </row>
    <row r="39" spans="1:15">
      <c r="A39" s="1429" t="s">
        <v>1763</v>
      </c>
      <c r="B39" s="1606"/>
      <c r="C39" s="1667"/>
      <c r="D39" s="2778"/>
      <c r="E39" s="1672"/>
      <c r="F39" s="1661">
        <v>0</v>
      </c>
      <c r="G39" s="1579"/>
    </row>
    <row r="40" spans="1:15">
      <c r="A40" s="3212"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c r="E43" s="1464">
        <f>SUM(E44:E47)</f>
        <v>12000</v>
      </c>
      <c r="F43" s="1638">
        <f t="shared" ref="F43:F59" si="1">SUM(D43:E43)</f>
        <v>12000</v>
      </c>
      <c r="G43" s="1579"/>
    </row>
    <row r="44" spans="1:15">
      <c r="A44" s="1606"/>
      <c r="B44" s="1606"/>
      <c r="C44" s="1667" t="s">
        <v>781</v>
      </c>
      <c r="D44" s="2778"/>
      <c r="E44" s="1672">
        <v>6000</v>
      </c>
      <c r="F44" s="1661">
        <f t="shared" si="1"/>
        <v>6000</v>
      </c>
      <c r="G44" s="1579"/>
    </row>
    <row r="45" spans="1:15">
      <c r="A45" s="1606"/>
      <c r="B45" s="1606"/>
      <c r="C45" s="1667" t="s">
        <v>735</v>
      </c>
      <c r="D45" s="2778"/>
      <c r="E45" s="1672">
        <v>6000</v>
      </c>
      <c r="F45" s="1661">
        <f t="shared" si="1"/>
        <v>6000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c r="E49" s="1464">
        <f>SUM(E50:E53)</f>
        <v>0</v>
      </c>
      <c r="F49" s="1638">
        <f t="shared" si="1"/>
        <v>0</v>
      </c>
      <c r="G49" s="1579"/>
    </row>
    <row r="50" spans="1:15">
      <c r="A50" s="1606"/>
      <c r="B50" s="1606"/>
      <c r="C50" s="1667"/>
      <c r="D50" s="2778"/>
      <c r="E50" s="1672">
        <v>0</v>
      </c>
      <c r="F50" s="1661">
        <f t="shared" si="1"/>
        <v>0</v>
      </c>
      <c r="G50" s="1579"/>
    </row>
    <row r="51" spans="1:15">
      <c r="A51" s="1606"/>
      <c r="B51" s="1606"/>
      <c r="C51" s="1667"/>
      <c r="D51" s="2778"/>
      <c r="E51" s="1672"/>
      <c r="F51" s="1661">
        <f t="shared" si="1"/>
        <v>0</v>
      </c>
      <c r="G51" s="1579"/>
    </row>
    <row r="52" spans="1:15">
      <c r="A52" s="1606"/>
      <c r="B52" s="1606"/>
      <c r="C52" s="1667"/>
      <c r="D52" s="2778"/>
      <c r="E52" s="1672"/>
      <c r="F52" s="1661">
        <f t="shared" si="1"/>
        <v>0</v>
      </c>
      <c r="G52" s="1579"/>
    </row>
    <row r="53" spans="1:15" s="1664" customFormat="1">
      <c r="A53" s="1606"/>
      <c r="B53" s="1606"/>
      <c r="C53" s="1667"/>
      <c r="D53" s="2778"/>
      <c r="E53" s="1672"/>
      <c r="F53" s="1661">
        <f t="shared" si="1"/>
        <v>0</v>
      </c>
      <c r="G53" s="1652"/>
      <c r="H53" s="1652"/>
      <c r="I53" s="1652"/>
      <c r="J53" s="1652"/>
      <c r="K53" s="1652"/>
      <c r="L53" s="1652"/>
      <c r="M53" s="1652"/>
      <c r="N53" s="1652"/>
      <c r="O53" s="1652"/>
    </row>
    <row r="54" spans="1:15">
      <c r="A54" s="1606"/>
      <c r="B54" s="1606"/>
      <c r="C54" s="1488"/>
      <c r="D54" s="2779"/>
      <c r="E54" s="1490"/>
      <c r="F54" s="1493"/>
    </row>
    <row r="55" spans="1:15">
      <c r="A55" s="1606"/>
      <c r="B55" s="1606"/>
      <c r="C55" s="1597" t="s">
        <v>48</v>
      </c>
      <c r="D55" s="2771"/>
      <c r="E55" s="1464">
        <f>SUM(E56:E59)</f>
        <v>0</v>
      </c>
      <c r="F55" s="1638">
        <f t="shared" si="1"/>
        <v>0</v>
      </c>
    </row>
    <row r="56" spans="1:15">
      <c r="A56" s="1606"/>
      <c r="B56" s="1606"/>
      <c r="C56" s="1667"/>
      <c r="D56" s="2778"/>
      <c r="E56" s="1641"/>
      <c r="F56" s="1661">
        <f t="shared" si="1"/>
        <v>0</v>
      </c>
    </row>
    <row r="57" spans="1:15">
      <c r="A57" s="1606"/>
      <c r="B57" s="1606"/>
      <c r="C57" s="1667"/>
      <c r="D57" s="2778"/>
      <c r="E57" s="1641"/>
      <c r="F57" s="1661">
        <f t="shared" si="1"/>
        <v>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488"/>
      <c r="D60" s="2779"/>
      <c r="E60" s="1490"/>
      <c r="F60" s="1493"/>
    </row>
    <row r="61" spans="1:15">
      <c r="A61" s="1606"/>
      <c r="B61" s="1606"/>
      <c r="C61" s="1597" t="s">
        <v>49</v>
      </c>
      <c r="D61" s="2780"/>
      <c r="E61" s="1657">
        <f>SUM(E62:E65)</f>
        <v>0</v>
      </c>
      <c r="F61" s="1602">
        <f>SUM(D61:E61)</f>
        <v>0</v>
      </c>
    </row>
    <row r="62" spans="1:15">
      <c r="C62" s="1667"/>
      <c r="D62" s="2778"/>
      <c r="E62" s="1672"/>
      <c r="F62" s="1661">
        <f>SUM(D62:E62)</f>
        <v>0</v>
      </c>
    </row>
    <row r="63" spans="1:15">
      <c r="C63" s="1667"/>
      <c r="D63" s="2778"/>
      <c r="E63" s="1672"/>
      <c r="F63" s="1661">
        <f>D63+E63</f>
        <v>0</v>
      </c>
    </row>
    <row r="64" spans="1:15">
      <c r="C64" s="1667"/>
      <c r="D64" s="2778"/>
      <c r="E64" s="1672"/>
      <c r="F64" s="1661">
        <f>SUM(D64:E64)</f>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6600"/>
  </sheetPr>
  <dimension ref="A1:R70"/>
  <sheetViews>
    <sheetView showGridLines="0" workbookViewId="0">
      <pane xSplit="1" ySplit="1" topLeftCell="C8" activePane="bottomRight" state="frozen"/>
      <selection pane="topRight"/>
      <selection pane="bottomLeft"/>
      <selection pane="bottomRight" activeCell="E15" sqref="E15"/>
    </sheetView>
  </sheetViews>
  <sheetFormatPr defaultColWidth="8.85546875" defaultRowHeight="12.75"/>
  <cols>
    <col min="1" max="2" width="15.42578125" style="1652" customWidth="1"/>
    <col min="3" max="3" width="30.42578125" style="1652" customWidth="1"/>
    <col min="4" max="4" width="20.85546875" style="1662" customWidth="1"/>
    <col min="5" max="5" width="20.85546875" style="1339" customWidth="1"/>
    <col min="6" max="6" width="18.85546875" style="1652" customWidth="1"/>
    <col min="7" max="7" width="17" style="1652" customWidth="1"/>
    <col min="8" max="8" width="15.7109375" style="1652" customWidth="1"/>
    <col min="9" max="9" width="15.5703125" style="1652" customWidth="1"/>
    <col min="10" max="10" width="16.28515625" style="1652" customWidth="1"/>
    <col min="11" max="11" width="17.5703125" style="1652" customWidth="1"/>
    <col min="12" max="12" width="19" style="1652" customWidth="1"/>
    <col min="13" max="13" width="21.28515625" style="1652" customWidth="1"/>
    <col min="14" max="14" width="17.140625" style="1652" customWidth="1"/>
    <col min="15" max="15" width="13.42578125" style="1652" customWidth="1"/>
    <col min="16" max="16" width="19.28515625" style="1652" customWidth="1"/>
    <col min="17" max="17" width="10.5703125" style="1652" customWidth="1"/>
    <col min="18" max="18" width="15" style="1652" customWidth="1"/>
    <col min="19" max="16384" width="8.85546875" style="1652"/>
  </cols>
  <sheetData>
    <row r="1" spans="1:18" ht="45.75" customHeight="1">
      <c r="D1" s="1360" t="s">
        <v>1757</v>
      </c>
      <c r="E1" s="1360" t="s">
        <v>1765</v>
      </c>
      <c r="F1" s="1360" t="s">
        <v>1762</v>
      </c>
      <c r="G1" s="1360" t="s">
        <v>5</v>
      </c>
      <c r="H1" s="1429" t="s">
        <v>1763</v>
      </c>
      <c r="I1" s="1361" t="s">
        <v>4</v>
      </c>
      <c r="M1" s="1360" t="s">
        <v>1757</v>
      </c>
      <c r="N1" s="1360" t="s">
        <v>1765</v>
      </c>
      <c r="O1" s="1360" t="s">
        <v>1762</v>
      </c>
      <c r="P1" s="1360" t="s">
        <v>5</v>
      </c>
      <c r="Q1" s="1429" t="s">
        <v>1763</v>
      </c>
      <c r="R1" s="1361" t="s">
        <v>4</v>
      </c>
    </row>
    <row r="2" spans="1:18" ht="13.5" thickBot="1">
      <c r="E2" s="1662"/>
      <c r="F2" s="1662"/>
      <c r="G2" s="1354"/>
      <c r="H2" s="1178" t="s">
        <v>627</v>
      </c>
      <c r="I2" s="1354"/>
      <c r="J2" s="1354"/>
      <c r="K2" s="1354"/>
      <c r="L2" s="1354"/>
      <c r="M2" s="1354"/>
      <c r="N2" s="1354"/>
      <c r="O2" s="1354"/>
      <c r="P2" s="1354"/>
      <c r="Q2" s="1354"/>
    </row>
    <row r="3" spans="1:18" ht="26.25" thickBot="1">
      <c r="A3" s="1298" t="s">
        <v>1757</v>
      </c>
      <c r="B3" s="1298"/>
      <c r="E3" s="1662"/>
      <c r="F3" s="1662"/>
      <c r="G3" s="1354"/>
      <c r="H3" s="1181" t="s">
        <v>7</v>
      </c>
      <c r="I3" s="2642" t="s">
        <v>8</v>
      </c>
      <c r="J3" s="2642" t="s">
        <v>9</v>
      </c>
      <c r="K3" s="2642" t="s">
        <v>10</v>
      </c>
      <c r="L3" s="2643" t="s">
        <v>482</v>
      </c>
      <c r="M3" s="2642" t="s">
        <v>11</v>
      </c>
      <c r="N3" s="2642" t="s">
        <v>12</v>
      </c>
      <c r="O3" s="2642" t="s">
        <v>13</v>
      </c>
      <c r="P3" s="2643" t="s">
        <v>14</v>
      </c>
      <c r="Q3" s="2643"/>
      <c r="R3" s="2643" t="s">
        <v>15</v>
      </c>
    </row>
    <row r="4" spans="1:18" ht="16.5" thickBot="1">
      <c r="A4" s="1663" t="s">
        <v>1765</v>
      </c>
      <c r="B4" s="1298"/>
      <c r="E4" s="1662"/>
      <c r="F4" s="1662"/>
      <c r="G4" s="2946" t="s">
        <v>1726</v>
      </c>
      <c r="H4" s="2959"/>
      <c r="I4" s="2960"/>
      <c r="J4" s="2960"/>
      <c r="K4" s="2960"/>
      <c r="L4" s="2960"/>
      <c r="M4" s="2960"/>
      <c r="N4" s="2960"/>
      <c r="O4" s="2960"/>
      <c r="P4" s="2960"/>
      <c r="Q4" s="2960"/>
      <c r="R4" s="2960"/>
    </row>
    <row r="5" spans="1:18" ht="15.75">
      <c r="A5" s="1298" t="s">
        <v>1762</v>
      </c>
      <c r="C5" s="4" t="s">
        <v>6</v>
      </c>
      <c r="D5" s="5"/>
      <c r="E5" s="5"/>
      <c r="F5" s="5"/>
      <c r="G5" s="3205" t="s">
        <v>1753</v>
      </c>
      <c r="H5" s="2617"/>
      <c r="I5" s="2618"/>
      <c r="J5" s="2618"/>
      <c r="K5" s="2618"/>
      <c r="L5" s="2618"/>
      <c r="M5" s="2618"/>
      <c r="N5" s="2618"/>
      <c r="O5" s="2618"/>
      <c r="P5" s="2618"/>
      <c r="Q5" s="2618"/>
      <c r="R5" s="2618"/>
    </row>
    <row r="6" spans="1:18" ht="16.5" thickBot="1">
      <c r="A6" s="1298" t="s">
        <v>5</v>
      </c>
      <c r="B6" s="1429"/>
      <c r="C6" s="1579"/>
      <c r="D6" s="1579"/>
      <c r="E6" s="1579"/>
      <c r="F6" s="1579"/>
      <c r="G6" s="3206" t="s">
        <v>1754</v>
      </c>
      <c r="H6" s="2621">
        <f>E15</f>
        <v>78624</v>
      </c>
      <c r="I6" s="2622">
        <f>E21</f>
        <v>0</v>
      </c>
      <c r="J6" s="2623">
        <f>E27</f>
        <v>70604.351999999999</v>
      </c>
      <c r="K6" s="2622">
        <f>E37</f>
        <v>0</v>
      </c>
      <c r="L6" s="2622">
        <f>E43</f>
        <v>12000</v>
      </c>
      <c r="M6" s="2622">
        <f>E49</f>
        <v>0</v>
      </c>
      <c r="N6" s="2622">
        <f>E55</f>
        <v>0</v>
      </c>
      <c r="O6" s="2622">
        <f>E61</f>
        <v>0</v>
      </c>
      <c r="P6" s="2622">
        <v>0</v>
      </c>
      <c r="Q6" s="2622"/>
      <c r="R6" s="2622">
        <f>SUM(H6:P6)</f>
        <v>161228.35200000001</v>
      </c>
    </row>
    <row r="7" spans="1:18" s="1663" customFormat="1" ht="15.75">
      <c r="A7" s="1429" t="s">
        <v>1763</v>
      </c>
      <c r="B7" s="1298"/>
      <c r="C7" s="942"/>
      <c r="D7" s="1579"/>
      <c r="E7" s="1579"/>
      <c r="F7" s="1579"/>
      <c r="G7" s="2733"/>
      <c r="H7" s="2607"/>
      <c r="I7" s="2607"/>
      <c r="J7" s="2607"/>
      <c r="K7" s="2607"/>
      <c r="L7" s="2607"/>
      <c r="M7" s="2607"/>
      <c r="N7" s="2607"/>
      <c r="O7" s="2607"/>
      <c r="P7" s="2607"/>
      <c r="Q7" s="2607"/>
      <c r="R7" s="2607"/>
    </row>
    <row r="8" spans="1:18" s="12" customFormat="1" ht="25.5">
      <c r="A8" s="3212" t="s">
        <v>4</v>
      </c>
      <c r="B8" s="3212"/>
      <c r="C8" s="11"/>
      <c r="D8" s="11"/>
      <c r="E8" s="11"/>
      <c r="F8" s="11"/>
      <c r="G8" s="415"/>
      <c r="H8" s="1335"/>
      <c r="I8" s="1579"/>
      <c r="J8" s="1579"/>
      <c r="K8" s="1579"/>
      <c r="L8" s="1579"/>
      <c r="M8" s="1579"/>
      <c r="N8" s="1579"/>
      <c r="O8" s="1579"/>
      <c r="P8" s="1606" t="s">
        <v>17</v>
      </c>
      <c r="Q8" s="1579"/>
    </row>
    <row r="9" spans="1:18" s="14" customFormat="1">
      <c r="A9" s="10"/>
      <c r="B9" s="10"/>
      <c r="C9" s="11"/>
      <c r="D9" s="11"/>
      <c r="E9" s="11"/>
      <c r="F9" s="11"/>
      <c r="G9" s="415"/>
      <c r="H9" s="1335"/>
      <c r="I9" s="1579"/>
      <c r="J9" s="1579"/>
      <c r="K9" s="1579"/>
      <c r="L9" s="1579"/>
      <c r="M9" s="1579"/>
      <c r="N9" s="1579"/>
      <c r="O9" s="1579"/>
      <c r="P9" s="1606" t="s">
        <v>18</v>
      </c>
      <c r="Q9" s="1579"/>
    </row>
    <row r="10" spans="1:18">
      <c r="A10" s="1606"/>
      <c r="B10" s="1606"/>
      <c r="C10" s="1454" t="s">
        <v>310</v>
      </c>
      <c r="D10" s="1454"/>
      <c r="E10" s="1454"/>
      <c r="F10" s="1454"/>
    </row>
    <row r="11" spans="1:18">
      <c r="A11" s="1606"/>
      <c r="B11" s="1606"/>
      <c r="D11" s="1652"/>
      <c r="E11" s="1663"/>
    </row>
    <row r="12" spans="1:18" ht="15.75">
      <c r="A12" s="1606"/>
      <c r="B12" s="1606"/>
      <c r="C12" s="1434" t="s">
        <v>298</v>
      </c>
      <c r="D12" s="2766"/>
      <c r="E12" s="1909">
        <f>E15+E21+E27+E37+E43+E49+E55+E61</f>
        <v>161228.35200000001</v>
      </c>
      <c r="F12" s="1638">
        <f>D12+E12</f>
        <v>161228.35200000001</v>
      </c>
      <c r="G12" s="424"/>
      <c r="H12" s="424"/>
      <c r="I12" s="1579"/>
      <c r="J12" s="1579"/>
      <c r="K12" s="1579"/>
      <c r="L12" s="1579"/>
      <c r="M12" s="1579"/>
      <c r="N12" s="1579"/>
      <c r="O12" s="1579"/>
    </row>
    <row r="13" spans="1:18" ht="15.75">
      <c r="A13" s="423"/>
      <c r="B13" s="423"/>
      <c r="C13" s="1483"/>
      <c r="D13" s="1652"/>
      <c r="E13" s="1336"/>
      <c r="G13" s="424"/>
      <c r="H13" s="424"/>
      <c r="I13" s="418"/>
      <c r="J13" s="418"/>
      <c r="K13" s="418"/>
      <c r="L13" s="418"/>
      <c r="M13" s="418"/>
      <c r="N13" s="418"/>
      <c r="O13" s="418"/>
    </row>
    <row r="14" spans="1:18" ht="15.75">
      <c r="A14" s="423"/>
      <c r="B14" s="423"/>
      <c r="C14" s="1435" t="s">
        <v>42</v>
      </c>
      <c r="D14" s="2768"/>
      <c r="E14" s="1502">
        <v>2017</v>
      </c>
      <c r="F14" s="1486" t="s">
        <v>20</v>
      </c>
      <c r="G14" s="424"/>
      <c r="H14" s="424"/>
      <c r="I14" s="418"/>
      <c r="J14" s="418"/>
      <c r="K14" s="418"/>
      <c r="L14" s="418"/>
      <c r="M14" s="418"/>
      <c r="N14" s="418"/>
      <c r="O14" s="418"/>
    </row>
    <row r="15" spans="1:18">
      <c r="A15" s="1606"/>
      <c r="B15" s="1433" t="s">
        <v>296</v>
      </c>
      <c r="C15" s="1658" t="s">
        <v>43</v>
      </c>
      <c r="D15" s="2766"/>
      <c r="E15" s="1657">
        <f>SUM(E16:E19)</f>
        <v>78624</v>
      </c>
      <c r="F15" s="1638">
        <f>SUM(F16:F19)</f>
        <v>78624</v>
      </c>
      <c r="G15" s="1579"/>
      <c r="H15" s="1579"/>
      <c r="I15" s="1579"/>
      <c r="J15" s="1579"/>
      <c r="K15" s="1579"/>
      <c r="L15" s="1579"/>
      <c r="M15" s="1579"/>
      <c r="N15" s="1579"/>
      <c r="O15" s="1579"/>
    </row>
    <row r="16" spans="1:18" ht="15.75" customHeight="1">
      <c r="A16" s="1606"/>
      <c r="B16" s="2200">
        <v>0.5</v>
      </c>
      <c r="C16" s="2201" t="s">
        <v>781</v>
      </c>
      <c r="D16" s="2783"/>
      <c r="E16" s="2202">
        <v>39312</v>
      </c>
      <c r="F16" s="1426">
        <f>SUM(D16:E16)</f>
        <v>39312</v>
      </c>
      <c r="G16" s="1579"/>
      <c r="H16" s="1579"/>
    </row>
    <row r="17" spans="1:15">
      <c r="A17" s="1606"/>
      <c r="B17" s="2200">
        <v>1.5</v>
      </c>
      <c r="C17" s="2201" t="s">
        <v>735</v>
      </c>
      <c r="D17" s="2783"/>
      <c r="E17" s="2202">
        <v>39312</v>
      </c>
      <c r="F17" s="1661">
        <f>SUM(D17:E17)</f>
        <v>39312</v>
      </c>
      <c r="G17" s="1579"/>
      <c r="H17" s="1579"/>
    </row>
    <row r="18" spans="1:15">
      <c r="A18" s="1606"/>
      <c r="B18" s="2200"/>
      <c r="C18" s="2201"/>
      <c r="D18" s="2783"/>
      <c r="E18" s="2202"/>
      <c r="F18" s="1661">
        <f>SUM(D18:E18)</f>
        <v>0</v>
      </c>
      <c r="G18" s="1579"/>
      <c r="H18" s="1579"/>
    </row>
    <row r="19" spans="1:15" s="1664" customFormat="1">
      <c r="A19" s="1606"/>
      <c r="B19" s="2200"/>
      <c r="C19" s="2201"/>
      <c r="D19" s="2783"/>
      <c r="E19" s="2202"/>
      <c r="F19" s="1661">
        <f>SUM(D19:E19)</f>
        <v>0</v>
      </c>
      <c r="G19" s="1579"/>
      <c r="H19" s="1579"/>
      <c r="I19" s="1652"/>
      <c r="J19" s="1652"/>
      <c r="K19" s="1652"/>
      <c r="L19" s="1652"/>
      <c r="M19" s="1652"/>
      <c r="N19" s="1652"/>
      <c r="O19" s="1652"/>
    </row>
    <row r="20" spans="1:15">
      <c r="A20" s="1606"/>
      <c r="B20" s="1449">
        <f>SUM(B16:B19)</f>
        <v>2</v>
      </c>
      <c r="C20" s="1488"/>
      <c r="D20" s="2770"/>
      <c r="E20" s="1490"/>
      <c r="F20" s="1492"/>
      <c r="G20" s="420" t="s">
        <v>6</v>
      </c>
      <c r="H20" s="1579"/>
    </row>
    <row r="21" spans="1:15">
      <c r="A21" s="1606"/>
      <c r="B21" s="1606"/>
      <c r="C21" s="1597" t="s">
        <v>44</v>
      </c>
      <c r="D21" s="2771"/>
      <c r="E21" s="1464">
        <f>SUM(E22:E25)</f>
        <v>0</v>
      </c>
      <c r="F21" s="1638">
        <f>SUM(F22:F25)</f>
        <v>0</v>
      </c>
      <c r="G21" s="421"/>
      <c r="H21" s="1579"/>
    </row>
    <row r="22" spans="1:15">
      <c r="A22" s="1606"/>
      <c r="B22" s="1606"/>
      <c r="C22" s="1667"/>
      <c r="D22" s="2772"/>
      <c r="E22" s="1669"/>
      <c r="F22" s="1426">
        <f>SUM(D22:E22)</f>
        <v>0</v>
      </c>
      <c r="G22" s="1579"/>
      <c r="H22" s="1579"/>
    </row>
    <row r="23" spans="1:15">
      <c r="A23" s="1606"/>
      <c r="B23" s="1606"/>
      <c r="C23" s="1667"/>
      <c r="D23" s="2773"/>
      <c r="E23" s="1444"/>
      <c r="F23" s="1661">
        <f>SUM(D23:E23)</f>
        <v>0</v>
      </c>
      <c r="G23" s="1579"/>
      <c r="H23" s="1579"/>
    </row>
    <row r="24" spans="1:15">
      <c r="A24" s="1606"/>
      <c r="B24" s="1606"/>
      <c r="C24" s="1667"/>
      <c r="D24" s="2774"/>
      <c r="E24" s="1443"/>
      <c r="F24" s="1661">
        <f>SUM(D24:E24)</f>
        <v>0</v>
      </c>
      <c r="G24" s="1579"/>
      <c r="H24" s="1579"/>
    </row>
    <row r="25" spans="1:15">
      <c r="A25" s="1606"/>
      <c r="B25" s="1606"/>
      <c r="C25" s="1667"/>
      <c r="D25" s="2775"/>
      <c r="E25" s="1444"/>
      <c r="F25" s="1661">
        <f>SUM(D25:E25)</f>
        <v>0</v>
      </c>
      <c r="G25" s="1579"/>
      <c r="H25" s="1579"/>
    </row>
    <row r="26" spans="1:15" s="1664" customFormat="1" ht="13.5" customHeight="1">
      <c r="A26" s="423"/>
      <c r="B26" s="423"/>
      <c r="C26" s="1424"/>
      <c r="D26" s="2776"/>
      <c r="E26" s="1431"/>
      <c r="F26" s="1439"/>
      <c r="G26" s="418"/>
      <c r="H26" s="418"/>
    </row>
    <row r="27" spans="1:15">
      <c r="A27" s="1606"/>
      <c r="B27" s="1606"/>
      <c r="C27" s="1597" t="s">
        <v>45</v>
      </c>
      <c r="D27" s="2771"/>
      <c r="E27" s="1657">
        <f>SUM(E29:E31)+SUM(E33:E35)</f>
        <v>70604.351999999999</v>
      </c>
      <c r="F27" s="1638">
        <f>SUM(F29:F35)</f>
        <v>70604.351999999999</v>
      </c>
      <c r="G27" s="1579"/>
      <c r="H27" s="1579"/>
    </row>
    <row r="28" spans="1:15">
      <c r="A28" s="423"/>
      <c r="B28" s="423"/>
      <c r="C28" s="1450" t="s">
        <v>1733</v>
      </c>
      <c r="D28" s="2777"/>
      <c r="E28" s="1452">
        <v>0.68799999999999994</v>
      </c>
      <c r="F28" s="1485"/>
      <c r="G28" s="418"/>
      <c r="H28" s="418"/>
    </row>
    <row r="29" spans="1:15">
      <c r="A29" s="1606"/>
      <c r="B29" s="1606"/>
      <c r="C29" s="1667" t="s">
        <v>719</v>
      </c>
      <c r="D29" s="2778"/>
      <c r="E29" s="1641">
        <f>E15*E28</f>
        <v>54093.311999999998</v>
      </c>
      <c r="F29" s="1661">
        <f>SUM(D29:E29)</f>
        <v>54093.311999999998</v>
      </c>
      <c r="G29" s="1579"/>
      <c r="H29" s="1579"/>
    </row>
    <row r="30" spans="1:15">
      <c r="A30" s="1606"/>
      <c r="B30" s="1606"/>
      <c r="C30" s="1667" t="s">
        <v>720</v>
      </c>
      <c r="D30" s="2778"/>
      <c r="E30" s="1641">
        <f>E21*E28</f>
        <v>0</v>
      </c>
      <c r="F30" s="1661">
        <f>SUM(D30:E30)</f>
        <v>0</v>
      </c>
      <c r="G30" s="1579"/>
      <c r="H30" s="1579"/>
    </row>
    <row r="31" spans="1:15">
      <c r="A31" s="1606"/>
      <c r="B31" s="1606"/>
      <c r="C31" s="1667"/>
      <c r="D31" s="2778"/>
      <c r="E31" s="1641"/>
      <c r="F31" s="1661">
        <f>SUM(D31:E31)</f>
        <v>0</v>
      </c>
      <c r="G31" s="1579"/>
      <c r="H31" s="1579"/>
    </row>
    <row r="32" spans="1:15">
      <c r="A32" s="1606"/>
      <c r="B32" s="1606"/>
      <c r="C32" s="1450" t="s">
        <v>1734</v>
      </c>
      <c r="D32" s="2777"/>
      <c r="E32" s="1452">
        <v>0.21</v>
      </c>
      <c r="F32" s="1485"/>
      <c r="G32" s="1579"/>
      <c r="H32" s="1579"/>
    </row>
    <row r="33" spans="1:15">
      <c r="A33" s="1606"/>
      <c r="B33" s="1606"/>
      <c r="C33" s="1667" t="s">
        <v>719</v>
      </c>
      <c r="D33" s="2778"/>
      <c r="E33" s="1641">
        <f>E15*E32</f>
        <v>16511.04</v>
      </c>
      <c r="F33" s="1661">
        <f>SUM(D33:E33)</f>
        <v>16511.04</v>
      </c>
      <c r="G33" s="1579"/>
      <c r="H33" s="1579"/>
    </row>
    <row r="34" spans="1:15">
      <c r="A34" s="1606"/>
      <c r="B34" s="1606"/>
      <c r="C34" s="1667" t="s">
        <v>720</v>
      </c>
      <c r="D34" s="2785"/>
      <c r="E34" s="1641">
        <f>E21*E32</f>
        <v>0</v>
      </c>
      <c r="F34" s="1661">
        <f t="shared" ref="F34" si="0">SUM(D34:E34)</f>
        <v>0</v>
      </c>
      <c r="G34" s="1579"/>
      <c r="H34" s="1579"/>
    </row>
    <row r="35" spans="1:15">
      <c r="A35" s="1298" t="s">
        <v>1757</v>
      </c>
      <c r="B35" s="1653"/>
      <c r="C35" s="1667"/>
      <c r="D35" s="2778"/>
      <c r="E35" s="1641"/>
      <c r="F35" s="1437">
        <f>SUM(D35:E35)</f>
        <v>0</v>
      </c>
      <c r="G35" s="417"/>
    </row>
    <row r="36" spans="1:15">
      <c r="A36" s="1663" t="s">
        <v>1765</v>
      </c>
      <c r="B36" s="1606"/>
      <c r="C36" s="1488"/>
      <c r="D36" s="2779"/>
      <c r="E36" s="1490"/>
      <c r="F36" s="1493"/>
      <c r="G36" s="1579"/>
    </row>
    <row r="37" spans="1:15" s="1664" customFormat="1">
      <c r="A37" s="1298" t="s">
        <v>1762</v>
      </c>
      <c r="B37" s="423"/>
      <c r="C37" s="1597" t="s">
        <v>46</v>
      </c>
      <c r="D37" s="2771"/>
      <c r="E37" s="1464">
        <v>0</v>
      </c>
      <c r="F37" s="1638">
        <v>0</v>
      </c>
      <c r="G37" s="418"/>
      <c r="H37" s="1652"/>
      <c r="I37" s="1652"/>
      <c r="J37" s="1652"/>
      <c r="K37" s="1652"/>
      <c r="L37" s="1652"/>
      <c r="M37" s="1652"/>
      <c r="N37" s="1652"/>
      <c r="O37" s="1652"/>
    </row>
    <row r="38" spans="1:15">
      <c r="A38" s="1298" t="s">
        <v>5</v>
      </c>
      <c r="B38" s="1606"/>
      <c r="C38" s="1667"/>
      <c r="D38" s="2778"/>
      <c r="E38" s="1672"/>
      <c r="F38" s="1661">
        <v>0</v>
      </c>
      <c r="G38" s="1579"/>
    </row>
    <row r="39" spans="1:15">
      <c r="A39" s="1429" t="s">
        <v>1763</v>
      </c>
      <c r="B39" s="1606"/>
      <c r="C39" s="1667"/>
      <c r="D39" s="2778"/>
      <c r="E39" s="1672"/>
      <c r="F39" s="1661">
        <v>0</v>
      </c>
      <c r="G39" s="1579"/>
    </row>
    <row r="40" spans="1:15">
      <c r="A40" s="3212" t="s">
        <v>4</v>
      </c>
      <c r="B40" s="1606"/>
      <c r="C40" s="1667"/>
      <c r="D40" s="2778"/>
      <c r="E40" s="1672"/>
      <c r="F40" s="1661">
        <v>0</v>
      </c>
      <c r="G40" s="1579"/>
    </row>
    <row r="41" spans="1:15">
      <c r="A41" s="1606"/>
      <c r="B41" s="1606"/>
      <c r="C41" s="1667"/>
      <c r="D41" s="2778"/>
      <c r="E41" s="1672"/>
      <c r="F41" s="1661">
        <v>0</v>
      </c>
      <c r="G41" s="1579"/>
    </row>
    <row r="42" spans="1:15">
      <c r="A42" s="1606"/>
      <c r="B42" s="1606"/>
      <c r="C42" s="1488"/>
      <c r="D42" s="2779"/>
      <c r="E42" s="1490"/>
      <c r="F42" s="1493"/>
      <c r="G42" s="1579"/>
      <c r="H42" s="1664"/>
      <c r="I42" s="1664"/>
      <c r="J42" s="1664"/>
      <c r="K42" s="1664"/>
      <c r="L42" s="1664"/>
      <c r="M42" s="1664"/>
      <c r="N42" s="1664"/>
      <c r="O42" s="1664"/>
    </row>
    <row r="43" spans="1:15">
      <c r="A43" s="1606"/>
      <c r="B43" s="1606"/>
      <c r="C43" s="1597" t="s">
        <v>483</v>
      </c>
      <c r="D43" s="2771"/>
      <c r="E43" s="1464">
        <f>SUM(E44:E47)</f>
        <v>12000</v>
      </c>
      <c r="F43" s="1638">
        <f t="shared" ref="F43:F59" si="1">SUM(D43:E43)</f>
        <v>12000</v>
      </c>
      <c r="G43" s="1579"/>
    </row>
    <row r="44" spans="1:15">
      <c r="A44" s="1606"/>
      <c r="B44" s="1606"/>
      <c r="C44" s="1667" t="s">
        <v>734</v>
      </c>
      <c r="D44" s="2778"/>
      <c r="E44" s="1672">
        <v>6000</v>
      </c>
      <c r="F44" s="1661">
        <f t="shared" si="1"/>
        <v>6000</v>
      </c>
      <c r="G44" s="1579"/>
    </row>
    <row r="45" spans="1:15">
      <c r="A45" s="1606"/>
      <c r="B45" s="1606"/>
      <c r="C45" s="1667" t="s">
        <v>735</v>
      </c>
      <c r="D45" s="2778"/>
      <c r="E45" s="1672">
        <v>6000</v>
      </c>
      <c r="F45" s="1661">
        <f t="shared" si="1"/>
        <v>6000</v>
      </c>
      <c r="G45" s="1579"/>
    </row>
    <row r="46" spans="1:15">
      <c r="A46" s="1606"/>
      <c r="B46" s="1606"/>
      <c r="C46" s="1667"/>
      <c r="D46" s="2778"/>
      <c r="E46" s="1672"/>
      <c r="F46" s="1661">
        <f t="shared" si="1"/>
        <v>0</v>
      </c>
      <c r="G46" s="1579"/>
    </row>
    <row r="47" spans="1:15">
      <c r="A47" s="1606"/>
      <c r="B47" s="1606"/>
      <c r="C47" s="1667"/>
      <c r="D47" s="2778"/>
      <c r="E47" s="1672"/>
      <c r="F47" s="1661">
        <f t="shared" si="1"/>
        <v>0</v>
      </c>
      <c r="G47" s="1579"/>
    </row>
    <row r="48" spans="1:15">
      <c r="A48" s="1606"/>
      <c r="B48" s="1606"/>
      <c r="C48" s="1488"/>
      <c r="D48" s="2779"/>
      <c r="E48" s="1490"/>
      <c r="F48" s="1493"/>
      <c r="G48" s="1579"/>
    </row>
    <row r="49" spans="1:15">
      <c r="A49" s="1606"/>
      <c r="B49" s="1606"/>
      <c r="C49" s="1597" t="s">
        <v>47</v>
      </c>
      <c r="D49" s="2771"/>
      <c r="E49" s="1464">
        <f>SUM(E50:E53)</f>
        <v>0</v>
      </c>
      <c r="F49" s="1638">
        <f t="shared" si="1"/>
        <v>0</v>
      </c>
      <c r="G49" s="1579"/>
    </row>
    <row r="50" spans="1:15">
      <c r="A50" s="1606"/>
      <c r="B50" s="1606"/>
      <c r="C50" s="1667"/>
      <c r="D50" s="2778"/>
      <c r="E50" s="1672"/>
      <c r="F50" s="1661">
        <f t="shared" si="1"/>
        <v>0</v>
      </c>
      <c r="G50" s="1579"/>
    </row>
    <row r="51" spans="1:15">
      <c r="A51" s="1606"/>
      <c r="B51" s="1606"/>
      <c r="C51" s="1667"/>
      <c r="D51" s="2778"/>
      <c r="E51" s="1672"/>
      <c r="F51" s="1661">
        <f t="shared" si="1"/>
        <v>0</v>
      </c>
      <c r="G51" s="1579"/>
    </row>
    <row r="52" spans="1:15">
      <c r="A52" s="1606"/>
      <c r="B52" s="1606"/>
      <c r="C52" s="1667"/>
      <c r="D52" s="2778"/>
      <c r="E52" s="1672"/>
      <c r="F52" s="1661">
        <f t="shared" si="1"/>
        <v>0</v>
      </c>
      <c r="G52" s="1579"/>
    </row>
    <row r="53" spans="1:15" s="1664" customFormat="1">
      <c r="A53" s="1606"/>
      <c r="B53" s="1606"/>
      <c r="C53" s="1667"/>
      <c r="D53" s="2778"/>
      <c r="E53" s="1672"/>
      <c r="F53" s="1661">
        <f t="shared" si="1"/>
        <v>0</v>
      </c>
      <c r="G53" s="1652"/>
      <c r="H53" s="1652"/>
      <c r="I53" s="1652"/>
      <c r="J53" s="1652"/>
      <c r="K53" s="1652"/>
      <c r="L53" s="1652"/>
      <c r="M53" s="1652"/>
      <c r="N53" s="1652"/>
      <c r="O53" s="1652"/>
    </row>
    <row r="54" spans="1:15">
      <c r="A54" s="1606"/>
      <c r="B54" s="1606"/>
      <c r="C54" s="1488"/>
      <c r="D54" s="2779"/>
      <c r="E54" s="1490"/>
      <c r="F54" s="1493"/>
    </row>
    <row r="55" spans="1:15">
      <c r="A55" s="1606"/>
      <c r="B55" s="1606"/>
      <c r="C55" s="1597" t="s">
        <v>48</v>
      </c>
      <c r="D55" s="2771"/>
      <c r="E55" s="1464">
        <f>SUM(E56:E59)</f>
        <v>0</v>
      </c>
      <c r="F55" s="1638">
        <f t="shared" si="1"/>
        <v>0</v>
      </c>
    </row>
    <row r="56" spans="1:15">
      <c r="A56" s="1606"/>
      <c r="B56" s="1606"/>
      <c r="C56" s="1667"/>
      <c r="D56" s="2778"/>
      <c r="E56" s="1641"/>
      <c r="F56" s="1661">
        <f t="shared" si="1"/>
        <v>0</v>
      </c>
    </row>
    <row r="57" spans="1:15">
      <c r="A57" s="1606"/>
      <c r="B57" s="1606"/>
      <c r="C57" s="1667"/>
      <c r="D57" s="2778"/>
      <c r="E57" s="1641"/>
      <c r="F57" s="1661">
        <f t="shared" si="1"/>
        <v>0</v>
      </c>
    </row>
    <row r="58" spans="1:15">
      <c r="A58" s="1606"/>
      <c r="B58" s="1606"/>
      <c r="C58" s="1667"/>
      <c r="D58" s="2778"/>
      <c r="E58" s="1641"/>
      <c r="F58" s="1661">
        <f t="shared" si="1"/>
        <v>0</v>
      </c>
    </row>
    <row r="59" spans="1:15">
      <c r="A59" s="1606"/>
      <c r="B59" s="1606"/>
      <c r="C59" s="1667"/>
      <c r="D59" s="2778"/>
      <c r="E59" s="1641"/>
      <c r="F59" s="1661">
        <f t="shared" si="1"/>
        <v>0</v>
      </c>
    </row>
    <row r="60" spans="1:15">
      <c r="A60" s="1606"/>
      <c r="B60" s="1606"/>
      <c r="C60" s="1488"/>
      <c r="D60" s="2779"/>
      <c r="E60" s="1490"/>
      <c r="F60" s="1493"/>
    </row>
    <row r="61" spans="1:15">
      <c r="A61" s="1606"/>
      <c r="B61" s="1606"/>
      <c r="C61" s="1597" t="s">
        <v>49</v>
      </c>
      <c r="D61" s="2780"/>
      <c r="E61" s="1657">
        <f>SUM(E62:E65)</f>
        <v>0</v>
      </c>
      <c r="F61" s="1602">
        <f>SUM(D61:E61)</f>
        <v>0</v>
      </c>
    </row>
    <row r="62" spans="1:15">
      <c r="C62" s="1667"/>
      <c r="D62" s="2778"/>
      <c r="E62" s="1672"/>
      <c r="F62" s="1661">
        <f>SUM(D62:E62)</f>
        <v>0</v>
      </c>
    </row>
    <row r="63" spans="1:15">
      <c r="C63" s="1667"/>
      <c r="D63" s="2778"/>
      <c r="E63" s="1672"/>
      <c r="F63" s="1661">
        <f>D63+E63</f>
        <v>0</v>
      </c>
    </row>
    <row r="64" spans="1:15">
      <c r="C64" s="1667"/>
      <c r="D64" s="2778"/>
      <c r="E64" s="1672"/>
      <c r="F64" s="1661">
        <f>SUM(D64:E64)</f>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activeCell="H19" sqref="H19"/>
      <pageMargins left="0.7" right="0.7" top="0.75" bottom="0.75" header="0.3" footer="0.3"/>
    </customSheetView>
    <customSheetView guid="{074EB09C-6289-46D7-9513-012B68BCA7BF}" showGridLines="0">
      <pane xSplit="1" ySplit="1" topLeftCell="B2" activePane="bottomRight" state="frozen"/>
      <selection pane="bottomRight" activeCell="H19" sqref="H19"/>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sheetPr>
  <dimension ref="A1:Z72"/>
  <sheetViews>
    <sheetView showGridLines="0" zoomScaleNormal="100" workbookViewId="0">
      <pane xSplit="1" ySplit="1" topLeftCell="M2" activePane="bottomRight" state="frozen"/>
      <selection pane="topRight" activeCell="B1" sqref="B1"/>
      <selection pane="bottomLeft" activeCell="A2" sqref="A2"/>
      <selection pane="bottomRight" activeCell="L16" sqref="L16"/>
    </sheetView>
  </sheetViews>
  <sheetFormatPr defaultRowHeight="12.75"/>
  <cols>
    <col min="1" max="1" width="17.5703125" style="849" customWidth="1"/>
    <col min="2" max="2" width="15.5703125" style="1413" customWidth="1"/>
    <col min="3" max="3" width="31.85546875" customWidth="1"/>
    <col min="4" max="4" width="22.140625" customWidth="1"/>
    <col min="5" max="5" width="19.7109375" style="9" bestFit="1" customWidth="1"/>
    <col min="6" max="6" width="18.42578125" bestFit="1" customWidth="1"/>
    <col min="7" max="7" width="20.140625" bestFit="1" customWidth="1"/>
    <col min="8" max="8" width="54.5703125" customWidth="1"/>
    <col min="9" max="9" width="15.5703125" bestFit="1" customWidth="1"/>
    <col min="10" max="10" width="14.425781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8.42578125" bestFit="1" customWidth="1"/>
    <col min="18" max="18" width="20.42578125" bestFit="1" customWidth="1"/>
    <col min="19" max="19" width="24.42578125" customWidth="1"/>
    <col min="20" max="21" width="15.5703125" bestFit="1" customWidth="1"/>
    <col min="22" max="22" width="16.42578125" bestFit="1" customWidth="1"/>
    <col min="23" max="23" width="16.28515625" customWidth="1"/>
    <col min="24" max="24" width="15" bestFit="1" customWidth="1"/>
    <col min="25" max="25" width="17.140625" customWidth="1"/>
    <col min="26" max="26" width="12.5703125" style="3278" bestFit="1" customWidth="1"/>
    <col min="249" max="249" width="24" bestFit="1" customWidth="1"/>
    <col min="250" max="250" width="45.7109375" bestFit="1" customWidth="1"/>
    <col min="251" max="251" width="19.7109375" bestFit="1" customWidth="1"/>
    <col min="252" max="252" width="18.42578125" bestFit="1" customWidth="1"/>
    <col min="253" max="253" width="20.1406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8.42578125" bestFit="1" customWidth="1"/>
    <col min="264" max="264" width="20.42578125" bestFit="1" customWidth="1"/>
    <col min="265" max="265" width="32.140625" customWidth="1"/>
    <col min="266" max="267" width="15.5703125" bestFit="1" customWidth="1"/>
    <col min="268" max="268" width="16.42578125" bestFit="1" customWidth="1"/>
    <col min="269" max="269" width="13.140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8.42578125" bestFit="1" customWidth="1"/>
    <col min="509" max="509" width="20.1406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8.42578125" bestFit="1" customWidth="1"/>
    <col min="520" max="520" width="20.42578125" bestFit="1" customWidth="1"/>
    <col min="521" max="521" width="32.140625" customWidth="1"/>
    <col min="522" max="523" width="15.5703125" bestFit="1" customWidth="1"/>
    <col min="524" max="524" width="16.42578125" bestFit="1" customWidth="1"/>
    <col min="525" max="525" width="13.140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8.42578125" bestFit="1" customWidth="1"/>
    <col min="765" max="765" width="20.1406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8.42578125" bestFit="1" customWidth="1"/>
    <col min="776" max="776" width="20.42578125" bestFit="1" customWidth="1"/>
    <col min="777" max="777" width="32.140625" customWidth="1"/>
    <col min="778" max="779" width="15.5703125" bestFit="1" customWidth="1"/>
    <col min="780" max="780" width="16.42578125" bestFit="1" customWidth="1"/>
    <col min="781" max="781" width="13.140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8.42578125" bestFit="1" customWidth="1"/>
    <col min="1021" max="1021" width="20.1406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8.42578125" bestFit="1" customWidth="1"/>
    <col min="1032" max="1032" width="20.42578125" bestFit="1" customWidth="1"/>
    <col min="1033" max="1033" width="32.140625" customWidth="1"/>
    <col min="1034" max="1035" width="15.5703125" bestFit="1" customWidth="1"/>
    <col min="1036" max="1036" width="16.42578125" bestFit="1" customWidth="1"/>
    <col min="1037" max="1037" width="13.140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8.42578125" bestFit="1" customWidth="1"/>
    <col min="1277" max="1277" width="20.1406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8.42578125" bestFit="1" customWidth="1"/>
    <col min="1288" max="1288" width="20.42578125" bestFit="1" customWidth="1"/>
    <col min="1289" max="1289" width="32.140625" customWidth="1"/>
    <col min="1290" max="1291" width="15.5703125" bestFit="1" customWidth="1"/>
    <col min="1292" max="1292" width="16.42578125" bestFit="1" customWidth="1"/>
    <col min="1293" max="1293" width="13.140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8.42578125" bestFit="1" customWidth="1"/>
    <col min="1533" max="1533" width="20.1406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8.42578125" bestFit="1" customWidth="1"/>
    <col min="1544" max="1544" width="20.42578125" bestFit="1" customWidth="1"/>
    <col min="1545" max="1545" width="32.140625" customWidth="1"/>
    <col min="1546" max="1547" width="15.5703125" bestFit="1" customWidth="1"/>
    <col min="1548" max="1548" width="16.42578125" bestFit="1" customWidth="1"/>
    <col min="1549" max="1549" width="13.140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8.42578125" bestFit="1" customWidth="1"/>
    <col min="1789" max="1789" width="20.1406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8.42578125" bestFit="1" customWidth="1"/>
    <col min="1800" max="1800" width="20.42578125" bestFit="1" customWidth="1"/>
    <col min="1801" max="1801" width="32.140625" customWidth="1"/>
    <col min="1802" max="1803" width="15.5703125" bestFit="1" customWidth="1"/>
    <col min="1804" max="1804" width="16.42578125" bestFit="1" customWidth="1"/>
    <col min="1805" max="1805" width="13.140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8.42578125" bestFit="1" customWidth="1"/>
    <col min="2045" max="2045" width="20.1406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8.42578125" bestFit="1" customWidth="1"/>
    <col min="2056" max="2056" width="20.42578125" bestFit="1" customWidth="1"/>
    <col min="2057" max="2057" width="32.140625" customWidth="1"/>
    <col min="2058" max="2059" width="15.5703125" bestFit="1" customWidth="1"/>
    <col min="2060" max="2060" width="16.42578125" bestFit="1" customWidth="1"/>
    <col min="2061" max="2061" width="13.140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8.42578125" bestFit="1" customWidth="1"/>
    <col min="2301" max="2301" width="20.1406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8.42578125" bestFit="1" customWidth="1"/>
    <col min="2312" max="2312" width="20.42578125" bestFit="1" customWidth="1"/>
    <col min="2313" max="2313" width="32.140625" customWidth="1"/>
    <col min="2314" max="2315" width="15.5703125" bestFit="1" customWidth="1"/>
    <col min="2316" max="2316" width="16.42578125" bestFit="1" customWidth="1"/>
    <col min="2317" max="2317" width="13.140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8.42578125" bestFit="1" customWidth="1"/>
    <col min="2557" max="2557" width="20.1406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8.42578125" bestFit="1" customWidth="1"/>
    <col min="2568" max="2568" width="20.42578125" bestFit="1" customWidth="1"/>
    <col min="2569" max="2569" width="32.140625" customWidth="1"/>
    <col min="2570" max="2571" width="15.5703125" bestFit="1" customWidth="1"/>
    <col min="2572" max="2572" width="16.42578125" bestFit="1" customWidth="1"/>
    <col min="2573" max="2573" width="13.140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8.42578125" bestFit="1" customWidth="1"/>
    <col min="2813" max="2813" width="20.1406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8.42578125" bestFit="1" customWidth="1"/>
    <col min="2824" max="2824" width="20.42578125" bestFit="1" customWidth="1"/>
    <col min="2825" max="2825" width="32.140625" customWidth="1"/>
    <col min="2826" max="2827" width="15.5703125" bestFit="1" customWidth="1"/>
    <col min="2828" max="2828" width="16.42578125" bestFit="1" customWidth="1"/>
    <col min="2829" max="2829" width="13.140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8.42578125" bestFit="1" customWidth="1"/>
    <col min="3069" max="3069" width="20.1406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8.42578125" bestFit="1" customWidth="1"/>
    <col min="3080" max="3080" width="20.42578125" bestFit="1" customWidth="1"/>
    <col min="3081" max="3081" width="32.140625" customWidth="1"/>
    <col min="3082" max="3083" width="15.5703125" bestFit="1" customWidth="1"/>
    <col min="3084" max="3084" width="16.42578125" bestFit="1" customWidth="1"/>
    <col min="3085" max="3085" width="13.140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8.42578125" bestFit="1" customWidth="1"/>
    <col min="3325" max="3325" width="20.1406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8.42578125" bestFit="1" customWidth="1"/>
    <col min="3336" max="3336" width="20.42578125" bestFit="1" customWidth="1"/>
    <col min="3337" max="3337" width="32.140625" customWidth="1"/>
    <col min="3338" max="3339" width="15.5703125" bestFit="1" customWidth="1"/>
    <col min="3340" max="3340" width="16.42578125" bestFit="1" customWidth="1"/>
    <col min="3341" max="3341" width="13.140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8.42578125" bestFit="1" customWidth="1"/>
    <col min="3581" max="3581" width="20.1406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8.42578125" bestFit="1" customWidth="1"/>
    <col min="3592" max="3592" width="20.42578125" bestFit="1" customWidth="1"/>
    <col min="3593" max="3593" width="32.140625" customWidth="1"/>
    <col min="3594" max="3595" width="15.5703125" bestFit="1" customWidth="1"/>
    <col min="3596" max="3596" width="16.42578125" bestFit="1" customWidth="1"/>
    <col min="3597" max="3597" width="13.140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8.42578125" bestFit="1" customWidth="1"/>
    <col min="3837" max="3837" width="20.1406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8.42578125" bestFit="1" customWidth="1"/>
    <col min="3848" max="3848" width="20.42578125" bestFit="1" customWidth="1"/>
    <col min="3849" max="3849" width="32.140625" customWidth="1"/>
    <col min="3850" max="3851" width="15.5703125" bestFit="1" customWidth="1"/>
    <col min="3852" max="3852" width="16.42578125" bestFit="1" customWidth="1"/>
    <col min="3853" max="3853" width="13.140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8.42578125" bestFit="1" customWidth="1"/>
    <col min="4093" max="4093" width="20.1406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8.42578125" bestFit="1" customWidth="1"/>
    <col min="4104" max="4104" width="20.42578125" bestFit="1" customWidth="1"/>
    <col min="4105" max="4105" width="32.140625" customWidth="1"/>
    <col min="4106" max="4107" width="15.5703125" bestFit="1" customWidth="1"/>
    <col min="4108" max="4108" width="16.42578125" bestFit="1" customWidth="1"/>
    <col min="4109" max="4109" width="13.140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8.42578125" bestFit="1" customWidth="1"/>
    <col min="4349" max="4349" width="20.1406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8.42578125" bestFit="1" customWidth="1"/>
    <col min="4360" max="4360" width="20.42578125" bestFit="1" customWidth="1"/>
    <col min="4361" max="4361" width="32.140625" customWidth="1"/>
    <col min="4362" max="4363" width="15.5703125" bestFit="1" customWidth="1"/>
    <col min="4364" max="4364" width="16.42578125" bestFit="1" customWidth="1"/>
    <col min="4365" max="4365" width="13.140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8.42578125" bestFit="1" customWidth="1"/>
    <col min="4605" max="4605" width="20.1406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8.42578125" bestFit="1" customWidth="1"/>
    <col min="4616" max="4616" width="20.42578125" bestFit="1" customWidth="1"/>
    <col min="4617" max="4617" width="32.140625" customWidth="1"/>
    <col min="4618" max="4619" width="15.5703125" bestFit="1" customWidth="1"/>
    <col min="4620" max="4620" width="16.42578125" bestFit="1" customWidth="1"/>
    <col min="4621" max="4621" width="13.140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8.42578125" bestFit="1" customWidth="1"/>
    <col min="4861" max="4861" width="20.1406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8.42578125" bestFit="1" customWidth="1"/>
    <col min="4872" max="4872" width="20.42578125" bestFit="1" customWidth="1"/>
    <col min="4873" max="4873" width="32.140625" customWidth="1"/>
    <col min="4874" max="4875" width="15.5703125" bestFit="1" customWidth="1"/>
    <col min="4876" max="4876" width="16.42578125" bestFit="1" customWidth="1"/>
    <col min="4877" max="4877" width="13.140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8.42578125" bestFit="1" customWidth="1"/>
    <col min="5117" max="5117" width="20.1406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8.42578125" bestFit="1" customWidth="1"/>
    <col min="5128" max="5128" width="20.42578125" bestFit="1" customWidth="1"/>
    <col min="5129" max="5129" width="32.140625" customWidth="1"/>
    <col min="5130" max="5131" width="15.5703125" bestFit="1" customWidth="1"/>
    <col min="5132" max="5132" width="16.42578125" bestFit="1" customWidth="1"/>
    <col min="5133" max="5133" width="13.140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8.42578125" bestFit="1" customWidth="1"/>
    <col min="5373" max="5373" width="20.1406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8.42578125" bestFit="1" customWidth="1"/>
    <col min="5384" max="5384" width="20.42578125" bestFit="1" customWidth="1"/>
    <col min="5385" max="5385" width="32.140625" customWidth="1"/>
    <col min="5386" max="5387" width="15.5703125" bestFit="1" customWidth="1"/>
    <col min="5388" max="5388" width="16.42578125" bestFit="1" customWidth="1"/>
    <col min="5389" max="5389" width="13.140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8.42578125" bestFit="1" customWidth="1"/>
    <col min="5629" max="5629" width="20.1406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8.42578125" bestFit="1" customWidth="1"/>
    <col min="5640" max="5640" width="20.42578125" bestFit="1" customWidth="1"/>
    <col min="5641" max="5641" width="32.140625" customWidth="1"/>
    <col min="5642" max="5643" width="15.5703125" bestFit="1" customWidth="1"/>
    <col min="5644" max="5644" width="16.42578125" bestFit="1" customWidth="1"/>
    <col min="5645" max="5645" width="13.140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8.42578125" bestFit="1" customWidth="1"/>
    <col min="5885" max="5885" width="20.1406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8.42578125" bestFit="1" customWidth="1"/>
    <col min="5896" max="5896" width="20.42578125" bestFit="1" customWidth="1"/>
    <col min="5897" max="5897" width="32.140625" customWidth="1"/>
    <col min="5898" max="5899" width="15.5703125" bestFit="1" customWidth="1"/>
    <col min="5900" max="5900" width="16.42578125" bestFit="1" customWidth="1"/>
    <col min="5901" max="5901" width="13.140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8.42578125" bestFit="1" customWidth="1"/>
    <col min="6141" max="6141" width="20.1406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8.42578125" bestFit="1" customWidth="1"/>
    <col min="6152" max="6152" width="20.42578125" bestFit="1" customWidth="1"/>
    <col min="6153" max="6153" width="32.140625" customWidth="1"/>
    <col min="6154" max="6155" width="15.5703125" bestFit="1" customWidth="1"/>
    <col min="6156" max="6156" width="16.42578125" bestFit="1" customWidth="1"/>
    <col min="6157" max="6157" width="13.140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8.42578125" bestFit="1" customWidth="1"/>
    <col min="6397" max="6397" width="20.1406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8.42578125" bestFit="1" customWidth="1"/>
    <col min="6408" max="6408" width="20.42578125" bestFit="1" customWidth="1"/>
    <col min="6409" max="6409" width="32.140625" customWidth="1"/>
    <col min="6410" max="6411" width="15.5703125" bestFit="1" customWidth="1"/>
    <col min="6412" max="6412" width="16.42578125" bestFit="1" customWidth="1"/>
    <col min="6413" max="6413" width="13.140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8.42578125" bestFit="1" customWidth="1"/>
    <col min="6653" max="6653" width="20.1406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8.42578125" bestFit="1" customWidth="1"/>
    <col min="6664" max="6664" width="20.42578125" bestFit="1" customWidth="1"/>
    <col min="6665" max="6665" width="32.140625" customWidth="1"/>
    <col min="6666" max="6667" width="15.5703125" bestFit="1" customWidth="1"/>
    <col min="6668" max="6668" width="16.42578125" bestFit="1" customWidth="1"/>
    <col min="6669" max="6669" width="13.140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8.42578125" bestFit="1" customWidth="1"/>
    <col min="6909" max="6909" width="20.1406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8.42578125" bestFit="1" customWidth="1"/>
    <col min="6920" max="6920" width="20.42578125" bestFit="1" customWidth="1"/>
    <col min="6921" max="6921" width="32.140625" customWidth="1"/>
    <col min="6922" max="6923" width="15.5703125" bestFit="1" customWidth="1"/>
    <col min="6924" max="6924" width="16.42578125" bestFit="1" customWidth="1"/>
    <col min="6925" max="6925" width="13.140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8.42578125" bestFit="1" customWidth="1"/>
    <col min="7165" max="7165" width="20.1406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8.42578125" bestFit="1" customWidth="1"/>
    <col min="7176" max="7176" width="20.42578125" bestFit="1" customWidth="1"/>
    <col min="7177" max="7177" width="32.140625" customWidth="1"/>
    <col min="7178" max="7179" width="15.5703125" bestFit="1" customWidth="1"/>
    <col min="7180" max="7180" width="16.42578125" bestFit="1" customWidth="1"/>
    <col min="7181" max="7181" width="13.140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8.42578125" bestFit="1" customWidth="1"/>
    <col min="7421" max="7421" width="20.1406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8.42578125" bestFit="1" customWidth="1"/>
    <col min="7432" max="7432" width="20.42578125" bestFit="1" customWidth="1"/>
    <col min="7433" max="7433" width="32.140625" customWidth="1"/>
    <col min="7434" max="7435" width="15.5703125" bestFit="1" customWidth="1"/>
    <col min="7436" max="7436" width="16.42578125" bestFit="1" customWidth="1"/>
    <col min="7437" max="7437" width="13.140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8.42578125" bestFit="1" customWidth="1"/>
    <col min="7677" max="7677" width="20.1406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8.42578125" bestFit="1" customWidth="1"/>
    <col min="7688" max="7688" width="20.42578125" bestFit="1" customWidth="1"/>
    <col min="7689" max="7689" width="32.140625" customWidth="1"/>
    <col min="7690" max="7691" width="15.5703125" bestFit="1" customWidth="1"/>
    <col min="7692" max="7692" width="16.42578125" bestFit="1" customWidth="1"/>
    <col min="7693" max="7693" width="13.140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8.42578125" bestFit="1" customWidth="1"/>
    <col min="7933" max="7933" width="20.1406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8.42578125" bestFit="1" customWidth="1"/>
    <col min="7944" max="7944" width="20.42578125" bestFit="1" customWidth="1"/>
    <col min="7945" max="7945" width="32.140625" customWidth="1"/>
    <col min="7946" max="7947" width="15.5703125" bestFit="1" customWidth="1"/>
    <col min="7948" max="7948" width="16.42578125" bestFit="1" customWidth="1"/>
    <col min="7949" max="7949" width="13.140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8.42578125" bestFit="1" customWidth="1"/>
    <col min="8189" max="8189" width="20.1406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8.42578125" bestFit="1" customWidth="1"/>
    <col min="8200" max="8200" width="20.42578125" bestFit="1" customWidth="1"/>
    <col min="8201" max="8201" width="32.140625" customWidth="1"/>
    <col min="8202" max="8203" width="15.5703125" bestFit="1" customWidth="1"/>
    <col min="8204" max="8204" width="16.42578125" bestFit="1" customWidth="1"/>
    <col min="8205" max="8205" width="13.140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8.42578125" bestFit="1" customWidth="1"/>
    <col min="8445" max="8445" width="20.1406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8.42578125" bestFit="1" customWidth="1"/>
    <col min="8456" max="8456" width="20.42578125" bestFit="1" customWidth="1"/>
    <col min="8457" max="8457" width="32.140625" customWidth="1"/>
    <col min="8458" max="8459" width="15.5703125" bestFit="1" customWidth="1"/>
    <col min="8460" max="8460" width="16.42578125" bestFit="1" customWidth="1"/>
    <col min="8461" max="8461" width="13.140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8.42578125" bestFit="1" customWidth="1"/>
    <col min="8701" max="8701" width="20.1406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8.42578125" bestFit="1" customWidth="1"/>
    <col min="8712" max="8712" width="20.42578125" bestFit="1" customWidth="1"/>
    <col min="8713" max="8713" width="32.140625" customWidth="1"/>
    <col min="8714" max="8715" width="15.5703125" bestFit="1" customWidth="1"/>
    <col min="8716" max="8716" width="16.42578125" bestFit="1" customWidth="1"/>
    <col min="8717" max="8717" width="13.140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8.42578125" bestFit="1" customWidth="1"/>
    <col min="8957" max="8957" width="20.1406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8.42578125" bestFit="1" customWidth="1"/>
    <col min="8968" max="8968" width="20.42578125" bestFit="1" customWidth="1"/>
    <col min="8969" max="8969" width="32.140625" customWidth="1"/>
    <col min="8970" max="8971" width="15.5703125" bestFit="1" customWidth="1"/>
    <col min="8972" max="8972" width="16.42578125" bestFit="1" customWidth="1"/>
    <col min="8973" max="8973" width="13.140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8.42578125" bestFit="1" customWidth="1"/>
    <col min="9213" max="9213" width="20.1406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8.42578125" bestFit="1" customWidth="1"/>
    <col min="9224" max="9224" width="20.42578125" bestFit="1" customWidth="1"/>
    <col min="9225" max="9225" width="32.140625" customWidth="1"/>
    <col min="9226" max="9227" width="15.5703125" bestFit="1" customWidth="1"/>
    <col min="9228" max="9228" width="16.42578125" bestFit="1" customWidth="1"/>
    <col min="9229" max="9229" width="13.140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8.42578125" bestFit="1" customWidth="1"/>
    <col min="9469" max="9469" width="20.1406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8.42578125" bestFit="1" customWidth="1"/>
    <col min="9480" max="9480" width="20.42578125" bestFit="1" customWidth="1"/>
    <col min="9481" max="9481" width="32.140625" customWidth="1"/>
    <col min="9482" max="9483" width="15.5703125" bestFit="1" customWidth="1"/>
    <col min="9484" max="9484" width="16.42578125" bestFit="1" customWidth="1"/>
    <col min="9485" max="9485" width="13.140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8.42578125" bestFit="1" customWidth="1"/>
    <col min="9725" max="9725" width="20.1406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8.42578125" bestFit="1" customWidth="1"/>
    <col min="9736" max="9736" width="20.42578125" bestFit="1" customWidth="1"/>
    <col min="9737" max="9737" width="32.140625" customWidth="1"/>
    <col min="9738" max="9739" width="15.5703125" bestFit="1" customWidth="1"/>
    <col min="9740" max="9740" width="16.42578125" bestFit="1" customWidth="1"/>
    <col min="9741" max="9741" width="13.140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8.42578125" bestFit="1" customWidth="1"/>
    <col min="9981" max="9981" width="20.1406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8.42578125" bestFit="1" customWidth="1"/>
    <col min="9992" max="9992" width="20.42578125" bestFit="1" customWidth="1"/>
    <col min="9993" max="9993" width="32.140625" customWidth="1"/>
    <col min="9994" max="9995" width="15.5703125" bestFit="1" customWidth="1"/>
    <col min="9996" max="9996" width="16.42578125" bestFit="1" customWidth="1"/>
    <col min="9997" max="9997" width="13.140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8.42578125" bestFit="1" customWidth="1"/>
    <col min="10237" max="10237" width="20.1406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8.42578125" bestFit="1" customWidth="1"/>
    <col min="10248" max="10248" width="20.42578125" bestFit="1" customWidth="1"/>
    <col min="10249" max="10249" width="32.140625" customWidth="1"/>
    <col min="10250" max="10251" width="15.5703125" bestFit="1" customWidth="1"/>
    <col min="10252" max="10252" width="16.42578125" bestFit="1" customWidth="1"/>
    <col min="10253" max="10253" width="13.140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8.42578125" bestFit="1" customWidth="1"/>
    <col min="10493" max="10493" width="20.1406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8.42578125" bestFit="1" customWidth="1"/>
    <col min="10504" max="10504" width="20.42578125" bestFit="1" customWidth="1"/>
    <col min="10505" max="10505" width="32.140625" customWidth="1"/>
    <col min="10506" max="10507" width="15.5703125" bestFit="1" customWidth="1"/>
    <col min="10508" max="10508" width="16.42578125" bestFit="1" customWidth="1"/>
    <col min="10509" max="10509" width="13.140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8.42578125" bestFit="1" customWidth="1"/>
    <col min="10749" max="10749" width="20.1406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8.42578125" bestFit="1" customWidth="1"/>
    <col min="10760" max="10760" width="20.42578125" bestFit="1" customWidth="1"/>
    <col min="10761" max="10761" width="32.140625" customWidth="1"/>
    <col min="10762" max="10763" width="15.5703125" bestFit="1" customWidth="1"/>
    <col min="10764" max="10764" width="16.42578125" bestFit="1" customWidth="1"/>
    <col min="10765" max="10765" width="13.140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8.42578125" bestFit="1" customWidth="1"/>
    <col min="11005" max="11005" width="20.1406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8.42578125" bestFit="1" customWidth="1"/>
    <col min="11016" max="11016" width="20.42578125" bestFit="1" customWidth="1"/>
    <col min="11017" max="11017" width="32.140625" customWidth="1"/>
    <col min="11018" max="11019" width="15.5703125" bestFit="1" customWidth="1"/>
    <col min="11020" max="11020" width="16.42578125" bestFit="1" customWidth="1"/>
    <col min="11021" max="11021" width="13.140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8.42578125" bestFit="1" customWidth="1"/>
    <col min="11261" max="11261" width="20.1406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8.42578125" bestFit="1" customWidth="1"/>
    <col min="11272" max="11272" width="20.42578125" bestFit="1" customWidth="1"/>
    <col min="11273" max="11273" width="32.140625" customWidth="1"/>
    <col min="11274" max="11275" width="15.5703125" bestFit="1" customWidth="1"/>
    <col min="11276" max="11276" width="16.42578125" bestFit="1" customWidth="1"/>
    <col min="11277" max="11277" width="13.140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8.42578125" bestFit="1" customWidth="1"/>
    <col min="11517" max="11517" width="20.1406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8.42578125" bestFit="1" customWidth="1"/>
    <col min="11528" max="11528" width="20.42578125" bestFit="1" customWidth="1"/>
    <col min="11529" max="11529" width="32.140625" customWidth="1"/>
    <col min="11530" max="11531" width="15.5703125" bestFit="1" customWidth="1"/>
    <col min="11532" max="11532" width="16.42578125" bestFit="1" customWidth="1"/>
    <col min="11533" max="11533" width="13.140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8.42578125" bestFit="1" customWidth="1"/>
    <col min="11773" max="11773" width="20.1406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8.42578125" bestFit="1" customWidth="1"/>
    <col min="11784" max="11784" width="20.42578125" bestFit="1" customWidth="1"/>
    <col min="11785" max="11785" width="32.140625" customWidth="1"/>
    <col min="11786" max="11787" width="15.5703125" bestFit="1" customWidth="1"/>
    <col min="11788" max="11788" width="16.42578125" bestFit="1" customWidth="1"/>
    <col min="11789" max="11789" width="13.140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8.42578125" bestFit="1" customWidth="1"/>
    <col min="12029" max="12029" width="20.1406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8.42578125" bestFit="1" customWidth="1"/>
    <col min="12040" max="12040" width="20.42578125" bestFit="1" customWidth="1"/>
    <col min="12041" max="12041" width="32.140625" customWidth="1"/>
    <col min="12042" max="12043" width="15.5703125" bestFit="1" customWidth="1"/>
    <col min="12044" max="12044" width="16.42578125" bestFit="1" customWidth="1"/>
    <col min="12045" max="12045" width="13.140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8.42578125" bestFit="1" customWidth="1"/>
    <col min="12285" max="12285" width="20.1406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8.42578125" bestFit="1" customWidth="1"/>
    <col min="12296" max="12296" width="20.42578125" bestFit="1" customWidth="1"/>
    <col min="12297" max="12297" width="32.140625" customWidth="1"/>
    <col min="12298" max="12299" width="15.5703125" bestFit="1" customWidth="1"/>
    <col min="12300" max="12300" width="16.42578125" bestFit="1" customWidth="1"/>
    <col min="12301" max="12301" width="13.140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8.42578125" bestFit="1" customWidth="1"/>
    <col min="12541" max="12541" width="20.1406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8.42578125" bestFit="1" customWidth="1"/>
    <col min="12552" max="12552" width="20.42578125" bestFit="1" customWidth="1"/>
    <col min="12553" max="12553" width="32.140625" customWidth="1"/>
    <col min="12554" max="12555" width="15.5703125" bestFit="1" customWidth="1"/>
    <col min="12556" max="12556" width="16.42578125" bestFit="1" customWidth="1"/>
    <col min="12557" max="12557" width="13.140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8.42578125" bestFit="1" customWidth="1"/>
    <col min="12797" max="12797" width="20.1406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8.42578125" bestFit="1" customWidth="1"/>
    <col min="12808" max="12808" width="20.42578125" bestFit="1" customWidth="1"/>
    <col min="12809" max="12809" width="32.140625" customWidth="1"/>
    <col min="12810" max="12811" width="15.5703125" bestFit="1" customWidth="1"/>
    <col min="12812" max="12812" width="16.42578125" bestFit="1" customWidth="1"/>
    <col min="12813" max="12813" width="13.140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8.42578125" bestFit="1" customWidth="1"/>
    <col min="13053" max="13053" width="20.1406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8.42578125" bestFit="1" customWidth="1"/>
    <col min="13064" max="13064" width="20.42578125" bestFit="1" customWidth="1"/>
    <col min="13065" max="13065" width="32.140625" customWidth="1"/>
    <col min="13066" max="13067" width="15.5703125" bestFit="1" customWidth="1"/>
    <col min="13068" max="13068" width="16.42578125" bestFit="1" customWidth="1"/>
    <col min="13069" max="13069" width="13.140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8.42578125" bestFit="1" customWidth="1"/>
    <col min="13309" max="13309" width="20.1406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8.42578125" bestFit="1" customWidth="1"/>
    <col min="13320" max="13320" width="20.42578125" bestFit="1" customWidth="1"/>
    <col min="13321" max="13321" width="32.140625" customWidth="1"/>
    <col min="13322" max="13323" width="15.5703125" bestFit="1" customWidth="1"/>
    <col min="13324" max="13324" width="16.42578125" bestFit="1" customWidth="1"/>
    <col min="13325" max="13325" width="13.140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8.42578125" bestFit="1" customWidth="1"/>
    <col min="13565" max="13565" width="20.1406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8.42578125" bestFit="1" customWidth="1"/>
    <col min="13576" max="13576" width="20.42578125" bestFit="1" customWidth="1"/>
    <col min="13577" max="13577" width="32.140625" customWidth="1"/>
    <col min="13578" max="13579" width="15.5703125" bestFit="1" customWidth="1"/>
    <col min="13580" max="13580" width="16.42578125" bestFit="1" customWidth="1"/>
    <col min="13581" max="13581" width="13.140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8.42578125" bestFit="1" customWidth="1"/>
    <col min="13821" max="13821" width="20.1406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8.42578125" bestFit="1" customWidth="1"/>
    <col min="13832" max="13832" width="20.42578125" bestFit="1" customWidth="1"/>
    <col min="13833" max="13833" width="32.140625" customWidth="1"/>
    <col min="13834" max="13835" width="15.5703125" bestFit="1" customWidth="1"/>
    <col min="13836" max="13836" width="16.42578125" bestFit="1" customWidth="1"/>
    <col min="13837" max="13837" width="13.140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8.42578125" bestFit="1" customWidth="1"/>
    <col min="14077" max="14077" width="20.1406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8.42578125" bestFit="1" customWidth="1"/>
    <col min="14088" max="14088" width="20.42578125" bestFit="1" customWidth="1"/>
    <col min="14089" max="14089" width="32.140625" customWidth="1"/>
    <col min="14090" max="14091" width="15.5703125" bestFit="1" customWidth="1"/>
    <col min="14092" max="14092" width="16.42578125" bestFit="1" customWidth="1"/>
    <col min="14093" max="14093" width="13.140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8.42578125" bestFit="1" customWidth="1"/>
    <col min="14333" max="14333" width="20.1406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8.42578125" bestFit="1" customWidth="1"/>
    <col min="14344" max="14344" width="20.42578125" bestFit="1" customWidth="1"/>
    <col min="14345" max="14345" width="32.140625" customWidth="1"/>
    <col min="14346" max="14347" width="15.5703125" bestFit="1" customWidth="1"/>
    <col min="14348" max="14348" width="16.42578125" bestFit="1" customWidth="1"/>
    <col min="14349" max="14349" width="13.140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8.42578125" bestFit="1" customWidth="1"/>
    <col min="14589" max="14589" width="20.1406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8.42578125" bestFit="1" customWidth="1"/>
    <col min="14600" max="14600" width="20.42578125" bestFit="1" customWidth="1"/>
    <col min="14601" max="14601" width="32.140625" customWidth="1"/>
    <col min="14602" max="14603" width="15.5703125" bestFit="1" customWidth="1"/>
    <col min="14604" max="14604" width="16.42578125" bestFit="1" customWidth="1"/>
    <col min="14605" max="14605" width="13.140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8.42578125" bestFit="1" customWidth="1"/>
    <col min="14845" max="14845" width="20.1406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8.42578125" bestFit="1" customWidth="1"/>
    <col min="14856" max="14856" width="20.42578125" bestFit="1" customWidth="1"/>
    <col min="14857" max="14857" width="32.140625" customWidth="1"/>
    <col min="14858" max="14859" width="15.5703125" bestFit="1" customWidth="1"/>
    <col min="14860" max="14860" width="16.42578125" bestFit="1" customWidth="1"/>
    <col min="14861" max="14861" width="13.140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8.42578125" bestFit="1" customWidth="1"/>
    <col min="15101" max="15101" width="20.1406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8.42578125" bestFit="1" customWidth="1"/>
    <col min="15112" max="15112" width="20.42578125" bestFit="1" customWidth="1"/>
    <col min="15113" max="15113" width="32.140625" customWidth="1"/>
    <col min="15114" max="15115" width="15.5703125" bestFit="1" customWidth="1"/>
    <col min="15116" max="15116" width="16.42578125" bestFit="1" customWidth="1"/>
    <col min="15117" max="15117" width="13.140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8.42578125" bestFit="1" customWidth="1"/>
    <col min="15357" max="15357" width="20.1406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8.42578125" bestFit="1" customWidth="1"/>
    <col min="15368" max="15368" width="20.42578125" bestFit="1" customWidth="1"/>
    <col min="15369" max="15369" width="32.140625" customWidth="1"/>
    <col min="15370" max="15371" width="15.5703125" bestFit="1" customWidth="1"/>
    <col min="15372" max="15372" width="16.42578125" bestFit="1" customWidth="1"/>
    <col min="15373" max="15373" width="13.140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8.42578125" bestFit="1" customWidth="1"/>
    <col min="15613" max="15613" width="20.1406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8.42578125" bestFit="1" customWidth="1"/>
    <col min="15624" max="15624" width="20.42578125" bestFit="1" customWidth="1"/>
    <col min="15625" max="15625" width="32.140625" customWidth="1"/>
    <col min="15626" max="15627" width="15.5703125" bestFit="1" customWidth="1"/>
    <col min="15628" max="15628" width="16.42578125" bestFit="1" customWidth="1"/>
    <col min="15629" max="15629" width="13.140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8.42578125" bestFit="1" customWidth="1"/>
    <col min="15869" max="15869" width="20.1406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8.42578125" bestFit="1" customWidth="1"/>
    <col min="15880" max="15880" width="20.42578125" bestFit="1" customWidth="1"/>
    <col min="15881" max="15881" width="32.140625" customWidth="1"/>
    <col min="15882" max="15883" width="15.5703125" bestFit="1" customWidth="1"/>
    <col min="15884" max="15884" width="16.42578125" bestFit="1" customWidth="1"/>
    <col min="15885" max="15885" width="13.140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8.42578125" bestFit="1" customWidth="1"/>
    <col min="16125" max="16125" width="20.1406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8.42578125" bestFit="1" customWidth="1"/>
    <col min="16136" max="16136" width="20.42578125" bestFit="1" customWidth="1"/>
    <col min="16137" max="16137" width="32.140625" customWidth="1"/>
    <col min="16138" max="16139" width="15.5703125" bestFit="1" customWidth="1"/>
    <col min="16140" max="16140" width="16.42578125" bestFit="1" customWidth="1"/>
    <col min="16141" max="16141" width="13.140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4" customHeight="1" thickBot="1">
      <c r="C1" s="1401" t="s">
        <v>1560</v>
      </c>
      <c r="D1" s="1361" t="s">
        <v>275</v>
      </c>
      <c r="E1" s="1401" t="s">
        <v>5</v>
      </c>
      <c r="F1" s="1401">
        <v>18230625</v>
      </c>
      <c r="G1" s="1401" t="s">
        <v>4</v>
      </c>
      <c r="J1" s="1361"/>
      <c r="K1" s="1361"/>
      <c r="L1" s="1401" t="s">
        <v>1560</v>
      </c>
      <c r="M1" s="1361" t="s">
        <v>275</v>
      </c>
      <c r="N1" s="1401" t="s">
        <v>5</v>
      </c>
      <c r="O1" s="1401">
        <v>18230625</v>
      </c>
      <c r="P1" s="1401" t="s">
        <v>4</v>
      </c>
      <c r="T1" s="1401" t="s">
        <v>1560</v>
      </c>
      <c r="U1" s="1361" t="s">
        <v>275</v>
      </c>
      <c r="V1" s="1401" t="s">
        <v>5</v>
      </c>
      <c r="W1" s="1401">
        <v>18230625</v>
      </c>
      <c r="X1" s="1401" t="s">
        <v>4</v>
      </c>
    </row>
    <row r="2" spans="1:26" ht="16.5" customHeight="1" thickBot="1">
      <c r="C2" s="44"/>
      <c r="D2" s="45"/>
      <c r="G2" s="1652"/>
      <c r="I2" s="1178" t="s">
        <v>627</v>
      </c>
      <c r="S2" s="3575"/>
      <c r="T2" s="3575"/>
      <c r="U2" s="3576" t="s">
        <v>33</v>
      </c>
      <c r="V2" s="3577"/>
      <c r="W2" s="3578"/>
      <c r="X2" s="3579" t="s">
        <v>34</v>
      </c>
    </row>
    <row r="3" spans="1:26" ht="26.25" thickBot="1">
      <c r="A3" s="1400" t="s">
        <v>1560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C4" s="44"/>
      <c r="G4" s="1652"/>
      <c r="H4" s="2946" t="s">
        <v>1726</v>
      </c>
      <c r="I4" s="2947">
        <f>D15</f>
        <v>49847.990000000005</v>
      </c>
      <c r="J4" s="2948">
        <f>D21</f>
        <v>22011</v>
      </c>
      <c r="K4" s="2948">
        <f>D27</f>
        <v>47929.946330000006</v>
      </c>
      <c r="L4" s="2948">
        <f>D37</f>
        <v>134200</v>
      </c>
      <c r="M4" s="2948">
        <f>D43</f>
        <v>3000</v>
      </c>
      <c r="N4" s="2948">
        <f>D49</f>
        <v>65000</v>
      </c>
      <c r="O4" s="2948">
        <f>D55</f>
        <v>1000</v>
      </c>
      <c r="P4" s="2948">
        <f>D61</f>
        <v>2000</v>
      </c>
      <c r="Q4" s="2948">
        <f>D67</f>
        <v>1867488</v>
      </c>
      <c r="R4" s="2948">
        <f>D70</f>
        <v>0</v>
      </c>
      <c r="S4" s="2949">
        <f>SUM(I4:R4)</f>
        <v>2192476.9363299999</v>
      </c>
      <c r="T4" s="2950">
        <f>T15</f>
        <v>3423202</v>
      </c>
      <c r="U4" s="2951">
        <f>Q4/S4</f>
        <v>0.85177087569550414</v>
      </c>
      <c r="V4" s="2951">
        <f>(L4+(J4*1.63))/S4</f>
        <v>7.7573418074214473E-2</v>
      </c>
      <c r="W4" s="2951">
        <f>N4/S4</f>
        <v>2.9646834100250052E-2</v>
      </c>
      <c r="X4" s="2953">
        <f>S4/T4</f>
        <v>0.64047547773400459</v>
      </c>
    </row>
    <row r="5" spans="1:26" ht="16.5" thickBot="1">
      <c r="A5" s="1400" t="s">
        <v>5</v>
      </c>
      <c r="B5" s="1357"/>
      <c r="C5" s="45"/>
      <c r="G5" s="1652"/>
      <c r="H5" s="3205" t="s">
        <v>1753</v>
      </c>
      <c r="I5" s="2617">
        <v>51094.399999999994</v>
      </c>
      <c r="J5" s="2618">
        <v>22561.279999999999</v>
      </c>
      <c r="K5" s="2618">
        <v>50085.862399999998</v>
      </c>
      <c r="L5" s="2618">
        <v>134200</v>
      </c>
      <c r="M5" s="2618">
        <v>3000</v>
      </c>
      <c r="N5" s="2618">
        <v>65000</v>
      </c>
      <c r="O5" s="2618">
        <v>1000</v>
      </c>
      <c r="P5" s="2618">
        <v>2000</v>
      </c>
      <c r="Q5" s="2618">
        <v>1867488</v>
      </c>
      <c r="R5" s="2618">
        <v>0</v>
      </c>
      <c r="S5" s="2619">
        <v>2196429.5424000002</v>
      </c>
      <c r="T5" s="2620">
        <v>3423202</v>
      </c>
      <c r="U5" s="2614">
        <f>Q5/S5</f>
        <v>0.85023806316110118</v>
      </c>
      <c r="V5" s="2614">
        <f>(L5+(J5*1.63))/S5</f>
        <v>7.7842190290874858E-2</v>
      </c>
      <c r="W5" s="2614">
        <f>N5/S5</f>
        <v>2.9593482852618907E-2</v>
      </c>
      <c r="X5" s="48">
        <f>S5/T5</f>
        <v>0.64163012945189912</v>
      </c>
    </row>
    <row r="6" spans="1:26" ht="16.5" thickBot="1">
      <c r="A6" s="1400">
        <v>18230625</v>
      </c>
      <c r="B6" s="1400"/>
      <c r="D6" s="44"/>
      <c r="G6" s="1652"/>
      <c r="H6" s="3206" t="s">
        <v>1754</v>
      </c>
      <c r="I6" s="2621">
        <f>E15</f>
        <v>39526.800000000003</v>
      </c>
      <c r="J6" s="2622">
        <f>E21</f>
        <v>22561.279999999999</v>
      </c>
      <c r="K6" s="2623">
        <f>E27</f>
        <v>55755.095840000002</v>
      </c>
      <c r="L6" s="2622">
        <f>E37</f>
        <v>134200</v>
      </c>
      <c r="M6" s="2622">
        <f>E43</f>
        <v>3000</v>
      </c>
      <c r="N6" s="2622">
        <f>E49</f>
        <v>220819.13</v>
      </c>
      <c r="O6" s="2622">
        <f>E55</f>
        <v>1000</v>
      </c>
      <c r="P6" s="2622">
        <f>E61</f>
        <v>2000</v>
      </c>
      <c r="Q6" s="2622">
        <f>E67</f>
        <v>2365085.5</v>
      </c>
      <c r="R6" s="2622">
        <f>E70</f>
        <v>0</v>
      </c>
      <c r="S6" s="2624">
        <f>SUM(I6:R6)</f>
        <v>2843947.80584</v>
      </c>
      <c r="T6" s="2625">
        <f>U15</f>
        <v>5039322.2</v>
      </c>
      <c r="U6" s="2615">
        <f>Q6/S6</f>
        <v>0.8316205716375441</v>
      </c>
      <c r="V6" s="2615">
        <f>(L6+(J6*1.63))/S6</f>
        <v>6.0118855222626055E-2</v>
      </c>
      <c r="W6" s="2615">
        <f>N6/S6</f>
        <v>7.7645282218805692E-2</v>
      </c>
      <c r="X6" s="2626">
        <f>S6/T6</f>
        <v>0.5643512545873729</v>
      </c>
    </row>
    <row r="7" spans="1:26" ht="15.75">
      <c r="A7" s="1400" t="s">
        <v>4</v>
      </c>
      <c r="B7" s="1400"/>
      <c r="C7" s="1413"/>
      <c r="D7" s="1190"/>
      <c r="E7" s="1414"/>
      <c r="F7" s="1413"/>
      <c r="G7" s="2606"/>
      <c r="H7" s="2607"/>
      <c r="I7" s="2607"/>
      <c r="J7" s="2607"/>
      <c r="K7" s="2607"/>
      <c r="L7" s="2607"/>
      <c r="M7" s="2607"/>
      <c r="N7" s="2607"/>
      <c r="O7" s="2607"/>
      <c r="P7" s="2607"/>
      <c r="Q7" s="2607"/>
      <c r="R7" s="2607"/>
      <c r="S7" s="2608"/>
      <c r="T7" s="2609"/>
      <c r="U7" s="2609"/>
      <c r="V7" s="2609"/>
      <c r="W7" s="2610"/>
    </row>
    <row r="8" spans="1:26" ht="15.75">
      <c r="B8" s="1400"/>
      <c r="C8" s="1413"/>
      <c r="D8" s="1190"/>
      <c r="E8" s="1414"/>
      <c r="F8" s="1413"/>
    </row>
    <row r="9" spans="1:26"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9"/>
    </row>
    <row r="11" spans="1:26">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3280"/>
    </row>
    <row r="12" spans="1:26">
      <c r="B12" s="1357"/>
      <c r="C12" s="1434" t="s">
        <v>298</v>
      </c>
      <c r="D12" s="2766">
        <f>D15+D21+D27+D37+D43+D49+D55+D61+D67</f>
        <v>2192476.9363299999</v>
      </c>
      <c r="E12" s="1484">
        <f>E15+E21+E27+E37+E43+E49+E55+E61+E67</f>
        <v>2843947.80584</v>
      </c>
      <c r="F12" s="1462">
        <f>D12+E12</f>
        <v>5036424.7421700004</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0" t="s">
        <v>1727</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80"/>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3281" t="s">
        <v>307</v>
      </c>
    </row>
    <row r="15" spans="1:26">
      <c r="B15" s="1433" t="s">
        <v>296</v>
      </c>
      <c r="C15" s="1451" t="s">
        <v>1749</v>
      </c>
      <c r="D15" s="2771">
        <f>SUM(D16:D18)</f>
        <v>49847.990000000005</v>
      </c>
      <c r="E15" s="1464">
        <f>SUM(E16:E18)</f>
        <v>39526.800000000003</v>
      </c>
      <c r="F15" s="1462">
        <f>D15+E15</f>
        <v>89374.790000000008</v>
      </c>
      <c r="H15" s="1475" t="s">
        <v>308</v>
      </c>
      <c r="I15" s="1476"/>
      <c r="J15" s="1476"/>
      <c r="K15" s="1477"/>
      <c r="L15" s="1478">
        <f>SUMPRODUCT(L16:L38,S16:S38)</f>
        <v>4046646.6999999997</v>
      </c>
      <c r="M15" s="1478">
        <f>SUM(M16:M38)</f>
        <v>749.28999999999985</v>
      </c>
      <c r="N15" s="1479" t="s">
        <v>229</v>
      </c>
      <c r="O15" s="1477">
        <v>11</v>
      </c>
      <c r="P15" s="1477"/>
      <c r="Q15" s="3225"/>
      <c r="R15" s="1477"/>
      <c r="S15" s="1477"/>
      <c r="T15" s="2983">
        <v>3423202</v>
      </c>
      <c r="U15" s="1480">
        <f>SUM(U16:U65)</f>
        <v>5039322.2</v>
      </c>
      <c r="V15" s="1480">
        <f t="shared" ref="V15:Y15" si="0">SUM(V16:V65)</f>
        <v>8462524.1999999993</v>
      </c>
      <c r="W15" s="2992">
        <v>1867488</v>
      </c>
      <c r="X15" s="2243">
        <f t="shared" si="0"/>
        <v>2365085.5</v>
      </c>
      <c r="Y15" s="2243">
        <f t="shared" si="0"/>
        <v>4232573.5</v>
      </c>
      <c r="Z15" s="2243"/>
    </row>
    <row r="16" spans="1:26">
      <c r="B16" s="1432">
        <v>0.1</v>
      </c>
      <c r="C16" s="1667" t="s">
        <v>734</v>
      </c>
      <c r="D16" s="2772">
        <v>9063.27</v>
      </c>
      <c r="E16" s="1448">
        <v>9289.9</v>
      </c>
      <c r="F16" s="1426">
        <f t="shared" ref="F16:F31" si="1">SUM(D16:E16)</f>
        <v>18353.169999999998</v>
      </c>
      <c r="H16" s="1898" t="s">
        <v>1780</v>
      </c>
      <c r="I16" s="1899">
        <v>20.67</v>
      </c>
      <c r="J16" s="1470" t="s">
        <v>110</v>
      </c>
      <c r="K16" s="1900" t="s">
        <v>845</v>
      </c>
      <c r="L16" s="1914">
        <v>3.65</v>
      </c>
      <c r="M16" s="1914">
        <v>3.65</v>
      </c>
      <c r="N16" s="1901">
        <v>0.29282428090387641</v>
      </c>
      <c r="O16" s="1900">
        <v>12</v>
      </c>
      <c r="P16" s="1902" t="s">
        <v>880</v>
      </c>
      <c r="Q16" s="3513">
        <v>54480</v>
      </c>
      <c r="R16" s="2242">
        <v>67500</v>
      </c>
      <c r="S16" s="1954">
        <f t="shared" ref="S16:S38" si="2">SUM(Q16:R16)</f>
        <v>121980</v>
      </c>
      <c r="T16" s="2985">
        <v>1089600</v>
      </c>
      <c r="U16" s="1954">
        <f t="shared" ref="U16:U38" si="3">R16*I16</f>
        <v>1395225</v>
      </c>
      <c r="V16" s="1954">
        <f t="shared" ref="V16:V38" si="4">SUM(T16:U16)</f>
        <v>2484825</v>
      </c>
      <c r="W16" s="2993">
        <v>298550.40000000002</v>
      </c>
      <c r="X16" s="1459">
        <f t="shared" ref="X16:X38" si="5">R16*M16</f>
        <v>246375</v>
      </c>
      <c r="Y16" s="1459">
        <f t="shared" ref="Y16:Y38" si="6">SUM(W16:X16)</f>
        <v>544925.4</v>
      </c>
      <c r="Z16" s="2247">
        <v>0</v>
      </c>
    </row>
    <row r="17" spans="2:26">
      <c r="B17" s="1432">
        <v>0.25</v>
      </c>
      <c r="C17" s="1423" t="s">
        <v>735</v>
      </c>
      <c r="D17" s="2784">
        <v>22658.18</v>
      </c>
      <c r="E17" s="1447">
        <v>19437.5</v>
      </c>
      <c r="F17" s="1426">
        <f t="shared" si="1"/>
        <v>42095.68</v>
      </c>
      <c r="H17" s="1898" t="s">
        <v>1013</v>
      </c>
      <c r="I17" s="1899">
        <v>216</v>
      </c>
      <c r="J17" s="1470" t="s">
        <v>110</v>
      </c>
      <c r="K17" s="1900" t="s">
        <v>845</v>
      </c>
      <c r="L17" s="1914">
        <v>42</v>
      </c>
      <c r="M17" s="1914">
        <v>42</v>
      </c>
      <c r="N17" s="1901">
        <v>5.6662917450673284E-2</v>
      </c>
      <c r="O17" s="1900">
        <v>5</v>
      </c>
      <c r="P17" s="1902" t="s">
        <v>878</v>
      </c>
      <c r="Q17" s="3252">
        <v>1123</v>
      </c>
      <c r="R17" s="1983">
        <v>1123</v>
      </c>
      <c r="S17" s="1903">
        <f t="shared" si="2"/>
        <v>2246</v>
      </c>
      <c r="T17" s="2985">
        <v>242568</v>
      </c>
      <c r="U17" s="1904">
        <f t="shared" si="3"/>
        <v>242568</v>
      </c>
      <c r="V17" s="1904">
        <f t="shared" si="4"/>
        <v>485136</v>
      </c>
      <c r="W17" s="2993">
        <v>47166</v>
      </c>
      <c r="X17" s="1459">
        <f t="shared" si="5"/>
        <v>47166</v>
      </c>
      <c r="Y17" s="1459">
        <f t="shared" si="6"/>
        <v>94332</v>
      </c>
      <c r="Z17" s="2247">
        <v>0</v>
      </c>
    </row>
    <row r="18" spans="2:26">
      <c r="B18" s="1432">
        <v>0.2</v>
      </c>
      <c r="C18" s="1423" t="s">
        <v>737</v>
      </c>
      <c r="D18" s="2784">
        <v>18126.54</v>
      </c>
      <c r="E18" s="1447">
        <v>10799.400000000001</v>
      </c>
      <c r="F18" s="1426">
        <f t="shared" si="1"/>
        <v>28925.940000000002</v>
      </c>
      <c r="H18" s="1898" t="s">
        <v>1014</v>
      </c>
      <c r="I18" s="1899">
        <v>18.09</v>
      </c>
      <c r="J18" s="1470" t="s">
        <v>110</v>
      </c>
      <c r="K18" s="1900" t="s">
        <v>845</v>
      </c>
      <c r="L18" s="1914">
        <v>5.3</v>
      </c>
      <c r="M18" s="1914">
        <v>5.3</v>
      </c>
      <c r="N18" s="1901">
        <v>9.5539834543944671E-2</v>
      </c>
      <c r="O18" s="1900">
        <v>12</v>
      </c>
      <c r="P18" s="1902" t="s">
        <v>880</v>
      </c>
      <c r="Q18" s="3252">
        <v>15444</v>
      </c>
      <c r="R18" s="1983">
        <v>30000</v>
      </c>
      <c r="S18" s="1954">
        <f t="shared" si="2"/>
        <v>45444</v>
      </c>
      <c r="T18" s="2985">
        <v>277992</v>
      </c>
      <c r="U18" s="1954">
        <f t="shared" si="3"/>
        <v>542700</v>
      </c>
      <c r="V18" s="1954">
        <f t="shared" si="4"/>
        <v>820692</v>
      </c>
      <c r="W18" s="2993">
        <v>84633.12000000001</v>
      </c>
      <c r="X18" s="1459">
        <f t="shared" si="5"/>
        <v>159000</v>
      </c>
      <c r="Y18" s="1459">
        <f t="shared" si="6"/>
        <v>243633.12</v>
      </c>
      <c r="Z18" s="2247">
        <v>0</v>
      </c>
    </row>
    <row r="19" spans="2:26">
      <c r="B19" s="1432"/>
      <c r="C19" s="1423"/>
      <c r="D19" s="2786"/>
      <c r="E19" s="1446"/>
      <c r="F19" s="1426">
        <f t="shared" si="1"/>
        <v>0</v>
      </c>
      <c r="H19" s="1898" t="s">
        <v>1015</v>
      </c>
      <c r="I19" s="1899">
        <v>0</v>
      </c>
      <c r="J19" s="1470" t="s">
        <v>110</v>
      </c>
      <c r="K19" s="1900" t="s">
        <v>893</v>
      </c>
      <c r="L19" s="1914">
        <v>165</v>
      </c>
      <c r="M19" s="1914">
        <v>165</v>
      </c>
      <c r="N19" s="1901">
        <v>0</v>
      </c>
      <c r="O19" s="1900">
        <v>1</v>
      </c>
      <c r="P19" s="1902" t="s">
        <v>994</v>
      </c>
      <c r="Q19" s="3252">
        <v>6150</v>
      </c>
      <c r="R19" s="1983">
        <v>0</v>
      </c>
      <c r="S19" s="1954">
        <f t="shared" si="2"/>
        <v>6150</v>
      </c>
      <c r="T19" s="2985">
        <v>0</v>
      </c>
      <c r="U19" s="1954">
        <f t="shared" si="3"/>
        <v>0</v>
      </c>
      <c r="V19" s="1954">
        <f t="shared" si="4"/>
        <v>0</v>
      </c>
      <c r="W19" s="2993">
        <v>1014750</v>
      </c>
      <c r="X19" s="1459">
        <f t="shared" si="5"/>
        <v>0</v>
      </c>
      <c r="Y19" s="1459">
        <f t="shared" si="6"/>
        <v>1014750</v>
      </c>
      <c r="Z19" s="2247">
        <v>0</v>
      </c>
    </row>
    <row r="20" spans="2:26" s="1409" customFormat="1">
      <c r="B20" s="1453">
        <f>SUM(B16:B19)</f>
        <v>0.55000000000000004</v>
      </c>
      <c r="C20" s="1488"/>
      <c r="D20" s="2770"/>
      <c r="E20" s="1490"/>
      <c r="F20" s="1492"/>
      <c r="H20" s="1460" t="s">
        <v>1016</v>
      </c>
      <c r="I20" s="2205">
        <v>39.409999999999997</v>
      </c>
      <c r="J20" s="1470" t="s">
        <v>110</v>
      </c>
      <c r="K20" s="1460" t="s">
        <v>845</v>
      </c>
      <c r="L20" s="1467">
        <v>5.3</v>
      </c>
      <c r="M20" s="1467">
        <v>5.3</v>
      </c>
      <c r="N20" s="1461">
        <v>0.40463524566708597</v>
      </c>
      <c r="O20" s="1460">
        <v>12</v>
      </c>
      <c r="P20" s="1463" t="s">
        <v>880</v>
      </c>
      <c r="Q20" s="3233">
        <v>39379</v>
      </c>
      <c r="R20" s="1466">
        <v>48000</v>
      </c>
      <c r="S20" s="1954">
        <f t="shared" si="2"/>
        <v>87379</v>
      </c>
      <c r="T20" s="2991">
        <v>1496402</v>
      </c>
      <c r="U20" s="1954">
        <f t="shared" si="3"/>
        <v>1891679.9999999998</v>
      </c>
      <c r="V20" s="1954">
        <f t="shared" si="4"/>
        <v>3388082</v>
      </c>
      <c r="W20" s="2993">
        <v>280378.48</v>
      </c>
      <c r="X20" s="1459">
        <f t="shared" si="5"/>
        <v>254400</v>
      </c>
      <c r="Y20" s="1459">
        <f t="shared" si="6"/>
        <v>534778.48</v>
      </c>
      <c r="Z20" s="2247">
        <v>0</v>
      </c>
    </row>
    <row r="21" spans="2:26">
      <c r="B21" s="1433" t="s">
        <v>296</v>
      </c>
      <c r="C21" s="1451" t="s">
        <v>44</v>
      </c>
      <c r="D21" s="2771">
        <f>SUM(D22:D25)</f>
        <v>22011</v>
      </c>
      <c r="E21" s="1464">
        <f>SUM(E22:E25)</f>
        <v>22561.279999999999</v>
      </c>
      <c r="F21" s="1638">
        <f>D21+E21</f>
        <v>44572.28</v>
      </c>
      <c r="H21" s="1460" t="s">
        <v>1781</v>
      </c>
      <c r="I21" s="1466">
        <v>238</v>
      </c>
      <c r="J21" s="1470" t="s">
        <v>110</v>
      </c>
      <c r="K21" s="1460" t="s">
        <v>845</v>
      </c>
      <c r="L21" s="1467">
        <v>3.95</v>
      </c>
      <c r="M21" s="1467">
        <v>3.95</v>
      </c>
      <c r="N21" s="1461">
        <v>7.4580198766846656E-2</v>
      </c>
      <c r="O21" s="1460">
        <v>10</v>
      </c>
      <c r="P21" s="1463" t="s">
        <v>846</v>
      </c>
      <c r="Q21" s="3233">
        <v>854</v>
      </c>
      <c r="R21" s="1466">
        <v>1750</v>
      </c>
      <c r="S21" s="1954">
        <f t="shared" si="2"/>
        <v>2604</v>
      </c>
      <c r="T21" s="2991">
        <v>222040</v>
      </c>
      <c r="U21" s="1954">
        <f t="shared" si="3"/>
        <v>416500</v>
      </c>
      <c r="V21" s="1954">
        <f t="shared" si="4"/>
        <v>638540</v>
      </c>
      <c r="W21" s="2993">
        <v>12810</v>
      </c>
      <c r="X21" s="1459">
        <f t="shared" si="5"/>
        <v>6912.5</v>
      </c>
      <c r="Y21" s="1459">
        <f t="shared" si="6"/>
        <v>19722.5</v>
      </c>
      <c r="Z21" s="2247">
        <v>20.53</v>
      </c>
    </row>
    <row r="22" spans="2:26">
      <c r="B22" s="1982">
        <f>(SUM(D22:E22)/2)/((80000+(80000*1.025))/2)</f>
        <v>0.27513753086419751</v>
      </c>
      <c r="C22" s="1423"/>
      <c r="D22" s="2772">
        <v>22011</v>
      </c>
      <c r="E22" s="1448">
        <v>22561.279999999999</v>
      </c>
      <c r="F22" s="1426">
        <f t="shared" si="1"/>
        <v>44572.28</v>
      </c>
      <c r="H22" s="1460"/>
      <c r="I22" s="1466"/>
      <c r="J22" s="1470" t="s">
        <v>110</v>
      </c>
      <c r="K22" s="1460"/>
      <c r="L22" s="1467"/>
      <c r="M22" s="1467"/>
      <c r="N22" s="1461" t="s">
        <v>229</v>
      </c>
      <c r="O22" s="1460"/>
      <c r="P22" s="1463"/>
      <c r="Q22" s="3233">
        <v>0</v>
      </c>
      <c r="R22" s="1466"/>
      <c r="S22" s="1954">
        <f t="shared" si="2"/>
        <v>0</v>
      </c>
      <c r="T22" s="2991">
        <v>0</v>
      </c>
      <c r="U22" s="1954">
        <f t="shared" si="3"/>
        <v>0</v>
      </c>
      <c r="V22" s="1954">
        <f t="shared" si="4"/>
        <v>0</v>
      </c>
      <c r="W22" s="2993">
        <v>0</v>
      </c>
      <c r="X22" s="1459">
        <f t="shared" si="5"/>
        <v>0</v>
      </c>
      <c r="Y22" s="1459">
        <f t="shared" si="6"/>
        <v>0</v>
      </c>
      <c r="Z22" s="2247">
        <v>0</v>
      </c>
    </row>
    <row r="23" spans="2:26">
      <c r="B23" s="1982"/>
      <c r="C23" s="1423"/>
      <c r="D23" s="2773"/>
      <c r="E23" s="1444"/>
      <c r="F23" s="1426">
        <f t="shared" si="1"/>
        <v>0</v>
      </c>
      <c r="H23" s="1460" t="s">
        <v>1017</v>
      </c>
      <c r="I23" s="1466">
        <v>0</v>
      </c>
      <c r="J23" s="1470" t="s">
        <v>110</v>
      </c>
      <c r="K23" s="1460" t="s">
        <v>893</v>
      </c>
      <c r="L23" s="1467">
        <v>4.16</v>
      </c>
      <c r="M23" s="1467">
        <v>4.16</v>
      </c>
      <c r="N23" s="1461">
        <v>0</v>
      </c>
      <c r="O23" s="1460">
        <v>1</v>
      </c>
      <c r="P23" s="1463" t="s">
        <v>994</v>
      </c>
      <c r="Q23" s="3233">
        <v>30000</v>
      </c>
      <c r="R23" s="1466">
        <v>0</v>
      </c>
      <c r="S23" s="1954">
        <f t="shared" si="2"/>
        <v>30000</v>
      </c>
      <c r="T23" s="2991">
        <v>0</v>
      </c>
      <c r="U23" s="1954">
        <f t="shared" si="3"/>
        <v>0</v>
      </c>
      <c r="V23" s="1954">
        <f t="shared" si="4"/>
        <v>0</v>
      </c>
      <c r="W23" s="2993">
        <v>124800</v>
      </c>
      <c r="X23" s="1459">
        <f t="shared" si="5"/>
        <v>0</v>
      </c>
      <c r="Y23" s="1459">
        <f t="shared" si="6"/>
        <v>124800</v>
      </c>
      <c r="Z23" s="2247">
        <v>0</v>
      </c>
    </row>
    <row r="24" spans="2:26">
      <c r="B24" s="1982"/>
      <c r="C24" s="1423"/>
      <c r="D24" s="2774"/>
      <c r="E24" s="1443"/>
      <c r="F24" s="1426">
        <f t="shared" si="1"/>
        <v>0</v>
      </c>
      <c r="H24" s="1460" t="s">
        <v>1018</v>
      </c>
      <c r="I24" s="1466">
        <v>53</v>
      </c>
      <c r="J24" s="1470" t="s">
        <v>110</v>
      </c>
      <c r="K24" s="1460" t="s">
        <v>845</v>
      </c>
      <c r="L24" s="1467">
        <v>0.54</v>
      </c>
      <c r="M24" s="1467">
        <v>0.54</v>
      </c>
      <c r="N24" s="1461">
        <v>1.4856706366308915E-2</v>
      </c>
      <c r="O24" s="1460">
        <v>10</v>
      </c>
      <c r="P24" s="1463" t="s">
        <v>846</v>
      </c>
      <c r="Q24" s="3233">
        <v>1200</v>
      </c>
      <c r="R24" s="1466">
        <v>1200</v>
      </c>
      <c r="S24" s="1954">
        <f t="shared" si="2"/>
        <v>2400</v>
      </c>
      <c r="T24" s="2991">
        <v>63600</v>
      </c>
      <c r="U24" s="1954">
        <f>R24*I24</f>
        <v>63600</v>
      </c>
      <c r="V24" s="1954">
        <f t="shared" si="4"/>
        <v>127200</v>
      </c>
      <c r="W24" s="2993">
        <v>2400</v>
      </c>
      <c r="X24" s="1459">
        <f t="shared" si="5"/>
        <v>648</v>
      </c>
      <c r="Y24" s="1459">
        <f t="shared" si="6"/>
        <v>3048</v>
      </c>
      <c r="Z24" s="2247">
        <v>2.36</v>
      </c>
    </row>
    <row r="25" spans="2:26">
      <c r="B25" s="1982"/>
      <c r="C25" s="1423"/>
      <c r="D25" s="2775"/>
      <c r="E25" s="1444"/>
      <c r="F25" s="1426">
        <f t="shared" si="1"/>
        <v>0</v>
      </c>
      <c r="H25" s="1460" t="s">
        <v>1019</v>
      </c>
      <c r="I25" s="1466">
        <v>31</v>
      </c>
      <c r="J25" s="1470" t="s">
        <v>110</v>
      </c>
      <c r="K25" s="1460" t="s">
        <v>845</v>
      </c>
      <c r="L25" s="1467">
        <v>1.41</v>
      </c>
      <c r="M25" s="1467">
        <v>1.41</v>
      </c>
      <c r="N25" s="1461">
        <v>7.2414763735153516E-3</v>
      </c>
      <c r="O25" s="1460">
        <v>10</v>
      </c>
      <c r="P25" s="1463" t="s">
        <v>846</v>
      </c>
      <c r="Q25" s="3233">
        <v>1000</v>
      </c>
      <c r="R25" s="1466">
        <v>1000</v>
      </c>
      <c r="S25" s="1954">
        <f t="shared" si="2"/>
        <v>2000</v>
      </c>
      <c r="T25" s="2991">
        <v>31000</v>
      </c>
      <c r="U25" s="1954">
        <f t="shared" si="3"/>
        <v>31000</v>
      </c>
      <c r="V25" s="1954">
        <f t="shared" si="4"/>
        <v>62000</v>
      </c>
      <c r="W25" s="2993">
        <v>2000</v>
      </c>
      <c r="X25" s="1459">
        <f t="shared" si="5"/>
        <v>1410</v>
      </c>
      <c r="Y25" s="1459">
        <f t="shared" si="6"/>
        <v>3410</v>
      </c>
      <c r="Z25" s="2247">
        <v>2.36</v>
      </c>
    </row>
    <row r="26" spans="2:26">
      <c r="B26" s="1453">
        <f>SUM(B22:B25)</f>
        <v>0.27513753086419751</v>
      </c>
      <c r="C26" s="1424"/>
      <c r="D26" s="2776"/>
      <c r="E26" s="1431"/>
      <c r="F26" s="1439"/>
      <c r="H26" s="1460"/>
      <c r="I26" s="1466"/>
      <c r="J26" s="1470" t="s">
        <v>110</v>
      </c>
      <c r="K26" s="1460"/>
      <c r="L26" s="1467"/>
      <c r="M26" s="1467"/>
      <c r="N26" s="1461" t="s">
        <v>229</v>
      </c>
      <c r="O26" s="1460"/>
      <c r="P26" s="1463"/>
      <c r="Q26" s="3233">
        <v>0</v>
      </c>
      <c r="R26" s="1466"/>
      <c r="S26" s="1954">
        <f t="shared" si="2"/>
        <v>0</v>
      </c>
      <c r="T26" s="2991">
        <v>0</v>
      </c>
      <c r="U26" s="1954">
        <f t="shared" si="3"/>
        <v>0</v>
      </c>
      <c r="V26" s="1954">
        <f t="shared" si="4"/>
        <v>0</v>
      </c>
      <c r="W26" s="2993">
        <v>0</v>
      </c>
      <c r="X26" s="1459">
        <f t="shared" si="5"/>
        <v>0</v>
      </c>
      <c r="Y26" s="1459">
        <f t="shared" si="6"/>
        <v>0</v>
      </c>
      <c r="Z26" s="2247">
        <v>0</v>
      </c>
    </row>
    <row r="27" spans="2:26">
      <c r="C27" s="1597" t="s">
        <v>1737</v>
      </c>
      <c r="D27" s="2771">
        <f>SUM(D29:D35)</f>
        <v>47929.946330000006</v>
      </c>
      <c r="E27" s="1657">
        <f>SUM(E29:E31)+SUM(E33:E35)</f>
        <v>55755.095840000002</v>
      </c>
      <c r="F27" s="1638">
        <f>D27+E27</f>
        <v>103685.04217</v>
      </c>
      <c r="H27" s="1460" t="s">
        <v>1782</v>
      </c>
      <c r="I27" s="2205">
        <v>39.409999999999997</v>
      </c>
      <c r="J27" s="1470" t="s">
        <v>110</v>
      </c>
      <c r="K27" s="1460" t="s">
        <v>845</v>
      </c>
      <c r="L27" s="1467">
        <v>5.3</v>
      </c>
      <c r="M27" s="1467">
        <v>5.3</v>
      </c>
      <c r="N27" s="1461">
        <v>6.3211080860427551E-3</v>
      </c>
      <c r="O27" s="1460">
        <v>12</v>
      </c>
      <c r="P27" s="1463" t="s">
        <v>880</v>
      </c>
      <c r="Q27" s="3233">
        <v>0</v>
      </c>
      <c r="R27" s="1466">
        <v>1320</v>
      </c>
      <c r="S27" s="1954">
        <f t="shared" si="2"/>
        <v>1320</v>
      </c>
      <c r="T27" s="1469" t="s">
        <v>229</v>
      </c>
      <c r="U27" s="1954">
        <f t="shared" si="3"/>
        <v>52021.2</v>
      </c>
      <c r="V27" s="1954">
        <f t="shared" si="4"/>
        <v>52021.2</v>
      </c>
      <c r="W27" s="1459" t="s">
        <v>229</v>
      </c>
      <c r="X27" s="1459">
        <f t="shared" si="5"/>
        <v>6996</v>
      </c>
      <c r="Y27" s="1459">
        <f t="shared" si="6"/>
        <v>6996</v>
      </c>
      <c r="Z27" s="2247">
        <v>0</v>
      </c>
    </row>
    <row r="28" spans="2:26">
      <c r="C28" s="1450" t="s">
        <v>1733</v>
      </c>
      <c r="D28" s="2777">
        <v>0.66700000000000004</v>
      </c>
      <c r="E28" s="1452">
        <v>0.68799999999999994</v>
      </c>
      <c r="F28" s="1485"/>
      <c r="H28" s="1460" t="s">
        <v>1783</v>
      </c>
      <c r="I28" s="2205">
        <v>20.67</v>
      </c>
      <c r="J28" s="1470" t="s">
        <v>110</v>
      </c>
      <c r="K28" s="1460" t="s">
        <v>845</v>
      </c>
      <c r="L28" s="1467">
        <v>3.65</v>
      </c>
      <c r="M28" s="1467">
        <v>3.65</v>
      </c>
      <c r="N28" s="1461">
        <v>1.2263790632566321E-2</v>
      </c>
      <c r="O28" s="1460">
        <v>12</v>
      </c>
      <c r="P28" s="1463" t="s">
        <v>880</v>
      </c>
      <c r="Q28" s="3233">
        <v>0</v>
      </c>
      <c r="R28" s="1466">
        <v>5000</v>
      </c>
      <c r="S28" s="1954">
        <f t="shared" si="2"/>
        <v>5000</v>
      </c>
      <c r="T28" s="1469" t="s">
        <v>229</v>
      </c>
      <c r="U28" s="1954">
        <f t="shared" si="3"/>
        <v>103350.00000000001</v>
      </c>
      <c r="V28" s="1954">
        <f t="shared" si="4"/>
        <v>103350.00000000001</v>
      </c>
      <c r="W28" s="1459" t="s">
        <v>229</v>
      </c>
      <c r="X28" s="1459">
        <f t="shared" si="5"/>
        <v>18250</v>
      </c>
      <c r="Y28" s="1459">
        <f t="shared" si="6"/>
        <v>18250</v>
      </c>
      <c r="Z28" s="2247">
        <v>0</v>
      </c>
    </row>
    <row r="29" spans="2:26">
      <c r="C29" s="1667" t="s">
        <v>719</v>
      </c>
      <c r="D29" s="2778">
        <f>D15*D28</f>
        <v>33248.609330000007</v>
      </c>
      <c r="E29" s="1504">
        <f>E15*E28</f>
        <v>27194.438399999999</v>
      </c>
      <c r="F29" s="1426">
        <f t="shared" si="1"/>
        <v>60443.047730000006</v>
      </c>
      <c r="H29" s="1460" t="s">
        <v>1784</v>
      </c>
      <c r="I29" s="2205">
        <v>18.09</v>
      </c>
      <c r="J29" s="1470" t="s">
        <v>110</v>
      </c>
      <c r="K29" s="1460" t="s">
        <v>845</v>
      </c>
      <c r="L29" s="1467">
        <v>5.3</v>
      </c>
      <c r="M29" s="1467">
        <v>5.3</v>
      </c>
      <c r="N29" s="1461">
        <v>8.8299292554477517E-3</v>
      </c>
      <c r="O29" s="1460">
        <v>12</v>
      </c>
      <c r="P29" s="1463" t="s">
        <v>880</v>
      </c>
      <c r="Q29" s="3233">
        <v>0</v>
      </c>
      <c r="R29" s="1466">
        <v>4200</v>
      </c>
      <c r="S29" s="1954">
        <f t="shared" si="2"/>
        <v>4200</v>
      </c>
      <c r="T29" s="1469" t="s">
        <v>229</v>
      </c>
      <c r="U29" s="1954">
        <f t="shared" si="3"/>
        <v>75978</v>
      </c>
      <c r="V29" s="1954">
        <f t="shared" si="4"/>
        <v>75978</v>
      </c>
      <c r="W29" s="1459" t="s">
        <v>229</v>
      </c>
      <c r="X29" s="1459">
        <f t="shared" si="5"/>
        <v>22260</v>
      </c>
      <c r="Y29" s="1459">
        <f t="shared" si="6"/>
        <v>22260</v>
      </c>
      <c r="Z29" s="2247">
        <v>0</v>
      </c>
    </row>
    <row r="30" spans="2:26">
      <c r="C30" s="1667" t="s">
        <v>720</v>
      </c>
      <c r="D30" s="2785">
        <f>D21*D28</f>
        <v>14681.337000000001</v>
      </c>
      <c r="E30" s="1504">
        <f>E21*E28</f>
        <v>15522.160639999998</v>
      </c>
      <c r="F30" s="1426">
        <f t="shared" si="1"/>
        <v>30203.497640000001</v>
      </c>
      <c r="H30" s="1460" t="s">
        <v>1785</v>
      </c>
      <c r="I30" s="2205">
        <v>0</v>
      </c>
      <c r="J30" s="1470" t="s">
        <v>110</v>
      </c>
      <c r="K30" s="1460" t="s">
        <v>893</v>
      </c>
      <c r="L30" s="1467">
        <v>115</v>
      </c>
      <c r="M30" s="1467">
        <v>115</v>
      </c>
      <c r="N30" s="1461">
        <v>0</v>
      </c>
      <c r="O30" s="1460">
        <v>1</v>
      </c>
      <c r="P30" s="1463" t="s">
        <v>994</v>
      </c>
      <c r="Q30" s="3233">
        <v>0</v>
      </c>
      <c r="R30" s="1466">
        <v>750</v>
      </c>
      <c r="S30" s="1954">
        <f t="shared" si="2"/>
        <v>750</v>
      </c>
      <c r="T30" s="1469" t="s">
        <v>229</v>
      </c>
      <c r="U30" s="1954">
        <f t="shared" si="3"/>
        <v>0</v>
      </c>
      <c r="V30" s="1954">
        <f t="shared" si="4"/>
        <v>0</v>
      </c>
      <c r="W30" s="1459" t="s">
        <v>229</v>
      </c>
      <c r="X30" s="1459">
        <f t="shared" si="5"/>
        <v>86250</v>
      </c>
      <c r="Y30" s="1459">
        <f t="shared" si="6"/>
        <v>86250</v>
      </c>
      <c r="Z30" s="2247">
        <v>0</v>
      </c>
    </row>
    <row r="31" spans="2:26">
      <c r="C31" s="1667"/>
      <c r="D31" s="2774"/>
      <c r="E31" s="1443"/>
      <c r="F31" s="1426">
        <f t="shared" si="1"/>
        <v>0</v>
      </c>
      <c r="H31" s="1460" t="s">
        <v>1786</v>
      </c>
      <c r="I31" s="2205">
        <v>0</v>
      </c>
      <c r="J31" s="1470" t="s">
        <v>110</v>
      </c>
      <c r="K31" s="1460" t="s">
        <v>893</v>
      </c>
      <c r="L31" s="1467">
        <v>100</v>
      </c>
      <c r="M31" s="1467">
        <v>100</v>
      </c>
      <c r="N31" s="1461">
        <v>0</v>
      </c>
      <c r="O31" s="1460">
        <v>1</v>
      </c>
      <c r="P31" s="1463" t="s">
        <v>994</v>
      </c>
      <c r="Q31" s="3233">
        <v>0</v>
      </c>
      <c r="R31" s="1466">
        <v>700</v>
      </c>
      <c r="S31" s="1954">
        <f t="shared" si="2"/>
        <v>700</v>
      </c>
      <c r="T31" s="1469" t="s">
        <v>229</v>
      </c>
      <c r="U31" s="1954">
        <f t="shared" si="3"/>
        <v>0</v>
      </c>
      <c r="V31" s="1954">
        <f t="shared" si="4"/>
        <v>0</v>
      </c>
      <c r="W31" s="1459" t="s">
        <v>229</v>
      </c>
      <c r="X31" s="1459">
        <f t="shared" si="5"/>
        <v>70000</v>
      </c>
      <c r="Y31" s="1459">
        <f t="shared" si="6"/>
        <v>70000</v>
      </c>
      <c r="Z31" s="2247">
        <v>0</v>
      </c>
    </row>
    <row r="32" spans="2:26">
      <c r="C32" s="1450" t="s">
        <v>1734</v>
      </c>
      <c r="D32" s="2777"/>
      <c r="E32" s="1452">
        <v>0.21</v>
      </c>
      <c r="F32" s="1485"/>
      <c r="H32" s="1460" t="s">
        <v>1787</v>
      </c>
      <c r="I32" s="2205">
        <v>238</v>
      </c>
      <c r="J32" s="1470" t="s">
        <v>110</v>
      </c>
      <c r="K32" s="1460" t="s">
        <v>845</v>
      </c>
      <c r="L32" s="1467">
        <v>9.48</v>
      </c>
      <c r="M32" s="1467">
        <v>9.48</v>
      </c>
      <c r="N32" s="1461">
        <v>2.3628236618744445E-2</v>
      </c>
      <c r="O32" s="1460">
        <v>10</v>
      </c>
      <c r="P32" s="1463" t="s">
        <v>846</v>
      </c>
      <c r="Q32" s="3233">
        <v>0</v>
      </c>
      <c r="R32" s="1466">
        <v>850</v>
      </c>
      <c r="S32" s="1954">
        <f t="shared" si="2"/>
        <v>850</v>
      </c>
      <c r="T32" s="1469" t="s">
        <v>229</v>
      </c>
      <c r="U32" s="1954">
        <f t="shared" si="3"/>
        <v>202300</v>
      </c>
      <c r="V32" s="1954">
        <f t="shared" si="4"/>
        <v>202300</v>
      </c>
      <c r="W32" s="1459" t="s">
        <v>229</v>
      </c>
      <c r="X32" s="1459">
        <f t="shared" si="5"/>
        <v>8058</v>
      </c>
      <c r="Y32" s="1459">
        <f t="shared" si="6"/>
        <v>8058</v>
      </c>
      <c r="Z32" s="2247">
        <v>20.53</v>
      </c>
    </row>
    <row r="33" spans="1:26">
      <c r="C33" s="1667" t="s">
        <v>719</v>
      </c>
      <c r="D33" s="2778"/>
      <c r="E33" s="1641">
        <f>E15*E32</f>
        <v>8300.6280000000006</v>
      </c>
      <c r="F33" s="1661">
        <f>SUM(D33:E33)</f>
        <v>8300.6280000000006</v>
      </c>
      <c r="H33" s="1460" t="s">
        <v>1788</v>
      </c>
      <c r="I33" s="2205">
        <v>0</v>
      </c>
      <c r="J33" s="1470" t="s">
        <v>110</v>
      </c>
      <c r="K33" s="1460" t="s">
        <v>893</v>
      </c>
      <c r="L33" s="1467">
        <v>144</v>
      </c>
      <c r="M33" s="1467">
        <v>144</v>
      </c>
      <c r="N33" s="1461">
        <v>0</v>
      </c>
      <c r="O33" s="1460">
        <v>1</v>
      </c>
      <c r="P33" s="1463" t="s">
        <v>994</v>
      </c>
      <c r="Q33" s="3233">
        <v>0</v>
      </c>
      <c r="R33" s="1466">
        <v>6150</v>
      </c>
      <c r="S33" s="1954">
        <f t="shared" si="2"/>
        <v>6150</v>
      </c>
      <c r="T33" s="1469" t="s">
        <v>229</v>
      </c>
      <c r="U33" s="1954">
        <f t="shared" si="3"/>
        <v>0</v>
      </c>
      <c r="V33" s="1954">
        <f t="shared" si="4"/>
        <v>0</v>
      </c>
      <c r="W33" s="1459" t="s">
        <v>229</v>
      </c>
      <c r="X33" s="1459">
        <f t="shared" si="5"/>
        <v>885600</v>
      </c>
      <c r="Y33" s="1459">
        <f t="shared" si="6"/>
        <v>885600</v>
      </c>
      <c r="Z33" s="2247">
        <v>0</v>
      </c>
    </row>
    <row r="34" spans="1:26" ht="25.5">
      <c r="A34" s="1400" t="s">
        <v>1560</v>
      </c>
      <c r="C34" s="1667" t="s">
        <v>720</v>
      </c>
      <c r="D34" s="2785"/>
      <c r="E34" s="1641">
        <f>E21*E32</f>
        <v>4737.8687999999993</v>
      </c>
      <c r="F34" s="1661">
        <f t="shared" ref="F34" si="7">SUM(D34:E34)</f>
        <v>4737.8687999999993</v>
      </c>
      <c r="H34" s="1460" t="s">
        <v>1789</v>
      </c>
      <c r="I34" s="2205">
        <v>0</v>
      </c>
      <c r="J34" s="1470" t="s">
        <v>110</v>
      </c>
      <c r="K34" s="1460" t="s">
        <v>893</v>
      </c>
      <c r="L34" s="1467">
        <v>121.00000000000001</v>
      </c>
      <c r="M34" s="1467">
        <v>121</v>
      </c>
      <c r="N34" s="1461">
        <v>0</v>
      </c>
      <c r="O34" s="1460">
        <v>1</v>
      </c>
      <c r="P34" s="1463" t="s">
        <v>994</v>
      </c>
      <c r="Q34" s="3233">
        <v>0</v>
      </c>
      <c r="R34" s="1466">
        <v>4560</v>
      </c>
      <c r="S34" s="1954">
        <f t="shared" si="2"/>
        <v>4560</v>
      </c>
      <c r="T34" s="1469" t="s">
        <v>229</v>
      </c>
      <c r="U34" s="1954">
        <f t="shared" si="3"/>
        <v>0</v>
      </c>
      <c r="V34" s="1954">
        <f t="shared" si="4"/>
        <v>0</v>
      </c>
      <c r="W34" s="1459" t="s">
        <v>229</v>
      </c>
      <c r="X34" s="1459">
        <f t="shared" si="5"/>
        <v>551760</v>
      </c>
      <c r="Y34" s="1459">
        <f t="shared" si="6"/>
        <v>551760</v>
      </c>
      <c r="Z34" s="2247">
        <v>0</v>
      </c>
    </row>
    <row r="35" spans="1:26">
      <c r="A35" s="1357" t="s">
        <v>275</v>
      </c>
      <c r="C35" s="1445"/>
      <c r="D35" s="2775"/>
      <c r="E35" s="1444"/>
      <c r="F35" s="1426"/>
      <c r="H35" s="1460" t="s">
        <v>1790</v>
      </c>
      <c r="I35" s="2205">
        <v>7</v>
      </c>
      <c r="J35" s="1470" t="s">
        <v>110</v>
      </c>
      <c r="K35" s="1460" t="s">
        <v>845</v>
      </c>
      <c r="L35" s="1467">
        <v>0</v>
      </c>
      <c r="M35" s="1467">
        <v>0</v>
      </c>
      <c r="N35" s="1461">
        <v>2.6162753349474816E-3</v>
      </c>
      <c r="O35" s="1460">
        <v>10</v>
      </c>
      <c r="P35" s="1463" t="s">
        <v>846</v>
      </c>
      <c r="Q35" s="3233">
        <v>0</v>
      </c>
      <c r="R35" s="1466">
        <v>3200</v>
      </c>
      <c r="S35" s="1954">
        <f t="shared" si="2"/>
        <v>3200</v>
      </c>
      <c r="T35" s="1469" t="s">
        <v>229</v>
      </c>
      <c r="U35" s="1954">
        <f t="shared" si="3"/>
        <v>22400</v>
      </c>
      <c r="V35" s="1954">
        <f t="shared" si="4"/>
        <v>22400</v>
      </c>
      <c r="W35" s="1459" t="s">
        <v>229</v>
      </c>
      <c r="X35" s="1459">
        <f t="shared" si="5"/>
        <v>0</v>
      </c>
      <c r="Y35" s="1459">
        <f t="shared" si="6"/>
        <v>0</v>
      </c>
      <c r="Z35" s="2247">
        <v>0</v>
      </c>
    </row>
    <row r="36" spans="1:26">
      <c r="A36" s="1400" t="s">
        <v>5</v>
      </c>
      <c r="C36" s="1488"/>
      <c r="D36" s="2779"/>
      <c r="E36" s="1490"/>
      <c r="F36" s="1493"/>
      <c r="H36" s="1460" t="s">
        <v>1791</v>
      </c>
      <c r="I36" s="2205">
        <v>3</v>
      </c>
      <c r="J36" s="1470" t="s">
        <v>110</v>
      </c>
      <c r="K36" s="1460" t="s">
        <v>845</v>
      </c>
      <c r="L36" s="1467">
        <v>3.65</v>
      </c>
      <c r="M36" s="1467">
        <v>3.65</v>
      </c>
      <c r="N36" s="1461" t="s">
        <v>229</v>
      </c>
      <c r="O36" s="1460">
        <v>12</v>
      </c>
      <c r="P36" s="1463" t="s">
        <v>880</v>
      </c>
      <c r="Q36" s="3233">
        <v>0</v>
      </c>
      <c r="R36" s="1466"/>
      <c r="S36" s="1954">
        <f t="shared" si="2"/>
        <v>0</v>
      </c>
      <c r="T36" s="1469" t="s">
        <v>229</v>
      </c>
      <c r="U36" s="1954">
        <f t="shared" si="3"/>
        <v>0</v>
      </c>
      <c r="V36" s="1954">
        <f t="shared" si="4"/>
        <v>0</v>
      </c>
      <c r="W36" s="1459" t="s">
        <v>229</v>
      </c>
      <c r="X36" s="1459">
        <f t="shared" si="5"/>
        <v>0</v>
      </c>
      <c r="Y36" s="1459">
        <f t="shared" si="6"/>
        <v>0</v>
      </c>
      <c r="Z36" s="2247">
        <v>0</v>
      </c>
    </row>
    <row r="37" spans="1:26">
      <c r="A37" s="1400">
        <v>18230625</v>
      </c>
      <c r="C37" s="1597" t="s">
        <v>46</v>
      </c>
      <c r="D37" s="2771">
        <f>SUM(D38:D41)</f>
        <v>134200</v>
      </c>
      <c r="E37" s="1464">
        <f>SUM(E38:E41)</f>
        <v>134200</v>
      </c>
      <c r="F37" s="1638">
        <f>D37+E37</f>
        <v>268400</v>
      </c>
      <c r="H37" s="1460" t="s">
        <v>1792</v>
      </c>
      <c r="I37" s="2205">
        <v>1</v>
      </c>
      <c r="J37" s="1470" t="s">
        <v>110</v>
      </c>
      <c r="K37" s="1460" t="s">
        <v>845</v>
      </c>
      <c r="L37" s="1467">
        <v>5.3</v>
      </c>
      <c r="M37" s="1467">
        <v>5.3</v>
      </c>
      <c r="N37" s="1461" t="s">
        <v>229</v>
      </c>
      <c r="O37" s="1460">
        <v>12</v>
      </c>
      <c r="P37" s="1463" t="s">
        <v>880</v>
      </c>
      <c r="Q37" s="3233">
        <v>0</v>
      </c>
      <c r="R37" s="1466"/>
      <c r="S37" s="1954">
        <f t="shared" si="2"/>
        <v>0</v>
      </c>
      <c r="T37" s="1469" t="s">
        <v>229</v>
      </c>
      <c r="U37" s="1954">
        <f t="shared" si="3"/>
        <v>0</v>
      </c>
      <c r="V37" s="1954">
        <f t="shared" si="4"/>
        <v>0</v>
      </c>
      <c r="W37" s="1459" t="s">
        <v>229</v>
      </c>
      <c r="X37" s="1459">
        <f t="shared" si="5"/>
        <v>0</v>
      </c>
      <c r="Y37" s="1459">
        <f t="shared" si="6"/>
        <v>0</v>
      </c>
      <c r="Z37" s="2247">
        <v>0</v>
      </c>
    </row>
    <row r="38" spans="1:26">
      <c r="A38" s="1400" t="s">
        <v>4</v>
      </c>
      <c r="C38" s="1667" t="s">
        <v>1009</v>
      </c>
      <c r="D38" s="2778">
        <v>77500</v>
      </c>
      <c r="E38" s="1520">
        <v>77500</v>
      </c>
      <c r="F38" s="1426">
        <f t="shared" ref="F38:F41" si="8">SUM(D38:E38)</f>
        <v>155000</v>
      </c>
      <c r="H38" s="1460" t="s">
        <v>1793</v>
      </c>
      <c r="I38" s="2205">
        <v>5</v>
      </c>
      <c r="J38" s="1470" t="s">
        <v>110</v>
      </c>
      <c r="K38" s="1460" t="s">
        <v>845</v>
      </c>
      <c r="L38" s="1467">
        <v>5.3</v>
      </c>
      <c r="M38" s="1467">
        <v>5.3</v>
      </c>
      <c r="N38" s="1461" t="s">
        <v>229</v>
      </c>
      <c r="O38" s="1460">
        <v>12</v>
      </c>
      <c r="P38" s="1463" t="s">
        <v>880</v>
      </c>
      <c r="Q38" s="3233">
        <v>0</v>
      </c>
      <c r="R38" s="1466"/>
      <c r="S38" s="1954">
        <f t="shared" si="2"/>
        <v>0</v>
      </c>
      <c r="T38" s="1469" t="s">
        <v>229</v>
      </c>
      <c r="U38" s="1954">
        <f t="shared" si="3"/>
        <v>0</v>
      </c>
      <c r="V38" s="1954">
        <f t="shared" si="4"/>
        <v>0</v>
      </c>
      <c r="W38" s="1459" t="s">
        <v>229</v>
      </c>
      <c r="X38" s="1459">
        <f t="shared" si="5"/>
        <v>0</v>
      </c>
      <c r="Y38" s="1459">
        <f t="shared" si="6"/>
        <v>0</v>
      </c>
      <c r="Z38" s="2247">
        <v>0</v>
      </c>
    </row>
    <row r="39" spans="1:26">
      <c r="C39" s="1667" t="s">
        <v>1010</v>
      </c>
      <c r="D39" s="2778">
        <v>56700</v>
      </c>
      <c r="E39" s="1520">
        <v>56700</v>
      </c>
      <c r="F39" s="1426">
        <f t="shared" si="8"/>
        <v>113400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2247"/>
    </row>
    <row r="40" spans="1:26">
      <c r="C40" s="1667"/>
      <c r="D40" s="2778"/>
      <c r="E40" s="1520"/>
      <c r="F40" s="1426">
        <f t="shared" si="8"/>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2247"/>
    </row>
    <row r="41" spans="1:26">
      <c r="C41" s="1667"/>
      <c r="D41" s="2778"/>
      <c r="E41" s="1520"/>
      <c r="F41" s="1426">
        <f t="shared" si="8"/>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2247"/>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2247"/>
    </row>
    <row r="43" spans="1:26">
      <c r="C43" s="1597" t="s">
        <v>483</v>
      </c>
      <c r="D43" s="2771">
        <f>SUM(D44:D47)</f>
        <v>3000</v>
      </c>
      <c r="E43" s="1464">
        <f>SUM(E44:E47)</f>
        <v>3000</v>
      </c>
      <c r="F43" s="1638">
        <f>D43+E43</f>
        <v>6000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2247"/>
    </row>
    <row r="44" spans="1:26">
      <c r="C44" s="1667" t="s">
        <v>1011</v>
      </c>
      <c r="D44" s="2778">
        <v>3000</v>
      </c>
      <c r="E44" s="1520">
        <v>3000</v>
      </c>
      <c r="F44" s="1426">
        <f t="shared" ref="F44:F47" si="9">SUM(D44:E44)</f>
        <v>6000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2247"/>
    </row>
    <row r="45" spans="1:26">
      <c r="C45" s="1667"/>
      <c r="D45" s="2778"/>
      <c r="E45" s="1520"/>
      <c r="F45" s="1426">
        <f t="shared" si="9"/>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2247"/>
    </row>
    <row r="46" spans="1:26">
      <c r="C46" s="1667"/>
      <c r="D46" s="2778"/>
      <c r="E46" s="1520"/>
      <c r="F46" s="1426">
        <f t="shared" si="9"/>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2247"/>
    </row>
    <row r="47" spans="1:26">
      <c r="C47" s="1667"/>
      <c r="D47" s="2778"/>
      <c r="E47" s="1520"/>
      <c r="F47" s="1426">
        <f t="shared" si="9"/>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2247"/>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2247"/>
    </row>
    <row r="49" spans="1:26">
      <c r="C49" s="1597" t="s">
        <v>47</v>
      </c>
      <c r="D49" s="2771">
        <f>SUM(D50:D53)</f>
        <v>65000</v>
      </c>
      <c r="E49" s="1464">
        <f>SUM(E50:E53)</f>
        <v>220819.13</v>
      </c>
      <c r="F49" s="1638">
        <f>D49+E49</f>
        <v>285819.13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2247"/>
    </row>
    <row r="50" spans="1:26">
      <c r="C50" s="1667" t="s">
        <v>1012</v>
      </c>
      <c r="D50" s="2778">
        <v>65000</v>
      </c>
      <c r="E50" s="1520">
        <v>99960</v>
      </c>
      <c r="F50" s="1426">
        <f t="shared" ref="F50:F53" si="10">SUM(D50:E50)</f>
        <v>164960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2247"/>
    </row>
    <row r="51" spans="1:26">
      <c r="C51" s="1667" t="s">
        <v>1779</v>
      </c>
      <c r="D51" s="2778"/>
      <c r="E51" s="1520">
        <v>99940</v>
      </c>
      <c r="F51" s="1426">
        <f t="shared" si="10"/>
        <v>99940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2247"/>
    </row>
    <row r="52" spans="1:26">
      <c r="C52" s="1667" t="s">
        <v>1776</v>
      </c>
      <c r="D52" s="2778"/>
      <c r="E52" s="1520">
        <v>10080</v>
      </c>
      <c r="F52" s="1426">
        <f t="shared" si="10"/>
        <v>10080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2247"/>
    </row>
    <row r="53" spans="1:26">
      <c r="C53" s="1667" t="s">
        <v>1778</v>
      </c>
      <c r="D53" s="2778"/>
      <c r="E53" s="1520">
        <v>10839.13</v>
      </c>
      <c r="F53" s="1426">
        <f t="shared" si="10"/>
        <v>10839.13</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2247"/>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2247"/>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2247"/>
    </row>
    <row r="56" spans="1:26">
      <c r="C56" s="1423"/>
      <c r="D56" s="2778">
        <v>1000</v>
      </c>
      <c r="E56" s="1504">
        <v>1000</v>
      </c>
      <c r="F56" s="1426">
        <f t="shared" ref="F56:F59" si="11">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2247"/>
    </row>
    <row r="57" spans="1:26">
      <c r="C57" s="1423"/>
      <c r="D57" s="2778"/>
      <c r="E57" s="1504"/>
      <c r="F57" s="1426">
        <f t="shared" si="11"/>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2247"/>
    </row>
    <row r="58" spans="1:26">
      <c r="C58" s="1423"/>
      <c r="D58" s="2778"/>
      <c r="E58" s="1504"/>
      <c r="F58" s="1426">
        <f t="shared" si="11"/>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2247"/>
    </row>
    <row r="59" spans="1:26">
      <c r="C59" s="1423"/>
      <c r="D59" s="2778"/>
      <c r="E59" s="1504"/>
      <c r="F59" s="1426">
        <f t="shared" si="11"/>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2247"/>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2247"/>
    </row>
    <row r="61" spans="1:26">
      <c r="C61" s="1451" t="s">
        <v>49</v>
      </c>
      <c r="D61" s="2771">
        <f>SUM(D62:D65)</f>
        <v>2000</v>
      </c>
      <c r="E61" s="1464">
        <f>SUM(E62:E65)</f>
        <v>2000</v>
      </c>
      <c r="F61" s="1638">
        <f>D61+E61</f>
        <v>4000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2247"/>
    </row>
    <row r="62" spans="1:26">
      <c r="C62" s="1423"/>
      <c r="D62" s="2778">
        <v>2000</v>
      </c>
      <c r="E62" s="1520">
        <v>2000</v>
      </c>
      <c r="F62" s="1426">
        <f t="shared" ref="F62:F65" si="12">SUM(D62:E62)</f>
        <v>4000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2247"/>
    </row>
    <row r="63" spans="1:26">
      <c r="C63" s="1423"/>
      <c r="D63" s="2778"/>
      <c r="E63" s="1520"/>
      <c r="F63" s="1426">
        <f t="shared" si="12"/>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2247"/>
    </row>
    <row r="64" spans="1:26" ht="25.5">
      <c r="A64" s="1400" t="s">
        <v>1560</v>
      </c>
      <c r="C64" s="1423"/>
      <c r="D64" s="2778"/>
      <c r="E64" s="1520"/>
      <c r="F64" s="1426">
        <f t="shared" si="12"/>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2247"/>
    </row>
    <row r="65" spans="1:26">
      <c r="A65" s="1357" t="s">
        <v>275</v>
      </c>
      <c r="C65" s="1423"/>
      <c r="D65" s="2778"/>
      <c r="E65" s="1520"/>
      <c r="F65" s="1426">
        <f t="shared" si="12"/>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2247"/>
    </row>
    <row r="66" spans="1:26">
      <c r="A66" s="1400" t="s">
        <v>5</v>
      </c>
      <c r="C66" s="1488"/>
      <c r="D66" s="2779"/>
      <c r="E66" s="1490"/>
      <c r="F66" s="1493"/>
    </row>
    <row r="67" spans="1:26">
      <c r="A67" s="1400">
        <v>18230625</v>
      </c>
      <c r="C67" s="1451" t="s">
        <v>50</v>
      </c>
      <c r="D67" s="2771">
        <f>W15</f>
        <v>1867488</v>
      </c>
      <c r="E67" s="1464">
        <f>X15</f>
        <v>2365085.5</v>
      </c>
      <c r="F67" s="1462">
        <f>D67+E67</f>
        <v>4232573.5</v>
      </c>
    </row>
    <row r="68" spans="1:26">
      <c r="A68" s="1400" t="s">
        <v>4</v>
      </c>
      <c r="C68" s="1500" t="s">
        <v>297</v>
      </c>
      <c r="D68" s="2938">
        <f>D67/D12</f>
        <v>0.85177087569550414</v>
      </c>
      <c r="E68" s="1986">
        <f>E67/E12</f>
        <v>0.8316205716375441</v>
      </c>
      <c r="F68" s="1499"/>
    </row>
    <row r="69" spans="1:26">
      <c r="C69" s="1501"/>
      <c r="D69" s="2782"/>
      <c r="E69" s="1497"/>
      <c r="F69" s="1498"/>
    </row>
    <row r="70" spans="1:26">
      <c r="C70" s="1494" t="s">
        <v>51</v>
      </c>
      <c r="D70" s="2778">
        <v>0</v>
      </c>
      <c r="E70" s="1503">
        <v>0</v>
      </c>
      <c r="F70" s="1491">
        <v>0</v>
      </c>
    </row>
    <row r="71" spans="1:26">
      <c r="C71" s="1204"/>
      <c r="D71" s="1442" t="s">
        <v>299</v>
      </c>
      <c r="E71" s="1206"/>
      <c r="F71" s="1206"/>
    </row>
    <row r="72" spans="1:26">
      <c r="C72" s="1204"/>
      <c r="D72" s="1203"/>
      <c r="E72" s="1203"/>
      <c r="F72" s="1203"/>
    </row>
  </sheetData>
  <customSheetViews>
    <customSheetView guid="{D9EFFE19-D14B-4C6F-BDF4-FF696F73968D}" showGridLines="0">
      <pane xSplit="1" ySplit="1" topLeftCell="I2" activePane="bottomRight" state="frozen"/>
      <selection pane="bottomRight" activeCell="L16" sqref="L16:M26"/>
      <pageMargins left="0.24" right="0.28999999999999998" top="0.38" bottom="0.33" header="0.3" footer="0.3"/>
      <pageSetup paperSize="17" scale="43" orientation="landscape" r:id="rId1"/>
    </customSheetView>
    <customSheetView guid="{074EB09C-6289-46D7-9513-012B68BCA7BF}" showGridLines="0">
      <pane xSplit="1" ySplit="1" topLeftCell="N2" activePane="bottomRight" state="frozen"/>
      <selection pane="bottomRight" activeCell="AB29" sqref="AB29"/>
      <pageMargins left="0.24" right="0.28999999999999998" top="0.38" bottom="0.33" header="0.3" footer="0.3"/>
      <pageSetup paperSize="17" scale="43"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4" right="0.28999999999999998" top="0.38" bottom="0.33" header="0.3" footer="0.3"/>
  <pageSetup paperSize="3" scale="43" orientation="landscape" r:id="rId3"/>
  <drawing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8DB4E3"/>
  </sheetPr>
  <dimension ref="A1:Z120"/>
  <sheetViews>
    <sheetView showGridLines="0" workbookViewId="0">
      <pane xSplit="1" ySplit="1" topLeftCell="B2" activePane="bottomRight" state="frozen"/>
      <selection pane="topRight" activeCell="B1" sqref="B1"/>
      <selection pane="bottomLeft" activeCell="A2" sqref="A2"/>
      <selection pane="bottomRight" activeCell="H17" sqref="H17"/>
    </sheetView>
  </sheetViews>
  <sheetFormatPr defaultRowHeight="12.75"/>
  <cols>
    <col min="1" max="1" width="18.28515625" style="849" customWidth="1"/>
    <col min="2" max="2" width="15.85546875" style="1413" customWidth="1"/>
    <col min="3" max="3" width="27.7109375" customWidth="1"/>
    <col min="4" max="4" width="18.28515625" customWidth="1"/>
    <col min="5" max="5" width="19.7109375" style="9" bestFit="1" customWidth="1"/>
    <col min="6" max="6" width="15.28515625" bestFit="1" customWidth="1"/>
    <col min="7" max="7" width="15.85546875" bestFit="1" customWidth="1"/>
    <col min="8" max="8" width="47.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5.85546875" customWidth="1"/>
    <col min="26" max="26" width="12.5703125" bestFit="1" customWidth="1"/>
    <col min="249" max="249" width="24" bestFit="1" customWidth="1"/>
    <col min="250" max="250" width="45.7109375" bestFit="1" customWidth="1"/>
    <col min="251" max="251" width="19.7109375" bestFit="1"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8.5" customHeight="1" thickBot="1">
      <c r="C1" s="1401" t="s">
        <v>280</v>
      </c>
      <c r="D1" s="1361" t="s">
        <v>275</v>
      </c>
      <c r="E1" s="1401" t="s">
        <v>5</v>
      </c>
      <c r="F1" s="1401">
        <v>18230626</v>
      </c>
      <c r="G1" s="1401" t="s">
        <v>4</v>
      </c>
      <c r="J1" s="1361"/>
      <c r="K1" s="1361"/>
      <c r="L1" s="1401" t="s">
        <v>280</v>
      </c>
      <c r="M1" s="1361" t="s">
        <v>275</v>
      </c>
      <c r="N1" s="1401" t="s">
        <v>5</v>
      </c>
      <c r="O1" s="1401">
        <v>18230626</v>
      </c>
      <c r="P1" s="1401" t="s">
        <v>4</v>
      </c>
      <c r="T1" s="1401" t="s">
        <v>280</v>
      </c>
      <c r="U1" s="1361" t="s">
        <v>275</v>
      </c>
      <c r="V1" s="1401" t="s">
        <v>5</v>
      </c>
      <c r="W1" s="1401">
        <v>18230626</v>
      </c>
      <c r="X1" s="1401" t="s">
        <v>4</v>
      </c>
    </row>
    <row r="2" spans="1:26" ht="16.5" thickBot="1">
      <c r="C2" s="44"/>
      <c r="D2" s="45"/>
      <c r="G2" s="1652"/>
      <c r="I2" s="1178" t="s">
        <v>627</v>
      </c>
      <c r="S2" s="3575"/>
      <c r="T2" s="3575"/>
      <c r="U2" s="3576" t="s">
        <v>33</v>
      </c>
      <c r="V2" s="3577"/>
      <c r="W2" s="3578"/>
      <c r="X2" s="3579" t="s">
        <v>34</v>
      </c>
    </row>
    <row r="3" spans="1:26" ht="26.25" thickBot="1">
      <c r="A3" s="1400" t="s">
        <v>280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12688.58</v>
      </c>
      <c r="J4" s="2948">
        <f>D21</f>
        <v>6003</v>
      </c>
      <c r="K4" s="2948">
        <f>D27</f>
        <v>12467.283860000001</v>
      </c>
      <c r="L4" s="2948">
        <f>D37</f>
        <v>78750</v>
      </c>
      <c r="M4" s="2948">
        <f>D43</f>
        <v>1200</v>
      </c>
      <c r="N4" s="2948">
        <f>D49</f>
        <v>0</v>
      </c>
      <c r="O4" s="2948">
        <f>D55</f>
        <v>5000</v>
      </c>
      <c r="P4" s="2948">
        <f>D61</f>
        <v>2400</v>
      </c>
      <c r="Q4" s="2948">
        <f>D67</f>
        <v>290000</v>
      </c>
      <c r="R4" s="2948">
        <f>D70</f>
        <v>0</v>
      </c>
      <c r="S4" s="2949">
        <f>SUM(I4:R4)</f>
        <v>408508.86386000004</v>
      </c>
      <c r="T4" s="2950">
        <f>T15</f>
        <v>571300</v>
      </c>
      <c r="U4" s="2951">
        <f>Q4/S4</f>
        <v>0.70989891690425067</v>
      </c>
      <c r="V4" s="2951">
        <f>(L4+(J4*1.63))/S4</f>
        <v>0.2167269742042654</v>
      </c>
      <c r="W4" s="2951">
        <f>N4/S4</f>
        <v>0</v>
      </c>
      <c r="X4" s="2953">
        <f>S4/T4</f>
        <v>0.71505139831962194</v>
      </c>
    </row>
    <row r="5" spans="1:26" ht="16.5" thickBot="1">
      <c r="A5" s="1400" t="s">
        <v>5</v>
      </c>
      <c r="C5" s="45"/>
      <c r="G5" s="1652"/>
      <c r="H5" s="3205" t="s">
        <v>1753</v>
      </c>
      <c r="I5" s="2617">
        <v>13005.849999999999</v>
      </c>
      <c r="J5" s="2618">
        <v>6153.0749999999998</v>
      </c>
      <c r="K5" s="2618">
        <v>13028.069</v>
      </c>
      <c r="L5" s="2618">
        <v>78750</v>
      </c>
      <c r="M5" s="2618">
        <v>1200</v>
      </c>
      <c r="N5" s="2618">
        <v>0</v>
      </c>
      <c r="O5" s="2618">
        <v>5000</v>
      </c>
      <c r="P5" s="2618">
        <v>2400</v>
      </c>
      <c r="Q5" s="2618">
        <v>290000</v>
      </c>
      <c r="R5" s="2618">
        <v>0</v>
      </c>
      <c r="S5" s="2619">
        <v>409536.99400000001</v>
      </c>
      <c r="T5" s="2620">
        <v>571300</v>
      </c>
      <c r="U5" s="2614">
        <f>Q5/S5</f>
        <v>0.70811673731238056</v>
      </c>
      <c r="V5" s="2614">
        <f>(L5+(J5*1.63))/S5</f>
        <v>0.21678020191260181</v>
      </c>
      <c r="W5" s="2614">
        <f>N5/S5</f>
        <v>0</v>
      </c>
      <c r="X5" s="48">
        <f>S5/T5</f>
        <v>0.716851030981971</v>
      </c>
    </row>
    <row r="6" spans="1:26" ht="16.5" thickBot="1">
      <c r="A6" s="1400">
        <v>18230626</v>
      </c>
      <c r="B6" s="1400"/>
      <c r="D6" s="44"/>
      <c r="G6" s="1652"/>
      <c r="H6" s="3206" t="s">
        <v>1754</v>
      </c>
      <c r="I6" s="2621">
        <f>E15</f>
        <v>10885</v>
      </c>
      <c r="J6" s="2622">
        <f>E21</f>
        <v>6153.0749999999998</v>
      </c>
      <c r="K6" s="2623">
        <f>E27</f>
        <v>15300.191349999999</v>
      </c>
      <c r="L6" s="2622">
        <f>E37</f>
        <v>78750</v>
      </c>
      <c r="M6" s="2622">
        <f>E43</f>
        <v>1200</v>
      </c>
      <c r="N6" s="2622">
        <f>E49</f>
        <v>0</v>
      </c>
      <c r="O6" s="2622">
        <f>E55</f>
        <v>5000</v>
      </c>
      <c r="P6" s="2622">
        <f>E61</f>
        <v>2400</v>
      </c>
      <c r="Q6" s="2622">
        <f>E67</f>
        <v>357500</v>
      </c>
      <c r="R6" s="2622">
        <f>E70</f>
        <v>0</v>
      </c>
      <c r="S6" s="2624">
        <f>SUM(I6:R6)</f>
        <v>477188.26634999999</v>
      </c>
      <c r="T6" s="2625">
        <f>U15</f>
        <v>727675</v>
      </c>
      <c r="U6" s="2615">
        <f>Q6/S6</f>
        <v>0.74918019827794113</v>
      </c>
      <c r="V6" s="2615">
        <f>(L6+(J6*1.63))/S6</f>
        <v>0.18604714011321372</v>
      </c>
      <c r="W6" s="2615">
        <f>N6/S6</f>
        <v>0</v>
      </c>
      <c r="X6" s="2626">
        <f>S6/T6</f>
        <v>0.65577114281787885</v>
      </c>
    </row>
    <row r="7" spans="1:26" ht="15.75">
      <c r="A7" s="1400" t="s">
        <v>4</v>
      </c>
      <c r="B7" s="1357"/>
      <c r="C7" s="1413"/>
      <c r="D7" s="1190"/>
      <c r="E7" s="1414"/>
      <c r="F7" s="1413"/>
      <c r="G7" s="2606"/>
      <c r="H7" s="2607"/>
      <c r="I7" s="2607"/>
      <c r="J7" s="2607"/>
      <c r="K7" s="2607"/>
      <c r="L7" s="2607"/>
      <c r="M7" s="2607"/>
      <c r="N7" s="2607"/>
      <c r="O7" s="2607"/>
      <c r="P7" s="2607"/>
      <c r="Q7" s="2607"/>
      <c r="R7" s="2607"/>
      <c r="S7" s="2608"/>
      <c r="T7" s="2609"/>
      <c r="U7" s="2609"/>
      <c r="V7" s="2609"/>
      <c r="W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408508.86386000004</v>
      </c>
      <c r="E12" s="1484">
        <f>E15+E21+E27+E37+E43+E49+E55+E61+E67</f>
        <v>477188.26634999999</v>
      </c>
      <c r="F12" s="1462">
        <f>D12+E12</f>
        <v>885697.13021000009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2244" t="s">
        <v>1045</v>
      </c>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SUM(D16:D18)</f>
        <v>12688.58</v>
      </c>
      <c r="E15" s="1464">
        <f>SUM(E16:E18)</f>
        <v>10885</v>
      </c>
      <c r="F15" s="1462">
        <f>D15+E15</f>
        <v>23573.58</v>
      </c>
      <c r="H15" s="1475" t="s">
        <v>308</v>
      </c>
      <c r="I15" s="1476"/>
      <c r="J15" s="1476"/>
      <c r="K15" s="1477"/>
      <c r="L15" s="1478">
        <f>SUMPRODUCT(L16:L22,S16:S22)</f>
        <v>758450</v>
      </c>
      <c r="M15" s="1478">
        <f>SUM(M16:M22)</f>
        <v>2150</v>
      </c>
      <c r="N15" s="1479" t="s">
        <v>229</v>
      </c>
      <c r="O15" s="1477">
        <v>13</v>
      </c>
      <c r="P15" s="1477"/>
      <c r="Q15" s="3225"/>
      <c r="R15" s="1477"/>
      <c r="S15" s="1477"/>
      <c r="T15" s="2983">
        <v>571300</v>
      </c>
      <c r="U15" s="1480">
        <f t="shared" ref="U15:Y15" si="0">SUM(U16:U65)</f>
        <v>727675</v>
      </c>
      <c r="V15" s="1480">
        <f t="shared" si="0"/>
        <v>1298975</v>
      </c>
      <c r="W15" s="2987">
        <v>290000</v>
      </c>
      <c r="X15" s="1478">
        <f t="shared" si="0"/>
        <v>357500</v>
      </c>
      <c r="Y15" s="1478">
        <f t="shared" si="0"/>
        <v>647500</v>
      </c>
      <c r="Z15" s="1481">
        <v>0</v>
      </c>
    </row>
    <row r="16" spans="1:26">
      <c r="B16" s="1432">
        <v>8.7499999999999994E-2</v>
      </c>
      <c r="C16" s="1667" t="s">
        <v>735</v>
      </c>
      <c r="D16" s="2772">
        <v>8156.94</v>
      </c>
      <c r="E16" s="1448">
        <v>6997.5</v>
      </c>
      <c r="F16" s="1426">
        <f>SUM(D16:E16)</f>
        <v>15154.439999999999</v>
      </c>
      <c r="H16" s="1913" t="s">
        <v>1055</v>
      </c>
      <c r="I16" s="1917">
        <v>149</v>
      </c>
      <c r="J16" s="1470" t="s">
        <v>110</v>
      </c>
      <c r="K16" s="1460" t="s">
        <v>845</v>
      </c>
      <c r="L16" s="1467">
        <v>73</v>
      </c>
      <c r="M16" s="1467">
        <v>50</v>
      </c>
      <c r="N16" s="1461" t="s">
        <v>229</v>
      </c>
      <c r="O16" s="1460">
        <v>15</v>
      </c>
      <c r="P16" s="1463" t="s">
        <v>846</v>
      </c>
      <c r="Q16" s="3233">
        <v>0</v>
      </c>
      <c r="R16" s="1466"/>
      <c r="S16" s="1469">
        <f t="shared" ref="S16:S20" si="1">SUM(Q16:R16)</f>
        <v>0</v>
      </c>
      <c r="T16" s="2991">
        <v>0</v>
      </c>
      <c r="U16" s="1469">
        <f t="shared" ref="U16:U20" si="2">R16*I16</f>
        <v>0</v>
      </c>
      <c r="V16" s="1469">
        <f t="shared" ref="V16:V20" si="3">SUM(T16:U16)</f>
        <v>0</v>
      </c>
      <c r="W16" s="2993">
        <v>0</v>
      </c>
      <c r="X16" s="1459">
        <f t="shared" ref="X16:X20" si="4">R16*M16</f>
        <v>0</v>
      </c>
      <c r="Y16" s="1459">
        <f t="shared" ref="Y16:Y20" si="5">SUM(W16:X16)</f>
        <v>0</v>
      </c>
      <c r="Z16" s="2233">
        <v>0</v>
      </c>
    </row>
    <row r="17" spans="2:26">
      <c r="B17" s="1432">
        <v>0.05</v>
      </c>
      <c r="C17" s="1423" t="s">
        <v>737</v>
      </c>
      <c r="D17" s="2784">
        <v>4531.6400000000003</v>
      </c>
      <c r="E17" s="1447">
        <v>3887.5</v>
      </c>
      <c r="F17" s="1426">
        <f t="shared" ref="F17:F19" si="6">SUM(D17:E17)</f>
        <v>8419.14</v>
      </c>
      <c r="H17" s="1913" t="s">
        <v>1056</v>
      </c>
      <c r="I17" s="1917">
        <v>1069</v>
      </c>
      <c r="J17" s="1470" t="s">
        <v>110</v>
      </c>
      <c r="K17" s="1460" t="s">
        <v>845</v>
      </c>
      <c r="L17" s="1467">
        <v>854</v>
      </c>
      <c r="M17" s="1467">
        <v>500</v>
      </c>
      <c r="N17" s="1461">
        <v>0.1438634307819627</v>
      </c>
      <c r="O17" s="1460">
        <v>13</v>
      </c>
      <c r="P17" s="1463" t="s">
        <v>846</v>
      </c>
      <c r="Q17" s="3233">
        <v>100</v>
      </c>
      <c r="R17" s="1466">
        <v>75</v>
      </c>
      <c r="S17" s="1469">
        <f t="shared" si="1"/>
        <v>175</v>
      </c>
      <c r="T17" s="2991">
        <v>106700</v>
      </c>
      <c r="U17" s="1469">
        <f t="shared" si="2"/>
        <v>80175</v>
      </c>
      <c r="V17" s="1469">
        <f t="shared" si="3"/>
        <v>186875</v>
      </c>
      <c r="W17" s="2993">
        <v>50000</v>
      </c>
      <c r="X17" s="1459">
        <f t="shared" si="4"/>
        <v>37500</v>
      </c>
      <c r="Y17" s="1459">
        <f t="shared" si="5"/>
        <v>87500</v>
      </c>
      <c r="Z17" s="2233">
        <v>0</v>
      </c>
    </row>
    <row r="18" spans="2:26">
      <c r="B18" s="1432"/>
      <c r="C18" s="1423"/>
      <c r="D18" s="2784"/>
      <c r="E18" s="1447"/>
      <c r="F18" s="1426">
        <f t="shared" si="6"/>
        <v>0</v>
      </c>
      <c r="H18" s="1913" t="s">
        <v>1057</v>
      </c>
      <c r="I18" s="1917">
        <v>1592</v>
      </c>
      <c r="J18" s="1470" t="s">
        <v>110</v>
      </c>
      <c r="K18" s="1460" t="s">
        <v>845</v>
      </c>
      <c r="L18" s="1467">
        <v>870</v>
      </c>
      <c r="M18" s="1467">
        <v>800</v>
      </c>
      <c r="N18" s="1461">
        <v>0.6013972555283974</v>
      </c>
      <c r="O18" s="1460">
        <v>13</v>
      </c>
      <c r="P18" s="1463" t="s">
        <v>846</v>
      </c>
      <c r="Q18" s="3233">
        <v>200</v>
      </c>
      <c r="R18" s="1466">
        <v>300</v>
      </c>
      <c r="S18" s="1469">
        <f t="shared" si="1"/>
        <v>500</v>
      </c>
      <c r="T18" s="2991">
        <v>303600</v>
      </c>
      <c r="U18" s="1469">
        <f t="shared" si="2"/>
        <v>477600</v>
      </c>
      <c r="V18" s="1469">
        <f t="shared" si="3"/>
        <v>781200</v>
      </c>
      <c r="W18" s="2993">
        <v>160000</v>
      </c>
      <c r="X18" s="1459">
        <f t="shared" si="4"/>
        <v>240000</v>
      </c>
      <c r="Y18" s="1459">
        <f t="shared" si="5"/>
        <v>400000</v>
      </c>
      <c r="Z18" s="2233">
        <v>0</v>
      </c>
    </row>
    <row r="19" spans="2:26">
      <c r="B19" s="1432"/>
      <c r="C19" s="1423"/>
      <c r="D19" s="2786"/>
      <c r="E19" s="1446"/>
      <c r="F19" s="1426">
        <f t="shared" si="6"/>
        <v>0</v>
      </c>
      <c r="H19" s="1913"/>
      <c r="I19" s="1917"/>
      <c r="J19" s="1470" t="s">
        <v>110</v>
      </c>
      <c r="K19" s="1460"/>
      <c r="L19" s="1467"/>
      <c r="M19" s="1467"/>
      <c r="N19" s="1461" t="s">
        <v>229</v>
      </c>
      <c r="O19" s="1460"/>
      <c r="P19" s="1463"/>
      <c r="Q19" s="3233">
        <v>0</v>
      </c>
      <c r="R19" s="1466"/>
      <c r="S19" s="1469">
        <f t="shared" si="1"/>
        <v>0</v>
      </c>
      <c r="T19" s="2991">
        <v>0</v>
      </c>
      <c r="U19" s="1469">
        <f t="shared" si="2"/>
        <v>0</v>
      </c>
      <c r="V19" s="1469">
        <f t="shared" si="3"/>
        <v>0</v>
      </c>
      <c r="W19" s="2993">
        <v>0</v>
      </c>
      <c r="X19" s="1459">
        <f t="shared" si="4"/>
        <v>0</v>
      </c>
      <c r="Y19" s="1459">
        <f t="shared" si="5"/>
        <v>0</v>
      </c>
      <c r="Z19" s="2247">
        <v>0</v>
      </c>
    </row>
    <row r="20" spans="2:26">
      <c r="B20" s="1449">
        <f>SUM(B16:B19)</f>
        <v>0.13750000000000001</v>
      </c>
      <c r="C20" s="1488"/>
      <c r="D20" s="2770"/>
      <c r="E20" s="1490"/>
      <c r="F20" s="1492"/>
      <c r="H20" s="1913" t="s">
        <v>1058</v>
      </c>
      <c r="I20" s="1917">
        <v>1699</v>
      </c>
      <c r="J20" s="1470" t="s">
        <v>110</v>
      </c>
      <c r="K20" s="1460" t="s">
        <v>845</v>
      </c>
      <c r="L20" s="1467">
        <v>870</v>
      </c>
      <c r="M20" s="1467">
        <v>800</v>
      </c>
      <c r="N20" s="1461">
        <v>0.25473931368963992</v>
      </c>
      <c r="O20" s="1460">
        <v>13</v>
      </c>
      <c r="P20" s="1463" t="s">
        <v>846</v>
      </c>
      <c r="Q20" s="3233">
        <v>100</v>
      </c>
      <c r="R20" s="1466">
        <v>100</v>
      </c>
      <c r="S20" s="1469">
        <f t="shared" si="1"/>
        <v>200</v>
      </c>
      <c r="T20" s="2991">
        <v>161000</v>
      </c>
      <c r="U20" s="1469">
        <f t="shared" si="2"/>
        <v>169900</v>
      </c>
      <c r="V20" s="1469">
        <f t="shared" si="3"/>
        <v>330900</v>
      </c>
      <c r="W20" s="2993">
        <v>80000</v>
      </c>
      <c r="X20" s="1459">
        <f t="shared" si="4"/>
        <v>80000</v>
      </c>
      <c r="Y20" s="1459">
        <f t="shared" si="5"/>
        <v>160000</v>
      </c>
      <c r="Z20" s="2233">
        <v>0</v>
      </c>
    </row>
    <row r="21" spans="2:26">
      <c r="B21" s="1433" t="s">
        <v>296</v>
      </c>
      <c r="C21" s="1451" t="s">
        <v>44</v>
      </c>
      <c r="D21" s="2771">
        <f>SUM(D22:D25)</f>
        <v>6003</v>
      </c>
      <c r="E21" s="1464">
        <f>SUM(E22:E25)</f>
        <v>6153.0749999999998</v>
      </c>
      <c r="F21" s="1638">
        <f>D21+E21</f>
        <v>12156.075000000001</v>
      </c>
      <c r="H21" s="1460"/>
      <c r="I21" s="1466"/>
      <c r="J21" s="1470" t="s">
        <v>110</v>
      </c>
      <c r="K21" s="1460" t="s">
        <v>845</v>
      </c>
      <c r="L21" s="1467"/>
      <c r="M21" s="1467"/>
      <c r="N21" s="1461" t="s">
        <v>229</v>
      </c>
      <c r="O21" s="1460"/>
      <c r="P21" s="1463"/>
      <c r="Q21" s="1466"/>
      <c r="R21" s="1466"/>
      <c r="S21" s="1469"/>
      <c r="T21" s="2991"/>
      <c r="U21" s="1469"/>
      <c r="V21" s="1469"/>
      <c r="W21" s="2993"/>
      <c r="X21" s="1459"/>
      <c r="Y21" s="1459"/>
      <c r="Z21" s="2233"/>
    </row>
    <row r="22" spans="2:26">
      <c r="B22" s="1982">
        <f>(SUM(D22:E22)/2)/((80000+(80000*1.025))/2)</f>
        <v>7.5037500000000007E-2</v>
      </c>
      <c r="C22" s="2426" t="s">
        <v>1195</v>
      </c>
      <c r="D22" s="2940">
        <f>80040*0.075</f>
        <v>6003</v>
      </c>
      <c r="E22" s="2427">
        <f>(80040*0.075)*1.025</f>
        <v>6153.0749999999998</v>
      </c>
      <c r="F22" s="1426">
        <f t="shared" ref="F22:F25" si="7">SUM(D22:E22)</f>
        <v>12156.075000000001</v>
      </c>
      <c r="H22" s="1460"/>
      <c r="I22" s="1466"/>
      <c r="J22" s="1470" t="s">
        <v>110</v>
      </c>
      <c r="K22" s="1460" t="s">
        <v>845</v>
      </c>
      <c r="L22" s="1467"/>
      <c r="M22" s="1467"/>
      <c r="N22" s="1461" t="s">
        <v>229</v>
      </c>
      <c r="O22" s="1460"/>
      <c r="P22" s="1463"/>
      <c r="Q22" s="1466"/>
      <c r="R22" s="1466"/>
      <c r="S22" s="1469"/>
      <c r="T22" s="2991"/>
      <c r="U22" s="1469"/>
      <c r="V22" s="1469"/>
      <c r="W22" s="2993"/>
      <c r="X22" s="1459"/>
      <c r="Y22" s="1459"/>
      <c r="Z22" s="2233"/>
    </row>
    <row r="23" spans="2:26">
      <c r="B23" s="1982"/>
      <c r="C23" s="2426"/>
      <c r="D23" s="2940"/>
      <c r="E23" s="2427"/>
      <c r="F23" s="1426">
        <f t="shared" si="7"/>
        <v>0</v>
      </c>
      <c r="H23" s="1460"/>
      <c r="I23" s="1466"/>
      <c r="J23" s="1470" t="s">
        <v>229</v>
      </c>
      <c r="K23" s="1460"/>
      <c r="L23" s="1467"/>
      <c r="M23" s="1467"/>
      <c r="N23" s="1461" t="s">
        <v>229</v>
      </c>
      <c r="O23" s="1460"/>
      <c r="P23" s="1463"/>
      <c r="Q23" s="1466"/>
      <c r="R23" s="1466"/>
      <c r="S23" s="1469"/>
      <c r="T23" s="2991"/>
      <c r="U23" s="1469"/>
      <c r="V23" s="1469"/>
      <c r="W23" s="2993"/>
      <c r="X23" s="1459"/>
      <c r="Y23" s="1459"/>
      <c r="Z23" s="1482"/>
    </row>
    <row r="24" spans="2:26">
      <c r="B24" s="1982"/>
      <c r="C24" s="1423"/>
      <c r="D24" s="2774"/>
      <c r="E24" s="1443"/>
      <c r="F24" s="1426">
        <f t="shared" si="7"/>
        <v>0</v>
      </c>
      <c r="H24" s="1460"/>
      <c r="I24" s="1466"/>
      <c r="J24" s="1470" t="s">
        <v>229</v>
      </c>
      <c r="K24" s="1460"/>
      <c r="L24" s="1467"/>
      <c r="M24" s="1467"/>
      <c r="N24" s="1461" t="s">
        <v>229</v>
      </c>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t="s">
        <v>229</v>
      </c>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7.5037500000000007E-2</v>
      </c>
      <c r="C26" s="1424"/>
      <c r="D26" s="2776"/>
      <c r="E26" s="1431"/>
      <c r="F26" s="1439"/>
      <c r="H26" s="1460"/>
      <c r="I26" s="1466"/>
      <c r="J26" s="1470" t="s">
        <v>229</v>
      </c>
      <c r="K26" s="1460"/>
      <c r="L26" s="1467"/>
      <c r="M26" s="1467"/>
      <c r="N26" s="1461" t="s">
        <v>229</v>
      </c>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12467.283860000001</v>
      </c>
      <c r="E27" s="1657">
        <f>SUM(E29:E31)+SUM(E33:E35)</f>
        <v>15300.191349999999</v>
      </c>
      <c r="F27" s="1638">
        <f>D27+E27</f>
        <v>27767.475210000001</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8463.2828600000012</v>
      </c>
      <c r="E29" s="1504">
        <f>E15*E28</f>
        <v>7488.8799999999992</v>
      </c>
      <c r="F29" s="1426">
        <f t="shared" ref="F29:F31" si="8">SUM(D29:E29)</f>
        <v>15952.16286</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4004.0010000000002</v>
      </c>
      <c r="E30" s="1504">
        <f>E21*E28</f>
        <v>4233.3155999999999</v>
      </c>
      <c r="F30" s="1426">
        <f t="shared" si="8"/>
        <v>8237.3166000000001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2285.85</v>
      </c>
      <c r="F33" s="1661">
        <f>SUM(D33:E33)</f>
        <v>2285.85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280</v>
      </c>
      <c r="C34" s="1667" t="s">
        <v>720</v>
      </c>
      <c r="D34" s="2785"/>
      <c r="E34" s="1641">
        <f>E21*E32</f>
        <v>1292.1457499999999</v>
      </c>
      <c r="F34" s="1661">
        <f t="shared" ref="F34" si="9">SUM(D34:E34)</f>
        <v>1292.1457499999999</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18230626</v>
      </c>
      <c r="C37" s="1597" t="s">
        <v>46</v>
      </c>
      <c r="D37" s="2771">
        <f>SUM(D38:D41)</f>
        <v>78750</v>
      </c>
      <c r="E37" s="1464">
        <f>SUM(E38:E41)</f>
        <v>78750</v>
      </c>
      <c r="F37" s="1638">
        <f>D37+E37</f>
        <v>157500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667" t="s">
        <v>1000</v>
      </c>
      <c r="D38" s="2778">
        <v>78750</v>
      </c>
      <c r="E38" s="1520">
        <v>78750</v>
      </c>
      <c r="F38" s="1426">
        <f t="shared" ref="F38:F41" si="10">SUM(D38:E38)</f>
        <v>157500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1200</v>
      </c>
      <c r="E43" s="1464">
        <f>SUM(E44:E47)</f>
        <v>1200</v>
      </c>
      <c r="F43" s="1638">
        <f>D43+E43</f>
        <v>2400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1046</v>
      </c>
      <c r="D44" s="2778">
        <v>1200</v>
      </c>
      <c r="E44" s="1520">
        <v>1200</v>
      </c>
      <c r="F44" s="1426">
        <f t="shared" ref="F44:F47" si="11">SUM(D44:E44)</f>
        <v>2400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c r="D50" s="2778"/>
      <c r="E50" s="1520"/>
      <c r="F50" s="1426">
        <f t="shared" ref="F50:F53" si="12">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G52" s="1409"/>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G53" s="1409"/>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G54" s="1409"/>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5000</v>
      </c>
      <c r="E55" s="1464">
        <f>SUM(E56:E59)</f>
        <v>5000</v>
      </c>
      <c r="F55" s="1638">
        <f>D55+E55</f>
        <v>10000</v>
      </c>
      <c r="G55" s="1409"/>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5000</v>
      </c>
      <c r="E56" s="1504">
        <v>5000</v>
      </c>
      <c r="F56" s="1426">
        <f t="shared" ref="F56:F59" si="13">SUM(D56:E56)</f>
        <v>10000</v>
      </c>
      <c r="G56" s="1409"/>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G57" s="1421"/>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2400</v>
      </c>
      <c r="E61" s="1464">
        <f>SUM(E62:E65)</f>
        <v>2400</v>
      </c>
      <c r="F61" s="1638">
        <f>D61+E61</f>
        <v>4800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2400</v>
      </c>
      <c r="E62" s="1520">
        <v>2400</v>
      </c>
      <c r="F62" s="1426">
        <f t="shared" ref="F62:F65" si="14">SUM(D62:E62)</f>
        <v>4800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280</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c r="O66" s="2083"/>
      <c r="P66" s="55"/>
      <c r="Q66" s="55"/>
      <c r="R66" s="55"/>
    </row>
    <row r="67" spans="1:26">
      <c r="A67" s="1400">
        <v>18230626</v>
      </c>
      <c r="C67" s="1451" t="s">
        <v>50</v>
      </c>
      <c r="D67" s="2771">
        <f>W15</f>
        <v>290000</v>
      </c>
      <c r="E67" s="1464">
        <f>X15</f>
        <v>357500</v>
      </c>
      <c r="F67" s="1462">
        <f>D67+E67</f>
        <v>647500</v>
      </c>
      <c r="O67" s="2084"/>
      <c r="P67" s="55"/>
      <c r="Q67" s="55"/>
      <c r="R67" s="55"/>
    </row>
    <row r="68" spans="1:26">
      <c r="A68" s="1400" t="s">
        <v>4</v>
      </c>
      <c r="C68" s="1500" t="s">
        <v>297</v>
      </c>
      <c r="D68" s="2938">
        <f>D67/D12</f>
        <v>0.70989891690425067</v>
      </c>
      <c r="E68" s="1986">
        <f>E67/E12</f>
        <v>0.74918019827794113</v>
      </c>
      <c r="F68" s="1499"/>
      <c r="O68" s="2084"/>
      <c r="P68" s="55"/>
      <c r="Q68" s="55"/>
      <c r="R68" s="55"/>
    </row>
    <row r="69" spans="1:26">
      <c r="C69" s="1501"/>
      <c r="D69" s="2782"/>
      <c r="E69" s="1497"/>
      <c r="F69" s="1498"/>
      <c r="O69" s="2084"/>
      <c r="P69" s="55"/>
      <c r="Q69" s="55"/>
      <c r="R69" s="55"/>
    </row>
    <row r="70" spans="1:26">
      <c r="C70" s="1494" t="s">
        <v>51</v>
      </c>
      <c r="D70" s="2778">
        <v>0</v>
      </c>
      <c r="E70" s="1503">
        <v>0</v>
      </c>
      <c r="F70" s="1491">
        <v>0</v>
      </c>
      <c r="O70" s="2084"/>
      <c r="P70" s="55"/>
      <c r="Q70" s="55"/>
      <c r="R70" s="55"/>
    </row>
    <row r="71" spans="1:26">
      <c r="C71" s="1204"/>
      <c r="D71" s="1442" t="s">
        <v>299</v>
      </c>
      <c r="E71" s="1206"/>
      <c r="F71" s="1206"/>
      <c r="O71" s="2084"/>
      <c r="P71" s="55"/>
      <c r="Q71" s="55"/>
      <c r="R71" s="55"/>
    </row>
    <row r="72" spans="1:26">
      <c r="C72" s="1204"/>
      <c r="D72" s="1205"/>
      <c r="E72" s="1205"/>
      <c r="F72" s="1205"/>
      <c r="O72" s="2084"/>
      <c r="P72" s="55"/>
      <c r="Q72" s="55"/>
      <c r="R72" s="55"/>
    </row>
    <row r="73" spans="1:26">
      <c r="O73" s="2084"/>
      <c r="P73" s="55"/>
      <c r="Q73" s="55"/>
      <c r="R73" s="55"/>
    </row>
    <row r="74" spans="1:26">
      <c r="E74"/>
      <c r="O74" s="2084"/>
      <c r="P74" s="55"/>
      <c r="Q74" s="55"/>
      <c r="R74" s="55"/>
    </row>
    <row r="75" spans="1:26">
      <c r="E75"/>
      <c r="O75" s="2084"/>
      <c r="P75" s="55"/>
      <c r="Q75" s="55"/>
      <c r="R75" s="55"/>
    </row>
    <row r="76" spans="1:26">
      <c r="E76"/>
      <c r="O76" s="2084"/>
      <c r="P76" s="55"/>
      <c r="Q76" s="55"/>
      <c r="R76" s="55"/>
    </row>
    <row r="77" spans="1:26">
      <c r="E77"/>
      <c r="O77" s="2084"/>
      <c r="P77" s="55"/>
      <c r="Q77" s="55"/>
      <c r="R77" s="55"/>
    </row>
    <row r="78" spans="1:26">
      <c r="E78"/>
      <c r="O78" s="2084"/>
      <c r="P78" s="55"/>
      <c r="Q78" s="55"/>
      <c r="R78" s="55"/>
    </row>
    <row r="79" spans="1:26">
      <c r="E79"/>
      <c r="O79" s="2084"/>
      <c r="P79" s="55"/>
      <c r="Q79" s="55"/>
      <c r="R79" s="55"/>
    </row>
    <row r="80" spans="1:26">
      <c r="E80"/>
      <c r="O80" s="2084"/>
      <c r="P80" s="55"/>
      <c r="Q80" s="55"/>
      <c r="R80" s="55"/>
    </row>
    <row r="81" spans="5:15">
      <c r="E81"/>
      <c r="O81" s="2084"/>
    </row>
    <row r="82" spans="5:15">
      <c r="E82"/>
      <c r="O82" s="2084"/>
    </row>
    <row r="83" spans="5:15">
      <c r="E83"/>
      <c r="O83" s="2084"/>
    </row>
    <row r="84" spans="5:15">
      <c r="E84"/>
      <c r="O84" s="2084"/>
    </row>
    <row r="85" spans="5:15">
      <c r="E85"/>
      <c r="O85" s="2084"/>
    </row>
    <row r="86" spans="5:15">
      <c r="E86"/>
      <c r="O86" s="2084"/>
    </row>
    <row r="87" spans="5:15">
      <c r="E87"/>
      <c r="O87" s="2084"/>
    </row>
    <row r="88" spans="5:15">
      <c r="E88"/>
      <c r="O88" s="2084"/>
    </row>
    <row r="89" spans="5:15">
      <c r="E89"/>
      <c r="O89" s="2084"/>
    </row>
    <row r="90" spans="5:15">
      <c r="E90"/>
      <c r="O90" s="2084"/>
    </row>
    <row r="91" spans="5:15">
      <c r="E91"/>
      <c r="O91" s="2084"/>
    </row>
    <row r="92" spans="5:15">
      <c r="E92"/>
      <c r="O92" s="2084"/>
    </row>
    <row r="93" spans="5:15">
      <c r="E93"/>
      <c r="O93" s="2084"/>
    </row>
    <row r="94" spans="5:15">
      <c r="E94"/>
      <c r="O94" s="2084"/>
    </row>
    <row r="95" spans="5:15">
      <c r="E95"/>
      <c r="O95" s="2084"/>
    </row>
    <row r="96" spans="5:15">
      <c r="E96"/>
      <c r="O96" s="2084"/>
    </row>
    <row r="97" spans="5:15">
      <c r="E97"/>
      <c r="O97" s="2084"/>
    </row>
    <row r="98" spans="5:15">
      <c r="E98"/>
      <c r="O98" s="2084"/>
    </row>
    <row r="99" spans="5:15">
      <c r="E99"/>
      <c r="O99" s="2084"/>
    </row>
    <row r="100" spans="5:15">
      <c r="E100"/>
      <c r="O100" s="2084"/>
    </row>
    <row r="101" spans="5:15">
      <c r="E101"/>
      <c r="O101" s="2084"/>
    </row>
    <row r="102" spans="5:15">
      <c r="E102"/>
      <c r="O102" s="2084"/>
    </row>
    <row r="103" spans="5:15">
      <c r="E103"/>
      <c r="O103" s="2084"/>
    </row>
    <row r="104" spans="5:15">
      <c r="E104"/>
      <c r="O104" s="2085"/>
    </row>
    <row r="105" spans="5:15">
      <c r="E105"/>
      <c r="O105" s="1201"/>
    </row>
    <row r="106" spans="5:15">
      <c r="E106"/>
    </row>
    <row r="107" spans="5:15">
      <c r="E107"/>
    </row>
    <row r="108" spans="5:15">
      <c r="E108"/>
    </row>
    <row r="109" spans="5:15">
      <c r="E109"/>
    </row>
    <row r="110" spans="5:15">
      <c r="E110"/>
    </row>
    <row r="111" spans="5:15">
      <c r="E111"/>
    </row>
    <row r="112" spans="5:15">
      <c r="E112"/>
    </row>
    <row r="113" spans="5:5">
      <c r="E113"/>
    </row>
    <row r="114" spans="5:5">
      <c r="E114"/>
    </row>
    <row r="115" spans="5:5">
      <c r="E115"/>
    </row>
    <row r="116" spans="5:5">
      <c r="E116"/>
    </row>
    <row r="117" spans="5:5">
      <c r="E117"/>
    </row>
    <row r="118" spans="5:5">
      <c r="E118"/>
    </row>
    <row r="119" spans="5:5">
      <c r="E119"/>
    </row>
    <row r="120" spans="5:5">
      <c r="E120"/>
    </row>
  </sheetData>
  <customSheetViews>
    <customSheetView guid="{D9EFFE19-D14B-4C6F-BDF4-FF696F73968D}" showGridLines="0">
      <pane xSplit="1" ySplit="1" topLeftCell="I2" activePane="bottomRight" state="frozen"/>
      <selection pane="bottomRight" activeCell="O16" sqref="O16:R25"/>
      <pageMargins left="0.27" right="0.28000000000000003" top="0.38" bottom="0.37" header="0.3" footer="0.3"/>
      <pageSetup paperSize="17" scale="46" orientation="landscape" r:id="rId1"/>
    </customSheetView>
    <customSheetView guid="{074EB09C-6289-46D7-9513-012B68BCA7BF}" showGridLines="0">
      <pane xSplit="1" ySplit="1" topLeftCell="B2" activePane="bottomRight" state="frozen"/>
      <selection pane="bottomRight" activeCell="W13" sqref="W13"/>
      <pageMargins left="0.27" right="0.28000000000000003" top="0.38" bottom="0.37" header="0.3" footer="0.3"/>
      <pageSetup paperSize="17" scale="46" orientation="landscape" r:id="rId2"/>
    </customSheetView>
  </customSheetViews>
  <mergeCells count="8">
    <mergeCell ref="H12:P12"/>
    <mergeCell ref="Q12:S12"/>
    <mergeCell ref="T12:V12"/>
    <mergeCell ref="W12:Y12"/>
    <mergeCell ref="S2:T2"/>
    <mergeCell ref="U2:W2"/>
    <mergeCell ref="X2:X3"/>
    <mergeCell ref="H10:P10"/>
  </mergeCells>
  <pageMargins left="0.27" right="0.28000000000000003" top="0.38" bottom="0.37" header="0.3" footer="0.3"/>
  <pageSetup paperSize="3" scale="46" orientation="landscape" r:id="rId3"/>
  <drawing r:id="rId4"/>
  <legacyDrawing r:id="rId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8DB4E3"/>
  </sheetPr>
  <dimension ref="A1:Z71"/>
  <sheetViews>
    <sheetView showGridLines="0" workbookViewId="0">
      <pane xSplit="1" ySplit="1" topLeftCell="B35" activePane="bottomRight" state="frozen"/>
      <selection pane="topRight" activeCell="B1" sqref="B1"/>
      <selection pane="bottomLeft" activeCell="A2" sqref="A2"/>
      <selection pane="bottomRight" activeCell="D45" sqref="D45"/>
    </sheetView>
  </sheetViews>
  <sheetFormatPr defaultRowHeight="12.75"/>
  <cols>
    <col min="1" max="1" width="18.42578125" style="849" customWidth="1"/>
    <col min="2" max="2" width="16.28515625" style="1413" customWidth="1"/>
    <col min="3" max="3" width="25.7109375" customWidth="1"/>
    <col min="4" max="4" width="24.5703125" customWidth="1"/>
    <col min="5" max="5" width="16" style="9" customWidth="1"/>
    <col min="6" max="6" width="16" customWidth="1"/>
    <col min="7" max="7" width="17" customWidth="1"/>
    <col min="8" max="8" width="40.855468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5" width="16" customWidth="1"/>
    <col min="26" max="26" width="12.5703125"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3.25" customHeight="1" thickBot="1">
      <c r="C1" s="1401" t="s">
        <v>287</v>
      </c>
      <c r="D1" s="1361" t="s">
        <v>275</v>
      </c>
      <c r="E1" s="1401" t="s">
        <v>5</v>
      </c>
      <c r="F1" s="1401">
        <v>18230627</v>
      </c>
      <c r="G1" s="1401" t="s">
        <v>4</v>
      </c>
      <c r="J1" s="1361"/>
      <c r="K1" s="1361"/>
      <c r="L1" s="1401" t="s">
        <v>287</v>
      </c>
      <c r="M1" s="1361" t="s">
        <v>275</v>
      </c>
      <c r="N1" s="1401" t="s">
        <v>5</v>
      </c>
      <c r="O1" s="1401">
        <v>18230627</v>
      </c>
      <c r="P1" s="1401" t="s">
        <v>4</v>
      </c>
      <c r="U1" s="1401" t="s">
        <v>287</v>
      </c>
      <c r="V1" s="1361" t="s">
        <v>275</v>
      </c>
      <c r="W1" s="1401" t="s">
        <v>5</v>
      </c>
      <c r="X1" s="1401">
        <v>18230627</v>
      </c>
      <c r="Y1" s="1401" t="s">
        <v>4</v>
      </c>
    </row>
    <row r="2" spans="1:26" ht="16.5" thickBot="1">
      <c r="C2" s="44"/>
      <c r="D2" s="45"/>
      <c r="G2" s="1652"/>
      <c r="I2" s="1178" t="s">
        <v>627</v>
      </c>
      <c r="S2" s="3575"/>
      <c r="T2" s="3575"/>
      <c r="U2" s="3576" t="s">
        <v>33</v>
      </c>
      <c r="V2" s="3577"/>
      <c r="W2" s="3578"/>
      <c r="X2" s="3579" t="s">
        <v>34</v>
      </c>
    </row>
    <row r="3" spans="1:26" ht="26.25" thickBot="1">
      <c r="A3" s="1400" t="s">
        <v>287</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54379.8</v>
      </c>
      <c r="J4" s="2948">
        <f>D21</f>
        <v>24012</v>
      </c>
      <c r="K4" s="2948">
        <f>D27</f>
        <v>52287.330600000008</v>
      </c>
      <c r="L4" s="2948">
        <f>D37</f>
        <v>150545</v>
      </c>
      <c r="M4" s="2948">
        <f>D43</f>
        <v>5302</v>
      </c>
      <c r="N4" s="2948">
        <f>D49</f>
        <v>85000</v>
      </c>
      <c r="O4" s="2948">
        <f>D55</f>
        <v>0</v>
      </c>
      <c r="P4" s="2948">
        <f>D61</f>
        <v>0</v>
      </c>
      <c r="Q4" s="2948">
        <f>D67</f>
        <v>907047.99999999988</v>
      </c>
      <c r="R4" s="2948">
        <f>D70</f>
        <v>0</v>
      </c>
      <c r="S4" s="2949">
        <f>SUM(I4:R4)</f>
        <v>1278574.1305999998</v>
      </c>
      <c r="T4" s="2950">
        <f>T15</f>
        <v>3221386.38</v>
      </c>
      <c r="U4" s="2954">
        <f>Q4/S4</f>
        <v>0.70942151752620486</v>
      </c>
      <c r="V4" s="2954">
        <f>(L4+(J4*1.63))/S4</f>
        <v>0.14835632558198736</v>
      </c>
      <c r="W4" s="2954">
        <f>N4/S4</f>
        <v>6.6480306433317107E-2</v>
      </c>
      <c r="X4" s="2953">
        <f>S4/T4</f>
        <v>0.39690182417670739</v>
      </c>
    </row>
    <row r="5" spans="1:26" ht="16.5" thickBot="1">
      <c r="A5" s="1400" t="s">
        <v>5</v>
      </c>
      <c r="C5" s="45"/>
      <c r="G5" s="1652"/>
      <c r="H5" s="3205" t="s">
        <v>1753</v>
      </c>
      <c r="I5" s="2617">
        <v>55739.4</v>
      </c>
      <c r="J5" s="2618">
        <v>24612.3</v>
      </c>
      <c r="K5" s="2618">
        <v>54639.156000000003</v>
      </c>
      <c r="L5" s="2618">
        <v>150545</v>
      </c>
      <c r="M5" s="2618">
        <v>5302</v>
      </c>
      <c r="N5" s="2618">
        <v>85000</v>
      </c>
      <c r="O5" s="2618">
        <v>0</v>
      </c>
      <c r="P5" s="2618">
        <v>0</v>
      </c>
      <c r="Q5" s="2618">
        <v>907047.99999999988</v>
      </c>
      <c r="R5" s="2618">
        <v>0</v>
      </c>
      <c r="S5" s="2619">
        <v>1282885.8559999999</v>
      </c>
      <c r="T5" s="2620">
        <v>3221386.38</v>
      </c>
      <c r="U5" s="1186">
        <f>Q5/S5</f>
        <v>0.70703718164619</v>
      </c>
      <c r="V5" s="1186">
        <f>(L5+(J5*1.63))/S5</f>
        <v>0.14862043112275145</v>
      </c>
      <c r="W5" s="1186">
        <f>N5/S5</f>
        <v>6.6256868919755241E-2</v>
      </c>
      <c r="X5" s="48">
        <f>S5/T5</f>
        <v>0.39824029305047226</v>
      </c>
    </row>
    <row r="6" spans="1:26" ht="16.5" thickBot="1">
      <c r="A6" s="1400">
        <v>18230627</v>
      </c>
      <c r="B6" s="1400"/>
      <c r="C6" s="1190"/>
      <c r="D6" s="1413"/>
      <c r="E6" s="1414"/>
      <c r="F6" s="1413"/>
      <c r="G6" s="1652"/>
      <c r="H6" s="3206" t="s">
        <v>1754</v>
      </c>
      <c r="I6" s="2621">
        <f>E15</f>
        <v>48164.9</v>
      </c>
      <c r="J6" s="2622">
        <f>E21</f>
        <v>24612.3</v>
      </c>
      <c r="K6" s="2623">
        <f>E27</f>
        <v>65353.925599999995</v>
      </c>
      <c r="L6" s="2622">
        <f>E37</f>
        <v>150545</v>
      </c>
      <c r="M6" s="2622">
        <f>E43</f>
        <v>5302</v>
      </c>
      <c r="N6" s="2622">
        <f>E49</f>
        <v>144750</v>
      </c>
      <c r="O6" s="2622">
        <f>E55</f>
        <v>0</v>
      </c>
      <c r="P6" s="2622">
        <f>E61</f>
        <v>0</v>
      </c>
      <c r="Q6" s="2622">
        <f>E67</f>
        <v>683699.18499999994</v>
      </c>
      <c r="R6" s="2622">
        <f>E70</f>
        <v>0</v>
      </c>
      <c r="S6" s="2624">
        <f>SUM(I6:R6)</f>
        <v>1122427.3106</v>
      </c>
      <c r="T6" s="2625">
        <f>U15</f>
        <v>2027725.31</v>
      </c>
      <c r="U6" s="2631">
        <f>Q6/S6</f>
        <v>0.6091255785949512</v>
      </c>
      <c r="V6" s="2631">
        <f>(L6+(J6*1.63))/S6</f>
        <v>0.16986672294892752</v>
      </c>
      <c r="W6" s="2631">
        <f>N6/S6</f>
        <v>0.12896158052553358</v>
      </c>
      <c r="X6" s="2626">
        <f>S6/T6</f>
        <v>0.55354011959341765</v>
      </c>
    </row>
    <row r="7" spans="1:26" ht="15.75">
      <c r="A7" s="1400" t="s">
        <v>4</v>
      </c>
      <c r="B7" s="1400"/>
      <c r="C7" s="1190"/>
      <c r="D7" s="1413"/>
      <c r="E7" s="1414"/>
      <c r="F7" s="1413"/>
      <c r="G7" s="2606"/>
      <c r="H7" s="2607"/>
      <c r="I7" s="2607"/>
      <c r="J7" s="2607"/>
      <c r="K7" s="2607"/>
      <c r="L7" s="2607"/>
      <c r="M7" s="2607"/>
      <c r="N7" s="2607"/>
      <c r="O7" s="2607"/>
      <c r="P7" s="2607"/>
      <c r="Q7" s="2607"/>
      <c r="R7" s="2607"/>
      <c r="S7" s="2608"/>
      <c r="T7" s="2630"/>
      <c r="U7" s="2630"/>
      <c r="V7" s="2630"/>
      <c r="W7" s="2610"/>
    </row>
    <row r="8" spans="1:26" ht="15.75">
      <c r="B8" s="1400"/>
      <c r="C8" s="1190"/>
      <c r="D8" s="1413"/>
      <c r="E8" s="1414"/>
      <c r="F8" s="1413"/>
    </row>
    <row r="9" spans="1:26" ht="12.75" customHeight="1">
      <c r="A9" s="1357"/>
      <c r="B9" s="1400"/>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B12" s="1357"/>
      <c r="C12" s="1434" t="s">
        <v>298</v>
      </c>
      <c r="D12" s="2766">
        <f>D15+D21+D27+D37+D43+D49+D55+D61+D67</f>
        <v>1278574.1305999998</v>
      </c>
      <c r="E12" s="1484">
        <f>E15+E21+E27+E37+E43+E49+E55+E61+E67</f>
        <v>1122427.3106</v>
      </c>
      <c r="F12" s="1462">
        <f>D12+E12</f>
        <v>2401001.4411999998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44" t="s">
        <v>1045</v>
      </c>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54379.8</v>
      </c>
      <c r="E15" s="1464">
        <f>SUM(E16:E19)</f>
        <v>48164.9</v>
      </c>
      <c r="F15" s="1462">
        <f>D15+E15</f>
        <v>102544.70000000001</v>
      </c>
      <c r="H15" s="1475" t="s">
        <v>308</v>
      </c>
      <c r="I15" s="1476"/>
      <c r="J15" s="1476"/>
      <c r="K15" s="1477"/>
      <c r="L15" s="1478">
        <f>SUMPRODUCT(L16:L64,S16:S64)</f>
        <v>4606199.6800000006</v>
      </c>
      <c r="M15" s="1478">
        <f>SUM(M16:M64)</f>
        <v>3692.3700000000008</v>
      </c>
      <c r="N15" s="1479"/>
      <c r="O15" s="1477">
        <v>23</v>
      </c>
      <c r="P15" s="1477"/>
      <c r="Q15" s="1477"/>
      <c r="R15" s="1477"/>
      <c r="S15" s="1477"/>
      <c r="T15" s="2983">
        <v>3221386.38</v>
      </c>
      <c r="U15" s="1480">
        <f>SUM(U16:U65)</f>
        <v>2027725.31</v>
      </c>
      <c r="V15" s="1480">
        <f t="shared" ref="V15:Y15" si="0">SUM(V16:V65)</f>
        <v>5249111.6900000004</v>
      </c>
      <c r="W15" s="2987">
        <v>907047.99999999988</v>
      </c>
      <c r="X15" s="1478">
        <f t="shared" si="0"/>
        <v>683699.18499999994</v>
      </c>
      <c r="Y15" s="1478">
        <f t="shared" si="0"/>
        <v>1590747.1850000001</v>
      </c>
      <c r="Z15" s="1481"/>
    </row>
    <row r="16" spans="1:26">
      <c r="B16" s="1432">
        <v>0.1</v>
      </c>
      <c r="C16" s="1667" t="s">
        <v>734</v>
      </c>
      <c r="D16" s="2772">
        <v>9063.3000000000011</v>
      </c>
      <c r="E16" s="1448">
        <v>9289.9</v>
      </c>
      <c r="F16" s="1426">
        <f>SUM(D16:E16)</f>
        <v>18353.2</v>
      </c>
      <c r="H16" s="1918" t="s">
        <v>1061</v>
      </c>
      <c r="I16" s="2222">
        <v>0.54</v>
      </c>
      <c r="J16" s="1470" t="s">
        <v>110</v>
      </c>
      <c r="K16" s="1460" t="s">
        <v>845</v>
      </c>
      <c r="L16" s="1467">
        <v>0.66</v>
      </c>
      <c r="M16" s="1467">
        <v>0.66</v>
      </c>
      <c r="N16" s="1461">
        <v>3.9375233793129665E-3</v>
      </c>
      <c r="O16" s="1460">
        <v>15</v>
      </c>
      <c r="P16" s="1463" t="s">
        <v>994</v>
      </c>
      <c r="Q16" s="1466">
        <v>23275</v>
      </c>
      <c r="R16" s="1466">
        <v>15000</v>
      </c>
      <c r="S16" s="1469">
        <f>SUM(Q16:R16)</f>
        <v>38275</v>
      </c>
      <c r="T16" s="2991">
        <v>12568.5</v>
      </c>
      <c r="U16" s="1469">
        <f>R16*I16</f>
        <v>8100.0000000000009</v>
      </c>
      <c r="V16" s="1469">
        <f>SUM(T16:U16)</f>
        <v>20668.5</v>
      </c>
      <c r="W16" s="2993">
        <v>15361.5</v>
      </c>
      <c r="X16" s="1459">
        <f>R16*M16</f>
        <v>9900</v>
      </c>
      <c r="Y16" s="1459">
        <f>SUM(W16:X16)</f>
        <v>25261.5</v>
      </c>
      <c r="Z16" s="2233">
        <v>8.0000000000000002E-3</v>
      </c>
    </row>
    <row r="17" spans="2:26">
      <c r="B17" s="1432">
        <v>0.37</v>
      </c>
      <c r="C17" s="1423" t="s">
        <v>735</v>
      </c>
      <c r="D17" s="2784">
        <v>33534.21</v>
      </c>
      <c r="E17" s="1447">
        <v>28767.5</v>
      </c>
      <c r="F17" s="1426">
        <f t="shared" ref="F17:F19" si="1">SUM(D17:E17)</f>
        <v>62301.71</v>
      </c>
      <c r="H17" s="1918" t="s">
        <v>1062</v>
      </c>
      <c r="I17" s="2222">
        <v>0.24</v>
      </c>
      <c r="J17" s="1470" t="s">
        <v>110</v>
      </c>
      <c r="K17" s="1460" t="s">
        <v>845</v>
      </c>
      <c r="L17" s="1467">
        <v>0.66</v>
      </c>
      <c r="M17" s="1467">
        <v>0.66</v>
      </c>
      <c r="N17" s="1461">
        <v>2.7472991339607023E-3</v>
      </c>
      <c r="O17" s="1460">
        <v>15</v>
      </c>
      <c r="P17" s="1463" t="s">
        <v>994</v>
      </c>
      <c r="Q17" s="1466">
        <v>38087</v>
      </c>
      <c r="R17" s="1466">
        <v>22000</v>
      </c>
      <c r="S17" s="1469">
        <f>SUM(Q17:R17)</f>
        <v>60087</v>
      </c>
      <c r="T17" s="2991">
        <v>9140.8799999999992</v>
      </c>
      <c r="U17" s="1469">
        <f>R17*I17</f>
        <v>5280</v>
      </c>
      <c r="V17" s="1469">
        <f>SUM(T17:U17)</f>
        <v>14420.88</v>
      </c>
      <c r="W17" s="2993">
        <v>25137.420000000002</v>
      </c>
      <c r="X17" s="1459">
        <f>R17*M17</f>
        <v>14520</v>
      </c>
      <c r="Y17" s="1459">
        <f>SUM(W17:X17)</f>
        <v>39657.42</v>
      </c>
      <c r="Z17" s="2233">
        <v>4.0000000000000001E-3</v>
      </c>
    </row>
    <row r="18" spans="2:26">
      <c r="B18" s="1432">
        <v>0.13</v>
      </c>
      <c r="C18" s="1423" t="s">
        <v>737</v>
      </c>
      <c r="D18" s="2784">
        <v>11782.29</v>
      </c>
      <c r="E18" s="1447">
        <v>10107.5</v>
      </c>
      <c r="F18" s="1426">
        <f t="shared" si="1"/>
        <v>21889.79</v>
      </c>
      <c r="H18" s="1918" t="s">
        <v>1063</v>
      </c>
      <c r="I18" s="2222">
        <v>0.44</v>
      </c>
      <c r="J18" s="1470" t="s">
        <v>110</v>
      </c>
      <c r="K18" s="1460" t="s">
        <v>845</v>
      </c>
      <c r="L18" s="1467">
        <v>0.66</v>
      </c>
      <c r="M18" s="1467">
        <v>0.66</v>
      </c>
      <c r="N18" s="1461">
        <v>5.7363915607594922E-3</v>
      </c>
      <c r="O18" s="1460">
        <v>15</v>
      </c>
      <c r="P18" s="1463" t="s">
        <v>994</v>
      </c>
      <c r="Q18" s="1466">
        <v>44434</v>
      </c>
      <c r="R18" s="1466">
        <v>24000</v>
      </c>
      <c r="S18" s="1469">
        <f t="shared" ref="S18:S37" si="2">SUM(Q18:R18)</f>
        <v>68434</v>
      </c>
      <c r="T18" s="2991">
        <v>19550.96</v>
      </c>
      <c r="U18" s="1469">
        <f t="shared" ref="U18:U37" si="3">R18*I18</f>
        <v>10560</v>
      </c>
      <c r="V18" s="1469">
        <f t="shared" ref="V18:V37" si="4">SUM(T18:U18)</f>
        <v>30110.959999999999</v>
      </c>
      <c r="W18" s="2993">
        <v>29326.440000000002</v>
      </c>
      <c r="X18" s="1459">
        <f t="shared" ref="X18:X37" si="5">R18*M18</f>
        <v>15840</v>
      </c>
      <c r="Y18" s="1459">
        <f t="shared" ref="Y18:Y37" si="6">SUM(W18:X18)</f>
        <v>45166.44</v>
      </c>
      <c r="Z18" s="2233">
        <v>7.0000000000000001E-3</v>
      </c>
    </row>
    <row r="19" spans="2:26">
      <c r="B19" s="1432"/>
      <c r="C19" s="1423"/>
      <c r="D19" s="2786"/>
      <c r="E19" s="1446"/>
      <c r="F19" s="1426">
        <f t="shared" si="1"/>
        <v>0</v>
      </c>
      <c r="H19" s="1918" t="s">
        <v>1064</v>
      </c>
      <c r="I19" s="2222">
        <v>2.35</v>
      </c>
      <c r="J19" s="1470" t="s">
        <v>110</v>
      </c>
      <c r="K19" s="1460" t="s">
        <v>992</v>
      </c>
      <c r="L19" s="1467">
        <v>1.1200000000000001</v>
      </c>
      <c r="M19" s="1467">
        <v>0.33</v>
      </c>
      <c r="N19" s="1461">
        <v>4.6635471763032725E-2</v>
      </c>
      <c r="O19" s="1460">
        <v>30</v>
      </c>
      <c r="P19" s="1463" t="s">
        <v>994</v>
      </c>
      <c r="Q19" s="1466">
        <v>52084</v>
      </c>
      <c r="R19" s="1466">
        <v>52084</v>
      </c>
      <c r="S19" s="1469">
        <f t="shared" si="2"/>
        <v>104168</v>
      </c>
      <c r="T19" s="2991">
        <v>122397.40000000001</v>
      </c>
      <c r="U19" s="1469">
        <f t="shared" si="3"/>
        <v>122397.40000000001</v>
      </c>
      <c r="V19" s="1469">
        <f t="shared" si="4"/>
        <v>244794.80000000002</v>
      </c>
      <c r="W19" s="2993">
        <v>17187.72</v>
      </c>
      <c r="X19" s="1459">
        <f t="shared" si="5"/>
        <v>17187.72</v>
      </c>
      <c r="Y19" s="1459">
        <f t="shared" si="6"/>
        <v>34375.440000000002</v>
      </c>
      <c r="Z19" s="2233">
        <v>3.3000000000000002E-2</v>
      </c>
    </row>
    <row r="20" spans="2:26">
      <c r="B20" s="1449">
        <f>SUM(B16:B19)</f>
        <v>0.6</v>
      </c>
      <c r="C20" s="1488"/>
      <c r="D20" s="2770"/>
      <c r="E20" s="1490"/>
      <c r="F20" s="1492"/>
      <c r="H20" s="1918" t="s">
        <v>1065</v>
      </c>
      <c r="I20" s="2222">
        <v>1.33</v>
      </c>
      <c r="J20" s="1470" t="s">
        <v>110</v>
      </c>
      <c r="K20" s="1460" t="s">
        <v>992</v>
      </c>
      <c r="L20" s="1467">
        <v>1.1200000000000001</v>
      </c>
      <c r="M20" s="1467">
        <v>0.33</v>
      </c>
      <c r="N20" s="1461">
        <v>1.1877262988854404E-2</v>
      </c>
      <c r="O20" s="1460">
        <v>30</v>
      </c>
      <c r="P20" s="1463" t="s">
        <v>994</v>
      </c>
      <c r="Q20" s="1466">
        <v>23438</v>
      </c>
      <c r="R20" s="1466">
        <v>23438</v>
      </c>
      <c r="S20" s="1469">
        <f t="shared" si="2"/>
        <v>46876</v>
      </c>
      <c r="T20" s="2991">
        <v>31172.54</v>
      </c>
      <c r="U20" s="1469">
        <f t="shared" si="3"/>
        <v>31172.54</v>
      </c>
      <c r="V20" s="1469">
        <f t="shared" si="4"/>
        <v>62345.08</v>
      </c>
      <c r="W20" s="2993">
        <v>7734.54</v>
      </c>
      <c r="X20" s="1459">
        <f t="shared" si="5"/>
        <v>7734.54</v>
      </c>
      <c r="Y20" s="1459">
        <f t="shared" si="6"/>
        <v>15469.08</v>
      </c>
      <c r="Z20" s="2233">
        <v>1.4999999999999999E-2</v>
      </c>
    </row>
    <row r="21" spans="2:26">
      <c r="B21" s="1433" t="s">
        <v>296</v>
      </c>
      <c r="C21" s="1451" t="s">
        <v>44</v>
      </c>
      <c r="D21" s="2771">
        <f>SUM(D22:D25)</f>
        <v>24012</v>
      </c>
      <c r="E21" s="1464">
        <f>SUM(E22:E25)</f>
        <v>24612.3</v>
      </c>
      <c r="F21" s="1638">
        <f>D21+E21</f>
        <v>48624.3</v>
      </c>
      <c r="H21" s="1918" t="s">
        <v>1066</v>
      </c>
      <c r="I21" s="2222">
        <v>2.16</v>
      </c>
      <c r="J21" s="1470" t="s">
        <v>110</v>
      </c>
      <c r="K21" s="1460" t="s">
        <v>992</v>
      </c>
      <c r="L21" s="1467">
        <v>1.1200000000000001</v>
      </c>
      <c r="M21" s="1467">
        <v>0.33</v>
      </c>
      <c r="N21" s="1461">
        <v>4.5008026872447822E-2</v>
      </c>
      <c r="O21" s="1460">
        <v>30</v>
      </c>
      <c r="P21" s="1463" t="s">
        <v>994</v>
      </c>
      <c r="Q21" s="1466">
        <v>54688</v>
      </c>
      <c r="R21" s="1466">
        <v>54688</v>
      </c>
      <c r="S21" s="1469">
        <f t="shared" si="2"/>
        <v>109376</v>
      </c>
      <c r="T21" s="2991">
        <v>118126.08</v>
      </c>
      <c r="U21" s="1469">
        <f t="shared" si="3"/>
        <v>118126.08</v>
      </c>
      <c r="V21" s="1469">
        <f t="shared" si="4"/>
        <v>236252.16</v>
      </c>
      <c r="W21" s="2993">
        <v>18047.04</v>
      </c>
      <c r="X21" s="1459">
        <f t="shared" si="5"/>
        <v>18047.04</v>
      </c>
      <c r="Y21" s="1459">
        <f t="shared" si="6"/>
        <v>36094.080000000002</v>
      </c>
      <c r="Z21" s="2233">
        <v>3.1E-2</v>
      </c>
    </row>
    <row r="22" spans="2:26">
      <c r="B22" s="1982">
        <f>(SUM(D22:E22)/2)/((80000+(80000*1.025))/2)</f>
        <v>0.30015000000000003</v>
      </c>
      <c r="C22" s="1423" t="s">
        <v>1195</v>
      </c>
      <c r="D22" s="2772">
        <v>24012</v>
      </c>
      <c r="E22" s="1448">
        <v>24612.3</v>
      </c>
      <c r="F22" s="1426">
        <f t="shared" ref="F22:F25" si="7">SUM(D22:E22)</f>
        <v>48624.3</v>
      </c>
      <c r="H22" s="1918" t="s">
        <v>1067</v>
      </c>
      <c r="I22" s="2222">
        <v>0.62</v>
      </c>
      <c r="J22" s="1470" t="s">
        <v>110</v>
      </c>
      <c r="K22" s="1460" t="s">
        <v>992</v>
      </c>
      <c r="L22" s="1467">
        <v>0.98</v>
      </c>
      <c r="M22" s="1467">
        <v>0.33</v>
      </c>
      <c r="N22" s="1461">
        <v>1.0876522233040919E-2</v>
      </c>
      <c r="O22" s="1460">
        <v>30</v>
      </c>
      <c r="P22" s="1463" t="s">
        <v>994</v>
      </c>
      <c r="Q22" s="1466">
        <v>52084</v>
      </c>
      <c r="R22" s="1466">
        <v>40000</v>
      </c>
      <c r="S22" s="1469">
        <f>SUM(Q22:R22)</f>
        <v>92084</v>
      </c>
      <c r="T22" s="2991">
        <v>32292.079999999998</v>
      </c>
      <c r="U22" s="1469">
        <f>R22*I22</f>
        <v>24800</v>
      </c>
      <c r="V22" s="1469">
        <f>SUM(T22:U22)</f>
        <v>57092.08</v>
      </c>
      <c r="W22" s="2993">
        <v>17187.72</v>
      </c>
      <c r="X22" s="1459">
        <f>R22*M22</f>
        <v>13200</v>
      </c>
      <c r="Y22" s="1459">
        <f>SUM(W22:X22)</f>
        <v>30387.72</v>
      </c>
      <c r="Z22" s="2233">
        <v>8.9999999999999993E-3</v>
      </c>
    </row>
    <row r="23" spans="2:26">
      <c r="B23" s="1982"/>
      <c r="C23" s="1423"/>
      <c r="D23" s="2773"/>
      <c r="E23" s="1444"/>
      <c r="F23" s="1426">
        <f t="shared" si="7"/>
        <v>0</v>
      </c>
      <c r="H23" s="1918" t="s">
        <v>1068</v>
      </c>
      <c r="I23" s="2222">
        <v>0.26</v>
      </c>
      <c r="J23" s="1470" t="s">
        <v>110</v>
      </c>
      <c r="K23" s="1460" t="s">
        <v>992</v>
      </c>
      <c r="L23" s="1467">
        <v>0.98</v>
      </c>
      <c r="M23" s="1467">
        <v>0.33</v>
      </c>
      <c r="N23" s="1461">
        <v>2.321870960227177E-3</v>
      </c>
      <c r="O23" s="1460">
        <v>30</v>
      </c>
      <c r="P23" s="1463" t="s">
        <v>994</v>
      </c>
      <c r="Q23" s="1466">
        <v>23438</v>
      </c>
      <c r="R23" s="1466">
        <v>23438</v>
      </c>
      <c r="S23" s="1469">
        <f>SUM(Q23:R23)</f>
        <v>46876</v>
      </c>
      <c r="T23" s="2991">
        <v>6093.88</v>
      </c>
      <c r="U23" s="1469">
        <f>R23*I23</f>
        <v>6093.88</v>
      </c>
      <c r="V23" s="1469">
        <f>SUM(T23:U23)</f>
        <v>12187.76</v>
      </c>
      <c r="W23" s="2993">
        <v>7734.54</v>
      </c>
      <c r="X23" s="1459">
        <f>R23*M23</f>
        <v>7734.54</v>
      </c>
      <c r="Y23" s="1459">
        <f>SUM(W23:X23)</f>
        <v>15469.08</v>
      </c>
      <c r="Z23" s="2233">
        <v>3.0000000000000001E-3</v>
      </c>
    </row>
    <row r="24" spans="2:26" s="1413" customFormat="1">
      <c r="B24" s="1982"/>
      <c r="C24" s="1423"/>
      <c r="D24" s="2774"/>
      <c r="E24" s="1443"/>
      <c r="F24" s="1426">
        <f t="shared" si="7"/>
        <v>0</v>
      </c>
      <c r="H24" s="1918" t="s">
        <v>1069</v>
      </c>
      <c r="I24" s="2222">
        <v>0.44</v>
      </c>
      <c r="J24" s="1470" t="s">
        <v>110</v>
      </c>
      <c r="K24" s="1460" t="s">
        <v>992</v>
      </c>
      <c r="L24" s="1467">
        <v>0.98</v>
      </c>
      <c r="M24" s="1467">
        <v>0.33</v>
      </c>
      <c r="N24" s="1461">
        <v>9.1683017703134452E-3</v>
      </c>
      <c r="O24" s="1460">
        <v>30</v>
      </c>
      <c r="P24" s="1463" t="s">
        <v>994</v>
      </c>
      <c r="Q24" s="1466">
        <v>54688</v>
      </c>
      <c r="R24" s="1466">
        <v>54688</v>
      </c>
      <c r="S24" s="1469">
        <f>SUM(Q24:R24)</f>
        <v>109376</v>
      </c>
      <c r="T24" s="2991">
        <v>24062.720000000001</v>
      </c>
      <c r="U24" s="1469">
        <f>R24*I24</f>
        <v>24062.720000000001</v>
      </c>
      <c r="V24" s="1469">
        <f>SUM(T24:U24)</f>
        <v>48125.440000000002</v>
      </c>
      <c r="W24" s="2993">
        <v>18047.04</v>
      </c>
      <c r="X24" s="1459">
        <f>R24*M24</f>
        <v>18047.04</v>
      </c>
      <c r="Y24" s="1459">
        <f>SUM(W24:X24)</f>
        <v>36094.080000000002</v>
      </c>
      <c r="Z24" s="2233">
        <v>7.0000000000000001E-3</v>
      </c>
    </row>
    <row r="25" spans="2:26">
      <c r="B25" s="1982"/>
      <c r="C25" s="1423"/>
      <c r="D25" s="2775"/>
      <c r="E25" s="1444"/>
      <c r="F25" s="1426">
        <f t="shared" si="7"/>
        <v>0</v>
      </c>
      <c r="H25" s="1918" t="s">
        <v>1070</v>
      </c>
      <c r="I25" s="2222">
        <v>81</v>
      </c>
      <c r="J25" s="1470" t="s">
        <v>110</v>
      </c>
      <c r="K25" s="1460" t="s">
        <v>845</v>
      </c>
      <c r="L25" s="1467">
        <v>50</v>
      </c>
      <c r="M25" s="1467">
        <v>50</v>
      </c>
      <c r="N25" s="1461">
        <v>7.7155912070143052E-4</v>
      </c>
      <c r="O25" s="1460">
        <v>10</v>
      </c>
      <c r="P25" s="1463" t="s">
        <v>878</v>
      </c>
      <c r="Q25" s="1466">
        <v>25</v>
      </c>
      <c r="R25" s="1466">
        <v>25</v>
      </c>
      <c r="S25" s="1469">
        <f t="shared" si="2"/>
        <v>50</v>
      </c>
      <c r="T25" s="2991">
        <v>2025</v>
      </c>
      <c r="U25" s="1469">
        <f t="shared" si="3"/>
        <v>2025</v>
      </c>
      <c r="V25" s="1469">
        <f t="shared" si="4"/>
        <v>4050</v>
      </c>
      <c r="W25" s="2993">
        <v>1250</v>
      </c>
      <c r="X25" s="1459">
        <f t="shared" si="5"/>
        <v>1250</v>
      </c>
      <c r="Y25" s="1459">
        <f t="shared" si="6"/>
        <v>2500</v>
      </c>
      <c r="Z25" s="2233">
        <v>0</v>
      </c>
    </row>
    <row r="26" spans="2:26">
      <c r="B26" s="1449">
        <f>SUM(B22:B25)</f>
        <v>0.30015000000000003</v>
      </c>
      <c r="C26" s="1424"/>
      <c r="D26" s="2776"/>
      <c r="E26" s="1431"/>
      <c r="F26" s="1439"/>
      <c r="H26" s="1918" t="s">
        <v>1071</v>
      </c>
      <c r="I26" s="2222">
        <v>1</v>
      </c>
      <c r="J26" s="1470" t="s">
        <v>110</v>
      </c>
      <c r="K26" s="1460" t="s">
        <v>992</v>
      </c>
      <c r="L26" s="1467">
        <v>1.32</v>
      </c>
      <c r="M26" s="1467">
        <v>0.11</v>
      </c>
      <c r="N26" s="1461">
        <v>4.1270411603682222E-2</v>
      </c>
      <c r="O26" s="1460">
        <v>30</v>
      </c>
      <c r="P26" s="1463" t="s">
        <v>994</v>
      </c>
      <c r="Q26" s="1466">
        <v>126633</v>
      </c>
      <c r="R26" s="1466">
        <v>90000</v>
      </c>
      <c r="S26" s="1469">
        <f t="shared" si="2"/>
        <v>216633</v>
      </c>
      <c r="T26" s="2991">
        <v>126633</v>
      </c>
      <c r="U26" s="1469">
        <f t="shared" si="3"/>
        <v>90000</v>
      </c>
      <c r="V26" s="1469">
        <f t="shared" si="4"/>
        <v>216633</v>
      </c>
      <c r="W26" s="2993">
        <v>13929.63</v>
      </c>
      <c r="X26" s="1459">
        <f t="shared" si="5"/>
        <v>9900</v>
      </c>
      <c r="Y26" s="1459">
        <f t="shared" si="6"/>
        <v>23829.629999999997</v>
      </c>
      <c r="Z26" s="2233">
        <v>1.6E-2</v>
      </c>
    </row>
    <row r="27" spans="2:26">
      <c r="C27" s="1597" t="s">
        <v>1737</v>
      </c>
      <c r="D27" s="2771">
        <f>SUM(D29:D35)</f>
        <v>52287.330600000008</v>
      </c>
      <c r="E27" s="1657">
        <f>SUM(E29:E31)+SUM(E33:E35)</f>
        <v>65353.925599999995</v>
      </c>
      <c r="F27" s="1638">
        <f>D27+E27</f>
        <v>117641.2562</v>
      </c>
      <c r="H27" s="1918" t="s">
        <v>1072</v>
      </c>
      <c r="I27" s="2222">
        <v>0.18</v>
      </c>
      <c r="J27" s="1470" t="s">
        <v>110</v>
      </c>
      <c r="K27" s="1460" t="s">
        <v>992</v>
      </c>
      <c r="L27" s="1467">
        <v>1.32</v>
      </c>
      <c r="M27" s="1467">
        <v>0.11</v>
      </c>
      <c r="N27" s="1461">
        <v>3.3403366198900596E-3</v>
      </c>
      <c r="O27" s="1460">
        <v>30</v>
      </c>
      <c r="P27" s="1463" t="s">
        <v>994</v>
      </c>
      <c r="Q27" s="1466">
        <v>48705</v>
      </c>
      <c r="R27" s="1466">
        <v>48705</v>
      </c>
      <c r="S27" s="1469">
        <f t="shared" si="2"/>
        <v>97410</v>
      </c>
      <c r="T27" s="2991">
        <v>8766.9</v>
      </c>
      <c r="U27" s="1469">
        <f t="shared" si="3"/>
        <v>8766.9</v>
      </c>
      <c r="V27" s="1469">
        <f t="shared" si="4"/>
        <v>17533.8</v>
      </c>
      <c r="W27" s="2993">
        <v>5357.55</v>
      </c>
      <c r="X27" s="1459">
        <f t="shared" si="5"/>
        <v>5357.55</v>
      </c>
      <c r="Y27" s="1459">
        <f t="shared" si="6"/>
        <v>10715.1</v>
      </c>
      <c r="Z27" s="2233">
        <v>4.0000000000000001E-3</v>
      </c>
    </row>
    <row r="28" spans="2:26">
      <c r="C28" s="1450" t="s">
        <v>1733</v>
      </c>
      <c r="D28" s="2777">
        <v>0.66700000000000004</v>
      </c>
      <c r="E28" s="1452">
        <v>0.68799999999999994</v>
      </c>
      <c r="F28" s="1485"/>
      <c r="H28" s="1918" t="s">
        <v>1073</v>
      </c>
      <c r="I28" s="2222">
        <v>1.03</v>
      </c>
      <c r="J28" s="1470" t="s">
        <v>110</v>
      </c>
      <c r="K28" s="1460" t="s">
        <v>992</v>
      </c>
      <c r="L28" s="1467">
        <v>1.32</v>
      </c>
      <c r="M28" s="1467">
        <v>0.11</v>
      </c>
      <c r="N28" s="1461">
        <v>4.8293590415105073E-2</v>
      </c>
      <c r="O28" s="1460">
        <v>30</v>
      </c>
      <c r="P28" s="1463" t="s">
        <v>994</v>
      </c>
      <c r="Q28" s="1466">
        <v>146115</v>
      </c>
      <c r="R28" s="1466">
        <v>100000</v>
      </c>
      <c r="S28" s="1469">
        <f t="shared" si="2"/>
        <v>246115</v>
      </c>
      <c r="T28" s="2991">
        <v>150498.45000000001</v>
      </c>
      <c r="U28" s="1469">
        <f t="shared" si="3"/>
        <v>103000</v>
      </c>
      <c r="V28" s="1469">
        <f t="shared" si="4"/>
        <v>253498.45</v>
      </c>
      <c r="W28" s="2993">
        <v>16072.65</v>
      </c>
      <c r="X28" s="1459">
        <f t="shared" si="5"/>
        <v>11000</v>
      </c>
      <c r="Y28" s="1459">
        <f t="shared" si="6"/>
        <v>27072.65</v>
      </c>
      <c r="Z28" s="2233">
        <v>1.6E-2</v>
      </c>
    </row>
    <row r="29" spans="2:26">
      <c r="C29" s="1667" t="s">
        <v>719</v>
      </c>
      <c r="D29" s="2778">
        <v>36271.326600000008</v>
      </c>
      <c r="E29" s="1504">
        <f>E15*E28</f>
        <v>33137.451199999996</v>
      </c>
      <c r="F29" s="1426">
        <f t="shared" ref="F29:F31" si="8">SUM(D29:E29)</f>
        <v>69408.777800000011</v>
      </c>
      <c r="H29" s="1918" t="s">
        <v>1074</v>
      </c>
      <c r="I29" s="2222">
        <v>0</v>
      </c>
      <c r="J29" s="1470" t="s">
        <v>110</v>
      </c>
      <c r="K29" s="1460" t="s">
        <v>893</v>
      </c>
      <c r="L29" s="1467">
        <v>600</v>
      </c>
      <c r="M29" s="1467">
        <v>400</v>
      </c>
      <c r="N29" s="1461">
        <v>0</v>
      </c>
      <c r="O29" s="1460">
        <v>1</v>
      </c>
      <c r="P29" s="1463" t="s">
        <v>994</v>
      </c>
      <c r="Q29" s="1466">
        <v>50</v>
      </c>
      <c r="R29" s="1466">
        <v>50</v>
      </c>
      <c r="S29" s="1469">
        <f t="shared" si="2"/>
        <v>100</v>
      </c>
      <c r="T29" s="2991">
        <v>0</v>
      </c>
      <c r="U29" s="1469">
        <f t="shared" si="3"/>
        <v>0</v>
      </c>
      <c r="V29" s="1469">
        <f t="shared" si="4"/>
        <v>0</v>
      </c>
      <c r="W29" s="2993">
        <v>20000</v>
      </c>
      <c r="X29" s="1459">
        <f t="shared" si="5"/>
        <v>20000</v>
      </c>
      <c r="Y29" s="1459">
        <f t="shared" si="6"/>
        <v>40000</v>
      </c>
      <c r="Z29" s="2233">
        <v>0</v>
      </c>
    </row>
    <row r="30" spans="2:26">
      <c r="C30" s="1667" t="s">
        <v>720</v>
      </c>
      <c r="D30" s="2785">
        <v>16016.004000000001</v>
      </c>
      <c r="E30" s="1504">
        <f>E21*E28</f>
        <v>16933.2624</v>
      </c>
      <c r="F30" s="1426">
        <f t="shared" si="8"/>
        <v>32949.2664</v>
      </c>
      <c r="H30" s="1918" t="s">
        <v>1075</v>
      </c>
      <c r="I30" s="2222">
        <v>1859</v>
      </c>
      <c r="J30" s="1470" t="s">
        <v>110</v>
      </c>
      <c r="K30" s="1460" t="s">
        <v>893</v>
      </c>
      <c r="L30" s="1467">
        <v>1000</v>
      </c>
      <c r="M30" s="1467">
        <v>400</v>
      </c>
      <c r="N30" s="1461">
        <v>0.30103188754971982</v>
      </c>
      <c r="O30" s="1460">
        <v>20</v>
      </c>
      <c r="P30" s="1463" t="s">
        <v>994</v>
      </c>
      <c r="Q30" s="1466">
        <v>850</v>
      </c>
      <c r="R30" s="1466">
        <v>0</v>
      </c>
      <c r="S30" s="1469">
        <f t="shared" si="2"/>
        <v>850</v>
      </c>
      <c r="T30" s="2991">
        <v>1580150</v>
      </c>
      <c r="U30" s="1469">
        <f t="shared" si="3"/>
        <v>0</v>
      </c>
      <c r="V30" s="1469">
        <f t="shared" si="4"/>
        <v>1580150</v>
      </c>
      <c r="W30" s="2993">
        <v>340000</v>
      </c>
      <c r="X30" s="1459">
        <f t="shared" si="5"/>
        <v>0</v>
      </c>
      <c r="Y30" s="1459">
        <f t="shared" si="6"/>
        <v>340000</v>
      </c>
      <c r="Z30" s="2233">
        <v>12.55</v>
      </c>
    </row>
    <row r="31" spans="2:26">
      <c r="C31" s="1667"/>
      <c r="D31" s="2774"/>
      <c r="E31" s="1443"/>
      <c r="F31" s="1426">
        <f t="shared" si="8"/>
        <v>0</v>
      </c>
      <c r="H31" s="1918" t="s">
        <v>1076</v>
      </c>
      <c r="I31" s="2222">
        <v>2.23</v>
      </c>
      <c r="J31" s="1470" t="s">
        <v>110</v>
      </c>
      <c r="K31" s="1460" t="s">
        <v>992</v>
      </c>
      <c r="L31" s="1467">
        <v>1.39</v>
      </c>
      <c r="M31" s="1467">
        <v>0.22</v>
      </c>
      <c r="N31" s="1461">
        <v>9.0243193129693131E-3</v>
      </c>
      <c r="O31" s="1460">
        <v>30</v>
      </c>
      <c r="P31" s="1463" t="s">
        <v>994</v>
      </c>
      <c r="Q31" s="1466">
        <v>10621</v>
      </c>
      <c r="R31" s="1466">
        <v>10621</v>
      </c>
      <c r="S31" s="1469">
        <f t="shared" si="2"/>
        <v>21242</v>
      </c>
      <c r="T31" s="2991">
        <v>23684.829999999998</v>
      </c>
      <c r="U31" s="1469">
        <f t="shared" si="3"/>
        <v>23684.829999999998</v>
      </c>
      <c r="V31" s="1469">
        <f t="shared" si="4"/>
        <v>47369.659999999996</v>
      </c>
      <c r="W31" s="2993">
        <v>2336.62</v>
      </c>
      <c r="X31" s="1459">
        <f t="shared" si="5"/>
        <v>2336.62</v>
      </c>
      <c r="Y31" s="1459">
        <f t="shared" si="6"/>
        <v>4673.24</v>
      </c>
      <c r="Z31" s="2233">
        <v>3.4000000000000002E-2</v>
      </c>
    </row>
    <row r="32" spans="2:26">
      <c r="C32" s="1450" t="s">
        <v>1734</v>
      </c>
      <c r="D32" s="2777"/>
      <c r="E32" s="1452">
        <v>0.21</v>
      </c>
      <c r="F32" s="1485"/>
      <c r="H32" s="1918" t="s">
        <v>1077</v>
      </c>
      <c r="I32" s="2222">
        <v>0.96</v>
      </c>
      <c r="J32" s="1470" t="s">
        <v>110</v>
      </c>
      <c r="K32" s="1460" t="s">
        <v>992</v>
      </c>
      <c r="L32" s="1467">
        <v>1.39</v>
      </c>
      <c r="M32" s="1467">
        <v>0.22</v>
      </c>
      <c r="N32" s="1461">
        <v>3.3300263039363902E-3</v>
      </c>
      <c r="O32" s="1460">
        <v>30</v>
      </c>
      <c r="P32" s="1463" t="s">
        <v>994</v>
      </c>
      <c r="Q32" s="1466">
        <v>9104</v>
      </c>
      <c r="R32" s="1466">
        <v>9104</v>
      </c>
      <c r="S32" s="1469">
        <f t="shared" si="2"/>
        <v>18208</v>
      </c>
      <c r="T32" s="2991">
        <v>8739.84</v>
      </c>
      <c r="U32" s="1469">
        <f t="shared" si="3"/>
        <v>8739.84</v>
      </c>
      <c r="V32" s="1469">
        <f t="shared" si="4"/>
        <v>17479.68</v>
      </c>
      <c r="W32" s="2993">
        <v>2002.88</v>
      </c>
      <c r="X32" s="1459">
        <f t="shared" si="5"/>
        <v>2002.88</v>
      </c>
      <c r="Y32" s="1459">
        <f t="shared" si="6"/>
        <v>4005.76</v>
      </c>
      <c r="Z32" s="2233">
        <v>1.4E-2</v>
      </c>
    </row>
    <row r="33" spans="1:26">
      <c r="C33" s="1667" t="s">
        <v>719</v>
      </c>
      <c r="D33" s="2778"/>
      <c r="E33" s="1641">
        <f>E15*E32</f>
        <v>10114.629000000001</v>
      </c>
      <c r="F33" s="1661">
        <f>SUM(D33:E33)</f>
        <v>10114.629000000001</v>
      </c>
      <c r="H33" s="1918" t="s">
        <v>1078</v>
      </c>
      <c r="I33" s="2222">
        <v>1.53</v>
      </c>
      <c r="J33" s="1470" t="s">
        <v>110</v>
      </c>
      <c r="K33" s="1460" t="s">
        <v>992</v>
      </c>
      <c r="L33" s="1467">
        <v>1.39</v>
      </c>
      <c r="M33" s="1467">
        <v>0.22</v>
      </c>
      <c r="N33" s="1461">
        <v>1.7395983433532158E-2</v>
      </c>
      <c r="O33" s="1460">
        <v>30</v>
      </c>
      <c r="P33" s="1463" t="s">
        <v>994</v>
      </c>
      <c r="Q33" s="1466">
        <v>29841</v>
      </c>
      <c r="R33" s="1466">
        <v>29841</v>
      </c>
      <c r="S33" s="1469">
        <f t="shared" si="2"/>
        <v>59682</v>
      </c>
      <c r="T33" s="2991">
        <v>45656.73</v>
      </c>
      <c r="U33" s="1469">
        <f t="shared" si="3"/>
        <v>45656.73</v>
      </c>
      <c r="V33" s="1469">
        <f t="shared" si="4"/>
        <v>91313.46</v>
      </c>
      <c r="W33" s="2993">
        <v>6565.02</v>
      </c>
      <c r="X33" s="1459">
        <f t="shared" si="5"/>
        <v>6565.02</v>
      </c>
      <c r="Y33" s="1459">
        <f t="shared" si="6"/>
        <v>13130.04</v>
      </c>
      <c r="Z33" s="2233">
        <v>2.3E-2</v>
      </c>
    </row>
    <row r="34" spans="1:26" ht="25.5">
      <c r="A34" s="1400" t="s">
        <v>287</v>
      </c>
      <c r="C34" s="1667" t="s">
        <v>720</v>
      </c>
      <c r="D34" s="2785"/>
      <c r="E34" s="1641">
        <f>E21*E32</f>
        <v>5168.5829999999996</v>
      </c>
      <c r="F34" s="1661">
        <f t="shared" ref="F34" si="9">SUM(D34:E34)</f>
        <v>5168.5829999999996</v>
      </c>
      <c r="H34" s="1918" t="s">
        <v>1079</v>
      </c>
      <c r="I34" s="2222">
        <v>5.6</v>
      </c>
      <c r="J34" s="1470" t="s">
        <v>110</v>
      </c>
      <c r="K34" s="1460" t="s">
        <v>992</v>
      </c>
      <c r="L34" s="1467">
        <v>18.510000000000002</v>
      </c>
      <c r="M34" s="1467">
        <v>2.78</v>
      </c>
      <c r="N34" s="1461">
        <v>0</v>
      </c>
      <c r="O34" s="1460">
        <v>30</v>
      </c>
      <c r="P34" s="1463" t="s">
        <v>994</v>
      </c>
      <c r="Q34" s="1466">
        <v>0</v>
      </c>
      <c r="R34" s="1466">
        <v>0</v>
      </c>
      <c r="S34" s="1469">
        <f t="shared" si="2"/>
        <v>0</v>
      </c>
      <c r="T34" s="2991">
        <v>0</v>
      </c>
      <c r="U34" s="1469">
        <f t="shared" si="3"/>
        <v>0</v>
      </c>
      <c r="V34" s="1469">
        <f t="shared" si="4"/>
        <v>0</v>
      </c>
      <c r="W34" s="2993">
        <v>0</v>
      </c>
      <c r="X34" s="1459">
        <f t="shared" si="5"/>
        <v>0</v>
      </c>
      <c r="Y34" s="1459">
        <f t="shared" si="6"/>
        <v>0</v>
      </c>
      <c r="Z34" s="2233">
        <v>0.08</v>
      </c>
    </row>
    <row r="35" spans="1:26">
      <c r="A35" s="1357" t="s">
        <v>275</v>
      </c>
      <c r="C35" s="1445"/>
      <c r="D35" s="2775"/>
      <c r="E35" s="1444"/>
      <c r="F35" s="1426"/>
      <c r="H35" s="1918" t="s">
        <v>1080</v>
      </c>
      <c r="I35" s="2222">
        <v>3.77</v>
      </c>
      <c r="J35" s="1470" t="s">
        <v>110</v>
      </c>
      <c r="K35" s="1460" t="s">
        <v>992</v>
      </c>
      <c r="L35" s="1467">
        <v>18.510000000000002</v>
      </c>
      <c r="M35" s="1467">
        <v>2.78</v>
      </c>
      <c r="N35" s="1461">
        <v>0</v>
      </c>
      <c r="O35" s="1460">
        <v>30</v>
      </c>
      <c r="P35" s="1463" t="s">
        <v>994</v>
      </c>
      <c r="Q35" s="1466">
        <v>0</v>
      </c>
      <c r="R35" s="1466">
        <v>0</v>
      </c>
      <c r="S35" s="1469">
        <f t="shared" si="2"/>
        <v>0</v>
      </c>
      <c r="T35" s="2991">
        <v>0</v>
      </c>
      <c r="U35" s="1469">
        <f t="shared" si="3"/>
        <v>0</v>
      </c>
      <c r="V35" s="1469">
        <f t="shared" si="4"/>
        <v>0</v>
      </c>
      <c r="W35" s="2993">
        <v>0</v>
      </c>
      <c r="X35" s="1459">
        <f t="shared" si="5"/>
        <v>0</v>
      </c>
      <c r="Y35" s="1459">
        <f t="shared" si="6"/>
        <v>0</v>
      </c>
      <c r="Z35" s="2233">
        <v>0.04</v>
      </c>
    </row>
    <row r="36" spans="1:26">
      <c r="A36" s="1400" t="s">
        <v>5</v>
      </c>
      <c r="C36" s="1488"/>
      <c r="D36" s="2779"/>
      <c r="E36" s="1490"/>
      <c r="F36" s="1493"/>
      <c r="H36" s="1918" t="s">
        <v>1081</v>
      </c>
      <c r="I36" s="2222">
        <v>5.0999999999999996</v>
      </c>
      <c r="J36" s="1470" t="s">
        <v>110</v>
      </c>
      <c r="K36" s="1460" t="s">
        <v>992</v>
      </c>
      <c r="L36" s="1467">
        <v>18.510000000000002</v>
      </c>
      <c r="M36" s="1467">
        <v>2.78</v>
      </c>
      <c r="N36" s="1461">
        <v>0</v>
      </c>
      <c r="O36" s="1460">
        <v>30</v>
      </c>
      <c r="P36" s="1463" t="s">
        <v>994</v>
      </c>
      <c r="Q36" s="1466">
        <v>0</v>
      </c>
      <c r="R36" s="1466">
        <v>0</v>
      </c>
      <c r="S36" s="1469">
        <f t="shared" si="2"/>
        <v>0</v>
      </c>
      <c r="T36" s="2991">
        <v>0</v>
      </c>
      <c r="U36" s="1469">
        <f t="shared" si="3"/>
        <v>0</v>
      </c>
      <c r="V36" s="1469">
        <f t="shared" si="4"/>
        <v>0</v>
      </c>
      <c r="W36" s="2993">
        <v>0</v>
      </c>
      <c r="X36" s="1459">
        <f t="shared" si="5"/>
        <v>0</v>
      </c>
      <c r="Y36" s="1459">
        <f t="shared" si="6"/>
        <v>0</v>
      </c>
      <c r="Z36" s="2233">
        <v>7.0000000000000007E-2</v>
      </c>
    </row>
    <row r="37" spans="1:26">
      <c r="A37" s="1400">
        <v>18230627</v>
      </c>
      <c r="C37" s="1451" t="s">
        <v>46</v>
      </c>
      <c r="D37" s="2771">
        <f>SUM(D38:D41)</f>
        <v>150545</v>
      </c>
      <c r="E37" s="1464">
        <f>SUM(E38:E41)</f>
        <v>150545</v>
      </c>
      <c r="F37" s="1638">
        <f>D37+E37</f>
        <v>301090</v>
      </c>
      <c r="H37" s="1918" t="s">
        <v>1082</v>
      </c>
      <c r="I37" s="2222">
        <v>15.8</v>
      </c>
      <c r="J37" s="1470" t="s">
        <v>110</v>
      </c>
      <c r="K37" s="1460" t="s">
        <v>992</v>
      </c>
      <c r="L37" s="1467">
        <v>18.510000000000002</v>
      </c>
      <c r="M37" s="1467">
        <v>2.78</v>
      </c>
      <c r="N37" s="1461">
        <v>9.7892296896429726E-2</v>
      </c>
      <c r="O37" s="1460">
        <v>30</v>
      </c>
      <c r="P37" s="1463" t="s">
        <v>994</v>
      </c>
      <c r="Q37" s="1466">
        <v>16261</v>
      </c>
      <c r="R37" s="1466">
        <v>16261</v>
      </c>
      <c r="S37" s="1469">
        <f t="shared" si="2"/>
        <v>32522</v>
      </c>
      <c r="T37" s="2991">
        <v>256923.80000000002</v>
      </c>
      <c r="U37" s="1469">
        <f t="shared" si="3"/>
        <v>256923.80000000002</v>
      </c>
      <c r="V37" s="1469">
        <f t="shared" si="4"/>
        <v>513847.60000000003</v>
      </c>
      <c r="W37" s="2993">
        <v>45205.579999999994</v>
      </c>
      <c r="X37" s="1459">
        <f t="shared" si="5"/>
        <v>45205.579999999994</v>
      </c>
      <c r="Y37" s="1459">
        <f t="shared" si="6"/>
        <v>90411.159999999989</v>
      </c>
      <c r="Z37" s="2233">
        <v>0.23499999999999999</v>
      </c>
    </row>
    <row r="38" spans="1:26">
      <c r="A38" s="1400" t="s">
        <v>4</v>
      </c>
      <c r="C38" s="1667" t="s">
        <v>1000</v>
      </c>
      <c r="D38" s="2778">
        <v>55370</v>
      </c>
      <c r="E38" s="1520">
        <v>55370</v>
      </c>
      <c r="F38" s="1426">
        <f t="shared" ref="F38:F41" si="10">SUM(D38:E38)</f>
        <v>110740</v>
      </c>
      <c r="H38" s="1460" t="s">
        <v>1083</v>
      </c>
      <c r="I38" s="2027">
        <v>6.99</v>
      </c>
      <c r="J38" s="1470" t="s">
        <v>110</v>
      </c>
      <c r="K38" s="1460" t="s">
        <v>992</v>
      </c>
      <c r="L38" s="1467">
        <v>18.510000000000002</v>
      </c>
      <c r="M38" s="1467">
        <v>2.78</v>
      </c>
      <c r="N38" s="1461">
        <v>2.2078821492937214E-2</v>
      </c>
      <c r="O38" s="1460">
        <v>30</v>
      </c>
      <c r="P38" s="1463" t="s">
        <v>994</v>
      </c>
      <c r="Q38" s="1466">
        <v>8290</v>
      </c>
      <c r="R38" s="1466">
        <v>8290</v>
      </c>
      <c r="S38" s="1469">
        <f t="shared" ref="S38:S46" si="11">SUM(Q38:R38)</f>
        <v>16580</v>
      </c>
      <c r="T38" s="2991">
        <v>57947.1</v>
      </c>
      <c r="U38" s="1469">
        <f t="shared" ref="U38:U59" si="12">R38*I38</f>
        <v>57947.1</v>
      </c>
      <c r="V38" s="1469">
        <f t="shared" ref="V38:V59" si="13">SUM(T38:U38)</f>
        <v>115894.2</v>
      </c>
      <c r="W38" s="2993">
        <v>23046.199999999997</v>
      </c>
      <c r="X38" s="1459">
        <f t="shared" ref="X38:X59" si="14">R38*M38</f>
        <v>23046.199999999997</v>
      </c>
      <c r="Y38" s="1459">
        <f t="shared" ref="Y38:Y59" si="15">SUM(W38:X38)</f>
        <v>46092.399999999994</v>
      </c>
      <c r="Z38" s="2233">
        <v>9.5000000000000001E-2</v>
      </c>
    </row>
    <row r="39" spans="1:26">
      <c r="C39" s="1423" t="s">
        <v>1059</v>
      </c>
      <c r="D39" s="2778">
        <v>95175</v>
      </c>
      <c r="E39" s="1520">
        <v>95175</v>
      </c>
      <c r="F39" s="1426">
        <f t="shared" si="10"/>
        <v>190350</v>
      </c>
      <c r="H39" s="1460" t="s">
        <v>1084</v>
      </c>
      <c r="I39" s="2027">
        <v>8.92</v>
      </c>
      <c r="J39" s="1470" t="s">
        <v>110</v>
      </c>
      <c r="K39" s="1460" t="s">
        <v>992</v>
      </c>
      <c r="L39" s="1467">
        <v>18.510000000000002</v>
      </c>
      <c r="M39" s="1467">
        <v>2.78</v>
      </c>
      <c r="N39" s="1461">
        <v>7.0145156313105611E-2</v>
      </c>
      <c r="O39" s="1460">
        <v>30</v>
      </c>
      <c r="P39" s="1463" t="s">
        <v>994</v>
      </c>
      <c r="Q39" s="1466">
        <v>20639</v>
      </c>
      <c r="R39" s="1466">
        <v>20639</v>
      </c>
      <c r="S39" s="1469">
        <f t="shared" si="11"/>
        <v>41278</v>
      </c>
      <c r="T39" s="2991">
        <v>184099.88</v>
      </c>
      <c r="U39" s="1469">
        <f t="shared" si="12"/>
        <v>184099.88</v>
      </c>
      <c r="V39" s="1469">
        <f t="shared" si="13"/>
        <v>368199.76</v>
      </c>
      <c r="W39" s="2993">
        <v>57376.42</v>
      </c>
      <c r="X39" s="1459">
        <f t="shared" si="14"/>
        <v>57376.42</v>
      </c>
      <c r="Y39" s="1459">
        <f t="shared" si="15"/>
        <v>114752.84</v>
      </c>
      <c r="Z39" s="2233">
        <v>0.13300000000000001</v>
      </c>
    </row>
    <row r="40" spans="1:26">
      <c r="C40" s="1423"/>
      <c r="D40" s="2778"/>
      <c r="E40" s="1520"/>
      <c r="F40" s="1426">
        <f t="shared" si="10"/>
        <v>0</v>
      </c>
      <c r="H40" s="1460" t="s">
        <v>1085</v>
      </c>
      <c r="I40" s="2027">
        <v>78</v>
      </c>
      <c r="J40" s="1470" t="s">
        <v>110</v>
      </c>
      <c r="K40" s="1460" t="s">
        <v>845</v>
      </c>
      <c r="L40" s="1467">
        <v>332.27</v>
      </c>
      <c r="M40" s="1467">
        <v>100</v>
      </c>
      <c r="N40" s="1461">
        <v>0</v>
      </c>
      <c r="O40" s="1460">
        <v>20</v>
      </c>
      <c r="P40" s="1463" t="s">
        <v>994</v>
      </c>
      <c r="Q40" s="1466">
        <v>0</v>
      </c>
      <c r="R40" s="1466">
        <v>0</v>
      </c>
      <c r="S40" s="1469">
        <f t="shared" si="11"/>
        <v>0</v>
      </c>
      <c r="T40" s="2991">
        <v>0</v>
      </c>
      <c r="U40" s="1469">
        <f t="shared" si="12"/>
        <v>0</v>
      </c>
      <c r="V40" s="1469">
        <f t="shared" si="13"/>
        <v>0</v>
      </c>
      <c r="W40" s="2993">
        <v>0</v>
      </c>
      <c r="X40" s="1459">
        <f t="shared" si="14"/>
        <v>0</v>
      </c>
      <c r="Y40" s="1459">
        <f t="shared" si="15"/>
        <v>0</v>
      </c>
      <c r="Z40" s="2233">
        <v>0</v>
      </c>
    </row>
    <row r="41" spans="1:26">
      <c r="C41" s="1423"/>
      <c r="D41" s="2778"/>
      <c r="E41" s="1520"/>
      <c r="F41" s="1426">
        <f t="shared" si="10"/>
        <v>0</v>
      </c>
      <c r="H41" s="1460" t="s">
        <v>1770</v>
      </c>
      <c r="I41" s="2027">
        <v>0.14000000000000001</v>
      </c>
      <c r="J41" s="1470" t="s">
        <v>110</v>
      </c>
      <c r="K41" s="1460" t="s">
        <v>992</v>
      </c>
      <c r="L41" s="1467">
        <v>0.2</v>
      </c>
      <c r="M41" s="1467">
        <v>0.09</v>
      </c>
      <c r="N41" s="1461">
        <v>1.6295197178401059E-2</v>
      </c>
      <c r="O41" s="1460">
        <v>30</v>
      </c>
      <c r="P41" s="1463" t="s">
        <v>994</v>
      </c>
      <c r="Q41" s="1466">
        <v>407311</v>
      </c>
      <c r="R41" s="1466">
        <v>203655.5</v>
      </c>
      <c r="S41" s="1469">
        <f t="shared" si="11"/>
        <v>610966.5</v>
      </c>
      <c r="T41" s="2991">
        <v>57023.540000000008</v>
      </c>
      <c r="U41" s="1469">
        <f t="shared" si="12"/>
        <v>28511.770000000004</v>
      </c>
      <c r="V41" s="1469">
        <f t="shared" si="13"/>
        <v>85535.310000000012</v>
      </c>
      <c r="W41" s="2993">
        <v>36657.99</v>
      </c>
      <c r="X41" s="1459">
        <f t="shared" si="14"/>
        <v>18328.994999999999</v>
      </c>
      <c r="Y41" s="1459">
        <f t="shared" si="15"/>
        <v>54986.985000000001</v>
      </c>
      <c r="Z41" s="2233">
        <v>1E-3</v>
      </c>
    </row>
    <row r="42" spans="1:26">
      <c r="C42" s="1488"/>
      <c r="D42" s="2779"/>
      <c r="E42" s="1490"/>
      <c r="F42" s="1493"/>
      <c r="H42" s="1460" t="s">
        <v>1086</v>
      </c>
      <c r="I42" s="2027">
        <v>81</v>
      </c>
      <c r="J42" s="1470" t="s">
        <v>110</v>
      </c>
      <c r="K42" s="1460" t="s">
        <v>845</v>
      </c>
      <c r="L42" s="1467">
        <v>250</v>
      </c>
      <c r="M42" s="1467">
        <v>150</v>
      </c>
      <c r="N42" s="1461">
        <v>7.7155912070143049E-3</v>
      </c>
      <c r="O42" s="1460">
        <v>10</v>
      </c>
      <c r="P42" s="1463" t="s">
        <v>878</v>
      </c>
      <c r="Q42" s="1466">
        <v>250</v>
      </c>
      <c r="R42" s="1466">
        <v>250</v>
      </c>
      <c r="S42" s="1469">
        <f t="shared" si="11"/>
        <v>500</v>
      </c>
      <c r="T42" s="2991">
        <v>20250</v>
      </c>
      <c r="U42" s="1469">
        <f t="shared" si="12"/>
        <v>20250</v>
      </c>
      <c r="V42" s="1469">
        <f t="shared" si="13"/>
        <v>40500</v>
      </c>
      <c r="W42" s="2993">
        <v>37500</v>
      </c>
      <c r="X42" s="1459">
        <f t="shared" si="14"/>
        <v>37500</v>
      </c>
      <c r="Y42" s="1459">
        <f t="shared" si="15"/>
        <v>75000</v>
      </c>
      <c r="Z42" s="2233">
        <v>0</v>
      </c>
    </row>
    <row r="43" spans="1:26">
      <c r="C43" s="1597" t="s">
        <v>483</v>
      </c>
      <c r="D43" s="2771">
        <f>SUM(D44:D47)</f>
        <v>5302</v>
      </c>
      <c r="E43" s="1464">
        <f>SUM(E44:E47)</f>
        <v>5302</v>
      </c>
      <c r="F43" s="1638">
        <f>D43+E43</f>
        <v>10604</v>
      </c>
      <c r="H43" s="1460" t="s">
        <v>1581</v>
      </c>
      <c r="I43" s="2027">
        <v>1859</v>
      </c>
      <c r="J43" s="1470" t="s">
        <v>110</v>
      </c>
      <c r="K43" s="1460" t="s">
        <v>893</v>
      </c>
      <c r="L43" s="1467">
        <v>1000</v>
      </c>
      <c r="M43" s="1467">
        <v>750</v>
      </c>
      <c r="N43" s="1461">
        <v>5.3123274273479973E-2</v>
      </c>
      <c r="O43" s="1460">
        <v>20</v>
      </c>
      <c r="P43" s="1463" t="s">
        <v>994</v>
      </c>
      <c r="Q43" s="1466">
        <v>150</v>
      </c>
      <c r="R43" s="1466">
        <v>0</v>
      </c>
      <c r="S43" s="1469">
        <f t="shared" si="11"/>
        <v>150</v>
      </c>
      <c r="T43" s="2991">
        <v>278850</v>
      </c>
      <c r="U43" s="1469">
        <f t="shared" si="12"/>
        <v>0</v>
      </c>
      <c r="V43" s="1469">
        <f t="shared" si="13"/>
        <v>278850</v>
      </c>
      <c r="W43" s="2993">
        <v>112500</v>
      </c>
      <c r="X43" s="1459">
        <f t="shared" si="14"/>
        <v>0</v>
      </c>
      <c r="Y43" s="1459">
        <f t="shared" si="15"/>
        <v>112500</v>
      </c>
      <c r="Z43" s="2233">
        <v>0</v>
      </c>
    </row>
    <row r="44" spans="1:26">
      <c r="C44" s="1667" t="s">
        <v>1011</v>
      </c>
      <c r="D44" s="2778">
        <v>2302</v>
      </c>
      <c r="E44" s="1520">
        <v>2302</v>
      </c>
      <c r="F44" s="1426">
        <f t="shared" ref="F44:F47" si="16">SUM(D44:E44)</f>
        <v>4604</v>
      </c>
      <c r="H44" s="1460" t="s">
        <v>1087</v>
      </c>
      <c r="I44" s="2027">
        <v>4.57</v>
      </c>
      <c r="J44" s="1470" t="s">
        <v>110</v>
      </c>
      <c r="K44" s="1460" t="s">
        <v>992</v>
      </c>
      <c r="L44" s="1467">
        <v>8.94</v>
      </c>
      <c r="M44" s="1467">
        <v>2.78</v>
      </c>
      <c r="N44" s="1461">
        <v>3.0097454451383566E-3</v>
      </c>
      <c r="O44" s="1460">
        <v>20</v>
      </c>
      <c r="P44" s="1463" t="s">
        <v>994</v>
      </c>
      <c r="Q44" s="1466">
        <v>3457</v>
      </c>
      <c r="R44" s="1466">
        <v>0</v>
      </c>
      <c r="S44" s="1469">
        <f t="shared" si="11"/>
        <v>3457</v>
      </c>
      <c r="T44" s="2991">
        <v>15798.490000000002</v>
      </c>
      <c r="U44" s="1469">
        <f t="shared" si="12"/>
        <v>0</v>
      </c>
      <c r="V44" s="1469">
        <f t="shared" si="13"/>
        <v>15798.490000000002</v>
      </c>
      <c r="W44" s="2993">
        <v>9610.4599999999991</v>
      </c>
      <c r="X44" s="1459">
        <f t="shared" si="14"/>
        <v>0</v>
      </c>
      <c r="Y44" s="1459">
        <f t="shared" si="15"/>
        <v>9610.4599999999991</v>
      </c>
      <c r="Z44" s="2233">
        <v>7.0000000000000007E-2</v>
      </c>
    </row>
    <row r="45" spans="1:26">
      <c r="C45" s="1667" t="s">
        <v>1060</v>
      </c>
      <c r="D45" s="2778">
        <v>3000</v>
      </c>
      <c r="E45" s="1520">
        <v>3000</v>
      </c>
      <c r="F45" s="1426">
        <f t="shared" si="16"/>
        <v>6000</v>
      </c>
      <c r="H45" s="1460" t="s">
        <v>1088</v>
      </c>
      <c r="I45" s="2027">
        <v>2.4300000000000002</v>
      </c>
      <c r="J45" s="1470" t="s">
        <v>110</v>
      </c>
      <c r="K45" s="1460" t="s">
        <v>992</v>
      </c>
      <c r="L45" s="1467">
        <v>8.94</v>
      </c>
      <c r="M45" s="1467">
        <v>2.78</v>
      </c>
      <c r="N45" s="1461">
        <v>1.3360317734065971E-3</v>
      </c>
      <c r="O45" s="1460">
        <v>20</v>
      </c>
      <c r="P45" s="1463" t="s">
        <v>994</v>
      </c>
      <c r="Q45" s="1466">
        <v>2886</v>
      </c>
      <c r="R45" s="1466">
        <v>0</v>
      </c>
      <c r="S45" s="1469">
        <f t="shared" si="11"/>
        <v>2886</v>
      </c>
      <c r="T45" s="2991">
        <v>7012.9800000000005</v>
      </c>
      <c r="U45" s="1469">
        <f t="shared" si="12"/>
        <v>0</v>
      </c>
      <c r="V45" s="1469">
        <f t="shared" si="13"/>
        <v>7012.9800000000005</v>
      </c>
      <c r="W45" s="2993">
        <v>8023.079999999999</v>
      </c>
      <c r="X45" s="1459">
        <f t="shared" si="14"/>
        <v>0</v>
      </c>
      <c r="Y45" s="1459">
        <f t="shared" si="15"/>
        <v>8023.079999999999</v>
      </c>
      <c r="Z45" s="2233">
        <v>0.04</v>
      </c>
    </row>
    <row r="46" spans="1:26">
      <c r="C46" s="1423"/>
      <c r="D46" s="2778"/>
      <c r="E46" s="1520"/>
      <c r="F46" s="1426">
        <f t="shared" si="16"/>
        <v>0</v>
      </c>
      <c r="H46" s="1460" t="s">
        <v>1089</v>
      </c>
      <c r="I46" s="2027">
        <v>4.4000000000000004</v>
      </c>
      <c r="J46" s="1470" t="s">
        <v>110</v>
      </c>
      <c r="K46" s="1460" t="s">
        <v>992</v>
      </c>
      <c r="L46" s="1467">
        <v>8.94</v>
      </c>
      <c r="M46" s="1467">
        <v>2.78</v>
      </c>
      <c r="N46" s="1461">
        <v>4.1760970797708446E-3</v>
      </c>
      <c r="O46" s="1460">
        <v>20</v>
      </c>
      <c r="P46" s="1463" t="s">
        <v>994</v>
      </c>
      <c r="Q46" s="1466">
        <v>4982</v>
      </c>
      <c r="R46" s="1466">
        <v>0</v>
      </c>
      <c r="S46" s="1469">
        <f t="shared" si="11"/>
        <v>4982</v>
      </c>
      <c r="T46" s="2991">
        <v>21920.800000000003</v>
      </c>
      <c r="U46" s="1469">
        <f t="shared" si="12"/>
        <v>0</v>
      </c>
      <c r="V46" s="1469">
        <f t="shared" si="13"/>
        <v>21920.800000000003</v>
      </c>
      <c r="W46" s="2993">
        <v>13849.96</v>
      </c>
      <c r="X46" s="1459">
        <f t="shared" si="14"/>
        <v>0</v>
      </c>
      <c r="Y46" s="1459">
        <f t="shared" si="15"/>
        <v>13849.96</v>
      </c>
      <c r="Z46" s="2233">
        <v>7.0000000000000007E-2</v>
      </c>
    </row>
    <row r="47" spans="1:26">
      <c r="C47" s="1423"/>
      <c r="D47" s="2778"/>
      <c r="E47" s="1520"/>
      <c r="F47" s="1426">
        <f t="shared" si="16"/>
        <v>0</v>
      </c>
      <c r="H47" s="1460" t="s">
        <v>1795</v>
      </c>
      <c r="I47" s="1466">
        <v>1049</v>
      </c>
      <c r="J47" s="1470" t="s">
        <v>229</v>
      </c>
      <c r="K47" s="1460" t="s">
        <v>893</v>
      </c>
      <c r="L47" s="1467">
        <v>608.58000000000004</v>
      </c>
      <c r="M47" s="1467">
        <v>300</v>
      </c>
      <c r="N47" s="1461">
        <v>1.9984333768291371E-2</v>
      </c>
      <c r="O47" s="1460">
        <v>20</v>
      </c>
      <c r="P47" s="1463" t="s">
        <v>994</v>
      </c>
      <c r="Q47" s="1466">
        <v>0</v>
      </c>
      <c r="R47" s="1466">
        <v>100</v>
      </c>
      <c r="S47" s="1469" t="s">
        <v>229</v>
      </c>
      <c r="T47" s="2991">
        <v>0</v>
      </c>
      <c r="U47" s="1469">
        <f t="shared" si="12"/>
        <v>104900</v>
      </c>
      <c r="V47" s="1469">
        <f t="shared" si="13"/>
        <v>104900</v>
      </c>
      <c r="W47" s="2993" t="s">
        <v>229</v>
      </c>
      <c r="X47" s="1459">
        <f t="shared" si="14"/>
        <v>30000</v>
      </c>
      <c r="Y47" s="1459">
        <f t="shared" si="15"/>
        <v>30000</v>
      </c>
      <c r="Z47" s="1482">
        <v>7.0810000000000004</v>
      </c>
    </row>
    <row r="48" spans="1:26">
      <c r="C48" s="1488"/>
      <c r="D48" s="2779"/>
      <c r="E48" s="1490"/>
      <c r="F48" s="1493"/>
      <c r="H48" s="1460" t="s">
        <v>1796</v>
      </c>
      <c r="I48" s="1466">
        <v>752</v>
      </c>
      <c r="J48" s="1470" t="s">
        <v>229</v>
      </c>
      <c r="K48" s="1460" t="s">
        <v>893</v>
      </c>
      <c r="L48" s="1467">
        <v>608.58000000000004</v>
      </c>
      <c r="M48" s="1467">
        <v>300</v>
      </c>
      <c r="N48" s="1461">
        <v>1.0744675162360662E-2</v>
      </c>
      <c r="O48" s="1460">
        <v>20</v>
      </c>
      <c r="P48" s="1463" t="s">
        <v>994</v>
      </c>
      <c r="Q48" s="1466">
        <v>0</v>
      </c>
      <c r="R48" s="1466">
        <v>75</v>
      </c>
      <c r="S48" s="1469" t="s">
        <v>229</v>
      </c>
      <c r="T48" s="1469">
        <v>0</v>
      </c>
      <c r="U48" s="1469">
        <f t="shared" si="12"/>
        <v>56400</v>
      </c>
      <c r="V48" s="1469">
        <f t="shared" si="13"/>
        <v>56400</v>
      </c>
      <c r="W48" s="1459" t="s">
        <v>229</v>
      </c>
      <c r="X48" s="1459">
        <f t="shared" si="14"/>
        <v>22500</v>
      </c>
      <c r="Y48" s="1459">
        <f t="shared" si="15"/>
        <v>22500</v>
      </c>
      <c r="Z48" s="1482">
        <v>5.0759999999999996</v>
      </c>
    </row>
    <row r="49" spans="1:26">
      <c r="C49" s="1451" t="s">
        <v>47</v>
      </c>
      <c r="D49" s="2771">
        <f>SUM(D50:D53)</f>
        <v>85000</v>
      </c>
      <c r="E49" s="1464">
        <f>SUM(E50:E53)</f>
        <v>144750</v>
      </c>
      <c r="F49" s="1638">
        <f>D49+E49</f>
        <v>229750</v>
      </c>
      <c r="H49" s="1460" t="s">
        <v>1797</v>
      </c>
      <c r="I49" s="1466">
        <v>0.14000000000000001</v>
      </c>
      <c r="J49" s="1470" t="s">
        <v>229</v>
      </c>
      <c r="K49" s="1460" t="s">
        <v>992</v>
      </c>
      <c r="L49" s="1467">
        <v>0.2</v>
      </c>
      <c r="M49" s="1467">
        <v>0.09</v>
      </c>
      <c r="N49" s="1461">
        <v>5.431745728390093E-3</v>
      </c>
      <c r="O49" s="1460">
        <v>30</v>
      </c>
      <c r="P49" s="1463" t="s">
        <v>994</v>
      </c>
      <c r="Q49" s="1466">
        <v>0</v>
      </c>
      <c r="R49" s="1466">
        <v>203656</v>
      </c>
      <c r="S49" s="1469" t="s">
        <v>229</v>
      </c>
      <c r="T49" s="1469">
        <v>0</v>
      </c>
      <c r="U49" s="1469">
        <f t="shared" si="12"/>
        <v>28511.840000000004</v>
      </c>
      <c r="V49" s="1469">
        <f t="shared" si="13"/>
        <v>28511.840000000004</v>
      </c>
      <c r="W49" s="1459" t="s">
        <v>229</v>
      </c>
      <c r="X49" s="1459">
        <f t="shared" si="14"/>
        <v>18329.04</v>
      </c>
      <c r="Y49" s="1459">
        <f t="shared" si="15"/>
        <v>18329.04</v>
      </c>
      <c r="Z49" s="1482">
        <v>1E-3</v>
      </c>
    </row>
    <row r="50" spans="1:26">
      <c r="C50" s="1667" t="s">
        <v>546</v>
      </c>
      <c r="D50" s="2778">
        <v>85000</v>
      </c>
      <c r="E50" s="1520">
        <v>90000</v>
      </c>
      <c r="F50" s="1426">
        <f t="shared" ref="F50:F53" si="17">SUM(D50:E50)</f>
        <v>175000</v>
      </c>
      <c r="H50" s="1460" t="s">
        <v>1798</v>
      </c>
      <c r="I50" s="1466">
        <v>2.9</v>
      </c>
      <c r="J50" s="1470" t="s">
        <v>229</v>
      </c>
      <c r="K50" s="1460" t="s">
        <v>992</v>
      </c>
      <c r="L50" s="1467">
        <v>8.94</v>
      </c>
      <c r="M50" s="1467">
        <v>2.78</v>
      </c>
      <c r="N50" s="1461">
        <v>0</v>
      </c>
      <c r="O50" s="1460">
        <v>30</v>
      </c>
      <c r="P50" s="1463" t="s">
        <v>994</v>
      </c>
      <c r="Q50" s="1466">
        <v>0</v>
      </c>
      <c r="R50" s="1466">
        <v>0</v>
      </c>
      <c r="S50" s="1469" t="s">
        <v>229</v>
      </c>
      <c r="T50" s="1469">
        <v>0</v>
      </c>
      <c r="U50" s="1469">
        <f t="shared" si="12"/>
        <v>0</v>
      </c>
      <c r="V50" s="1469">
        <f t="shared" si="13"/>
        <v>0</v>
      </c>
      <c r="W50" s="1459" t="s">
        <v>229</v>
      </c>
      <c r="X50" s="1459">
        <f t="shared" si="14"/>
        <v>0</v>
      </c>
      <c r="Y50" s="1459">
        <f t="shared" si="15"/>
        <v>0</v>
      </c>
      <c r="Z50" s="1482">
        <v>0.02</v>
      </c>
    </row>
    <row r="51" spans="1:26">
      <c r="C51" s="1423" t="s">
        <v>1777</v>
      </c>
      <c r="D51" s="2778"/>
      <c r="E51" s="1520">
        <v>54750</v>
      </c>
      <c r="F51" s="1426">
        <f t="shared" si="17"/>
        <v>54750</v>
      </c>
      <c r="H51" s="1460" t="s">
        <v>1799</v>
      </c>
      <c r="I51" s="1466">
        <v>2.9</v>
      </c>
      <c r="J51" s="1470" t="s">
        <v>229</v>
      </c>
      <c r="K51" s="1460" t="s">
        <v>992</v>
      </c>
      <c r="L51" s="1467">
        <v>8.94</v>
      </c>
      <c r="M51" s="1467">
        <v>2.78</v>
      </c>
      <c r="N51" s="1461">
        <v>0</v>
      </c>
      <c r="O51" s="1460">
        <v>30</v>
      </c>
      <c r="P51" s="1463" t="s">
        <v>994</v>
      </c>
      <c r="Q51" s="1466">
        <v>0</v>
      </c>
      <c r="R51" s="1466">
        <v>0</v>
      </c>
      <c r="S51" s="1469" t="s">
        <v>229</v>
      </c>
      <c r="T51" s="1469">
        <v>0</v>
      </c>
      <c r="U51" s="1469">
        <f t="shared" si="12"/>
        <v>0</v>
      </c>
      <c r="V51" s="1469">
        <f t="shared" si="13"/>
        <v>0</v>
      </c>
      <c r="W51" s="1459" t="s">
        <v>229</v>
      </c>
      <c r="X51" s="1459">
        <f t="shared" si="14"/>
        <v>0</v>
      </c>
      <c r="Y51" s="1459">
        <f t="shared" si="15"/>
        <v>0</v>
      </c>
      <c r="Z51" s="1482">
        <v>0.02</v>
      </c>
    </row>
    <row r="52" spans="1:26">
      <c r="C52" s="1423"/>
      <c r="D52" s="2778"/>
      <c r="E52" s="1520"/>
      <c r="F52" s="1426">
        <f t="shared" si="17"/>
        <v>0</v>
      </c>
      <c r="H52" s="1460" t="s">
        <v>1800</v>
      </c>
      <c r="I52" s="1466">
        <v>9.98</v>
      </c>
      <c r="J52" s="1470" t="s">
        <v>229</v>
      </c>
      <c r="K52" s="1460" t="s">
        <v>992</v>
      </c>
      <c r="L52" s="1467">
        <v>16.079999999999998</v>
      </c>
      <c r="M52" s="1467">
        <v>2.78</v>
      </c>
      <c r="N52" s="1461">
        <v>1.9012740801482162E-2</v>
      </c>
      <c r="O52" s="1460">
        <v>30</v>
      </c>
      <c r="P52" s="1463" t="s">
        <v>994</v>
      </c>
      <c r="Q52" s="1466">
        <v>0</v>
      </c>
      <c r="R52" s="1466">
        <v>10000</v>
      </c>
      <c r="S52" s="1469" t="s">
        <v>229</v>
      </c>
      <c r="T52" s="1469">
        <v>0</v>
      </c>
      <c r="U52" s="1469">
        <f t="shared" si="12"/>
        <v>99800</v>
      </c>
      <c r="V52" s="1469">
        <f t="shared" si="13"/>
        <v>99800</v>
      </c>
      <c r="W52" s="1459" t="s">
        <v>229</v>
      </c>
      <c r="X52" s="1459">
        <f t="shared" si="14"/>
        <v>27799.999999999996</v>
      </c>
      <c r="Y52" s="1459">
        <f t="shared" si="15"/>
        <v>27799.999999999996</v>
      </c>
      <c r="Z52" s="1482">
        <v>6.7000000000000004E-2</v>
      </c>
    </row>
    <row r="53" spans="1:26">
      <c r="C53" s="1423"/>
      <c r="D53" s="2778"/>
      <c r="E53" s="1520"/>
      <c r="F53" s="1426">
        <f t="shared" si="17"/>
        <v>0</v>
      </c>
      <c r="H53" s="1460" t="s">
        <v>1801</v>
      </c>
      <c r="I53" s="1466">
        <v>9.98</v>
      </c>
      <c r="J53" s="1470" t="s">
        <v>229</v>
      </c>
      <c r="K53" s="1460" t="s">
        <v>992</v>
      </c>
      <c r="L53" s="1467">
        <v>16.079999999999998</v>
      </c>
      <c r="M53" s="1467">
        <v>2.78</v>
      </c>
      <c r="N53" s="1461">
        <v>1.521019264118573E-2</v>
      </c>
      <c r="O53" s="1460">
        <v>30</v>
      </c>
      <c r="P53" s="1463" t="s">
        <v>994</v>
      </c>
      <c r="Q53" s="1466">
        <v>0</v>
      </c>
      <c r="R53" s="1466">
        <v>8000</v>
      </c>
      <c r="S53" s="1469" t="s">
        <v>229</v>
      </c>
      <c r="T53" s="1469">
        <v>0</v>
      </c>
      <c r="U53" s="1469">
        <f t="shared" si="12"/>
        <v>79840</v>
      </c>
      <c r="V53" s="1469">
        <f t="shared" si="13"/>
        <v>79840</v>
      </c>
      <c r="W53" s="1459" t="s">
        <v>229</v>
      </c>
      <c r="X53" s="1459">
        <f t="shared" si="14"/>
        <v>22240</v>
      </c>
      <c r="Y53" s="1459">
        <f t="shared" si="15"/>
        <v>22240</v>
      </c>
      <c r="Z53" s="1482">
        <v>6.7000000000000004E-2</v>
      </c>
    </row>
    <row r="54" spans="1:26">
      <c r="C54" s="1488"/>
      <c r="D54" s="2779"/>
      <c r="E54" s="1490"/>
      <c r="F54" s="1493"/>
      <c r="H54" s="1460" t="s">
        <v>1802</v>
      </c>
      <c r="I54" s="1466">
        <v>0.46</v>
      </c>
      <c r="J54" s="1470" t="s">
        <v>229</v>
      </c>
      <c r="K54" s="1460" t="s">
        <v>992</v>
      </c>
      <c r="L54" s="1467">
        <v>1.25</v>
      </c>
      <c r="M54" s="1467">
        <v>0.55000000000000004</v>
      </c>
      <c r="N54" s="1461">
        <v>3.5053550175077335E-3</v>
      </c>
      <c r="O54" s="1460">
        <v>25</v>
      </c>
      <c r="P54" s="1463" t="s">
        <v>994</v>
      </c>
      <c r="Q54" s="1466">
        <v>0</v>
      </c>
      <c r="R54" s="1466">
        <v>40000</v>
      </c>
      <c r="S54" s="1469" t="s">
        <v>229</v>
      </c>
      <c r="T54" s="1469">
        <v>0</v>
      </c>
      <c r="U54" s="1469">
        <f t="shared" si="12"/>
        <v>18400</v>
      </c>
      <c r="V54" s="1469">
        <f t="shared" si="13"/>
        <v>18400</v>
      </c>
      <c r="W54" s="1459" t="s">
        <v>229</v>
      </c>
      <c r="X54" s="1459">
        <f t="shared" si="14"/>
        <v>22000</v>
      </c>
      <c r="Y54" s="1459">
        <f t="shared" si="15"/>
        <v>22000</v>
      </c>
      <c r="Z54" s="1482">
        <v>3.0000000000000001E-3</v>
      </c>
    </row>
    <row r="55" spans="1:26">
      <c r="C55" s="1451" t="s">
        <v>48</v>
      </c>
      <c r="D55" s="2771">
        <f>SUM(D56:D59)</f>
        <v>0</v>
      </c>
      <c r="E55" s="1464">
        <f>SUM(E56:E59)</f>
        <v>0</v>
      </c>
      <c r="F55" s="1638">
        <f>D55+E55</f>
        <v>0</v>
      </c>
      <c r="H55" s="1460" t="s">
        <v>1803</v>
      </c>
      <c r="I55" s="1466">
        <v>0.46</v>
      </c>
      <c r="J55" s="1470" t="s">
        <v>229</v>
      </c>
      <c r="K55" s="1460" t="s">
        <v>992</v>
      </c>
      <c r="L55" s="1467">
        <v>1.25</v>
      </c>
      <c r="M55" s="1467">
        <v>0.55000000000000004</v>
      </c>
      <c r="N55" s="1461">
        <v>2.1908468859423336E-3</v>
      </c>
      <c r="O55" s="1460">
        <v>25</v>
      </c>
      <c r="P55" s="1463" t="s">
        <v>994</v>
      </c>
      <c r="Q55" s="1466">
        <v>0</v>
      </c>
      <c r="R55" s="1466">
        <v>25000</v>
      </c>
      <c r="S55" s="1469" t="s">
        <v>229</v>
      </c>
      <c r="T55" s="1469">
        <v>0</v>
      </c>
      <c r="U55" s="1469">
        <f t="shared" si="12"/>
        <v>11500</v>
      </c>
      <c r="V55" s="1469">
        <f t="shared" si="13"/>
        <v>11500</v>
      </c>
      <c r="W55" s="1459" t="s">
        <v>229</v>
      </c>
      <c r="X55" s="1459">
        <f t="shared" si="14"/>
        <v>13750.000000000002</v>
      </c>
      <c r="Y55" s="1459">
        <f t="shared" si="15"/>
        <v>13750.000000000002</v>
      </c>
      <c r="Z55" s="1482">
        <v>3.0000000000000001E-3</v>
      </c>
    </row>
    <row r="56" spans="1:26">
      <c r="C56" s="1423"/>
      <c r="D56" s="2778"/>
      <c r="E56" s="1504"/>
      <c r="F56" s="1426">
        <f t="shared" ref="F56:F59" si="18">SUM(D56:E56)</f>
        <v>0</v>
      </c>
      <c r="H56" s="1460" t="s">
        <v>1804</v>
      </c>
      <c r="I56" s="1466">
        <v>973</v>
      </c>
      <c r="J56" s="1470" t="s">
        <v>229</v>
      </c>
      <c r="K56" s="1460" t="s">
        <v>893</v>
      </c>
      <c r="L56" s="1467">
        <v>418</v>
      </c>
      <c r="M56" s="1467">
        <v>200</v>
      </c>
      <c r="N56" s="1461">
        <v>2.7804704608981181E-2</v>
      </c>
      <c r="O56" s="1460">
        <v>18</v>
      </c>
      <c r="P56" s="1463" t="s">
        <v>994</v>
      </c>
      <c r="Q56" s="1466">
        <v>0</v>
      </c>
      <c r="R56" s="1466">
        <v>150</v>
      </c>
      <c r="S56" s="1469" t="s">
        <v>229</v>
      </c>
      <c r="T56" s="1469">
        <v>0</v>
      </c>
      <c r="U56" s="1469">
        <f t="shared" si="12"/>
        <v>145950</v>
      </c>
      <c r="V56" s="1469">
        <f t="shared" si="13"/>
        <v>145950</v>
      </c>
      <c r="W56" s="1459" t="s">
        <v>229</v>
      </c>
      <c r="X56" s="1459">
        <f t="shared" si="14"/>
        <v>30000</v>
      </c>
      <c r="Y56" s="1459">
        <f t="shared" si="15"/>
        <v>30000</v>
      </c>
      <c r="Z56" s="1482">
        <v>6.5679999999999996</v>
      </c>
    </row>
    <row r="57" spans="1:26">
      <c r="C57" s="1423"/>
      <c r="D57" s="2778"/>
      <c r="E57" s="1504"/>
      <c r="F57" s="1426">
        <f t="shared" si="18"/>
        <v>0</v>
      </c>
      <c r="H57" s="1460" t="s">
        <v>1805</v>
      </c>
      <c r="I57" s="1466">
        <v>615</v>
      </c>
      <c r="J57" s="1470" t="s">
        <v>229</v>
      </c>
      <c r="K57" s="1460" t="s">
        <v>893</v>
      </c>
      <c r="L57" s="1467">
        <v>418</v>
      </c>
      <c r="M57" s="1467">
        <v>200</v>
      </c>
      <c r="N57" s="1461">
        <v>8.7872010968774034E-3</v>
      </c>
      <c r="O57" s="1460">
        <v>18</v>
      </c>
      <c r="P57" s="1463" t="s">
        <v>994</v>
      </c>
      <c r="Q57" s="1466">
        <v>0</v>
      </c>
      <c r="R57" s="1466">
        <v>75</v>
      </c>
      <c r="S57" s="1469" t="s">
        <v>229</v>
      </c>
      <c r="T57" s="1469">
        <v>0</v>
      </c>
      <c r="U57" s="1469">
        <f t="shared" si="12"/>
        <v>46125</v>
      </c>
      <c r="V57" s="1469">
        <f t="shared" si="13"/>
        <v>46125</v>
      </c>
      <c r="W57" s="1459" t="s">
        <v>229</v>
      </c>
      <c r="X57" s="1459">
        <f t="shared" si="14"/>
        <v>15000</v>
      </c>
      <c r="Y57" s="1459">
        <f t="shared" si="15"/>
        <v>15000</v>
      </c>
      <c r="Z57" s="1482">
        <v>4.1509999999999998</v>
      </c>
    </row>
    <row r="58" spans="1:26">
      <c r="C58" s="1423"/>
      <c r="D58" s="2778"/>
      <c r="E58" s="1504"/>
      <c r="F58" s="1426">
        <f t="shared" si="18"/>
        <v>0</v>
      </c>
      <c r="H58" s="1460" t="s">
        <v>1806</v>
      </c>
      <c r="I58" s="1466">
        <v>973</v>
      </c>
      <c r="J58" s="1470" t="s">
        <v>229</v>
      </c>
      <c r="K58" s="1460" t="s">
        <v>893</v>
      </c>
      <c r="L58" s="1467">
        <v>418</v>
      </c>
      <c r="M58" s="1467">
        <v>400</v>
      </c>
      <c r="N58" s="1461">
        <v>3.707293947864157E-2</v>
      </c>
      <c r="O58" s="1460">
        <v>18</v>
      </c>
      <c r="P58" s="1463" t="s">
        <v>994</v>
      </c>
      <c r="Q58" s="1466">
        <v>0</v>
      </c>
      <c r="R58" s="1466">
        <v>200</v>
      </c>
      <c r="S58" s="1469" t="s">
        <v>229</v>
      </c>
      <c r="T58" s="1469">
        <v>0</v>
      </c>
      <c r="U58" s="1469">
        <f t="shared" si="12"/>
        <v>194600</v>
      </c>
      <c r="V58" s="1469">
        <f t="shared" si="13"/>
        <v>194600</v>
      </c>
      <c r="W58" s="1459" t="s">
        <v>229</v>
      </c>
      <c r="X58" s="1459">
        <f t="shared" si="14"/>
        <v>80000</v>
      </c>
      <c r="Y58" s="1459">
        <f t="shared" si="15"/>
        <v>80000</v>
      </c>
      <c r="Z58" s="1482">
        <v>6.5679999999999996</v>
      </c>
    </row>
    <row r="59" spans="1:26">
      <c r="C59" s="1423"/>
      <c r="D59" s="2778"/>
      <c r="E59" s="1504"/>
      <c r="F59" s="1426">
        <f t="shared" si="18"/>
        <v>0</v>
      </c>
      <c r="H59" s="1460" t="s">
        <v>1807</v>
      </c>
      <c r="I59" s="1466">
        <v>615</v>
      </c>
      <c r="J59" s="1470" t="s">
        <v>229</v>
      </c>
      <c r="K59" s="1460" t="s">
        <v>893</v>
      </c>
      <c r="L59" s="1467">
        <v>418</v>
      </c>
      <c r="M59" s="1467">
        <v>400</v>
      </c>
      <c r="N59" s="1461">
        <v>1.1716268129169869E-2</v>
      </c>
      <c r="O59" s="1460">
        <v>18</v>
      </c>
      <c r="P59" s="1463" t="s">
        <v>994</v>
      </c>
      <c r="Q59" s="1466">
        <v>0</v>
      </c>
      <c r="R59" s="1466">
        <v>100</v>
      </c>
      <c r="S59" s="1469" t="s">
        <v>229</v>
      </c>
      <c r="T59" s="1469">
        <v>0</v>
      </c>
      <c r="U59" s="1469">
        <f t="shared" si="12"/>
        <v>61500</v>
      </c>
      <c r="V59" s="1469">
        <f t="shared" si="13"/>
        <v>61500</v>
      </c>
      <c r="W59" s="1459" t="s">
        <v>229</v>
      </c>
      <c r="X59" s="1459">
        <f t="shared" si="14"/>
        <v>40000</v>
      </c>
      <c r="Y59" s="1459">
        <f t="shared" si="15"/>
        <v>40000</v>
      </c>
      <c r="Z59" s="1482">
        <v>4.1509999999999998</v>
      </c>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19">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18230627</v>
      </c>
      <c r="C67" s="1451" t="s">
        <v>50</v>
      </c>
      <c r="D67" s="2771">
        <f>W15</f>
        <v>907047.99999999988</v>
      </c>
      <c r="E67" s="1464">
        <f>X15</f>
        <v>683699.18499999994</v>
      </c>
      <c r="F67" s="1462">
        <f>D67+E67</f>
        <v>1590747.1849999998</v>
      </c>
    </row>
    <row r="68" spans="1:26">
      <c r="A68" s="1400" t="s">
        <v>4</v>
      </c>
      <c r="C68" s="1500" t="s">
        <v>297</v>
      </c>
      <c r="D68" s="2938">
        <f>D67/D12</f>
        <v>0.70942151752620486</v>
      </c>
      <c r="E68" s="1986">
        <f>E67/E12</f>
        <v>0.6091255785949512</v>
      </c>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B5" activePane="bottomRight" state="frozen"/>
      <selection pane="bottomRight" activeCell="B7" sqref="B7"/>
      <pageMargins left="0.18" right="0.28999999999999998" top="0.4" bottom="0.37" header="0.3" footer="0.3"/>
      <pageSetup paperSize="17" scale="48" orientation="landscape" r:id="rId1"/>
    </customSheetView>
    <customSheetView guid="{074EB09C-6289-46D7-9513-012B68BCA7BF}" showGridLines="0">
      <pane xSplit="1" ySplit="1" topLeftCell="B2" activePane="bottomRight" state="frozen"/>
      <selection pane="bottomRight" activeCell="Y63" sqref="Y63"/>
      <pageMargins left="0.18" right="0.28999999999999998" top="0.4" bottom="0.37" header="0.3" footer="0.3"/>
      <pageSetup paperSize="17" scale="48" orientation="landscape" r:id="rId2"/>
    </customSheetView>
  </customSheetViews>
  <mergeCells count="8">
    <mergeCell ref="H12:P12"/>
    <mergeCell ref="Q12:S12"/>
    <mergeCell ref="T12:V12"/>
    <mergeCell ref="W12:Y12"/>
    <mergeCell ref="S2:T2"/>
    <mergeCell ref="U2:W2"/>
    <mergeCell ref="X2:X3"/>
    <mergeCell ref="H10:P10"/>
  </mergeCells>
  <pageMargins left="0.18" right="0.28999999999999998" top="0.4" bottom="0.37" header="0.3" footer="0.3"/>
  <pageSetup paperSize="3" scale="45" orientation="landscape" r:id="rId3"/>
  <drawing r:id="rId4"/>
  <legacy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59999389629810485"/>
  </sheetPr>
  <dimension ref="A1:Z70"/>
  <sheetViews>
    <sheetView showGridLines="0" workbookViewId="0">
      <pane xSplit="1" ySplit="1" topLeftCell="B8" activePane="bottomRight" state="frozen"/>
      <selection pane="topRight" activeCell="B1" sqref="B1"/>
      <selection pane="bottomLeft" activeCell="A2" sqref="A2"/>
      <selection pane="bottomRight" activeCell="H28" sqref="H28"/>
    </sheetView>
  </sheetViews>
  <sheetFormatPr defaultRowHeight="12.75"/>
  <cols>
    <col min="1" max="1" width="18.28515625" style="849" customWidth="1"/>
    <col min="2" max="2" width="16" style="1413" customWidth="1"/>
    <col min="3" max="3" width="28" customWidth="1"/>
    <col min="4" max="4" width="20.85546875" customWidth="1"/>
    <col min="5" max="5" width="18.5703125" style="9" customWidth="1"/>
    <col min="6" max="6" width="17.28515625" customWidth="1"/>
    <col min="7" max="7" width="16.7109375" customWidth="1"/>
    <col min="8" max="8" width="55.5703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20.5703125" bestFit="1" customWidth="1"/>
    <col min="22" max="22" width="16.42578125" bestFit="1" customWidth="1"/>
    <col min="23" max="23" width="16.28515625" customWidth="1"/>
    <col min="24" max="24" width="14.5703125" customWidth="1"/>
    <col min="25" max="25" width="16.5703125" customWidth="1"/>
    <col min="26" max="26" width="12.5703125" bestFit="1" customWidth="1"/>
    <col min="249" max="249" width="24" bestFit="1" customWidth="1"/>
    <col min="250" max="250" width="45.7109375" bestFit="1" customWidth="1"/>
    <col min="251" max="251" width="19.7109375" bestFit="1" customWidth="1"/>
    <col min="252" max="252" width="17.140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7.140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7.140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7.140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7.140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7.140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7.140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7.140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7.140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7.140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7.140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7.140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7.140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7.140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7.140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7.140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7.140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7.140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7.140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7.140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7.140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7.140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7.140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7.140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7.140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7.140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7.140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7.140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7.140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7.140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7.140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7.140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7.140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7.140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7.140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7.140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7.140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7.140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7.140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7.140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7.140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7.140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7.140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7.140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7.140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7.140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7.140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7.140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7.140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7.140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7.140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7.140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7.140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7.140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7.140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7.140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7.140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7.140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7.140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7.140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7.140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7.140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7.140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401" t="s">
        <v>286</v>
      </c>
      <c r="D1" s="1361" t="s">
        <v>275</v>
      </c>
      <c r="E1" s="1401" t="s">
        <v>5</v>
      </c>
      <c r="F1" s="1401">
        <v>18230628</v>
      </c>
      <c r="G1" s="1401" t="s">
        <v>4</v>
      </c>
      <c r="J1" s="1361"/>
      <c r="K1" s="1361"/>
      <c r="L1" s="1361"/>
      <c r="M1" s="1401" t="s">
        <v>286</v>
      </c>
      <c r="N1" s="1361" t="s">
        <v>275</v>
      </c>
      <c r="O1" s="1401" t="s">
        <v>5</v>
      </c>
      <c r="P1" s="1401">
        <v>18230628</v>
      </c>
      <c r="Q1" s="1401" t="s">
        <v>4</v>
      </c>
      <c r="U1" s="1401" t="s">
        <v>286</v>
      </c>
      <c r="V1" s="1361" t="s">
        <v>275</v>
      </c>
      <c r="W1" s="1401" t="s">
        <v>5</v>
      </c>
      <c r="X1" s="1401">
        <v>18230628</v>
      </c>
      <c r="Y1" s="1401" t="s">
        <v>4</v>
      </c>
    </row>
    <row r="2" spans="1:26" ht="16.5" thickBot="1">
      <c r="C2" s="44"/>
      <c r="D2" s="45"/>
      <c r="G2" s="1652"/>
      <c r="I2" s="1178" t="s">
        <v>627</v>
      </c>
      <c r="S2" s="3575"/>
      <c r="T2" s="3575"/>
      <c r="U2" s="3576" t="s">
        <v>33</v>
      </c>
      <c r="V2" s="3577"/>
      <c r="W2" s="3578"/>
      <c r="X2" s="3579" t="s">
        <v>34</v>
      </c>
    </row>
    <row r="3" spans="1:26" ht="26.25" thickBot="1">
      <c r="A3" s="1400" t="s">
        <v>286</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55386.680000000008</v>
      </c>
      <c r="J4" s="2948">
        <f>D21</f>
        <v>22011</v>
      </c>
      <c r="K4" s="2948">
        <f>D27</f>
        <v>51624.252560000008</v>
      </c>
      <c r="L4" s="2948">
        <f>D37</f>
        <v>228000</v>
      </c>
      <c r="M4" s="2948">
        <f>D43</f>
        <v>7200</v>
      </c>
      <c r="N4" s="2948">
        <f>D49</f>
        <v>0</v>
      </c>
      <c r="O4" s="2948">
        <f>D55</f>
        <v>17200</v>
      </c>
      <c r="P4" s="2948">
        <f>D61</f>
        <v>4000</v>
      </c>
      <c r="Q4" s="2948">
        <f>D67</f>
        <v>3722000</v>
      </c>
      <c r="R4" s="2948">
        <f>D70</f>
        <v>0</v>
      </c>
      <c r="S4" s="2949">
        <f>SUM(I4:R4)</f>
        <v>4107421.9325600001</v>
      </c>
      <c r="T4" s="2950">
        <f>T15</f>
        <v>7283690</v>
      </c>
      <c r="U4" s="2954">
        <f>Q4/S4</f>
        <v>0.90616451416770294</v>
      </c>
      <c r="V4" s="2954">
        <f>(L4+(J4*1.63))/S4</f>
        <v>6.4244174163898202E-2</v>
      </c>
      <c r="W4" s="2954">
        <f>N4/S4</f>
        <v>0</v>
      </c>
      <c r="X4" s="2953">
        <f>S4/T4</f>
        <v>0.56392047609933982</v>
      </c>
    </row>
    <row r="5" spans="1:26" ht="16.5" thickBot="1">
      <c r="A5" s="1400" t="s">
        <v>5</v>
      </c>
      <c r="B5" s="1357"/>
      <c r="G5" s="1652"/>
      <c r="H5" s="3205" t="s">
        <v>1753</v>
      </c>
      <c r="I5" s="2617">
        <v>56771.56</v>
      </c>
      <c r="J5" s="2618">
        <v>22561.274999999998</v>
      </c>
      <c r="K5" s="2618">
        <v>53946.327799999999</v>
      </c>
      <c r="L5" s="2618">
        <v>228000</v>
      </c>
      <c r="M5" s="2618">
        <v>7200</v>
      </c>
      <c r="N5" s="2618">
        <v>0</v>
      </c>
      <c r="O5" s="2618">
        <v>17200</v>
      </c>
      <c r="P5" s="2618">
        <v>4000</v>
      </c>
      <c r="Q5" s="2618">
        <v>3722000</v>
      </c>
      <c r="R5" s="2618">
        <v>0</v>
      </c>
      <c r="S5" s="2619">
        <v>4111679.1628</v>
      </c>
      <c r="T5" s="2620">
        <v>7283690</v>
      </c>
      <c r="U5" s="1186">
        <f>Q5/S5</f>
        <v>0.90522627195098715</v>
      </c>
      <c r="V5" s="1186">
        <f>(L5+(J5*1.63))/S5</f>
        <v>6.4395802241946271E-2</v>
      </c>
      <c r="W5" s="1186">
        <f>N5/S5</f>
        <v>0</v>
      </c>
      <c r="X5" s="48">
        <f>S5/T5</f>
        <v>0.56450496421456708</v>
      </c>
    </row>
    <row r="6" spans="1:26" ht="16.5" thickBot="1">
      <c r="A6" s="1400">
        <v>18230628</v>
      </c>
      <c r="B6" s="1400"/>
      <c r="D6" s="44"/>
      <c r="G6" s="1652"/>
      <c r="H6" s="3206" t="s">
        <v>1754</v>
      </c>
      <c r="I6" s="2621">
        <f>E15</f>
        <v>56771.56</v>
      </c>
      <c r="J6" s="2622">
        <f>E21</f>
        <v>22561.274999999998</v>
      </c>
      <c r="K6" s="2623">
        <f>E27</f>
        <v>71240.885829999985</v>
      </c>
      <c r="L6" s="2622">
        <f>E37</f>
        <v>228000</v>
      </c>
      <c r="M6" s="2622">
        <f>E43</f>
        <v>7200</v>
      </c>
      <c r="N6" s="2622">
        <f>E49</f>
        <v>0</v>
      </c>
      <c r="O6" s="2622">
        <f>E55</f>
        <v>17200</v>
      </c>
      <c r="P6" s="2622">
        <f>E61</f>
        <v>4000</v>
      </c>
      <c r="Q6" s="2622">
        <f>E67</f>
        <v>3590000</v>
      </c>
      <c r="R6" s="2622">
        <f>E70</f>
        <v>0</v>
      </c>
      <c r="S6" s="2624">
        <f>SUM(I6:R6)</f>
        <v>3996973.72083</v>
      </c>
      <c r="T6" s="2625">
        <f>U15</f>
        <v>7730775</v>
      </c>
      <c r="U6" s="2631">
        <f>Q6/S6</f>
        <v>0.89817953550480456</v>
      </c>
      <c r="V6" s="2631">
        <f>(L6+(J6*1.63))/S6</f>
        <v>6.6243837649004517E-2</v>
      </c>
      <c r="W6" s="2631">
        <f>N6/S6</f>
        <v>0</v>
      </c>
      <c r="X6" s="2626">
        <f>S6/T6</f>
        <v>0.51702109048963396</v>
      </c>
    </row>
    <row r="7" spans="1:26" ht="15.75">
      <c r="A7" s="1400"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4107421.9325600001</v>
      </c>
      <c r="E12" s="1484">
        <f>E15+E21+E27+E37+E43+E49+E55+E61+E67</f>
        <v>3996973.72083</v>
      </c>
      <c r="F12" s="1462">
        <f>D12+E12</f>
        <v>8104395.6533899996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4" t="s">
        <v>1045</v>
      </c>
    </row>
    <row r="14" spans="1:26" ht="15.75">
      <c r="C14" s="1435" t="s">
        <v>42</v>
      </c>
      <c r="D14" s="2768">
        <v>2016</v>
      </c>
      <c r="E14" s="1502">
        <v>2017</v>
      </c>
      <c r="F14" s="1486" t="s">
        <v>20</v>
      </c>
      <c r="H14" s="1988" t="s">
        <v>307</v>
      </c>
      <c r="I14" s="1988" t="s">
        <v>307</v>
      </c>
      <c r="J14" s="1471"/>
      <c r="K14" s="1458" t="s">
        <v>307</v>
      </c>
      <c r="L14" s="1988" t="s">
        <v>307</v>
      </c>
      <c r="M14" s="1988" t="s">
        <v>307</v>
      </c>
      <c r="N14" s="1988" t="s">
        <v>307</v>
      </c>
      <c r="O14" s="1458" t="s">
        <v>307</v>
      </c>
      <c r="P14" s="1458" t="s">
        <v>307</v>
      </c>
      <c r="Q14" s="3236" t="s">
        <v>307</v>
      </c>
      <c r="R14" s="1988" t="s">
        <v>307</v>
      </c>
      <c r="S14" s="1993"/>
      <c r="T14" s="1995"/>
      <c r="U14" s="1995"/>
      <c r="V14" s="1995"/>
      <c r="W14" s="1996"/>
      <c r="X14" s="1996"/>
      <c r="Y14" s="1996"/>
      <c r="Z14" s="1988" t="s">
        <v>307</v>
      </c>
    </row>
    <row r="15" spans="1:26">
      <c r="B15" s="1433" t="s">
        <v>296</v>
      </c>
      <c r="C15" s="1597" t="s">
        <v>1749</v>
      </c>
      <c r="D15" s="2771">
        <f>SUM(D16:D19)</f>
        <v>55386.680000000008</v>
      </c>
      <c r="E15" s="1464">
        <f>SUM(E16:E19)</f>
        <v>56771.56</v>
      </c>
      <c r="F15" s="1462">
        <f>D15+E15</f>
        <v>112158.24</v>
      </c>
      <c r="H15" s="1987" t="s">
        <v>308</v>
      </c>
      <c r="I15" s="1989"/>
      <c r="J15" s="1476"/>
      <c r="K15" s="1477"/>
      <c r="L15" s="1990">
        <f>SUMPRODUCT(L16:L23,S16:S23)</f>
        <v>17698210</v>
      </c>
      <c r="M15" s="1990">
        <f>SUM(M16:M23)</f>
        <v>7250</v>
      </c>
      <c r="N15" s="1991">
        <f>SUM(N16:N65)</f>
        <v>1</v>
      </c>
      <c r="O15" s="1477" t="s">
        <v>309</v>
      </c>
      <c r="P15" s="1477"/>
      <c r="Q15" s="3237"/>
      <c r="R15" s="1992"/>
      <c r="S15" s="1992"/>
      <c r="T15" s="2994">
        <v>7283690</v>
      </c>
      <c r="U15" s="1994">
        <f t="shared" ref="U15:Y15" si="0">SUM(U16:U65)</f>
        <v>7730775</v>
      </c>
      <c r="V15" s="1994">
        <f t="shared" si="0"/>
        <v>15014465</v>
      </c>
      <c r="W15" s="2995">
        <v>3722000</v>
      </c>
      <c r="X15" s="1990">
        <f t="shared" si="0"/>
        <v>3590000</v>
      </c>
      <c r="Y15" s="1990">
        <f t="shared" si="0"/>
        <v>6892000</v>
      </c>
      <c r="Z15" s="1997">
        <v>0</v>
      </c>
    </row>
    <row r="16" spans="1:26">
      <c r="B16" s="1432">
        <v>0.1</v>
      </c>
      <c r="C16" s="1667" t="s">
        <v>734</v>
      </c>
      <c r="D16" s="2772">
        <v>9063.3000000000011</v>
      </c>
      <c r="E16" s="1448">
        <v>9289.9</v>
      </c>
      <c r="F16" s="1426">
        <f>SUM(D16:E16)</f>
        <v>18353.2</v>
      </c>
      <c r="H16" s="1920" t="s">
        <v>1047</v>
      </c>
      <c r="I16" s="1976">
        <v>2659</v>
      </c>
      <c r="J16" s="1470" t="s">
        <v>110</v>
      </c>
      <c r="K16" s="1460" t="s">
        <v>845</v>
      </c>
      <c r="L16" s="1467">
        <v>3536</v>
      </c>
      <c r="M16" s="1467">
        <v>800</v>
      </c>
      <c r="N16" s="1461">
        <v>0.34954958435082434</v>
      </c>
      <c r="O16" s="1460">
        <v>15</v>
      </c>
      <c r="P16" s="1463" t="s">
        <v>1054</v>
      </c>
      <c r="Q16" s="3233">
        <v>1180</v>
      </c>
      <c r="R16" s="1466">
        <v>800</v>
      </c>
      <c r="S16" s="1469">
        <f t="shared" ref="S16:S23" si="1">SUM(Q16:R16)</f>
        <v>1980</v>
      </c>
      <c r="T16" s="2991">
        <v>3121100</v>
      </c>
      <c r="U16" s="1469">
        <f t="shared" ref="U16:U23" si="2">R16*I16</f>
        <v>2127200</v>
      </c>
      <c r="V16" s="1469">
        <f t="shared" ref="V16:V23" si="3">SUM(T16:U16)</f>
        <v>5248300</v>
      </c>
      <c r="W16" s="2993">
        <v>1416000</v>
      </c>
      <c r="X16" s="1459">
        <f t="shared" ref="X16:X23" si="4">R16*M16</f>
        <v>640000</v>
      </c>
      <c r="Y16" s="1459">
        <f t="shared" ref="Y16:Y22" si="5">SUM(W16:X16)</f>
        <v>2056000</v>
      </c>
      <c r="Z16" s="2246">
        <v>0</v>
      </c>
    </row>
    <row r="17" spans="2:26">
      <c r="B17" s="1432">
        <v>0.3125</v>
      </c>
      <c r="C17" s="1423" t="s">
        <v>735</v>
      </c>
      <c r="D17" s="2784">
        <v>31217.93</v>
      </c>
      <c r="E17" s="1447">
        <v>31998.51</v>
      </c>
      <c r="F17" s="1426">
        <f t="shared" ref="F17:F19" si="6">SUM(D17:E17)</f>
        <v>63216.44</v>
      </c>
      <c r="H17" s="1920" t="s">
        <v>1048</v>
      </c>
      <c r="I17" s="1976">
        <v>3343</v>
      </c>
      <c r="J17" s="1470" t="s">
        <v>110</v>
      </c>
      <c r="K17" s="1460" t="s">
        <v>845</v>
      </c>
      <c r="L17" s="1467">
        <v>3536</v>
      </c>
      <c r="M17" s="1467">
        <v>800</v>
      </c>
      <c r="N17" s="1461">
        <v>0.13566916969735518</v>
      </c>
      <c r="O17" s="1460">
        <v>15</v>
      </c>
      <c r="P17" s="1463" t="s">
        <v>1054</v>
      </c>
      <c r="Q17" s="3233">
        <v>300</v>
      </c>
      <c r="R17" s="1466">
        <v>300</v>
      </c>
      <c r="S17" s="1469">
        <f t="shared" si="1"/>
        <v>600</v>
      </c>
      <c r="T17" s="2991">
        <v>1034100</v>
      </c>
      <c r="U17" s="1469">
        <f t="shared" si="2"/>
        <v>1002900</v>
      </c>
      <c r="V17" s="1469">
        <f t="shared" si="3"/>
        <v>2037000</v>
      </c>
      <c r="W17" s="2993">
        <v>360000</v>
      </c>
      <c r="X17" s="1459">
        <f t="shared" si="4"/>
        <v>240000</v>
      </c>
      <c r="Y17" s="1459">
        <f t="shared" si="5"/>
        <v>600000</v>
      </c>
      <c r="Z17" s="2246">
        <v>0</v>
      </c>
    </row>
    <row r="18" spans="2:26">
      <c r="B18" s="1432">
        <v>0.15</v>
      </c>
      <c r="C18" s="1423" t="s">
        <v>737</v>
      </c>
      <c r="D18" s="2784">
        <v>15105.45</v>
      </c>
      <c r="E18" s="1447">
        <v>15483.15</v>
      </c>
      <c r="F18" s="1426">
        <f t="shared" si="6"/>
        <v>30588.6</v>
      </c>
      <c r="H18" s="1920" t="s">
        <v>1049</v>
      </c>
      <c r="I18" s="1976">
        <v>4037</v>
      </c>
      <c r="J18" s="1470" t="s">
        <v>110</v>
      </c>
      <c r="K18" s="1460" t="s">
        <v>893</v>
      </c>
      <c r="L18" s="1467">
        <v>3889</v>
      </c>
      <c r="M18" s="1467">
        <v>1500</v>
      </c>
      <c r="N18" s="1461">
        <v>1.4788072701891143E-2</v>
      </c>
      <c r="O18" s="1460">
        <v>30</v>
      </c>
      <c r="P18" s="1463" t="s">
        <v>1054</v>
      </c>
      <c r="Q18" s="3233">
        <v>30</v>
      </c>
      <c r="R18" s="1466">
        <v>25</v>
      </c>
      <c r="S18" s="1469">
        <f t="shared" si="1"/>
        <v>55</v>
      </c>
      <c r="T18" s="2991">
        <v>121110</v>
      </c>
      <c r="U18" s="1469">
        <f t="shared" si="2"/>
        <v>100925</v>
      </c>
      <c r="V18" s="1469">
        <f t="shared" si="3"/>
        <v>222035</v>
      </c>
      <c r="W18" s="2993">
        <v>45000</v>
      </c>
      <c r="X18" s="1459">
        <f t="shared" si="4"/>
        <v>37500</v>
      </c>
      <c r="Y18" s="1459">
        <f t="shared" si="5"/>
        <v>82500</v>
      </c>
      <c r="Z18" s="2246">
        <v>0</v>
      </c>
    </row>
    <row r="19" spans="2:26">
      <c r="B19" s="1432"/>
      <c r="C19" s="1423"/>
      <c r="D19" s="2786"/>
      <c r="E19" s="1446"/>
      <c r="F19" s="1426">
        <f t="shared" si="6"/>
        <v>0</v>
      </c>
      <c r="H19" s="1920" t="s">
        <v>1050</v>
      </c>
      <c r="I19" s="1976">
        <v>109</v>
      </c>
      <c r="J19" s="1470" t="s">
        <v>110</v>
      </c>
      <c r="K19" s="1460" t="s">
        <v>845</v>
      </c>
      <c r="L19" s="1467">
        <v>81</v>
      </c>
      <c r="M19" s="1467">
        <v>350</v>
      </c>
      <c r="N19" s="1461">
        <v>1.2887572084653033E-2</v>
      </c>
      <c r="O19" s="1460">
        <v>15</v>
      </c>
      <c r="P19" s="1463" t="s">
        <v>1054</v>
      </c>
      <c r="Q19" s="3233">
        <v>900</v>
      </c>
      <c r="R19" s="1466">
        <v>900</v>
      </c>
      <c r="S19" s="1469">
        <f t="shared" si="1"/>
        <v>1800</v>
      </c>
      <c r="T19" s="2991">
        <v>95400</v>
      </c>
      <c r="U19" s="1469">
        <f t="shared" si="2"/>
        <v>98100</v>
      </c>
      <c r="V19" s="1469">
        <f t="shared" si="3"/>
        <v>193500</v>
      </c>
      <c r="W19" s="2993">
        <v>315000</v>
      </c>
      <c r="X19" s="1459">
        <f t="shared" si="4"/>
        <v>315000</v>
      </c>
      <c r="Y19" s="1459">
        <f t="shared" si="5"/>
        <v>630000</v>
      </c>
      <c r="Z19" s="2246">
        <v>0</v>
      </c>
    </row>
    <row r="20" spans="2:26">
      <c r="B20" s="1449">
        <f>SUM(B16:B19)</f>
        <v>0.5625</v>
      </c>
      <c r="C20" s="1488"/>
      <c r="D20" s="2770"/>
      <c r="E20" s="1490"/>
      <c r="F20" s="1492"/>
      <c r="H20" s="1920" t="s">
        <v>1051</v>
      </c>
      <c r="I20" s="1976">
        <v>3528</v>
      </c>
      <c r="J20" s="1470" t="s">
        <v>110</v>
      </c>
      <c r="K20" s="1460" t="s">
        <v>893</v>
      </c>
      <c r="L20" s="1467">
        <v>2881</v>
      </c>
      <c r="M20" s="1467">
        <v>1500</v>
      </c>
      <c r="N20" s="1461">
        <v>0.25259641285919943</v>
      </c>
      <c r="O20" s="1460">
        <v>15</v>
      </c>
      <c r="P20" s="1463" t="s">
        <v>1054</v>
      </c>
      <c r="Q20" s="3233">
        <v>500</v>
      </c>
      <c r="R20" s="1466">
        <v>575</v>
      </c>
      <c r="S20" s="1469">
        <f t="shared" si="1"/>
        <v>1075</v>
      </c>
      <c r="T20" s="2991">
        <v>1764000</v>
      </c>
      <c r="U20" s="1469">
        <f t="shared" si="2"/>
        <v>2028600</v>
      </c>
      <c r="V20" s="1469">
        <f t="shared" si="3"/>
        <v>3792600</v>
      </c>
      <c r="W20" s="2993">
        <v>750000</v>
      </c>
      <c r="X20" s="1459">
        <f t="shared" si="4"/>
        <v>862500</v>
      </c>
      <c r="Y20" s="1459">
        <f t="shared" si="5"/>
        <v>1612500</v>
      </c>
      <c r="Z20" s="2246">
        <v>0</v>
      </c>
    </row>
    <row r="21" spans="2:26">
      <c r="B21" s="1433" t="s">
        <v>296</v>
      </c>
      <c r="C21" s="1451" t="s">
        <v>44</v>
      </c>
      <c r="D21" s="2771">
        <f>SUM(D22:D25)</f>
        <v>22011</v>
      </c>
      <c r="E21" s="1464">
        <f>SUM(E22:E25)</f>
        <v>22561.274999999998</v>
      </c>
      <c r="F21" s="1638">
        <f>D21+E21</f>
        <v>44572.274999999994</v>
      </c>
      <c r="H21" s="1920" t="s">
        <v>1052</v>
      </c>
      <c r="I21" s="1976">
        <v>630</v>
      </c>
      <c r="J21" s="1470" t="s">
        <v>110</v>
      </c>
      <c r="K21" s="1460" t="s">
        <v>893</v>
      </c>
      <c r="L21" s="1467">
        <v>512</v>
      </c>
      <c r="M21" s="1467">
        <v>300</v>
      </c>
      <c r="N21" s="1461">
        <v>5.2449421274750718E-2</v>
      </c>
      <c r="O21" s="1460">
        <v>15</v>
      </c>
      <c r="P21" s="1463" t="s">
        <v>1054</v>
      </c>
      <c r="Q21" s="3233">
        <v>600</v>
      </c>
      <c r="R21" s="1466">
        <v>650</v>
      </c>
      <c r="S21" s="1469">
        <f t="shared" si="1"/>
        <v>1250</v>
      </c>
      <c r="T21" s="2991">
        <v>378000</v>
      </c>
      <c r="U21" s="1469">
        <f t="shared" si="2"/>
        <v>409500</v>
      </c>
      <c r="V21" s="1469">
        <f t="shared" si="3"/>
        <v>787500</v>
      </c>
      <c r="W21" s="2993">
        <v>180000</v>
      </c>
      <c r="X21" s="1459">
        <f t="shared" si="4"/>
        <v>195000</v>
      </c>
      <c r="Y21" s="1459">
        <f t="shared" si="5"/>
        <v>375000</v>
      </c>
      <c r="Z21" s="2246">
        <v>0</v>
      </c>
    </row>
    <row r="22" spans="2:26">
      <c r="B22" s="1982">
        <f>(SUM(D22:E22)/2)/((80000+(80000*1.025))/2)</f>
        <v>0.27513749999999998</v>
      </c>
      <c r="C22" s="1423" t="s">
        <v>1195</v>
      </c>
      <c r="D22" s="2772">
        <v>22011</v>
      </c>
      <c r="E22" s="1448">
        <v>22561.274999999998</v>
      </c>
      <c r="F22" s="1426">
        <f t="shared" ref="F22:F25" si="7">SUM(D22:E22)</f>
        <v>44572.274999999994</v>
      </c>
      <c r="H22" s="1920" t="s">
        <v>1053</v>
      </c>
      <c r="I22" s="1976">
        <v>939</v>
      </c>
      <c r="J22" s="1470" t="s">
        <v>110</v>
      </c>
      <c r="K22" s="1460" t="s">
        <v>845</v>
      </c>
      <c r="L22" s="1467">
        <v>1688</v>
      </c>
      <c r="M22" s="1467">
        <v>800</v>
      </c>
      <c r="N22" s="1461">
        <v>0.12007620651152072</v>
      </c>
      <c r="O22" s="1460">
        <v>20</v>
      </c>
      <c r="P22" s="1463" t="s">
        <v>1054</v>
      </c>
      <c r="Q22" s="3233">
        <v>820</v>
      </c>
      <c r="R22" s="1466">
        <v>1100</v>
      </c>
      <c r="S22" s="1469">
        <f t="shared" si="1"/>
        <v>1920</v>
      </c>
      <c r="T22" s="2991">
        <v>769980</v>
      </c>
      <c r="U22" s="1469">
        <f t="shared" si="2"/>
        <v>1032900</v>
      </c>
      <c r="V22" s="1469">
        <f t="shared" si="3"/>
        <v>1802880</v>
      </c>
      <c r="W22" s="2993">
        <v>656000</v>
      </c>
      <c r="X22" s="1459">
        <f t="shared" si="4"/>
        <v>880000</v>
      </c>
      <c r="Y22" s="1459">
        <f t="shared" si="5"/>
        <v>1536000</v>
      </c>
      <c r="Z22" s="2246">
        <v>0</v>
      </c>
    </row>
    <row r="23" spans="2:26">
      <c r="B23" s="1982"/>
      <c r="C23" s="1423"/>
      <c r="D23" s="2772"/>
      <c r="E23" s="1669"/>
      <c r="F23" s="1426">
        <f t="shared" si="7"/>
        <v>0</v>
      </c>
      <c r="H23" s="1920" t="s">
        <v>1047</v>
      </c>
      <c r="I23" s="1976">
        <v>2659</v>
      </c>
      <c r="J23" s="1470" t="s">
        <v>110</v>
      </c>
      <c r="K23" s="1460" t="s">
        <v>845</v>
      </c>
      <c r="L23" s="1467">
        <v>3536</v>
      </c>
      <c r="M23" s="1467">
        <v>1200</v>
      </c>
      <c r="N23" s="1461">
        <v>6.19835605198054E-2</v>
      </c>
      <c r="O23" s="1460">
        <v>15</v>
      </c>
      <c r="P23" s="1463" t="s">
        <v>1054</v>
      </c>
      <c r="Q23" s="3233">
        <v>0</v>
      </c>
      <c r="R23" s="1466">
        <v>350</v>
      </c>
      <c r="S23" s="1469">
        <f t="shared" si="1"/>
        <v>350</v>
      </c>
      <c r="T23" s="2991">
        <v>0</v>
      </c>
      <c r="U23" s="1469">
        <f t="shared" si="2"/>
        <v>930650</v>
      </c>
      <c r="V23" s="1469">
        <f t="shared" si="3"/>
        <v>930650</v>
      </c>
      <c r="W23" s="2993">
        <v>0</v>
      </c>
      <c r="X23" s="1459">
        <f t="shared" si="4"/>
        <v>420000</v>
      </c>
      <c r="Y23" s="1459"/>
      <c r="Z23" s="2246"/>
    </row>
    <row r="24" spans="2:26">
      <c r="B24" s="1982"/>
      <c r="C24" s="1423"/>
      <c r="D24" s="2774"/>
      <c r="E24" s="1443"/>
      <c r="F24" s="1426">
        <f t="shared" si="7"/>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0.27513749999999998</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51624.252560000008</v>
      </c>
      <c r="E27" s="1657">
        <f>SUM(E29:E31)+SUM(E33:E35)</f>
        <v>71240.885829999985</v>
      </c>
      <c r="F27" s="1638">
        <f>D27+E27</f>
        <v>122865.13838999999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36942.915560000009</v>
      </c>
      <c r="E29" s="1504">
        <f>E15*E28</f>
        <v>39058.833279999992</v>
      </c>
      <c r="F29" s="1426">
        <f t="shared" ref="F29:F31" si="8">SUM(D29:E29)</f>
        <v>76001.74884</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14681.337000000001</v>
      </c>
      <c r="E30" s="1504">
        <f>E21*E28</f>
        <v>15522.157199999998</v>
      </c>
      <c r="F30" s="1426">
        <f t="shared" si="8"/>
        <v>30203.494200000001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11922.027599999999</v>
      </c>
      <c r="F33" s="1661">
        <f>SUM(D33:E33)</f>
        <v>11922.027599999999</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286</v>
      </c>
      <c r="C34" s="1667" t="s">
        <v>720</v>
      </c>
      <c r="D34" s="2785"/>
      <c r="E34" s="1641">
        <f>E21*E32</f>
        <v>4737.8677499999994</v>
      </c>
      <c r="F34" s="1661">
        <f t="shared" ref="F34" si="9">SUM(D34:E34)</f>
        <v>4737.8677499999994</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18230628</v>
      </c>
      <c r="C37" s="1597" t="s">
        <v>46</v>
      </c>
      <c r="D37" s="2771">
        <f>SUM(D38:D41)</f>
        <v>228000</v>
      </c>
      <c r="E37" s="1464">
        <f>SUM(E38:E41)</f>
        <v>228000</v>
      </c>
      <c r="F37" s="1638">
        <f>D37+E37</f>
        <v>456000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667" t="s">
        <v>1000</v>
      </c>
      <c r="D38" s="2778">
        <v>228000</v>
      </c>
      <c r="E38" s="1520">
        <v>228000</v>
      </c>
      <c r="F38" s="1426">
        <f t="shared" ref="F38:F41" si="10">SUM(D38:E38)</f>
        <v>456000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7200</v>
      </c>
      <c r="E43" s="1464">
        <f>SUM(E44:E47)</f>
        <v>7200</v>
      </c>
      <c r="F43" s="1638">
        <f>D43+E43</f>
        <v>14400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1046</v>
      </c>
      <c r="D44" s="2778">
        <v>7200</v>
      </c>
      <c r="E44" s="1520">
        <v>7200</v>
      </c>
      <c r="F44" s="1426">
        <f t="shared" ref="F44:F47" si="11">SUM(D44:E44)</f>
        <v>14400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c r="D50" s="2778"/>
      <c r="E50" s="1520"/>
      <c r="F50" s="1426">
        <f t="shared" ref="F50:F53" si="12">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17200</v>
      </c>
      <c r="E55" s="1464">
        <f>SUM(E56:E59)</f>
        <v>17200</v>
      </c>
      <c r="F55" s="1638">
        <f>D55+E55</f>
        <v>34400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17200</v>
      </c>
      <c r="E56" s="1504">
        <v>17200</v>
      </c>
      <c r="F56" s="1426">
        <f t="shared" ref="F56:F59" si="13">SUM(D56:E56)</f>
        <v>34400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4000</v>
      </c>
      <c r="E61" s="1464">
        <f>SUM(E62:E65)</f>
        <v>4000</v>
      </c>
      <c r="F61" s="1638">
        <f>D61+E61</f>
        <v>8000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4000</v>
      </c>
      <c r="E62" s="1520">
        <v>4000</v>
      </c>
      <c r="F62" s="1426">
        <f t="shared" ref="F62:F65" si="14">SUM(D62:E62)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286</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18230628</v>
      </c>
      <c r="C67" s="1451" t="s">
        <v>50</v>
      </c>
      <c r="D67" s="2771">
        <f>W15</f>
        <v>3722000</v>
      </c>
      <c r="E67" s="1464">
        <f>X15</f>
        <v>3590000</v>
      </c>
      <c r="F67" s="1462">
        <f>D67+E67</f>
        <v>7312000</v>
      </c>
    </row>
    <row r="68" spans="1:26">
      <c r="A68" s="1400" t="s">
        <v>4</v>
      </c>
      <c r="C68" s="1500" t="s">
        <v>297</v>
      </c>
      <c r="D68" s="2938">
        <f>D67/D12</f>
        <v>0.90616451416770294</v>
      </c>
      <c r="E68" s="1986">
        <f>E67/E12</f>
        <v>0.89817953550480456</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J2" activePane="bottomRight" state="frozen"/>
      <selection pane="bottomRight" activeCell="Q16" sqref="Q16:R22"/>
      <pageMargins left="0.18" right="0.2" top="0.35" bottom="0.33" header="0.3" footer="0.3"/>
      <pageSetup paperSize="17" scale="45" orientation="landscape" r:id="rId1"/>
    </customSheetView>
    <customSheetView guid="{074EB09C-6289-46D7-9513-012B68BCA7BF}" showGridLines="0">
      <pane xSplit="1" ySplit="1" topLeftCell="E2" activePane="bottomRight" state="frozen"/>
      <selection pane="bottomRight" activeCell="Z22" sqref="Z22"/>
      <pageMargins left="0.18" right="0.2" top="0.35" bottom="0.33" header="0.3" footer="0.3"/>
      <pageSetup paperSize="17" scale="45" orientation="landscape" r:id="rId2"/>
    </customSheetView>
  </customSheetViews>
  <mergeCells count="8">
    <mergeCell ref="H12:P12"/>
    <mergeCell ref="Q12:S12"/>
    <mergeCell ref="T12:V12"/>
    <mergeCell ref="W12:Y12"/>
    <mergeCell ref="S2:T2"/>
    <mergeCell ref="U2:W2"/>
    <mergeCell ref="X2:X3"/>
    <mergeCell ref="H10:P10"/>
  </mergeCells>
  <pageMargins left="0.18" right="0.2" top="0.35" bottom="0.33" header="0.3" footer="0.3"/>
  <pageSetup paperSize="3" scale="43" orientation="landscape" r:id="rId3"/>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Z71"/>
  <sheetViews>
    <sheetView showGridLines="0" zoomScaleNormal="100" workbookViewId="0">
      <pane xSplit="1" ySplit="1" topLeftCell="L2" activePane="bottomRight" state="frozen"/>
      <selection pane="topRight" activeCell="B1" sqref="B1"/>
      <selection pane="bottomLeft" activeCell="A2" sqref="A2"/>
      <selection pane="bottomRight" activeCell="W27" sqref="W27"/>
    </sheetView>
  </sheetViews>
  <sheetFormatPr defaultRowHeight="12.75"/>
  <cols>
    <col min="1" max="1" width="18.7109375" style="849" customWidth="1"/>
    <col min="2" max="2" width="16.28515625" style="1413" customWidth="1"/>
    <col min="3" max="3" width="27.85546875" customWidth="1"/>
    <col min="4" max="4" width="17.85546875" customWidth="1"/>
    <col min="5" max="5" width="16.140625" style="9" customWidth="1"/>
    <col min="6" max="6" width="16.140625" customWidth="1"/>
    <col min="7" max="7" width="17.425781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42578125" bestFit="1" customWidth="1"/>
    <col min="18" max="18" width="20.140625" bestFit="1" customWidth="1"/>
    <col min="19" max="19" width="16.7109375" bestFit="1" customWidth="1"/>
    <col min="20" max="21" width="15.5703125" bestFit="1" customWidth="1"/>
    <col min="22" max="22" width="16.42578125" bestFit="1" customWidth="1"/>
    <col min="23" max="24" width="16.7109375" customWidth="1"/>
    <col min="25" max="25" width="16" customWidth="1"/>
    <col min="26" max="26" width="15.7109375" customWidth="1"/>
    <col min="249" max="249" width="24" bestFit="1" customWidth="1"/>
    <col min="250" max="250" width="45.7109375" bestFit="1" customWidth="1"/>
    <col min="251" max="251" width="19.7109375" bestFit="1" customWidth="1"/>
    <col min="252" max="252" width="14.8554687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42578125" bestFit="1" customWidth="1"/>
    <col min="264" max="264" width="20.140625" bestFit="1"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4.8554687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42578125" bestFit="1" customWidth="1"/>
    <col min="520" max="520" width="20.140625" bestFit="1"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4.8554687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42578125" bestFit="1" customWidth="1"/>
    <col min="776" max="776" width="20.140625" bestFit="1"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4.8554687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42578125" bestFit="1" customWidth="1"/>
    <col min="1032" max="1032" width="20.140625" bestFit="1"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4.8554687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42578125" bestFit="1" customWidth="1"/>
    <col min="1288" max="1288" width="20.140625" bestFit="1"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4.8554687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42578125" bestFit="1" customWidth="1"/>
    <col min="1544" max="1544" width="20.140625" bestFit="1"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4.8554687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42578125" bestFit="1" customWidth="1"/>
    <col min="1800" max="1800" width="20.140625" bestFit="1"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4.8554687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42578125" bestFit="1" customWidth="1"/>
    <col min="2056" max="2056" width="20.140625" bestFit="1"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4.8554687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42578125" bestFit="1" customWidth="1"/>
    <col min="2312" max="2312" width="20.140625" bestFit="1"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4.8554687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42578125" bestFit="1" customWidth="1"/>
    <col min="2568" max="2568" width="20.140625" bestFit="1"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4.8554687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42578125" bestFit="1" customWidth="1"/>
    <col min="2824" max="2824" width="20.140625" bestFit="1"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4.8554687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42578125" bestFit="1" customWidth="1"/>
    <col min="3080" max="3080" width="20.140625" bestFit="1"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4.8554687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42578125" bestFit="1" customWidth="1"/>
    <col min="3336" max="3336" width="20.140625" bestFit="1"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4.8554687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42578125" bestFit="1" customWidth="1"/>
    <col min="3592" max="3592" width="20.140625" bestFit="1"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4.8554687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42578125" bestFit="1" customWidth="1"/>
    <col min="3848" max="3848" width="20.140625" bestFit="1"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4.8554687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42578125" bestFit="1" customWidth="1"/>
    <col min="4104" max="4104" width="20.140625" bestFit="1"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4.8554687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42578125" bestFit="1" customWidth="1"/>
    <col min="4360" max="4360" width="20.140625" bestFit="1"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4.8554687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42578125" bestFit="1" customWidth="1"/>
    <col min="4616" max="4616" width="20.140625" bestFit="1"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4.8554687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42578125" bestFit="1" customWidth="1"/>
    <col min="4872" max="4872" width="20.140625" bestFit="1"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4.8554687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42578125" bestFit="1" customWidth="1"/>
    <col min="5128" max="5128" width="20.140625" bestFit="1"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4.8554687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42578125" bestFit="1" customWidth="1"/>
    <col min="5384" max="5384" width="20.140625" bestFit="1"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4.8554687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42578125" bestFit="1" customWidth="1"/>
    <col min="5640" max="5640" width="20.140625" bestFit="1"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4.8554687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42578125" bestFit="1" customWidth="1"/>
    <col min="5896" max="5896" width="20.140625" bestFit="1"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4.8554687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42578125" bestFit="1" customWidth="1"/>
    <col min="6152" max="6152" width="20.140625" bestFit="1"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4.8554687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42578125" bestFit="1" customWidth="1"/>
    <col min="6408" max="6408" width="20.140625" bestFit="1"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4.8554687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42578125" bestFit="1" customWidth="1"/>
    <col min="6664" max="6664" width="20.140625" bestFit="1"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4.8554687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42578125" bestFit="1" customWidth="1"/>
    <col min="6920" max="6920" width="20.140625" bestFit="1"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4.8554687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42578125" bestFit="1" customWidth="1"/>
    <col min="7176" max="7176" width="20.140625" bestFit="1"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4.8554687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42578125" bestFit="1" customWidth="1"/>
    <col min="7432" max="7432" width="20.140625" bestFit="1"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4.8554687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42578125" bestFit="1" customWidth="1"/>
    <col min="7688" max="7688" width="20.140625" bestFit="1"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4.8554687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42578125" bestFit="1" customWidth="1"/>
    <col min="7944" max="7944" width="20.140625" bestFit="1"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4.8554687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42578125" bestFit="1" customWidth="1"/>
    <col min="8200" max="8200" width="20.140625" bestFit="1"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4.8554687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42578125" bestFit="1" customWidth="1"/>
    <col min="8456" max="8456" width="20.140625" bestFit="1"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4.8554687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42578125" bestFit="1" customWidth="1"/>
    <col min="8712" max="8712" width="20.140625" bestFit="1"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4.8554687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42578125" bestFit="1" customWidth="1"/>
    <col min="8968" max="8968" width="20.140625" bestFit="1"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4.8554687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42578125" bestFit="1" customWidth="1"/>
    <col min="9224" max="9224" width="20.140625" bestFit="1"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4.8554687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42578125" bestFit="1" customWidth="1"/>
    <col min="9480" max="9480" width="20.140625" bestFit="1"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4.8554687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42578125" bestFit="1" customWidth="1"/>
    <col min="9736" max="9736" width="20.140625" bestFit="1"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4.8554687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42578125" bestFit="1" customWidth="1"/>
    <col min="9992" max="9992" width="20.140625" bestFit="1"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4.8554687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42578125" bestFit="1" customWidth="1"/>
    <col min="10248" max="10248" width="20.140625" bestFit="1"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4.8554687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42578125" bestFit="1" customWidth="1"/>
    <col min="10504" max="10504" width="20.140625" bestFit="1"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4.8554687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42578125" bestFit="1" customWidth="1"/>
    <col min="10760" max="10760" width="20.140625" bestFit="1"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4.8554687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42578125" bestFit="1" customWidth="1"/>
    <col min="11016" max="11016" width="20.140625" bestFit="1"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4.8554687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42578125" bestFit="1" customWidth="1"/>
    <col min="11272" max="11272" width="20.140625" bestFit="1"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4.8554687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42578125" bestFit="1" customWidth="1"/>
    <col min="11528" max="11528" width="20.140625" bestFit="1"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4.8554687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42578125" bestFit="1" customWidth="1"/>
    <col min="11784" max="11784" width="20.140625" bestFit="1"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4.8554687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42578125" bestFit="1" customWidth="1"/>
    <col min="12040" max="12040" width="20.140625" bestFit="1"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4.8554687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42578125" bestFit="1" customWidth="1"/>
    <col min="12296" max="12296" width="20.140625" bestFit="1"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4.8554687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42578125" bestFit="1" customWidth="1"/>
    <col min="12552" max="12552" width="20.140625" bestFit="1"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4.8554687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42578125" bestFit="1" customWidth="1"/>
    <col min="12808" max="12808" width="20.140625" bestFit="1"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4.8554687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42578125" bestFit="1" customWidth="1"/>
    <col min="13064" max="13064" width="20.140625" bestFit="1"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4.8554687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42578125" bestFit="1" customWidth="1"/>
    <col min="13320" max="13320" width="20.140625" bestFit="1"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4.8554687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42578125" bestFit="1" customWidth="1"/>
    <col min="13576" max="13576" width="20.140625" bestFit="1"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4.8554687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42578125" bestFit="1" customWidth="1"/>
    <col min="13832" max="13832" width="20.140625" bestFit="1"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4.8554687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42578125" bestFit="1" customWidth="1"/>
    <col min="14088" max="14088" width="20.140625" bestFit="1"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4.8554687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42578125" bestFit="1" customWidth="1"/>
    <col min="14344" max="14344" width="20.140625" bestFit="1"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4.8554687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42578125" bestFit="1" customWidth="1"/>
    <col min="14600" max="14600" width="20.140625" bestFit="1"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4.8554687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42578125" bestFit="1" customWidth="1"/>
    <col min="14856" max="14856" width="20.140625" bestFit="1"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4.8554687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42578125" bestFit="1" customWidth="1"/>
    <col min="15112" max="15112" width="20.140625" bestFit="1"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4.8554687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42578125" bestFit="1" customWidth="1"/>
    <col min="15368" max="15368" width="20.140625" bestFit="1"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4.8554687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42578125" bestFit="1" customWidth="1"/>
    <col min="15624" max="15624" width="20.140625" bestFit="1"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4.8554687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42578125" bestFit="1" customWidth="1"/>
    <col min="15880" max="15880" width="20.140625" bestFit="1"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4.8554687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42578125" bestFit="1" customWidth="1"/>
    <col min="16136" max="16136" width="20.140625" bestFit="1"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6.25" customHeight="1" thickBot="1">
      <c r="C1" s="1401" t="s">
        <v>59</v>
      </c>
      <c r="D1" s="1361" t="s">
        <v>275</v>
      </c>
      <c r="E1" s="1401" t="s">
        <v>5</v>
      </c>
      <c r="F1" s="1401">
        <v>18230434</v>
      </c>
      <c r="G1" s="1361" t="s">
        <v>4</v>
      </c>
      <c r="J1" s="1361"/>
      <c r="K1" s="1361"/>
      <c r="L1" s="1361"/>
      <c r="M1" s="1401" t="s">
        <v>59</v>
      </c>
      <c r="N1" s="1361" t="s">
        <v>275</v>
      </c>
      <c r="O1" s="1401" t="s">
        <v>5</v>
      </c>
      <c r="P1" s="1401">
        <v>18230434</v>
      </c>
      <c r="Q1" s="1361" t="s">
        <v>4</v>
      </c>
      <c r="V1" s="1401" t="s">
        <v>59</v>
      </c>
      <c r="W1" s="1361" t="s">
        <v>275</v>
      </c>
      <c r="X1" s="1401" t="s">
        <v>5</v>
      </c>
      <c r="Y1" s="1401">
        <v>18230434</v>
      </c>
      <c r="Z1" s="1361" t="s">
        <v>4</v>
      </c>
    </row>
    <row r="2" spans="1:26" ht="16.5" thickBot="1">
      <c r="C2" s="44"/>
      <c r="D2" s="45"/>
      <c r="G2" s="1652"/>
      <c r="I2" s="1178" t="s">
        <v>627</v>
      </c>
      <c r="S2" s="3575"/>
      <c r="T2" s="3575"/>
      <c r="U2" s="3576" t="s">
        <v>33</v>
      </c>
      <c r="V2" s="3577"/>
      <c r="W2" s="3578"/>
      <c r="X2" s="3579" t="s">
        <v>34</v>
      </c>
    </row>
    <row r="3" spans="1:26" ht="26.25" thickBot="1">
      <c r="A3" s="1400" t="s">
        <v>59</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103776.95999999999</v>
      </c>
      <c r="J4" s="2948">
        <f>D21</f>
        <v>40000</v>
      </c>
      <c r="K4" s="2948">
        <f>D27</f>
        <v>95899.232319999996</v>
      </c>
      <c r="L4" s="2948">
        <f>D37</f>
        <v>388869.36</v>
      </c>
      <c r="M4" s="2948">
        <f>D43</f>
        <v>6000</v>
      </c>
      <c r="N4" s="2948">
        <f>D49</f>
        <v>550000</v>
      </c>
      <c r="O4" s="2948">
        <f>D56</f>
        <v>28000</v>
      </c>
      <c r="P4" s="2948">
        <f>D62</f>
        <v>7500</v>
      </c>
      <c r="Q4" s="2948">
        <f>D68</f>
        <v>4572765</v>
      </c>
      <c r="R4" s="2948">
        <f>D71</f>
        <v>0</v>
      </c>
      <c r="S4" s="2949">
        <f>SUM(I4:R4)</f>
        <v>5792810.5523199998</v>
      </c>
      <c r="T4" s="2950">
        <f>T15</f>
        <v>10290500</v>
      </c>
      <c r="U4" s="2954">
        <f>Q4/S4</f>
        <v>0.78938625019743203</v>
      </c>
      <c r="V4" s="2954">
        <f>(L4+(J4*1.63))/S4</f>
        <v>7.8384983575571415E-2</v>
      </c>
      <c r="W4" s="2954">
        <f>N4/S4</f>
        <v>9.4945276568681666E-2</v>
      </c>
      <c r="X4" s="2953">
        <f>S4/T4</f>
        <v>0.56292799692143236</v>
      </c>
    </row>
    <row r="5" spans="1:26" ht="16.5" thickBot="1">
      <c r="A5" s="1400" t="s">
        <v>5</v>
      </c>
      <c r="C5" s="45"/>
      <c r="G5" s="1652"/>
      <c r="H5" s="3205" t="s">
        <v>1753</v>
      </c>
      <c r="I5" s="2617">
        <v>106370.88</v>
      </c>
      <c r="J5" s="2618">
        <v>41000</v>
      </c>
      <c r="K5" s="2618">
        <v>100212.19840000001</v>
      </c>
      <c r="L5" s="2618">
        <v>388869.37</v>
      </c>
      <c r="M5" s="2618">
        <v>6000</v>
      </c>
      <c r="N5" s="2618">
        <v>550000</v>
      </c>
      <c r="O5" s="2618">
        <v>28000</v>
      </c>
      <c r="P5" s="2618">
        <v>7500</v>
      </c>
      <c r="Q5" s="2618">
        <v>4572765</v>
      </c>
      <c r="R5" s="2618">
        <v>0</v>
      </c>
      <c r="S5" s="2619">
        <v>5800717.4484000001</v>
      </c>
      <c r="T5" s="2620">
        <v>10290500</v>
      </c>
      <c r="U5" s="1186">
        <f>Q5/S5</f>
        <v>0.78831024621985268</v>
      </c>
      <c r="V5" s="1186">
        <f>(L5+(J5*1.63))/S5</f>
        <v>7.8559139288140054E-2</v>
      </c>
      <c r="W5" s="1186">
        <f>N5/S5</f>
        <v>9.4815857674933876E-2</v>
      </c>
      <c r="X5" s="48"/>
    </row>
    <row r="6" spans="1:26" ht="16.5" thickBot="1">
      <c r="A6" s="1400">
        <v>18230434</v>
      </c>
      <c r="B6" s="1400"/>
      <c r="D6" s="44"/>
      <c r="G6" s="1652"/>
      <c r="H6" s="3206" t="s">
        <v>1754</v>
      </c>
      <c r="I6" s="2621">
        <f>E15</f>
        <v>82698.149999999994</v>
      </c>
      <c r="J6" s="2622">
        <f>E21</f>
        <v>38875</v>
      </c>
      <c r="K6" s="2623">
        <f>E27</f>
        <v>109172.68869999998</v>
      </c>
      <c r="L6" s="2622">
        <f>E37</f>
        <v>388395</v>
      </c>
      <c r="M6" s="2622">
        <f>E43</f>
        <v>3000</v>
      </c>
      <c r="N6" s="2622">
        <f>E49</f>
        <v>388734</v>
      </c>
      <c r="O6" s="2622">
        <f>E56</f>
        <v>3000</v>
      </c>
      <c r="P6" s="2622">
        <f>E62</f>
        <v>500</v>
      </c>
      <c r="Q6" s="2622">
        <f>E68</f>
        <v>3443880</v>
      </c>
      <c r="R6" s="2622">
        <f>E71</f>
        <v>0</v>
      </c>
      <c r="S6" s="2624">
        <f>SUM(I6:R6)</f>
        <v>4458254.8387000002</v>
      </c>
      <c r="T6" s="2625">
        <f>U15</f>
        <v>6721709</v>
      </c>
      <c r="U6" s="2631">
        <f>Q6/S6</f>
        <v>0.77247266578512019</v>
      </c>
      <c r="V6" s="2631">
        <f>(L6+(J6*1.63))/S6</f>
        <v>0.10133141023668597</v>
      </c>
      <c r="W6" s="2631">
        <f>N6/S6</f>
        <v>8.7194208062218462E-2</v>
      </c>
      <c r="X6" s="2626">
        <f>S6/T6</f>
        <v>0.66326210175120648</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D15+D21+D27+D37+D43+D49+D56+D62+D68</f>
        <v>5792810.5523199998</v>
      </c>
      <c r="E12" s="1484">
        <f>E15+E21+E27+E37+E43+E49+E56+E62+E68</f>
        <v>4458254.8387000002</v>
      </c>
      <c r="F12" s="1462">
        <f>D12+E12</f>
        <v>10251065.39102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SUM(D16:D19)</f>
        <v>103776.95999999999</v>
      </c>
      <c r="E15" s="1464">
        <f>SUM(E16:E19)</f>
        <v>82698.149999999994</v>
      </c>
      <c r="F15" s="1462">
        <f>D15+E15</f>
        <v>186475.11</v>
      </c>
      <c r="H15" s="1475" t="s">
        <v>308</v>
      </c>
      <c r="I15" s="1476"/>
      <c r="J15" s="1476"/>
      <c r="K15" s="1477"/>
      <c r="L15" s="1478">
        <f>SUMPRODUCT(L16:L46,S16:S46)</f>
        <v>9435400</v>
      </c>
      <c r="M15" s="1478">
        <f>SUM(M16:M46)</f>
        <v>3366.2699999999986</v>
      </c>
      <c r="N15" s="1479">
        <f>SUM(N16:N66)</f>
        <v>0.99999999999999989</v>
      </c>
      <c r="O15" s="1477" t="s">
        <v>309</v>
      </c>
      <c r="P15" s="1477"/>
      <c r="Q15" s="3225"/>
      <c r="R15" s="1477"/>
      <c r="S15" s="1477"/>
      <c r="T15" s="2983">
        <v>10290500</v>
      </c>
      <c r="U15" s="1480">
        <f>SUM(U16:U66)</f>
        <v>6721709</v>
      </c>
      <c r="V15" s="1480">
        <f t="shared" ref="V15:Z15" si="0">SUM(V16:V66)</f>
        <v>17012231</v>
      </c>
      <c r="W15" s="2987">
        <v>4572765</v>
      </c>
      <c r="X15" s="1478">
        <f t="shared" si="0"/>
        <v>3443880</v>
      </c>
      <c r="Y15" s="1478">
        <f t="shared" si="0"/>
        <v>8016667</v>
      </c>
      <c r="Z15" s="1478">
        <f t="shared" si="0"/>
        <v>112.72</v>
      </c>
    </row>
    <row r="16" spans="1:26">
      <c r="B16" s="1432">
        <v>0.72</v>
      </c>
      <c r="C16" s="1423" t="s">
        <v>736</v>
      </c>
      <c r="D16" s="2772">
        <v>66713.759999999995</v>
      </c>
      <c r="E16" s="1448">
        <v>56368.75</v>
      </c>
      <c r="F16" s="1426">
        <f>SUM(D16:E16)</f>
        <v>123082.51</v>
      </c>
      <c r="H16" s="2428" t="s">
        <v>862</v>
      </c>
      <c r="I16" s="2416">
        <v>216</v>
      </c>
      <c r="J16" s="1470" t="s">
        <v>110</v>
      </c>
      <c r="K16" s="1460" t="s">
        <v>845</v>
      </c>
      <c r="L16" s="1467">
        <v>55</v>
      </c>
      <c r="M16" s="1467">
        <v>45</v>
      </c>
      <c r="N16" s="1461">
        <v>0.30280536850445072</v>
      </c>
      <c r="O16" s="1460">
        <v>5</v>
      </c>
      <c r="P16" s="1463" t="s">
        <v>878</v>
      </c>
      <c r="Q16" s="3233">
        <v>10000</v>
      </c>
      <c r="R16" s="1466">
        <v>10000</v>
      </c>
      <c r="S16" s="1469">
        <f>SUM(Q16:R16)</f>
        <v>20000</v>
      </c>
      <c r="T16" s="2991">
        <v>3000000</v>
      </c>
      <c r="U16" s="1469">
        <f>R16*I16</f>
        <v>2160000</v>
      </c>
      <c r="V16" s="1469">
        <f>SUM(T16:U16)</f>
        <v>5160000</v>
      </c>
      <c r="W16" s="2993">
        <v>550000</v>
      </c>
      <c r="X16" s="1459">
        <f>R16*M16</f>
        <v>450000</v>
      </c>
      <c r="Y16" s="1459">
        <f>SUM(W16:X16)</f>
        <v>1000000</v>
      </c>
      <c r="Z16" s="1910">
        <v>0</v>
      </c>
    </row>
    <row r="17" spans="2:26">
      <c r="B17" s="1432">
        <v>0.2</v>
      </c>
      <c r="C17" s="1423" t="s">
        <v>734</v>
      </c>
      <c r="D17" s="2784">
        <v>18531.599999999999</v>
      </c>
      <c r="E17" s="1447">
        <v>15550</v>
      </c>
      <c r="F17" s="1426">
        <f t="shared" ref="F17:F19" si="1">SUM(D17:E17)</f>
        <v>34081.599999999999</v>
      </c>
      <c r="H17" s="2428" t="s">
        <v>863</v>
      </c>
      <c r="I17" s="2416">
        <v>848</v>
      </c>
      <c r="J17" s="1470" t="s">
        <v>110</v>
      </c>
      <c r="K17" s="1460" t="s">
        <v>845</v>
      </c>
      <c r="L17" s="1467">
        <v>717</v>
      </c>
      <c r="M17" s="1467">
        <v>717</v>
      </c>
      <c r="N17" s="1461">
        <v>6.9668708040403857E-2</v>
      </c>
      <c r="O17" s="1460">
        <v>11</v>
      </c>
      <c r="P17" s="1463" t="s">
        <v>846</v>
      </c>
      <c r="Q17" s="3233">
        <v>700</v>
      </c>
      <c r="R17" s="1466">
        <v>700</v>
      </c>
      <c r="S17" s="1469">
        <f>SUM(Q17:R17)</f>
        <v>1400</v>
      </c>
      <c r="T17" s="2991">
        <v>593600</v>
      </c>
      <c r="U17" s="1469">
        <f>R17*I17</f>
        <v>593600</v>
      </c>
      <c r="V17" s="1469">
        <f>SUM(T17:U17)</f>
        <v>1187200</v>
      </c>
      <c r="W17" s="2993">
        <v>490000</v>
      </c>
      <c r="X17" s="1459">
        <f t="shared" ref="X17:X40" si="2">R17*M17</f>
        <v>501900</v>
      </c>
      <c r="Y17" s="1459">
        <f t="shared" ref="Y17:Y40" si="3">SUM(W17:X17)</f>
        <v>991900</v>
      </c>
      <c r="Z17" s="1910">
        <v>20.309999999999999</v>
      </c>
    </row>
    <row r="18" spans="2:26">
      <c r="B18" s="1432">
        <v>0.2</v>
      </c>
      <c r="C18" s="1423" t="s">
        <v>737</v>
      </c>
      <c r="D18" s="2784">
        <v>18531.599999999999</v>
      </c>
      <c r="E18" s="1447">
        <v>10779.4</v>
      </c>
      <c r="F18" s="1426">
        <f t="shared" si="1"/>
        <v>29311</v>
      </c>
      <c r="H18" s="2428" t="s">
        <v>864</v>
      </c>
      <c r="I18" s="2416">
        <v>444</v>
      </c>
      <c r="J18" s="1470" t="s">
        <v>110</v>
      </c>
      <c r="K18" s="1460" t="s">
        <v>845</v>
      </c>
      <c r="L18" s="1467">
        <v>125.99</v>
      </c>
      <c r="M18" s="1467">
        <v>111</v>
      </c>
      <c r="N18" s="1461">
        <v>7.6229491024666959E-2</v>
      </c>
      <c r="O18" s="1460">
        <v>5</v>
      </c>
      <c r="P18" s="1463" t="s">
        <v>879</v>
      </c>
      <c r="Q18" s="3233">
        <v>1500</v>
      </c>
      <c r="R18" s="1466">
        <v>1000</v>
      </c>
      <c r="S18" s="1469">
        <f t="shared" ref="S18:S40" si="4">SUM(Q18:R18)</f>
        <v>2500</v>
      </c>
      <c r="T18" s="2991">
        <v>855000</v>
      </c>
      <c r="U18" s="1469">
        <f t="shared" ref="U18:U40" si="5">R18*I18</f>
        <v>444000</v>
      </c>
      <c r="V18" s="1469">
        <f t="shared" ref="V18:V40" si="6">SUM(T18:U18)</f>
        <v>1299000</v>
      </c>
      <c r="W18" s="2993">
        <v>169500</v>
      </c>
      <c r="X18" s="1459">
        <f t="shared" si="2"/>
        <v>111000</v>
      </c>
      <c r="Y18" s="1459">
        <f t="shared" si="3"/>
        <v>280500</v>
      </c>
      <c r="Z18" s="1910">
        <v>8.74</v>
      </c>
    </row>
    <row r="19" spans="2:26">
      <c r="B19" s="1432"/>
      <c r="C19" s="1667"/>
      <c r="D19" s="2794"/>
      <c r="E19" s="1578"/>
      <c r="F19" s="1426">
        <f t="shared" si="1"/>
        <v>0</v>
      </c>
      <c r="H19" s="2428" t="s">
        <v>865</v>
      </c>
      <c r="I19" s="2416">
        <v>11.32</v>
      </c>
      <c r="J19" s="1470" t="s">
        <v>110</v>
      </c>
      <c r="K19" s="1460" t="s">
        <v>845</v>
      </c>
      <c r="L19" s="1467">
        <v>2</v>
      </c>
      <c r="M19" s="1467">
        <v>2</v>
      </c>
      <c r="N19" s="1461">
        <v>1.3685511625760262E-2</v>
      </c>
      <c r="O19" s="1460">
        <v>12</v>
      </c>
      <c r="P19" s="1463" t="s">
        <v>880</v>
      </c>
      <c r="Q19" s="3233">
        <v>8500</v>
      </c>
      <c r="R19" s="1466">
        <v>6000</v>
      </c>
      <c r="S19" s="1469">
        <f t="shared" si="4"/>
        <v>14500</v>
      </c>
      <c r="T19" s="2991">
        <v>136850</v>
      </c>
      <c r="U19" s="1469">
        <f t="shared" si="5"/>
        <v>67920</v>
      </c>
      <c r="V19" s="1469">
        <f t="shared" si="6"/>
        <v>204770</v>
      </c>
      <c r="W19" s="2993">
        <v>59500</v>
      </c>
      <c r="X19" s="1459">
        <f t="shared" si="2"/>
        <v>12000</v>
      </c>
      <c r="Y19" s="1459">
        <f t="shared" si="3"/>
        <v>71500</v>
      </c>
      <c r="Z19" s="1910">
        <v>0</v>
      </c>
    </row>
    <row r="20" spans="2:26">
      <c r="B20" s="2204">
        <f>SUM(B16:B19)</f>
        <v>1.1199999999999999</v>
      </c>
      <c r="C20" s="1488"/>
      <c r="D20" s="2770"/>
      <c r="E20" s="1490"/>
      <c r="F20" s="1492"/>
      <c r="H20" s="2428" t="s">
        <v>866</v>
      </c>
      <c r="I20" s="2416">
        <v>9</v>
      </c>
      <c r="J20" s="1470" t="s">
        <v>110</v>
      </c>
      <c r="K20" s="1460" t="s">
        <v>845</v>
      </c>
      <c r="L20" s="1467">
        <v>27</v>
      </c>
      <c r="M20" s="1467">
        <v>25</v>
      </c>
      <c r="N20" s="1461">
        <v>6.3377867826512949E-4</v>
      </c>
      <c r="O20" s="1460">
        <v>15</v>
      </c>
      <c r="P20" s="1463" t="s">
        <v>879</v>
      </c>
      <c r="Q20" s="3233">
        <v>1000</v>
      </c>
      <c r="R20" s="1466">
        <v>200</v>
      </c>
      <c r="S20" s="1469">
        <f t="shared" si="4"/>
        <v>1200</v>
      </c>
      <c r="T20" s="2991">
        <v>9000</v>
      </c>
      <c r="U20" s="1469">
        <f t="shared" si="5"/>
        <v>1800</v>
      </c>
      <c r="V20" s="1469">
        <f t="shared" si="6"/>
        <v>10800</v>
      </c>
      <c r="W20" s="2993">
        <v>25000</v>
      </c>
      <c r="X20" s="1459">
        <f t="shared" si="2"/>
        <v>5000</v>
      </c>
      <c r="Y20" s="1459">
        <f t="shared" si="3"/>
        <v>30000</v>
      </c>
      <c r="Z20" s="1910">
        <v>0</v>
      </c>
    </row>
    <row r="21" spans="2:26">
      <c r="B21" s="1433" t="s">
        <v>296</v>
      </c>
      <c r="C21" s="1451" t="s">
        <v>44</v>
      </c>
      <c r="D21" s="2771">
        <f>SUM(D22:D25)</f>
        <v>40000</v>
      </c>
      <c r="E21" s="1464">
        <f>SUM(E22:E25)</f>
        <v>38875</v>
      </c>
      <c r="F21" s="1638">
        <f>D21+E21</f>
        <v>78875</v>
      </c>
      <c r="H21" s="2428" t="s">
        <v>867</v>
      </c>
      <c r="I21" s="2416">
        <v>42</v>
      </c>
      <c r="J21" s="1470" t="s">
        <v>110</v>
      </c>
      <c r="K21" s="1460" t="s">
        <v>845</v>
      </c>
      <c r="L21" s="1467">
        <v>122</v>
      </c>
      <c r="M21" s="1467">
        <v>50</v>
      </c>
      <c r="N21" s="1461">
        <v>1.5034638645511683E-3</v>
      </c>
      <c r="O21" s="1460">
        <v>15</v>
      </c>
      <c r="P21" s="1463" t="s">
        <v>879</v>
      </c>
      <c r="Q21" s="3233">
        <v>600</v>
      </c>
      <c r="R21" s="1466">
        <v>10</v>
      </c>
      <c r="S21" s="1469">
        <f t="shared" si="4"/>
        <v>610</v>
      </c>
      <c r="T21" s="2991">
        <v>25200</v>
      </c>
      <c r="U21" s="1469">
        <f t="shared" si="5"/>
        <v>420</v>
      </c>
      <c r="V21" s="1469">
        <f t="shared" si="6"/>
        <v>25620</v>
      </c>
      <c r="W21" s="2993">
        <v>30000</v>
      </c>
      <c r="X21" s="1459">
        <f t="shared" si="2"/>
        <v>500</v>
      </c>
      <c r="Y21" s="1459">
        <f t="shared" si="3"/>
        <v>30500</v>
      </c>
      <c r="Z21" s="1910">
        <v>0</v>
      </c>
    </row>
    <row r="22" spans="2:26">
      <c r="B22" s="1982">
        <f>(SUM(D22:E22)/2)/((80000+(80000*1.025))/2)</f>
        <v>0.24344135802469136</v>
      </c>
      <c r="C22" s="1423" t="s">
        <v>859</v>
      </c>
      <c r="D22" s="2772">
        <v>20000</v>
      </c>
      <c r="E22" s="1448">
        <v>19437.5</v>
      </c>
      <c r="F22" s="1426">
        <f t="shared" ref="F22:F25" si="7">SUM(D22:E22)</f>
        <v>39437.5</v>
      </c>
      <c r="H22" s="2428" t="s">
        <v>868</v>
      </c>
      <c r="I22" s="2416">
        <v>98</v>
      </c>
      <c r="J22" s="1470" t="s">
        <v>110</v>
      </c>
      <c r="K22" s="1460" t="s">
        <v>845</v>
      </c>
      <c r="L22" s="1467">
        <v>211</v>
      </c>
      <c r="M22" s="1467">
        <v>75</v>
      </c>
      <c r="N22" s="1461">
        <v>1.7540411753096963E-3</v>
      </c>
      <c r="O22" s="1460">
        <v>15</v>
      </c>
      <c r="P22" s="1463" t="s">
        <v>879</v>
      </c>
      <c r="Q22" s="3233">
        <v>300</v>
      </c>
      <c r="R22" s="1466">
        <v>5</v>
      </c>
      <c r="S22" s="1469">
        <f t="shared" si="4"/>
        <v>305</v>
      </c>
      <c r="T22" s="2991">
        <v>29400</v>
      </c>
      <c r="U22" s="1469">
        <f t="shared" ref="U22:U35" si="8">R22*I22</f>
        <v>490</v>
      </c>
      <c r="V22" s="1469">
        <f t="shared" ref="V22:V35" si="9">SUM(T22:U22)</f>
        <v>29890</v>
      </c>
      <c r="W22" s="2993">
        <v>22500</v>
      </c>
      <c r="X22" s="1459">
        <f t="shared" ref="X22:X35" si="10">R22*M22</f>
        <v>375</v>
      </c>
      <c r="Y22" s="1459">
        <f t="shared" ref="Y22:Y35" si="11">SUM(W22:X22)</f>
        <v>22875</v>
      </c>
      <c r="Z22" s="1910">
        <v>0</v>
      </c>
    </row>
    <row r="23" spans="2:26">
      <c r="B23" s="1982">
        <f>(SUM(D23:E23)/2)/((80000+(80000*1.025))/2)</f>
        <v>0.24344135802469136</v>
      </c>
      <c r="C23" s="1423" t="s">
        <v>860</v>
      </c>
      <c r="D23" s="2791">
        <v>20000</v>
      </c>
      <c r="E23" s="1562">
        <v>19437.5</v>
      </c>
      <c r="F23" s="1426">
        <f t="shared" si="7"/>
        <v>39437.5</v>
      </c>
      <c r="H23" s="2428" t="s">
        <v>869</v>
      </c>
      <c r="I23" s="2416">
        <v>289</v>
      </c>
      <c r="J23" s="1470" t="s">
        <v>110</v>
      </c>
      <c r="K23" s="1460" t="s">
        <v>845</v>
      </c>
      <c r="L23" s="1467">
        <v>199.5</v>
      </c>
      <c r="M23" s="1467">
        <v>111</v>
      </c>
      <c r="N23" s="1461">
        <v>0.11551790075600994</v>
      </c>
      <c r="O23" s="1460">
        <v>6</v>
      </c>
      <c r="P23" s="1463" t="s">
        <v>879</v>
      </c>
      <c r="Q23" s="3233">
        <v>3500</v>
      </c>
      <c r="R23" s="1466">
        <v>2500</v>
      </c>
      <c r="S23" s="1469">
        <f t="shared" si="4"/>
        <v>6000</v>
      </c>
      <c r="T23" s="2991">
        <v>1246000</v>
      </c>
      <c r="U23" s="1469">
        <f t="shared" si="8"/>
        <v>722500</v>
      </c>
      <c r="V23" s="1469">
        <f t="shared" si="9"/>
        <v>1968500</v>
      </c>
      <c r="W23" s="2993">
        <v>395500</v>
      </c>
      <c r="X23" s="1459">
        <f t="shared" si="10"/>
        <v>277500</v>
      </c>
      <c r="Y23" s="1459">
        <f t="shared" si="11"/>
        <v>673000</v>
      </c>
      <c r="Z23" s="1910">
        <v>7.12</v>
      </c>
    </row>
    <row r="24" spans="2:26">
      <c r="B24" s="1982"/>
      <c r="C24" s="1423"/>
      <c r="D24" s="2774"/>
      <c r="E24" s="1443"/>
      <c r="F24" s="1426">
        <f t="shared" si="7"/>
        <v>0</v>
      </c>
      <c r="H24" s="2429" t="s">
        <v>1574</v>
      </c>
      <c r="I24" s="2416">
        <v>494</v>
      </c>
      <c r="J24" s="1470" t="s">
        <v>110</v>
      </c>
      <c r="K24" s="1460" t="s">
        <v>845</v>
      </c>
      <c r="L24" s="1467">
        <v>600</v>
      </c>
      <c r="M24" s="1467">
        <v>600</v>
      </c>
      <c r="N24" s="1461">
        <v>6.6675864281929634E-2</v>
      </c>
      <c r="O24" s="1460">
        <v>10</v>
      </c>
      <c r="P24" s="1463" t="s">
        <v>879</v>
      </c>
      <c r="Q24" s="3233">
        <v>2000</v>
      </c>
      <c r="R24" s="1466">
        <v>300</v>
      </c>
      <c r="S24" s="1469">
        <f t="shared" si="4"/>
        <v>2300</v>
      </c>
      <c r="T24" s="2991">
        <v>988000</v>
      </c>
      <c r="U24" s="1469">
        <f t="shared" si="8"/>
        <v>148200</v>
      </c>
      <c r="V24" s="1469">
        <f t="shared" si="9"/>
        <v>1136200</v>
      </c>
      <c r="W24" s="2993">
        <v>1200000</v>
      </c>
      <c r="X24" s="1459">
        <f t="shared" si="10"/>
        <v>180000</v>
      </c>
      <c r="Y24" s="1459">
        <f t="shared" si="11"/>
        <v>1380000</v>
      </c>
      <c r="Z24" s="1910">
        <v>0</v>
      </c>
    </row>
    <row r="25" spans="2:26">
      <c r="B25" s="1982"/>
      <c r="C25" s="1423"/>
      <c r="D25" s="2775"/>
      <c r="E25" s="1444"/>
      <c r="F25" s="1426">
        <f t="shared" si="7"/>
        <v>0</v>
      </c>
      <c r="H25" s="2429" t="s">
        <v>1575</v>
      </c>
      <c r="I25" s="2416">
        <v>9</v>
      </c>
      <c r="J25" s="1470" t="s">
        <v>110</v>
      </c>
      <c r="K25" s="1460" t="s">
        <v>845</v>
      </c>
      <c r="L25" s="1467">
        <v>100</v>
      </c>
      <c r="M25" s="1467">
        <v>100</v>
      </c>
      <c r="N25" s="1461">
        <v>1.2147424666748314E-3</v>
      </c>
      <c r="O25" s="1460">
        <v>15</v>
      </c>
      <c r="P25" s="1463" t="s">
        <v>879</v>
      </c>
      <c r="Q25" s="3233">
        <v>2000</v>
      </c>
      <c r="R25" s="1466">
        <v>300</v>
      </c>
      <c r="S25" s="1469">
        <f t="shared" si="4"/>
        <v>2300</v>
      </c>
      <c r="T25" s="2991">
        <v>18000</v>
      </c>
      <c r="U25" s="1469">
        <f t="shared" si="8"/>
        <v>2700</v>
      </c>
      <c r="V25" s="1469">
        <f t="shared" si="9"/>
        <v>20700</v>
      </c>
      <c r="W25" s="2993">
        <v>200000</v>
      </c>
      <c r="X25" s="1459">
        <f t="shared" si="10"/>
        <v>30000</v>
      </c>
      <c r="Y25" s="1459">
        <f t="shared" si="11"/>
        <v>230000</v>
      </c>
      <c r="Z25" s="1910">
        <v>0</v>
      </c>
    </row>
    <row r="26" spans="2:26">
      <c r="B26" s="2204">
        <f>SUM(B22:B25)</f>
        <v>0.48688271604938271</v>
      </c>
      <c r="C26" s="1424"/>
      <c r="D26" s="2776"/>
      <c r="E26" s="1431"/>
      <c r="F26" s="1439"/>
      <c r="H26" s="2428" t="s">
        <v>870</v>
      </c>
      <c r="I26" s="2416">
        <v>103</v>
      </c>
      <c r="J26" s="1470" t="s">
        <v>110</v>
      </c>
      <c r="K26" s="1460" t="s">
        <v>845</v>
      </c>
      <c r="L26" s="1467">
        <v>6.67</v>
      </c>
      <c r="M26" s="1467">
        <v>6.67</v>
      </c>
      <c r="N26" s="1461">
        <v>4.8354965823191355E-2</v>
      </c>
      <c r="O26" s="1460">
        <v>10</v>
      </c>
      <c r="P26" s="1463" t="s">
        <v>846</v>
      </c>
      <c r="Q26" s="3233">
        <v>4500</v>
      </c>
      <c r="R26" s="1466">
        <v>3500</v>
      </c>
      <c r="S26" s="1469">
        <f t="shared" si="4"/>
        <v>8000</v>
      </c>
      <c r="T26" s="2991">
        <v>463500</v>
      </c>
      <c r="U26" s="1469">
        <f t="shared" si="8"/>
        <v>360500</v>
      </c>
      <c r="V26" s="1469">
        <f t="shared" si="9"/>
        <v>824000</v>
      </c>
      <c r="W26" s="2993">
        <v>30015</v>
      </c>
      <c r="X26" s="1459">
        <f t="shared" si="10"/>
        <v>23345</v>
      </c>
      <c r="Y26" s="1459">
        <f t="shared" si="11"/>
        <v>53360</v>
      </c>
      <c r="Z26" s="1910">
        <v>0</v>
      </c>
    </row>
    <row r="27" spans="2:26">
      <c r="C27" s="1597" t="s">
        <v>1737</v>
      </c>
      <c r="D27" s="2771">
        <f>SUM(D29:D35)</f>
        <v>95899.232319999996</v>
      </c>
      <c r="E27" s="1657">
        <f>SUM(E29:E31)+SUM(E33:E35)</f>
        <v>109172.68869999998</v>
      </c>
      <c r="F27" s="1638">
        <f>D27+E27</f>
        <v>205071.92101999998</v>
      </c>
      <c r="H27" s="2428" t="s">
        <v>871</v>
      </c>
      <c r="I27" s="2416">
        <v>125</v>
      </c>
      <c r="J27" s="1470" t="s">
        <v>110</v>
      </c>
      <c r="K27" s="1460" t="s">
        <v>845</v>
      </c>
      <c r="L27" s="1467">
        <v>10</v>
      </c>
      <c r="M27" s="1467">
        <v>10</v>
      </c>
      <c r="N27" s="1461">
        <v>4.7680108897260896E-2</v>
      </c>
      <c r="O27" s="1460">
        <v>10</v>
      </c>
      <c r="P27" s="1463" t="s">
        <v>846</v>
      </c>
      <c r="Q27" s="3233">
        <v>4000</v>
      </c>
      <c r="R27" s="1466">
        <v>2500</v>
      </c>
      <c r="S27" s="1469">
        <f t="shared" si="4"/>
        <v>6500</v>
      </c>
      <c r="T27" s="2991">
        <v>500000</v>
      </c>
      <c r="U27" s="1469">
        <f t="shared" si="8"/>
        <v>312500</v>
      </c>
      <c r="V27" s="1469">
        <f t="shared" si="9"/>
        <v>812500</v>
      </c>
      <c r="W27" s="2993">
        <v>40000</v>
      </c>
      <c r="X27" s="1459">
        <f t="shared" si="10"/>
        <v>25000</v>
      </c>
      <c r="Y27" s="1459">
        <f t="shared" si="11"/>
        <v>65000</v>
      </c>
      <c r="Z27" s="1910">
        <v>0</v>
      </c>
    </row>
    <row r="28" spans="2:26" s="1413" customFormat="1">
      <c r="C28" s="1450" t="s">
        <v>1733</v>
      </c>
      <c r="D28" s="2777">
        <v>0.66700000000000004</v>
      </c>
      <c r="E28" s="1452">
        <v>0.68799999999999994</v>
      </c>
      <c r="F28" s="1485"/>
      <c r="H28" s="2428" t="s">
        <v>872</v>
      </c>
      <c r="I28" s="2416">
        <v>82</v>
      </c>
      <c r="J28" s="1470" t="s">
        <v>110</v>
      </c>
      <c r="K28" s="1460" t="s">
        <v>845</v>
      </c>
      <c r="L28" s="1467">
        <v>80</v>
      </c>
      <c r="M28" s="1467">
        <v>25</v>
      </c>
      <c r="N28" s="1461">
        <v>2.9353342117427569E-2</v>
      </c>
      <c r="O28" s="1460">
        <v>14</v>
      </c>
      <c r="P28" s="1463" t="s">
        <v>846</v>
      </c>
      <c r="Q28" s="3233">
        <v>6000</v>
      </c>
      <c r="R28" s="1466">
        <v>100</v>
      </c>
      <c r="S28" s="1469">
        <f t="shared" si="4"/>
        <v>6100</v>
      </c>
      <c r="T28" s="2991">
        <v>492000</v>
      </c>
      <c r="U28" s="1469">
        <f t="shared" si="8"/>
        <v>8200</v>
      </c>
      <c r="V28" s="1469">
        <f t="shared" si="9"/>
        <v>500200</v>
      </c>
      <c r="W28" s="2993">
        <v>150000</v>
      </c>
      <c r="X28" s="1459">
        <f t="shared" si="10"/>
        <v>2500</v>
      </c>
      <c r="Y28" s="1459">
        <f t="shared" si="11"/>
        <v>152500</v>
      </c>
      <c r="Z28" s="1910">
        <v>16.18</v>
      </c>
    </row>
    <row r="29" spans="2:26">
      <c r="C29" s="1667" t="s">
        <v>719</v>
      </c>
      <c r="D29" s="2778">
        <f>D15*D28</f>
        <v>69219.232319999996</v>
      </c>
      <c r="E29" s="1504">
        <f>E15*E28</f>
        <v>56896.327199999992</v>
      </c>
      <c r="F29" s="1426">
        <f t="shared" ref="F29:F35" si="12">SUM(D29:E29)</f>
        <v>126115.55951999998</v>
      </c>
      <c r="H29" s="2428" t="s">
        <v>873</v>
      </c>
      <c r="I29" s="2416">
        <v>114</v>
      </c>
      <c r="J29" s="1470" t="s">
        <v>110</v>
      </c>
      <c r="K29" s="1460" t="s">
        <v>845</v>
      </c>
      <c r="L29" s="1467">
        <v>125</v>
      </c>
      <c r="M29" s="1467">
        <v>50</v>
      </c>
      <c r="N29" s="1461">
        <v>3.1442464427264477E-2</v>
      </c>
      <c r="O29" s="1460">
        <v>14</v>
      </c>
      <c r="P29" s="1463" t="s">
        <v>846</v>
      </c>
      <c r="Q29" s="3233">
        <v>4500</v>
      </c>
      <c r="R29" s="1466">
        <v>200</v>
      </c>
      <c r="S29" s="1469">
        <f t="shared" si="4"/>
        <v>4700</v>
      </c>
      <c r="T29" s="2991">
        <v>513000</v>
      </c>
      <c r="U29" s="1469">
        <f t="shared" si="8"/>
        <v>22800</v>
      </c>
      <c r="V29" s="1469">
        <f t="shared" si="9"/>
        <v>535800</v>
      </c>
      <c r="W29" s="2993">
        <v>225000</v>
      </c>
      <c r="X29" s="1459">
        <f t="shared" si="10"/>
        <v>10000</v>
      </c>
      <c r="Y29" s="1459">
        <f t="shared" si="11"/>
        <v>235000</v>
      </c>
      <c r="Z29" s="1910">
        <v>20.309999999999999</v>
      </c>
    </row>
    <row r="30" spans="2:26">
      <c r="C30" s="1667" t="s">
        <v>720</v>
      </c>
      <c r="D30" s="2785">
        <f>D21*D28</f>
        <v>26680</v>
      </c>
      <c r="E30" s="1504">
        <f>E21*E28</f>
        <v>26745.999999999996</v>
      </c>
      <c r="F30" s="1426">
        <f t="shared" si="12"/>
        <v>53426</v>
      </c>
      <c r="H30" s="2428" t="s">
        <v>874</v>
      </c>
      <c r="I30" s="2416">
        <v>134</v>
      </c>
      <c r="J30" s="1470" t="s">
        <v>110</v>
      </c>
      <c r="K30" s="1460" t="s">
        <v>845</v>
      </c>
      <c r="L30" s="1467">
        <v>124</v>
      </c>
      <c r="M30" s="1467">
        <v>75</v>
      </c>
      <c r="N30" s="1461">
        <v>2.3983828315459112E-2</v>
      </c>
      <c r="O30" s="1460">
        <v>14</v>
      </c>
      <c r="P30" s="1463" t="s">
        <v>846</v>
      </c>
      <c r="Q30" s="3233">
        <v>3000</v>
      </c>
      <c r="R30" s="1466">
        <v>50</v>
      </c>
      <c r="S30" s="1469">
        <f t="shared" si="4"/>
        <v>3050</v>
      </c>
      <c r="T30" s="2991">
        <v>402000</v>
      </c>
      <c r="U30" s="1469">
        <f t="shared" si="8"/>
        <v>6700</v>
      </c>
      <c r="V30" s="1469">
        <f t="shared" si="9"/>
        <v>408700</v>
      </c>
      <c r="W30" s="2993">
        <v>225000</v>
      </c>
      <c r="X30" s="1459">
        <f t="shared" si="10"/>
        <v>3750</v>
      </c>
      <c r="Y30" s="1459">
        <f t="shared" si="11"/>
        <v>228750</v>
      </c>
      <c r="Z30" s="1910">
        <v>22.49</v>
      </c>
    </row>
    <row r="31" spans="2:26">
      <c r="C31" s="1667"/>
      <c r="D31" s="2774"/>
      <c r="E31" s="1443"/>
      <c r="F31" s="1426">
        <f t="shared" si="12"/>
        <v>0</v>
      </c>
      <c r="H31" s="2428" t="s">
        <v>875</v>
      </c>
      <c r="I31" s="2416">
        <v>183</v>
      </c>
      <c r="J31" s="1470" t="s">
        <v>110</v>
      </c>
      <c r="K31" s="1460" t="s">
        <v>845</v>
      </c>
      <c r="L31" s="1467">
        <v>614.04999999999995</v>
      </c>
      <c r="M31" s="1467">
        <v>150</v>
      </c>
      <c r="N31" s="1461">
        <v>4.2956110415747666E-3</v>
      </c>
      <c r="O31" s="1460">
        <v>12</v>
      </c>
      <c r="P31" s="1463" t="s">
        <v>878</v>
      </c>
      <c r="Q31" s="3233">
        <v>200</v>
      </c>
      <c r="R31" s="1466">
        <v>200</v>
      </c>
      <c r="S31" s="1469">
        <f t="shared" si="4"/>
        <v>400</v>
      </c>
      <c r="T31" s="2991">
        <v>36600</v>
      </c>
      <c r="U31" s="1469">
        <f t="shared" si="8"/>
        <v>36600</v>
      </c>
      <c r="V31" s="1469">
        <f t="shared" si="9"/>
        <v>73200</v>
      </c>
      <c r="W31" s="2993">
        <v>30000</v>
      </c>
      <c r="X31" s="1459">
        <f t="shared" si="10"/>
        <v>30000</v>
      </c>
      <c r="Y31" s="1459">
        <f t="shared" si="11"/>
        <v>60000</v>
      </c>
      <c r="Z31" s="1910">
        <v>-0.38</v>
      </c>
    </row>
    <row r="32" spans="2:26">
      <c r="C32" s="1450" t="s">
        <v>1734</v>
      </c>
      <c r="D32" s="2777"/>
      <c r="E32" s="1452">
        <v>0.21</v>
      </c>
      <c r="F32" s="1485"/>
      <c r="H32" s="2428" t="s">
        <v>876</v>
      </c>
      <c r="I32" s="2416">
        <v>228</v>
      </c>
      <c r="J32" s="1470" t="s">
        <v>110</v>
      </c>
      <c r="K32" s="1460" t="s">
        <v>845</v>
      </c>
      <c r="L32" s="1467">
        <v>614.04999999999995</v>
      </c>
      <c r="M32" s="1467">
        <v>150</v>
      </c>
      <c r="N32" s="1461">
        <v>5.3519088386833153E-3</v>
      </c>
      <c r="O32" s="1460">
        <v>12</v>
      </c>
      <c r="P32" s="1463" t="s">
        <v>878</v>
      </c>
      <c r="Q32" s="3233">
        <v>200</v>
      </c>
      <c r="R32" s="1466">
        <v>200</v>
      </c>
      <c r="S32" s="1469">
        <f t="shared" si="4"/>
        <v>400</v>
      </c>
      <c r="T32" s="2991">
        <v>45600</v>
      </c>
      <c r="U32" s="1469">
        <f t="shared" si="8"/>
        <v>45600</v>
      </c>
      <c r="V32" s="1469">
        <f t="shared" si="9"/>
        <v>91200</v>
      </c>
      <c r="W32" s="2993">
        <v>30000</v>
      </c>
      <c r="X32" s="1459">
        <f t="shared" si="10"/>
        <v>30000</v>
      </c>
      <c r="Y32" s="1459">
        <f t="shared" si="11"/>
        <v>60000</v>
      </c>
      <c r="Z32" s="1910">
        <v>5.21</v>
      </c>
    </row>
    <row r="33" spans="1:26">
      <c r="C33" s="1667" t="s">
        <v>719</v>
      </c>
      <c r="D33" s="2778"/>
      <c r="E33" s="1641">
        <f>E15*E32</f>
        <v>17366.611499999999</v>
      </c>
      <c r="F33" s="1661">
        <f>SUM(D33:E33)</f>
        <v>17366.611499999999</v>
      </c>
      <c r="H33" s="2429" t="s">
        <v>1576</v>
      </c>
      <c r="I33" s="2416">
        <v>809</v>
      </c>
      <c r="J33" s="1470" t="s">
        <v>110</v>
      </c>
      <c r="K33" s="1460" t="s">
        <v>845</v>
      </c>
      <c r="L33" s="1467">
        <v>700</v>
      </c>
      <c r="M33" s="1467">
        <v>700</v>
      </c>
      <c r="N33" s="1461">
        <v>7.5959548254294781E-2</v>
      </c>
      <c r="O33" s="1460">
        <v>11</v>
      </c>
      <c r="P33" s="1463" t="s">
        <v>846</v>
      </c>
      <c r="Q33" s="3233">
        <v>1000</v>
      </c>
      <c r="R33" s="1466">
        <v>600</v>
      </c>
      <c r="S33" s="1469">
        <f t="shared" si="4"/>
        <v>1600</v>
      </c>
      <c r="T33" s="2991">
        <v>809000</v>
      </c>
      <c r="U33" s="1469">
        <f t="shared" si="8"/>
        <v>485400</v>
      </c>
      <c r="V33" s="1469">
        <f t="shared" si="9"/>
        <v>1294400</v>
      </c>
      <c r="W33" s="2993">
        <v>650000</v>
      </c>
      <c r="X33" s="1459">
        <f t="shared" si="10"/>
        <v>420000</v>
      </c>
      <c r="Y33" s="1459">
        <f t="shared" si="11"/>
        <v>1070000</v>
      </c>
      <c r="Z33" s="1910">
        <v>6.37</v>
      </c>
    </row>
    <row r="34" spans="1:26">
      <c r="A34" s="1400" t="s">
        <v>59</v>
      </c>
      <c r="C34" s="1667" t="s">
        <v>720</v>
      </c>
      <c r="D34" s="2785"/>
      <c r="E34" s="1641">
        <f>E21*E32</f>
        <v>8163.75</v>
      </c>
      <c r="F34" s="1661">
        <f t="shared" ref="F34" si="13">SUM(D34:E34)</f>
        <v>8163.75</v>
      </c>
      <c r="H34" s="2430" t="s">
        <v>1577</v>
      </c>
      <c r="I34" s="2416">
        <v>65</v>
      </c>
      <c r="J34" s="1470" t="s">
        <v>110</v>
      </c>
      <c r="K34" s="1460" t="s">
        <v>845</v>
      </c>
      <c r="L34" s="1467">
        <v>0</v>
      </c>
      <c r="M34" s="1467">
        <v>25</v>
      </c>
      <c r="N34" s="1461">
        <v>7.7432496849151695E-3</v>
      </c>
      <c r="O34" s="1460">
        <v>14</v>
      </c>
      <c r="P34" s="1463" t="s">
        <v>846</v>
      </c>
      <c r="Q34" s="3233">
        <v>1930</v>
      </c>
      <c r="R34" s="1466">
        <v>100</v>
      </c>
      <c r="S34" s="1469">
        <f t="shared" si="4"/>
        <v>2030</v>
      </c>
      <c r="T34" s="2991">
        <v>125450</v>
      </c>
      <c r="U34" s="1469">
        <f t="shared" si="8"/>
        <v>6500</v>
      </c>
      <c r="V34" s="1469">
        <f t="shared" si="9"/>
        <v>131950</v>
      </c>
      <c r="W34" s="2993">
        <v>48250</v>
      </c>
      <c r="X34" s="1459">
        <f t="shared" si="10"/>
        <v>2500</v>
      </c>
      <c r="Y34" s="1459">
        <f t="shared" si="11"/>
        <v>50750</v>
      </c>
      <c r="Z34" s="1910">
        <v>6.37</v>
      </c>
    </row>
    <row r="35" spans="1:26">
      <c r="A35" s="1357" t="s">
        <v>275</v>
      </c>
      <c r="C35" s="1445"/>
      <c r="D35" s="2775"/>
      <c r="E35" s="1444"/>
      <c r="F35" s="1426">
        <f t="shared" si="12"/>
        <v>0</v>
      </c>
      <c r="H35" s="2428" t="s">
        <v>877</v>
      </c>
      <c r="I35" s="2416">
        <v>23</v>
      </c>
      <c r="J35" s="1470" t="s">
        <v>110</v>
      </c>
      <c r="K35" s="1460" t="s">
        <v>845</v>
      </c>
      <c r="L35" s="1467">
        <v>45.2</v>
      </c>
      <c r="M35" s="1467">
        <v>25</v>
      </c>
      <c r="N35" s="1461">
        <v>2.6994277037218478E-4</v>
      </c>
      <c r="O35" s="1460">
        <v>22</v>
      </c>
      <c r="P35" s="1463" t="s">
        <v>879</v>
      </c>
      <c r="Q35" s="3233">
        <v>100</v>
      </c>
      <c r="R35" s="1466">
        <v>100</v>
      </c>
      <c r="S35" s="1469">
        <f t="shared" si="4"/>
        <v>200</v>
      </c>
      <c r="T35" s="2991">
        <v>2300</v>
      </c>
      <c r="U35" s="1469">
        <f t="shared" si="8"/>
        <v>2300</v>
      </c>
      <c r="V35" s="1469">
        <f t="shared" si="9"/>
        <v>4600</v>
      </c>
      <c r="W35" s="2993">
        <v>2500</v>
      </c>
      <c r="X35" s="1459">
        <f t="shared" si="10"/>
        <v>2500</v>
      </c>
      <c r="Y35" s="1459">
        <f t="shared" si="11"/>
        <v>5000</v>
      </c>
      <c r="Z35" s="1910">
        <v>0</v>
      </c>
    </row>
    <row r="36" spans="1:26">
      <c r="A36" s="1400" t="s">
        <v>5</v>
      </c>
      <c r="C36" s="1488"/>
      <c r="D36" s="2779"/>
      <c r="E36" s="1490"/>
      <c r="F36" s="1493"/>
      <c r="H36" s="1921" t="s">
        <v>1829</v>
      </c>
      <c r="I36" s="1922">
        <v>39</v>
      </c>
      <c r="J36" s="1470" t="s">
        <v>110</v>
      </c>
      <c r="K36" s="1460" t="s">
        <v>845</v>
      </c>
      <c r="L36" s="1467">
        <v>100.23</v>
      </c>
      <c r="M36" s="1467">
        <v>100</v>
      </c>
      <c r="N36" s="1461">
        <v>6.8659356812055695E-3</v>
      </c>
      <c r="O36" s="1460">
        <v>15</v>
      </c>
      <c r="P36" s="1463" t="s">
        <v>879</v>
      </c>
      <c r="Q36" s="3233">
        <v>0</v>
      </c>
      <c r="R36" s="1466">
        <v>3000</v>
      </c>
      <c r="S36" s="1469">
        <f t="shared" si="4"/>
        <v>3000</v>
      </c>
      <c r="T36" s="2991">
        <v>0</v>
      </c>
      <c r="U36" s="1469">
        <f t="shared" si="5"/>
        <v>117000</v>
      </c>
      <c r="V36" s="1469">
        <f t="shared" si="6"/>
        <v>117000</v>
      </c>
      <c r="W36" s="2993">
        <v>0</v>
      </c>
      <c r="X36" s="1459">
        <f t="shared" si="2"/>
        <v>300000</v>
      </c>
      <c r="Y36" s="1459">
        <f t="shared" si="3"/>
        <v>300000</v>
      </c>
      <c r="Z36" s="1910"/>
    </row>
    <row r="37" spans="1:26">
      <c r="A37" s="1400">
        <v>18230434</v>
      </c>
      <c r="C37" s="1451" t="s">
        <v>46</v>
      </c>
      <c r="D37" s="2771">
        <f>SUM(D38:D41)</f>
        <v>388869.36</v>
      </c>
      <c r="E37" s="1464">
        <f>SUM(E38:E41)</f>
        <v>388395</v>
      </c>
      <c r="F37" s="1638">
        <f>D37+E37</f>
        <v>777264.36</v>
      </c>
      <c r="H37" s="1921" t="s">
        <v>1830</v>
      </c>
      <c r="I37" s="1922">
        <v>65</v>
      </c>
      <c r="J37" s="1470" t="s">
        <v>110</v>
      </c>
      <c r="K37" s="1460" t="s">
        <v>845</v>
      </c>
      <c r="L37" s="1467">
        <v>0</v>
      </c>
      <c r="M37" s="1467">
        <v>100</v>
      </c>
      <c r="N37" s="1461">
        <v>2.0979247914794795E-2</v>
      </c>
      <c r="O37" s="1460">
        <v>14</v>
      </c>
      <c r="P37" s="1463" t="s">
        <v>846</v>
      </c>
      <c r="Q37" s="3233">
        <v>0</v>
      </c>
      <c r="R37" s="1466">
        <v>5500</v>
      </c>
      <c r="S37" s="1469">
        <f t="shared" si="4"/>
        <v>5500</v>
      </c>
      <c r="T37" s="2991">
        <v>1</v>
      </c>
      <c r="U37" s="1469">
        <f t="shared" ref="U37" si="14">R37*I37</f>
        <v>357500</v>
      </c>
      <c r="V37" s="1469">
        <f t="shared" ref="V37" si="15">SUM(T37:U37)</f>
        <v>357501</v>
      </c>
      <c r="W37" s="2993">
        <v>1</v>
      </c>
      <c r="X37" s="1459">
        <f t="shared" ref="X37" si="16">R37*M37</f>
        <v>550000</v>
      </c>
      <c r="Y37" s="1459">
        <f t="shared" ref="Y37" si="17">SUM(W37:X37)</f>
        <v>550001</v>
      </c>
      <c r="Z37" s="1910"/>
    </row>
    <row r="38" spans="1:26">
      <c r="A38" s="1357" t="s">
        <v>4</v>
      </c>
      <c r="C38" s="1423" t="s">
        <v>1824</v>
      </c>
      <c r="D38" s="2778">
        <v>166119.35999999999</v>
      </c>
      <c r="E38" s="1520">
        <v>145781</v>
      </c>
      <c r="F38" s="1426">
        <f t="shared" ref="F38:F41" si="18">SUM(D38:E38)</f>
        <v>311900.36</v>
      </c>
      <c r="H38" s="1921" t="s">
        <v>1831</v>
      </c>
      <c r="I38" s="1922">
        <v>101</v>
      </c>
      <c r="J38" s="1470" t="s">
        <v>110</v>
      </c>
      <c r="K38" s="1460" t="s">
        <v>845</v>
      </c>
      <c r="L38" s="1467">
        <v>108.98</v>
      </c>
      <c r="M38" s="1467">
        <v>100</v>
      </c>
      <c r="N38" s="1461">
        <v>2.6671519376990863E-2</v>
      </c>
      <c r="O38" s="1460">
        <v>14</v>
      </c>
      <c r="P38" s="1463" t="s">
        <v>846</v>
      </c>
      <c r="Q38" s="3233">
        <v>0</v>
      </c>
      <c r="R38" s="1466">
        <v>4500</v>
      </c>
      <c r="S38" s="1469">
        <f t="shared" si="4"/>
        <v>4500</v>
      </c>
      <c r="T38" s="2991">
        <v>0</v>
      </c>
      <c r="U38" s="1469">
        <f t="shared" si="5"/>
        <v>454500</v>
      </c>
      <c r="V38" s="1469">
        <f t="shared" si="6"/>
        <v>454500</v>
      </c>
      <c r="W38" s="2993">
        <v>0</v>
      </c>
      <c r="X38" s="1459">
        <f t="shared" si="2"/>
        <v>450000</v>
      </c>
      <c r="Y38" s="1459">
        <f t="shared" si="3"/>
        <v>450000</v>
      </c>
      <c r="Z38" s="1910"/>
    </row>
    <row r="39" spans="1:26">
      <c r="C39" s="1423" t="s">
        <v>1825</v>
      </c>
      <c r="D39" s="2778">
        <v>222750</v>
      </c>
      <c r="E39" s="1520">
        <v>182614</v>
      </c>
      <c r="F39" s="1426">
        <f t="shared" si="18"/>
        <v>405364</v>
      </c>
      <c r="H39" s="1921" t="s">
        <v>1832</v>
      </c>
      <c r="I39" s="1922">
        <v>25.93</v>
      </c>
      <c r="J39" s="1470" t="s">
        <v>110</v>
      </c>
      <c r="K39" s="1460" t="s">
        <v>845</v>
      </c>
      <c r="L39" s="1467">
        <v>1.7</v>
      </c>
      <c r="M39" s="1467">
        <v>1.7</v>
      </c>
      <c r="N39" s="1461">
        <v>7.6082782997290771E-3</v>
      </c>
      <c r="O39" s="1460">
        <v>10</v>
      </c>
      <c r="P39" s="1463" t="s">
        <v>846</v>
      </c>
      <c r="Q39" s="3233">
        <v>0</v>
      </c>
      <c r="R39" s="1466">
        <v>5000</v>
      </c>
      <c r="S39" s="1469">
        <f t="shared" si="4"/>
        <v>5000</v>
      </c>
      <c r="T39" s="2991">
        <v>0</v>
      </c>
      <c r="U39" s="1469">
        <f t="shared" si="5"/>
        <v>129650</v>
      </c>
      <c r="V39" s="1469">
        <f t="shared" si="6"/>
        <v>129650</v>
      </c>
      <c r="W39" s="2993">
        <v>0</v>
      </c>
      <c r="X39" s="1459">
        <f t="shared" si="2"/>
        <v>8500</v>
      </c>
      <c r="Y39" s="1459">
        <f t="shared" si="3"/>
        <v>8500</v>
      </c>
      <c r="Z39" s="1910"/>
    </row>
    <row r="40" spans="1:26">
      <c r="C40" s="1423" t="s">
        <v>1827</v>
      </c>
      <c r="D40" s="2778"/>
      <c r="E40" s="1520">
        <v>60000</v>
      </c>
      <c r="F40" s="1426">
        <f t="shared" si="18"/>
        <v>60000</v>
      </c>
      <c r="H40" s="1921" t="s">
        <v>1833</v>
      </c>
      <c r="I40" s="1922">
        <v>25.93</v>
      </c>
      <c r="J40" s="1470" t="s">
        <v>110</v>
      </c>
      <c r="K40" s="1460" t="s">
        <v>845</v>
      </c>
      <c r="L40" s="1467">
        <v>1.7</v>
      </c>
      <c r="M40" s="1467">
        <v>1.7</v>
      </c>
      <c r="N40" s="1461">
        <v>3.0433113198916309E-3</v>
      </c>
      <c r="O40" s="1460">
        <v>10</v>
      </c>
      <c r="P40" s="1463" t="s">
        <v>846</v>
      </c>
      <c r="Q40" s="3233">
        <v>0</v>
      </c>
      <c r="R40" s="1466">
        <v>2000</v>
      </c>
      <c r="S40" s="1469">
        <f t="shared" si="4"/>
        <v>2000</v>
      </c>
      <c r="T40" s="2991">
        <v>0</v>
      </c>
      <c r="U40" s="1469">
        <f t="shared" si="5"/>
        <v>51860</v>
      </c>
      <c r="V40" s="1469">
        <f t="shared" si="6"/>
        <v>51860</v>
      </c>
      <c r="W40" s="2993">
        <v>0</v>
      </c>
      <c r="X40" s="1459">
        <f t="shared" si="2"/>
        <v>3400</v>
      </c>
      <c r="Y40" s="1459">
        <f t="shared" si="3"/>
        <v>3400</v>
      </c>
      <c r="Z40" s="1910"/>
    </row>
    <row r="41" spans="1:26">
      <c r="C41" s="1423"/>
      <c r="D41" s="2778"/>
      <c r="E41" s="1520"/>
      <c r="F41" s="1426">
        <f t="shared" si="18"/>
        <v>0</v>
      </c>
      <c r="H41" s="1460" t="s">
        <v>1834</v>
      </c>
      <c r="I41" s="1466">
        <v>31.36</v>
      </c>
      <c r="J41" s="1470" t="s">
        <v>110</v>
      </c>
      <c r="K41" s="1460" t="s">
        <v>845</v>
      </c>
      <c r="L41" s="1467">
        <v>1.7</v>
      </c>
      <c r="M41" s="1467">
        <v>1.7</v>
      </c>
      <c r="N41" s="1461">
        <v>3.680610990813789E-3</v>
      </c>
      <c r="O41" s="1460">
        <v>10</v>
      </c>
      <c r="P41" s="1463" t="s">
        <v>846</v>
      </c>
      <c r="Q41" s="3233">
        <v>0</v>
      </c>
      <c r="R41" s="1466">
        <v>2000</v>
      </c>
      <c r="S41" s="1469">
        <f t="shared" ref="S41:S46" si="19">SUM(Q41:R41)</f>
        <v>2000</v>
      </c>
      <c r="T41" s="2991">
        <v>1</v>
      </c>
      <c r="U41" s="1469">
        <f t="shared" ref="U41:U46" si="20">R41*I41</f>
        <v>62720</v>
      </c>
      <c r="V41" s="1469">
        <f t="shared" ref="V41:V46" si="21">SUM(T41:U41)</f>
        <v>62721</v>
      </c>
      <c r="W41" s="2993">
        <v>1</v>
      </c>
      <c r="X41" s="1459">
        <f t="shared" ref="X41:X46" si="22">R41*M41</f>
        <v>3400</v>
      </c>
      <c r="Y41" s="1459">
        <f t="shared" ref="Y41:Y46" si="23">SUM(W41:X41)</f>
        <v>3401</v>
      </c>
      <c r="Z41" s="1482"/>
    </row>
    <row r="42" spans="1:26">
      <c r="C42" s="1488"/>
      <c r="D42" s="2779"/>
      <c r="E42" s="1490"/>
      <c r="F42" s="1493"/>
      <c r="H42" s="1460" t="s">
        <v>1835</v>
      </c>
      <c r="I42" s="1466">
        <v>31.36</v>
      </c>
      <c r="J42" s="1470" t="s">
        <v>110</v>
      </c>
      <c r="K42" s="1460" t="s">
        <v>845</v>
      </c>
      <c r="L42" s="1467">
        <v>1.7</v>
      </c>
      <c r="M42" s="1467">
        <v>1.7</v>
      </c>
      <c r="N42" s="1461">
        <v>2.2083665944882735E-3</v>
      </c>
      <c r="O42" s="1460">
        <v>10</v>
      </c>
      <c r="P42" s="1463" t="s">
        <v>846</v>
      </c>
      <c r="Q42" s="3233">
        <v>0</v>
      </c>
      <c r="R42" s="1466">
        <v>1200</v>
      </c>
      <c r="S42" s="1469">
        <f t="shared" si="19"/>
        <v>1200</v>
      </c>
      <c r="T42" s="2991">
        <v>2</v>
      </c>
      <c r="U42" s="1469">
        <f t="shared" si="20"/>
        <v>37632</v>
      </c>
      <c r="V42" s="1469">
        <f t="shared" si="21"/>
        <v>37634</v>
      </c>
      <c r="W42" s="2993">
        <v>2</v>
      </c>
      <c r="X42" s="1459">
        <f t="shared" si="22"/>
        <v>2040</v>
      </c>
      <c r="Y42" s="1459">
        <f t="shared" si="23"/>
        <v>2042</v>
      </c>
      <c r="Z42" s="1482"/>
    </row>
    <row r="43" spans="1:26">
      <c r="C43" s="1597" t="s">
        <v>483</v>
      </c>
      <c r="D43" s="2771">
        <f>SUM(D44:D47)</f>
        <v>6000</v>
      </c>
      <c r="E43" s="1464">
        <f>SUM(E44:E47)</f>
        <v>3000</v>
      </c>
      <c r="F43" s="1638">
        <f>D43+E43</f>
        <v>9000</v>
      </c>
      <c r="H43" s="1460" t="s">
        <v>1836</v>
      </c>
      <c r="I43" s="1466">
        <v>15.11</v>
      </c>
      <c r="J43" s="1470" t="s">
        <v>110</v>
      </c>
      <c r="K43" s="1460" t="s">
        <v>845</v>
      </c>
      <c r="L43" s="1467">
        <v>1.7</v>
      </c>
      <c r="M43" s="1467">
        <v>1.7</v>
      </c>
      <c r="N43" s="1461">
        <v>2.2167582936541913E-3</v>
      </c>
      <c r="O43" s="1460">
        <v>10</v>
      </c>
      <c r="P43" s="1463" t="s">
        <v>846</v>
      </c>
      <c r="Q43" s="3233">
        <v>0</v>
      </c>
      <c r="R43" s="1466">
        <v>2500</v>
      </c>
      <c r="S43" s="1469">
        <f t="shared" si="19"/>
        <v>2500</v>
      </c>
      <c r="T43" s="2991">
        <v>3</v>
      </c>
      <c r="U43" s="1469">
        <f t="shared" si="20"/>
        <v>37775</v>
      </c>
      <c r="V43" s="1469">
        <f t="shared" si="21"/>
        <v>37778</v>
      </c>
      <c r="W43" s="2993">
        <v>3</v>
      </c>
      <c r="X43" s="1459">
        <f t="shared" si="22"/>
        <v>4250</v>
      </c>
      <c r="Y43" s="1459">
        <f t="shared" si="23"/>
        <v>4253</v>
      </c>
      <c r="Z43" s="1482"/>
    </row>
    <row r="44" spans="1:26">
      <c r="C44" s="1423" t="s">
        <v>861</v>
      </c>
      <c r="D44" s="2778">
        <v>6000</v>
      </c>
      <c r="E44" s="1520">
        <v>3000</v>
      </c>
      <c r="F44" s="1426">
        <f t="shared" ref="F44:F47" si="24">SUM(D44:E44)</f>
        <v>9000</v>
      </c>
      <c r="H44" s="1460" t="s">
        <v>1837</v>
      </c>
      <c r="I44" s="1466">
        <v>15.11</v>
      </c>
      <c r="J44" s="1470" t="s">
        <v>110</v>
      </c>
      <c r="K44" s="1460" t="s">
        <v>845</v>
      </c>
      <c r="L44" s="1467">
        <v>1.7</v>
      </c>
      <c r="M44" s="1467">
        <v>1.7</v>
      </c>
      <c r="N44" s="1461">
        <v>8.8670331746167649E-4</v>
      </c>
      <c r="O44" s="1460">
        <v>10</v>
      </c>
      <c r="P44" s="1463" t="s">
        <v>846</v>
      </c>
      <c r="Q44" s="3233">
        <v>0</v>
      </c>
      <c r="R44" s="1466">
        <v>1000</v>
      </c>
      <c r="S44" s="1469">
        <f t="shared" si="19"/>
        <v>1000</v>
      </c>
      <c r="T44" s="2991">
        <v>4</v>
      </c>
      <c r="U44" s="1469">
        <f t="shared" si="20"/>
        <v>15110</v>
      </c>
      <c r="V44" s="1469">
        <f t="shared" si="21"/>
        <v>15114</v>
      </c>
      <c r="W44" s="2993">
        <v>4</v>
      </c>
      <c r="X44" s="1459">
        <f t="shared" si="22"/>
        <v>1700</v>
      </c>
      <c r="Y44" s="1459">
        <f t="shared" si="23"/>
        <v>1704</v>
      </c>
      <c r="Z44" s="1482"/>
    </row>
    <row r="45" spans="1:26">
      <c r="C45" s="1423"/>
      <c r="D45" s="2778"/>
      <c r="E45" s="1520"/>
      <c r="F45" s="1426">
        <f t="shared" si="24"/>
        <v>0</v>
      </c>
      <c r="H45" s="1460" t="s">
        <v>1838</v>
      </c>
      <c r="I45" s="1466">
        <v>18.27</v>
      </c>
      <c r="J45" s="1470" t="s">
        <v>110</v>
      </c>
      <c r="K45" s="1460" t="s">
        <v>845</v>
      </c>
      <c r="L45" s="1467">
        <v>1.7</v>
      </c>
      <c r="M45" s="1467">
        <v>1.7</v>
      </c>
      <c r="N45" s="1461">
        <v>1.0721422640651774E-3</v>
      </c>
      <c r="O45" s="1460">
        <v>10</v>
      </c>
      <c r="P45" s="1463" t="s">
        <v>846</v>
      </c>
      <c r="Q45" s="3233">
        <v>0</v>
      </c>
      <c r="R45" s="1466">
        <v>1000</v>
      </c>
      <c r="S45" s="1469">
        <f t="shared" si="19"/>
        <v>1000</v>
      </c>
      <c r="T45" s="2991">
        <v>5</v>
      </c>
      <c r="U45" s="1469">
        <f t="shared" si="20"/>
        <v>18270</v>
      </c>
      <c r="V45" s="1469">
        <f t="shared" si="21"/>
        <v>18275</v>
      </c>
      <c r="W45" s="2993">
        <v>5</v>
      </c>
      <c r="X45" s="1459">
        <f t="shared" si="22"/>
        <v>1700</v>
      </c>
      <c r="Y45" s="1459">
        <f t="shared" si="23"/>
        <v>1705</v>
      </c>
      <c r="Z45" s="1482"/>
    </row>
    <row r="46" spans="1:26">
      <c r="C46" s="1423"/>
      <c r="D46" s="2778"/>
      <c r="E46" s="1520"/>
      <c r="F46" s="1426">
        <f t="shared" si="24"/>
        <v>0</v>
      </c>
      <c r="H46" s="1460" t="s">
        <v>1839</v>
      </c>
      <c r="I46" s="1466">
        <v>18.27</v>
      </c>
      <c r="J46" s="1470" t="s">
        <v>110</v>
      </c>
      <c r="K46" s="1460" t="s">
        <v>845</v>
      </c>
      <c r="L46" s="1467">
        <v>1.7</v>
      </c>
      <c r="M46" s="1467">
        <v>1.7</v>
      </c>
      <c r="N46" s="1461">
        <v>6.4328535843910636E-4</v>
      </c>
      <c r="O46" s="1460">
        <v>10</v>
      </c>
      <c r="P46" s="1463" t="s">
        <v>846</v>
      </c>
      <c r="Q46" s="3233">
        <v>0</v>
      </c>
      <c r="R46" s="1466">
        <v>600</v>
      </c>
      <c r="S46" s="1469">
        <f t="shared" si="19"/>
        <v>600</v>
      </c>
      <c r="T46" s="2991">
        <v>6</v>
      </c>
      <c r="U46" s="1469">
        <f t="shared" si="20"/>
        <v>10962</v>
      </c>
      <c r="V46" s="1469">
        <f t="shared" si="21"/>
        <v>10968</v>
      </c>
      <c r="W46" s="2993">
        <v>6</v>
      </c>
      <c r="X46" s="1459">
        <f t="shared" si="22"/>
        <v>1020</v>
      </c>
      <c r="Y46" s="1459">
        <f t="shared" si="23"/>
        <v>1026</v>
      </c>
      <c r="Z46" s="1482"/>
    </row>
    <row r="47" spans="1:26">
      <c r="C47" s="1423"/>
      <c r="D47" s="2778"/>
      <c r="E47" s="1520"/>
      <c r="F47" s="1426">
        <f t="shared" si="24"/>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3:26">
      <c r="C49" s="1451" t="s">
        <v>47</v>
      </c>
      <c r="D49" s="2771">
        <f>SUM(D50:D54)</f>
        <v>550000</v>
      </c>
      <c r="E49" s="1464">
        <f>SUM(E50:E54)</f>
        <v>388734</v>
      </c>
      <c r="F49" s="1638">
        <f>D49+E49</f>
        <v>938734</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3:26">
      <c r="C50" s="1423" t="s">
        <v>833</v>
      </c>
      <c r="D50" s="2778">
        <v>250000</v>
      </c>
      <c r="E50" s="1520">
        <v>74881</v>
      </c>
      <c r="F50" s="1426">
        <f t="shared" ref="F50:F54" si="25">SUM(D50:E50)</f>
        <v>324881</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3:26">
      <c r="C51" s="1423" t="s">
        <v>832</v>
      </c>
      <c r="D51" s="2778">
        <v>300000</v>
      </c>
      <c r="E51" s="1520">
        <v>291853</v>
      </c>
      <c r="F51" s="1426">
        <f t="shared" si="25"/>
        <v>591853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3:26" s="1652" customFormat="1">
      <c r="C52" s="1667" t="s">
        <v>1828</v>
      </c>
      <c r="D52" s="2778"/>
      <c r="E52" s="1672">
        <v>7000</v>
      </c>
      <c r="F52" s="1426"/>
      <c r="H52" s="1931"/>
      <c r="I52" s="1983"/>
      <c r="J52" s="1932"/>
      <c r="K52" s="1931"/>
      <c r="L52" s="2013"/>
      <c r="M52" s="2013"/>
      <c r="N52" s="1979"/>
      <c r="O52" s="1931"/>
      <c r="P52" s="3238"/>
      <c r="Q52" s="1983"/>
      <c r="R52" s="1983"/>
      <c r="S52" s="1954"/>
      <c r="T52" s="1954"/>
      <c r="U52" s="1954"/>
      <c r="V52" s="1954"/>
      <c r="W52" s="2012"/>
      <c r="X52" s="2012"/>
      <c r="Y52" s="2012"/>
      <c r="Z52" s="1971"/>
    </row>
    <row r="53" spans="3:26">
      <c r="C53" s="1667" t="s">
        <v>1022</v>
      </c>
      <c r="D53" s="2778"/>
      <c r="E53" s="1520">
        <v>5000</v>
      </c>
      <c r="F53" s="1426">
        <f t="shared" si="25"/>
        <v>5000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3:26">
      <c r="C54" s="1423" t="s">
        <v>335</v>
      </c>
      <c r="D54" s="2778"/>
      <c r="E54" s="1520">
        <v>10000</v>
      </c>
      <c r="F54" s="1426">
        <f t="shared" si="25"/>
        <v>10000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3:26">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3:26">
      <c r="C56" s="1451" t="s">
        <v>48</v>
      </c>
      <c r="D56" s="2771">
        <f>SUM(D57:D60)</f>
        <v>28000</v>
      </c>
      <c r="E56" s="1464">
        <f>SUM(E57:E60)</f>
        <v>3000</v>
      </c>
      <c r="F56" s="1638">
        <f>D56+E56</f>
        <v>31000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3:26">
      <c r="C57" s="1423" t="s">
        <v>834</v>
      </c>
      <c r="D57" s="2778">
        <v>28000</v>
      </c>
      <c r="E57" s="1504">
        <v>3000</v>
      </c>
      <c r="F57" s="1426">
        <f t="shared" ref="F57:F60" si="26">SUM(D57:E57)</f>
        <v>31000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3:26">
      <c r="C58" s="1423"/>
      <c r="D58" s="2778"/>
      <c r="E58" s="1504"/>
      <c r="F58" s="1426">
        <f t="shared" si="26"/>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3:26">
      <c r="C59" s="1423"/>
      <c r="D59" s="2778"/>
      <c r="E59" s="1504"/>
      <c r="F59" s="1426">
        <f t="shared" si="26"/>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3:26">
      <c r="C60" s="1423"/>
      <c r="D60" s="2778"/>
      <c r="E60" s="1504"/>
      <c r="F60" s="1426">
        <f t="shared" si="26"/>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3:26">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3:26">
      <c r="C62" s="1451" t="s">
        <v>49</v>
      </c>
      <c r="D62" s="2771">
        <f>SUM(D63:D66)</f>
        <v>7500</v>
      </c>
      <c r="E62" s="1464">
        <f>SUM(E63:E66)</f>
        <v>500</v>
      </c>
      <c r="F62" s="1638">
        <f>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3:26">
      <c r="C63" s="1423" t="s">
        <v>835</v>
      </c>
      <c r="D63" s="2778">
        <v>7500</v>
      </c>
      <c r="E63" s="1520">
        <v>500</v>
      </c>
      <c r="F63" s="1426">
        <f t="shared" ref="F63:F66" si="27">SUM(D63:E63)</f>
        <v>8000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3:26">
      <c r="C64" s="1423"/>
      <c r="D64" s="2778"/>
      <c r="E64" s="1520"/>
      <c r="F64" s="1426">
        <f t="shared" si="27"/>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400" t="s">
        <v>59</v>
      </c>
      <c r="C65" s="1423"/>
      <c r="D65" s="2778"/>
      <c r="E65" s="1520"/>
      <c r="F65" s="1426">
        <f t="shared" si="27"/>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275</v>
      </c>
      <c r="C66" s="1423"/>
      <c r="D66" s="2778"/>
      <c r="E66" s="1520"/>
      <c r="F66" s="1426">
        <f t="shared" si="27"/>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482"/>
    </row>
    <row r="67" spans="1:26">
      <c r="A67" s="1400" t="s">
        <v>5</v>
      </c>
      <c r="C67" s="1488"/>
      <c r="D67" s="2779"/>
      <c r="E67" s="1490"/>
      <c r="F67" s="1493"/>
    </row>
    <row r="68" spans="1:26">
      <c r="A68" s="1400">
        <v>18230434</v>
      </c>
      <c r="C68" s="1451" t="s">
        <v>50</v>
      </c>
      <c r="D68" s="2771">
        <f>W15</f>
        <v>4572765</v>
      </c>
      <c r="E68" s="1464">
        <f>X15</f>
        <v>3443880</v>
      </c>
      <c r="F68" s="1462">
        <f>D68+E68</f>
        <v>8016645</v>
      </c>
    </row>
    <row r="69" spans="1:26">
      <c r="A69" s="1357" t="s">
        <v>4</v>
      </c>
      <c r="C69" s="1500" t="s">
        <v>297</v>
      </c>
      <c r="D69" s="2938">
        <f>D68/D12</f>
        <v>0.78938625019743203</v>
      </c>
      <c r="E69" s="1986">
        <f>E68/E12</f>
        <v>0.77247266578512019</v>
      </c>
      <c r="F69" s="1499"/>
    </row>
    <row r="70" spans="1:26">
      <c r="C70" s="1501"/>
      <c r="D70" s="2782"/>
      <c r="E70" s="1497"/>
      <c r="F70" s="1498"/>
    </row>
    <row r="71" spans="1:26">
      <c r="C71" s="1494" t="s">
        <v>51</v>
      </c>
      <c r="D71" s="2778">
        <v>0</v>
      </c>
      <c r="E71" s="1503">
        <v>0</v>
      </c>
      <c r="F71" s="1491">
        <v>0</v>
      </c>
    </row>
  </sheetData>
  <customSheetViews>
    <customSheetView guid="{D9EFFE19-D14B-4C6F-BDF4-FF696F73968D}" scale="85" showGridLines="0">
      <pane xSplit="1" ySplit="1" topLeftCell="B2" activePane="bottomRight" state="frozen"/>
      <selection pane="bottomRight" activeCell="E6" sqref="E6"/>
      <pageMargins left="0.2" right="0.18" top="0.32" bottom="0.37" header="0.3" footer="0.3"/>
      <pageSetup paperSize="17" scale="46" orientation="landscape" r:id="rId1"/>
    </customSheetView>
    <customSheetView guid="{074EB09C-6289-46D7-9513-012B68BCA7BF}" showGridLines="0">
      <pane xSplit="1" ySplit="1" topLeftCell="B2" activePane="bottomRight" state="frozen"/>
      <selection pane="bottomRight" activeCell="M16" sqref="M16"/>
      <pageMargins left="0.2" right="0.18" top="0.32" bottom="0.37"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 right="0.18" top="0.32" bottom="0.37" header="0.3" footer="0.3"/>
  <pageSetup paperSize="3" scale="46"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8DB4E2"/>
  </sheetPr>
  <dimension ref="A1:Z71"/>
  <sheetViews>
    <sheetView showGridLines="0" workbookViewId="0">
      <pane xSplit="1" ySplit="1" topLeftCell="B14" activePane="bottomRight" state="frozen"/>
      <selection pane="topRight" activeCell="B1" sqref="B1"/>
      <selection pane="bottomLeft" activeCell="A2" sqref="A2"/>
      <selection pane="bottomRight" activeCell="AC13" sqref="AC13"/>
    </sheetView>
  </sheetViews>
  <sheetFormatPr defaultRowHeight="12.75"/>
  <cols>
    <col min="1" max="1" width="18.5703125" style="849" customWidth="1"/>
    <col min="2" max="2" width="16.85546875" style="1413" customWidth="1"/>
    <col min="3" max="3" width="28.85546875" customWidth="1"/>
    <col min="4" max="4" width="24.42578125" customWidth="1"/>
    <col min="5" max="5" width="17.28515625" style="9" customWidth="1"/>
    <col min="6" max="7" width="17.28515625" customWidth="1"/>
    <col min="8" max="8" width="46.710937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4.42578125" customWidth="1"/>
    <col min="25" max="25" width="14.5703125" customWidth="1"/>
    <col min="26" max="26" width="12.5703125" style="1907" bestFit="1" customWidth="1"/>
    <col min="249" max="249" width="24" bestFit="1" customWidth="1"/>
    <col min="250" max="250" width="45.7109375" bestFit="1" customWidth="1"/>
    <col min="251" max="251" width="19.7109375" bestFit="1" customWidth="1"/>
    <col min="252" max="252" width="15.285156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5.285156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5.285156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5.285156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5.285156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5.285156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5.285156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5.285156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5.285156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5.285156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5.285156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5.285156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5.285156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5.285156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5.285156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5.285156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5.285156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5.285156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5.285156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5.285156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5.285156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5.285156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5.285156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5.285156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5.285156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5.285156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5.285156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5.285156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5.285156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5.285156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5.285156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5.285156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5.285156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5.285156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5.285156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5.285156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5.285156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5.285156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5.285156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5.285156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5.285156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5.285156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5.285156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5.285156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5.285156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5.285156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5.285156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5.285156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5.285156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5.285156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5.285156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5.285156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5.285156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5.285156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5.285156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5.285156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5.285156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5.285156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5.285156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5.285156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5.285156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5.285156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5.285156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7.75" customHeight="1" thickBot="1">
      <c r="C1" s="1401" t="s">
        <v>177</v>
      </c>
      <c r="D1" s="1361" t="s">
        <v>275</v>
      </c>
      <c r="E1" s="1401" t="s">
        <v>5</v>
      </c>
      <c r="F1" s="1401">
        <v>18230435</v>
      </c>
      <c r="G1" s="1361" t="s">
        <v>4</v>
      </c>
      <c r="J1" s="1361"/>
      <c r="K1" s="1361"/>
      <c r="L1" s="1361"/>
      <c r="M1" s="1401" t="s">
        <v>177</v>
      </c>
      <c r="N1" s="1361" t="s">
        <v>275</v>
      </c>
      <c r="O1" s="1401" t="s">
        <v>5</v>
      </c>
      <c r="P1" s="1401">
        <v>18230435</v>
      </c>
      <c r="Q1" s="1361" t="s">
        <v>4</v>
      </c>
      <c r="V1" s="1401" t="s">
        <v>177</v>
      </c>
      <c r="W1" s="1361" t="s">
        <v>275</v>
      </c>
      <c r="X1" s="1401" t="s">
        <v>5</v>
      </c>
      <c r="Y1" s="1401">
        <v>18230435</v>
      </c>
      <c r="Z1" s="1912" t="s">
        <v>4</v>
      </c>
    </row>
    <row r="2" spans="1:26" ht="16.5" thickBot="1">
      <c r="C2" s="44"/>
      <c r="D2" s="45"/>
      <c r="G2" s="1652"/>
      <c r="I2" s="1178" t="s">
        <v>627</v>
      </c>
      <c r="S2" s="3575"/>
      <c r="T2" s="3575"/>
      <c r="U2" s="3576" t="s">
        <v>33</v>
      </c>
      <c r="V2" s="3577"/>
      <c r="W2" s="3578"/>
      <c r="X2" s="3579" t="s">
        <v>34</v>
      </c>
    </row>
    <row r="3" spans="1:26" ht="26.25" thickBot="1">
      <c r="A3" s="1400" t="s">
        <v>177</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32430.300000000003</v>
      </c>
      <c r="J4" s="2948">
        <f>D21</f>
        <v>4800</v>
      </c>
      <c r="K4" s="2948">
        <f>D27</f>
        <v>24832.610100000005</v>
      </c>
      <c r="L4" s="2948">
        <f>D37</f>
        <v>83990.93</v>
      </c>
      <c r="M4" s="2948">
        <f>D43</f>
        <v>1000</v>
      </c>
      <c r="N4" s="2948">
        <f>D49</f>
        <v>40000</v>
      </c>
      <c r="O4" s="2948">
        <f>D55</f>
        <v>1000</v>
      </c>
      <c r="P4" s="2948">
        <f>D61</f>
        <v>500</v>
      </c>
      <c r="Q4" s="2948">
        <f>D67</f>
        <v>463575</v>
      </c>
      <c r="R4" s="2948">
        <f>D70</f>
        <v>0</v>
      </c>
      <c r="S4" s="2949">
        <f>SUM(I4:R4)</f>
        <v>652128.84010000003</v>
      </c>
      <c r="T4" s="2950">
        <f>T15</f>
        <v>4775738</v>
      </c>
      <c r="U4" s="2954">
        <f>Q4/S4</f>
        <v>0.71086412913269337</v>
      </c>
      <c r="V4" s="2954">
        <f>(L4+(J4*1.63))/S4</f>
        <v>0.14079262310484647</v>
      </c>
      <c r="W4" s="2954">
        <f>N4/S4</f>
        <v>6.1337572486237904E-2</v>
      </c>
      <c r="X4" s="2953">
        <f>S4/T4</f>
        <v>0.13655038029724412</v>
      </c>
    </row>
    <row r="5" spans="1:26" ht="16.5" thickBot="1">
      <c r="A5" s="1400" t="s">
        <v>5</v>
      </c>
      <c r="C5" s="45"/>
      <c r="G5" s="1652"/>
      <c r="H5" s="3205" t="s">
        <v>1753</v>
      </c>
      <c r="I5" s="2617">
        <v>33234.9</v>
      </c>
      <c r="J5" s="2618">
        <v>4920</v>
      </c>
      <c r="K5" s="2618">
        <v>25945.332000000002</v>
      </c>
      <c r="L5" s="2618">
        <v>83990.93</v>
      </c>
      <c r="M5" s="2618">
        <v>1000</v>
      </c>
      <c r="N5" s="2618">
        <v>40000</v>
      </c>
      <c r="O5" s="2618">
        <v>1000</v>
      </c>
      <c r="P5" s="2618">
        <v>500</v>
      </c>
      <c r="Q5" s="2618">
        <v>465575</v>
      </c>
      <c r="R5" s="2618">
        <v>0</v>
      </c>
      <c r="S5" s="2619">
        <v>656166.16200000001</v>
      </c>
      <c r="T5" s="2620">
        <v>4804738</v>
      </c>
      <c r="U5" s="1186">
        <f>Q5/S5</f>
        <v>0.70953826479092352</v>
      </c>
      <c r="V5" s="1186">
        <f>(L5+(J5*1.63))/S5</f>
        <v>0.14022443601716847</v>
      </c>
      <c r="W5" s="1186">
        <f>N5/S5</f>
        <v>6.096016880553496E-2</v>
      </c>
      <c r="X5" s="48">
        <f>S5/T5</f>
        <v>0.13656648125246371</v>
      </c>
    </row>
    <row r="6" spans="1:26" ht="16.5" thickBot="1">
      <c r="A6" s="1400">
        <v>18230435</v>
      </c>
      <c r="B6" s="1400"/>
      <c r="D6" s="44"/>
      <c r="G6" s="1652"/>
      <c r="H6" s="3206" t="s">
        <v>1754</v>
      </c>
      <c r="I6" s="2621">
        <f>E15</f>
        <v>26024.85</v>
      </c>
      <c r="J6" s="2622">
        <f>E21</f>
        <v>5399.7</v>
      </c>
      <c r="K6" s="2623">
        <f>E27</f>
        <v>28219.245900000002</v>
      </c>
      <c r="L6" s="2622">
        <f>E37</f>
        <v>80915</v>
      </c>
      <c r="M6" s="2622">
        <f>E43</f>
        <v>1000</v>
      </c>
      <c r="N6" s="2622">
        <f>E49</f>
        <v>43006</v>
      </c>
      <c r="O6" s="2622">
        <f>E55</f>
        <v>1000</v>
      </c>
      <c r="P6" s="2622">
        <f>E61</f>
        <v>500</v>
      </c>
      <c r="Q6" s="2622">
        <f>E67</f>
        <v>454750</v>
      </c>
      <c r="R6" s="2622">
        <f>E70</f>
        <v>0</v>
      </c>
      <c r="S6" s="2624">
        <f>SUM(I6:R6)</f>
        <v>640814.79590000003</v>
      </c>
      <c r="T6" s="2625">
        <f>U15</f>
        <v>4272610</v>
      </c>
      <c r="U6" s="2631">
        <f>Q6/S6</f>
        <v>0.70964341477371928</v>
      </c>
      <c r="V6" s="2631">
        <f>(L6+(J6*1.63))/S6</f>
        <v>0.14000380698762827</v>
      </c>
      <c r="W6" s="2631">
        <f>N6/S6</f>
        <v>6.7111434185285479E-2</v>
      </c>
      <c r="X6" s="2626">
        <f>S6/T6</f>
        <v>0.14998204748385649</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D15+D21+D27+D37+D43+D49+D55+D61+D67</f>
        <v>652128.84010000003</v>
      </c>
      <c r="E12" s="1484">
        <f>E15+E21+E27+E37+E43+E49+E55+E61+E67</f>
        <v>640814.79590000003</v>
      </c>
      <c r="F12" s="1462">
        <f>D12+E12</f>
        <v>1292943.6359999999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6">
      <c r="B15" s="1433" t="s">
        <v>296</v>
      </c>
      <c r="C15" s="1597" t="s">
        <v>1749</v>
      </c>
      <c r="D15" s="2771">
        <f>SUM(D16:D19)</f>
        <v>32430.300000000003</v>
      </c>
      <c r="E15" s="1464">
        <f>SUM(E16:E19)</f>
        <v>26024.85</v>
      </c>
      <c r="F15" s="1462">
        <f>D15+E15</f>
        <v>58455.15</v>
      </c>
      <c r="H15" s="1475" t="s">
        <v>308</v>
      </c>
      <c r="I15" s="1476"/>
      <c r="J15" s="1476"/>
      <c r="K15" s="1477"/>
      <c r="L15" s="1478">
        <f>SUMPRODUCT(L16:L128,S16:S128)</f>
        <v>1388345.5</v>
      </c>
      <c r="M15" s="1478">
        <f>SUM(M16:M128)</f>
        <v>145.39999999999998</v>
      </c>
      <c r="N15" s="1479">
        <f>SUM(N16:N24)</f>
        <v>0.82815725036216559</v>
      </c>
      <c r="O15" s="1477" t="s">
        <v>309</v>
      </c>
      <c r="P15" s="1477"/>
      <c r="Q15" s="3225"/>
      <c r="R15" s="1477"/>
      <c r="S15" s="1477"/>
      <c r="T15" s="2983">
        <v>4775738</v>
      </c>
      <c r="U15" s="1480">
        <f t="shared" ref="U15:Y15" si="0">SUM(U16:U65)</f>
        <v>4272610</v>
      </c>
      <c r="V15" s="1480">
        <f t="shared" si="0"/>
        <v>9048348</v>
      </c>
      <c r="W15" s="2987">
        <v>463575</v>
      </c>
      <c r="X15" s="1478">
        <f t="shared" si="0"/>
        <v>454750</v>
      </c>
      <c r="Y15" s="1478">
        <f t="shared" si="0"/>
        <v>918325</v>
      </c>
      <c r="Z15" s="1911">
        <v>0</v>
      </c>
    </row>
    <row r="16" spans="1:26">
      <c r="B16" s="1432">
        <v>0.25</v>
      </c>
      <c r="C16" s="1423" t="s">
        <v>736</v>
      </c>
      <c r="D16" s="2772">
        <v>23164.5</v>
      </c>
      <c r="E16" s="1448">
        <v>19437.5</v>
      </c>
      <c r="F16" s="1426">
        <f>SUM(D16:E16)</f>
        <v>42602</v>
      </c>
      <c r="H16" s="2431" t="s">
        <v>1578</v>
      </c>
      <c r="I16" s="2416">
        <v>28.1</v>
      </c>
      <c r="J16" s="1470" t="s">
        <v>110</v>
      </c>
      <c r="K16" s="1460" t="s">
        <v>845</v>
      </c>
      <c r="L16" s="1467">
        <v>15.98</v>
      </c>
      <c r="M16" s="1467">
        <v>10</v>
      </c>
      <c r="N16" s="1461">
        <v>3.1055392652890891E-4</v>
      </c>
      <c r="O16" s="1460">
        <v>10</v>
      </c>
      <c r="P16" s="1463" t="s">
        <v>846</v>
      </c>
      <c r="Q16" s="3233">
        <v>0</v>
      </c>
      <c r="R16" s="1466">
        <v>100</v>
      </c>
      <c r="S16" s="1469">
        <f>SUM(Q16:R16)</f>
        <v>100</v>
      </c>
      <c r="T16" s="2991">
        <v>0</v>
      </c>
      <c r="U16" s="1469">
        <f>R16*I16</f>
        <v>2810</v>
      </c>
      <c r="V16" s="1469">
        <f>SUM(T16:U16)</f>
        <v>2810</v>
      </c>
      <c r="W16" s="2993">
        <v>0</v>
      </c>
      <c r="X16" s="1459">
        <f>R16*M16</f>
        <v>1000</v>
      </c>
      <c r="Y16" s="1459">
        <f>SUM(W16:X16)</f>
        <v>1000</v>
      </c>
      <c r="Z16" s="1910">
        <v>4.75</v>
      </c>
    </row>
    <row r="17" spans="2:26">
      <c r="B17" s="1432">
        <v>0.05</v>
      </c>
      <c r="C17" s="1423" t="s">
        <v>737</v>
      </c>
      <c r="D17" s="2784">
        <v>4632.8999999999996</v>
      </c>
      <c r="E17" s="1447">
        <v>2699.85</v>
      </c>
      <c r="F17" s="1426">
        <f t="shared" ref="F17:F19" si="1">SUM(D17:E17)</f>
        <v>7332.75</v>
      </c>
      <c r="H17" s="2428" t="s">
        <v>836</v>
      </c>
      <c r="I17" s="2416">
        <v>103</v>
      </c>
      <c r="J17" s="1470" t="s">
        <v>110</v>
      </c>
      <c r="K17" s="1460" t="s">
        <v>845</v>
      </c>
      <c r="L17" s="1467">
        <v>11.5</v>
      </c>
      <c r="M17" s="1467">
        <v>11.5</v>
      </c>
      <c r="N17" s="1461">
        <v>5.6916466961703946E-3</v>
      </c>
      <c r="O17" s="1460">
        <v>10</v>
      </c>
      <c r="P17" s="1463" t="s">
        <v>846</v>
      </c>
      <c r="Q17" s="3233">
        <v>500</v>
      </c>
      <c r="R17" s="1466">
        <v>0</v>
      </c>
      <c r="S17" s="1469">
        <f>SUM(Q17:R17)</f>
        <v>500</v>
      </c>
      <c r="T17" s="2991">
        <v>51500</v>
      </c>
      <c r="U17" s="1469">
        <f t="shared" ref="U17:U24" si="2">R17*I17</f>
        <v>0</v>
      </c>
      <c r="V17" s="1469">
        <f t="shared" ref="V17:V24" si="3">SUM(T17:U17)</f>
        <v>51500</v>
      </c>
      <c r="W17" s="2993">
        <v>5750</v>
      </c>
      <c r="X17" s="1459">
        <f t="shared" ref="X17:X24" si="4">R17*M17</f>
        <v>0</v>
      </c>
      <c r="Y17" s="1459">
        <f t="shared" ref="Y17:Y24" si="5">SUM(W17:X17)</f>
        <v>5750</v>
      </c>
      <c r="Z17" s="1910">
        <v>17.850000000000001</v>
      </c>
    </row>
    <row r="18" spans="2:26">
      <c r="B18" s="1432">
        <v>0.05</v>
      </c>
      <c r="C18" s="1667" t="s">
        <v>734</v>
      </c>
      <c r="D18" s="2784">
        <v>4632.8999999999996</v>
      </c>
      <c r="E18" s="1447">
        <v>3887.5</v>
      </c>
      <c r="F18" s="1426">
        <f t="shared" si="1"/>
        <v>8520.4</v>
      </c>
      <c r="H18" s="2428" t="s">
        <v>837</v>
      </c>
      <c r="I18" s="2416">
        <v>125</v>
      </c>
      <c r="J18" s="1470" t="s">
        <v>110</v>
      </c>
      <c r="K18" s="1460" t="s">
        <v>845</v>
      </c>
      <c r="L18" s="1467">
        <v>10</v>
      </c>
      <c r="M18" s="1467">
        <v>10</v>
      </c>
      <c r="N18" s="1461">
        <v>6.9073382235077608E-3</v>
      </c>
      <c r="O18" s="1460">
        <v>10</v>
      </c>
      <c r="P18" s="1463" t="s">
        <v>846</v>
      </c>
      <c r="Q18" s="3233">
        <v>500</v>
      </c>
      <c r="R18" s="1466">
        <v>0</v>
      </c>
      <c r="S18" s="1469">
        <f t="shared" ref="S18:S24" si="6">SUM(Q18:R18)</f>
        <v>500</v>
      </c>
      <c r="T18" s="2991">
        <v>62500</v>
      </c>
      <c r="U18" s="1469">
        <f t="shared" si="2"/>
        <v>0</v>
      </c>
      <c r="V18" s="1469">
        <f t="shared" si="3"/>
        <v>62500</v>
      </c>
      <c r="W18" s="2993">
        <v>5000</v>
      </c>
      <c r="X18" s="1459">
        <f t="shared" si="4"/>
        <v>0</v>
      </c>
      <c r="Y18" s="1459">
        <f t="shared" si="5"/>
        <v>5000</v>
      </c>
      <c r="Z18" s="1910">
        <v>26</v>
      </c>
    </row>
    <row r="19" spans="2:26">
      <c r="B19" s="1432"/>
      <c r="C19" s="1423"/>
      <c r="D19" s="2786"/>
      <c r="E19" s="1446"/>
      <c r="F19" s="1426">
        <f t="shared" si="1"/>
        <v>0</v>
      </c>
      <c r="H19" s="2428" t="s">
        <v>838</v>
      </c>
      <c r="I19" s="2416">
        <v>109.2</v>
      </c>
      <c r="J19" s="1470" t="s">
        <v>110</v>
      </c>
      <c r="K19" s="1460" t="s">
        <v>845</v>
      </c>
      <c r="L19" s="1467">
        <v>13.29</v>
      </c>
      <c r="M19" s="1467">
        <v>11</v>
      </c>
      <c r="N19" s="1461">
        <v>0.40686985071750115</v>
      </c>
      <c r="O19" s="1460">
        <v>10</v>
      </c>
      <c r="P19" s="1463" t="s">
        <v>846</v>
      </c>
      <c r="Q19" s="3233">
        <v>16750</v>
      </c>
      <c r="R19" s="1466">
        <v>15000</v>
      </c>
      <c r="S19" s="1469">
        <f t="shared" si="6"/>
        <v>31750</v>
      </c>
      <c r="T19" s="2991">
        <v>2043500</v>
      </c>
      <c r="U19" s="1469">
        <f t="shared" si="2"/>
        <v>1638000</v>
      </c>
      <c r="V19" s="1469">
        <f t="shared" si="3"/>
        <v>3681500</v>
      </c>
      <c r="W19" s="2993">
        <v>184250</v>
      </c>
      <c r="X19" s="1459">
        <f t="shared" si="4"/>
        <v>165000</v>
      </c>
      <c r="Y19" s="1459">
        <f t="shared" si="5"/>
        <v>349250</v>
      </c>
      <c r="Z19" s="1910">
        <v>22.1</v>
      </c>
    </row>
    <row r="20" spans="2:26">
      <c r="B20" s="2204">
        <f>SUM(B16:B18)</f>
        <v>0.35</v>
      </c>
      <c r="C20" s="1488"/>
      <c r="D20" s="2770"/>
      <c r="E20" s="1490"/>
      <c r="F20" s="1492"/>
      <c r="H20" s="2428" t="s">
        <v>839</v>
      </c>
      <c r="I20" s="2416">
        <v>88</v>
      </c>
      <c r="J20" s="1470" t="s">
        <v>110</v>
      </c>
      <c r="K20" s="1460" t="s">
        <v>845</v>
      </c>
      <c r="L20" s="1467">
        <v>13.29</v>
      </c>
      <c r="M20" s="1467">
        <v>11</v>
      </c>
      <c r="N20" s="1461">
        <v>8.04566756274184E-2</v>
      </c>
      <c r="O20" s="1460">
        <v>10</v>
      </c>
      <c r="P20" s="1463" t="s">
        <v>846</v>
      </c>
      <c r="Q20" s="3233">
        <v>4000</v>
      </c>
      <c r="R20" s="1466">
        <v>4000</v>
      </c>
      <c r="S20" s="1469">
        <f t="shared" si="6"/>
        <v>8000</v>
      </c>
      <c r="T20" s="2991">
        <v>376000</v>
      </c>
      <c r="U20" s="1469">
        <f t="shared" si="2"/>
        <v>352000</v>
      </c>
      <c r="V20" s="1469">
        <f t="shared" si="3"/>
        <v>728000</v>
      </c>
      <c r="W20" s="2993">
        <v>44000</v>
      </c>
      <c r="X20" s="1459">
        <f t="shared" si="4"/>
        <v>44000</v>
      </c>
      <c r="Y20" s="1459">
        <f t="shared" si="5"/>
        <v>88000</v>
      </c>
      <c r="Z20" s="1910">
        <v>17.850000000000001</v>
      </c>
    </row>
    <row r="21" spans="2:26">
      <c r="B21" s="1433" t="s">
        <v>296</v>
      </c>
      <c r="C21" s="1451" t="s">
        <v>44</v>
      </c>
      <c r="D21" s="2771">
        <f>SUM(D22:D25)</f>
        <v>4800</v>
      </c>
      <c r="E21" s="1464">
        <f>SUM(E22:E25)</f>
        <v>5399.7</v>
      </c>
      <c r="F21" s="1638">
        <f>D21+E21</f>
        <v>10199.700000000001</v>
      </c>
      <c r="H21" s="2428" t="s">
        <v>840</v>
      </c>
      <c r="I21" s="2416">
        <v>64.400000000000006</v>
      </c>
      <c r="J21" s="1470" t="s">
        <v>110</v>
      </c>
      <c r="K21" s="1460" t="s">
        <v>845</v>
      </c>
      <c r="L21" s="1467">
        <v>13.29</v>
      </c>
      <c r="M21" s="1467">
        <v>10</v>
      </c>
      <c r="N21" s="1461">
        <v>0.10196336392013217</v>
      </c>
      <c r="O21" s="1460">
        <v>10</v>
      </c>
      <c r="P21" s="1463" t="s">
        <v>846</v>
      </c>
      <c r="Q21" s="3233">
        <v>8000</v>
      </c>
      <c r="R21" s="1466">
        <v>6500</v>
      </c>
      <c r="S21" s="1469">
        <f t="shared" si="6"/>
        <v>14500</v>
      </c>
      <c r="T21" s="2991">
        <v>504000</v>
      </c>
      <c r="U21" s="1469">
        <f t="shared" si="2"/>
        <v>418600.00000000006</v>
      </c>
      <c r="V21" s="1469">
        <f t="shared" si="3"/>
        <v>922600</v>
      </c>
      <c r="W21" s="2993">
        <v>80000</v>
      </c>
      <c r="X21" s="1459">
        <f t="shared" si="4"/>
        <v>65000</v>
      </c>
      <c r="Y21" s="1459">
        <f t="shared" si="5"/>
        <v>145000</v>
      </c>
      <c r="Z21" s="1910">
        <v>12.75</v>
      </c>
    </row>
    <row r="22" spans="2:26">
      <c r="B22" s="1982">
        <f>(SUM(D22:E22)/2)/((80000+(80000*1.025))/2)</f>
        <v>3.148055555555556E-2</v>
      </c>
      <c r="C22" s="1423" t="s">
        <v>827</v>
      </c>
      <c r="D22" s="2772">
        <v>2400</v>
      </c>
      <c r="E22" s="1448">
        <v>2699.85</v>
      </c>
      <c r="F22" s="1426">
        <f t="shared" ref="F22:F25" si="7">SUM(D22:E22)</f>
        <v>5099.8500000000004</v>
      </c>
      <c r="H22" s="2428" t="s">
        <v>841</v>
      </c>
      <c r="I22" s="2416">
        <v>132.1</v>
      </c>
      <c r="J22" s="1470" t="s">
        <v>110</v>
      </c>
      <c r="K22" s="1460" t="s">
        <v>845</v>
      </c>
      <c r="L22" s="1467">
        <v>26.58</v>
      </c>
      <c r="M22" s="1467">
        <v>10</v>
      </c>
      <c r="N22" s="1461">
        <v>0.14838565006562524</v>
      </c>
      <c r="O22" s="1460">
        <v>10</v>
      </c>
      <c r="P22" s="1463" t="s">
        <v>846</v>
      </c>
      <c r="Q22" s="3233">
        <v>4750</v>
      </c>
      <c r="R22" s="1466">
        <v>4950</v>
      </c>
      <c r="S22" s="1469">
        <f t="shared" si="6"/>
        <v>9700</v>
      </c>
      <c r="T22" s="2991">
        <v>688750</v>
      </c>
      <c r="U22" s="1469">
        <f t="shared" si="2"/>
        <v>653895</v>
      </c>
      <c r="V22" s="1469">
        <f t="shared" si="3"/>
        <v>1342645</v>
      </c>
      <c r="W22" s="2993">
        <v>47500</v>
      </c>
      <c r="X22" s="1459">
        <f t="shared" si="4"/>
        <v>49500</v>
      </c>
      <c r="Y22" s="1459">
        <f t="shared" si="5"/>
        <v>97000</v>
      </c>
      <c r="Z22" s="1910">
        <v>26</v>
      </c>
    </row>
    <row r="23" spans="2:26">
      <c r="B23" s="1982">
        <f>(SUM(D23:E23)/2)/((80000+(80000*1.025))/2)</f>
        <v>3.148055555555556E-2</v>
      </c>
      <c r="C23" s="1423" t="s">
        <v>828</v>
      </c>
      <c r="D23" s="2791">
        <v>2400</v>
      </c>
      <c r="E23" s="1562">
        <v>2699.85</v>
      </c>
      <c r="F23" s="1426">
        <f t="shared" si="7"/>
        <v>5099.8500000000004</v>
      </c>
      <c r="H23" s="2428" t="s">
        <v>842</v>
      </c>
      <c r="I23" s="2416">
        <v>106.4</v>
      </c>
      <c r="J23" s="1470" t="s">
        <v>110</v>
      </c>
      <c r="K23" s="1460" t="s">
        <v>845</v>
      </c>
      <c r="L23" s="1467">
        <v>26.58</v>
      </c>
      <c r="M23" s="1467">
        <v>10</v>
      </c>
      <c r="N23" s="1461">
        <v>1.7948027639962564E-2</v>
      </c>
      <c r="O23" s="1460">
        <v>10</v>
      </c>
      <c r="P23" s="1463" t="s">
        <v>846</v>
      </c>
      <c r="Q23" s="3233">
        <v>500</v>
      </c>
      <c r="R23" s="1466">
        <v>1000</v>
      </c>
      <c r="S23" s="1469">
        <f t="shared" si="6"/>
        <v>1500</v>
      </c>
      <c r="T23" s="2991">
        <v>56000</v>
      </c>
      <c r="U23" s="1469">
        <f t="shared" si="2"/>
        <v>106400</v>
      </c>
      <c r="V23" s="1469">
        <f t="shared" si="3"/>
        <v>162400</v>
      </c>
      <c r="W23" s="2993">
        <v>5000</v>
      </c>
      <c r="X23" s="1459">
        <f t="shared" si="4"/>
        <v>10000</v>
      </c>
      <c r="Y23" s="1459">
        <f t="shared" si="5"/>
        <v>15000</v>
      </c>
      <c r="Z23" s="1910">
        <v>21</v>
      </c>
    </row>
    <row r="24" spans="2:26">
      <c r="B24" s="1982"/>
      <c r="C24" s="1423"/>
      <c r="D24" s="2774"/>
      <c r="E24" s="1443"/>
      <c r="F24" s="1426">
        <f t="shared" si="7"/>
        <v>0</v>
      </c>
      <c r="H24" s="2428" t="s">
        <v>843</v>
      </c>
      <c r="I24" s="2416">
        <v>77.900000000000006</v>
      </c>
      <c r="J24" s="1470" t="s">
        <v>110</v>
      </c>
      <c r="K24" s="1460" t="s">
        <v>845</v>
      </c>
      <c r="L24" s="1467">
        <v>26.58</v>
      </c>
      <c r="M24" s="1467">
        <v>10</v>
      </c>
      <c r="N24" s="1461">
        <v>5.9624143545318989E-2</v>
      </c>
      <c r="O24" s="1460">
        <v>10</v>
      </c>
      <c r="P24" s="1463" t="s">
        <v>846</v>
      </c>
      <c r="Q24" s="3233">
        <v>2000</v>
      </c>
      <c r="R24" s="1466">
        <v>5000</v>
      </c>
      <c r="S24" s="1469">
        <f t="shared" si="6"/>
        <v>7000</v>
      </c>
      <c r="T24" s="2991">
        <v>150000</v>
      </c>
      <c r="U24" s="1469">
        <f t="shared" si="2"/>
        <v>389500</v>
      </c>
      <c r="V24" s="1469">
        <f t="shared" si="3"/>
        <v>539500</v>
      </c>
      <c r="W24" s="2993">
        <v>20000</v>
      </c>
      <c r="X24" s="1459">
        <f t="shared" si="4"/>
        <v>50000</v>
      </c>
      <c r="Y24" s="1459">
        <f t="shared" si="5"/>
        <v>70000</v>
      </c>
      <c r="Z24" s="1910">
        <v>15</v>
      </c>
    </row>
    <row r="25" spans="2:26">
      <c r="B25" s="1982"/>
      <c r="C25" s="1423"/>
      <c r="D25" s="2775"/>
      <c r="E25" s="1444"/>
      <c r="F25" s="1426">
        <f t="shared" si="7"/>
        <v>0</v>
      </c>
      <c r="H25" s="2428" t="s">
        <v>844</v>
      </c>
      <c r="I25" s="2432">
        <v>177.6</v>
      </c>
      <c r="J25" s="1470" t="s">
        <v>110</v>
      </c>
      <c r="K25" s="1460" t="s">
        <v>845</v>
      </c>
      <c r="L25" s="1467">
        <v>18.87</v>
      </c>
      <c r="M25" s="1467">
        <v>10</v>
      </c>
      <c r="N25" s="1461">
        <v>3.9255784591839303E-3</v>
      </c>
      <c r="O25" s="1460">
        <v>10</v>
      </c>
      <c r="P25" s="1463" t="s">
        <v>846</v>
      </c>
      <c r="Q25" s="3233">
        <v>0</v>
      </c>
      <c r="R25" s="1466">
        <v>200</v>
      </c>
      <c r="S25" s="1469">
        <f t="shared" ref="S25:S35" si="8">SUM(Q25:R25)</f>
        <v>200</v>
      </c>
      <c r="T25" s="2991">
        <v>0</v>
      </c>
      <c r="U25" s="1469">
        <f t="shared" ref="U25:U35" si="9">R25*I25</f>
        <v>35520</v>
      </c>
      <c r="V25" s="1469">
        <f t="shared" ref="V25:V35" si="10">SUM(T25:U25)</f>
        <v>35520</v>
      </c>
      <c r="W25" s="2993">
        <v>0</v>
      </c>
      <c r="X25" s="1459">
        <f t="shared" ref="X25:X35" si="11">R25*M25</f>
        <v>2000</v>
      </c>
      <c r="Y25" s="1459">
        <f t="shared" ref="Y25:Y35" si="12">SUM(W25:X25)</f>
        <v>2000</v>
      </c>
      <c r="Z25" s="1910">
        <v>33.61</v>
      </c>
    </row>
    <row r="26" spans="2:26">
      <c r="B26" s="2204">
        <f>SUM(B22:B24)</f>
        <v>6.296111111111112E-2</v>
      </c>
      <c r="C26" s="1424"/>
      <c r="D26" s="2776"/>
      <c r="E26" s="1431"/>
      <c r="F26" s="1439"/>
      <c r="H26" s="2433" t="s">
        <v>1579</v>
      </c>
      <c r="I26" s="2432">
        <v>23.2</v>
      </c>
      <c r="J26" s="1470" t="s">
        <v>229</v>
      </c>
      <c r="K26" s="1460" t="s">
        <v>845</v>
      </c>
      <c r="L26" s="1467">
        <v>7.99</v>
      </c>
      <c r="M26" s="1467">
        <v>6.5</v>
      </c>
      <c r="N26" s="1461">
        <v>5.799953759514997E-3</v>
      </c>
      <c r="O26" s="1460">
        <v>10</v>
      </c>
      <c r="P26" s="1463" t="s">
        <v>846</v>
      </c>
      <c r="Q26" s="3233">
        <v>400</v>
      </c>
      <c r="R26" s="1466">
        <v>400</v>
      </c>
      <c r="S26" s="1469">
        <f t="shared" si="8"/>
        <v>800</v>
      </c>
      <c r="T26" s="2991">
        <v>43200</v>
      </c>
      <c r="U26" s="1469">
        <f t="shared" si="9"/>
        <v>9280</v>
      </c>
      <c r="V26" s="1469">
        <f t="shared" si="10"/>
        <v>52480</v>
      </c>
      <c r="W26" s="2993">
        <v>2600</v>
      </c>
      <c r="X26" s="1459">
        <f t="shared" si="11"/>
        <v>2600</v>
      </c>
      <c r="Y26" s="1459">
        <f t="shared" si="12"/>
        <v>5200</v>
      </c>
      <c r="Z26" s="1910">
        <v>4.03</v>
      </c>
    </row>
    <row r="27" spans="2:26">
      <c r="C27" s="1597" t="s">
        <v>1737</v>
      </c>
      <c r="D27" s="2771">
        <f>SUM(D29:D35)</f>
        <v>24832.610100000005</v>
      </c>
      <c r="E27" s="1657">
        <f>SUM(E29:E31)+SUM(E33:E35)</f>
        <v>28219.245900000002</v>
      </c>
      <c r="F27" s="1638">
        <f>D27+E27</f>
        <v>53051.856000000007</v>
      </c>
      <c r="H27" s="2433" t="s">
        <v>1580</v>
      </c>
      <c r="I27" s="2432">
        <v>146.80000000000001</v>
      </c>
      <c r="J27" s="1470" t="s">
        <v>229</v>
      </c>
      <c r="K27" s="1460" t="s">
        <v>845</v>
      </c>
      <c r="L27" s="1467">
        <v>9.44</v>
      </c>
      <c r="M27" s="1467">
        <v>6.5</v>
      </c>
      <c r="N27" s="1461">
        <v>1.7083781481437275E-2</v>
      </c>
      <c r="O27" s="1460">
        <v>10</v>
      </c>
      <c r="P27" s="1463" t="s">
        <v>846</v>
      </c>
      <c r="Q27" s="3233">
        <v>350</v>
      </c>
      <c r="R27" s="1466">
        <v>600</v>
      </c>
      <c r="S27" s="1469">
        <f t="shared" si="8"/>
        <v>950</v>
      </c>
      <c r="T27" s="2991">
        <v>66500</v>
      </c>
      <c r="U27" s="1469">
        <f t="shared" si="9"/>
        <v>88080</v>
      </c>
      <c r="V27" s="1469">
        <f t="shared" si="10"/>
        <v>154580</v>
      </c>
      <c r="W27" s="2993">
        <v>2275</v>
      </c>
      <c r="X27" s="1459">
        <f t="shared" si="11"/>
        <v>3900</v>
      </c>
      <c r="Y27" s="1459">
        <f t="shared" si="12"/>
        <v>6175</v>
      </c>
      <c r="Z27" s="1910">
        <v>28.56</v>
      </c>
    </row>
    <row r="28" spans="2:26">
      <c r="C28" s="1450" t="s">
        <v>1733</v>
      </c>
      <c r="D28" s="2777">
        <v>0.66700000000000004</v>
      </c>
      <c r="E28" s="1452">
        <v>0.68799999999999994</v>
      </c>
      <c r="F28" s="1485"/>
      <c r="H28" s="2428" t="s">
        <v>1840</v>
      </c>
      <c r="I28" s="2432">
        <v>18.27</v>
      </c>
      <c r="J28" s="1470" t="s">
        <v>110</v>
      </c>
      <c r="K28" s="1460" t="s">
        <v>845</v>
      </c>
      <c r="L28" s="1467">
        <v>20</v>
      </c>
      <c r="M28" s="1467">
        <v>10</v>
      </c>
      <c r="N28" s="1461">
        <v>2.0191531094957888E-3</v>
      </c>
      <c r="O28" s="1460">
        <v>10</v>
      </c>
      <c r="P28" s="1463" t="s">
        <v>846</v>
      </c>
      <c r="Q28" s="3233">
        <v>500</v>
      </c>
      <c r="R28" s="1466">
        <v>500</v>
      </c>
      <c r="S28" s="1469">
        <f t="shared" si="8"/>
        <v>1000</v>
      </c>
      <c r="T28" s="2991">
        <v>9135</v>
      </c>
      <c r="U28" s="1469">
        <f t="shared" si="9"/>
        <v>9135</v>
      </c>
      <c r="V28" s="1469">
        <f t="shared" si="10"/>
        <v>18270</v>
      </c>
      <c r="W28" s="2993">
        <v>5000</v>
      </c>
      <c r="X28" s="1459">
        <f t="shared" si="11"/>
        <v>5000</v>
      </c>
      <c r="Y28" s="1459">
        <f t="shared" si="12"/>
        <v>10000</v>
      </c>
      <c r="Z28" s="1910">
        <v>3.97</v>
      </c>
    </row>
    <row r="29" spans="2:26">
      <c r="C29" s="1667" t="s">
        <v>719</v>
      </c>
      <c r="D29" s="2778">
        <f>D15*D28</f>
        <v>21631.010100000003</v>
      </c>
      <c r="E29" s="1504">
        <f>E15*E28</f>
        <v>17905.096799999999</v>
      </c>
      <c r="F29" s="1426">
        <f t="shared" ref="F29:F35" si="13">SUM(D29:E29)</f>
        <v>39536.106899999999</v>
      </c>
      <c r="H29" s="2428" t="s">
        <v>1815</v>
      </c>
      <c r="I29" s="2432">
        <v>15.11</v>
      </c>
      <c r="J29" s="1470" t="s">
        <v>110</v>
      </c>
      <c r="K29" s="1460" t="s">
        <v>845</v>
      </c>
      <c r="L29" s="1467">
        <v>20</v>
      </c>
      <c r="M29" s="1467">
        <v>11.5</v>
      </c>
      <c r="N29" s="1461">
        <v>2.588373037818616E-3</v>
      </c>
      <c r="O29" s="1460">
        <v>10</v>
      </c>
      <c r="P29" s="1463" t="s">
        <v>846</v>
      </c>
      <c r="Q29" s="3233">
        <v>550</v>
      </c>
      <c r="R29" s="1466">
        <v>1000</v>
      </c>
      <c r="S29" s="1469">
        <f t="shared" si="8"/>
        <v>1550</v>
      </c>
      <c r="T29" s="2991">
        <v>8310.5</v>
      </c>
      <c r="U29" s="1469">
        <f t="shared" si="9"/>
        <v>15110</v>
      </c>
      <c r="V29" s="1469">
        <f t="shared" si="10"/>
        <v>23420.5</v>
      </c>
      <c r="W29" s="2993">
        <v>6325</v>
      </c>
      <c r="X29" s="1459">
        <f t="shared" si="11"/>
        <v>11500</v>
      </c>
      <c r="Y29" s="1459">
        <f t="shared" si="12"/>
        <v>17825</v>
      </c>
      <c r="Z29" s="1910">
        <v>3.32</v>
      </c>
    </row>
    <row r="30" spans="2:26">
      <c r="C30" s="1667" t="s">
        <v>720</v>
      </c>
      <c r="D30" s="2785">
        <f>D21*D28</f>
        <v>3201.6000000000004</v>
      </c>
      <c r="E30" s="1504">
        <f>E21*E28</f>
        <v>3714.9935999999998</v>
      </c>
      <c r="F30" s="1426">
        <f t="shared" si="13"/>
        <v>6916.5936000000002</v>
      </c>
      <c r="H30" s="2428" t="s">
        <v>1841</v>
      </c>
      <c r="I30" s="2432">
        <v>18.27</v>
      </c>
      <c r="J30" s="1470" t="s">
        <v>110</v>
      </c>
      <c r="K30" s="1460" t="s">
        <v>845</v>
      </c>
      <c r="L30" s="1467">
        <v>2</v>
      </c>
      <c r="M30" s="1467">
        <v>2</v>
      </c>
      <c r="N30" s="1461">
        <v>2.4229837313949464E-2</v>
      </c>
      <c r="O30" s="1460">
        <v>10</v>
      </c>
      <c r="P30" s="1463" t="s">
        <v>846</v>
      </c>
      <c r="Q30" s="3233">
        <v>6000</v>
      </c>
      <c r="R30" s="1466">
        <v>6000</v>
      </c>
      <c r="S30" s="1469">
        <f t="shared" si="8"/>
        <v>12000</v>
      </c>
      <c r="T30" s="2991">
        <v>109620</v>
      </c>
      <c r="U30" s="1469">
        <f t="shared" si="9"/>
        <v>109620</v>
      </c>
      <c r="V30" s="1469">
        <f t="shared" si="10"/>
        <v>219240</v>
      </c>
      <c r="W30" s="2993">
        <v>12000</v>
      </c>
      <c r="X30" s="1459">
        <f t="shared" si="11"/>
        <v>12000</v>
      </c>
      <c r="Y30" s="1459">
        <f t="shared" si="12"/>
        <v>24000</v>
      </c>
      <c r="Z30" s="1910">
        <v>3.97</v>
      </c>
    </row>
    <row r="31" spans="2:26">
      <c r="C31" s="1667"/>
      <c r="D31" s="2774"/>
      <c r="E31" s="1443"/>
      <c r="F31" s="1426">
        <f t="shared" si="13"/>
        <v>0</v>
      </c>
      <c r="H31" s="2428" t="s">
        <v>1842</v>
      </c>
      <c r="I31" s="2432">
        <v>31.36</v>
      </c>
      <c r="J31" s="1470" t="s">
        <v>110</v>
      </c>
      <c r="K31" s="1460" t="s">
        <v>845</v>
      </c>
      <c r="L31" s="1467">
        <v>2</v>
      </c>
      <c r="M31" s="1467">
        <v>2</v>
      </c>
      <c r="N31" s="1461">
        <v>4.1589912324327051E-2</v>
      </c>
      <c r="O31" s="1460">
        <v>10</v>
      </c>
      <c r="P31" s="1463" t="s">
        <v>846</v>
      </c>
      <c r="Q31" s="3233">
        <v>6000</v>
      </c>
      <c r="R31" s="1466">
        <v>6000</v>
      </c>
      <c r="S31" s="1469">
        <f t="shared" si="8"/>
        <v>12000</v>
      </c>
      <c r="T31" s="2991">
        <v>188160</v>
      </c>
      <c r="U31" s="1469">
        <f t="shared" si="9"/>
        <v>188160</v>
      </c>
      <c r="V31" s="1469">
        <f t="shared" si="10"/>
        <v>376320</v>
      </c>
      <c r="W31" s="2993">
        <v>12000</v>
      </c>
      <c r="X31" s="1459">
        <f t="shared" si="11"/>
        <v>12000</v>
      </c>
      <c r="Y31" s="1459">
        <f t="shared" si="12"/>
        <v>24000</v>
      </c>
      <c r="Z31" s="1910">
        <v>6.82</v>
      </c>
    </row>
    <row r="32" spans="2:26">
      <c r="C32" s="1450" t="s">
        <v>1734</v>
      </c>
      <c r="D32" s="2777"/>
      <c r="E32" s="1452">
        <v>0.21</v>
      </c>
      <c r="F32" s="1485"/>
      <c r="H32" s="2428"/>
      <c r="I32" s="2432"/>
      <c r="J32" s="1470" t="s">
        <v>229</v>
      </c>
      <c r="K32" s="1460"/>
      <c r="L32" s="1467"/>
      <c r="M32" s="1467"/>
      <c r="N32" s="1461" t="s">
        <v>229</v>
      </c>
      <c r="O32" s="1460"/>
      <c r="P32" s="1463"/>
      <c r="Q32" s="3233">
        <v>0</v>
      </c>
      <c r="R32" s="1466"/>
      <c r="S32" s="1469">
        <f t="shared" si="8"/>
        <v>0</v>
      </c>
      <c r="T32" s="2991">
        <v>0</v>
      </c>
      <c r="U32" s="1469">
        <f t="shared" si="9"/>
        <v>0</v>
      </c>
      <c r="V32" s="1469">
        <f t="shared" si="10"/>
        <v>0</v>
      </c>
      <c r="W32" s="2993">
        <v>0</v>
      </c>
      <c r="X32" s="1459">
        <f t="shared" si="11"/>
        <v>0</v>
      </c>
      <c r="Y32" s="1459">
        <f t="shared" si="12"/>
        <v>0</v>
      </c>
      <c r="Z32" s="1910"/>
    </row>
    <row r="33" spans="1:26">
      <c r="C33" s="1667" t="s">
        <v>719</v>
      </c>
      <c r="D33" s="2778"/>
      <c r="E33" s="1641">
        <f>E15*E32</f>
        <v>5465.218499999999</v>
      </c>
      <c r="F33" s="1661">
        <f>SUM(D33:E33)</f>
        <v>5465.218499999999</v>
      </c>
      <c r="H33" s="2428"/>
      <c r="I33" s="2432"/>
      <c r="J33" s="1470" t="s">
        <v>229</v>
      </c>
      <c r="K33" s="1460"/>
      <c r="L33" s="1467"/>
      <c r="M33" s="1467"/>
      <c r="N33" s="1461" t="s">
        <v>229</v>
      </c>
      <c r="O33" s="1460"/>
      <c r="P33" s="1463"/>
      <c r="Q33" s="3233">
        <v>0</v>
      </c>
      <c r="R33" s="1466"/>
      <c r="S33" s="1469">
        <f t="shared" si="8"/>
        <v>0</v>
      </c>
      <c r="T33" s="2991">
        <v>0</v>
      </c>
      <c r="U33" s="1469">
        <f t="shared" si="9"/>
        <v>0</v>
      </c>
      <c r="V33" s="1469">
        <f t="shared" si="10"/>
        <v>0</v>
      </c>
      <c r="W33" s="2993">
        <v>0</v>
      </c>
      <c r="X33" s="1459">
        <f t="shared" si="11"/>
        <v>0</v>
      </c>
      <c r="Y33" s="1459">
        <f t="shared" si="12"/>
        <v>0</v>
      </c>
      <c r="Z33" s="1910"/>
    </row>
    <row r="34" spans="1:26">
      <c r="A34" s="1400" t="s">
        <v>177</v>
      </c>
      <c r="C34" s="1667" t="s">
        <v>720</v>
      </c>
      <c r="D34" s="2785"/>
      <c r="E34" s="1641">
        <f>E21*E32</f>
        <v>1133.9369999999999</v>
      </c>
      <c r="F34" s="1661">
        <f t="shared" ref="F34" si="14">SUM(D34:E34)</f>
        <v>1133.9369999999999</v>
      </c>
      <c r="H34" s="2434" t="s">
        <v>1843</v>
      </c>
      <c r="I34" s="2432">
        <v>15.11</v>
      </c>
      <c r="J34" s="1470" t="s">
        <v>110</v>
      </c>
      <c r="K34" s="1460" t="s">
        <v>845</v>
      </c>
      <c r="L34" s="1467">
        <v>1.7</v>
      </c>
      <c r="M34" s="1467">
        <v>1.7</v>
      </c>
      <c r="N34" s="1461">
        <v>2.0873976111440453E-2</v>
      </c>
      <c r="O34" s="1460">
        <v>10</v>
      </c>
      <c r="P34" s="1463" t="s">
        <v>846</v>
      </c>
      <c r="Q34" s="3233">
        <v>6250</v>
      </c>
      <c r="R34" s="1466">
        <v>6250</v>
      </c>
      <c r="S34" s="1469">
        <f t="shared" si="8"/>
        <v>12500</v>
      </c>
      <c r="T34" s="2991">
        <v>94437.5</v>
      </c>
      <c r="U34" s="1469">
        <f t="shared" si="9"/>
        <v>94437.5</v>
      </c>
      <c r="V34" s="1469">
        <f t="shared" si="10"/>
        <v>188875</v>
      </c>
      <c r="W34" s="2993">
        <v>10625</v>
      </c>
      <c r="X34" s="1459">
        <f t="shared" si="11"/>
        <v>10625</v>
      </c>
      <c r="Y34" s="1459">
        <f t="shared" si="12"/>
        <v>21250</v>
      </c>
      <c r="Z34" s="1910">
        <v>3.32</v>
      </c>
    </row>
    <row r="35" spans="1:26">
      <c r="A35" s="1357" t="s">
        <v>275</v>
      </c>
      <c r="C35" s="1445"/>
      <c r="D35" s="2775"/>
      <c r="E35" s="1444"/>
      <c r="F35" s="1426">
        <f t="shared" si="13"/>
        <v>0</v>
      </c>
      <c r="H35" s="2428" t="s">
        <v>1844</v>
      </c>
      <c r="I35" s="2432">
        <v>25.93</v>
      </c>
      <c r="J35" s="1470" t="s">
        <v>110</v>
      </c>
      <c r="K35" s="1460" t="s">
        <v>845</v>
      </c>
      <c r="L35" s="1467">
        <v>1.7</v>
      </c>
      <c r="M35" s="1467">
        <v>1.7</v>
      </c>
      <c r="N35" s="1461">
        <v>5.3732184040666868E-2</v>
      </c>
      <c r="O35" s="1460">
        <v>10</v>
      </c>
      <c r="P35" s="1463" t="s">
        <v>846</v>
      </c>
      <c r="Q35" s="3233">
        <v>12500</v>
      </c>
      <c r="R35" s="1466">
        <v>6250</v>
      </c>
      <c r="S35" s="1469">
        <f t="shared" si="8"/>
        <v>18750</v>
      </c>
      <c r="T35" s="2991">
        <v>324125</v>
      </c>
      <c r="U35" s="1469">
        <f t="shared" si="9"/>
        <v>162062.5</v>
      </c>
      <c r="V35" s="1469">
        <f t="shared" si="10"/>
        <v>486187.5</v>
      </c>
      <c r="W35" s="2993">
        <v>21250</v>
      </c>
      <c r="X35" s="1459">
        <f t="shared" si="11"/>
        <v>10625</v>
      </c>
      <c r="Y35" s="1459">
        <f t="shared" si="12"/>
        <v>31875</v>
      </c>
      <c r="Z35" s="1910">
        <v>5.8</v>
      </c>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2991" t="s">
        <v>229</v>
      </c>
      <c r="U36" s="1469" t="s">
        <v>229</v>
      </c>
      <c r="V36" s="1469" t="s">
        <v>229</v>
      </c>
      <c r="W36" s="1459" t="s">
        <v>229</v>
      </c>
      <c r="X36" s="1459" t="s">
        <v>229</v>
      </c>
      <c r="Y36" s="1459" t="s">
        <v>229</v>
      </c>
      <c r="Z36" s="1910"/>
    </row>
    <row r="37" spans="1:26">
      <c r="A37" s="1400">
        <v>18230435</v>
      </c>
      <c r="C37" s="1451" t="s">
        <v>46</v>
      </c>
      <c r="D37" s="2771">
        <f>SUM(D38:D41)</f>
        <v>83990.93</v>
      </c>
      <c r="E37" s="1464">
        <f>SUM(E38:E41)</f>
        <v>80915</v>
      </c>
      <c r="F37" s="1638">
        <f>D37+E37</f>
        <v>164905.93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357" t="s">
        <v>4</v>
      </c>
      <c r="C38" s="1423" t="s">
        <v>1824</v>
      </c>
      <c r="D38" s="2778">
        <v>43490.93</v>
      </c>
      <c r="E38" s="1520">
        <v>44426</v>
      </c>
      <c r="F38" s="1426">
        <f t="shared" ref="F38:F41" si="15">SUM(D38:E38)</f>
        <v>87916.93</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C39" s="1423" t="s">
        <v>1825</v>
      </c>
      <c r="D39" s="2778">
        <v>40500</v>
      </c>
      <c r="E39" s="1520">
        <v>36489</v>
      </c>
      <c r="F39" s="1426">
        <f t="shared" si="15"/>
        <v>76989</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c r="D40" s="2778"/>
      <c r="E40" s="1520"/>
      <c r="F40" s="1426">
        <f t="shared" si="1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1000</v>
      </c>
      <c r="E43" s="1464">
        <f>SUM(E44:E47)</f>
        <v>1000</v>
      </c>
      <c r="F43" s="1638">
        <f>D43+E43</f>
        <v>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831</v>
      </c>
      <c r="D44" s="2778">
        <v>1000</v>
      </c>
      <c r="E44" s="1520">
        <v>1000</v>
      </c>
      <c r="F44" s="1426">
        <f t="shared" ref="F44:F47" si="16">SUM(D44:E44)</f>
        <v>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40000</v>
      </c>
      <c r="E49" s="1464">
        <f>SUM(E50:E53)</f>
        <v>43006</v>
      </c>
      <c r="F49" s="1638">
        <f>D49+E49</f>
        <v>83006</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832</v>
      </c>
      <c r="D50" s="2778">
        <v>10000</v>
      </c>
      <c r="E50" s="1520">
        <v>26267</v>
      </c>
      <c r="F50" s="1426">
        <f t="shared" ref="F50:F53" si="17">SUM(D50:E50)</f>
        <v>36267</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t="s">
        <v>833</v>
      </c>
      <c r="D51" s="2778">
        <v>30000</v>
      </c>
      <c r="E51" s="1520">
        <v>11739</v>
      </c>
      <c r="F51" s="1426">
        <f t="shared" si="17"/>
        <v>41739</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t="s">
        <v>1828</v>
      </c>
      <c r="D52" s="2778"/>
      <c r="E52" s="1520">
        <v>2000</v>
      </c>
      <c r="F52" s="1426">
        <f t="shared" si="17"/>
        <v>2000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t="s">
        <v>335</v>
      </c>
      <c r="D53" s="2778"/>
      <c r="E53" s="1520">
        <v>3000</v>
      </c>
      <c r="F53" s="1426">
        <f t="shared" si="17"/>
        <v>3000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t="s">
        <v>834</v>
      </c>
      <c r="D56" s="2778">
        <v>1000</v>
      </c>
      <c r="E56" s="1504">
        <v>1000</v>
      </c>
      <c r="F56" s="1426">
        <f t="shared" ref="F56:F59" si="18">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71">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835</v>
      </c>
      <c r="D62" s="2778">
        <v>500</v>
      </c>
      <c r="E62" s="1520">
        <v>500</v>
      </c>
      <c r="F62" s="1426">
        <f t="shared" ref="F62:F65" si="19">SUM(D62:E62)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400" t="s">
        <v>177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400" t="s">
        <v>5</v>
      </c>
      <c r="C66" s="1488"/>
      <c r="D66" s="2779"/>
      <c r="E66" s="1490"/>
      <c r="F66" s="1493"/>
    </row>
    <row r="67" spans="1:26">
      <c r="A67" s="1400">
        <v>18230435</v>
      </c>
      <c r="C67" s="1451" t="s">
        <v>50</v>
      </c>
      <c r="D67" s="2771">
        <f>W15</f>
        <v>463575</v>
      </c>
      <c r="E67" s="1464">
        <f>X15</f>
        <v>454750</v>
      </c>
      <c r="F67" s="1462">
        <f>D67+E67</f>
        <v>918325</v>
      </c>
    </row>
    <row r="68" spans="1:26">
      <c r="A68" s="1357" t="s">
        <v>4</v>
      </c>
      <c r="C68" s="1500" t="s">
        <v>297</v>
      </c>
      <c r="D68" s="2938">
        <f>D67/D12</f>
        <v>0.71086412913269337</v>
      </c>
      <c r="E68" s="1986">
        <f>E67/E12</f>
        <v>0.70964341477371928</v>
      </c>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H2" activePane="bottomRight" state="frozen"/>
      <selection pane="bottomRight" activeCell="L15" sqref="L15:M15"/>
      <pageMargins left="0.18" right="0.26" top="0.4" bottom="0.33" header="0.3" footer="0.3"/>
      <pageSetup paperSize="17" scale="46" orientation="landscape" r:id="rId1"/>
    </customSheetView>
    <customSheetView guid="{074EB09C-6289-46D7-9513-012B68BCA7BF}" showGridLines="0">
      <pane xSplit="1" ySplit="1" topLeftCell="B2" activePane="bottomRight" state="frozen"/>
      <selection pane="bottomRight" activeCell="X30" sqref="X30"/>
      <pageMargins left="0.18" right="0.26" top="0.4" bottom="0.33"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18" right="0.26" top="0.4" bottom="0.33" header="0.3" footer="0.3"/>
  <pageSetup paperSize="3" scale="46" orientation="landscape" r:id="rId3"/>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8DB4E2"/>
  </sheetPr>
  <dimension ref="A1:Z163"/>
  <sheetViews>
    <sheetView showGridLines="0" workbookViewId="0">
      <pane xSplit="1" ySplit="1" topLeftCell="B2" activePane="bottomRight" state="frozen"/>
      <selection pane="topRight" activeCell="B1" sqref="B1"/>
      <selection pane="bottomLeft" activeCell="A2" sqref="A2"/>
      <selection pane="bottomRight" activeCell="Z66" sqref="Z66:Z163"/>
    </sheetView>
  </sheetViews>
  <sheetFormatPr defaultRowHeight="12.75"/>
  <cols>
    <col min="1" max="1" width="17.7109375" customWidth="1"/>
    <col min="2" max="2" width="16.140625" customWidth="1"/>
    <col min="3" max="3" width="22.28515625" customWidth="1"/>
    <col min="4" max="4" width="16.140625" customWidth="1"/>
    <col min="5" max="5" width="16.140625" style="2266" customWidth="1"/>
    <col min="6" max="7" width="16.140625" customWidth="1"/>
    <col min="8" max="8" width="28" customWidth="1"/>
    <col min="9" max="26" width="16.140625" customWidth="1"/>
  </cols>
  <sheetData>
    <row r="1" spans="1:26" ht="49.15" customHeight="1" thickBot="1">
      <c r="C1" s="1401" t="s">
        <v>1354</v>
      </c>
      <c r="D1" s="1380" t="s">
        <v>275</v>
      </c>
      <c r="E1" s="1401" t="s">
        <v>5</v>
      </c>
      <c r="F1" s="1401">
        <v>18230023</v>
      </c>
      <c r="G1" s="1380" t="s">
        <v>4</v>
      </c>
      <c r="J1" s="1380"/>
      <c r="K1" s="1380"/>
      <c r="L1" s="1380"/>
      <c r="M1" s="1401" t="s">
        <v>1354</v>
      </c>
      <c r="N1" s="1380" t="s">
        <v>275</v>
      </c>
      <c r="O1" s="1401" t="s">
        <v>5</v>
      </c>
      <c r="P1" s="1401">
        <v>18230023</v>
      </c>
      <c r="Q1" s="1380" t="s">
        <v>4</v>
      </c>
      <c r="V1" s="1401" t="s">
        <v>1354</v>
      </c>
      <c r="W1" s="1380" t="s">
        <v>275</v>
      </c>
      <c r="X1" s="1401" t="s">
        <v>5</v>
      </c>
      <c r="Y1" s="1401">
        <v>18230023</v>
      </c>
      <c r="Z1" s="1380" t="s">
        <v>4</v>
      </c>
    </row>
    <row r="2" spans="1:26" ht="16.5" thickBot="1">
      <c r="C2" s="1190"/>
      <c r="D2" s="2265"/>
      <c r="G2" s="1652"/>
      <c r="I2" s="1178" t="s">
        <v>627</v>
      </c>
      <c r="S2" s="2267"/>
      <c r="U2" s="2268" t="s">
        <v>33</v>
      </c>
      <c r="X2" s="2269" t="s">
        <v>34</v>
      </c>
    </row>
    <row r="3" spans="1:26" ht="26.25" thickBot="1">
      <c r="A3" s="2270" t="s">
        <v>1354</v>
      </c>
      <c r="B3" s="2270"/>
      <c r="G3" s="1652"/>
      <c r="I3" s="1179" t="s">
        <v>1747</v>
      </c>
      <c r="J3" s="2272" t="s">
        <v>8</v>
      </c>
      <c r="K3" s="2272" t="s">
        <v>9</v>
      </c>
      <c r="L3" s="2272" t="s">
        <v>10</v>
      </c>
      <c r="M3" s="2273" t="s">
        <v>482</v>
      </c>
      <c r="N3" s="2272" t="s">
        <v>11</v>
      </c>
      <c r="O3" s="2272" t="s">
        <v>12</v>
      </c>
      <c r="P3" s="2272" t="s">
        <v>13</v>
      </c>
      <c r="Q3" s="2272" t="s">
        <v>35</v>
      </c>
      <c r="R3" s="2272" t="s">
        <v>36</v>
      </c>
      <c r="S3" s="2272" t="s">
        <v>15</v>
      </c>
      <c r="T3" s="2274" t="s">
        <v>37</v>
      </c>
      <c r="U3" s="2271" t="s">
        <v>38</v>
      </c>
      <c r="V3" s="2271" t="s">
        <v>10</v>
      </c>
      <c r="W3" s="2275" t="s">
        <v>39</v>
      </c>
    </row>
    <row r="4" spans="1:26" ht="16.5" thickBot="1">
      <c r="A4" s="2276" t="s">
        <v>275</v>
      </c>
      <c r="B4" s="2270"/>
      <c r="C4" s="1190"/>
      <c r="G4" s="1652"/>
      <c r="H4" s="2946" t="s">
        <v>1726</v>
      </c>
      <c r="I4" s="2947">
        <f>D15</f>
        <v>23164.5</v>
      </c>
      <c r="J4" s="2948">
        <f>D21</f>
        <v>2500</v>
      </c>
      <c r="K4" s="2948">
        <f>D27</f>
        <v>17118.2215</v>
      </c>
      <c r="L4" s="2948">
        <f>D37</f>
        <v>41371</v>
      </c>
      <c r="M4" s="2948">
        <f>D43</f>
        <v>500</v>
      </c>
      <c r="N4" s="2948">
        <f>D49</f>
        <v>120000</v>
      </c>
      <c r="O4" s="2948">
        <f>D55</f>
        <v>500</v>
      </c>
      <c r="P4" s="2948">
        <f>D61</f>
        <v>500</v>
      </c>
      <c r="Q4" s="2948">
        <f>D67</f>
        <v>150000</v>
      </c>
      <c r="R4" s="2948">
        <f>D68</f>
        <v>0</v>
      </c>
      <c r="S4" s="2949">
        <f>SUM(I4:R4)</f>
        <v>355653.72149999999</v>
      </c>
      <c r="T4" s="2950">
        <f>T15</f>
        <v>848000</v>
      </c>
      <c r="U4" s="2955">
        <f>Q4/S4</f>
        <v>0.4217585559553888</v>
      </c>
      <c r="V4" s="2955">
        <f>(L4+(J4*1.63))/S4</f>
        <v>0.12778159555965732</v>
      </c>
      <c r="W4" s="2955">
        <f>N4/S4</f>
        <v>0.33740684476431104</v>
      </c>
      <c r="X4" s="2956">
        <f>S4/T4</f>
        <v>0.41940297346698113</v>
      </c>
    </row>
    <row r="5" spans="1:26" ht="16.5" thickBot="1">
      <c r="A5" s="2270" t="s">
        <v>5</v>
      </c>
      <c r="C5" s="2265"/>
      <c r="G5" s="1652"/>
      <c r="H5" s="3205" t="s">
        <v>1753</v>
      </c>
      <c r="I5" s="2617">
        <v>23743.61</v>
      </c>
      <c r="J5" s="2618">
        <v>2563</v>
      </c>
      <c r="K5" s="2618">
        <v>17888.4948</v>
      </c>
      <c r="L5" s="2618">
        <v>41371.17</v>
      </c>
      <c r="M5" s="2618">
        <v>500</v>
      </c>
      <c r="N5" s="2618">
        <v>20000</v>
      </c>
      <c r="O5" s="2618">
        <v>500</v>
      </c>
      <c r="P5" s="2618">
        <v>500</v>
      </c>
      <c r="Q5" s="2618">
        <v>150000</v>
      </c>
      <c r="R5" s="2618">
        <v>0</v>
      </c>
      <c r="S5" s="2619">
        <v>257066.27480000001</v>
      </c>
      <c r="T5" s="2620">
        <v>848000</v>
      </c>
      <c r="U5" s="2277">
        <f>Q5/S5</f>
        <v>0.58350711355155949</v>
      </c>
      <c r="V5" s="2277">
        <f>(L5+(J5*1.63))/S5</f>
        <v>0.17718722549442723</v>
      </c>
      <c r="W5" s="2277">
        <f>N5/S5</f>
        <v>7.7800948473541257E-2</v>
      </c>
      <c r="X5" s="2278">
        <f>S5/T5</f>
        <v>0.30314419198113207</v>
      </c>
    </row>
    <row r="6" spans="1:26" ht="16.5" thickBot="1">
      <c r="A6" s="2270">
        <v>18230023</v>
      </c>
      <c r="B6" s="2270"/>
      <c r="D6" s="1190"/>
      <c r="G6" s="1652"/>
      <c r="H6" s="3206" t="s">
        <v>1754</v>
      </c>
      <c r="I6" s="2621">
        <f>E15</f>
        <v>15550</v>
      </c>
      <c r="J6" s="2622">
        <f>E21</f>
        <v>1943.75</v>
      </c>
      <c r="K6" s="2623">
        <f>E27</f>
        <v>15709.387499999999</v>
      </c>
      <c r="L6" s="2622">
        <f>E37</f>
        <v>35272</v>
      </c>
      <c r="M6" s="2622">
        <f>E43</f>
        <v>250</v>
      </c>
      <c r="N6" s="2622">
        <f>E49</f>
        <v>28965</v>
      </c>
      <c r="O6" s="2622">
        <f>E55</f>
        <v>250</v>
      </c>
      <c r="P6" s="2622">
        <f>E61</f>
        <v>100</v>
      </c>
      <c r="Q6" s="2622">
        <f>E67</f>
        <v>60000</v>
      </c>
      <c r="R6" s="2622">
        <f>E68</f>
        <v>0</v>
      </c>
      <c r="S6" s="2624">
        <f>SUM(I6:R6)</f>
        <v>158040.13750000001</v>
      </c>
      <c r="T6" s="2625">
        <f>U15</f>
        <v>703200</v>
      </c>
      <c r="U6" s="2635">
        <f>Q6/S6</f>
        <v>0.37965039102803866</v>
      </c>
      <c r="V6" s="2635">
        <f>(L6+(J6*1.63))/S6</f>
        <v>0.2432313278644167</v>
      </c>
      <c r="W6" s="2635">
        <f>N6/S6</f>
        <v>0.18327622626878567</v>
      </c>
      <c r="X6" s="2636">
        <f>S6/T6</f>
        <v>0.2247442228384528</v>
      </c>
    </row>
    <row r="7" spans="1:26" ht="15.75">
      <c r="A7" s="2276" t="s">
        <v>4</v>
      </c>
      <c r="B7" s="2276"/>
      <c r="D7" s="1190"/>
      <c r="G7" s="2632"/>
      <c r="H7" s="2607"/>
      <c r="I7" s="2607"/>
      <c r="J7" s="2607"/>
      <c r="K7" s="2607"/>
      <c r="L7" s="2607"/>
      <c r="M7" s="2607"/>
      <c r="N7" s="2607"/>
      <c r="O7" s="2607"/>
      <c r="P7" s="2607"/>
      <c r="Q7" s="2607"/>
      <c r="R7" s="2607"/>
      <c r="S7" s="2608"/>
      <c r="T7" s="2633"/>
      <c r="U7" s="2633"/>
      <c r="V7" s="2633"/>
      <c r="W7" s="2634"/>
    </row>
    <row r="8" spans="1:26" ht="15.75">
      <c r="B8" s="2276"/>
      <c r="D8" s="1190"/>
    </row>
    <row r="9" spans="1:26" ht="15.75">
      <c r="A9" s="2276"/>
      <c r="B9" s="2276"/>
      <c r="D9" s="1190"/>
      <c r="I9" s="3003" t="s">
        <v>1730</v>
      </c>
      <c r="J9" s="1652"/>
      <c r="K9" s="1652"/>
      <c r="L9" s="1652"/>
      <c r="M9" s="1652"/>
      <c r="N9" s="1652"/>
      <c r="O9" s="1652"/>
      <c r="P9" s="1652"/>
      <c r="Q9" s="3003" t="s">
        <v>1729</v>
      </c>
      <c r="R9" s="1652"/>
      <c r="S9" s="1652"/>
      <c r="T9" s="3003" t="s">
        <v>1729</v>
      </c>
      <c r="U9" s="1652"/>
      <c r="V9" s="1652"/>
      <c r="W9" s="3003" t="s">
        <v>1729</v>
      </c>
    </row>
    <row r="10" spans="1:26">
      <c r="A10" s="2276"/>
      <c r="B10" s="2276"/>
      <c r="C10" s="2279" t="s">
        <v>310</v>
      </c>
      <c r="D10" s="2279"/>
      <c r="E10" s="2321"/>
      <c r="F10" s="2279"/>
      <c r="H10" s="2280" t="s">
        <v>300</v>
      </c>
      <c r="Q10" s="2279"/>
      <c r="R10" s="2279"/>
      <c r="S10" s="2279"/>
      <c r="T10" s="2279"/>
      <c r="U10" s="2279"/>
      <c r="V10" s="2279"/>
      <c r="W10" s="2280" t="s">
        <v>300</v>
      </c>
      <c r="X10" s="2279"/>
      <c r="Y10" s="2279"/>
      <c r="Z10" s="2338" t="s">
        <v>1033</v>
      </c>
    </row>
    <row r="11" spans="1:26">
      <c r="A11" s="2276"/>
      <c r="B11" s="2276"/>
      <c r="H11" s="2281"/>
      <c r="I11" s="2282"/>
      <c r="J11" s="2282"/>
      <c r="K11" s="2281"/>
      <c r="L11" s="2281"/>
      <c r="M11" s="2281"/>
      <c r="N11" s="2281"/>
      <c r="O11" s="2281"/>
      <c r="P11" s="2281"/>
      <c r="Q11" s="2281"/>
      <c r="R11" s="2281"/>
      <c r="S11" s="2281"/>
      <c r="T11" s="2281"/>
      <c r="U11" s="2281"/>
      <c r="V11" s="2281"/>
      <c r="W11" s="2281"/>
      <c r="X11" s="2281"/>
      <c r="Y11" s="2281"/>
      <c r="Z11" s="2338" t="s">
        <v>1045</v>
      </c>
    </row>
    <row r="12" spans="1:26">
      <c r="C12" s="2283" t="s">
        <v>298</v>
      </c>
      <c r="D12" s="2881">
        <f>D15+D21+D27+D37+D43+D49+D55+D61+D67</f>
        <v>355653.72149999999</v>
      </c>
      <c r="E12" s="2322">
        <f>E15+E21+E27+E37+E43+E49+E55+E61+E67</f>
        <v>158040.13750000001</v>
      </c>
      <c r="F12" s="2284">
        <f>D12+E12</f>
        <v>513693.859</v>
      </c>
      <c r="H12" s="2285" t="s">
        <v>301</v>
      </c>
      <c r="Q12" s="2286" t="s">
        <v>40</v>
      </c>
      <c r="T12" s="2287" t="s">
        <v>41</v>
      </c>
      <c r="W12" s="2288" t="s">
        <v>52</v>
      </c>
      <c r="Z12" s="2339" t="s">
        <v>307</v>
      </c>
    </row>
    <row r="13" spans="1:26">
      <c r="C13" s="2289"/>
      <c r="D13" s="2767"/>
      <c r="E13" s="2323"/>
      <c r="H13" s="2290" t="s">
        <v>302</v>
      </c>
      <c r="I13" s="2290" t="s">
        <v>228</v>
      </c>
      <c r="J13" s="2290" t="s">
        <v>303</v>
      </c>
      <c r="K13" s="2290" t="s">
        <v>304</v>
      </c>
      <c r="L13" s="2290" t="s">
        <v>53</v>
      </c>
      <c r="M13" s="2290" t="s">
        <v>54</v>
      </c>
      <c r="N13" s="2290" t="s">
        <v>305</v>
      </c>
      <c r="O13" s="2290" t="s">
        <v>55</v>
      </c>
      <c r="P13" s="2290" t="s">
        <v>56</v>
      </c>
      <c r="Q13" s="3239">
        <v>2016</v>
      </c>
      <c r="R13" s="2291">
        <v>2017</v>
      </c>
      <c r="S13" s="2291" t="s">
        <v>306</v>
      </c>
      <c r="T13" s="3243">
        <v>2016</v>
      </c>
      <c r="U13" s="2292">
        <v>2017</v>
      </c>
      <c r="V13" s="2292" t="s">
        <v>306</v>
      </c>
      <c r="W13" s="3244">
        <v>2016</v>
      </c>
      <c r="X13" s="2293">
        <v>2017</v>
      </c>
      <c r="Y13" s="2293" t="s">
        <v>306</v>
      </c>
      <c r="Z13" s="2340"/>
    </row>
    <row r="14" spans="1:26" ht="15.75">
      <c r="C14" s="1435" t="s">
        <v>42</v>
      </c>
      <c r="D14" s="2882">
        <v>2016</v>
      </c>
      <c r="E14" s="2294">
        <v>2017</v>
      </c>
      <c r="F14" s="2295" t="s">
        <v>20</v>
      </c>
      <c r="H14" s="2296" t="s">
        <v>307</v>
      </c>
      <c r="I14" s="2296" t="s">
        <v>307</v>
      </c>
      <c r="J14" s="2290"/>
      <c r="K14" s="2296" t="s">
        <v>307</v>
      </c>
      <c r="L14" s="2296" t="s">
        <v>307</v>
      </c>
      <c r="M14" s="2296" t="s">
        <v>307</v>
      </c>
      <c r="N14" s="2296" t="s">
        <v>307</v>
      </c>
      <c r="O14" s="2296" t="s">
        <v>307</v>
      </c>
      <c r="P14" s="2296" t="s">
        <v>307</v>
      </c>
      <c r="Q14" s="3240" t="s">
        <v>307</v>
      </c>
      <c r="R14" s="2296" t="s">
        <v>307</v>
      </c>
      <c r="S14" s="2291"/>
      <c r="T14" s="2292"/>
      <c r="U14" s="2292"/>
      <c r="V14" s="2292"/>
      <c r="W14" s="2293"/>
      <c r="X14" s="2293"/>
      <c r="Y14" s="2293"/>
      <c r="Z14" s="2256">
        <v>0</v>
      </c>
    </row>
    <row r="15" spans="1:26">
      <c r="B15" s="2297" t="s">
        <v>296</v>
      </c>
      <c r="C15" s="1597" t="s">
        <v>1749</v>
      </c>
      <c r="D15" s="2883">
        <f>SUM(D16:D19)</f>
        <v>23164.5</v>
      </c>
      <c r="E15" s="2324">
        <f>SUM(E16:E19)</f>
        <v>15550</v>
      </c>
      <c r="F15" s="2284">
        <f>D15+E15</f>
        <v>38714.5</v>
      </c>
      <c r="H15" s="2299" t="s">
        <v>308</v>
      </c>
      <c r="I15" s="2300"/>
      <c r="J15" s="2300"/>
      <c r="K15" s="2301"/>
      <c r="L15" s="1478">
        <f>SUMPRODUCT(L16:L179,S16:S179)</f>
        <v>629410</v>
      </c>
      <c r="M15" s="1478">
        <f>SUM(M16:M179)</f>
        <v>150</v>
      </c>
      <c r="N15" s="2303" t="s">
        <v>229</v>
      </c>
      <c r="O15" s="2301">
        <v>20</v>
      </c>
      <c r="P15" s="2301"/>
      <c r="Q15" s="3241"/>
      <c r="R15" s="2301"/>
      <c r="S15" s="2301"/>
      <c r="T15" s="2996">
        <v>848000</v>
      </c>
      <c r="U15" s="2304">
        <f t="shared" ref="U15:Y15" si="0">SUM(U16:U65)</f>
        <v>703200</v>
      </c>
      <c r="V15" s="2304">
        <f t="shared" si="0"/>
        <v>1551200</v>
      </c>
      <c r="W15" s="2998">
        <v>150000</v>
      </c>
      <c r="X15" s="2435">
        <f t="shared" si="0"/>
        <v>60000</v>
      </c>
      <c r="Y15" s="2435">
        <f t="shared" si="0"/>
        <v>210000</v>
      </c>
      <c r="Z15" s="2256">
        <v>0</v>
      </c>
    </row>
    <row r="16" spans="1:26">
      <c r="B16" s="2305">
        <v>0.2</v>
      </c>
      <c r="C16" s="2306" t="s">
        <v>735</v>
      </c>
      <c r="D16" s="2794">
        <v>23164.5</v>
      </c>
      <c r="E16" s="2325">
        <v>15550</v>
      </c>
      <c r="F16" s="2307">
        <f>SUM(D16:E16)</f>
        <v>38714.5</v>
      </c>
      <c r="H16" s="2224" t="s">
        <v>1356</v>
      </c>
      <c r="I16" s="2229">
        <v>879</v>
      </c>
      <c r="J16" s="2226" t="s">
        <v>229</v>
      </c>
      <c r="K16" s="2224" t="s">
        <v>845</v>
      </c>
      <c r="L16" s="2227">
        <v>187.35</v>
      </c>
      <c r="M16" s="2227">
        <v>75</v>
      </c>
      <c r="N16" s="2250">
        <v>0.72666322846828257</v>
      </c>
      <c r="O16" s="2224">
        <v>20</v>
      </c>
      <c r="P16" s="2225" t="s">
        <v>1054</v>
      </c>
      <c r="Q16" s="3242">
        <v>1000</v>
      </c>
      <c r="R16" s="2229">
        <v>800</v>
      </c>
      <c r="S16" s="2228">
        <f>Q16+R16</f>
        <v>1800</v>
      </c>
      <c r="T16" s="2997">
        <v>424000</v>
      </c>
      <c r="U16" s="2228">
        <f>I16*R16</f>
        <v>703200</v>
      </c>
      <c r="V16" s="2228">
        <f>T16+U16</f>
        <v>1127200</v>
      </c>
      <c r="W16" s="2999">
        <v>75000</v>
      </c>
      <c r="X16" s="2230">
        <f>M16*R16</f>
        <v>60000</v>
      </c>
      <c r="Y16" s="2230">
        <f>W16+X16</f>
        <v>135000</v>
      </c>
      <c r="Z16" s="2256">
        <v>0</v>
      </c>
    </row>
    <row r="17" spans="2:26">
      <c r="B17" s="2305"/>
      <c r="C17" s="2306"/>
      <c r="D17" s="2791"/>
      <c r="E17" s="2326"/>
      <c r="F17" s="2307">
        <f>SUM(D17:E17)</f>
        <v>0</v>
      </c>
      <c r="H17" s="2224" t="s">
        <v>1357</v>
      </c>
      <c r="I17" s="2229">
        <v>879</v>
      </c>
      <c r="J17" s="2226" t="s">
        <v>229</v>
      </c>
      <c r="K17" s="2224" t="s">
        <v>845</v>
      </c>
      <c r="L17" s="2227">
        <v>292.18</v>
      </c>
      <c r="M17" s="2227">
        <v>75</v>
      </c>
      <c r="N17" s="2250">
        <v>0.27333677153171737</v>
      </c>
      <c r="O17" s="2224">
        <v>20</v>
      </c>
      <c r="P17" s="2225" t="s">
        <v>1054</v>
      </c>
      <c r="Q17" s="3242">
        <v>1000</v>
      </c>
      <c r="R17" s="2229">
        <v>0</v>
      </c>
      <c r="S17" s="2228">
        <f>Q17+R17</f>
        <v>1000</v>
      </c>
      <c r="T17" s="2997">
        <v>424000</v>
      </c>
      <c r="U17" s="2228">
        <f>I17*R17</f>
        <v>0</v>
      </c>
      <c r="V17" s="2228">
        <f>T17+U17</f>
        <v>424000</v>
      </c>
      <c r="W17" s="2999">
        <v>75000</v>
      </c>
      <c r="X17" s="2230">
        <f>M17*R17</f>
        <v>0</v>
      </c>
      <c r="Y17" s="2230">
        <f>W17+X17</f>
        <v>75000</v>
      </c>
      <c r="Z17" s="2256">
        <v>0</v>
      </c>
    </row>
    <row r="18" spans="2:26">
      <c r="B18" s="2305"/>
      <c r="C18" s="2306"/>
      <c r="D18" s="2791"/>
      <c r="E18" s="2326"/>
      <c r="F18" s="2307">
        <f>SUM(D18:E18)</f>
        <v>0</v>
      </c>
      <c r="H18" s="2224"/>
      <c r="I18" s="2229"/>
      <c r="J18" s="2226" t="s">
        <v>229</v>
      </c>
      <c r="K18" s="2224"/>
      <c r="L18" s="2227"/>
      <c r="M18" s="2227"/>
      <c r="N18" s="2250"/>
      <c r="O18" s="2224"/>
      <c r="P18" s="2225"/>
      <c r="Q18" s="2229"/>
      <c r="R18" s="2229"/>
      <c r="S18" s="2228" t="s">
        <v>229</v>
      </c>
      <c r="T18" s="2228" t="s">
        <v>229</v>
      </c>
      <c r="U18" s="2228" t="s">
        <v>229</v>
      </c>
      <c r="V18" s="2228" t="s">
        <v>229</v>
      </c>
      <c r="W18" s="2230" t="s">
        <v>229</v>
      </c>
      <c r="X18" s="2230" t="s">
        <v>229</v>
      </c>
      <c r="Y18" s="2230" t="s">
        <v>229</v>
      </c>
      <c r="Z18" s="2256">
        <v>0</v>
      </c>
    </row>
    <row r="19" spans="2:26">
      <c r="B19" s="2305"/>
      <c r="C19" s="2306"/>
      <c r="D19" s="2884"/>
      <c r="E19" s="2327"/>
      <c r="F19" s="2307">
        <f>SUM(D19:E19)</f>
        <v>0</v>
      </c>
      <c r="H19" s="2224"/>
      <c r="I19" s="2229"/>
      <c r="J19" s="2226" t="s">
        <v>229</v>
      </c>
      <c r="K19" s="2224"/>
      <c r="L19" s="2227"/>
      <c r="M19" s="2227"/>
      <c r="N19" s="2250"/>
      <c r="O19" s="2224"/>
      <c r="P19" s="2225"/>
      <c r="Q19" s="2229"/>
      <c r="R19" s="2229"/>
      <c r="S19" s="2228" t="s">
        <v>229</v>
      </c>
      <c r="T19" s="2228" t="s">
        <v>229</v>
      </c>
      <c r="U19" s="2228" t="s">
        <v>229</v>
      </c>
      <c r="V19" s="2228" t="s">
        <v>229</v>
      </c>
      <c r="W19" s="2230" t="s">
        <v>229</v>
      </c>
      <c r="X19" s="2230" t="s">
        <v>229</v>
      </c>
      <c r="Y19" s="2230" t="s">
        <v>229</v>
      </c>
      <c r="Z19" s="2256">
        <v>0</v>
      </c>
    </row>
    <row r="20" spans="2:26">
      <c r="B20" s="1449">
        <f>SUM(B16:B19)</f>
        <v>0.2</v>
      </c>
      <c r="C20" s="2308"/>
      <c r="D20" s="2885"/>
      <c r="E20" s="2328"/>
      <c r="F20" s="2309"/>
      <c r="H20" s="2224"/>
      <c r="I20" s="2229"/>
      <c r="J20" s="2226" t="s">
        <v>229</v>
      </c>
      <c r="K20" s="2224"/>
      <c r="L20" s="2227"/>
      <c r="M20" s="2227"/>
      <c r="N20" s="2250"/>
      <c r="O20" s="2224"/>
      <c r="P20" s="2225"/>
      <c r="Q20" s="2229"/>
      <c r="R20" s="2229"/>
      <c r="S20" s="2228" t="s">
        <v>229</v>
      </c>
      <c r="T20" s="2228" t="s">
        <v>229</v>
      </c>
      <c r="U20" s="2228" t="s">
        <v>229</v>
      </c>
      <c r="V20" s="2228" t="s">
        <v>229</v>
      </c>
      <c r="W20" s="2230" t="s">
        <v>229</v>
      </c>
      <c r="X20" s="2230" t="s">
        <v>229</v>
      </c>
      <c r="Y20" s="2230" t="s">
        <v>229</v>
      </c>
      <c r="Z20" s="2256">
        <v>0</v>
      </c>
    </row>
    <row r="21" spans="2:26">
      <c r="B21" s="2297" t="s">
        <v>296</v>
      </c>
      <c r="C21" s="2298" t="s">
        <v>44</v>
      </c>
      <c r="D21" s="2883">
        <f>SUM(D22:D25)</f>
        <v>2500</v>
      </c>
      <c r="E21" s="2324">
        <f>SUM(E22:E25)</f>
        <v>1943.75</v>
      </c>
      <c r="F21" s="2284">
        <f>D21+E21</f>
        <v>4443.75</v>
      </c>
      <c r="H21" s="2224"/>
      <c r="I21" s="2229"/>
      <c r="J21" s="2226" t="s">
        <v>229</v>
      </c>
      <c r="K21" s="2224"/>
      <c r="L21" s="2227"/>
      <c r="M21" s="2227"/>
      <c r="N21" s="2250"/>
      <c r="O21" s="2224"/>
      <c r="P21" s="2225"/>
      <c r="Q21" s="2229"/>
      <c r="R21" s="2229"/>
      <c r="S21" s="2228" t="s">
        <v>229</v>
      </c>
      <c r="T21" s="2228" t="s">
        <v>229</v>
      </c>
      <c r="U21" s="2228" t="s">
        <v>229</v>
      </c>
      <c r="V21" s="2228" t="s">
        <v>229</v>
      </c>
      <c r="W21" s="2230" t="s">
        <v>229</v>
      </c>
      <c r="X21" s="2230" t="s">
        <v>229</v>
      </c>
      <c r="Y21" s="2230" t="s">
        <v>229</v>
      </c>
      <c r="Z21" s="2256">
        <v>0</v>
      </c>
    </row>
    <row r="22" spans="2:26">
      <c r="B22" s="2305">
        <f>(SUM(D22:E22)/2)/((80000+(80000*1.025))/2)</f>
        <v>2.7430555555555555E-2</v>
      </c>
      <c r="C22" s="2310"/>
      <c r="D22" s="2942">
        <v>2500</v>
      </c>
      <c r="E22" s="2329">
        <v>1943.75</v>
      </c>
      <c r="F22" s="2307">
        <f>SUM(D22:E22)</f>
        <v>4443.75</v>
      </c>
      <c r="H22" s="2224"/>
      <c r="I22" s="2229"/>
      <c r="J22" s="2226" t="s">
        <v>229</v>
      </c>
      <c r="K22" s="2224"/>
      <c r="L22" s="2227"/>
      <c r="M22" s="2227"/>
      <c r="N22" s="2250"/>
      <c r="O22" s="2224"/>
      <c r="P22" s="2225"/>
      <c r="Q22" s="2229"/>
      <c r="R22" s="2229"/>
      <c r="S22" s="2228" t="s">
        <v>229</v>
      </c>
      <c r="T22" s="2228" t="s">
        <v>229</v>
      </c>
      <c r="U22" s="2228" t="s">
        <v>229</v>
      </c>
      <c r="V22" s="2228" t="s">
        <v>229</v>
      </c>
      <c r="W22" s="2230" t="s">
        <v>229</v>
      </c>
      <c r="X22" s="2230" t="s">
        <v>229</v>
      </c>
      <c r="Y22" s="2230" t="s">
        <v>229</v>
      </c>
      <c r="Z22" s="2256">
        <v>0</v>
      </c>
    </row>
    <row r="23" spans="2:26">
      <c r="B23" s="2305"/>
      <c r="C23" s="2306"/>
      <c r="D23" s="2886"/>
      <c r="E23" s="2330"/>
      <c r="F23" s="2307">
        <f>SUM(D23:E23)</f>
        <v>0</v>
      </c>
      <c r="H23" s="2224"/>
      <c r="I23" s="2229"/>
      <c r="J23" s="2226" t="s">
        <v>229</v>
      </c>
      <c r="K23" s="2224"/>
      <c r="L23" s="2227"/>
      <c r="M23" s="2227"/>
      <c r="N23" s="2250"/>
      <c r="O23" s="2224"/>
      <c r="P23" s="2225"/>
      <c r="Q23" s="2229"/>
      <c r="R23" s="2229"/>
      <c r="S23" s="2228" t="s">
        <v>229</v>
      </c>
      <c r="T23" s="2228" t="s">
        <v>229</v>
      </c>
      <c r="U23" s="2228" t="s">
        <v>229</v>
      </c>
      <c r="V23" s="2228" t="s">
        <v>229</v>
      </c>
      <c r="W23" s="2230" t="s">
        <v>229</v>
      </c>
      <c r="X23" s="2230" t="s">
        <v>229</v>
      </c>
      <c r="Y23" s="2230" t="s">
        <v>229</v>
      </c>
      <c r="Z23" s="2256">
        <v>0</v>
      </c>
    </row>
    <row r="24" spans="2:26">
      <c r="B24" s="2305"/>
      <c r="C24" s="2306"/>
      <c r="D24" s="2943"/>
      <c r="E24" s="2331"/>
      <c r="F24" s="2307">
        <f>SUM(D24:E24)</f>
        <v>0</v>
      </c>
      <c r="H24" s="2224"/>
      <c r="I24" s="2229"/>
      <c r="J24" s="2226" t="s">
        <v>229</v>
      </c>
      <c r="K24" s="2224"/>
      <c r="L24" s="2227"/>
      <c r="M24" s="2227"/>
      <c r="N24" s="2250"/>
      <c r="O24" s="2224"/>
      <c r="P24" s="2225"/>
      <c r="Q24" s="2229"/>
      <c r="R24" s="2229"/>
      <c r="S24" s="2228" t="s">
        <v>229</v>
      </c>
      <c r="T24" s="2228" t="s">
        <v>229</v>
      </c>
      <c r="U24" s="2228" t="s">
        <v>229</v>
      </c>
      <c r="V24" s="2228" t="s">
        <v>229</v>
      </c>
      <c r="W24" s="2230" t="s">
        <v>229</v>
      </c>
      <c r="X24" s="2230" t="s">
        <v>229</v>
      </c>
      <c r="Y24" s="2230" t="s">
        <v>229</v>
      </c>
      <c r="Z24" s="2256">
        <v>0</v>
      </c>
    </row>
    <row r="25" spans="2:26">
      <c r="B25" s="2305"/>
      <c r="C25" s="2306"/>
      <c r="D25" s="2888"/>
      <c r="E25" s="2330"/>
      <c r="F25" s="2307">
        <f>SUM(D25:E25)</f>
        <v>0</v>
      </c>
      <c r="H25" s="2224"/>
      <c r="I25" s="2229"/>
      <c r="J25" s="2226" t="s">
        <v>229</v>
      </c>
      <c r="K25" s="2224"/>
      <c r="L25" s="2227"/>
      <c r="M25" s="2227"/>
      <c r="N25" s="2250"/>
      <c r="O25" s="2224"/>
      <c r="P25" s="2225"/>
      <c r="Q25" s="2229"/>
      <c r="R25" s="2229"/>
      <c r="S25" s="2228" t="s">
        <v>229</v>
      </c>
      <c r="T25" s="2228" t="s">
        <v>229</v>
      </c>
      <c r="U25" s="2228" t="s">
        <v>229</v>
      </c>
      <c r="V25" s="2228" t="s">
        <v>229</v>
      </c>
      <c r="W25" s="2230" t="s">
        <v>229</v>
      </c>
      <c r="X25" s="2230" t="s">
        <v>229</v>
      </c>
      <c r="Y25" s="2230" t="s">
        <v>229</v>
      </c>
      <c r="Z25" s="2256">
        <v>0</v>
      </c>
    </row>
    <row r="26" spans="2:26">
      <c r="B26" s="1449">
        <f>SUM(B22:B25)</f>
        <v>2.7430555555555555E-2</v>
      </c>
      <c r="C26" s="2311"/>
      <c r="D26" s="2889"/>
      <c r="E26" s="2332"/>
      <c r="F26" s="2312"/>
      <c r="H26" s="2224"/>
      <c r="I26" s="2229"/>
      <c r="J26" s="2226" t="s">
        <v>229</v>
      </c>
      <c r="K26" s="2224"/>
      <c r="L26" s="2227"/>
      <c r="M26" s="2227"/>
      <c r="N26" s="2250"/>
      <c r="O26" s="2224"/>
      <c r="P26" s="2225"/>
      <c r="Q26" s="2229"/>
      <c r="R26" s="2229"/>
      <c r="S26" s="2228" t="s">
        <v>229</v>
      </c>
      <c r="T26" s="2228" t="s">
        <v>229</v>
      </c>
      <c r="U26" s="2228" t="s">
        <v>229</v>
      </c>
      <c r="V26" s="2228" t="s">
        <v>229</v>
      </c>
      <c r="W26" s="2230" t="s">
        <v>229</v>
      </c>
      <c r="X26" s="2230" t="s">
        <v>229</v>
      </c>
      <c r="Y26" s="2230" t="s">
        <v>229</v>
      </c>
      <c r="Z26" s="2256">
        <v>0</v>
      </c>
    </row>
    <row r="27" spans="2:26">
      <c r="C27" s="1597" t="s">
        <v>1737</v>
      </c>
      <c r="D27" s="2883">
        <f>SUM(D29:D35)</f>
        <v>17118.2215</v>
      </c>
      <c r="E27" s="3012">
        <f>SUM(E29:E31)+SUM(E33:E35)</f>
        <v>15709.387499999999</v>
      </c>
      <c r="F27" s="2284">
        <f>D27+E27</f>
        <v>32827.608999999997</v>
      </c>
      <c r="H27" s="2224"/>
      <c r="I27" s="2229"/>
      <c r="J27" s="2226" t="s">
        <v>229</v>
      </c>
      <c r="K27" s="2224"/>
      <c r="L27" s="2227"/>
      <c r="M27" s="2227"/>
      <c r="N27" s="2250"/>
      <c r="O27" s="2224"/>
      <c r="P27" s="2225"/>
      <c r="Q27" s="2229"/>
      <c r="R27" s="2229"/>
      <c r="S27" s="2228" t="s">
        <v>229</v>
      </c>
      <c r="T27" s="2228" t="s">
        <v>229</v>
      </c>
      <c r="U27" s="2228" t="s">
        <v>229</v>
      </c>
      <c r="V27" s="2228" t="s">
        <v>229</v>
      </c>
      <c r="W27" s="2230" t="s">
        <v>229</v>
      </c>
      <c r="X27" s="2230" t="s">
        <v>229</v>
      </c>
      <c r="Y27" s="2230" t="s">
        <v>229</v>
      </c>
      <c r="Z27" s="2256">
        <v>0</v>
      </c>
    </row>
    <row r="28" spans="2:26">
      <c r="C28" s="1450" t="s">
        <v>1733</v>
      </c>
      <c r="D28" s="2890">
        <v>0.66700000000000004</v>
      </c>
      <c r="E28" s="2333">
        <v>0.68799999999999994</v>
      </c>
      <c r="F28" s="2313"/>
      <c r="H28" s="2224"/>
      <c r="I28" s="2229"/>
      <c r="J28" s="2226" t="s">
        <v>229</v>
      </c>
      <c r="K28" s="2224"/>
      <c r="L28" s="2227"/>
      <c r="M28" s="2227"/>
      <c r="N28" s="2250"/>
      <c r="O28" s="2224"/>
      <c r="P28" s="2225"/>
      <c r="Q28" s="2229"/>
      <c r="R28" s="2229"/>
      <c r="S28" s="2228" t="s">
        <v>229</v>
      </c>
      <c r="T28" s="2228" t="s">
        <v>229</v>
      </c>
      <c r="U28" s="2228" t="s">
        <v>229</v>
      </c>
      <c r="V28" s="2228" t="s">
        <v>229</v>
      </c>
      <c r="W28" s="2230" t="s">
        <v>229</v>
      </c>
      <c r="X28" s="2230" t="s">
        <v>229</v>
      </c>
      <c r="Y28" s="2230" t="s">
        <v>229</v>
      </c>
      <c r="Z28" s="2256">
        <v>0</v>
      </c>
    </row>
    <row r="29" spans="2:26">
      <c r="C29" s="1667" t="s">
        <v>719</v>
      </c>
      <c r="D29" s="2891">
        <f>D15*D28</f>
        <v>15450.721500000001</v>
      </c>
      <c r="E29" s="2334">
        <f>E15*E28</f>
        <v>10698.4</v>
      </c>
      <c r="F29" s="2307">
        <f>SUM(D29:E29)</f>
        <v>26149.121500000001</v>
      </c>
      <c r="H29" s="2224"/>
      <c r="I29" s="2229"/>
      <c r="J29" s="2226" t="s">
        <v>229</v>
      </c>
      <c r="K29" s="2224"/>
      <c r="L29" s="2227"/>
      <c r="M29" s="2227"/>
      <c r="N29" s="2250"/>
      <c r="O29" s="2224"/>
      <c r="P29" s="2225"/>
      <c r="Q29" s="2229"/>
      <c r="R29" s="2229"/>
      <c r="S29" s="2228" t="s">
        <v>229</v>
      </c>
      <c r="T29" s="2228" t="s">
        <v>229</v>
      </c>
      <c r="U29" s="2228" t="s">
        <v>229</v>
      </c>
      <c r="V29" s="2228" t="s">
        <v>229</v>
      </c>
      <c r="W29" s="2230" t="s">
        <v>229</v>
      </c>
      <c r="X29" s="2230" t="s">
        <v>229</v>
      </c>
      <c r="Y29" s="2230" t="s">
        <v>229</v>
      </c>
      <c r="Z29" s="2256">
        <v>0</v>
      </c>
    </row>
    <row r="30" spans="2:26">
      <c r="C30" s="1667" t="s">
        <v>720</v>
      </c>
      <c r="D30" s="2892">
        <f>D21*D28</f>
        <v>1667.5</v>
      </c>
      <c r="E30" s="2334">
        <f>E21*E28</f>
        <v>1337.3</v>
      </c>
      <c r="F30" s="2307">
        <f>SUM(D30:E30)</f>
        <v>3004.8</v>
      </c>
      <c r="H30" s="2224"/>
      <c r="I30" s="2229"/>
      <c r="J30" s="2226" t="s">
        <v>229</v>
      </c>
      <c r="K30" s="2224"/>
      <c r="L30" s="2227"/>
      <c r="M30" s="2227"/>
      <c r="N30" s="2250"/>
      <c r="O30" s="2224"/>
      <c r="P30" s="2225"/>
      <c r="Q30" s="2229"/>
      <c r="R30" s="2229"/>
      <c r="S30" s="2228" t="s">
        <v>229</v>
      </c>
      <c r="T30" s="2228" t="s">
        <v>229</v>
      </c>
      <c r="U30" s="2228" t="s">
        <v>229</v>
      </c>
      <c r="V30" s="2228" t="s">
        <v>229</v>
      </c>
      <c r="W30" s="2230" t="s">
        <v>229</v>
      </c>
      <c r="X30" s="2230" t="s">
        <v>229</v>
      </c>
      <c r="Y30" s="2230" t="s">
        <v>229</v>
      </c>
      <c r="Z30" s="2256">
        <v>0</v>
      </c>
    </row>
    <row r="31" spans="2:26">
      <c r="C31" s="1667"/>
      <c r="D31" s="2943"/>
      <c r="E31" s="2331"/>
      <c r="F31" s="2307">
        <f>SUM(D31:E31)</f>
        <v>0</v>
      </c>
      <c r="H31" s="2224"/>
      <c r="I31" s="2229"/>
      <c r="J31" s="2226" t="s">
        <v>229</v>
      </c>
      <c r="K31" s="2224"/>
      <c r="L31" s="2227"/>
      <c r="M31" s="2227"/>
      <c r="N31" s="2250"/>
      <c r="O31" s="2224"/>
      <c r="P31" s="2225"/>
      <c r="Q31" s="2229"/>
      <c r="R31" s="2229"/>
      <c r="S31" s="2228" t="s">
        <v>229</v>
      </c>
      <c r="T31" s="2228" t="s">
        <v>229</v>
      </c>
      <c r="U31" s="2228" t="s">
        <v>229</v>
      </c>
      <c r="V31" s="2228" t="s">
        <v>229</v>
      </c>
      <c r="W31" s="2230" t="s">
        <v>229</v>
      </c>
      <c r="X31" s="2230" t="s">
        <v>229</v>
      </c>
      <c r="Y31" s="2230" t="s">
        <v>229</v>
      </c>
      <c r="Z31" s="2256">
        <v>0</v>
      </c>
    </row>
    <row r="32" spans="2:26">
      <c r="C32" s="1450" t="s">
        <v>1734</v>
      </c>
      <c r="D32" s="2777"/>
      <c r="E32" s="1452">
        <v>0.21</v>
      </c>
      <c r="F32" s="1485"/>
      <c r="H32" s="2224"/>
      <c r="I32" s="2229"/>
      <c r="J32" s="2226" t="s">
        <v>229</v>
      </c>
      <c r="K32" s="2224"/>
      <c r="L32" s="2227"/>
      <c r="M32" s="2227"/>
      <c r="N32" s="2250"/>
      <c r="O32" s="2224"/>
      <c r="P32" s="2225"/>
      <c r="Q32" s="2229"/>
      <c r="R32" s="2229"/>
      <c r="S32" s="2228" t="s">
        <v>229</v>
      </c>
      <c r="T32" s="2228" t="s">
        <v>229</v>
      </c>
      <c r="U32" s="2228" t="s">
        <v>229</v>
      </c>
      <c r="V32" s="2228" t="s">
        <v>229</v>
      </c>
      <c r="W32" s="2230" t="s">
        <v>229</v>
      </c>
      <c r="X32" s="2230" t="s">
        <v>229</v>
      </c>
      <c r="Y32" s="2230" t="s">
        <v>229</v>
      </c>
      <c r="Z32" s="2256">
        <v>0</v>
      </c>
    </row>
    <row r="33" spans="1:26">
      <c r="C33" s="1667" t="s">
        <v>719</v>
      </c>
      <c r="D33" s="2778"/>
      <c r="E33" s="1641">
        <f>E15*E32</f>
        <v>3265.5</v>
      </c>
      <c r="F33" s="1661">
        <f>SUM(D33:E33)</f>
        <v>3265.5</v>
      </c>
      <c r="H33" s="2224"/>
      <c r="I33" s="2229"/>
      <c r="J33" s="2226" t="s">
        <v>229</v>
      </c>
      <c r="K33" s="2224"/>
      <c r="L33" s="2227"/>
      <c r="M33" s="2227"/>
      <c r="N33" s="2250"/>
      <c r="O33" s="2224"/>
      <c r="P33" s="2225"/>
      <c r="Q33" s="2229"/>
      <c r="R33" s="2229"/>
      <c r="S33" s="2228" t="s">
        <v>229</v>
      </c>
      <c r="T33" s="2228" t="s">
        <v>229</v>
      </c>
      <c r="U33" s="2228" t="s">
        <v>229</v>
      </c>
      <c r="V33" s="2228" t="s">
        <v>229</v>
      </c>
      <c r="W33" s="2230" t="s">
        <v>229</v>
      </c>
      <c r="X33" s="2230" t="s">
        <v>229</v>
      </c>
      <c r="Y33" s="2230" t="s">
        <v>229</v>
      </c>
      <c r="Z33" s="2256">
        <v>0</v>
      </c>
    </row>
    <row r="34" spans="1:26">
      <c r="A34" s="2270" t="s">
        <v>1354</v>
      </c>
      <c r="C34" s="1667" t="s">
        <v>720</v>
      </c>
      <c r="D34" s="2785"/>
      <c r="E34" s="1641">
        <f>E21*E32</f>
        <v>408.1875</v>
      </c>
      <c r="F34" s="1661">
        <f t="shared" ref="F34" si="1">SUM(D34:E34)</f>
        <v>408.1875</v>
      </c>
      <c r="H34" s="2224"/>
      <c r="I34" s="2229"/>
      <c r="J34" s="2226" t="s">
        <v>229</v>
      </c>
      <c r="K34" s="2224"/>
      <c r="L34" s="2227"/>
      <c r="M34" s="2227"/>
      <c r="N34" s="2250"/>
      <c r="O34" s="2224"/>
      <c r="P34" s="2225"/>
      <c r="Q34" s="2229"/>
      <c r="R34" s="2229"/>
      <c r="S34" s="2228" t="s">
        <v>229</v>
      </c>
      <c r="T34" s="2228" t="s">
        <v>229</v>
      </c>
      <c r="U34" s="2228" t="s">
        <v>229</v>
      </c>
      <c r="V34" s="2228" t="s">
        <v>229</v>
      </c>
      <c r="W34" s="2230" t="s">
        <v>229</v>
      </c>
      <c r="X34" s="2230" t="s">
        <v>229</v>
      </c>
      <c r="Y34" s="2230" t="s">
        <v>229</v>
      </c>
      <c r="Z34" s="2256">
        <v>0</v>
      </c>
    </row>
    <row r="35" spans="1:26">
      <c r="A35" s="2276" t="s">
        <v>275</v>
      </c>
      <c r="C35" s="2314"/>
      <c r="D35" s="2888"/>
      <c r="E35" s="2330"/>
      <c r="F35" s="2307">
        <f>SUM(D35:E35)</f>
        <v>0</v>
      </c>
      <c r="H35" s="2224"/>
      <c r="I35" s="2229"/>
      <c r="J35" s="2226" t="s">
        <v>229</v>
      </c>
      <c r="K35" s="2224"/>
      <c r="L35" s="2227"/>
      <c r="M35" s="2227"/>
      <c r="N35" s="2250"/>
      <c r="O35" s="2224"/>
      <c r="P35" s="2225"/>
      <c r="Q35" s="2229"/>
      <c r="R35" s="2229"/>
      <c r="S35" s="2228" t="s">
        <v>229</v>
      </c>
      <c r="T35" s="2228" t="s">
        <v>229</v>
      </c>
      <c r="U35" s="2228" t="s">
        <v>229</v>
      </c>
      <c r="V35" s="2228" t="s">
        <v>229</v>
      </c>
      <c r="W35" s="2230" t="s">
        <v>229</v>
      </c>
      <c r="X35" s="2230" t="s">
        <v>229</v>
      </c>
      <c r="Y35" s="2230" t="s">
        <v>229</v>
      </c>
      <c r="Z35" s="2256">
        <v>0</v>
      </c>
    </row>
    <row r="36" spans="1:26">
      <c r="A36" s="2270" t="s">
        <v>5</v>
      </c>
      <c r="C36" s="2308"/>
      <c r="D36" s="2893"/>
      <c r="E36" s="2328"/>
      <c r="F36" s="2315"/>
      <c r="H36" s="2224"/>
      <c r="I36" s="2229"/>
      <c r="J36" s="2226" t="s">
        <v>229</v>
      </c>
      <c r="K36" s="2224"/>
      <c r="L36" s="2227"/>
      <c r="M36" s="2227"/>
      <c r="N36" s="2250"/>
      <c r="O36" s="2224"/>
      <c r="P36" s="2225"/>
      <c r="Q36" s="2229"/>
      <c r="R36" s="2229"/>
      <c r="S36" s="2228" t="s">
        <v>229</v>
      </c>
      <c r="T36" s="2228" t="s">
        <v>229</v>
      </c>
      <c r="U36" s="2228" t="s">
        <v>229</v>
      </c>
      <c r="V36" s="2228" t="s">
        <v>229</v>
      </c>
      <c r="W36" s="2230" t="s">
        <v>229</v>
      </c>
      <c r="X36" s="2230" t="s">
        <v>229</v>
      </c>
      <c r="Y36" s="2230" t="s">
        <v>229</v>
      </c>
      <c r="Z36" s="2256">
        <v>0</v>
      </c>
    </row>
    <row r="37" spans="1:26">
      <c r="A37" s="2270">
        <v>18230023</v>
      </c>
      <c r="C37" s="2298" t="s">
        <v>46</v>
      </c>
      <c r="D37" s="2883">
        <f>SUM(D38:D41)</f>
        <v>41371</v>
      </c>
      <c r="E37" s="2324">
        <f>SUM(E38:E41)</f>
        <v>35272</v>
      </c>
      <c r="F37" s="2284">
        <f>D37+E37</f>
        <v>76643</v>
      </c>
      <c r="H37" s="2224"/>
      <c r="I37" s="2229"/>
      <c r="J37" s="2226" t="s">
        <v>229</v>
      </c>
      <c r="K37" s="2224"/>
      <c r="L37" s="2227"/>
      <c r="M37" s="2227"/>
      <c r="N37" s="2250"/>
      <c r="O37" s="2224"/>
      <c r="P37" s="2225"/>
      <c r="Q37" s="2229"/>
      <c r="R37" s="2229"/>
      <c r="S37" s="2228" t="s">
        <v>229</v>
      </c>
      <c r="T37" s="2228" t="s">
        <v>229</v>
      </c>
      <c r="U37" s="2228" t="s">
        <v>229</v>
      </c>
      <c r="V37" s="2228" t="s">
        <v>229</v>
      </c>
      <c r="W37" s="2230" t="s">
        <v>229</v>
      </c>
      <c r="X37" s="2230" t="s">
        <v>229</v>
      </c>
      <c r="Y37" s="2230" t="s">
        <v>229</v>
      </c>
      <c r="Z37" s="2256">
        <v>0</v>
      </c>
    </row>
    <row r="38" spans="1:26">
      <c r="A38" s="2276" t="s">
        <v>4</v>
      </c>
      <c r="C38" s="2306" t="s">
        <v>1824</v>
      </c>
      <c r="D38" s="2891">
        <v>41371</v>
      </c>
      <c r="E38" s="2335">
        <v>17299</v>
      </c>
      <c r="F38" s="2307">
        <f>SUM(D38:E38)</f>
        <v>58670</v>
      </c>
      <c r="H38" s="2224"/>
      <c r="I38" s="2229"/>
      <c r="J38" s="2226" t="s">
        <v>229</v>
      </c>
      <c r="K38" s="2224"/>
      <c r="L38" s="2227"/>
      <c r="M38" s="2227"/>
      <c r="N38" s="2250"/>
      <c r="O38" s="2224"/>
      <c r="P38" s="2225"/>
      <c r="Q38" s="2229"/>
      <c r="R38" s="2229"/>
      <c r="S38" s="2228" t="s">
        <v>229</v>
      </c>
      <c r="T38" s="2228" t="s">
        <v>229</v>
      </c>
      <c r="U38" s="2228" t="s">
        <v>229</v>
      </c>
      <c r="V38" s="2228" t="s">
        <v>229</v>
      </c>
      <c r="W38" s="2230" t="s">
        <v>229</v>
      </c>
      <c r="X38" s="2230" t="s">
        <v>229</v>
      </c>
      <c r="Y38" s="2230" t="s">
        <v>229</v>
      </c>
      <c r="Z38" s="2256">
        <v>0</v>
      </c>
    </row>
    <row r="39" spans="1:26">
      <c r="C39" s="2306" t="s">
        <v>1825</v>
      </c>
      <c r="D39" s="2891"/>
      <c r="E39" s="2335">
        <v>17973</v>
      </c>
      <c r="F39" s="2307">
        <f>SUM(D39:E39)</f>
        <v>17973</v>
      </c>
      <c r="H39" s="2224"/>
      <c r="I39" s="2229"/>
      <c r="J39" s="2226" t="s">
        <v>229</v>
      </c>
      <c r="K39" s="2224"/>
      <c r="L39" s="2227"/>
      <c r="M39" s="2227"/>
      <c r="N39" s="2250"/>
      <c r="O39" s="2224"/>
      <c r="P39" s="2225"/>
      <c r="Q39" s="2229"/>
      <c r="R39" s="2229"/>
      <c r="S39" s="2228" t="s">
        <v>229</v>
      </c>
      <c r="T39" s="2228" t="s">
        <v>229</v>
      </c>
      <c r="U39" s="2228" t="s">
        <v>229</v>
      </c>
      <c r="V39" s="2228" t="s">
        <v>229</v>
      </c>
      <c r="W39" s="2230" t="s">
        <v>229</v>
      </c>
      <c r="X39" s="2230" t="s">
        <v>229</v>
      </c>
      <c r="Y39" s="2230" t="s">
        <v>229</v>
      </c>
      <c r="Z39" s="2256">
        <v>0</v>
      </c>
    </row>
    <row r="40" spans="1:26">
      <c r="C40" s="2306"/>
      <c r="D40" s="2891"/>
      <c r="E40" s="2335"/>
      <c r="F40" s="2307">
        <f>SUM(D40:E40)</f>
        <v>0</v>
      </c>
      <c r="H40" s="2224"/>
      <c r="I40" s="2229"/>
      <c r="J40" s="2226" t="s">
        <v>229</v>
      </c>
      <c r="K40" s="2224"/>
      <c r="L40" s="2227"/>
      <c r="M40" s="2227"/>
      <c r="N40" s="2250"/>
      <c r="O40" s="2224"/>
      <c r="P40" s="2225"/>
      <c r="Q40" s="2229"/>
      <c r="R40" s="2229"/>
      <c r="S40" s="2228" t="s">
        <v>229</v>
      </c>
      <c r="T40" s="2228" t="s">
        <v>229</v>
      </c>
      <c r="U40" s="2228" t="s">
        <v>229</v>
      </c>
      <c r="V40" s="2228" t="s">
        <v>229</v>
      </c>
      <c r="W40" s="2230" t="s">
        <v>229</v>
      </c>
      <c r="X40" s="2230" t="s">
        <v>229</v>
      </c>
      <c r="Y40" s="2230" t="s">
        <v>229</v>
      </c>
      <c r="Z40" s="2256">
        <v>0</v>
      </c>
    </row>
    <row r="41" spans="1:26">
      <c r="C41" s="2306"/>
      <c r="D41" s="2891"/>
      <c r="E41" s="2335"/>
      <c r="F41" s="2307">
        <f>SUM(D41:E41)</f>
        <v>0</v>
      </c>
      <c r="H41" s="2224"/>
      <c r="I41" s="2229"/>
      <c r="J41" s="2226" t="s">
        <v>229</v>
      </c>
      <c r="K41" s="2224"/>
      <c r="L41" s="2227"/>
      <c r="M41" s="2227"/>
      <c r="N41" s="2250"/>
      <c r="O41" s="2224"/>
      <c r="P41" s="2225"/>
      <c r="Q41" s="2229"/>
      <c r="R41" s="2229"/>
      <c r="S41" s="2228" t="s">
        <v>229</v>
      </c>
      <c r="T41" s="2228" t="s">
        <v>229</v>
      </c>
      <c r="U41" s="2228" t="s">
        <v>229</v>
      </c>
      <c r="V41" s="2228" t="s">
        <v>229</v>
      </c>
      <c r="W41" s="2230" t="s">
        <v>229</v>
      </c>
      <c r="X41" s="2230" t="s">
        <v>229</v>
      </c>
      <c r="Y41" s="2230" t="s">
        <v>229</v>
      </c>
      <c r="Z41" s="2256">
        <v>0</v>
      </c>
    </row>
    <row r="42" spans="1:26">
      <c r="C42" s="2308"/>
      <c r="D42" s="2893"/>
      <c r="E42" s="2328"/>
      <c r="F42" s="2315"/>
      <c r="H42" s="2224"/>
      <c r="I42" s="2229"/>
      <c r="J42" s="2226" t="s">
        <v>229</v>
      </c>
      <c r="K42" s="2224"/>
      <c r="L42" s="2227"/>
      <c r="M42" s="2227"/>
      <c r="N42" s="2250"/>
      <c r="O42" s="2224"/>
      <c r="P42" s="2225"/>
      <c r="Q42" s="2229"/>
      <c r="R42" s="2229"/>
      <c r="S42" s="2228" t="s">
        <v>229</v>
      </c>
      <c r="T42" s="2228" t="s">
        <v>229</v>
      </c>
      <c r="U42" s="2228" t="s">
        <v>229</v>
      </c>
      <c r="V42" s="2228" t="s">
        <v>229</v>
      </c>
      <c r="W42" s="2230" t="s">
        <v>229</v>
      </c>
      <c r="X42" s="2230" t="s">
        <v>229</v>
      </c>
      <c r="Y42" s="2230" t="s">
        <v>229</v>
      </c>
      <c r="Z42" s="2256">
        <v>0</v>
      </c>
    </row>
    <row r="43" spans="1:26">
      <c r="C43" s="2298" t="s">
        <v>483</v>
      </c>
      <c r="D43" s="2883">
        <f>SUM(D44:D47)</f>
        <v>500</v>
      </c>
      <c r="E43" s="2324">
        <f>SUM(E44:E47)</f>
        <v>250</v>
      </c>
      <c r="F43" s="2284">
        <f>D43+E43</f>
        <v>750</v>
      </c>
      <c r="H43" s="2224"/>
      <c r="I43" s="2229"/>
      <c r="J43" s="2226" t="s">
        <v>229</v>
      </c>
      <c r="K43" s="2224"/>
      <c r="L43" s="2227"/>
      <c r="M43" s="2227"/>
      <c r="N43" s="2250"/>
      <c r="O43" s="2224"/>
      <c r="P43" s="2225"/>
      <c r="Q43" s="2229"/>
      <c r="R43" s="2229"/>
      <c r="S43" s="2228" t="s">
        <v>229</v>
      </c>
      <c r="T43" s="2228" t="s">
        <v>229</v>
      </c>
      <c r="U43" s="2228" t="s">
        <v>229</v>
      </c>
      <c r="V43" s="2228" t="s">
        <v>229</v>
      </c>
      <c r="W43" s="2230" t="s">
        <v>229</v>
      </c>
      <c r="X43" s="2230" t="s">
        <v>229</v>
      </c>
      <c r="Y43" s="2230" t="s">
        <v>229</v>
      </c>
      <c r="Z43" s="2256">
        <v>0</v>
      </c>
    </row>
    <row r="44" spans="1:26">
      <c r="C44" s="2306"/>
      <c r="D44" s="2891">
        <v>500</v>
      </c>
      <c r="E44" s="2335">
        <v>250</v>
      </c>
      <c r="F44" s="2307">
        <f>SUM(D44:E44)</f>
        <v>750</v>
      </c>
      <c r="H44" s="2224"/>
      <c r="I44" s="2229"/>
      <c r="J44" s="2226" t="s">
        <v>229</v>
      </c>
      <c r="K44" s="2224"/>
      <c r="L44" s="2227"/>
      <c r="M44" s="2227"/>
      <c r="N44" s="2250"/>
      <c r="O44" s="2224"/>
      <c r="P44" s="2225"/>
      <c r="Q44" s="2229"/>
      <c r="R44" s="2229"/>
      <c r="S44" s="2228" t="s">
        <v>229</v>
      </c>
      <c r="T44" s="2228" t="s">
        <v>229</v>
      </c>
      <c r="U44" s="2228" t="s">
        <v>229</v>
      </c>
      <c r="V44" s="2228" t="s">
        <v>229</v>
      </c>
      <c r="W44" s="2230" t="s">
        <v>229</v>
      </c>
      <c r="X44" s="2230" t="s">
        <v>229</v>
      </c>
      <c r="Y44" s="2230" t="s">
        <v>229</v>
      </c>
      <c r="Z44" s="2256">
        <v>0</v>
      </c>
    </row>
    <row r="45" spans="1:26">
      <c r="C45" s="2306"/>
      <c r="D45" s="2891"/>
      <c r="E45" s="2335"/>
      <c r="F45" s="2307">
        <f>SUM(D45:E45)</f>
        <v>0</v>
      </c>
      <c r="H45" s="2224"/>
      <c r="I45" s="2229"/>
      <c r="J45" s="2226" t="s">
        <v>229</v>
      </c>
      <c r="K45" s="2224"/>
      <c r="L45" s="2227"/>
      <c r="M45" s="2227"/>
      <c r="N45" s="2250"/>
      <c r="O45" s="2224"/>
      <c r="P45" s="2225"/>
      <c r="Q45" s="2229"/>
      <c r="R45" s="2229"/>
      <c r="S45" s="2228" t="s">
        <v>229</v>
      </c>
      <c r="T45" s="2228" t="s">
        <v>229</v>
      </c>
      <c r="U45" s="2228" t="s">
        <v>229</v>
      </c>
      <c r="V45" s="2228" t="s">
        <v>229</v>
      </c>
      <c r="W45" s="2230" t="s">
        <v>229</v>
      </c>
      <c r="X45" s="2230" t="s">
        <v>229</v>
      </c>
      <c r="Y45" s="2230" t="s">
        <v>229</v>
      </c>
      <c r="Z45" s="2256">
        <v>0</v>
      </c>
    </row>
    <row r="46" spans="1:26">
      <c r="C46" s="2306"/>
      <c r="D46" s="2891"/>
      <c r="E46" s="2335"/>
      <c r="F46" s="2307">
        <f>SUM(D46:E46)</f>
        <v>0</v>
      </c>
      <c r="H46" s="2224"/>
      <c r="I46" s="2229"/>
      <c r="J46" s="2226" t="s">
        <v>229</v>
      </c>
      <c r="K46" s="2224"/>
      <c r="L46" s="2227"/>
      <c r="M46" s="2227"/>
      <c r="N46" s="2250"/>
      <c r="O46" s="2224"/>
      <c r="P46" s="2225"/>
      <c r="Q46" s="2229"/>
      <c r="R46" s="2229"/>
      <c r="S46" s="2228" t="s">
        <v>229</v>
      </c>
      <c r="T46" s="2228" t="s">
        <v>229</v>
      </c>
      <c r="U46" s="2228" t="s">
        <v>229</v>
      </c>
      <c r="V46" s="2228" t="s">
        <v>229</v>
      </c>
      <c r="W46" s="2230" t="s">
        <v>229</v>
      </c>
      <c r="X46" s="2230" t="s">
        <v>229</v>
      </c>
      <c r="Y46" s="2230" t="s">
        <v>229</v>
      </c>
      <c r="Z46" s="2256">
        <v>0</v>
      </c>
    </row>
    <row r="47" spans="1:26">
      <c r="C47" s="2306"/>
      <c r="D47" s="2891"/>
      <c r="E47" s="2335"/>
      <c r="F47" s="2307">
        <f>SUM(D47:E47)</f>
        <v>0</v>
      </c>
      <c r="H47" s="2224"/>
      <c r="I47" s="2229"/>
      <c r="J47" s="2226" t="s">
        <v>229</v>
      </c>
      <c r="K47" s="2224"/>
      <c r="L47" s="2227"/>
      <c r="M47" s="2227"/>
      <c r="N47" s="2250"/>
      <c r="O47" s="2224"/>
      <c r="P47" s="2225"/>
      <c r="Q47" s="2229"/>
      <c r="R47" s="2229"/>
      <c r="S47" s="2228" t="s">
        <v>229</v>
      </c>
      <c r="T47" s="2228" t="s">
        <v>229</v>
      </c>
      <c r="U47" s="2228" t="s">
        <v>229</v>
      </c>
      <c r="V47" s="2228" t="s">
        <v>229</v>
      </c>
      <c r="W47" s="2230" t="s">
        <v>229</v>
      </c>
      <c r="X47" s="2230" t="s">
        <v>229</v>
      </c>
      <c r="Y47" s="2230" t="s">
        <v>229</v>
      </c>
      <c r="Z47" s="2256">
        <v>0</v>
      </c>
    </row>
    <row r="48" spans="1:26">
      <c r="C48" s="2308"/>
      <c r="D48" s="2893"/>
      <c r="E48" s="2328"/>
      <c r="F48" s="2315"/>
      <c r="H48" s="2224"/>
      <c r="I48" s="2229"/>
      <c r="J48" s="2226" t="s">
        <v>229</v>
      </c>
      <c r="K48" s="2224"/>
      <c r="L48" s="2227"/>
      <c r="M48" s="2227"/>
      <c r="N48" s="2250"/>
      <c r="O48" s="2224"/>
      <c r="P48" s="2225"/>
      <c r="Q48" s="2229"/>
      <c r="R48" s="2229"/>
      <c r="S48" s="2228" t="s">
        <v>229</v>
      </c>
      <c r="T48" s="2228" t="s">
        <v>229</v>
      </c>
      <c r="U48" s="2228" t="s">
        <v>229</v>
      </c>
      <c r="V48" s="2228" t="s">
        <v>229</v>
      </c>
      <c r="W48" s="2230" t="s">
        <v>229</v>
      </c>
      <c r="X48" s="2230" t="s">
        <v>229</v>
      </c>
      <c r="Y48" s="2230" t="s">
        <v>229</v>
      </c>
      <c r="Z48" s="2256">
        <v>0</v>
      </c>
    </row>
    <row r="49" spans="1:26">
      <c r="C49" s="2298" t="s">
        <v>47</v>
      </c>
      <c r="D49" s="2883">
        <f>SUM(D50:D53)</f>
        <v>120000</v>
      </c>
      <c r="E49" s="2324">
        <f>SUM(E50:E53)</f>
        <v>28965</v>
      </c>
      <c r="F49" s="2284">
        <f>D49+E49</f>
        <v>148965</v>
      </c>
      <c r="H49" s="2224"/>
      <c r="I49" s="2229"/>
      <c r="J49" s="2226" t="s">
        <v>229</v>
      </c>
      <c r="K49" s="2224"/>
      <c r="L49" s="2227"/>
      <c r="M49" s="2227"/>
      <c r="N49" s="2250"/>
      <c r="O49" s="2224"/>
      <c r="P49" s="2225"/>
      <c r="Q49" s="2229"/>
      <c r="R49" s="2229"/>
      <c r="S49" s="2228" t="s">
        <v>229</v>
      </c>
      <c r="T49" s="2228" t="s">
        <v>229</v>
      </c>
      <c r="U49" s="2228" t="s">
        <v>229</v>
      </c>
      <c r="V49" s="2228" t="s">
        <v>229</v>
      </c>
      <c r="W49" s="2230" t="s">
        <v>229</v>
      </c>
      <c r="X49" s="2230" t="s">
        <v>229</v>
      </c>
      <c r="Y49" s="2230" t="s">
        <v>229</v>
      </c>
      <c r="Z49" s="2256">
        <v>0</v>
      </c>
    </row>
    <row r="50" spans="1:26">
      <c r="C50" s="2306" t="s">
        <v>832</v>
      </c>
      <c r="D50" s="2891">
        <v>10000</v>
      </c>
      <c r="E50" s="2335">
        <v>14593</v>
      </c>
      <c r="F50" s="2307">
        <f>SUM(D50:E50)</f>
        <v>24593</v>
      </c>
      <c r="H50" s="2224"/>
      <c r="I50" s="2229"/>
      <c r="J50" s="2226" t="s">
        <v>229</v>
      </c>
      <c r="K50" s="2224"/>
      <c r="L50" s="2227"/>
      <c r="M50" s="2227"/>
      <c r="N50" s="2250"/>
      <c r="O50" s="2224"/>
      <c r="P50" s="2225"/>
      <c r="Q50" s="2229"/>
      <c r="R50" s="2229"/>
      <c r="S50" s="2228" t="s">
        <v>229</v>
      </c>
      <c r="T50" s="2228" t="s">
        <v>229</v>
      </c>
      <c r="U50" s="2228" t="s">
        <v>229</v>
      </c>
      <c r="V50" s="2228" t="s">
        <v>229</v>
      </c>
      <c r="W50" s="2230" t="s">
        <v>229</v>
      </c>
      <c r="X50" s="2230" t="s">
        <v>229</v>
      </c>
      <c r="Y50" s="2230" t="s">
        <v>229</v>
      </c>
      <c r="Z50" s="2256">
        <v>0</v>
      </c>
    </row>
    <row r="51" spans="1:26">
      <c r="C51" s="2306" t="s">
        <v>833</v>
      </c>
      <c r="D51" s="2891">
        <v>10000</v>
      </c>
      <c r="E51" s="2335">
        <v>1872</v>
      </c>
      <c r="F51" s="2307">
        <f>SUM(D51:E51)</f>
        <v>11872</v>
      </c>
      <c r="H51" s="2224"/>
      <c r="I51" s="2229"/>
      <c r="J51" s="2226" t="s">
        <v>229</v>
      </c>
      <c r="K51" s="2224"/>
      <c r="L51" s="2227"/>
      <c r="M51" s="2227"/>
      <c r="N51" s="2250"/>
      <c r="O51" s="2224"/>
      <c r="P51" s="2225"/>
      <c r="Q51" s="2229"/>
      <c r="R51" s="2229"/>
      <c r="S51" s="2228" t="s">
        <v>229</v>
      </c>
      <c r="T51" s="2228" t="s">
        <v>229</v>
      </c>
      <c r="U51" s="2228" t="s">
        <v>229</v>
      </c>
      <c r="V51" s="2228" t="s">
        <v>229</v>
      </c>
      <c r="W51" s="2230" t="s">
        <v>229</v>
      </c>
      <c r="X51" s="2230" t="s">
        <v>229</v>
      </c>
      <c r="Y51" s="2230" t="s">
        <v>229</v>
      </c>
      <c r="Z51" s="2256">
        <v>0</v>
      </c>
    </row>
    <row r="52" spans="1:26">
      <c r="C52" s="2306" t="s">
        <v>1355</v>
      </c>
      <c r="D52" s="2891">
        <v>100000</v>
      </c>
      <c r="E52" s="2335">
        <v>12500</v>
      </c>
      <c r="F52" s="2307">
        <f>SUM(D52:E52)</f>
        <v>112500</v>
      </c>
      <c r="H52" s="2224"/>
      <c r="I52" s="2229"/>
      <c r="J52" s="2226" t="s">
        <v>229</v>
      </c>
      <c r="K52" s="2224"/>
      <c r="L52" s="2227"/>
      <c r="M52" s="2227"/>
      <c r="N52" s="2250"/>
      <c r="O52" s="2224"/>
      <c r="P52" s="2225"/>
      <c r="Q52" s="2229"/>
      <c r="R52" s="2229"/>
      <c r="S52" s="2228" t="s">
        <v>229</v>
      </c>
      <c r="T52" s="2228" t="s">
        <v>229</v>
      </c>
      <c r="U52" s="2228" t="s">
        <v>229</v>
      </c>
      <c r="V52" s="2228" t="s">
        <v>229</v>
      </c>
      <c r="W52" s="2230" t="s">
        <v>229</v>
      </c>
      <c r="X52" s="2230" t="s">
        <v>229</v>
      </c>
      <c r="Y52" s="2230" t="s">
        <v>229</v>
      </c>
      <c r="Z52" s="2256">
        <v>0</v>
      </c>
    </row>
    <row r="53" spans="1:26">
      <c r="C53" s="2306"/>
      <c r="D53" s="2891"/>
      <c r="E53" s="2335"/>
      <c r="F53" s="2307">
        <f>SUM(D53:E53)</f>
        <v>0</v>
      </c>
      <c r="H53" s="2224"/>
      <c r="I53" s="2229"/>
      <c r="J53" s="2226" t="s">
        <v>229</v>
      </c>
      <c r="K53" s="2224"/>
      <c r="L53" s="2227"/>
      <c r="M53" s="2227"/>
      <c r="N53" s="2250"/>
      <c r="O53" s="2224"/>
      <c r="P53" s="2225"/>
      <c r="Q53" s="2229"/>
      <c r="R53" s="2229"/>
      <c r="S53" s="2228" t="s">
        <v>229</v>
      </c>
      <c r="T53" s="2228" t="s">
        <v>229</v>
      </c>
      <c r="U53" s="2228" t="s">
        <v>229</v>
      </c>
      <c r="V53" s="2228" t="s">
        <v>229</v>
      </c>
      <c r="W53" s="2230" t="s">
        <v>229</v>
      </c>
      <c r="X53" s="2230" t="s">
        <v>229</v>
      </c>
      <c r="Y53" s="2230" t="s">
        <v>229</v>
      </c>
      <c r="Z53" s="2256">
        <v>0</v>
      </c>
    </row>
    <row r="54" spans="1:26">
      <c r="C54" s="2308"/>
      <c r="D54" s="2893"/>
      <c r="E54" s="2328"/>
      <c r="F54" s="2315"/>
      <c r="H54" s="2224"/>
      <c r="I54" s="2229"/>
      <c r="J54" s="2226" t="s">
        <v>229</v>
      </c>
      <c r="K54" s="2224"/>
      <c r="L54" s="2227"/>
      <c r="M54" s="2227"/>
      <c r="N54" s="2250"/>
      <c r="O54" s="2224"/>
      <c r="P54" s="2225"/>
      <c r="Q54" s="2229"/>
      <c r="R54" s="2229"/>
      <c r="S54" s="2228" t="s">
        <v>229</v>
      </c>
      <c r="T54" s="2228" t="s">
        <v>229</v>
      </c>
      <c r="U54" s="2228" t="s">
        <v>229</v>
      </c>
      <c r="V54" s="2228" t="s">
        <v>229</v>
      </c>
      <c r="W54" s="2230" t="s">
        <v>229</v>
      </c>
      <c r="X54" s="2230" t="s">
        <v>229</v>
      </c>
      <c r="Y54" s="2230" t="s">
        <v>229</v>
      </c>
      <c r="Z54" s="2256">
        <v>0</v>
      </c>
    </row>
    <row r="55" spans="1:26">
      <c r="C55" s="2298" t="s">
        <v>48</v>
      </c>
      <c r="D55" s="2883">
        <f>SUM(D56:D59)</f>
        <v>500</v>
      </c>
      <c r="E55" s="2324">
        <f>SUM(E56:E59)</f>
        <v>250</v>
      </c>
      <c r="F55" s="2284">
        <f>D55+E55</f>
        <v>750</v>
      </c>
      <c r="H55" s="2224"/>
      <c r="I55" s="2229"/>
      <c r="J55" s="2226" t="s">
        <v>229</v>
      </c>
      <c r="K55" s="2224"/>
      <c r="L55" s="2227"/>
      <c r="M55" s="2227"/>
      <c r="N55" s="2250"/>
      <c r="O55" s="2224"/>
      <c r="P55" s="2225"/>
      <c r="Q55" s="2229"/>
      <c r="R55" s="2229"/>
      <c r="S55" s="2228" t="s">
        <v>229</v>
      </c>
      <c r="T55" s="2228" t="s">
        <v>229</v>
      </c>
      <c r="U55" s="2228" t="s">
        <v>229</v>
      </c>
      <c r="V55" s="2228" t="s">
        <v>229</v>
      </c>
      <c r="W55" s="2230" t="s">
        <v>229</v>
      </c>
      <c r="X55" s="2230" t="s">
        <v>229</v>
      </c>
      <c r="Y55" s="2230" t="s">
        <v>229</v>
      </c>
      <c r="Z55" s="2256">
        <v>0</v>
      </c>
    </row>
    <row r="56" spans="1:26">
      <c r="C56" s="2306"/>
      <c r="D56" s="2891">
        <v>500</v>
      </c>
      <c r="E56" s="2334">
        <v>250</v>
      </c>
      <c r="F56" s="2307">
        <f>SUM(D56:E56)</f>
        <v>750</v>
      </c>
      <c r="H56" s="2224"/>
      <c r="I56" s="2229"/>
      <c r="J56" s="2226" t="s">
        <v>229</v>
      </c>
      <c r="K56" s="2224"/>
      <c r="L56" s="2227"/>
      <c r="M56" s="2227"/>
      <c r="N56" s="2250"/>
      <c r="O56" s="2224"/>
      <c r="P56" s="2225"/>
      <c r="Q56" s="2229"/>
      <c r="R56" s="2229"/>
      <c r="S56" s="2228" t="s">
        <v>229</v>
      </c>
      <c r="T56" s="2228" t="s">
        <v>229</v>
      </c>
      <c r="U56" s="2228" t="s">
        <v>229</v>
      </c>
      <c r="V56" s="2228" t="s">
        <v>229</v>
      </c>
      <c r="W56" s="2230" t="s">
        <v>229</v>
      </c>
      <c r="X56" s="2230" t="s">
        <v>229</v>
      </c>
      <c r="Y56" s="2230" t="s">
        <v>229</v>
      </c>
      <c r="Z56" s="2256">
        <v>0</v>
      </c>
    </row>
    <row r="57" spans="1:26">
      <c r="C57" s="2306"/>
      <c r="D57" s="2891"/>
      <c r="E57" s="2334"/>
      <c r="F57" s="2307">
        <f>SUM(D57:E57)</f>
        <v>0</v>
      </c>
      <c r="H57" s="2224"/>
      <c r="I57" s="2229"/>
      <c r="J57" s="2226" t="s">
        <v>229</v>
      </c>
      <c r="K57" s="2224"/>
      <c r="L57" s="2227"/>
      <c r="M57" s="2227"/>
      <c r="N57" s="2250"/>
      <c r="O57" s="2224"/>
      <c r="P57" s="2225"/>
      <c r="Q57" s="2229"/>
      <c r="R57" s="2229"/>
      <c r="S57" s="2228" t="s">
        <v>229</v>
      </c>
      <c r="T57" s="2228" t="s">
        <v>229</v>
      </c>
      <c r="U57" s="2228" t="s">
        <v>229</v>
      </c>
      <c r="V57" s="2228" t="s">
        <v>229</v>
      </c>
      <c r="W57" s="2230" t="s">
        <v>229</v>
      </c>
      <c r="X57" s="2230" t="s">
        <v>229</v>
      </c>
      <c r="Y57" s="2230" t="s">
        <v>229</v>
      </c>
      <c r="Z57" s="2256">
        <v>0</v>
      </c>
    </row>
    <row r="58" spans="1:26">
      <c r="C58" s="2306"/>
      <c r="D58" s="2891"/>
      <c r="E58" s="2334"/>
      <c r="F58" s="2307">
        <f>SUM(D58:E58)</f>
        <v>0</v>
      </c>
      <c r="H58" s="2224"/>
      <c r="I58" s="2229"/>
      <c r="J58" s="2226" t="s">
        <v>229</v>
      </c>
      <c r="K58" s="2224"/>
      <c r="L58" s="2227"/>
      <c r="M58" s="2227"/>
      <c r="N58" s="2250"/>
      <c r="O58" s="2224"/>
      <c r="P58" s="2225"/>
      <c r="Q58" s="2229"/>
      <c r="R58" s="2229"/>
      <c r="S58" s="2228" t="s">
        <v>229</v>
      </c>
      <c r="T58" s="2228" t="s">
        <v>229</v>
      </c>
      <c r="U58" s="2228" t="s">
        <v>229</v>
      </c>
      <c r="V58" s="2228" t="s">
        <v>229</v>
      </c>
      <c r="W58" s="2230" t="s">
        <v>229</v>
      </c>
      <c r="X58" s="2230" t="s">
        <v>229</v>
      </c>
      <c r="Y58" s="2230" t="s">
        <v>229</v>
      </c>
      <c r="Z58" s="2256">
        <v>0</v>
      </c>
    </row>
    <row r="59" spans="1:26">
      <c r="C59" s="2306"/>
      <c r="D59" s="2891"/>
      <c r="E59" s="2334"/>
      <c r="F59" s="2307">
        <f>SUM(D59:E59)</f>
        <v>0</v>
      </c>
      <c r="H59" s="2224"/>
      <c r="I59" s="2229"/>
      <c r="J59" s="2226" t="s">
        <v>229</v>
      </c>
      <c r="K59" s="2224"/>
      <c r="L59" s="2227"/>
      <c r="M59" s="2227"/>
      <c r="N59" s="2250"/>
      <c r="O59" s="2224"/>
      <c r="P59" s="2225"/>
      <c r="Q59" s="2229"/>
      <c r="R59" s="2229"/>
      <c r="S59" s="2228" t="s">
        <v>229</v>
      </c>
      <c r="T59" s="2228" t="s">
        <v>229</v>
      </c>
      <c r="U59" s="2228" t="s">
        <v>229</v>
      </c>
      <c r="V59" s="2228" t="s">
        <v>229</v>
      </c>
      <c r="W59" s="2230" t="s">
        <v>229</v>
      </c>
      <c r="X59" s="2230" t="s">
        <v>229</v>
      </c>
      <c r="Y59" s="2230" t="s">
        <v>229</v>
      </c>
      <c r="Z59" s="2256">
        <v>0</v>
      </c>
    </row>
    <row r="60" spans="1:26">
      <c r="C60" s="2308"/>
      <c r="D60" s="2893"/>
      <c r="E60" s="2328"/>
      <c r="F60" s="2315"/>
      <c r="H60" s="2224"/>
      <c r="I60" s="2229"/>
      <c r="J60" s="2226" t="s">
        <v>229</v>
      </c>
      <c r="K60" s="2224"/>
      <c r="L60" s="2227"/>
      <c r="M60" s="2227"/>
      <c r="N60" s="2250"/>
      <c r="O60" s="2224"/>
      <c r="P60" s="2225"/>
      <c r="Q60" s="2229"/>
      <c r="R60" s="2229"/>
      <c r="S60" s="2228" t="s">
        <v>229</v>
      </c>
      <c r="T60" s="2228" t="s">
        <v>229</v>
      </c>
      <c r="U60" s="2228" t="s">
        <v>229</v>
      </c>
      <c r="V60" s="2228" t="s">
        <v>229</v>
      </c>
      <c r="W60" s="2230" t="s">
        <v>229</v>
      </c>
      <c r="X60" s="2230" t="s">
        <v>229</v>
      </c>
      <c r="Y60" s="2230" t="s">
        <v>229</v>
      </c>
      <c r="Z60" s="2256">
        <v>0</v>
      </c>
    </row>
    <row r="61" spans="1:26">
      <c r="C61" s="2298" t="s">
        <v>49</v>
      </c>
      <c r="D61" s="2883">
        <f>SUM(D62:D65)</f>
        <v>500</v>
      </c>
      <c r="E61" s="2324">
        <f>SUM(E62:E65)</f>
        <v>100</v>
      </c>
      <c r="F61" s="2284">
        <f>D61+E61</f>
        <v>600</v>
      </c>
      <c r="H61" s="2224"/>
      <c r="I61" s="2229"/>
      <c r="J61" s="2226" t="s">
        <v>229</v>
      </c>
      <c r="K61" s="2224"/>
      <c r="L61" s="2227"/>
      <c r="M61" s="2227"/>
      <c r="N61" s="2250"/>
      <c r="O61" s="2224"/>
      <c r="P61" s="2225"/>
      <c r="Q61" s="2229"/>
      <c r="R61" s="2229"/>
      <c r="S61" s="2228" t="s">
        <v>229</v>
      </c>
      <c r="T61" s="2228" t="s">
        <v>229</v>
      </c>
      <c r="U61" s="2228" t="s">
        <v>229</v>
      </c>
      <c r="V61" s="2228" t="s">
        <v>229</v>
      </c>
      <c r="W61" s="2230" t="s">
        <v>229</v>
      </c>
      <c r="X61" s="2230" t="s">
        <v>229</v>
      </c>
      <c r="Y61" s="2230" t="s">
        <v>229</v>
      </c>
      <c r="Z61" s="2256">
        <v>0</v>
      </c>
    </row>
    <row r="62" spans="1:26">
      <c r="C62" s="2306"/>
      <c r="D62" s="2891">
        <v>500</v>
      </c>
      <c r="E62" s="2335">
        <v>100</v>
      </c>
      <c r="F62" s="2307">
        <f>SUM(D62:E62)</f>
        <v>600</v>
      </c>
      <c r="H62" s="2224"/>
      <c r="I62" s="2229"/>
      <c r="J62" s="2226" t="s">
        <v>229</v>
      </c>
      <c r="K62" s="2224"/>
      <c r="L62" s="2227"/>
      <c r="M62" s="2227"/>
      <c r="N62" s="2250"/>
      <c r="O62" s="2224"/>
      <c r="P62" s="2225"/>
      <c r="Q62" s="2229"/>
      <c r="R62" s="2229"/>
      <c r="S62" s="2228" t="s">
        <v>229</v>
      </c>
      <c r="T62" s="2228" t="s">
        <v>229</v>
      </c>
      <c r="U62" s="2228" t="s">
        <v>229</v>
      </c>
      <c r="V62" s="2228" t="s">
        <v>229</v>
      </c>
      <c r="W62" s="2230" t="s">
        <v>229</v>
      </c>
      <c r="X62" s="2230" t="s">
        <v>229</v>
      </c>
      <c r="Y62" s="2230" t="s">
        <v>229</v>
      </c>
      <c r="Z62" s="2256">
        <v>0</v>
      </c>
    </row>
    <row r="63" spans="1:26">
      <c r="C63" s="2306"/>
      <c r="D63" s="2891"/>
      <c r="E63" s="2335"/>
      <c r="F63" s="2307">
        <f>SUM(D63:E63)</f>
        <v>0</v>
      </c>
      <c r="H63" s="2224"/>
      <c r="I63" s="2229"/>
      <c r="J63" s="2226" t="s">
        <v>229</v>
      </c>
      <c r="K63" s="2224"/>
      <c r="L63" s="2227"/>
      <c r="M63" s="2227"/>
      <c r="N63" s="2250"/>
      <c r="O63" s="2224"/>
      <c r="P63" s="2225"/>
      <c r="Q63" s="2229"/>
      <c r="R63" s="2229"/>
      <c r="S63" s="2228" t="s">
        <v>229</v>
      </c>
      <c r="T63" s="2228" t="s">
        <v>229</v>
      </c>
      <c r="U63" s="2228" t="s">
        <v>229</v>
      </c>
      <c r="V63" s="2228" t="s">
        <v>229</v>
      </c>
      <c r="W63" s="2230" t="s">
        <v>229</v>
      </c>
      <c r="X63" s="2230" t="s">
        <v>229</v>
      </c>
      <c r="Y63" s="2230" t="s">
        <v>229</v>
      </c>
      <c r="Z63" s="2256">
        <v>0</v>
      </c>
    </row>
    <row r="64" spans="1:26">
      <c r="A64" s="2270" t="s">
        <v>1354</v>
      </c>
      <c r="C64" s="2306"/>
      <c r="D64" s="2891"/>
      <c r="E64" s="2335"/>
      <c r="F64" s="2307">
        <f>SUM(D64:E64)</f>
        <v>0</v>
      </c>
      <c r="H64" s="2224"/>
      <c r="I64" s="2229"/>
      <c r="J64" s="2226" t="s">
        <v>229</v>
      </c>
      <c r="K64" s="2224"/>
      <c r="L64" s="2227"/>
      <c r="M64" s="2227"/>
      <c r="N64" s="2250"/>
      <c r="O64" s="2224"/>
      <c r="P64" s="2225"/>
      <c r="Q64" s="2229"/>
      <c r="R64" s="2229"/>
      <c r="S64" s="2228" t="s">
        <v>229</v>
      </c>
      <c r="T64" s="2228" t="s">
        <v>229</v>
      </c>
      <c r="U64" s="2228" t="s">
        <v>229</v>
      </c>
      <c r="V64" s="2228" t="s">
        <v>229</v>
      </c>
      <c r="W64" s="2230" t="s">
        <v>229</v>
      </c>
      <c r="X64" s="2230" t="s">
        <v>229</v>
      </c>
      <c r="Y64" s="2230" t="s">
        <v>229</v>
      </c>
      <c r="Z64" s="2256">
        <v>0</v>
      </c>
    </row>
    <row r="65" spans="1:26">
      <c r="A65" s="2276" t="s">
        <v>275</v>
      </c>
      <c r="C65" s="2306"/>
      <c r="D65" s="2891"/>
      <c r="E65" s="2335"/>
      <c r="F65" s="2307">
        <f>SUM(D65:E65)</f>
        <v>0</v>
      </c>
      <c r="H65" s="2224"/>
      <c r="I65" s="2229"/>
      <c r="J65" s="2226" t="s">
        <v>229</v>
      </c>
      <c r="K65" s="2224"/>
      <c r="L65" s="2227"/>
      <c r="M65" s="2227"/>
      <c r="N65" s="2250"/>
      <c r="O65" s="2224"/>
      <c r="P65" s="2225"/>
      <c r="Q65" s="2229"/>
      <c r="R65" s="2229"/>
      <c r="S65" s="2228" t="s">
        <v>229</v>
      </c>
      <c r="T65" s="2228" t="s">
        <v>229</v>
      </c>
      <c r="U65" s="2228" t="s">
        <v>229</v>
      </c>
      <c r="V65" s="2228" t="s">
        <v>229</v>
      </c>
      <c r="W65" s="2230" t="s">
        <v>229</v>
      </c>
      <c r="X65" s="2230" t="s">
        <v>229</v>
      </c>
      <c r="Y65" s="2230" t="s">
        <v>229</v>
      </c>
      <c r="Z65" s="3520">
        <v>0</v>
      </c>
    </row>
    <row r="66" spans="1:26">
      <c r="A66" s="2270" t="s">
        <v>5</v>
      </c>
      <c r="C66" s="2308"/>
      <c r="D66" s="2893"/>
      <c r="E66" s="2328"/>
      <c r="F66" s="2315"/>
      <c r="Z66" s="2261"/>
    </row>
    <row r="67" spans="1:26">
      <c r="A67" s="2270">
        <v>18230023</v>
      </c>
      <c r="C67" s="2298" t="s">
        <v>50</v>
      </c>
      <c r="D67" s="2883">
        <f>W15</f>
        <v>150000</v>
      </c>
      <c r="E67" s="2395">
        <f>X15</f>
        <v>60000</v>
      </c>
      <c r="F67" s="2284">
        <f>D67+E67</f>
        <v>210000</v>
      </c>
      <c r="Z67" s="2261"/>
    </row>
    <row r="68" spans="1:26">
      <c r="A68" s="2276" t="s">
        <v>4</v>
      </c>
      <c r="C68" s="2316" t="s">
        <v>297</v>
      </c>
      <c r="D68" s="2894"/>
      <c r="E68" s="2336"/>
      <c r="F68" s="2317"/>
      <c r="Z68" s="2261"/>
    </row>
    <row r="69" spans="1:26">
      <c r="C69" s="2318"/>
      <c r="D69" s="2885"/>
      <c r="E69" s="2328"/>
      <c r="F69" s="2315"/>
      <c r="Z69" s="2261"/>
    </row>
    <row r="70" spans="1:26">
      <c r="C70" s="2319" t="s">
        <v>51</v>
      </c>
      <c r="D70" s="2891">
        <v>0</v>
      </c>
      <c r="E70" s="2337">
        <v>0</v>
      </c>
      <c r="F70" s="2320">
        <v>0</v>
      </c>
      <c r="Z70" s="2261"/>
    </row>
    <row r="71" spans="1:26">
      <c r="Z71" s="2261"/>
    </row>
    <row r="72" spans="1:26">
      <c r="Z72" s="2261"/>
    </row>
    <row r="73" spans="1:26">
      <c r="Z73" s="2261"/>
    </row>
    <row r="74" spans="1:26">
      <c r="Z74" s="2261"/>
    </row>
    <row r="75" spans="1:26">
      <c r="Z75" s="2261"/>
    </row>
    <row r="76" spans="1:26">
      <c r="Z76" s="2261"/>
    </row>
    <row r="77" spans="1:26">
      <c r="Z77" s="2261"/>
    </row>
    <row r="78" spans="1:26">
      <c r="Z78" s="2261"/>
    </row>
    <row r="79" spans="1:26">
      <c r="Z79" s="2261"/>
    </row>
    <row r="80" spans="1:26">
      <c r="Z80" s="2261"/>
    </row>
    <row r="81" spans="26:26">
      <c r="Z81" s="2261"/>
    </row>
    <row r="82" spans="26:26">
      <c r="Z82" s="2261"/>
    </row>
    <row r="83" spans="26:26">
      <c r="Z83" s="2261"/>
    </row>
    <row r="84" spans="26:26">
      <c r="Z84" s="2261"/>
    </row>
    <row r="85" spans="26:26">
      <c r="Z85" s="2261"/>
    </row>
    <row r="86" spans="26:26">
      <c r="Z86" s="2261"/>
    </row>
    <row r="87" spans="26:26">
      <c r="Z87" s="2261"/>
    </row>
    <row r="88" spans="26:26">
      <c r="Z88" s="2261"/>
    </row>
    <row r="89" spans="26:26">
      <c r="Z89" s="2261"/>
    </row>
    <row r="90" spans="26:26">
      <c r="Z90" s="2261"/>
    </row>
    <row r="91" spans="26:26">
      <c r="Z91" s="2261"/>
    </row>
    <row r="92" spans="26:26">
      <c r="Z92" s="2261"/>
    </row>
    <row r="93" spans="26:26">
      <c r="Z93" s="2261"/>
    </row>
    <row r="94" spans="26:26">
      <c r="Z94" s="2261"/>
    </row>
    <row r="95" spans="26:26">
      <c r="Z95" s="2261"/>
    </row>
    <row r="96" spans="26:26">
      <c r="Z96" s="2261"/>
    </row>
    <row r="97" spans="26:26">
      <c r="Z97" s="2261"/>
    </row>
    <row r="98" spans="26:26">
      <c r="Z98" s="2261"/>
    </row>
    <row r="99" spans="26:26">
      <c r="Z99" s="2261"/>
    </row>
    <row r="100" spans="26:26">
      <c r="Z100" s="2261"/>
    </row>
    <row r="101" spans="26:26">
      <c r="Z101" s="2261"/>
    </row>
    <row r="102" spans="26:26">
      <c r="Z102" s="2261"/>
    </row>
    <row r="103" spans="26:26">
      <c r="Z103" s="2261"/>
    </row>
    <row r="104" spans="26:26">
      <c r="Z104" s="2261"/>
    </row>
    <row r="105" spans="26:26">
      <c r="Z105" s="2261"/>
    </row>
    <row r="106" spans="26:26">
      <c r="Z106" s="2261"/>
    </row>
    <row r="107" spans="26:26">
      <c r="Z107" s="2261"/>
    </row>
    <row r="108" spans="26:26">
      <c r="Z108" s="2261"/>
    </row>
    <row r="109" spans="26:26">
      <c r="Z109" s="2261"/>
    </row>
    <row r="110" spans="26:26">
      <c r="Z110" s="2261"/>
    </row>
    <row r="111" spans="26:26">
      <c r="Z111" s="2261"/>
    </row>
    <row r="112" spans="26:26">
      <c r="Z112" s="2261"/>
    </row>
    <row r="113" spans="26:26">
      <c r="Z113" s="2261"/>
    </row>
    <row r="114" spans="26:26">
      <c r="Z114" s="2261"/>
    </row>
    <row r="115" spans="26:26">
      <c r="Z115" s="2261"/>
    </row>
    <row r="116" spans="26:26">
      <c r="Z116" s="2261"/>
    </row>
    <row r="117" spans="26:26">
      <c r="Z117" s="2261"/>
    </row>
    <row r="118" spans="26:26">
      <c r="Z118" s="2261"/>
    </row>
    <row r="119" spans="26:26">
      <c r="Z119" s="2261"/>
    </row>
    <row r="120" spans="26:26">
      <c r="Z120" s="2261"/>
    </row>
    <row r="121" spans="26:26">
      <c r="Z121" s="2261"/>
    </row>
    <row r="122" spans="26:26">
      <c r="Z122" s="2261"/>
    </row>
    <row r="123" spans="26:26">
      <c r="Z123" s="2261"/>
    </row>
    <row r="124" spans="26:26">
      <c r="Z124" s="2261"/>
    </row>
    <row r="125" spans="26:26">
      <c r="Z125" s="2261"/>
    </row>
    <row r="126" spans="26:26">
      <c r="Z126" s="2261"/>
    </row>
    <row r="127" spans="26:26">
      <c r="Z127" s="2261"/>
    </row>
    <row r="128" spans="26:26">
      <c r="Z128" s="2261"/>
    </row>
    <row r="129" spans="26:26">
      <c r="Z129" s="2261"/>
    </row>
    <row r="130" spans="26:26">
      <c r="Z130" s="2261"/>
    </row>
    <row r="131" spans="26:26">
      <c r="Z131" s="2261"/>
    </row>
    <row r="132" spans="26:26">
      <c r="Z132" s="2261"/>
    </row>
    <row r="133" spans="26:26">
      <c r="Z133" s="2261"/>
    </row>
    <row r="134" spans="26:26">
      <c r="Z134" s="2261"/>
    </row>
    <row r="135" spans="26:26">
      <c r="Z135" s="2261"/>
    </row>
    <row r="136" spans="26:26">
      <c r="Z136" s="2261"/>
    </row>
    <row r="137" spans="26:26">
      <c r="Z137" s="2261"/>
    </row>
    <row r="138" spans="26:26">
      <c r="Z138" s="2261"/>
    </row>
    <row r="139" spans="26:26">
      <c r="Z139" s="2261"/>
    </row>
    <row r="140" spans="26:26">
      <c r="Z140" s="2261"/>
    </row>
    <row r="141" spans="26:26">
      <c r="Z141" s="2261"/>
    </row>
    <row r="142" spans="26:26">
      <c r="Z142" s="2261"/>
    </row>
    <row r="143" spans="26:26">
      <c r="Z143" s="2261"/>
    </row>
    <row r="144" spans="26:26">
      <c r="Z144" s="2261"/>
    </row>
    <row r="145" spans="26:26">
      <c r="Z145" s="2261"/>
    </row>
    <row r="146" spans="26:26">
      <c r="Z146" s="2261"/>
    </row>
    <row r="147" spans="26:26">
      <c r="Z147" s="2261"/>
    </row>
    <row r="148" spans="26:26">
      <c r="Z148" s="2261"/>
    </row>
    <row r="149" spans="26:26">
      <c r="Z149" s="2261"/>
    </row>
    <row r="150" spans="26:26">
      <c r="Z150" s="2261"/>
    </row>
    <row r="151" spans="26:26">
      <c r="Z151" s="2261"/>
    </row>
    <row r="152" spans="26:26">
      <c r="Z152" s="2261"/>
    </row>
    <row r="153" spans="26:26">
      <c r="Z153" s="2261"/>
    </row>
    <row r="154" spans="26:26">
      <c r="Z154" s="2261"/>
    </row>
    <row r="155" spans="26:26">
      <c r="Z155" s="2261"/>
    </row>
    <row r="156" spans="26:26">
      <c r="Z156" s="2261"/>
    </row>
    <row r="157" spans="26:26">
      <c r="Z157" s="2261"/>
    </row>
    <row r="158" spans="26:26">
      <c r="Z158" s="2261"/>
    </row>
    <row r="159" spans="26:26">
      <c r="Z159" s="2261"/>
    </row>
    <row r="160" spans="26:26">
      <c r="Z160" s="2261"/>
    </row>
    <row r="161" spans="26:26">
      <c r="Z161" s="2261"/>
    </row>
    <row r="162" spans="26:26">
      <c r="Z162" s="2261"/>
    </row>
    <row r="163" spans="26:26">
      <c r="Z163" s="226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53" sqref="G53"/>
      <pageMargins left="0.7" right="0.7" top="0.75" bottom="0.75" header="0.3" footer="0.3"/>
    </customSheetView>
  </customSheetViews>
  <pageMargins left="0.7" right="0.7" top="0.75" bottom="0.75" header="0.3" footer="0.3"/>
  <pageSetup paperSize="3" scale="45"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B1:T122"/>
  <sheetViews>
    <sheetView topLeftCell="C1" workbookViewId="0">
      <pane xSplit="6" ySplit="4" topLeftCell="I11" activePane="bottomRight" state="frozen"/>
      <selection activeCell="C1" sqref="C1"/>
      <selection pane="topRight" activeCell="G1" sqref="G1"/>
      <selection pane="bottomLeft" activeCell="C5" sqref="C5"/>
      <selection pane="bottomRight" activeCell="G28" sqref="G28"/>
    </sheetView>
  </sheetViews>
  <sheetFormatPr defaultRowHeight="12.75"/>
  <cols>
    <col min="2" max="2" width="28.85546875" customWidth="1"/>
    <col min="5" max="6" width="9.140625" style="1652"/>
    <col min="7" max="7" width="40.5703125" style="1652" customWidth="1"/>
    <col min="9" max="11" width="12.5703125" customWidth="1"/>
    <col min="13" max="15" width="13.5703125" customWidth="1"/>
    <col min="17" max="19" width="11.140625" customWidth="1"/>
  </cols>
  <sheetData>
    <row r="1" spans="2:19">
      <c r="C1" s="1652"/>
      <c r="D1" s="1652"/>
      <c r="H1" s="1652"/>
      <c r="I1" s="1652"/>
      <c r="J1" s="1652"/>
    </row>
    <row r="2" spans="2:19" s="1567" customFormat="1">
      <c r="F2" s="1567" t="s">
        <v>1699</v>
      </c>
      <c r="I2" s="1567" t="s">
        <v>4</v>
      </c>
      <c r="M2" s="1567" t="s">
        <v>28</v>
      </c>
      <c r="Q2" s="1567" t="s">
        <v>1690</v>
      </c>
    </row>
    <row r="3" spans="2:19">
      <c r="C3" s="1652"/>
      <c r="D3" s="1652"/>
      <c r="H3" s="1652"/>
      <c r="I3" s="2579"/>
      <c r="J3" s="2583"/>
      <c r="K3" s="2587" t="s">
        <v>1689</v>
      </c>
      <c r="M3" s="2579"/>
      <c r="N3" s="2583"/>
      <c r="O3" s="2587" t="s">
        <v>1689</v>
      </c>
      <c r="Q3" s="2579" t="s">
        <v>20</v>
      </c>
      <c r="R3" s="2583"/>
      <c r="S3" s="2587" t="s">
        <v>1689</v>
      </c>
    </row>
    <row r="4" spans="2:19">
      <c r="C4" s="1652"/>
      <c r="D4" s="1652"/>
      <c r="H4" s="1652"/>
      <c r="I4" s="2579" t="s">
        <v>1682</v>
      </c>
      <c r="J4" s="2583" t="s">
        <v>1683</v>
      </c>
      <c r="K4" s="2587" t="s">
        <v>20</v>
      </c>
      <c r="M4" s="2579" t="s">
        <v>1682</v>
      </c>
      <c r="N4" s="2583" t="s">
        <v>1683</v>
      </c>
      <c r="O4" s="2587" t="s">
        <v>20</v>
      </c>
      <c r="Q4" s="2579" t="s">
        <v>1682</v>
      </c>
      <c r="R4" s="2583" t="s">
        <v>1683</v>
      </c>
      <c r="S4" s="2587" t="s">
        <v>20</v>
      </c>
    </row>
    <row r="5" spans="2:19" s="1652" customFormat="1">
      <c r="I5" s="2579"/>
      <c r="J5" s="2583"/>
      <c r="K5" s="2587"/>
      <c r="M5" s="2579"/>
      <c r="N5" s="2583"/>
      <c r="O5" s="2587"/>
      <c r="Q5" s="2579"/>
      <c r="R5" s="2583"/>
      <c r="S5" s="2587"/>
    </row>
    <row r="6" spans="2:19">
      <c r="C6" t="s">
        <v>68</v>
      </c>
      <c r="D6" t="s">
        <v>1720</v>
      </c>
      <c r="E6" s="1652" t="s">
        <v>1721</v>
      </c>
      <c r="I6" s="2579"/>
      <c r="J6" s="2583"/>
      <c r="K6" s="2587"/>
      <c r="M6" s="2579"/>
      <c r="N6" s="2583"/>
      <c r="O6" s="2587"/>
      <c r="Q6" s="2579"/>
      <c r="R6" s="2583"/>
      <c r="S6" s="2587"/>
    </row>
    <row r="7" spans="2:19">
      <c r="B7" t="s">
        <v>346</v>
      </c>
      <c r="C7" t="s">
        <v>58</v>
      </c>
      <c r="D7" t="e">
        <f>VLOOKUP(G7,#REF!,4,FALSE)</f>
        <v>#REF!</v>
      </c>
      <c r="E7" s="1652" t="e">
        <f>VLOOKUP(G7,#REF!,4,FALSE)</f>
        <v>#REF!</v>
      </c>
      <c r="F7" s="1652">
        <v>4430</v>
      </c>
      <c r="G7" s="1664" t="s">
        <v>165</v>
      </c>
      <c r="H7" t="s">
        <v>1691</v>
      </c>
      <c r="I7" s="2580">
        <f>' LowIncWx Detail_REM E201_Elec'!B20</f>
        <v>1.2949999999999999</v>
      </c>
      <c r="J7" s="2584">
        <f>' LowIncWx Detail_REM E201_Elec'!B32</f>
        <v>0.17777777777777778</v>
      </c>
      <c r="K7" s="2588">
        <f>I7+J7</f>
        <v>1.4727777777777777</v>
      </c>
      <c r="L7" t="s">
        <v>1691</v>
      </c>
      <c r="M7" s="2580">
        <f>'LowIncWx Detail_REM G201 Gas'!B20</f>
        <v>0.20500000000000002</v>
      </c>
      <c r="N7" s="2584">
        <f>'LowIncWx Detail_REM G201 Gas'!B32</f>
        <v>1.9753086419753086E-2</v>
      </c>
      <c r="O7" s="2588">
        <f>M7+N7</f>
        <v>0.22475308641975311</v>
      </c>
      <c r="Q7" s="2580">
        <f>I7+M7</f>
        <v>1.5</v>
      </c>
      <c r="R7" s="2584">
        <f>J7+N7</f>
        <v>0.19753086419753088</v>
      </c>
      <c r="S7" s="2588">
        <f>Q7+R7</f>
        <v>1.6975308641975309</v>
      </c>
    </row>
    <row r="8" spans="2:19">
      <c r="B8" t="s">
        <v>347</v>
      </c>
      <c r="C8" t="s">
        <v>57</v>
      </c>
      <c r="D8" s="1652" t="e">
        <f>VLOOKUP(G8,#REF!,4,FALSE)</f>
        <v>#REF!</v>
      </c>
      <c r="E8" s="1652" t="e">
        <f>VLOOKUP(G8,#REF!,4,FALSE)</f>
        <v>#REF!</v>
      </c>
      <c r="F8" s="1652">
        <v>4430</v>
      </c>
      <c r="G8" s="1664" t="s">
        <v>1561</v>
      </c>
      <c r="H8" t="s">
        <v>1691</v>
      </c>
      <c r="I8" s="2580">
        <f>'HmEnrgAsmt Detail_REM_E214 Elec'!B20</f>
        <v>0.55000000000000004</v>
      </c>
      <c r="J8" s="2584">
        <f>'HmEnrgAsmt Detail_REM_E214 Elec'!B26</f>
        <v>0.27513753086419751</v>
      </c>
      <c r="K8" s="2588">
        <f t="shared" ref="K8:K22" si="0">I8+J8</f>
        <v>0.8251375308641975</v>
      </c>
      <c r="M8" s="2580">
        <f>'HmEnrgyAsmt Detail_REM G214 Gas'!B20</f>
        <v>0</v>
      </c>
      <c r="N8" s="2584">
        <f>'HmEnrgyAsmt Detail_REM G214 Gas'!B26</f>
        <v>0</v>
      </c>
      <c r="O8" s="2588">
        <f t="shared" ref="O8:O22" si="1">M8+N8</f>
        <v>0</v>
      </c>
      <c r="Q8" s="2580">
        <f t="shared" ref="Q8:R71" si="2">I8+M8</f>
        <v>0.55000000000000004</v>
      </c>
      <c r="R8" s="2584">
        <f t="shared" si="2"/>
        <v>0.27513753086419751</v>
      </c>
      <c r="S8" s="2588">
        <f t="shared" ref="S8:S22" si="3">Q8+R8</f>
        <v>0.8251375308641975</v>
      </c>
    </row>
    <row r="9" spans="2:19">
      <c r="B9" t="s">
        <v>348</v>
      </c>
      <c r="C9" t="s">
        <v>57</v>
      </c>
      <c r="D9" s="1652" t="e">
        <f>VLOOKUP(G9,#REF!,4,FALSE)</f>
        <v>#REF!</v>
      </c>
      <c r="E9" s="1652" t="e">
        <f>VLOOKUP(G9,#REF!,4,FALSE)</f>
        <v>#REF!</v>
      </c>
      <c r="F9" s="1652">
        <v>4430</v>
      </c>
      <c r="G9" s="1664" t="s">
        <v>280</v>
      </c>
      <c r="H9" t="s">
        <v>1691</v>
      </c>
      <c r="I9" s="2580">
        <f>'WaterHea_Detail_REM_E214 Elec'!B20</f>
        <v>0.13750000000000001</v>
      </c>
      <c r="J9" s="2584">
        <f>'WaterHea_Detail_REM_E214 Elec'!B26</f>
        <v>7.5037500000000007E-2</v>
      </c>
      <c r="K9" s="2588">
        <f t="shared" si="0"/>
        <v>0.21253750000000002</v>
      </c>
      <c r="M9" s="2580">
        <f>'WtrHeat Detail_REM G214 Gas'!B20</f>
        <v>0</v>
      </c>
      <c r="N9" s="2584">
        <f>'WtrHeat Detail_REM G214 Gas'!B26</f>
        <v>0</v>
      </c>
      <c r="O9" s="2588">
        <f t="shared" si="1"/>
        <v>0</v>
      </c>
      <c r="Q9" s="2580">
        <f t="shared" si="2"/>
        <v>0.13750000000000001</v>
      </c>
      <c r="R9" s="2584">
        <f t="shared" si="2"/>
        <v>7.5037500000000007E-2</v>
      </c>
      <c r="S9" s="2588">
        <f t="shared" si="3"/>
        <v>0.21253750000000002</v>
      </c>
    </row>
    <row r="10" spans="2:19">
      <c r="B10" t="s">
        <v>349</v>
      </c>
      <c r="C10" t="s">
        <v>57</v>
      </c>
      <c r="D10" s="1652" t="e">
        <f>VLOOKUP(G10,#REF!,4,FALSE)</f>
        <v>#REF!</v>
      </c>
      <c r="E10" s="1652" t="e">
        <f>VLOOKUP(G10,#REF!,4,FALSE)</f>
        <v>#REF!</v>
      </c>
      <c r="F10" s="1652">
        <v>4430</v>
      </c>
      <c r="G10" s="1664" t="s">
        <v>287</v>
      </c>
      <c r="H10" t="s">
        <v>1691</v>
      </c>
      <c r="I10" s="2580">
        <f>'Wx_Detail_REM E214 Elec'!B20</f>
        <v>0.6</v>
      </c>
      <c r="J10" s="2584">
        <f>'Wx_Detail_REM E214 Elec'!B26</f>
        <v>0.30015000000000003</v>
      </c>
      <c r="K10" s="2588">
        <f t="shared" si="0"/>
        <v>0.90015000000000001</v>
      </c>
      <c r="L10" t="s">
        <v>1691</v>
      </c>
      <c r="M10" s="2580">
        <f>'Wx Detail_REM G214 Gas'!B19</f>
        <v>0.33999999999999997</v>
      </c>
      <c r="N10" s="2584">
        <f>'Wx Detail_REM G214 Gas'!B25</f>
        <v>0.15007500000000001</v>
      </c>
      <c r="O10" s="2588">
        <f t="shared" si="1"/>
        <v>0.49007499999999998</v>
      </c>
      <c r="Q10" s="2580">
        <f t="shared" si="2"/>
        <v>0.94</v>
      </c>
      <c r="R10" s="2584">
        <f t="shared" si="2"/>
        <v>0.45022500000000004</v>
      </c>
      <c r="S10" s="2588">
        <f t="shared" si="3"/>
        <v>1.390225</v>
      </c>
    </row>
    <row r="11" spans="2:19">
      <c r="B11" t="s">
        <v>350</v>
      </c>
      <c r="C11" t="s">
        <v>57</v>
      </c>
      <c r="D11" s="1652" t="e">
        <f>VLOOKUP(G11,#REF!,4,FALSE)</f>
        <v>#REF!</v>
      </c>
      <c r="E11" s="1652" t="e">
        <f>VLOOKUP(G11,#REF!,4,FALSE)</f>
        <v>#REF!</v>
      </c>
      <c r="F11" s="1652">
        <v>4430</v>
      </c>
      <c r="G11" s="1664" t="s">
        <v>286</v>
      </c>
      <c r="H11" t="s">
        <v>1691</v>
      </c>
      <c r="I11" s="2580">
        <f>'SpcHeat Detail_REM_E214 Elec'!B20</f>
        <v>0.5625</v>
      </c>
      <c r="J11" s="2584">
        <f>'SpcHeat Detail_REM_E214 Elec'!B26</f>
        <v>0.27513749999999998</v>
      </c>
      <c r="K11" s="2588">
        <f t="shared" si="0"/>
        <v>0.83763750000000003</v>
      </c>
      <c r="L11" t="s">
        <v>1691</v>
      </c>
      <c r="M11" s="2580">
        <f>'SpHeat Detail_REM G214 Gas'!B20</f>
        <v>0.48</v>
      </c>
      <c r="N11" s="2584">
        <f>'SpHeat Detail_REM G214 Gas'!B26</f>
        <v>0.17508750000000001</v>
      </c>
      <c r="O11" s="2588">
        <f t="shared" si="1"/>
        <v>0.65508750000000004</v>
      </c>
      <c r="Q11" s="2580">
        <f t="shared" si="2"/>
        <v>1.0425</v>
      </c>
      <c r="R11" s="2584">
        <f t="shared" si="2"/>
        <v>0.45022499999999999</v>
      </c>
      <c r="S11" s="2588">
        <f t="shared" si="3"/>
        <v>1.4927250000000001</v>
      </c>
    </row>
    <row r="12" spans="2:19">
      <c r="B12" t="s">
        <v>351</v>
      </c>
      <c r="C12" t="s">
        <v>57</v>
      </c>
      <c r="D12" s="1652" t="e">
        <f>VLOOKUP(G12,#REF!,4,FALSE)</f>
        <v>#REF!</v>
      </c>
      <c r="E12" s="1652" t="e">
        <f>VLOOKUP(G12,#REF!,4,FALSE)</f>
        <v>#REF!</v>
      </c>
      <c r="F12" s="1652">
        <v>4430</v>
      </c>
      <c r="G12" s="1652" t="s">
        <v>59</v>
      </c>
      <c r="H12" t="s">
        <v>1691</v>
      </c>
      <c r="I12" s="2580">
        <f>'HmAppplc_Detail_REM_E214 Elec'!B20</f>
        <v>1.1199999999999999</v>
      </c>
      <c r="J12" s="2584">
        <f>'HmAppplc_Detail_REM_E214 Elec'!B26</f>
        <v>0.48688271604938271</v>
      </c>
      <c r="K12" s="2588">
        <f t="shared" si="0"/>
        <v>1.6068827160493826</v>
      </c>
      <c r="M12" s="2580">
        <f>'HmApplSvgs Detail_REM G214 Gas'!B20</f>
        <v>0</v>
      </c>
      <c r="N12" s="2584">
        <f>'HmApplSvgs Detail_REM G214 Gas'!B26</f>
        <v>0</v>
      </c>
      <c r="O12" s="2588">
        <f t="shared" si="1"/>
        <v>0</v>
      </c>
      <c r="Q12" s="2580">
        <f t="shared" si="2"/>
        <v>1.1199999999999999</v>
      </c>
      <c r="R12" s="2584">
        <f t="shared" si="2"/>
        <v>0.48688271604938271</v>
      </c>
      <c r="S12" s="2588">
        <f t="shared" si="3"/>
        <v>1.6068827160493826</v>
      </c>
    </row>
    <row r="13" spans="2:19">
      <c r="B13" t="s">
        <v>352</v>
      </c>
      <c r="C13" t="s">
        <v>57</v>
      </c>
      <c r="D13" s="1652" t="e">
        <f>VLOOKUP(G13,#REF!,4,FALSE)</f>
        <v>#REF!</v>
      </c>
      <c r="E13" s="1652" t="e">
        <f>VLOOKUP(G13,#REF!,4,FALSE)</f>
        <v>#REF!</v>
      </c>
      <c r="F13" s="1652">
        <v>4430</v>
      </c>
      <c r="G13" s="1652" t="s">
        <v>277</v>
      </c>
      <c r="H13" t="s">
        <v>1691</v>
      </c>
      <c r="I13" s="2580">
        <f>'ShwrHead_Detail_REM_E214  Elec'!B20</f>
        <v>0.35</v>
      </c>
      <c r="J13" s="2584">
        <f>'ShwrHead_Detail_REM_E214  Elec'!B26</f>
        <v>6.296111111111112E-2</v>
      </c>
      <c r="K13" s="2588">
        <f t="shared" si="0"/>
        <v>0.41296111111111111</v>
      </c>
      <c r="L13" t="s">
        <v>1691</v>
      </c>
      <c r="M13" s="2580">
        <f>'ShwrHead Detail_REM G214 Gas'!B20</f>
        <v>0.15</v>
      </c>
      <c r="N13" s="2584">
        <f>'ShwrHead Detail_REM G214 Gas'!B26</f>
        <v>2.4274691358024691E-2</v>
      </c>
      <c r="O13" s="2588">
        <f t="shared" si="1"/>
        <v>0.17427469135802467</v>
      </c>
      <c r="Q13" s="2580">
        <f t="shared" si="2"/>
        <v>0.5</v>
      </c>
      <c r="R13" s="2584">
        <f t="shared" si="2"/>
        <v>8.7235802469135815E-2</v>
      </c>
      <c r="S13" s="2588">
        <f t="shared" si="3"/>
        <v>0.58723580246913576</v>
      </c>
    </row>
    <row r="14" spans="2:19">
      <c r="B14" t="s">
        <v>353</v>
      </c>
      <c r="C14" t="s">
        <v>57</v>
      </c>
      <c r="D14" s="1652" t="e">
        <f>VLOOKUP(G14,#REF!,4,FALSE)</f>
        <v>#REF!</v>
      </c>
      <c r="E14" s="1652" t="e">
        <f>VLOOKUP(G14,#REF!,4,FALSE)</f>
        <v>#REF!</v>
      </c>
      <c r="F14" s="1652">
        <v>4430</v>
      </c>
      <c r="G14" s="1652" t="s">
        <v>70</v>
      </c>
      <c r="H14" t="s">
        <v>1691</v>
      </c>
      <c r="I14" s="2580">
        <f>'Lighting Detail_REM_E214 Elec'!B20</f>
        <v>2.35</v>
      </c>
      <c r="J14" s="2584">
        <f>'Lighting Detail_REM_E214 Elec'!B26</f>
        <v>1.2658950617283951</v>
      </c>
      <c r="K14" s="2588">
        <f t="shared" si="0"/>
        <v>3.6158950617283949</v>
      </c>
      <c r="M14" s="2579">
        <v>0</v>
      </c>
      <c r="N14" s="2583">
        <v>0</v>
      </c>
      <c r="O14" s="2588">
        <f t="shared" si="1"/>
        <v>0</v>
      </c>
      <c r="Q14" s="2580">
        <f t="shared" si="2"/>
        <v>2.35</v>
      </c>
      <c r="R14" s="2584">
        <f t="shared" si="2"/>
        <v>1.2658950617283951</v>
      </c>
      <c r="S14" s="2588">
        <f t="shared" si="3"/>
        <v>3.6158950617283949</v>
      </c>
    </row>
    <row r="15" spans="2:19">
      <c r="B15" t="s">
        <v>560</v>
      </c>
      <c r="C15" t="s">
        <v>57</v>
      </c>
      <c r="D15" s="1652" t="e">
        <f>VLOOKUP(G15,#REF!,4,FALSE)</f>
        <v>#REF!</v>
      </c>
      <c r="E15" s="1652" t="e">
        <f>VLOOKUP(G15,#REF!,4,FALSE)</f>
        <v>#REF!</v>
      </c>
      <c r="F15" s="1652">
        <v>4430</v>
      </c>
      <c r="G15" s="1652" t="s">
        <v>276</v>
      </c>
      <c r="H15" t="s">
        <v>1691</v>
      </c>
      <c r="I15" s="2580">
        <f>'MHDS Detail_REM_E214 Elec.'!B20</f>
        <v>0.43000000000000005</v>
      </c>
      <c r="J15" s="2584">
        <f>'MHDS Detail_REM_E214 Elec.'!B26</f>
        <v>9.8814814814814807E-3</v>
      </c>
      <c r="K15" s="2588">
        <f t="shared" si="0"/>
        <v>0.43988148148148154</v>
      </c>
      <c r="M15" s="2580">
        <f>'MHDS Detail_REM G214 Gas'!B20</f>
        <v>0</v>
      </c>
      <c r="N15" s="2584">
        <f>'MHDS Detail_REM G214 Gas'!B26</f>
        <v>0</v>
      </c>
      <c r="O15" s="2588">
        <f t="shared" si="1"/>
        <v>0</v>
      </c>
      <c r="Q15" s="2580">
        <f t="shared" si="2"/>
        <v>0.43000000000000005</v>
      </c>
      <c r="R15" s="2584">
        <f t="shared" si="2"/>
        <v>9.8814814814814807E-3</v>
      </c>
      <c r="S15" s="2588">
        <f t="shared" si="3"/>
        <v>0.43988148148148154</v>
      </c>
    </row>
    <row r="16" spans="2:19">
      <c r="B16" t="s">
        <v>354</v>
      </c>
      <c r="C16" t="s">
        <v>57</v>
      </c>
      <c r="D16" s="1652" t="e">
        <f>VLOOKUP(G16,#REF!,4,FALSE)</f>
        <v>#REF!</v>
      </c>
      <c r="E16" s="1652" t="e">
        <f>VLOOKUP(G16,#REF!,4,FALSE)</f>
        <v>#REF!</v>
      </c>
      <c r="F16" s="1652">
        <v>4430</v>
      </c>
      <c r="G16" s="1652" t="s">
        <v>274</v>
      </c>
      <c r="H16" t="s">
        <v>1691</v>
      </c>
      <c r="I16" s="2580">
        <f>'HER Detail_REM_E214 elec.'!B20</f>
        <v>0.08</v>
      </c>
      <c r="J16" s="2584">
        <f>'HER Detail_REM_E214 elec.'!B26</f>
        <v>0</v>
      </c>
      <c r="K16" s="2588">
        <f t="shared" si="0"/>
        <v>0.08</v>
      </c>
      <c r="L16" t="s">
        <v>1691</v>
      </c>
      <c r="M16" s="2580">
        <f>'HER Detail_REM G214 gas'!B20</f>
        <v>0.03</v>
      </c>
      <c r="N16" s="2584">
        <f>'HER Detail_REM G214 gas'!B26</f>
        <v>0</v>
      </c>
      <c r="O16" s="2588">
        <f t="shared" si="1"/>
        <v>0.03</v>
      </c>
      <c r="Q16" s="2580">
        <f t="shared" si="2"/>
        <v>0.11</v>
      </c>
      <c r="R16" s="2584">
        <f t="shared" si="2"/>
        <v>0</v>
      </c>
      <c r="S16" s="2588">
        <f t="shared" si="3"/>
        <v>0.11</v>
      </c>
    </row>
    <row r="17" spans="2:19">
      <c r="B17" t="s">
        <v>1509</v>
      </c>
      <c r="C17" t="s">
        <v>57</v>
      </c>
      <c r="D17" s="1652" t="e">
        <f>VLOOKUP(G17,#REF!,4,FALSE)</f>
        <v>#REF!</v>
      </c>
      <c r="E17" s="1652" t="e">
        <f>VLOOKUP(G17,#REF!,4,FALSE)</f>
        <v>#REF!</v>
      </c>
      <c r="F17" s="1652">
        <v>4430</v>
      </c>
      <c r="G17" s="1652" t="s">
        <v>1007</v>
      </c>
      <c r="H17" t="s">
        <v>1691</v>
      </c>
      <c r="I17" s="2580">
        <f>'Web Tstat Detail_REM E214 Elec'!B20</f>
        <v>0.2</v>
      </c>
      <c r="J17" s="2584">
        <f>'Web Tstat Detail_REM E214 Elec'!B26</f>
        <v>2.7430555555555555E-2</v>
      </c>
      <c r="K17" s="2588">
        <f t="shared" si="0"/>
        <v>0.22743055555555558</v>
      </c>
      <c r="L17" t="s">
        <v>1691</v>
      </c>
      <c r="M17" s="2580">
        <f>'WebTstat Detail_REM G214 Gas'!B20</f>
        <v>0.125</v>
      </c>
      <c r="N17" s="2584">
        <f>'WebTstat Detail_REM G214 Gas'!B26</f>
        <v>1.9714506172839506E-2</v>
      </c>
      <c r="O17" s="2588">
        <f t="shared" si="1"/>
        <v>0.14471450617283951</v>
      </c>
      <c r="Q17" s="2580">
        <f t="shared" si="2"/>
        <v>0.32500000000000001</v>
      </c>
      <c r="R17" s="2584">
        <f t="shared" si="2"/>
        <v>4.7145061728395062E-2</v>
      </c>
      <c r="S17" s="2588">
        <f t="shared" si="3"/>
        <v>0.37214506172839507</v>
      </c>
    </row>
    <row r="18" spans="2:19">
      <c r="B18" t="s">
        <v>355</v>
      </c>
      <c r="C18" t="s">
        <v>61</v>
      </c>
      <c r="D18" s="1652" t="e">
        <f>VLOOKUP(G18,#REF!,4,FALSE)</f>
        <v>#REF!</v>
      </c>
      <c r="E18" s="1652" t="e">
        <f>VLOOKUP(G18,#REF!,4,FALSE)</f>
        <v>#REF!</v>
      </c>
      <c r="F18" s="1652">
        <v>4430</v>
      </c>
      <c r="G18" s="1652" t="s">
        <v>179</v>
      </c>
      <c r="H18" t="s">
        <v>1691</v>
      </c>
      <c r="I18" s="2580">
        <f>'SFNC Detail_REM E215 Elec'!B20</f>
        <v>0.15000000000000002</v>
      </c>
      <c r="J18" s="2584">
        <f>'SFNC Detail_REM E215 Elec'!B26</f>
        <v>7.2603086419753091E-2</v>
      </c>
      <c r="K18" s="2588">
        <f t="shared" si="0"/>
        <v>0.22260308641975313</v>
      </c>
      <c r="L18" t="s">
        <v>1691</v>
      </c>
      <c r="M18" s="2580">
        <f>'SFNC Detail_REM G215 Gas'!B20</f>
        <v>0.15000000000000002</v>
      </c>
      <c r="N18" s="2584">
        <f>'SFNC Detail_REM G215 Gas'!B26</f>
        <v>7.2603086419753091E-2</v>
      </c>
      <c r="O18" s="2588">
        <f t="shared" si="1"/>
        <v>0.22260308641975313</v>
      </c>
      <c r="Q18" s="2580">
        <f t="shared" si="2"/>
        <v>0.30000000000000004</v>
      </c>
      <c r="R18" s="2584">
        <f t="shared" si="2"/>
        <v>0.14520617283950618</v>
      </c>
      <c r="S18" s="2588">
        <f t="shared" si="3"/>
        <v>0.44520617283950625</v>
      </c>
    </row>
    <row r="19" spans="2:19">
      <c r="B19" t="s">
        <v>356</v>
      </c>
      <c r="C19" t="s">
        <v>61</v>
      </c>
      <c r="D19" s="1652" t="e">
        <f>VLOOKUP(G19,#REF!,4,FALSE)</f>
        <v>#REF!</v>
      </c>
      <c r="E19" s="1652" t="e">
        <f>VLOOKUP(G19,#REF!,4,FALSE)</f>
        <v>#REF!</v>
      </c>
      <c r="F19" s="1652">
        <v>4430</v>
      </c>
      <c r="G19" s="1652" t="s">
        <v>272</v>
      </c>
      <c r="I19" s="2580">
        <f>'NCMfgHome Detail_REM E215 Elec'!B20</f>
        <v>0</v>
      </c>
      <c r="J19" s="2584">
        <f>'NCMfgHome Detail_REM E215 Elec'!B26</f>
        <v>0</v>
      </c>
      <c r="K19" s="2588">
        <f t="shared" si="0"/>
        <v>0</v>
      </c>
      <c r="M19" s="2580">
        <f>'NCMfgHomes Detail_REM G215 Gas'!B20</f>
        <v>0</v>
      </c>
      <c r="N19" s="2584">
        <f>'NCMfgHomes Detail_REM G215 Gas'!B26</f>
        <v>0</v>
      </c>
      <c r="O19" s="2588">
        <f t="shared" si="1"/>
        <v>0</v>
      </c>
      <c r="Q19" s="2580">
        <f t="shared" si="2"/>
        <v>0</v>
      </c>
      <c r="R19" s="2584">
        <f t="shared" si="2"/>
        <v>0</v>
      </c>
      <c r="S19" s="2588">
        <f t="shared" si="3"/>
        <v>0</v>
      </c>
    </row>
    <row r="20" spans="2:19">
      <c r="B20" t="s">
        <v>357</v>
      </c>
      <c r="C20" t="s">
        <v>62</v>
      </c>
      <c r="D20" s="1652" t="e">
        <f>VLOOKUP(G20,#REF!,4,FALSE)</f>
        <v>#REF!</v>
      </c>
      <c r="E20" s="1652" t="e">
        <f>VLOOKUP(G20,#REF!,4,FALSE)</f>
        <v>#REF!</v>
      </c>
      <c r="F20" s="1652">
        <v>4430</v>
      </c>
      <c r="G20" s="1652" t="s">
        <v>63</v>
      </c>
      <c r="H20" t="s">
        <v>1691</v>
      </c>
      <c r="I20" s="2580">
        <f>'FuelConv Detail_REM E216 Elec'!B20</f>
        <v>0.54999999999999993</v>
      </c>
      <c r="J20" s="2584">
        <f>'FuelConv Detail_REM E216 Elec'!B26</f>
        <v>0.20009999999999997</v>
      </c>
      <c r="K20" s="2588">
        <f t="shared" si="0"/>
        <v>0.75009999999999988</v>
      </c>
      <c r="M20" s="2579">
        <v>0</v>
      </c>
      <c r="N20" s="2583">
        <v>0</v>
      </c>
      <c r="O20" s="2588">
        <f t="shared" si="1"/>
        <v>0</v>
      </c>
      <c r="Q20" s="2580">
        <f t="shared" si="2"/>
        <v>0.54999999999999993</v>
      </c>
      <c r="R20" s="2584">
        <f t="shared" si="2"/>
        <v>0.20009999999999997</v>
      </c>
      <c r="S20" s="2588">
        <f t="shared" si="3"/>
        <v>0.75009999999999988</v>
      </c>
    </row>
    <row r="21" spans="2:19">
      <c r="B21" t="s">
        <v>358</v>
      </c>
      <c r="C21" t="s">
        <v>64</v>
      </c>
      <c r="D21" s="1652" t="e">
        <f>VLOOKUP(G21,#REF!,4,FALSE)</f>
        <v>#REF!</v>
      </c>
      <c r="E21" s="1652" t="e">
        <f>VLOOKUP(G21,#REF!,4,FALSE)</f>
        <v>#REF!</v>
      </c>
      <c r="F21" s="1652">
        <v>4430</v>
      </c>
      <c r="G21" s="1652" t="s">
        <v>329</v>
      </c>
      <c r="H21" t="s">
        <v>1691</v>
      </c>
      <c r="I21" s="2580">
        <f>'MF Retr Detail_REM E217 Elec'!B20</f>
        <v>1.95</v>
      </c>
      <c r="J21" s="2584">
        <f>'MF Retr Detail_REM E217 Elec'!B26</f>
        <v>0.49382716049382713</v>
      </c>
      <c r="K21" s="2588">
        <f t="shared" si="0"/>
        <v>2.4438271604938269</v>
      </c>
      <c r="L21" t="s">
        <v>1691</v>
      </c>
      <c r="M21" s="2580">
        <f>'MF Retr Detail_REM G217 Gas'!B20</f>
        <v>0.55000000000000004</v>
      </c>
      <c r="N21" s="2584">
        <f>'MF Retr Detail_REM G217 Gas'!B26</f>
        <v>0.17777777777777778</v>
      </c>
      <c r="O21" s="2588">
        <f t="shared" si="1"/>
        <v>0.72777777777777786</v>
      </c>
      <c r="Q21" s="2580">
        <f t="shared" si="2"/>
        <v>2.5</v>
      </c>
      <c r="R21" s="2584">
        <f t="shared" si="2"/>
        <v>0.67160493827160495</v>
      </c>
      <c r="S21" s="2588">
        <f t="shared" si="3"/>
        <v>3.1716049382716047</v>
      </c>
    </row>
    <row r="22" spans="2:19">
      <c r="B22" t="s">
        <v>359</v>
      </c>
      <c r="C22" t="s">
        <v>65</v>
      </c>
      <c r="D22" s="1652" t="e">
        <f>VLOOKUP(G22,#REF!,4,FALSE)</f>
        <v>#REF!</v>
      </c>
      <c r="E22" s="1652" t="e">
        <f>VLOOKUP(G22,#REF!,4,FALSE)</f>
        <v>#REF!</v>
      </c>
      <c r="F22" s="1652">
        <v>4430</v>
      </c>
      <c r="G22" s="1652" t="s">
        <v>282</v>
      </c>
      <c r="H22" t="s">
        <v>1691</v>
      </c>
      <c r="I22" s="2580">
        <f>'MFNC Detail_REM E218 Elec'!B21</f>
        <v>1.9599999999999997</v>
      </c>
      <c r="J22" s="2584">
        <f>'MFNC Detail_REM E218 Elec'!B27</f>
        <v>0.17006172839506173</v>
      </c>
      <c r="K22" s="2588">
        <f t="shared" si="0"/>
        <v>2.1300617283950616</v>
      </c>
      <c r="L22" t="s">
        <v>1691</v>
      </c>
      <c r="M22" s="2580">
        <f>'MFNC Detail_REM G218 Gas'!B21</f>
        <v>0.22000000000000003</v>
      </c>
      <c r="N22" s="2584">
        <f>'MFNC Detail_REM G218 Gas'!B27</f>
        <v>8.5030864197530864E-2</v>
      </c>
      <c r="O22" s="2588">
        <f t="shared" si="1"/>
        <v>0.30503086419753089</v>
      </c>
      <c r="Q22" s="2580">
        <f t="shared" si="2"/>
        <v>2.1799999999999997</v>
      </c>
      <c r="R22" s="2584">
        <f t="shared" si="2"/>
        <v>0.25509259259259259</v>
      </c>
      <c r="S22" s="2588">
        <f t="shared" si="3"/>
        <v>2.4350925925925924</v>
      </c>
    </row>
    <row r="23" spans="2:19" s="1567" customFormat="1">
      <c r="H23" s="1567" t="s">
        <v>1687</v>
      </c>
      <c r="I23" s="2581">
        <f>SUM(I7:I22)</f>
        <v>12.284999999999998</v>
      </c>
      <c r="J23" s="2585">
        <f>SUM(J7:J22)</f>
        <v>3.8928832098765427</v>
      </c>
      <c r="K23" s="2589">
        <f>SUM(K7:K22)</f>
        <v>16.177883209876541</v>
      </c>
      <c r="M23" s="2581">
        <f>SUM(M7:M22)</f>
        <v>2.2500000000000004</v>
      </c>
      <c r="N23" s="2585">
        <f>SUM(N7:N22)</f>
        <v>0.72431651234567895</v>
      </c>
      <c r="O23" s="2589">
        <f>SUM(O7:O22)</f>
        <v>2.9743165123456792</v>
      </c>
      <c r="Q23" s="2581">
        <f>SUM(Q7:Q22)</f>
        <v>14.535</v>
      </c>
      <c r="R23" s="2585">
        <f>SUM(R7:R22)</f>
        <v>4.6171997222222219</v>
      </c>
      <c r="S23" s="2589">
        <f>SUM(S7:S22)</f>
        <v>19.152199722222225</v>
      </c>
    </row>
    <row r="24" spans="2:19">
      <c r="I24" s="2579"/>
      <c r="J24" s="2583"/>
      <c r="K24" s="2587"/>
      <c r="M24" s="2579"/>
      <c r="N24" s="2583"/>
      <c r="O24" s="2587"/>
      <c r="Q24" s="2580"/>
      <c r="R24" s="2583"/>
      <c r="S24" s="2587"/>
    </row>
    <row r="25" spans="2:19">
      <c r="I25" s="2579"/>
      <c r="J25" s="2583"/>
      <c r="K25" s="2587"/>
      <c r="M25" s="2579"/>
      <c r="N25" s="2583"/>
      <c r="O25" s="2587"/>
      <c r="Q25" s="2580"/>
      <c r="R25" s="2583"/>
      <c r="S25" s="2587"/>
    </row>
    <row r="26" spans="2:19">
      <c r="I26" s="2579"/>
      <c r="J26" s="2583"/>
      <c r="K26" s="2587"/>
      <c r="M26" s="2579"/>
      <c r="N26" s="2583"/>
      <c r="O26" s="2587"/>
      <c r="Q26" s="2580"/>
      <c r="R26" s="2583"/>
      <c r="S26" s="2587"/>
    </row>
    <row r="27" spans="2:19">
      <c r="C27" t="s">
        <v>130</v>
      </c>
      <c r="I27" s="2579"/>
      <c r="J27" s="2583"/>
      <c r="K27" s="2587"/>
      <c r="M27" s="2579"/>
      <c r="N27" s="2583"/>
      <c r="O27" s="2587"/>
      <c r="Q27" s="2580"/>
      <c r="R27" s="2583"/>
      <c r="S27" s="2587"/>
    </row>
    <row r="28" spans="2:19">
      <c r="B28" t="s">
        <v>360</v>
      </c>
      <c r="C28" t="s">
        <v>184</v>
      </c>
      <c r="D28" s="1652" t="e">
        <f>VLOOKUP(G28,#REF!,4,FALSE)</f>
        <v>#REF!</v>
      </c>
      <c r="E28" s="1652" t="e">
        <f>VLOOKUP(G28,#REF!,4,FALSE)</f>
        <v>#REF!</v>
      </c>
      <c r="F28" s="1652">
        <v>4440</v>
      </c>
      <c r="G28" s="1652" t="s">
        <v>136</v>
      </c>
      <c r="I28" s="2582">
        <f>'CI Retr Detail_BEM E250 Elec'!H17</f>
        <v>7</v>
      </c>
      <c r="J28" s="2583">
        <f>'CI Retr Detail_BEM E250 Elec'!H21</f>
        <v>0.1</v>
      </c>
      <c r="K28" s="2588">
        <f t="shared" ref="K28:K44" si="4">I28+J28</f>
        <v>7.1</v>
      </c>
      <c r="M28" s="2582">
        <f>'CI Retr Detail_BEM G250 Gas'!H17</f>
        <v>2.95</v>
      </c>
      <c r="N28" s="2583">
        <f>'CI Retr Detail_BEM G250 Gas'!H18</f>
        <v>0.1</v>
      </c>
      <c r="O28" s="2588">
        <f t="shared" ref="O28:O44" si="5">M28+N28</f>
        <v>3.0500000000000003</v>
      </c>
      <c r="Q28" s="2580">
        <f t="shared" si="2"/>
        <v>9.9499999999999993</v>
      </c>
      <c r="R28" s="2584">
        <f t="shared" si="2"/>
        <v>0.2</v>
      </c>
      <c r="S28" s="2588">
        <f t="shared" ref="S28:S44" si="6">Q28+R28</f>
        <v>10.149999999999999</v>
      </c>
    </row>
    <row r="29" spans="2:19">
      <c r="B29" t="s">
        <v>671</v>
      </c>
      <c r="C29" t="s">
        <v>184</v>
      </c>
      <c r="D29" s="1652" t="e">
        <f>VLOOKUP(G29,#REF!,4,FALSE)</f>
        <v>#REF!</v>
      </c>
      <c r="E29" s="1652" t="e">
        <f>VLOOKUP(G29,#REF!,4,FALSE)</f>
        <v>#REF!</v>
      </c>
      <c r="F29" s="1652">
        <v>4440</v>
      </c>
      <c r="G29" s="1652" t="s">
        <v>633</v>
      </c>
      <c r="I29" s="2582">
        <f>'BusLgtGrants_BEM E250 Elect'!H21</f>
        <v>15.9</v>
      </c>
      <c r="J29" s="2583">
        <f>'BusLgtGrants_BEM E250 Elect'!H19</f>
        <v>0.2</v>
      </c>
      <c r="K29" s="2588">
        <f t="shared" si="4"/>
        <v>16.100000000000001</v>
      </c>
      <c r="M29" s="2579">
        <v>0</v>
      </c>
      <c r="N29" s="2583">
        <v>0</v>
      </c>
      <c r="O29" s="2588">
        <f t="shared" si="5"/>
        <v>0</v>
      </c>
      <c r="Q29" s="2580">
        <f t="shared" si="2"/>
        <v>15.9</v>
      </c>
      <c r="R29" s="2584">
        <f t="shared" si="2"/>
        <v>0.2</v>
      </c>
      <c r="S29" s="2588">
        <f t="shared" si="6"/>
        <v>16.100000000000001</v>
      </c>
    </row>
    <row r="30" spans="2:19">
      <c r="B30" t="s">
        <v>361</v>
      </c>
      <c r="C30" t="s">
        <v>131</v>
      </c>
      <c r="D30" s="1652" t="e">
        <f>VLOOKUP(G30,#REF!,4,FALSE)</f>
        <v>#REF!</v>
      </c>
      <c r="E30" s="1652" t="e">
        <f>VLOOKUP(G30,#REF!,4,FALSE)</f>
        <v>#REF!</v>
      </c>
      <c r="F30" s="1652">
        <v>4440</v>
      </c>
      <c r="G30" s="1652" t="s">
        <v>137</v>
      </c>
      <c r="I30" s="2582">
        <f>'CI NC Detail_BEM E251 Elec'!H15</f>
        <v>1.6</v>
      </c>
      <c r="J30" s="2583">
        <f>'CI NC Detail_BEM E251 Elec'!H18</f>
        <v>0.15000000000000002</v>
      </c>
      <c r="K30" s="2588">
        <f t="shared" si="4"/>
        <v>1.75</v>
      </c>
      <c r="M30" s="2582">
        <f>'CI NC Detail_BEM G251 Gas'!H16</f>
        <v>0.55000000000000004</v>
      </c>
      <c r="N30" s="2583">
        <f>'CI NC Detail_BEM G251 Gas'!H17</f>
        <v>0</v>
      </c>
      <c r="O30" s="2588">
        <f t="shared" si="5"/>
        <v>0.55000000000000004</v>
      </c>
      <c r="Q30" s="2580">
        <f t="shared" si="2"/>
        <v>2.1500000000000004</v>
      </c>
      <c r="R30" s="2584">
        <f t="shared" si="2"/>
        <v>0.15000000000000002</v>
      </c>
      <c r="S30" s="2588">
        <f t="shared" si="6"/>
        <v>2.3000000000000003</v>
      </c>
    </row>
    <row r="31" spans="2:19">
      <c r="D31" s="1652" t="e">
        <f>VLOOKUP(G31,#REF!,4,FALSE)</f>
        <v>#REF!</v>
      </c>
      <c r="E31" s="1652" t="e">
        <f>VLOOKUP(G31,#REF!,4,FALSE)</f>
        <v>#REF!</v>
      </c>
      <c r="F31" s="1652">
        <v>4440</v>
      </c>
      <c r="G31" s="1652" t="s">
        <v>684</v>
      </c>
      <c r="I31" s="2582">
        <f>'RCM Detail_BEM E253 Elec'!H15</f>
        <v>3.45</v>
      </c>
      <c r="J31" s="2583">
        <f>'RCM Detail_BEM E253 Elec'!H18</f>
        <v>0.1</v>
      </c>
      <c r="K31" s="2588">
        <f t="shared" si="4"/>
        <v>3.5500000000000003</v>
      </c>
      <c r="M31" s="2582">
        <f>'RCM Detail_BEM 253 Gas'!H17</f>
        <v>1.75</v>
      </c>
      <c r="N31" s="2583">
        <f>'RCM Detail_BEM 253 Gas'!H18</f>
        <v>0</v>
      </c>
      <c r="O31" s="2588">
        <f t="shared" si="5"/>
        <v>1.75</v>
      </c>
      <c r="Q31" s="2580">
        <f t="shared" si="2"/>
        <v>5.2</v>
      </c>
      <c r="R31" s="2584">
        <f t="shared" si="2"/>
        <v>0.1</v>
      </c>
      <c r="S31" s="2588">
        <f t="shared" si="6"/>
        <v>5.3</v>
      </c>
    </row>
    <row r="32" spans="2:19">
      <c r="B32" t="s">
        <v>1528</v>
      </c>
      <c r="C32" t="s">
        <v>132</v>
      </c>
      <c r="D32" s="1652" t="e">
        <f>VLOOKUP(G32,#REF!,4,FALSE)</f>
        <v>#REF!</v>
      </c>
      <c r="E32" s="1652" t="e">
        <f>VLOOKUP(G32,#REF!,4,FALSE)</f>
        <v>#REF!</v>
      </c>
      <c r="F32" s="1652">
        <v>4440</v>
      </c>
      <c r="G32" s="1652" t="s">
        <v>1522</v>
      </c>
      <c r="I32" s="2582">
        <f>'RCM U-S-B Detail_E253 Elec'!H15</f>
        <v>0</v>
      </c>
      <c r="J32" s="2586">
        <f>'RCM U-S-B Detail_E253 Elec'!F18</f>
        <v>0</v>
      </c>
      <c r="K32" s="2588">
        <f t="shared" si="4"/>
        <v>0</v>
      </c>
      <c r="M32" s="2579">
        <v>0</v>
      </c>
      <c r="N32" s="2583">
        <v>0</v>
      </c>
      <c r="O32" s="2588">
        <f t="shared" si="5"/>
        <v>0</v>
      </c>
      <c r="Q32" s="2580">
        <f t="shared" si="2"/>
        <v>0</v>
      </c>
      <c r="R32" s="2584">
        <f t="shared" si="2"/>
        <v>0</v>
      </c>
      <c r="S32" s="2588">
        <f t="shared" si="6"/>
        <v>0</v>
      </c>
    </row>
    <row r="33" spans="2:19">
      <c r="B33" t="s">
        <v>1531</v>
      </c>
      <c r="D33" s="1652" t="e">
        <f>VLOOKUP(G33,#REF!,4,FALSE)</f>
        <v>#REF!</v>
      </c>
      <c r="E33" s="1652" t="e">
        <f>VLOOKUP(G33,#REF!,4,FALSE)</f>
        <v>#REF!</v>
      </c>
      <c r="F33" s="1652">
        <v>4440</v>
      </c>
      <c r="G33" s="1652" t="s">
        <v>1533</v>
      </c>
      <c r="I33" s="2580">
        <f>'ResAcctSW Detail_PSWE_Elec'!B20</f>
        <v>0.87</v>
      </c>
      <c r="J33" s="2584">
        <f>'ResAcctSW Detail_PSWE_Elec'!B26</f>
        <v>8.3375308641975305E-3</v>
      </c>
      <c r="K33" s="2588">
        <f t="shared" si="4"/>
        <v>0.87833753086419752</v>
      </c>
      <c r="M33" s="2580">
        <f>'ResAcctSW Detail_PSWE_Gas'!B20</f>
        <v>0.13</v>
      </c>
      <c r="N33" s="2584">
        <f>'ResAcctSW Detail_PSWE_Gas'!B26</f>
        <v>6.1728395061728392E-3</v>
      </c>
      <c r="O33" s="2588">
        <f t="shared" si="5"/>
        <v>0.13617283950617284</v>
      </c>
      <c r="Q33" s="2580">
        <f t="shared" si="2"/>
        <v>1</v>
      </c>
      <c r="R33" s="2584">
        <f t="shared" si="2"/>
        <v>1.451037037037037E-2</v>
      </c>
      <c r="S33" s="2588">
        <f t="shared" si="6"/>
        <v>1.0145103703703704</v>
      </c>
    </row>
    <row r="34" spans="2:19">
      <c r="B34" t="s">
        <v>1521</v>
      </c>
      <c r="C34" t="s">
        <v>133</v>
      </c>
      <c r="D34" s="1652" t="e">
        <f>VLOOKUP(G34,#REF!,4,FALSE)</f>
        <v>#REF!</v>
      </c>
      <c r="E34" s="1652" t="e">
        <f>VLOOKUP(G34,#REF!,4,FALSE)</f>
        <v>#REF!</v>
      </c>
      <c r="F34" s="1652">
        <v>4440</v>
      </c>
      <c r="G34" s="1652" t="s">
        <v>1518</v>
      </c>
      <c r="I34" s="2582">
        <f>LPSD_Detail_449_Elec!K15</f>
        <v>3</v>
      </c>
      <c r="J34" s="2586">
        <f>LPSD_Detail_449_Elec!K16</f>
        <v>0</v>
      </c>
      <c r="K34" s="2588">
        <f t="shared" si="4"/>
        <v>3</v>
      </c>
      <c r="M34" s="2579">
        <v>0</v>
      </c>
      <c r="N34" s="2583">
        <v>0</v>
      </c>
      <c r="O34" s="2588">
        <f t="shared" si="5"/>
        <v>0</v>
      </c>
      <c r="Q34" s="2580">
        <f t="shared" si="2"/>
        <v>3</v>
      </c>
      <c r="R34" s="2584">
        <f t="shared" si="2"/>
        <v>0</v>
      </c>
      <c r="S34" s="2588">
        <f t="shared" si="6"/>
        <v>3</v>
      </c>
    </row>
    <row r="35" spans="2:19">
      <c r="B35" t="s">
        <v>1520</v>
      </c>
      <c r="C35" t="s">
        <v>133</v>
      </c>
      <c r="D35" s="1652" t="e">
        <f>VLOOKUP(G35,#REF!,4,FALSE)</f>
        <v>#REF!</v>
      </c>
      <c r="E35" s="1652" t="e">
        <f>VLOOKUP(G35,#REF!,4,FALSE)</f>
        <v>#REF!</v>
      </c>
      <c r="F35" s="1652">
        <v>4440</v>
      </c>
      <c r="G35" s="1652" t="s">
        <v>1519</v>
      </c>
      <c r="I35" s="2582">
        <f>'LPSD_Detail_Non-449 Elec'!K15</f>
        <v>2.6500000000000004</v>
      </c>
      <c r="J35" s="2583">
        <f>'LPSD_Detail_Non-449 Elec'!K16</f>
        <v>0</v>
      </c>
      <c r="K35" s="2588">
        <f t="shared" si="4"/>
        <v>2.6500000000000004</v>
      </c>
      <c r="M35" s="2579">
        <v>0</v>
      </c>
      <c r="N35" s="2583">
        <v>0</v>
      </c>
      <c r="O35" s="2588">
        <f t="shared" si="5"/>
        <v>0</v>
      </c>
      <c r="Q35" s="2580">
        <f t="shared" si="2"/>
        <v>2.6500000000000004</v>
      </c>
      <c r="R35" s="2584">
        <f t="shared" si="2"/>
        <v>0</v>
      </c>
      <c r="S35" s="2588">
        <f t="shared" si="6"/>
        <v>2.6500000000000004</v>
      </c>
    </row>
    <row r="36" spans="2:19">
      <c r="B36" t="s">
        <v>363</v>
      </c>
      <c r="C36" t="s">
        <v>134</v>
      </c>
      <c r="D36" s="1652" t="e">
        <f>VLOOKUP(G36,#REF!,4,FALSE)</f>
        <v>#REF!</v>
      </c>
      <c r="E36" s="1652" t="e">
        <f>VLOOKUP(G36,#REF!,4,FALSE)</f>
        <v>#REF!</v>
      </c>
      <c r="F36" s="1652">
        <v>4440</v>
      </c>
      <c r="G36" s="1652" t="s">
        <v>140</v>
      </c>
      <c r="I36" s="2582">
        <f>'TechEval Detail_BEM E261 Elec'!H14</f>
        <v>0</v>
      </c>
      <c r="J36" s="2586">
        <f>'TechEval Detail_BEM E261 Elec'!F17</f>
        <v>0</v>
      </c>
      <c r="K36" s="2588">
        <f t="shared" si="4"/>
        <v>0</v>
      </c>
      <c r="M36" s="2582">
        <f>'TechEval Detail_BEM G261 Gas'!F14</f>
        <v>0</v>
      </c>
      <c r="N36" s="2583">
        <v>0</v>
      </c>
      <c r="O36" s="2588">
        <f t="shared" si="5"/>
        <v>0</v>
      </c>
      <c r="Q36" s="2580">
        <f t="shared" si="2"/>
        <v>0</v>
      </c>
      <c r="R36" s="2584">
        <f t="shared" si="2"/>
        <v>0</v>
      </c>
      <c r="S36" s="2588">
        <f t="shared" si="6"/>
        <v>0</v>
      </c>
    </row>
    <row r="37" spans="2:19">
      <c r="B37" t="s">
        <v>665</v>
      </c>
      <c r="C37" t="s">
        <v>135</v>
      </c>
      <c r="D37" s="1652" t="e">
        <f>VLOOKUP(G37,#REF!,4,FALSE)</f>
        <v>#REF!</v>
      </c>
      <c r="E37" s="1652" t="e">
        <f>VLOOKUP(G37,#REF!,4,FALSE)</f>
        <v>#REF!</v>
      </c>
      <c r="F37" s="1652">
        <v>4430</v>
      </c>
      <c r="G37" s="1652" t="s">
        <v>618</v>
      </c>
      <c r="H37" t="s">
        <v>1691</v>
      </c>
      <c r="I37" s="2580">
        <f>'Comm Lgt Mkdn_E262 Elect'!B20</f>
        <v>0.88</v>
      </c>
      <c r="J37" s="2584">
        <f>'Comm Lgt Mkdn_E262 Elect'!B26</f>
        <v>0.24344135802469136</v>
      </c>
      <c r="K37" s="2588">
        <f t="shared" si="4"/>
        <v>1.1234413580246914</v>
      </c>
      <c r="M37" s="2579">
        <v>0</v>
      </c>
      <c r="N37" s="2583">
        <v>0</v>
      </c>
      <c r="O37" s="2588">
        <f t="shared" si="5"/>
        <v>0</v>
      </c>
      <c r="Q37" s="2580">
        <f t="shared" si="2"/>
        <v>0.88</v>
      </c>
      <c r="R37" s="2584">
        <f t="shared" si="2"/>
        <v>0.24344135802469136</v>
      </c>
      <c r="S37" s="2588">
        <f t="shared" si="6"/>
        <v>1.1234413580246914</v>
      </c>
    </row>
    <row r="38" spans="2:19">
      <c r="B38" t="s">
        <v>666</v>
      </c>
      <c r="C38" t="s">
        <v>135</v>
      </c>
      <c r="D38" s="1652" t="e">
        <f>VLOOKUP(G38,#REF!,4,FALSE)</f>
        <v>#REF!</v>
      </c>
      <c r="E38" s="1652" t="e">
        <f>VLOOKUP(G38,#REF!,4,FALSE)</f>
        <v>#REF!</v>
      </c>
      <c r="F38" s="1652">
        <v>4430</v>
      </c>
      <c r="G38" s="1652" t="s">
        <v>619</v>
      </c>
      <c r="H38" t="s">
        <v>1691</v>
      </c>
      <c r="I38" s="2580">
        <f>'Comm Kit-Laund_E262 Elect'!B20</f>
        <v>0.38</v>
      </c>
      <c r="J38" s="2584">
        <f>'Comm Kit-Laund_E262 Elect'!B26</f>
        <v>0.08</v>
      </c>
      <c r="K38" s="2588">
        <f t="shared" si="4"/>
        <v>0.46</v>
      </c>
      <c r="L38" t="s">
        <v>1691</v>
      </c>
      <c r="M38" s="2580">
        <f>'Comm Kit-Laund_G262 Gas'!B20</f>
        <v>0.25</v>
      </c>
      <c r="N38" s="2584">
        <f>'Comm Kit-Laund_G262 Gas'!B26</f>
        <v>0</v>
      </c>
      <c r="O38" s="2588">
        <f t="shared" si="5"/>
        <v>0.25</v>
      </c>
      <c r="Q38" s="2580">
        <f t="shared" si="2"/>
        <v>0.63</v>
      </c>
      <c r="R38" s="2584">
        <f t="shared" si="2"/>
        <v>0.08</v>
      </c>
      <c r="S38" s="2588">
        <f t="shared" si="6"/>
        <v>0.71</v>
      </c>
    </row>
    <row r="39" spans="2:19">
      <c r="B39" t="s">
        <v>667</v>
      </c>
      <c r="C39" t="s">
        <v>135</v>
      </c>
      <c r="D39" s="1652" t="e">
        <f>VLOOKUP(G39,#REF!,4,FALSE)</f>
        <v>#REF!</v>
      </c>
      <c r="E39" s="1652" t="e">
        <f>VLOOKUP(G39,#REF!,4,FALSE)</f>
        <v>#REF!</v>
      </c>
      <c r="F39" s="1652">
        <v>4430</v>
      </c>
      <c r="G39" s="1652" t="s">
        <v>620</v>
      </c>
      <c r="I39" s="2580">
        <f>'Comm DI_E262 Elect'!B20</f>
        <v>0</v>
      </c>
      <c r="J39" s="2584">
        <f>'Comm DI_E262 Elect'!B26</f>
        <v>0</v>
      </c>
      <c r="K39" s="2588">
        <f t="shared" si="4"/>
        <v>0</v>
      </c>
      <c r="M39" s="2580">
        <f>'Comm DI_G262 Gas'!B20</f>
        <v>0</v>
      </c>
      <c r="N39" s="2584">
        <f>'Comm DI_G262 Gas'!B26</f>
        <v>0</v>
      </c>
      <c r="O39" s="2588">
        <f t="shared" si="5"/>
        <v>0</v>
      </c>
      <c r="Q39" s="2580">
        <f t="shared" si="2"/>
        <v>0</v>
      </c>
      <c r="R39" s="2584">
        <f t="shared" si="2"/>
        <v>0</v>
      </c>
      <c r="S39" s="2588">
        <f t="shared" si="6"/>
        <v>0</v>
      </c>
    </row>
    <row r="40" spans="2:19">
      <c r="B40" t="s">
        <v>668</v>
      </c>
      <c r="C40" t="s">
        <v>135</v>
      </c>
      <c r="D40" s="1652" t="e">
        <f>VLOOKUP(G40,#REF!,4,FALSE)</f>
        <v>#REF!</v>
      </c>
      <c r="E40" s="1652" t="e">
        <f>VLOOKUP(G40,#REF!,4,FALSE)</f>
        <v>#REF!</v>
      </c>
      <c r="F40" s="1652">
        <v>4430</v>
      </c>
      <c r="G40" s="1652" t="s">
        <v>621</v>
      </c>
      <c r="H40" t="s">
        <v>1692</v>
      </c>
      <c r="I40" s="2580">
        <f>'Comm HVAC_E262 Elect'!B20</f>
        <v>0.7</v>
      </c>
      <c r="J40" s="2584">
        <f>'Comm HVAC_E262 Elect'!B26</f>
        <v>0.05</v>
      </c>
      <c r="K40" s="2588">
        <f t="shared" si="4"/>
        <v>0.75</v>
      </c>
      <c r="L40" t="s">
        <v>1691</v>
      </c>
      <c r="M40" s="2580">
        <f>'Comm HVAC_G262 Gas'!B20</f>
        <v>0.15000000000000002</v>
      </c>
      <c r="N40" s="2584">
        <f>'Comm HVAC_G262 Gas'!B26</f>
        <v>0</v>
      </c>
      <c r="O40" s="2588">
        <f t="shared" si="5"/>
        <v>0.15000000000000002</v>
      </c>
      <c r="Q40" s="2580">
        <f t="shared" si="2"/>
        <v>0.85</v>
      </c>
      <c r="R40" s="2584">
        <f t="shared" si="2"/>
        <v>0.05</v>
      </c>
      <c r="S40" s="2588">
        <f t="shared" si="6"/>
        <v>0.9</v>
      </c>
    </row>
    <row r="41" spans="2:19">
      <c r="B41" t="s">
        <v>669</v>
      </c>
      <c r="C41" t="s">
        <v>135</v>
      </c>
      <c r="D41" s="1652" t="e">
        <f>VLOOKUP(G41,#REF!,4,FALSE)</f>
        <v>#REF!</v>
      </c>
      <c r="E41" s="1652" t="e">
        <f>VLOOKUP(G41,#REF!,4,FALSE)</f>
        <v>#REF!</v>
      </c>
      <c r="F41" s="1652">
        <v>4440</v>
      </c>
      <c r="G41" s="1652" t="s">
        <v>622</v>
      </c>
      <c r="I41" s="2580">
        <f>'Comm ExpLgt_E262 Elect'!B20</f>
        <v>0</v>
      </c>
      <c r="J41" s="2584">
        <f>'Comm ExpLgt_E262 Elect'!B26</f>
        <v>0</v>
      </c>
      <c r="K41" s="2588">
        <f t="shared" si="4"/>
        <v>0</v>
      </c>
      <c r="M41" s="2579">
        <v>0</v>
      </c>
      <c r="N41" s="2583">
        <v>0</v>
      </c>
      <c r="O41" s="2588">
        <f t="shared" si="5"/>
        <v>0</v>
      </c>
      <c r="Q41" s="2580">
        <f t="shared" si="2"/>
        <v>0</v>
      </c>
      <c r="R41" s="2584">
        <f t="shared" si="2"/>
        <v>0</v>
      </c>
      <c r="S41" s="2588">
        <f t="shared" si="6"/>
        <v>0</v>
      </c>
    </row>
    <row r="42" spans="2:19">
      <c r="B42" t="s">
        <v>1511</v>
      </c>
      <c r="C42" t="s">
        <v>135</v>
      </c>
      <c r="D42" s="1652" t="e">
        <f>VLOOKUP(G42,#REF!,4,FALSE)</f>
        <v>#REF!</v>
      </c>
      <c r="E42" s="1652" t="e">
        <f>VLOOKUP(G42,#REF!,4,FALSE)</f>
        <v>#REF!</v>
      </c>
      <c r="F42" s="1652">
        <v>4430</v>
      </c>
      <c r="G42" s="2595" t="s">
        <v>1396</v>
      </c>
      <c r="I42" s="2580">
        <f>'Sm Agr DI_E262 Elect'!B20</f>
        <v>0.22000000000000003</v>
      </c>
      <c r="J42" s="2584">
        <f>'Sm Agr DI_E262 Elect'!B26</f>
        <v>0</v>
      </c>
      <c r="K42" s="2588">
        <f t="shared" si="4"/>
        <v>0.22000000000000003</v>
      </c>
      <c r="M42" s="2580">
        <f>'Sm Agr DI_G262 Gas'!B20</f>
        <v>0.18000000000000002</v>
      </c>
      <c r="N42" s="2584">
        <f>'Sm Agr DI_G262 Gas'!B26</f>
        <v>0</v>
      </c>
      <c r="O42" s="2588">
        <f t="shared" si="5"/>
        <v>0.18000000000000002</v>
      </c>
      <c r="Q42" s="2580">
        <f t="shared" si="2"/>
        <v>0.4</v>
      </c>
      <c r="R42" s="2584">
        <f t="shared" si="2"/>
        <v>0</v>
      </c>
      <c r="S42" s="2588">
        <f t="shared" si="6"/>
        <v>0.4</v>
      </c>
    </row>
    <row r="43" spans="2:19">
      <c r="B43" t="s">
        <v>1510</v>
      </c>
      <c r="C43" t="s">
        <v>135</v>
      </c>
      <c r="D43" s="1652" t="e">
        <f>VLOOKUP(G43,#REF!,4,FALSE)</f>
        <v>#REF!</v>
      </c>
      <c r="E43" s="1652" t="e">
        <f>VLOOKUP(G43,#REF!,4,FALSE)</f>
        <v>#REF!</v>
      </c>
      <c r="F43" s="1652">
        <v>4430</v>
      </c>
      <c r="G43" s="1652" t="s">
        <v>1397</v>
      </c>
      <c r="I43" s="2580">
        <f>'Lodging DI_E262 Elec'!B20</f>
        <v>0.38</v>
      </c>
      <c r="J43" s="2584">
        <f>'Lodging DI_E262 Elec'!B26</f>
        <v>0.25</v>
      </c>
      <c r="K43" s="2588">
        <f t="shared" si="4"/>
        <v>0.63</v>
      </c>
      <c r="M43" s="2580">
        <f>'Lodging DI_G262_Gas'!B20</f>
        <v>0.1</v>
      </c>
      <c r="N43" s="2584">
        <f>'Lodging DI_G262_Gas'!B26</f>
        <v>0</v>
      </c>
      <c r="O43" s="2588">
        <f t="shared" si="5"/>
        <v>0.1</v>
      </c>
      <c r="Q43" s="2580">
        <f t="shared" si="2"/>
        <v>0.48</v>
      </c>
      <c r="R43" s="2584">
        <f t="shared" si="2"/>
        <v>0.25</v>
      </c>
      <c r="S43" s="2588">
        <f t="shared" si="6"/>
        <v>0.73</v>
      </c>
    </row>
    <row r="44" spans="2:19">
      <c r="B44" t="s">
        <v>670</v>
      </c>
      <c r="C44" t="s">
        <v>135</v>
      </c>
      <c r="D44" s="1652" t="e">
        <f>VLOOKUP(G44,#REF!,4,FALSE)</f>
        <v>#REF!</v>
      </c>
      <c r="E44" s="1652" t="e">
        <f>VLOOKUP(G44,#REF!,4,FALSE)</f>
        <v>#REF!</v>
      </c>
      <c r="F44" s="1652">
        <v>4430</v>
      </c>
      <c r="G44" s="2595" t="s">
        <v>530</v>
      </c>
      <c r="H44" t="s">
        <v>1693</v>
      </c>
      <c r="I44" s="2580">
        <f>'Sm Bus DI_E262 Elect'!B20</f>
        <v>0.88</v>
      </c>
      <c r="J44" s="2584">
        <f>'Sm Bus DI_E262 Elect'!B26</f>
        <v>0.06</v>
      </c>
      <c r="K44" s="2588">
        <f t="shared" si="4"/>
        <v>0.94</v>
      </c>
      <c r="L44" t="s">
        <v>1691</v>
      </c>
      <c r="M44" s="2580">
        <f>'Sm Bus DI_G262 Gas'!B20</f>
        <v>0.21000000000000002</v>
      </c>
      <c r="N44" s="2584">
        <f>'Sm Bus DI_G262 Gas'!B26</f>
        <v>0</v>
      </c>
      <c r="O44" s="2588">
        <f t="shared" si="5"/>
        <v>0.21000000000000002</v>
      </c>
      <c r="Q44" s="2580">
        <f t="shared" si="2"/>
        <v>1.0900000000000001</v>
      </c>
      <c r="R44" s="2584">
        <f t="shared" si="2"/>
        <v>0.06</v>
      </c>
      <c r="S44" s="2588">
        <f t="shared" si="6"/>
        <v>1.1500000000000001</v>
      </c>
    </row>
    <row r="45" spans="2:19">
      <c r="H45" s="1567" t="s">
        <v>1687</v>
      </c>
      <c r="I45" s="2581">
        <f>SUM(I28:I44)</f>
        <v>37.910000000000011</v>
      </c>
      <c r="J45" s="2585">
        <f>SUM(J28:J44)</f>
        <v>1.241778888888889</v>
      </c>
      <c r="K45" s="2589">
        <f>SUM(K28:K44)</f>
        <v>39.151778888888892</v>
      </c>
      <c r="L45" s="2578"/>
      <c r="M45" s="2581">
        <f>SUM(M28:M44)</f>
        <v>6.27</v>
      </c>
      <c r="N45" s="2585">
        <f>SUM(N28:N44)</f>
        <v>0.10617283950617284</v>
      </c>
      <c r="O45" s="2589">
        <f>SUM(O28:O44)</f>
        <v>6.3761728395061734</v>
      </c>
      <c r="P45" s="2578"/>
      <c r="Q45" s="2581">
        <f>SUM(Q28:Q44)</f>
        <v>44.180000000000007</v>
      </c>
      <c r="R45" s="2585">
        <f>SUM(R28:R44)</f>
        <v>1.3479517283950617</v>
      </c>
      <c r="S45" s="2589">
        <f>SUM(S28:S44)</f>
        <v>45.527951728395053</v>
      </c>
    </row>
    <row r="46" spans="2:19">
      <c r="I46" s="2579"/>
      <c r="J46" s="2583"/>
      <c r="K46" s="2587"/>
      <c r="M46" s="2579"/>
      <c r="N46" s="2583"/>
      <c r="O46" s="2587"/>
      <c r="Q46" s="2580"/>
      <c r="R46" s="2583"/>
      <c r="S46" s="2587"/>
    </row>
    <row r="47" spans="2:19">
      <c r="I47" s="2579"/>
      <c r="J47" s="2583"/>
      <c r="K47" s="2587"/>
      <c r="M47" s="2579"/>
      <c r="N47" s="2583"/>
      <c r="O47" s="2587"/>
      <c r="Q47" s="2580"/>
      <c r="R47" s="2583"/>
      <c r="S47" s="2587"/>
    </row>
    <row r="48" spans="2:19">
      <c r="I48" s="2579"/>
      <c r="J48" s="2583"/>
      <c r="K48" s="2587"/>
      <c r="M48" s="2579"/>
      <c r="N48" s="2583"/>
      <c r="O48" s="2587"/>
      <c r="Q48" s="2580"/>
      <c r="R48" s="2583"/>
      <c r="S48" s="2587"/>
    </row>
    <row r="49" spans="2:19">
      <c r="C49" t="s">
        <v>67</v>
      </c>
      <c r="I49" s="2579"/>
      <c r="J49" s="2583"/>
      <c r="K49" s="2587"/>
      <c r="M49" s="2579"/>
      <c r="N49" s="2583"/>
      <c r="O49" s="2587"/>
      <c r="Q49" s="2580"/>
      <c r="R49" s="2583"/>
      <c r="S49" s="2587"/>
    </row>
    <row r="50" spans="2:19">
      <c r="B50" t="s">
        <v>572</v>
      </c>
      <c r="C50" t="s">
        <v>66</v>
      </c>
      <c r="D50" s="1652" t="e">
        <f>VLOOKUP(G50,#REF!,4,FALSE)</f>
        <v>#REF!</v>
      </c>
      <c r="E50" s="1652" t="e">
        <f>VLOOKUP(G50,#REF!,4,FALSE)</f>
        <v>#REF!</v>
      </c>
      <c r="F50" s="1652">
        <v>4430</v>
      </c>
      <c r="G50" s="1652" t="s">
        <v>573</v>
      </c>
      <c r="H50" t="s">
        <v>1691</v>
      </c>
      <c r="I50" s="2580">
        <f>'REM Pilots E249 Elec'!B20</f>
        <v>0.6</v>
      </c>
      <c r="J50" s="2583"/>
      <c r="K50" s="2588">
        <f t="shared" ref="K50:K51" si="7">I50+J50</f>
        <v>0.6</v>
      </c>
      <c r="L50" t="s">
        <v>1691</v>
      </c>
      <c r="M50" s="2580">
        <f>'REM Pilots Detail G249 Gas'!B20</f>
        <v>0.13</v>
      </c>
      <c r="N50" s="2583"/>
      <c r="O50" s="2588">
        <f t="shared" ref="O50:O51" si="8">M50+N50</f>
        <v>0.13</v>
      </c>
      <c r="Q50" s="2580">
        <f t="shared" si="2"/>
        <v>0.73</v>
      </c>
      <c r="R50" s="2583"/>
      <c r="S50" s="2588">
        <f t="shared" ref="S50:S51" si="9">Q50+R50</f>
        <v>0.73</v>
      </c>
    </row>
    <row r="51" spans="2:19">
      <c r="B51" t="s">
        <v>571</v>
      </c>
      <c r="C51" t="s">
        <v>66</v>
      </c>
      <c r="D51" s="1652" t="e">
        <f>VLOOKUP(G51,#REF!,4,FALSE)</f>
        <v>#REF!</v>
      </c>
      <c r="E51" s="1652" t="e">
        <f>VLOOKUP(G51,#REF!,4,FALSE)</f>
        <v>#REF!</v>
      </c>
      <c r="F51" s="1652">
        <v>4440</v>
      </c>
      <c r="G51" s="1652" t="s">
        <v>597</v>
      </c>
      <c r="I51" s="2580">
        <f>'BEM Pilots E249 Elec'!B20</f>
        <v>0</v>
      </c>
      <c r="J51" s="2583"/>
      <c r="K51" s="2588">
        <f t="shared" si="7"/>
        <v>0</v>
      </c>
      <c r="M51" s="2580">
        <f>'BEM Pilots Detail G249 Gas'!B20</f>
        <v>0</v>
      </c>
      <c r="N51" s="2583"/>
      <c r="O51" s="2588">
        <f t="shared" si="8"/>
        <v>0</v>
      </c>
      <c r="Q51" s="2580">
        <f t="shared" si="2"/>
        <v>0</v>
      </c>
      <c r="R51" s="2583"/>
      <c r="S51" s="2588">
        <f t="shared" si="9"/>
        <v>0</v>
      </c>
    </row>
    <row r="52" spans="2:19">
      <c r="H52" s="1567" t="s">
        <v>1687</v>
      </c>
      <c r="I52" s="2581">
        <f>SUM(I50:I51)</f>
        <v>0.6</v>
      </c>
      <c r="J52" s="2585"/>
      <c r="K52" s="2589">
        <f>SUM(K50:K51)</f>
        <v>0.6</v>
      </c>
      <c r="L52" s="2578"/>
      <c r="M52" s="2581">
        <f>SUM(M50:M51)</f>
        <v>0.13</v>
      </c>
      <c r="N52" s="2585"/>
      <c r="O52" s="2589">
        <f>SUM(O50:O51)</f>
        <v>0.13</v>
      </c>
      <c r="P52" s="2578"/>
      <c r="Q52" s="2581">
        <f>SUM(Q50:Q51)</f>
        <v>0.73</v>
      </c>
      <c r="R52" s="2585"/>
      <c r="S52" s="2589">
        <f>SUM(S50:S51)</f>
        <v>0.73</v>
      </c>
    </row>
    <row r="53" spans="2:19">
      <c r="I53" s="2579"/>
      <c r="J53" s="2583"/>
      <c r="K53" s="2587"/>
      <c r="M53" s="2579"/>
      <c r="N53" s="2583"/>
      <c r="O53" s="2587"/>
      <c r="Q53" s="2580"/>
      <c r="R53" s="2583"/>
      <c r="S53" s="2587"/>
    </row>
    <row r="54" spans="2:19">
      <c r="I54" s="2579"/>
      <c r="J54" s="2583"/>
      <c r="K54" s="2587"/>
      <c r="M54" s="2579"/>
      <c r="N54" s="2583"/>
      <c r="O54" s="2587"/>
      <c r="Q54" s="2580"/>
      <c r="R54" s="2583"/>
      <c r="S54" s="2587"/>
    </row>
    <row r="55" spans="2:19">
      <c r="I55" s="2579"/>
      <c r="J55" s="2583"/>
      <c r="K55" s="2587"/>
      <c r="M55" s="2579"/>
      <c r="N55" s="2583"/>
      <c r="O55" s="2587"/>
      <c r="Q55" s="2580"/>
      <c r="R55" s="2583"/>
      <c r="S55" s="2587"/>
    </row>
    <row r="56" spans="2:19">
      <c r="C56" t="s">
        <v>148</v>
      </c>
      <c r="I56" s="2579"/>
      <c r="J56" s="2583"/>
      <c r="K56" s="2587"/>
      <c r="M56" s="2579"/>
      <c r="N56" s="2583"/>
      <c r="O56" s="2587"/>
      <c r="Q56" s="2580"/>
      <c r="R56" s="2583"/>
      <c r="S56" s="2587"/>
    </row>
    <row r="57" spans="2:19">
      <c r="B57" t="s">
        <v>364</v>
      </c>
      <c r="C57" t="s">
        <v>151</v>
      </c>
      <c r="D57" s="1652" t="e">
        <f>VLOOKUP(G57,#REF!,4,FALSE)</f>
        <v>#REF!</v>
      </c>
      <c r="E57" s="1652" t="e">
        <f>VLOOKUP(G57,#REF!,4,FALSE)</f>
        <v>#REF!</v>
      </c>
      <c r="F57" s="1652">
        <v>4420</v>
      </c>
      <c r="G57" s="1652" t="s">
        <v>149</v>
      </c>
      <c r="I57" s="2580">
        <f>'NEEA Detail_E254 elec'!B20</f>
        <v>0</v>
      </c>
      <c r="J57" s="2583"/>
      <c r="K57" s="2588">
        <f t="shared" ref="K57:K58" si="10">I57+J57</f>
        <v>0</v>
      </c>
      <c r="M57" s="2579">
        <v>0</v>
      </c>
      <c r="N57" s="2583"/>
      <c r="O57" s="2588">
        <f t="shared" ref="O57:O58" si="11">M57+N57</f>
        <v>0</v>
      </c>
      <c r="Q57" s="2580">
        <f t="shared" si="2"/>
        <v>0</v>
      </c>
      <c r="R57" s="2583"/>
      <c r="S57" s="2588">
        <f t="shared" ref="S57:S58" si="12">Q57+R57</f>
        <v>0</v>
      </c>
    </row>
    <row r="58" spans="2:19">
      <c r="B58" t="s">
        <v>365</v>
      </c>
      <c r="C58" t="s">
        <v>311</v>
      </c>
      <c r="D58" s="1652" t="e">
        <f>VLOOKUP(G58,#REF!,4,FALSE)</f>
        <v>#REF!</v>
      </c>
      <c r="E58" s="1652" t="e">
        <f>VLOOKUP(G58,#REF!,4,FALSE)</f>
        <v>#REF!</v>
      </c>
      <c r="F58" s="1652">
        <v>4440</v>
      </c>
      <c r="G58" s="1652" t="s">
        <v>150</v>
      </c>
      <c r="I58" s="2582">
        <f>'T&amp;D Detail_Reg E292 elec'!F15</f>
        <v>0</v>
      </c>
      <c r="J58" s="2583"/>
      <c r="K58" s="2588">
        <f t="shared" si="10"/>
        <v>0</v>
      </c>
      <c r="M58" s="2579">
        <v>0</v>
      </c>
      <c r="N58" s="2583"/>
      <c r="O58" s="2588">
        <f t="shared" si="11"/>
        <v>0</v>
      </c>
      <c r="Q58" s="2580">
        <f t="shared" si="2"/>
        <v>0</v>
      </c>
      <c r="R58" s="2583"/>
      <c r="S58" s="2588">
        <f t="shared" si="12"/>
        <v>0</v>
      </c>
    </row>
    <row r="59" spans="2:19">
      <c r="H59" s="1567" t="s">
        <v>1687</v>
      </c>
      <c r="I59" s="2581">
        <f>SUM(I57:I58)</f>
        <v>0</v>
      </c>
      <c r="J59" s="2585"/>
      <c r="K59" s="2589">
        <f>SUM(K57:K58)</f>
        <v>0</v>
      </c>
      <c r="L59" s="2578"/>
      <c r="M59" s="2581">
        <f>SUM(M57:M58)</f>
        <v>0</v>
      </c>
      <c r="N59" s="2585"/>
      <c r="O59" s="2589">
        <f>SUM(O57:O58)</f>
        <v>0</v>
      </c>
      <c r="P59" s="2578"/>
      <c r="Q59" s="2581">
        <f>SUM(Q57:Q58)</f>
        <v>0</v>
      </c>
      <c r="R59" s="2585"/>
      <c r="S59" s="2589">
        <f>SUM(S57:S58)</f>
        <v>0</v>
      </c>
    </row>
    <row r="60" spans="2:19">
      <c r="I60" s="2579"/>
      <c r="J60" s="2583"/>
      <c r="K60" s="2587"/>
      <c r="M60" s="2579"/>
      <c r="N60" s="2583"/>
      <c r="O60" s="2587"/>
      <c r="Q60" s="2580"/>
      <c r="R60" s="2583"/>
      <c r="S60" s="2587"/>
    </row>
    <row r="61" spans="2:19">
      <c r="I61" s="2579"/>
      <c r="J61" s="2583"/>
      <c r="K61" s="2587"/>
      <c r="M61" s="2579"/>
      <c r="N61" s="2583"/>
      <c r="O61" s="2587"/>
      <c r="Q61" s="2580"/>
      <c r="R61" s="2583"/>
      <c r="S61" s="2587"/>
    </row>
    <row r="62" spans="2:19">
      <c r="I62" s="2579"/>
      <c r="J62" s="2583"/>
      <c r="K62" s="2587"/>
      <c r="M62" s="2579"/>
      <c r="N62" s="2583"/>
      <c r="O62" s="2587"/>
      <c r="Q62" s="2580"/>
      <c r="R62" s="2583"/>
      <c r="S62" s="2587"/>
    </row>
    <row r="63" spans="2:19">
      <c r="C63" t="s">
        <v>315</v>
      </c>
      <c r="I63" s="2579"/>
      <c r="J63" s="2583"/>
      <c r="K63" s="2587"/>
      <c r="M63" s="2579"/>
      <c r="N63" s="2583"/>
      <c r="O63" s="2587"/>
      <c r="Q63" s="2580"/>
      <c r="R63" s="2583"/>
      <c r="S63" s="2587"/>
    </row>
    <row r="64" spans="2:19">
      <c r="B64" t="s">
        <v>366</v>
      </c>
      <c r="D64" s="1652" t="e">
        <f>VLOOKUP(G64,#REF!,4,FALSE)</f>
        <v>#REF!</v>
      </c>
      <c r="E64" s="1652" t="e">
        <f>VLOOKUP(G64,#REF!,4,FALSE)</f>
        <v>#REF!</v>
      </c>
      <c r="F64" s="1652">
        <v>4425</v>
      </c>
      <c r="G64" s="2595" t="s">
        <v>193</v>
      </c>
      <c r="I64" s="2580">
        <f>'Engy Adv Detail_PSCE  Elec'!B20</f>
        <v>11.18</v>
      </c>
      <c r="J64" s="2583"/>
      <c r="K64" s="2588">
        <f t="shared" ref="K64:K76" si="13">I64+J64</f>
        <v>11.18</v>
      </c>
      <c r="M64" s="2580">
        <f>'Engy Adv Detail_PSCE_Gas'!B20</f>
        <v>1.82</v>
      </c>
      <c r="N64" s="2583"/>
      <c r="O64" s="2588">
        <f t="shared" ref="O64:O76" si="14">M64+N64</f>
        <v>1.82</v>
      </c>
      <c r="Q64" s="2580">
        <f t="shared" si="2"/>
        <v>13</v>
      </c>
      <c r="R64" s="2583"/>
      <c r="S64" s="2588">
        <f t="shared" ref="S64:S76" si="15">Q64+R64</f>
        <v>13</v>
      </c>
    </row>
    <row r="65" spans="2:19">
      <c r="B65" t="s">
        <v>367</v>
      </c>
      <c r="D65" s="1652" t="e">
        <f>VLOOKUP(G65,#REF!,4,FALSE)</f>
        <v>#REF!</v>
      </c>
      <c r="E65" s="1652" t="e">
        <f>VLOOKUP(G65,#REF!,4,FALSE)</f>
        <v>#REF!</v>
      </c>
      <c r="F65" s="1652">
        <v>4426</v>
      </c>
      <c r="G65" s="1652" t="s">
        <v>194</v>
      </c>
      <c r="I65" s="2580">
        <f>'Events Detail_PSCE Elec'!B22</f>
        <v>4.3900000000000006</v>
      </c>
      <c r="J65" s="2583"/>
      <c r="K65" s="2588">
        <f t="shared" si="13"/>
        <v>4.3900000000000006</v>
      </c>
      <c r="M65" s="2580">
        <f>'Events Detail_PSCE_Gas'!B22</f>
        <v>0.71</v>
      </c>
      <c r="N65" s="2583"/>
      <c r="O65" s="2588">
        <f t="shared" si="14"/>
        <v>0.71</v>
      </c>
      <c r="Q65" s="2580">
        <f t="shared" si="2"/>
        <v>5.1000000000000005</v>
      </c>
      <c r="R65" s="2583"/>
      <c r="S65" s="2588">
        <f t="shared" si="15"/>
        <v>5.1000000000000005</v>
      </c>
    </row>
    <row r="66" spans="2:19">
      <c r="B66" t="s">
        <v>368</v>
      </c>
      <c r="D66" s="1652" t="e">
        <f>VLOOKUP(G66,#REF!,4,FALSE)</f>
        <v>#REF!</v>
      </c>
      <c r="E66" s="1652" t="e">
        <f>VLOOKUP(G66,#REF!,4,FALSE)</f>
        <v>#REF!</v>
      </c>
      <c r="F66" s="1652">
        <v>4426</v>
      </c>
      <c r="G66" s="1652" t="s">
        <v>336</v>
      </c>
      <c r="I66" s="2580">
        <f>'Brochures Detail_PSCE Elec'!B20</f>
        <v>0.22</v>
      </c>
      <c r="J66" s="2583"/>
      <c r="K66" s="2588">
        <f t="shared" si="13"/>
        <v>0.22</v>
      </c>
      <c r="M66" s="2580">
        <f>'Brochure Detail_PSCE_Gas'!B20</f>
        <v>0.03</v>
      </c>
      <c r="N66" s="2583"/>
      <c r="O66" s="2588">
        <f t="shared" si="14"/>
        <v>0.03</v>
      </c>
      <c r="Q66" s="2580">
        <f t="shared" si="2"/>
        <v>0.25</v>
      </c>
      <c r="R66" s="2583"/>
      <c r="S66" s="2588">
        <f t="shared" si="15"/>
        <v>0.25</v>
      </c>
    </row>
    <row r="67" spans="2:19">
      <c r="B67" t="s">
        <v>369</v>
      </c>
      <c r="C67" t="s">
        <v>334</v>
      </c>
      <c r="D67" s="1652" t="e">
        <f>VLOOKUP(G67,#REF!,4,FALSE)</f>
        <v>#REF!</v>
      </c>
      <c r="E67" s="1652" t="e">
        <f>VLOOKUP(G67,#REF!,4,FALSE)</f>
        <v>#REF!</v>
      </c>
      <c r="F67" s="1652">
        <v>4426</v>
      </c>
      <c r="G67" s="1652" t="s">
        <v>195</v>
      </c>
      <c r="I67" s="2580">
        <f>'Educatn Detail_PSCE E202 Elec'!B20</f>
        <v>0</v>
      </c>
      <c r="J67" s="2583"/>
      <c r="K67" s="2588">
        <f t="shared" si="13"/>
        <v>0</v>
      </c>
      <c r="M67" s="2580">
        <f>'Eductn Detail_PSCE_G207 Gas'!B20</f>
        <v>0</v>
      </c>
      <c r="N67" s="2583"/>
      <c r="O67" s="2588">
        <f t="shared" si="14"/>
        <v>0</v>
      </c>
      <c r="Q67" s="2580">
        <f t="shared" si="2"/>
        <v>0</v>
      </c>
      <c r="R67" s="2583"/>
      <c r="S67" s="2588">
        <f t="shared" si="15"/>
        <v>0</v>
      </c>
    </row>
    <row r="68" spans="2:19">
      <c r="B68" t="s">
        <v>370</v>
      </c>
      <c r="D68" s="1652" t="e">
        <f>VLOOKUP(G68,#REF!,4,FALSE)</f>
        <v>#REF!</v>
      </c>
      <c r="E68" s="1652" t="e">
        <f>VLOOKUP(G68,#REF!,4,FALSE)</f>
        <v>#REF!</v>
      </c>
      <c r="F68" s="1652">
        <v>1445</v>
      </c>
      <c r="G68" s="1652" t="s">
        <v>729</v>
      </c>
      <c r="I68" s="2580">
        <f>'CustOnline Detail_PSWE_Elec'!B20</f>
        <v>0</v>
      </c>
      <c r="J68" s="2583"/>
      <c r="K68" s="2588">
        <f t="shared" si="13"/>
        <v>0</v>
      </c>
      <c r="M68" s="2580">
        <f>'CustOnline Detail_PSWE_Gas'!B20</f>
        <v>0</v>
      </c>
      <c r="N68" s="2583"/>
      <c r="O68" s="2588">
        <f t="shared" si="14"/>
        <v>0</v>
      </c>
      <c r="Q68" s="2580">
        <f t="shared" si="2"/>
        <v>0</v>
      </c>
      <c r="R68" s="2583"/>
      <c r="S68" s="2588">
        <f t="shared" si="15"/>
        <v>0</v>
      </c>
    </row>
    <row r="69" spans="2:19">
      <c r="B69" t="s">
        <v>371</v>
      </c>
      <c r="D69" s="1652" t="e">
        <f>VLOOKUP(G69,#REF!,4,FALSE)</f>
        <v>#REF!</v>
      </c>
      <c r="E69" s="1652" t="e">
        <f>VLOOKUP(G69,#REF!,4,FALSE)</f>
        <v>#REF!</v>
      </c>
      <c r="F69" s="1652">
        <v>4427</v>
      </c>
      <c r="G69" s="1652" t="s">
        <v>320</v>
      </c>
      <c r="I69" s="2580">
        <f>'Mkt Intgn Detail_PSWE_Elec'!B20</f>
        <v>3.0799999999999996</v>
      </c>
      <c r="J69" s="2583"/>
      <c r="K69" s="2588">
        <f t="shared" si="13"/>
        <v>3.0799999999999996</v>
      </c>
      <c r="M69" s="2580">
        <f>'Mkt Intg Detail_PSWE_Gas'!B20</f>
        <v>0.56999999999999995</v>
      </c>
      <c r="N69" s="2583"/>
      <c r="O69" s="2588">
        <f t="shared" si="14"/>
        <v>0.56999999999999995</v>
      </c>
      <c r="Q69" s="2580">
        <f t="shared" si="2"/>
        <v>3.6499999999999995</v>
      </c>
      <c r="R69" s="2583"/>
      <c r="S69" s="2588">
        <f t="shared" si="15"/>
        <v>3.6499999999999995</v>
      </c>
    </row>
    <row r="70" spans="2:19">
      <c r="B70" t="s">
        <v>1532</v>
      </c>
      <c r="D70" s="1652" t="e">
        <f>VLOOKUP(G70,#REF!,4,FALSE)</f>
        <v>#REF!</v>
      </c>
      <c r="E70" s="1652" t="e">
        <f>VLOOKUP(G70,#REF!,4,FALSE)</f>
        <v>#REF!</v>
      </c>
      <c r="F70" s="1652">
        <v>4440</v>
      </c>
      <c r="G70" s="1652" t="s">
        <v>1530</v>
      </c>
      <c r="I70" s="2580">
        <f>'ABS Detail_PSWE_Elec'!B20</f>
        <v>0.87</v>
      </c>
      <c r="J70" s="2583"/>
      <c r="K70" s="2588">
        <f t="shared" si="13"/>
        <v>0.87</v>
      </c>
      <c r="M70" s="2580">
        <f>'ABS Detail_PSWE_Gas'!B20</f>
        <v>0.13</v>
      </c>
      <c r="N70" s="2583"/>
      <c r="O70" s="2588">
        <f t="shared" si="14"/>
        <v>0.13</v>
      </c>
      <c r="Q70" s="2580">
        <f t="shared" si="2"/>
        <v>1</v>
      </c>
      <c r="R70" s="2583"/>
      <c r="S70" s="2588">
        <f t="shared" si="15"/>
        <v>1</v>
      </c>
    </row>
    <row r="71" spans="2:19">
      <c r="B71" t="s">
        <v>672</v>
      </c>
      <c r="D71" s="1652" t="e">
        <f>VLOOKUP(G71,#REF!,4,FALSE)</f>
        <v>#REF!</v>
      </c>
      <c r="E71" s="1652" t="e">
        <f>VLOOKUP(G71,#REF!,4,FALSE)</f>
        <v>#REF!</v>
      </c>
      <c r="F71" s="1652">
        <v>4429</v>
      </c>
      <c r="G71" s="1652" t="s">
        <v>1464</v>
      </c>
      <c r="I71" s="2580">
        <f>'Rebt Procg Detail_Elect'!B20</f>
        <v>4.79</v>
      </c>
      <c r="J71" s="2583"/>
      <c r="K71" s="2588">
        <f t="shared" si="13"/>
        <v>4.79</v>
      </c>
      <c r="M71" s="2580">
        <f>'Rebt Procg_Detail Gas'!B20</f>
        <v>0.71</v>
      </c>
      <c r="N71" s="2583"/>
      <c r="O71" s="2588">
        <f t="shared" si="14"/>
        <v>0.71</v>
      </c>
      <c r="Q71" s="2580">
        <f t="shared" si="2"/>
        <v>5.5</v>
      </c>
      <c r="R71" s="2583"/>
      <c r="S71" s="2588">
        <f t="shared" si="15"/>
        <v>5.5</v>
      </c>
    </row>
    <row r="72" spans="2:19">
      <c r="B72" t="s">
        <v>379</v>
      </c>
      <c r="D72" s="1652" t="e">
        <f>VLOOKUP(G72,#REF!,4,FALSE)</f>
        <v>#REF!</v>
      </c>
      <c r="E72" s="1652" t="e">
        <f>VLOOKUP(G72,#REF!,4,FALSE)</f>
        <v>#REF!</v>
      </c>
      <c r="F72" s="1652">
        <v>4445</v>
      </c>
      <c r="G72" s="1652" t="s">
        <v>611</v>
      </c>
      <c r="I72" s="2580">
        <f>'Progs Supp Detail_PS_ Elec'!B20</f>
        <v>5</v>
      </c>
      <c r="J72" s="2583"/>
      <c r="K72" s="2588">
        <f t="shared" si="13"/>
        <v>5</v>
      </c>
      <c r="M72" s="2580">
        <f>'Progs Supp Detail_PS_Gas'!B20</f>
        <v>5</v>
      </c>
      <c r="N72" s="2583"/>
      <c r="O72" s="2588">
        <f t="shared" si="14"/>
        <v>5</v>
      </c>
      <c r="Q72" s="2580">
        <f t="shared" ref="Q72:Q94" si="16">I72+M72</f>
        <v>10</v>
      </c>
      <c r="R72" s="2583"/>
      <c r="S72" s="2588">
        <f t="shared" si="15"/>
        <v>10</v>
      </c>
    </row>
    <row r="73" spans="2:19">
      <c r="B73" t="s">
        <v>673</v>
      </c>
      <c r="D73" s="1652" t="e">
        <f>VLOOKUP(G73,#REF!,4,FALSE)</f>
        <v>#REF!</v>
      </c>
      <c r="E73" s="1652" t="e">
        <f>VLOOKUP(G73,#REF!,4,FALSE)</f>
        <v>#REF!</v>
      </c>
      <c r="F73" s="1652">
        <v>4445</v>
      </c>
      <c r="G73" s="1652" t="s">
        <v>612</v>
      </c>
      <c r="I73" s="2580">
        <f>'Data &amp; Systm Svcs_Elect'!B23</f>
        <v>6.4399999999999995</v>
      </c>
      <c r="J73" s="2583"/>
      <c r="K73" s="2588">
        <f t="shared" si="13"/>
        <v>6.4399999999999995</v>
      </c>
      <c r="M73" s="2580">
        <f>'Data &amp; Systm Svcs Detail Gas'!B23</f>
        <v>0.96</v>
      </c>
      <c r="N73" s="2583"/>
      <c r="O73" s="2588">
        <f t="shared" si="14"/>
        <v>0.96</v>
      </c>
      <c r="Q73" s="2580">
        <f t="shared" si="16"/>
        <v>7.3999999999999995</v>
      </c>
      <c r="R73" s="2583"/>
      <c r="S73" s="2588">
        <f t="shared" si="15"/>
        <v>7.3999999999999995</v>
      </c>
    </row>
    <row r="74" spans="2:19">
      <c r="B74" t="s">
        <v>372</v>
      </c>
      <c r="D74" s="1652" t="e">
        <f>VLOOKUP(G74,#REF!,4,FALSE)</f>
        <v>#REF!</v>
      </c>
      <c r="E74" s="1652" t="e">
        <f>VLOOKUP(G74,#REF!,4,FALSE)</f>
        <v>#REF!</v>
      </c>
      <c r="F74" s="1652">
        <v>4426</v>
      </c>
      <c r="G74" s="1652" t="s">
        <v>23</v>
      </c>
      <c r="I74" s="2580">
        <f>'EEC Detail_PS_Elec'!B21</f>
        <v>4.9499999999999993</v>
      </c>
      <c r="J74" s="2583"/>
      <c r="K74" s="2588">
        <f t="shared" si="13"/>
        <v>4.9499999999999993</v>
      </c>
      <c r="M74" s="2580">
        <f>'EEC Detail_PS_Gas'!B21</f>
        <v>0.76</v>
      </c>
      <c r="N74" s="2583"/>
      <c r="O74" s="2588">
        <f t="shared" si="14"/>
        <v>0.76</v>
      </c>
      <c r="Q74" s="2580">
        <f t="shared" si="16"/>
        <v>5.7099999999999991</v>
      </c>
      <c r="R74" s="2583"/>
      <c r="S74" s="2588">
        <f t="shared" si="15"/>
        <v>5.7099999999999991</v>
      </c>
    </row>
    <row r="75" spans="2:19">
      <c r="B75" t="s">
        <v>373</v>
      </c>
      <c r="D75" s="1652" t="e">
        <f>VLOOKUP(G75,#REF!,4,FALSE)</f>
        <v>#REF!</v>
      </c>
      <c r="E75" s="1652" t="e">
        <f>VLOOKUP(G75,#REF!,4,FALSE)</f>
        <v>#REF!</v>
      </c>
      <c r="F75" s="1652">
        <v>4445</v>
      </c>
      <c r="G75" s="1652" t="s">
        <v>154</v>
      </c>
      <c r="I75" s="2580">
        <f>'TradeAlly Detail_PS_ Elec'!B20</f>
        <v>0</v>
      </c>
      <c r="J75" s="2583"/>
      <c r="K75" s="2588">
        <f t="shared" si="13"/>
        <v>0</v>
      </c>
      <c r="M75" s="2580">
        <f>'TradeAlly Detail_PS_gas'!B20</f>
        <v>0</v>
      </c>
      <c r="N75" s="2583"/>
      <c r="O75" s="2588">
        <f t="shared" si="14"/>
        <v>0</v>
      </c>
      <c r="Q75" s="2580">
        <f t="shared" si="16"/>
        <v>0</v>
      </c>
      <c r="R75" s="2583"/>
      <c r="S75" s="2588">
        <f t="shared" si="15"/>
        <v>0</v>
      </c>
    </row>
    <row r="76" spans="2:19">
      <c r="B76" t="s">
        <v>674</v>
      </c>
      <c r="D76" s="1652" t="e">
        <f>VLOOKUP(G76,#REF!,4,FALSE)</f>
        <v>#REF!</v>
      </c>
      <c r="E76" s="1652" t="e">
        <f>VLOOKUP(G76,#REF!,4,FALSE)</f>
        <v>#REF!</v>
      </c>
      <c r="F76" s="1652">
        <v>4430</v>
      </c>
      <c r="G76" s="1652" t="s">
        <v>623</v>
      </c>
      <c r="H76" t="s">
        <v>1691</v>
      </c>
      <c r="I76" s="2580">
        <f>CAN_Elect!B20</f>
        <v>2.02</v>
      </c>
      <c r="J76" s="2583"/>
      <c r="K76" s="2588">
        <f t="shared" si="13"/>
        <v>2.02</v>
      </c>
      <c r="L76" t="s">
        <v>1691</v>
      </c>
      <c r="M76" s="2580">
        <f>'CAN_PS_Detail Gas'!B20</f>
        <v>2.0300000000000002</v>
      </c>
      <c r="N76" s="2583"/>
      <c r="O76" s="2588">
        <f t="shared" si="14"/>
        <v>2.0300000000000002</v>
      </c>
      <c r="Q76" s="2580">
        <f t="shared" si="16"/>
        <v>4.0500000000000007</v>
      </c>
      <c r="R76" s="2583"/>
      <c r="S76" s="2588">
        <f t="shared" si="15"/>
        <v>4.0500000000000007</v>
      </c>
    </row>
    <row r="77" spans="2:19">
      <c r="H77" s="1567" t="s">
        <v>1687</v>
      </c>
      <c r="I77" s="2581">
        <f>SUM(I64:I76)</f>
        <v>42.940000000000005</v>
      </c>
      <c r="J77" s="2585"/>
      <c r="K77" s="2589">
        <f>SUM(K64:K76)</f>
        <v>42.940000000000005</v>
      </c>
      <c r="L77" s="2578"/>
      <c r="M77" s="2581">
        <f>SUM(M64:M76)</f>
        <v>12.719999999999999</v>
      </c>
      <c r="N77" s="2585"/>
      <c r="O77" s="2589">
        <f>SUM(O64:O76)</f>
        <v>12.719999999999999</v>
      </c>
      <c r="P77" s="2578"/>
      <c r="Q77" s="2581">
        <f>SUM(Q64:Q76)</f>
        <v>55.66</v>
      </c>
      <c r="R77" s="2585"/>
      <c r="S77" s="2589">
        <f>SUM(S64:S76)</f>
        <v>55.66</v>
      </c>
    </row>
    <row r="78" spans="2:19">
      <c r="I78" s="2579"/>
      <c r="J78" s="2583"/>
      <c r="K78" s="2587"/>
      <c r="M78" s="2579"/>
      <c r="N78" s="2583"/>
      <c r="O78" s="2587"/>
      <c r="Q78" s="2580"/>
      <c r="R78" s="2583"/>
      <c r="S78" s="2587"/>
    </row>
    <row r="79" spans="2:19">
      <c r="I79" s="2579"/>
      <c r="J79" s="2583"/>
      <c r="K79" s="2587"/>
      <c r="M79" s="2579"/>
      <c r="N79" s="2583"/>
      <c r="O79" s="2587"/>
      <c r="Q79" s="2580"/>
      <c r="R79" s="2583"/>
      <c r="S79" s="2587"/>
    </row>
    <row r="80" spans="2:19">
      <c r="I80" s="2579"/>
      <c r="J80" s="2583"/>
      <c r="K80" s="2587"/>
      <c r="M80" s="2579"/>
      <c r="N80" s="2583"/>
      <c r="O80" s="2587"/>
      <c r="Q80" s="2580"/>
      <c r="R80" s="2583"/>
      <c r="S80" s="2587"/>
    </row>
    <row r="81" spans="2:19">
      <c r="C81" t="s">
        <v>314</v>
      </c>
      <c r="I81" s="2579"/>
      <c r="J81" s="2583"/>
      <c r="K81" s="2587"/>
      <c r="M81" s="2579"/>
      <c r="N81" s="2583"/>
      <c r="O81" s="2587"/>
      <c r="Q81" s="2580"/>
      <c r="R81" s="2583"/>
      <c r="S81" s="2587"/>
    </row>
    <row r="82" spans="2:19">
      <c r="B82" t="s">
        <v>374</v>
      </c>
      <c r="D82" s="1652" t="e">
        <f>VLOOKUP(G82,#REF!,4,FALSE)</f>
        <v>#REF!</v>
      </c>
      <c r="E82" s="1652" t="e">
        <f>VLOOKUP(G82,#REF!,4,FALSE)</f>
        <v>#REF!</v>
      </c>
      <c r="F82" s="1652">
        <v>4507</v>
      </c>
      <c r="G82" s="1652" t="s">
        <v>24</v>
      </c>
      <c r="I82" s="2580">
        <f>'SuppCrv Detail_R&amp;C_Elec'!B20</f>
        <v>0.87</v>
      </c>
      <c r="J82" s="2583"/>
      <c r="K82" s="2588">
        <f t="shared" ref="K82:K87" si="17">I82+J82</f>
        <v>0.87</v>
      </c>
      <c r="M82" s="2580">
        <f>'Supp Crv Detail_R&amp;C_gas'!B20</f>
        <v>0.13</v>
      </c>
      <c r="N82" s="2583"/>
      <c r="O82" s="2588">
        <f t="shared" ref="O82:O87" si="18">M82+N82</f>
        <v>0.13</v>
      </c>
      <c r="Q82" s="2580">
        <f t="shared" si="16"/>
        <v>1</v>
      </c>
      <c r="R82" s="2583"/>
      <c r="S82" s="2588">
        <f t="shared" ref="S82:S87" si="19">Q82+R82</f>
        <v>1</v>
      </c>
    </row>
    <row r="83" spans="2:19">
      <c r="B83" t="s">
        <v>375</v>
      </c>
      <c r="D83" s="1652" t="e">
        <f>VLOOKUP(G83,#REF!,4,FALSE)</f>
        <v>#REF!</v>
      </c>
      <c r="E83" s="1652" t="e">
        <f>VLOOKUP(G83,#REF!,4,FALSE)</f>
        <v>#REF!</v>
      </c>
      <c r="F83" s="1652">
        <v>4507</v>
      </c>
      <c r="G83" s="1652" t="s">
        <v>29</v>
      </c>
      <c r="I83" s="2580">
        <f>'Strat Plan Detail_R&amp;C_Elec'!B20</f>
        <v>0.7</v>
      </c>
      <c r="J83" s="2583"/>
      <c r="K83" s="2588">
        <f t="shared" si="17"/>
        <v>0.7</v>
      </c>
      <c r="M83" s="2580">
        <f>'Strat Pln Detail_R&amp;C_Gas'!B20</f>
        <v>0.1</v>
      </c>
      <c r="N83" s="2583"/>
      <c r="O83" s="2588">
        <f t="shared" si="18"/>
        <v>0.1</v>
      </c>
      <c r="Q83" s="2580">
        <f t="shared" si="16"/>
        <v>0.79999999999999993</v>
      </c>
      <c r="R83" s="2583"/>
      <c r="S83" s="2588">
        <f t="shared" si="19"/>
        <v>0.79999999999999993</v>
      </c>
    </row>
    <row r="84" spans="2:19">
      <c r="B84" t="s">
        <v>376</v>
      </c>
      <c r="D84" s="1652" t="e">
        <f>VLOOKUP(G84,#REF!,4,FALSE)</f>
        <v>#REF!</v>
      </c>
      <c r="E84" s="1652" t="e">
        <f>VLOOKUP(G84,#REF!,4,FALSE)</f>
        <v>#REF!</v>
      </c>
      <c r="F84" s="1652">
        <v>5380</v>
      </c>
      <c r="G84" s="1652" t="s">
        <v>335</v>
      </c>
      <c r="I84" s="2580">
        <f>'Mktg Resch Detail_PS_ Elec'!B20</f>
        <v>1.96</v>
      </c>
      <c r="J84" s="2583"/>
      <c r="K84" s="2588">
        <f t="shared" si="17"/>
        <v>1.96</v>
      </c>
      <c r="M84" s="2580">
        <f>'Mktg Rsch Detail_PS_gas'!B20</f>
        <v>0.28999999999999998</v>
      </c>
      <c r="N84" s="2583"/>
      <c r="O84" s="2588">
        <f t="shared" si="18"/>
        <v>0.28999999999999998</v>
      </c>
      <c r="Q84" s="2580">
        <f t="shared" si="16"/>
        <v>2.25</v>
      </c>
      <c r="R84" s="2583"/>
      <c r="S84" s="2588">
        <f t="shared" si="19"/>
        <v>2.25</v>
      </c>
    </row>
    <row r="85" spans="2:19">
      <c r="B85" t="s">
        <v>377</v>
      </c>
      <c r="D85" s="1652" t="e">
        <f>VLOOKUP(G85,#REF!,4,FALSE)</f>
        <v>#REF!</v>
      </c>
      <c r="E85" s="1652" t="e">
        <f>VLOOKUP(G85,#REF!,4,FALSE)</f>
        <v>#REF!</v>
      </c>
      <c r="F85" s="1652">
        <v>4420</v>
      </c>
      <c r="G85" s="1652" t="s">
        <v>25</v>
      </c>
      <c r="I85" s="2580">
        <f>'Eval Detail_R&amp;C_Elec'!B20</f>
        <v>1.744</v>
      </c>
      <c r="J85" s="2583"/>
      <c r="K85" s="2588">
        <f t="shared" si="17"/>
        <v>1.744</v>
      </c>
      <c r="M85" s="2580">
        <f>'Eval Detail_R&amp;C_Gas'!B20</f>
        <v>0.26</v>
      </c>
      <c r="N85" s="2583"/>
      <c r="O85" s="2588">
        <f t="shared" si="18"/>
        <v>0.26</v>
      </c>
      <c r="Q85" s="2580">
        <f t="shared" si="16"/>
        <v>2.004</v>
      </c>
      <c r="R85" s="2583"/>
      <c r="S85" s="2588">
        <f t="shared" si="19"/>
        <v>2.004</v>
      </c>
    </row>
    <row r="86" spans="2:19">
      <c r="B86" t="s">
        <v>415</v>
      </c>
      <c r="D86" s="1652" t="e">
        <f>VLOOKUP(G86,#REF!,4,FALSE)</f>
        <v>#REF!</v>
      </c>
      <c r="E86" s="1652" t="e">
        <f>VLOOKUP(G86,#REF!,4,FALSE)</f>
        <v>#REF!</v>
      </c>
      <c r="F86" s="1652">
        <v>4507</v>
      </c>
      <c r="G86" s="1652" t="s">
        <v>416</v>
      </c>
      <c r="I86" s="2580">
        <f>'BECAR Detail_R&amp;C Elec'!B20</f>
        <v>0</v>
      </c>
      <c r="J86" s="2583"/>
      <c r="K86" s="2588">
        <f t="shared" si="17"/>
        <v>0</v>
      </c>
      <c r="M86" s="2579">
        <v>0</v>
      </c>
      <c r="N86" s="2583"/>
      <c r="O86" s="2588">
        <f t="shared" si="18"/>
        <v>0</v>
      </c>
      <c r="Q86" s="2580">
        <f t="shared" si="16"/>
        <v>0</v>
      </c>
      <c r="R86" s="2583"/>
      <c r="S86" s="2588">
        <f t="shared" si="19"/>
        <v>0</v>
      </c>
    </row>
    <row r="87" spans="2:19">
      <c r="B87" t="s">
        <v>378</v>
      </c>
      <c r="D87" s="1652" t="e">
        <f>VLOOKUP(G87,#REF!,4,FALSE)</f>
        <v>#REF!</v>
      </c>
      <c r="E87" s="1652" t="e">
        <f>VLOOKUP(G87,#REF!,4,FALSE)</f>
        <v>#REF!</v>
      </c>
      <c r="F87" s="1652">
        <v>4429</v>
      </c>
      <c r="G87" s="1652" t="s">
        <v>251</v>
      </c>
      <c r="I87" s="2580">
        <f>'Verifctn Team Detail Elec'!B20</f>
        <v>3.92</v>
      </c>
      <c r="J87" s="2583"/>
      <c r="K87" s="2588">
        <f t="shared" si="17"/>
        <v>3.92</v>
      </c>
      <c r="M87" s="2580">
        <f>'Verifctn team Detail Gas'!B20</f>
        <v>0.58000000000000007</v>
      </c>
      <c r="N87" s="2583"/>
      <c r="O87" s="2588">
        <f t="shared" si="18"/>
        <v>0.58000000000000007</v>
      </c>
      <c r="Q87" s="2580">
        <f t="shared" si="16"/>
        <v>4.5</v>
      </c>
      <c r="R87" s="2583"/>
      <c r="S87" s="2588">
        <f t="shared" si="19"/>
        <v>4.5</v>
      </c>
    </row>
    <row r="88" spans="2:19">
      <c r="H88" s="1567" t="s">
        <v>1687</v>
      </c>
      <c r="I88" s="2581">
        <f>SUM(I82:I87)</f>
        <v>9.1939999999999991</v>
      </c>
      <c r="J88" s="2585"/>
      <c r="K88" s="2589">
        <f>SUM(K82:K87)</f>
        <v>9.1939999999999991</v>
      </c>
      <c r="L88" s="2578"/>
      <c r="M88" s="2581">
        <f>SUM(M82:M87)</f>
        <v>1.36</v>
      </c>
      <c r="N88" s="2585"/>
      <c r="O88" s="2589">
        <f>SUM(O82:O87)</f>
        <v>1.36</v>
      </c>
      <c r="P88" s="2578"/>
      <c r="Q88" s="2581">
        <f>SUM(Q82:Q87)</f>
        <v>10.554</v>
      </c>
      <c r="R88" s="2585"/>
      <c r="S88" s="2589">
        <f>SUM(S82:S87)</f>
        <v>10.554</v>
      </c>
    </row>
    <row r="89" spans="2:19">
      <c r="I89" s="2579"/>
      <c r="J89" s="2583"/>
      <c r="K89" s="2587"/>
      <c r="M89" s="2579"/>
      <c r="N89" s="2583"/>
      <c r="O89" s="2587"/>
      <c r="Q89" s="2580"/>
      <c r="R89" s="2583"/>
      <c r="S89" s="2587"/>
    </row>
    <row r="90" spans="2:19">
      <c r="I90" s="2579"/>
      <c r="J90" s="2583"/>
      <c r="K90" s="2587"/>
      <c r="M90" s="2579"/>
      <c r="N90" s="2583"/>
      <c r="O90" s="2587"/>
      <c r="Q90" s="2580"/>
      <c r="R90" s="2583"/>
      <c r="S90" s="2587"/>
    </row>
    <row r="91" spans="2:19">
      <c r="I91" s="2579"/>
      <c r="J91" s="2583"/>
      <c r="K91" s="2587"/>
      <c r="M91" s="2579"/>
      <c r="N91" s="2583"/>
      <c r="O91" s="2587"/>
      <c r="Q91" s="2580"/>
      <c r="R91" s="2583"/>
      <c r="S91" s="2587"/>
    </row>
    <row r="92" spans="2:19">
      <c r="C92" t="s">
        <v>158</v>
      </c>
      <c r="I92" s="2579"/>
      <c r="J92" s="2583"/>
      <c r="K92" s="2587"/>
      <c r="M92" s="2579"/>
      <c r="N92" s="2583"/>
      <c r="O92" s="2587"/>
      <c r="Q92" s="2580"/>
      <c r="R92" s="2583"/>
      <c r="S92" s="2587"/>
    </row>
    <row r="93" spans="2:19">
      <c r="B93" t="s">
        <v>380</v>
      </c>
      <c r="C93" t="s">
        <v>199</v>
      </c>
      <c r="D93" s="1652" t="e">
        <f>VLOOKUP(G93,#REF!,4,FALSE)</f>
        <v>#REF!</v>
      </c>
      <c r="E93" s="1652" t="e">
        <f>VLOOKUP(G93,#REF!,4,FALSE)</f>
        <v>#REF!</v>
      </c>
      <c r="F93" s="1652">
        <v>3545</v>
      </c>
      <c r="G93" s="1652" t="s">
        <v>2</v>
      </c>
      <c r="I93" s="2580">
        <f>'Net Mtr Details_Oth Elec E150'!B20</f>
        <v>2.5</v>
      </c>
      <c r="J93" s="2583"/>
      <c r="K93" s="2588">
        <f t="shared" ref="K93:K94" si="20">I93+J93</f>
        <v>2.5</v>
      </c>
      <c r="M93" s="2579">
        <v>0</v>
      </c>
      <c r="N93" s="2583"/>
      <c r="O93" s="2588">
        <f t="shared" ref="O93:O94" si="21">M93+N93</f>
        <v>0</v>
      </c>
      <c r="Q93" s="2580">
        <f t="shared" si="16"/>
        <v>2.5</v>
      </c>
      <c r="R93" s="2583"/>
      <c r="S93" s="2588">
        <f t="shared" ref="S93:S94" si="22">Q93+R93</f>
        <v>2.5</v>
      </c>
    </row>
    <row r="94" spans="2:19">
      <c r="B94" t="s">
        <v>675</v>
      </c>
      <c r="C94" t="s">
        <v>200</v>
      </c>
      <c r="D94" s="1652" t="e">
        <f>VLOOKUP(G94,#REF!,4,FALSE)</f>
        <v>#REF!</v>
      </c>
      <c r="E94" s="1652" t="e">
        <f>VLOOKUP(G94,#REF!,4,FALSE)</f>
        <v>#REF!</v>
      </c>
      <c r="F94" s="1652">
        <v>3545</v>
      </c>
      <c r="G94" s="1652" t="s">
        <v>615</v>
      </c>
      <c r="I94" s="2580">
        <f>'ElecVehcl Chg Inctv_E195 Elect'!B20</f>
        <v>1.75</v>
      </c>
      <c r="J94" s="2583"/>
      <c r="K94" s="2588">
        <f t="shared" si="20"/>
        <v>1.75</v>
      </c>
      <c r="M94" s="2579">
        <v>0</v>
      </c>
      <c r="N94" s="2583"/>
      <c r="O94" s="2588">
        <f t="shared" si="21"/>
        <v>0</v>
      </c>
      <c r="Q94" s="2580">
        <f t="shared" si="16"/>
        <v>1.75</v>
      </c>
      <c r="R94" s="2583"/>
      <c r="S94" s="2588">
        <f t="shared" si="22"/>
        <v>1.75</v>
      </c>
    </row>
    <row r="95" spans="2:19">
      <c r="H95" s="1567" t="s">
        <v>1687</v>
      </c>
      <c r="I95" s="2581">
        <f>SUM(I93:I94)</f>
        <v>4.25</v>
      </c>
      <c r="J95" s="2585"/>
      <c r="K95" s="2589">
        <f>SUM(K93:K94)</f>
        <v>4.25</v>
      </c>
      <c r="L95" s="2578"/>
      <c r="M95" s="2581">
        <f>SUM(M93:M94)</f>
        <v>0</v>
      </c>
      <c r="N95" s="2585"/>
      <c r="O95" s="2589">
        <f>SUM(O93:O94)</f>
        <v>0</v>
      </c>
      <c r="P95" s="2578"/>
      <c r="Q95" s="2581">
        <f>SUM(Q93:Q94)</f>
        <v>4.25</v>
      </c>
      <c r="R95" s="2585"/>
      <c r="S95" s="2589">
        <f>SUM(S93:S94)</f>
        <v>4.25</v>
      </c>
    </row>
    <row r="96" spans="2:19">
      <c r="I96" s="2579"/>
      <c r="J96" s="2583"/>
      <c r="K96" s="2587"/>
      <c r="M96" s="2579"/>
      <c r="N96" s="2583"/>
      <c r="O96" s="2587"/>
      <c r="Q96" s="2579"/>
      <c r="R96" s="2583"/>
      <c r="S96" s="2587"/>
    </row>
    <row r="97" spans="6:20" s="1567" customFormat="1">
      <c r="G97" s="2590"/>
      <c r="H97" s="2591" t="s">
        <v>1688</v>
      </c>
      <c r="I97" s="2592">
        <f>I23+I45+I52+I59+I77+I88+I95</f>
        <v>107.17900000000002</v>
      </c>
      <c r="J97" s="2592">
        <f t="shared" ref="J97:S97" si="23">J23+J45+J52+J59+J77+J88+J95</f>
        <v>5.1346620987654319</v>
      </c>
      <c r="K97" s="2592">
        <f t="shared" si="23"/>
        <v>112.31366209876545</v>
      </c>
      <c r="L97" s="2593"/>
      <c r="M97" s="2592">
        <f t="shared" si="23"/>
        <v>22.729999999999997</v>
      </c>
      <c r="N97" s="2592">
        <f t="shared" si="23"/>
        <v>0.8304893518518518</v>
      </c>
      <c r="O97" s="2592">
        <f t="shared" si="23"/>
        <v>23.560489351851849</v>
      </c>
      <c r="P97" s="2593"/>
      <c r="Q97" s="2592">
        <f>Q23+Q45+Q52+Q59+Q77+Q88+Q95</f>
        <v>129.90899999999999</v>
      </c>
      <c r="R97" s="2592">
        <f t="shared" si="23"/>
        <v>5.9651514506172836</v>
      </c>
      <c r="S97" s="2594">
        <f t="shared" si="23"/>
        <v>135.87415145061726</v>
      </c>
    </row>
    <row r="99" spans="6:20">
      <c r="G99" s="1652" t="s">
        <v>1710</v>
      </c>
      <c r="S99" t="s">
        <v>1697</v>
      </c>
      <c r="T99" t="s">
        <v>1698</v>
      </c>
    </row>
    <row r="100" spans="6:20">
      <c r="F100" s="2596">
        <f>SUMIF($F$7:$F$96, 4430, $Q$7:$Q$96)</f>
        <v>23.645000000000003</v>
      </c>
      <c r="G100" s="1652" t="s">
        <v>1700</v>
      </c>
      <c r="R100" s="23" t="s">
        <v>1694</v>
      </c>
      <c r="S100" s="1663">
        <v>-2</v>
      </c>
      <c r="T100" s="2204">
        <f>$S$97+S100</f>
        <v>133.87415145061726</v>
      </c>
    </row>
    <row r="101" spans="6:20">
      <c r="F101" s="2596">
        <f>SUMIF($F$7:$F$96, 4440, $Q$7:$Q$96)</f>
        <v>40.85</v>
      </c>
      <c r="G101" s="1652" t="s">
        <v>1701</v>
      </c>
      <c r="R101" s="23" t="s">
        <v>1695</v>
      </c>
      <c r="S101" s="1663">
        <v>1.25</v>
      </c>
      <c r="T101" s="2204">
        <f>T100+S101</f>
        <v>135.12415145061726</v>
      </c>
    </row>
    <row r="102" spans="6:20">
      <c r="F102" s="2596">
        <f>SUMIF($F$7:$F$96, 4429, $Q$7:$Q$96)</f>
        <v>10</v>
      </c>
      <c r="G102" s="1311" t="s">
        <v>1702</v>
      </c>
      <c r="R102" s="23" t="s">
        <v>1696</v>
      </c>
      <c r="S102" s="1663">
        <v>1</v>
      </c>
      <c r="T102" s="2204">
        <f>T101+S102</f>
        <v>136.12415145061726</v>
      </c>
    </row>
    <row r="103" spans="6:20">
      <c r="F103" s="2596">
        <f>SUMIF($F$7:$F$96, 4420, $Q$7:$Q$96)</f>
        <v>2.004</v>
      </c>
      <c r="G103" s="1311" t="s">
        <v>1718</v>
      </c>
    </row>
    <row r="104" spans="6:20">
      <c r="F104" s="2596">
        <f>SUMIF($F$7:$F$96, 4445, $Q$7:$Q$96)</f>
        <v>17.399999999999999</v>
      </c>
      <c r="G104" s="1311" t="s">
        <v>1703</v>
      </c>
    </row>
    <row r="105" spans="6:20" s="1652" customFormat="1">
      <c r="F105" s="2596">
        <f>SUMIF($F$7:$F$96, 3545, $Q$7:$Q$96)</f>
        <v>4.25</v>
      </c>
      <c r="G105" s="1311" t="s">
        <v>1708</v>
      </c>
    </row>
    <row r="106" spans="6:20" s="1652" customFormat="1">
      <c r="F106" s="2596"/>
      <c r="G106" s="1311"/>
    </row>
    <row r="107" spans="6:20">
      <c r="F107" s="2596"/>
    </row>
    <row r="108" spans="6:20">
      <c r="F108" s="2597">
        <f>SUM(F100:F107)</f>
        <v>98.149000000000001</v>
      </c>
      <c r="G108" s="1567" t="s">
        <v>1712</v>
      </c>
    </row>
    <row r="109" spans="6:20">
      <c r="F109" s="2596"/>
    </row>
    <row r="110" spans="6:20">
      <c r="F110" s="2596"/>
      <c r="G110" s="1567" t="s">
        <v>1709</v>
      </c>
    </row>
    <row r="111" spans="6:20">
      <c r="F111" s="2596">
        <f>SUMIF($F$7:$F$96, 4507, $Q$7:$Q$96)</f>
        <v>1.7999999999999998</v>
      </c>
      <c r="G111" s="1652" t="s">
        <v>1704</v>
      </c>
    </row>
    <row r="112" spans="6:20" s="1652" customFormat="1">
      <c r="F112" s="2596">
        <f>SUMIF($F$7:$F$96, 4426, $Q$7:$Q$96)</f>
        <v>11.059999999999999</v>
      </c>
      <c r="G112" s="1310" t="s">
        <v>1719</v>
      </c>
    </row>
    <row r="113" spans="6:8">
      <c r="F113" s="2596">
        <f>SUMIF($F$7:$F$96, 5380, $Q$7:$Q$96)</f>
        <v>2.25</v>
      </c>
      <c r="G113" s="1652" t="s">
        <v>1705</v>
      </c>
    </row>
    <row r="114" spans="6:8">
      <c r="F114" s="2596">
        <f>SUMIF($F$7:$F$96, 4427, $Q$7:$Q$96)</f>
        <v>3.6499999999999995</v>
      </c>
      <c r="G114" s="1652" t="s">
        <v>1706</v>
      </c>
    </row>
    <row r="115" spans="6:8">
      <c r="F115" s="2596">
        <f>SUMIF($F$7:$F$96, 1445, $Q$7:$Q$96)</f>
        <v>0</v>
      </c>
      <c r="G115" s="1652" t="s">
        <v>1707</v>
      </c>
      <c r="H115" t="s">
        <v>1713</v>
      </c>
    </row>
    <row r="116" spans="6:8">
      <c r="F116" s="2596">
        <f>SUMIF($F$7:$F$96, 4425, $Q$7:$Q$96)</f>
        <v>13</v>
      </c>
      <c r="G116" s="1652" t="s">
        <v>1711</v>
      </c>
    </row>
    <row r="118" spans="6:8">
      <c r="F118" s="2597">
        <f>SUM(F111:F117)</f>
        <v>31.759999999999998</v>
      </c>
      <c r="G118" s="1567" t="s">
        <v>1714</v>
      </c>
    </row>
    <row r="120" spans="6:8">
      <c r="F120" s="2598">
        <f>F108+F118</f>
        <v>129.90899999999999</v>
      </c>
      <c r="G120" s="2599" t="s">
        <v>1716</v>
      </c>
    </row>
    <row r="121" spans="6:8">
      <c r="F121" s="2600">
        <f>R97</f>
        <v>5.9651514506172836</v>
      </c>
      <c r="G121" s="2601" t="s">
        <v>1715</v>
      </c>
    </row>
    <row r="122" spans="6:8">
      <c r="F122" s="2602">
        <f>SUM(F120:F121)</f>
        <v>135.87415145061726</v>
      </c>
      <c r="G122" s="2603" t="s">
        <v>1717</v>
      </c>
    </row>
  </sheetData>
  <customSheetViews>
    <customSheetView guid="{D9EFFE19-D14B-4C6F-BDF4-FF696F73968D}" fitToPage="1" topLeftCell="C1">
      <pane xSplit="6" ySplit="4" topLeftCell="I11" activePane="bottomRight" state="frozen"/>
      <selection pane="bottomRight" activeCell="G28" sqref="G28"/>
      <pageMargins left="0.7" right="0.7" top="0.25" bottom="0.25" header="0.3" footer="0.3"/>
      <pageSetup paperSize="17" scale="49" orientation="landscape" r:id="rId1"/>
    </customSheetView>
    <customSheetView guid="{074EB09C-6289-46D7-9513-012B68BCA7BF}" fitToPage="1" topLeftCell="C1">
      <pane xSplit="6" ySplit="4" topLeftCell="I11" activePane="bottomRight" state="frozen"/>
      <selection pane="bottomRight" activeCell="G28" sqref="G28"/>
      <pageMargins left="0.7" right="0.7" top="0.25" bottom="0.25" header="0.3" footer="0.3"/>
      <pageSetup paperSize="17" scale="49" orientation="landscape" r:id="rId2"/>
    </customSheetView>
  </customSheetViews>
  <pageMargins left="0.7" right="0.7" top="0.25" bottom="0.25" header="0.3" footer="0.3"/>
  <pageSetup paperSize="17" scale="49" orientation="landscape"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59999389629810485"/>
  </sheetPr>
  <dimension ref="A1:Z72"/>
  <sheetViews>
    <sheetView showGridLines="0" workbookViewId="0">
      <pane xSplit="1" ySplit="1" topLeftCell="B14" activePane="bottomRight" state="frozen"/>
      <selection pane="topRight" activeCell="B1" sqref="B1"/>
      <selection pane="bottomLeft" activeCell="A2" sqref="A2"/>
      <selection pane="bottomRight"/>
    </sheetView>
  </sheetViews>
  <sheetFormatPr defaultRowHeight="12.75"/>
  <cols>
    <col min="1" max="1" width="15.28515625" style="849" customWidth="1"/>
    <col min="2" max="2" width="15.28515625" style="1413" customWidth="1"/>
    <col min="3" max="3" width="31.28515625" customWidth="1"/>
    <col min="4" max="4" width="20.85546875" customWidth="1"/>
    <col min="5" max="5" width="15.85546875" style="9" customWidth="1"/>
    <col min="6" max="6" width="15.85546875" customWidth="1"/>
    <col min="7" max="7" width="15.85546875" bestFit="1" customWidth="1"/>
    <col min="8" max="8" width="32.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1.5703125" bestFit="1" customWidth="1"/>
    <col min="19" max="19" width="23.28515625" bestFit="1" customWidth="1"/>
    <col min="20" max="20" width="15.5703125" bestFit="1" customWidth="1"/>
    <col min="21" max="21" width="20.5703125" bestFit="1" customWidth="1"/>
    <col min="22" max="22" width="20.5703125" customWidth="1"/>
    <col min="23" max="24" width="15.85546875" customWidth="1"/>
    <col min="25" max="25" width="16.28515625" customWidth="1"/>
    <col min="26" max="26" width="12.5703125" style="1907" bestFit="1" customWidth="1"/>
    <col min="249" max="249" width="24" bestFit="1" customWidth="1"/>
    <col min="250" max="250" width="45.7109375" bestFit="1" customWidth="1"/>
    <col min="251" max="251" width="19.28515625" customWidth="1"/>
    <col min="252" max="252" width="15.28515625" bestFit="1" customWidth="1"/>
    <col min="253" max="253" width="15.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1.5703125" bestFit="1" customWidth="1"/>
    <col min="265" max="265" width="23.28515625" bestFit="1" customWidth="1"/>
    <col min="266" max="266" width="15.5703125" bestFit="1" customWidth="1"/>
    <col min="267"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28515625" customWidth="1"/>
    <col min="508" max="508" width="15.28515625" bestFit="1" customWidth="1"/>
    <col min="509" max="509" width="15.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1.5703125" bestFit="1" customWidth="1"/>
    <col min="521" max="521" width="23.28515625" bestFit="1" customWidth="1"/>
    <col min="522" max="522" width="15.5703125" bestFit="1" customWidth="1"/>
    <col min="523"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28515625" customWidth="1"/>
    <col min="764" max="764" width="15.28515625" bestFit="1" customWidth="1"/>
    <col min="765" max="765" width="15.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1.5703125" bestFit="1" customWidth="1"/>
    <col min="777" max="777" width="23.28515625" bestFit="1" customWidth="1"/>
    <col min="778" max="778" width="15.5703125" bestFit="1" customWidth="1"/>
    <col min="779"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28515625" customWidth="1"/>
    <col min="1020" max="1020" width="15.28515625" bestFit="1" customWidth="1"/>
    <col min="1021" max="1021" width="15.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1.5703125" bestFit="1" customWidth="1"/>
    <col min="1033" max="1033" width="23.28515625" bestFit="1" customWidth="1"/>
    <col min="1034" max="1034" width="15.5703125" bestFit="1" customWidth="1"/>
    <col min="1035"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28515625" customWidth="1"/>
    <col min="1276" max="1276" width="15.28515625" bestFit="1" customWidth="1"/>
    <col min="1277" max="1277" width="15.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1.5703125" bestFit="1" customWidth="1"/>
    <col min="1289" max="1289" width="23.28515625" bestFit="1" customWidth="1"/>
    <col min="1290" max="1290" width="15.5703125" bestFit="1" customWidth="1"/>
    <col min="1291"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28515625" customWidth="1"/>
    <col min="1532" max="1532" width="15.28515625" bestFit="1" customWidth="1"/>
    <col min="1533" max="1533" width="15.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1.5703125" bestFit="1" customWidth="1"/>
    <col min="1545" max="1545" width="23.28515625" bestFit="1" customWidth="1"/>
    <col min="1546" max="1546" width="15.5703125" bestFit="1" customWidth="1"/>
    <col min="1547"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28515625" customWidth="1"/>
    <col min="1788" max="1788" width="15.28515625" bestFit="1" customWidth="1"/>
    <col min="1789" max="1789" width="15.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1.5703125" bestFit="1" customWidth="1"/>
    <col min="1801" max="1801" width="23.28515625" bestFit="1" customWidth="1"/>
    <col min="1802" max="1802" width="15.5703125" bestFit="1" customWidth="1"/>
    <col min="1803"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28515625" customWidth="1"/>
    <col min="2044" max="2044" width="15.28515625" bestFit="1" customWidth="1"/>
    <col min="2045" max="2045" width="15.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1.5703125" bestFit="1" customWidth="1"/>
    <col min="2057" max="2057" width="23.28515625" bestFit="1" customWidth="1"/>
    <col min="2058" max="2058" width="15.5703125" bestFit="1" customWidth="1"/>
    <col min="2059"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28515625" customWidth="1"/>
    <col min="2300" max="2300" width="15.28515625" bestFit="1" customWidth="1"/>
    <col min="2301" max="2301" width="15.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1.5703125" bestFit="1" customWidth="1"/>
    <col min="2313" max="2313" width="23.28515625" bestFit="1" customWidth="1"/>
    <col min="2314" max="2314" width="15.5703125" bestFit="1" customWidth="1"/>
    <col min="2315"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28515625" customWidth="1"/>
    <col min="2556" max="2556" width="15.28515625" bestFit="1" customWidth="1"/>
    <col min="2557" max="2557" width="15.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1.5703125" bestFit="1" customWidth="1"/>
    <col min="2569" max="2569" width="23.28515625" bestFit="1" customWidth="1"/>
    <col min="2570" max="2570" width="15.5703125" bestFit="1" customWidth="1"/>
    <col min="2571"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28515625" customWidth="1"/>
    <col min="2812" max="2812" width="15.28515625" bestFit="1" customWidth="1"/>
    <col min="2813" max="2813" width="15.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1.5703125" bestFit="1" customWidth="1"/>
    <col min="2825" max="2825" width="23.28515625" bestFit="1" customWidth="1"/>
    <col min="2826" max="2826" width="15.5703125" bestFit="1" customWidth="1"/>
    <col min="2827"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28515625" customWidth="1"/>
    <col min="3068" max="3068" width="15.28515625" bestFit="1" customWidth="1"/>
    <col min="3069" max="3069" width="15.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1.5703125" bestFit="1" customWidth="1"/>
    <col min="3081" max="3081" width="23.28515625" bestFit="1" customWidth="1"/>
    <col min="3082" max="3082" width="15.5703125" bestFit="1" customWidth="1"/>
    <col min="3083"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28515625" customWidth="1"/>
    <col min="3324" max="3324" width="15.28515625" bestFit="1" customWidth="1"/>
    <col min="3325" max="3325" width="15.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1.5703125" bestFit="1" customWidth="1"/>
    <col min="3337" max="3337" width="23.28515625" bestFit="1" customWidth="1"/>
    <col min="3338" max="3338" width="15.5703125" bestFit="1" customWidth="1"/>
    <col min="3339"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28515625" customWidth="1"/>
    <col min="3580" max="3580" width="15.28515625" bestFit="1" customWidth="1"/>
    <col min="3581" max="3581" width="15.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1.5703125" bestFit="1" customWidth="1"/>
    <col min="3593" max="3593" width="23.28515625" bestFit="1" customWidth="1"/>
    <col min="3594" max="3594" width="15.5703125" bestFit="1" customWidth="1"/>
    <col min="3595"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28515625" customWidth="1"/>
    <col min="3836" max="3836" width="15.28515625" bestFit="1" customWidth="1"/>
    <col min="3837" max="3837" width="15.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1.5703125" bestFit="1" customWidth="1"/>
    <col min="3849" max="3849" width="23.28515625" bestFit="1" customWidth="1"/>
    <col min="3850" max="3850" width="15.5703125" bestFit="1" customWidth="1"/>
    <col min="3851"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28515625" customWidth="1"/>
    <col min="4092" max="4092" width="15.28515625" bestFit="1" customWidth="1"/>
    <col min="4093" max="4093" width="15.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1.5703125" bestFit="1" customWidth="1"/>
    <col min="4105" max="4105" width="23.28515625" bestFit="1" customWidth="1"/>
    <col min="4106" max="4106" width="15.5703125" bestFit="1" customWidth="1"/>
    <col min="4107"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28515625" customWidth="1"/>
    <col min="4348" max="4348" width="15.28515625" bestFit="1" customWidth="1"/>
    <col min="4349" max="4349" width="15.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1.5703125" bestFit="1" customWidth="1"/>
    <col min="4361" max="4361" width="23.28515625" bestFit="1" customWidth="1"/>
    <col min="4362" max="4362" width="15.5703125" bestFit="1" customWidth="1"/>
    <col min="4363"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28515625" customWidth="1"/>
    <col min="4604" max="4604" width="15.28515625" bestFit="1" customWidth="1"/>
    <col min="4605" max="4605" width="15.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1.5703125" bestFit="1" customWidth="1"/>
    <col min="4617" max="4617" width="23.28515625" bestFit="1" customWidth="1"/>
    <col min="4618" max="4618" width="15.5703125" bestFit="1" customWidth="1"/>
    <col min="4619"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28515625" customWidth="1"/>
    <col min="4860" max="4860" width="15.28515625" bestFit="1" customWidth="1"/>
    <col min="4861" max="4861" width="15.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1.5703125" bestFit="1" customWidth="1"/>
    <col min="4873" max="4873" width="23.28515625" bestFit="1" customWidth="1"/>
    <col min="4874" max="4874" width="15.5703125" bestFit="1" customWidth="1"/>
    <col min="4875"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28515625" customWidth="1"/>
    <col min="5116" max="5116" width="15.28515625" bestFit="1" customWidth="1"/>
    <col min="5117" max="5117" width="15.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1.5703125" bestFit="1" customWidth="1"/>
    <col min="5129" max="5129" width="23.28515625" bestFit="1" customWidth="1"/>
    <col min="5130" max="5130" width="15.5703125" bestFit="1" customWidth="1"/>
    <col min="5131"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28515625" customWidth="1"/>
    <col min="5372" max="5372" width="15.28515625" bestFit="1" customWidth="1"/>
    <col min="5373" max="5373" width="15.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1.5703125" bestFit="1" customWidth="1"/>
    <col min="5385" max="5385" width="23.28515625" bestFit="1" customWidth="1"/>
    <col min="5386" max="5386" width="15.5703125" bestFit="1" customWidth="1"/>
    <col min="5387"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28515625" customWidth="1"/>
    <col min="5628" max="5628" width="15.28515625" bestFit="1" customWidth="1"/>
    <col min="5629" max="5629" width="15.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1.5703125" bestFit="1" customWidth="1"/>
    <col min="5641" max="5641" width="23.28515625" bestFit="1" customWidth="1"/>
    <col min="5642" max="5642" width="15.5703125" bestFit="1" customWidth="1"/>
    <col min="5643"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28515625" customWidth="1"/>
    <col min="5884" max="5884" width="15.28515625" bestFit="1" customWidth="1"/>
    <col min="5885" max="5885" width="15.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1.5703125" bestFit="1" customWidth="1"/>
    <col min="5897" max="5897" width="23.28515625" bestFit="1" customWidth="1"/>
    <col min="5898" max="5898" width="15.5703125" bestFit="1" customWidth="1"/>
    <col min="5899"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28515625" customWidth="1"/>
    <col min="6140" max="6140" width="15.28515625" bestFit="1" customWidth="1"/>
    <col min="6141" max="6141" width="15.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1.5703125" bestFit="1" customWidth="1"/>
    <col min="6153" max="6153" width="23.28515625" bestFit="1" customWidth="1"/>
    <col min="6154" max="6154" width="15.5703125" bestFit="1" customWidth="1"/>
    <col min="6155"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28515625" customWidth="1"/>
    <col min="6396" max="6396" width="15.28515625" bestFit="1" customWidth="1"/>
    <col min="6397" max="6397" width="15.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1.5703125" bestFit="1" customWidth="1"/>
    <col min="6409" max="6409" width="23.28515625" bestFit="1" customWidth="1"/>
    <col min="6410" max="6410" width="15.5703125" bestFit="1" customWidth="1"/>
    <col min="6411"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28515625" customWidth="1"/>
    <col min="6652" max="6652" width="15.28515625" bestFit="1" customWidth="1"/>
    <col min="6653" max="6653" width="15.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1.5703125" bestFit="1" customWidth="1"/>
    <col min="6665" max="6665" width="23.28515625" bestFit="1" customWidth="1"/>
    <col min="6666" max="6666" width="15.5703125" bestFit="1" customWidth="1"/>
    <col min="6667"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28515625" customWidth="1"/>
    <col min="6908" max="6908" width="15.28515625" bestFit="1" customWidth="1"/>
    <col min="6909" max="6909" width="15.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1.5703125" bestFit="1" customWidth="1"/>
    <col min="6921" max="6921" width="23.28515625" bestFit="1" customWidth="1"/>
    <col min="6922" max="6922" width="15.5703125" bestFit="1" customWidth="1"/>
    <col min="6923"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28515625" customWidth="1"/>
    <col min="7164" max="7164" width="15.28515625" bestFit="1" customWidth="1"/>
    <col min="7165" max="7165" width="15.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1.5703125" bestFit="1" customWidth="1"/>
    <col min="7177" max="7177" width="23.28515625" bestFit="1" customWidth="1"/>
    <col min="7178" max="7178" width="15.5703125" bestFit="1" customWidth="1"/>
    <col min="7179"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28515625" customWidth="1"/>
    <col min="7420" max="7420" width="15.28515625" bestFit="1" customWidth="1"/>
    <col min="7421" max="7421" width="15.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1.5703125" bestFit="1" customWidth="1"/>
    <col min="7433" max="7433" width="23.28515625" bestFit="1" customWidth="1"/>
    <col min="7434" max="7434" width="15.5703125" bestFit="1" customWidth="1"/>
    <col min="7435"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28515625" customWidth="1"/>
    <col min="7676" max="7676" width="15.28515625" bestFit="1" customWidth="1"/>
    <col min="7677" max="7677" width="15.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1.5703125" bestFit="1" customWidth="1"/>
    <col min="7689" max="7689" width="23.28515625" bestFit="1" customWidth="1"/>
    <col min="7690" max="7690" width="15.5703125" bestFit="1" customWidth="1"/>
    <col min="7691"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28515625" customWidth="1"/>
    <col min="7932" max="7932" width="15.28515625" bestFit="1" customWidth="1"/>
    <col min="7933" max="7933" width="15.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1.5703125" bestFit="1" customWidth="1"/>
    <col min="7945" max="7945" width="23.28515625" bestFit="1" customWidth="1"/>
    <col min="7946" max="7946" width="15.5703125" bestFit="1" customWidth="1"/>
    <col min="7947"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28515625" customWidth="1"/>
    <col min="8188" max="8188" width="15.28515625" bestFit="1" customWidth="1"/>
    <col min="8189" max="8189" width="15.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1.5703125" bestFit="1" customWidth="1"/>
    <col min="8201" max="8201" width="23.28515625" bestFit="1" customWidth="1"/>
    <col min="8202" max="8202" width="15.5703125" bestFit="1" customWidth="1"/>
    <col min="8203"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28515625" customWidth="1"/>
    <col min="8444" max="8444" width="15.28515625" bestFit="1" customWidth="1"/>
    <col min="8445" max="8445" width="15.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1.5703125" bestFit="1" customWidth="1"/>
    <col min="8457" max="8457" width="23.28515625" bestFit="1" customWidth="1"/>
    <col min="8458" max="8458" width="15.5703125" bestFit="1" customWidth="1"/>
    <col min="8459"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28515625" customWidth="1"/>
    <col min="8700" max="8700" width="15.28515625" bestFit="1" customWidth="1"/>
    <col min="8701" max="8701" width="15.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1.5703125" bestFit="1" customWidth="1"/>
    <col min="8713" max="8713" width="23.28515625" bestFit="1" customWidth="1"/>
    <col min="8714" max="8714" width="15.5703125" bestFit="1" customWidth="1"/>
    <col min="8715"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28515625" customWidth="1"/>
    <col min="8956" max="8956" width="15.28515625" bestFit="1" customWidth="1"/>
    <col min="8957" max="8957" width="15.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1.5703125" bestFit="1" customWidth="1"/>
    <col min="8969" max="8969" width="23.28515625" bestFit="1" customWidth="1"/>
    <col min="8970" max="8970" width="15.5703125" bestFit="1" customWidth="1"/>
    <col min="8971"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28515625" customWidth="1"/>
    <col min="9212" max="9212" width="15.28515625" bestFit="1" customWidth="1"/>
    <col min="9213" max="9213" width="15.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1.5703125" bestFit="1" customWidth="1"/>
    <col min="9225" max="9225" width="23.28515625" bestFit="1" customWidth="1"/>
    <col min="9226" max="9226" width="15.5703125" bestFit="1" customWidth="1"/>
    <col min="9227"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28515625" customWidth="1"/>
    <col min="9468" max="9468" width="15.28515625" bestFit="1" customWidth="1"/>
    <col min="9469" max="9469" width="15.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1.5703125" bestFit="1" customWidth="1"/>
    <col min="9481" max="9481" width="23.28515625" bestFit="1" customWidth="1"/>
    <col min="9482" max="9482" width="15.5703125" bestFit="1" customWidth="1"/>
    <col min="9483"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28515625" customWidth="1"/>
    <col min="9724" max="9724" width="15.28515625" bestFit="1" customWidth="1"/>
    <col min="9725" max="9725" width="15.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1.5703125" bestFit="1" customWidth="1"/>
    <col min="9737" max="9737" width="23.28515625" bestFit="1" customWidth="1"/>
    <col min="9738" max="9738" width="15.5703125" bestFit="1" customWidth="1"/>
    <col min="9739"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28515625" customWidth="1"/>
    <col min="9980" max="9980" width="15.28515625" bestFit="1" customWidth="1"/>
    <col min="9981" max="9981" width="15.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1.5703125" bestFit="1" customWidth="1"/>
    <col min="9993" max="9993" width="23.28515625" bestFit="1" customWidth="1"/>
    <col min="9994" max="9994" width="15.5703125" bestFit="1" customWidth="1"/>
    <col min="9995"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28515625" customWidth="1"/>
    <col min="10236" max="10236" width="15.28515625" bestFit="1" customWidth="1"/>
    <col min="10237" max="10237" width="15.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1.5703125" bestFit="1" customWidth="1"/>
    <col min="10249" max="10249" width="23.28515625" bestFit="1" customWidth="1"/>
    <col min="10250" max="10250" width="15.5703125" bestFit="1" customWidth="1"/>
    <col min="10251"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28515625" customWidth="1"/>
    <col min="10492" max="10492" width="15.28515625" bestFit="1" customWidth="1"/>
    <col min="10493" max="10493" width="15.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1.5703125" bestFit="1" customWidth="1"/>
    <col min="10505" max="10505" width="23.28515625" bestFit="1" customWidth="1"/>
    <col min="10506" max="10506" width="15.5703125" bestFit="1" customWidth="1"/>
    <col min="10507"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28515625" customWidth="1"/>
    <col min="10748" max="10748" width="15.28515625" bestFit="1" customWidth="1"/>
    <col min="10749" max="10749" width="15.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1.5703125" bestFit="1" customWidth="1"/>
    <col min="10761" max="10761" width="23.28515625" bestFit="1" customWidth="1"/>
    <col min="10762" max="10762" width="15.5703125" bestFit="1" customWidth="1"/>
    <col min="10763"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28515625" customWidth="1"/>
    <col min="11004" max="11004" width="15.28515625" bestFit="1" customWidth="1"/>
    <col min="11005" max="11005" width="15.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1.5703125" bestFit="1" customWidth="1"/>
    <col min="11017" max="11017" width="23.28515625" bestFit="1" customWidth="1"/>
    <col min="11018" max="11018" width="15.5703125" bestFit="1" customWidth="1"/>
    <col min="11019"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28515625" customWidth="1"/>
    <col min="11260" max="11260" width="15.28515625" bestFit="1" customWidth="1"/>
    <col min="11261" max="11261" width="15.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1.5703125" bestFit="1" customWidth="1"/>
    <col min="11273" max="11273" width="23.28515625" bestFit="1" customWidth="1"/>
    <col min="11274" max="11274" width="15.5703125" bestFit="1" customWidth="1"/>
    <col min="11275"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28515625" customWidth="1"/>
    <col min="11516" max="11516" width="15.28515625" bestFit="1" customWidth="1"/>
    <col min="11517" max="11517" width="15.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1.5703125" bestFit="1" customWidth="1"/>
    <col min="11529" max="11529" width="23.28515625" bestFit="1" customWidth="1"/>
    <col min="11530" max="11530" width="15.5703125" bestFit="1" customWidth="1"/>
    <col min="11531"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28515625" customWidth="1"/>
    <col min="11772" max="11772" width="15.28515625" bestFit="1" customWidth="1"/>
    <col min="11773" max="11773" width="15.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1.5703125" bestFit="1" customWidth="1"/>
    <col min="11785" max="11785" width="23.28515625" bestFit="1" customWidth="1"/>
    <col min="11786" max="11786" width="15.5703125" bestFit="1" customWidth="1"/>
    <col min="11787"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28515625" customWidth="1"/>
    <col min="12028" max="12028" width="15.28515625" bestFit="1" customWidth="1"/>
    <col min="12029" max="12029" width="15.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1.5703125" bestFit="1" customWidth="1"/>
    <col min="12041" max="12041" width="23.28515625" bestFit="1" customWidth="1"/>
    <col min="12042" max="12042" width="15.5703125" bestFit="1" customWidth="1"/>
    <col min="12043"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28515625" customWidth="1"/>
    <col min="12284" max="12284" width="15.28515625" bestFit="1" customWidth="1"/>
    <col min="12285" max="12285" width="15.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1.5703125" bestFit="1" customWidth="1"/>
    <col min="12297" max="12297" width="23.28515625" bestFit="1" customWidth="1"/>
    <col min="12298" max="12298" width="15.5703125" bestFit="1" customWidth="1"/>
    <col min="12299"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28515625" customWidth="1"/>
    <col min="12540" max="12540" width="15.28515625" bestFit="1" customWidth="1"/>
    <col min="12541" max="12541" width="15.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1.5703125" bestFit="1" customWidth="1"/>
    <col min="12553" max="12553" width="23.28515625" bestFit="1" customWidth="1"/>
    <col min="12554" max="12554" width="15.5703125" bestFit="1" customWidth="1"/>
    <col min="12555"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28515625" customWidth="1"/>
    <col min="12796" max="12796" width="15.28515625" bestFit="1" customWidth="1"/>
    <col min="12797" max="12797" width="15.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1.5703125" bestFit="1" customWidth="1"/>
    <col min="12809" max="12809" width="23.28515625" bestFit="1" customWidth="1"/>
    <col min="12810" max="12810" width="15.5703125" bestFit="1" customWidth="1"/>
    <col min="12811"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28515625" customWidth="1"/>
    <col min="13052" max="13052" width="15.28515625" bestFit="1" customWidth="1"/>
    <col min="13053" max="13053" width="15.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1.5703125" bestFit="1" customWidth="1"/>
    <col min="13065" max="13065" width="23.28515625" bestFit="1" customWidth="1"/>
    <col min="13066" max="13066" width="15.5703125" bestFit="1" customWidth="1"/>
    <col min="13067"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28515625" customWidth="1"/>
    <col min="13308" max="13308" width="15.28515625" bestFit="1" customWidth="1"/>
    <col min="13309" max="13309" width="15.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1.5703125" bestFit="1" customWidth="1"/>
    <col min="13321" max="13321" width="23.28515625" bestFit="1" customWidth="1"/>
    <col min="13322" max="13322" width="15.5703125" bestFit="1" customWidth="1"/>
    <col min="13323"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28515625" customWidth="1"/>
    <col min="13564" max="13564" width="15.28515625" bestFit="1" customWidth="1"/>
    <col min="13565" max="13565" width="15.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1.5703125" bestFit="1" customWidth="1"/>
    <col min="13577" max="13577" width="23.28515625" bestFit="1" customWidth="1"/>
    <col min="13578" max="13578" width="15.5703125" bestFit="1" customWidth="1"/>
    <col min="13579"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28515625" customWidth="1"/>
    <col min="13820" max="13820" width="15.28515625" bestFit="1" customWidth="1"/>
    <col min="13821" max="13821" width="15.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1.5703125" bestFit="1" customWidth="1"/>
    <col min="13833" max="13833" width="23.28515625" bestFit="1" customWidth="1"/>
    <col min="13834" max="13834" width="15.5703125" bestFit="1" customWidth="1"/>
    <col min="13835"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28515625" customWidth="1"/>
    <col min="14076" max="14076" width="15.28515625" bestFit="1" customWidth="1"/>
    <col min="14077" max="14077" width="15.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1.5703125" bestFit="1" customWidth="1"/>
    <col min="14089" max="14089" width="23.28515625" bestFit="1" customWidth="1"/>
    <col min="14090" max="14090" width="15.5703125" bestFit="1" customWidth="1"/>
    <col min="14091"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28515625" customWidth="1"/>
    <col min="14332" max="14332" width="15.28515625" bestFit="1" customWidth="1"/>
    <col min="14333" max="14333" width="15.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1.5703125" bestFit="1" customWidth="1"/>
    <col min="14345" max="14345" width="23.28515625" bestFit="1" customWidth="1"/>
    <col min="14346" max="14346" width="15.5703125" bestFit="1" customWidth="1"/>
    <col min="14347"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28515625" customWidth="1"/>
    <col min="14588" max="14588" width="15.28515625" bestFit="1" customWidth="1"/>
    <col min="14589" max="14589" width="15.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1.5703125" bestFit="1" customWidth="1"/>
    <col min="14601" max="14601" width="23.28515625" bestFit="1" customWidth="1"/>
    <col min="14602" max="14602" width="15.5703125" bestFit="1" customWidth="1"/>
    <col min="14603"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28515625" customWidth="1"/>
    <col min="14844" max="14844" width="15.28515625" bestFit="1" customWidth="1"/>
    <col min="14845" max="14845" width="15.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1.5703125" bestFit="1" customWidth="1"/>
    <col min="14857" max="14857" width="23.28515625" bestFit="1" customWidth="1"/>
    <col min="14858" max="14858" width="15.5703125" bestFit="1" customWidth="1"/>
    <col min="14859"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28515625" customWidth="1"/>
    <col min="15100" max="15100" width="15.28515625" bestFit="1" customWidth="1"/>
    <col min="15101" max="15101" width="15.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1.5703125" bestFit="1" customWidth="1"/>
    <col min="15113" max="15113" width="23.28515625" bestFit="1" customWidth="1"/>
    <col min="15114" max="15114" width="15.5703125" bestFit="1" customWidth="1"/>
    <col min="15115"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28515625" customWidth="1"/>
    <col min="15356" max="15356" width="15.28515625" bestFit="1" customWidth="1"/>
    <col min="15357" max="15357" width="15.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1.5703125" bestFit="1" customWidth="1"/>
    <col min="15369" max="15369" width="23.28515625" bestFit="1" customWidth="1"/>
    <col min="15370" max="15370" width="15.5703125" bestFit="1" customWidth="1"/>
    <col min="15371"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28515625" customWidth="1"/>
    <col min="15612" max="15612" width="15.28515625" bestFit="1" customWidth="1"/>
    <col min="15613" max="15613" width="15.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1.5703125" bestFit="1" customWidth="1"/>
    <col min="15625" max="15625" width="23.28515625" bestFit="1" customWidth="1"/>
    <col min="15626" max="15626" width="15.5703125" bestFit="1" customWidth="1"/>
    <col min="15627"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28515625" customWidth="1"/>
    <col min="15868" max="15868" width="15.28515625" bestFit="1" customWidth="1"/>
    <col min="15869" max="15869" width="15.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1.5703125" bestFit="1" customWidth="1"/>
    <col min="15881" max="15881" width="23.28515625" bestFit="1" customWidth="1"/>
    <col min="15882" max="15882" width="15.5703125" bestFit="1" customWidth="1"/>
    <col min="15883"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28515625" customWidth="1"/>
    <col min="16124" max="16124" width="15.28515625" bestFit="1" customWidth="1"/>
    <col min="16125" max="16125" width="15.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1.5703125" bestFit="1" customWidth="1"/>
    <col min="16137" max="16137" width="23.28515625" bestFit="1" customWidth="1"/>
    <col min="16138" max="16138" width="15.5703125" bestFit="1" customWidth="1"/>
    <col min="16139"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75" customHeight="1" thickBot="1">
      <c r="C1" s="1401" t="s">
        <v>60</v>
      </c>
      <c r="D1" s="1361" t="s">
        <v>275</v>
      </c>
      <c r="E1" s="1401" t="s">
        <v>5</v>
      </c>
      <c r="F1" s="1401">
        <v>18230440</v>
      </c>
      <c r="G1" s="1361" t="s">
        <v>4</v>
      </c>
      <c r="J1" s="1361"/>
      <c r="K1" s="1361"/>
      <c r="L1" s="1361"/>
      <c r="M1" s="1401" t="s">
        <v>60</v>
      </c>
      <c r="N1" s="1361" t="s">
        <v>275</v>
      </c>
      <c r="O1" s="1401" t="s">
        <v>5</v>
      </c>
      <c r="P1" s="1401">
        <v>18230440</v>
      </c>
      <c r="Q1" s="1361" t="s">
        <v>4</v>
      </c>
      <c r="V1" s="1401" t="s">
        <v>60</v>
      </c>
      <c r="W1" s="1361" t="s">
        <v>275</v>
      </c>
      <c r="X1" s="1401" t="s">
        <v>5</v>
      </c>
      <c r="Y1" s="1401">
        <v>18230440</v>
      </c>
      <c r="Z1" s="1912" t="s">
        <v>4</v>
      </c>
    </row>
    <row r="2" spans="1:26" ht="16.5" thickBot="1">
      <c r="C2" s="44"/>
      <c r="D2" s="45"/>
      <c r="G2" s="1652"/>
      <c r="I2" s="1178" t="s">
        <v>627</v>
      </c>
      <c r="S2" s="3575"/>
      <c r="T2" s="3575"/>
      <c r="U2" s="3576" t="s">
        <v>33</v>
      </c>
      <c r="V2" s="3577"/>
      <c r="W2" s="3578"/>
      <c r="X2" s="3579" t="s">
        <v>34</v>
      </c>
    </row>
    <row r="3" spans="1:26" ht="26.25" thickBot="1">
      <c r="A3" s="1400" t="s">
        <v>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275</v>
      </c>
      <c r="B4" s="1400"/>
      <c r="C4" s="44"/>
      <c r="G4" s="1652"/>
      <c r="H4" s="2946" t="s">
        <v>1726</v>
      </c>
      <c r="I4" s="2947">
        <f>D15</f>
        <v>217686.30000000002</v>
      </c>
      <c r="J4" s="2948">
        <f>D21</f>
        <v>104000</v>
      </c>
      <c r="K4" s="2948">
        <f>D27</f>
        <v>214564.76210000002</v>
      </c>
      <c r="L4" s="2948">
        <f>D37</f>
        <v>1847506.07</v>
      </c>
      <c r="M4" s="2948">
        <f>D43</f>
        <v>11000</v>
      </c>
      <c r="N4" s="2948">
        <f>D49</f>
        <v>1550000</v>
      </c>
      <c r="O4" s="2948">
        <f>D56</f>
        <v>8250</v>
      </c>
      <c r="P4" s="2948">
        <f>D62</f>
        <v>20000</v>
      </c>
      <c r="Q4" s="2948">
        <f>D68</f>
        <v>10242000</v>
      </c>
      <c r="R4" s="2948">
        <f>D71</f>
        <v>0</v>
      </c>
      <c r="S4" s="2949">
        <f>SUM(I4:R4)</f>
        <v>14215007.132100001</v>
      </c>
      <c r="T4" s="2950">
        <f>T15</f>
        <v>71294280</v>
      </c>
      <c r="U4" s="2954">
        <f>Q4/S4</f>
        <v>0.72050614571073635</v>
      </c>
      <c r="V4" s="2954">
        <f>(L4+(J4*1.63))/S4</f>
        <v>0.14189413000329759</v>
      </c>
      <c r="W4" s="2954">
        <f>N4/S4</f>
        <v>0.1090396920378482</v>
      </c>
      <c r="X4" s="2953">
        <f>S4/T4</f>
        <v>0.1993849595241021</v>
      </c>
    </row>
    <row r="5" spans="1:26" ht="16.5" thickBot="1">
      <c r="A5" s="1400" t="s">
        <v>5</v>
      </c>
      <c r="C5" s="45"/>
      <c r="G5" s="1652"/>
      <c r="H5" s="3205" t="s">
        <v>1753</v>
      </c>
      <c r="I5" s="2617">
        <v>223128.45749999999</v>
      </c>
      <c r="J5" s="2618">
        <v>106599.99999999999</v>
      </c>
      <c r="K5" s="2618">
        <v>224215.3511</v>
      </c>
      <c r="L5" s="2618">
        <v>1847506.07</v>
      </c>
      <c r="M5" s="2618">
        <v>11000</v>
      </c>
      <c r="N5" s="2618">
        <v>1550000</v>
      </c>
      <c r="O5" s="2618">
        <v>8250</v>
      </c>
      <c r="P5" s="2618">
        <v>20000</v>
      </c>
      <c r="Q5" s="2618">
        <v>10428750</v>
      </c>
      <c r="R5" s="2618">
        <v>0</v>
      </c>
      <c r="S5" s="2619">
        <v>14419449.878599999</v>
      </c>
      <c r="T5" s="2620">
        <v>70775150</v>
      </c>
      <c r="U5" s="1186">
        <f>Q5/S5</f>
        <v>0.72324187731165646</v>
      </c>
      <c r="V5" s="1186">
        <f>(L5+(J5*1.63))/S5</f>
        <v>0.14017622634825835</v>
      </c>
      <c r="W5" s="1186">
        <f>N5/S5</f>
        <v>0.10749369865353638</v>
      </c>
      <c r="X5" s="48">
        <f>S5/T5</f>
        <v>0.20373605536123907</v>
      </c>
    </row>
    <row r="6" spans="1:26" ht="16.5" thickBot="1">
      <c r="A6" s="1400">
        <v>18230440</v>
      </c>
      <c r="B6" s="1400"/>
      <c r="D6" s="44"/>
      <c r="G6" s="1652"/>
      <c r="H6" s="3206" t="s">
        <v>1754</v>
      </c>
      <c r="I6" s="2621">
        <f>E15</f>
        <v>171160.55</v>
      </c>
      <c r="J6" s="2622">
        <f>E21</f>
        <v>101075</v>
      </c>
      <c r="K6" s="2623">
        <f>E27</f>
        <v>244467.52389999997</v>
      </c>
      <c r="L6" s="2622">
        <f>E37</f>
        <v>1847331</v>
      </c>
      <c r="M6" s="2622">
        <f>E43</f>
        <v>11000</v>
      </c>
      <c r="N6" s="2622">
        <f>E49</f>
        <v>1590926</v>
      </c>
      <c r="O6" s="2622">
        <f>E56</f>
        <v>8250</v>
      </c>
      <c r="P6" s="2622">
        <f>E62</f>
        <v>5000</v>
      </c>
      <c r="Q6" s="2622">
        <f>E68</f>
        <v>9853968.75</v>
      </c>
      <c r="R6" s="2622">
        <f>E71</f>
        <v>0</v>
      </c>
      <c r="S6" s="2624">
        <f>SUM(I6:R6)</f>
        <v>13833178.823899999</v>
      </c>
      <c r="T6" s="2625">
        <f>U15</f>
        <v>69473421.120000005</v>
      </c>
      <c r="U6" s="2631">
        <f>Q6/S6</f>
        <v>0.71234304677497562</v>
      </c>
      <c r="V6" s="2631">
        <f>(L6+(J6*1.63))/S6</f>
        <v>0.14545342582600487</v>
      </c>
      <c r="W6" s="2631">
        <f>N6/S6</f>
        <v>0.11500798336036178</v>
      </c>
      <c r="X6" s="2626">
        <f>S6/T6</f>
        <v>0.19911469164597834</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D15+D21+D27+D37+D43+D49+D56+D62+D68</f>
        <v>14215007.132100001</v>
      </c>
      <c r="E12" s="1484">
        <f>E15+E21+E27+E37+E43+E49+E56+E62+E68</f>
        <v>13833178.823899999</v>
      </c>
      <c r="F12" s="1462">
        <f>D12+E12</f>
        <v>28048185.956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6">
      <c r="B15" s="1433" t="s">
        <v>296</v>
      </c>
      <c r="C15" s="1597" t="s">
        <v>1749</v>
      </c>
      <c r="D15" s="2771">
        <f>SUM(D16:D19)</f>
        <v>217686.30000000002</v>
      </c>
      <c r="E15" s="1464">
        <f>SUM(E16:E19)</f>
        <v>171160.55</v>
      </c>
      <c r="F15" s="1462">
        <f>D15+E15</f>
        <v>388846.85</v>
      </c>
      <c r="H15" s="1475" t="s">
        <v>308</v>
      </c>
      <c r="I15" s="1476"/>
      <c r="J15" s="1476"/>
      <c r="K15" s="1477"/>
      <c r="L15" s="1478">
        <f>SUMPRODUCT(L16:L129,S16:S129)</f>
        <v>49286669.090000004</v>
      </c>
      <c r="M15" s="1478">
        <f>SUM(M16:M129)</f>
        <v>41.75</v>
      </c>
      <c r="N15" s="1479"/>
      <c r="O15" s="1477">
        <v>11</v>
      </c>
      <c r="P15" s="1477"/>
      <c r="Q15" s="3225"/>
      <c r="R15" s="1477"/>
      <c r="S15" s="1477"/>
      <c r="T15" s="2983">
        <v>71294280</v>
      </c>
      <c r="U15" s="1480">
        <f>SUM(U16:U66)</f>
        <v>69473421.120000005</v>
      </c>
      <c r="V15" s="1480">
        <f>SUM(V16:V66)</f>
        <v>140767701.12</v>
      </c>
      <c r="W15" s="2987">
        <v>10242000</v>
      </c>
      <c r="X15" s="1478">
        <f t="shared" ref="X15" si="0">SUM(X16:X66)</f>
        <v>9853968.75</v>
      </c>
      <c r="Y15" s="1478">
        <f>SUM(Y16:Y66)</f>
        <v>20095968.75</v>
      </c>
      <c r="Z15" s="1911">
        <v>0</v>
      </c>
    </row>
    <row r="16" spans="1:26">
      <c r="B16" s="1432">
        <v>0.6</v>
      </c>
      <c r="C16" s="1423" t="s">
        <v>734</v>
      </c>
      <c r="D16" s="2772">
        <v>55534.799999999996</v>
      </c>
      <c r="E16" s="1448">
        <v>50537.5</v>
      </c>
      <c r="F16" s="1426">
        <f>SUM(D16:E16)</f>
        <v>106072.29999999999</v>
      </c>
      <c r="H16" s="1925" t="s">
        <v>1846</v>
      </c>
      <c r="I16" s="1926">
        <v>0</v>
      </c>
      <c r="J16" s="1470" t="s">
        <v>110</v>
      </c>
      <c r="K16" s="1460" t="s">
        <v>845</v>
      </c>
      <c r="L16" s="1467">
        <v>0</v>
      </c>
      <c r="M16" s="1467">
        <v>0</v>
      </c>
      <c r="N16" s="1461">
        <v>6.0078539530502694E-4</v>
      </c>
      <c r="O16" s="1460">
        <v>12</v>
      </c>
      <c r="P16" s="1463" t="s">
        <v>880</v>
      </c>
      <c r="Q16" s="3233">
        <v>8000</v>
      </c>
      <c r="R16" s="1466">
        <v>0</v>
      </c>
      <c r="S16" s="1469">
        <f>SUM(Q16:R16)</f>
        <v>8000</v>
      </c>
      <c r="T16" s="2991">
        <v>89680</v>
      </c>
      <c r="U16" s="1469">
        <f>R16*I16</f>
        <v>0</v>
      </c>
      <c r="V16" s="1469">
        <f>SUM(T16:U16)</f>
        <v>89680</v>
      </c>
      <c r="W16" s="2993">
        <v>32000</v>
      </c>
      <c r="X16" s="1459">
        <f>R16*M16</f>
        <v>0</v>
      </c>
      <c r="Y16" s="1459">
        <f>SUM(W16:X16)</f>
        <v>32000</v>
      </c>
      <c r="Z16" s="1910"/>
    </row>
    <row r="17" spans="2:26">
      <c r="B17" s="1432">
        <v>1.1000000000000001</v>
      </c>
      <c r="C17" s="1423" t="s">
        <v>735</v>
      </c>
      <c r="D17" s="2784">
        <v>101923.8</v>
      </c>
      <c r="E17" s="1447">
        <v>85525</v>
      </c>
      <c r="F17" s="1426">
        <f t="shared" ref="F17:F19" si="1">SUM(D17:E17)</f>
        <v>187448.8</v>
      </c>
      <c r="H17" s="1925" t="s">
        <v>1023</v>
      </c>
      <c r="I17" s="1926">
        <v>11.32</v>
      </c>
      <c r="J17" s="1470" t="s">
        <v>110</v>
      </c>
      <c r="K17" s="1460" t="s">
        <v>845</v>
      </c>
      <c r="L17" s="1467">
        <v>7.06</v>
      </c>
      <c r="M17" s="1467">
        <v>2</v>
      </c>
      <c r="N17" s="1461">
        <v>0.34368762818178955</v>
      </c>
      <c r="O17" s="1460">
        <v>13</v>
      </c>
      <c r="P17" s="1463" t="s">
        <v>880</v>
      </c>
      <c r="Q17" s="3233">
        <v>1000000</v>
      </c>
      <c r="R17" s="1466">
        <v>1921089</v>
      </c>
      <c r="S17" s="1469">
        <f t="shared" ref="S17:S26" si="2">SUM(Q17:R17)</f>
        <v>2921089</v>
      </c>
      <c r="T17" s="2991">
        <v>20450000</v>
      </c>
      <c r="U17" s="1469">
        <f t="shared" ref="U17:U26" si="3">R17*I17</f>
        <v>21746727.48</v>
      </c>
      <c r="V17" s="1469">
        <f t="shared" ref="V17:V26" si="4">SUM(T17:U17)</f>
        <v>42196727.480000004</v>
      </c>
      <c r="W17" s="2993">
        <v>3250000</v>
      </c>
      <c r="X17" s="1459">
        <f t="shared" ref="X17:X26" si="5">R17*M17</f>
        <v>3842178</v>
      </c>
      <c r="Y17" s="1459">
        <f t="shared" ref="Y17:Y26" si="6">SUM(W17:X17)</f>
        <v>7092178</v>
      </c>
      <c r="Z17" s="1910"/>
    </row>
    <row r="18" spans="2:26">
      <c r="B18" s="1432">
        <v>0.65</v>
      </c>
      <c r="C18" s="1667" t="s">
        <v>737</v>
      </c>
      <c r="D18" s="2784">
        <v>60227.700000000004</v>
      </c>
      <c r="E18" s="1447">
        <v>35098.050000000003</v>
      </c>
      <c r="F18" s="1426">
        <f t="shared" si="1"/>
        <v>95325.75</v>
      </c>
      <c r="H18" s="1925" t="s">
        <v>1024</v>
      </c>
      <c r="I18" s="1926">
        <v>22.49</v>
      </c>
      <c r="J18" s="1470" t="s">
        <v>110</v>
      </c>
      <c r="K18" s="1460" t="s">
        <v>845</v>
      </c>
      <c r="L18" s="1467">
        <v>6.54</v>
      </c>
      <c r="M18" s="1467">
        <v>2</v>
      </c>
      <c r="N18" s="1461">
        <v>5.3451325208090573E-2</v>
      </c>
      <c r="O18" s="1460">
        <v>13</v>
      </c>
      <c r="P18" s="1463" t="s">
        <v>880</v>
      </c>
      <c r="Q18" s="3233">
        <v>170000</v>
      </c>
      <c r="R18" s="1466">
        <v>224583</v>
      </c>
      <c r="S18" s="1469">
        <f t="shared" si="2"/>
        <v>394583</v>
      </c>
      <c r="T18" s="2991">
        <v>3345600</v>
      </c>
      <c r="U18" s="1469">
        <f t="shared" si="3"/>
        <v>5050871.67</v>
      </c>
      <c r="V18" s="1469">
        <f t="shared" si="4"/>
        <v>8396471.6699999999</v>
      </c>
      <c r="W18" s="2993">
        <v>467500</v>
      </c>
      <c r="X18" s="1459">
        <f t="shared" si="5"/>
        <v>449166</v>
      </c>
      <c r="Y18" s="1459">
        <f t="shared" si="6"/>
        <v>916666</v>
      </c>
      <c r="Z18" s="1910"/>
    </row>
    <row r="19" spans="2:26">
      <c r="B19" s="1432"/>
      <c r="C19" s="1667"/>
      <c r="D19" s="2794"/>
      <c r="E19" s="1578"/>
      <c r="F19" s="1426">
        <f t="shared" si="1"/>
        <v>0</v>
      </c>
      <c r="H19" s="1925" t="s">
        <v>1025</v>
      </c>
      <c r="I19" s="1926">
        <v>12.93</v>
      </c>
      <c r="J19" s="1470" t="s">
        <v>110</v>
      </c>
      <c r="K19" s="1460" t="s">
        <v>845</v>
      </c>
      <c r="L19" s="1467">
        <v>5.0999999999999996</v>
      </c>
      <c r="M19" s="1467">
        <v>2</v>
      </c>
      <c r="N19" s="1461">
        <v>2.0274312831415554E-2</v>
      </c>
      <c r="O19" s="1460">
        <v>13</v>
      </c>
      <c r="P19" s="1463" t="s">
        <v>880</v>
      </c>
      <c r="Q19" s="3233">
        <v>120000</v>
      </c>
      <c r="R19" s="1466">
        <v>58342</v>
      </c>
      <c r="S19" s="1469">
        <f t="shared" si="2"/>
        <v>178342</v>
      </c>
      <c r="T19" s="2991">
        <v>2202000</v>
      </c>
      <c r="U19" s="1469">
        <f t="shared" si="3"/>
        <v>754362.05999999994</v>
      </c>
      <c r="V19" s="1469">
        <f t="shared" si="4"/>
        <v>2956362.06</v>
      </c>
      <c r="W19" s="2993">
        <v>330000</v>
      </c>
      <c r="X19" s="1459">
        <f t="shared" si="5"/>
        <v>116684</v>
      </c>
      <c r="Y19" s="1459">
        <f t="shared" si="6"/>
        <v>446684</v>
      </c>
      <c r="Z19" s="1910"/>
    </row>
    <row r="20" spans="2:26">
      <c r="B20" s="1449">
        <f>SUM(B16:B19)</f>
        <v>2.35</v>
      </c>
      <c r="C20" s="1488"/>
      <c r="D20" s="2770"/>
      <c r="E20" s="1490"/>
      <c r="F20" s="1492"/>
      <c r="H20" s="1925" t="s">
        <v>1026</v>
      </c>
      <c r="I20" s="1926">
        <v>18.23</v>
      </c>
      <c r="J20" s="1470" t="s">
        <v>110</v>
      </c>
      <c r="K20" s="1460" t="s">
        <v>845</v>
      </c>
      <c r="L20" s="1467">
        <v>5.65</v>
      </c>
      <c r="M20" s="1467">
        <v>8</v>
      </c>
      <c r="N20" s="1461">
        <v>1.5699507967493382E-2</v>
      </c>
      <c r="O20" s="1460">
        <v>13</v>
      </c>
      <c r="P20" s="1463" t="s">
        <v>880</v>
      </c>
      <c r="Q20" s="3233">
        <v>65000</v>
      </c>
      <c r="R20" s="1466">
        <v>67362</v>
      </c>
      <c r="S20" s="1469">
        <f t="shared" si="2"/>
        <v>132362</v>
      </c>
      <c r="T20" s="2991">
        <v>1335750</v>
      </c>
      <c r="U20" s="1469">
        <f t="shared" si="3"/>
        <v>1228009.26</v>
      </c>
      <c r="V20" s="1469">
        <f t="shared" si="4"/>
        <v>2563759.2599999998</v>
      </c>
      <c r="W20" s="2993">
        <v>650000</v>
      </c>
      <c r="X20" s="1459">
        <f t="shared" si="5"/>
        <v>538896</v>
      </c>
      <c r="Y20" s="1459">
        <f t="shared" si="6"/>
        <v>1188896</v>
      </c>
      <c r="Z20" s="1910"/>
    </row>
    <row r="21" spans="2:26">
      <c r="B21" s="1433" t="s">
        <v>296</v>
      </c>
      <c r="C21" s="1451" t="s">
        <v>44</v>
      </c>
      <c r="D21" s="2771">
        <f>SUM(D22:D25)</f>
        <v>104000</v>
      </c>
      <c r="E21" s="1464">
        <f>SUM(E22:E25)</f>
        <v>101075</v>
      </c>
      <c r="F21" s="1638">
        <f>D21+E21</f>
        <v>205075</v>
      </c>
      <c r="H21" s="1925" t="s">
        <v>1027</v>
      </c>
      <c r="I21" s="1926">
        <v>20.190000000000001</v>
      </c>
      <c r="J21" s="1470" t="s">
        <v>110</v>
      </c>
      <c r="K21" s="1460" t="s">
        <v>845</v>
      </c>
      <c r="L21" s="1467">
        <v>13.58</v>
      </c>
      <c r="M21" s="1467">
        <v>2</v>
      </c>
      <c r="N21" s="1461">
        <v>3.30631228800436E-3</v>
      </c>
      <c r="O21" s="1460">
        <v>13</v>
      </c>
      <c r="P21" s="1463" t="s">
        <v>880</v>
      </c>
      <c r="Q21" s="3233">
        <v>10000</v>
      </c>
      <c r="R21" s="1466">
        <v>8808</v>
      </c>
      <c r="S21" s="1469">
        <f t="shared" si="2"/>
        <v>18808</v>
      </c>
      <c r="T21" s="2991">
        <v>324600</v>
      </c>
      <c r="U21" s="1469">
        <f t="shared" si="3"/>
        <v>177833.52000000002</v>
      </c>
      <c r="V21" s="1469">
        <f t="shared" si="4"/>
        <v>502433.52</v>
      </c>
      <c r="W21" s="2993">
        <v>50000</v>
      </c>
      <c r="X21" s="1459">
        <f t="shared" si="5"/>
        <v>17616</v>
      </c>
      <c r="Y21" s="1459">
        <f t="shared" si="6"/>
        <v>67616</v>
      </c>
      <c r="Z21" s="1910"/>
    </row>
    <row r="22" spans="2:26">
      <c r="B22" s="1982">
        <f>(SUM(D22:E22)/2)/((80000+(80000*1.025))/2)</f>
        <v>0.63294753086419753</v>
      </c>
      <c r="C22" s="1423" t="s">
        <v>828</v>
      </c>
      <c r="D22" s="2772">
        <v>52000</v>
      </c>
      <c r="E22" s="1448">
        <v>50537.5</v>
      </c>
      <c r="F22" s="1426">
        <f t="shared" ref="F22:F25" si="7">SUM(D22:E22)</f>
        <v>102537.5</v>
      </c>
      <c r="H22" s="1925" t="s">
        <v>1028</v>
      </c>
      <c r="I22" s="1926">
        <v>5.91</v>
      </c>
      <c r="J22" s="1470" t="s">
        <v>110</v>
      </c>
      <c r="K22" s="1460" t="s">
        <v>845</v>
      </c>
      <c r="L22" s="1467">
        <v>6.22</v>
      </c>
      <c r="M22" s="1467">
        <v>9</v>
      </c>
      <c r="N22" s="1461">
        <v>2.1248704878221062E-2</v>
      </c>
      <c r="O22" s="1460">
        <v>13</v>
      </c>
      <c r="P22" s="1463" t="s">
        <v>880</v>
      </c>
      <c r="Q22" s="3233">
        <v>35000</v>
      </c>
      <c r="R22" s="1466">
        <v>30480</v>
      </c>
      <c r="S22" s="1469">
        <f t="shared" si="2"/>
        <v>65480</v>
      </c>
      <c r="T22" s="2991">
        <v>1992550</v>
      </c>
      <c r="U22" s="1469">
        <f t="shared" si="3"/>
        <v>180136.80000000002</v>
      </c>
      <c r="V22" s="1469">
        <f t="shared" si="4"/>
        <v>2172686.7999999998</v>
      </c>
      <c r="W22" s="2993">
        <v>385000</v>
      </c>
      <c r="X22" s="1459">
        <f t="shared" si="5"/>
        <v>274320</v>
      </c>
      <c r="Y22" s="1459">
        <f t="shared" si="6"/>
        <v>659320</v>
      </c>
      <c r="Z22" s="1910"/>
    </row>
    <row r="23" spans="2:26">
      <c r="B23" s="1982">
        <f>(SUM(D23:E23)/2)/((80000+(80000*1.025))/2)</f>
        <v>0.63294753086419753</v>
      </c>
      <c r="C23" s="1423" t="s">
        <v>8</v>
      </c>
      <c r="D23" s="2791">
        <v>52000</v>
      </c>
      <c r="E23" s="1562">
        <v>50537.5</v>
      </c>
      <c r="F23" s="1426">
        <f t="shared" si="7"/>
        <v>102537.5</v>
      </c>
      <c r="H23" s="1925" t="s">
        <v>1029</v>
      </c>
      <c r="I23" s="1926">
        <v>28.05</v>
      </c>
      <c r="J23" s="1470" t="s">
        <v>110</v>
      </c>
      <c r="K23" s="1460" t="s">
        <v>845</v>
      </c>
      <c r="L23" s="1467">
        <v>8.0500000000000007</v>
      </c>
      <c r="M23" s="1467">
        <v>3.25</v>
      </c>
      <c r="N23" s="1461">
        <v>0.31310032938827026</v>
      </c>
      <c r="O23" s="1460">
        <v>13</v>
      </c>
      <c r="P23" s="1463" t="s">
        <v>880</v>
      </c>
      <c r="Q23" s="3233">
        <v>650000</v>
      </c>
      <c r="R23" s="1466">
        <v>986505</v>
      </c>
      <c r="S23" s="1469">
        <f t="shared" si="2"/>
        <v>1636505</v>
      </c>
      <c r="T23" s="2991">
        <v>21216000</v>
      </c>
      <c r="U23" s="1469">
        <f t="shared" si="3"/>
        <v>27671465.25</v>
      </c>
      <c r="V23" s="1469">
        <f t="shared" si="4"/>
        <v>48887465.25</v>
      </c>
      <c r="W23" s="2993">
        <v>3250000</v>
      </c>
      <c r="X23" s="1459">
        <f t="shared" si="5"/>
        <v>3206141.25</v>
      </c>
      <c r="Y23" s="1459">
        <f t="shared" si="6"/>
        <v>6456141.25</v>
      </c>
      <c r="Z23" s="1910"/>
    </row>
    <row r="24" spans="2:26">
      <c r="B24" s="1982"/>
      <c r="C24" s="1423"/>
      <c r="D24" s="2774"/>
      <c r="E24" s="1443"/>
      <c r="F24" s="1426">
        <f t="shared" si="7"/>
        <v>0</v>
      </c>
      <c r="H24" s="1925" t="s">
        <v>1030</v>
      </c>
      <c r="I24" s="1926">
        <v>25.61</v>
      </c>
      <c r="J24" s="1470" t="s">
        <v>110</v>
      </c>
      <c r="K24" s="1460" t="s">
        <v>845</v>
      </c>
      <c r="L24" s="1467">
        <v>2.13</v>
      </c>
      <c r="M24" s="1467">
        <v>4.5</v>
      </c>
      <c r="N24" s="1461">
        <v>5.0945318220680678E-2</v>
      </c>
      <c r="O24" s="1460">
        <v>13</v>
      </c>
      <c r="P24" s="1463" t="s">
        <v>880</v>
      </c>
      <c r="Q24" s="3233">
        <v>110000</v>
      </c>
      <c r="R24" s="1466">
        <v>213756</v>
      </c>
      <c r="S24" s="1469">
        <f t="shared" si="2"/>
        <v>323756</v>
      </c>
      <c r="T24" s="2991">
        <v>2797300</v>
      </c>
      <c r="U24" s="1469">
        <f t="shared" si="3"/>
        <v>5474291.1600000001</v>
      </c>
      <c r="V24" s="1469">
        <f t="shared" si="4"/>
        <v>8271591.1600000001</v>
      </c>
      <c r="W24" s="2993">
        <v>715000</v>
      </c>
      <c r="X24" s="1459">
        <f t="shared" si="5"/>
        <v>961902</v>
      </c>
      <c r="Y24" s="1459">
        <f t="shared" si="6"/>
        <v>1676902</v>
      </c>
      <c r="Z24" s="1910"/>
    </row>
    <row r="25" spans="2:26">
      <c r="B25" s="1982"/>
      <c r="C25" s="1423"/>
      <c r="D25" s="2775"/>
      <c r="E25" s="1444"/>
      <c r="F25" s="1426">
        <f t="shared" si="7"/>
        <v>0</v>
      </c>
      <c r="H25" s="1925" t="s">
        <v>1847</v>
      </c>
      <c r="I25" s="1926">
        <v>12.75</v>
      </c>
      <c r="J25" s="1470" t="s">
        <v>110</v>
      </c>
      <c r="K25" s="1460" t="s">
        <v>845</v>
      </c>
      <c r="L25" s="1467">
        <v>4.75</v>
      </c>
      <c r="M25" s="1467">
        <v>0.5</v>
      </c>
      <c r="N25" s="1461">
        <v>4.6302385713164022E-2</v>
      </c>
      <c r="O25" s="1460">
        <v>7</v>
      </c>
      <c r="P25" s="1463" t="s">
        <v>880</v>
      </c>
      <c r="Q25" s="3233">
        <v>400000</v>
      </c>
      <c r="R25" s="1466">
        <v>11264</v>
      </c>
      <c r="S25" s="1469">
        <f t="shared" si="2"/>
        <v>411264</v>
      </c>
      <c r="T25" s="2991">
        <v>6768000.0000000009</v>
      </c>
      <c r="U25" s="1469">
        <f t="shared" si="3"/>
        <v>143616</v>
      </c>
      <c r="V25" s="1469">
        <f t="shared" si="4"/>
        <v>6911616.0000000009</v>
      </c>
      <c r="W25" s="2993">
        <v>200000</v>
      </c>
      <c r="X25" s="1459">
        <f t="shared" si="5"/>
        <v>5632</v>
      </c>
      <c r="Y25" s="1459">
        <f t="shared" si="6"/>
        <v>205632</v>
      </c>
      <c r="Z25" s="1910"/>
    </row>
    <row r="26" spans="2:26">
      <c r="B26" s="1449">
        <f>SUM(B22:B25)</f>
        <v>1.2658950617283951</v>
      </c>
      <c r="C26" s="1424"/>
      <c r="D26" s="2776"/>
      <c r="E26" s="1431"/>
      <c r="F26" s="1439"/>
      <c r="H26" s="1925" t="s">
        <v>1848</v>
      </c>
      <c r="I26" s="1926">
        <v>9.42</v>
      </c>
      <c r="J26" s="1470" t="s">
        <v>110</v>
      </c>
      <c r="K26" s="1460" t="s">
        <v>845</v>
      </c>
      <c r="L26" s="1467">
        <v>2.48</v>
      </c>
      <c r="M26" s="1467">
        <v>0.5</v>
      </c>
      <c r="N26" s="1461">
        <v>7.3829735028959426E-2</v>
      </c>
      <c r="O26" s="1460">
        <v>6</v>
      </c>
      <c r="P26" s="1463" t="s">
        <v>880</v>
      </c>
      <c r="Q26" s="3233">
        <v>1000000</v>
      </c>
      <c r="R26" s="1466">
        <v>143382</v>
      </c>
      <c r="S26" s="1469">
        <f t="shared" si="2"/>
        <v>1143382</v>
      </c>
      <c r="T26" s="2991">
        <v>9670000</v>
      </c>
      <c r="U26" s="1469">
        <f t="shared" si="3"/>
        <v>1350658.44</v>
      </c>
      <c r="V26" s="1469">
        <f t="shared" si="4"/>
        <v>11020658.439999999</v>
      </c>
      <c r="W26" s="2993">
        <v>500000</v>
      </c>
      <c r="X26" s="1459">
        <f t="shared" si="5"/>
        <v>71691</v>
      </c>
      <c r="Y26" s="1459">
        <f t="shared" si="6"/>
        <v>571691</v>
      </c>
      <c r="Z26" s="1910"/>
    </row>
    <row r="27" spans="2:26">
      <c r="C27" s="1597" t="s">
        <v>1737</v>
      </c>
      <c r="D27" s="2771">
        <f>SUM(D29:D35)</f>
        <v>214564.76210000002</v>
      </c>
      <c r="E27" s="1657">
        <f>SUM(E29:E31)+SUM(E33:E35)</f>
        <v>244467.52389999997</v>
      </c>
      <c r="F27" s="1638">
        <f>D27+E27</f>
        <v>459032.28599999996</v>
      </c>
      <c r="H27" s="1460" t="s">
        <v>1031</v>
      </c>
      <c r="I27" s="2205">
        <v>7.98</v>
      </c>
      <c r="J27" s="1470" t="s">
        <v>110</v>
      </c>
      <c r="K27" s="1460" t="s">
        <v>845</v>
      </c>
      <c r="L27" s="1467">
        <v>21.8</v>
      </c>
      <c r="M27" s="1467">
        <v>2.5</v>
      </c>
      <c r="N27" s="1461">
        <v>2.4851340494112949E-3</v>
      </c>
      <c r="O27" s="1460">
        <v>13</v>
      </c>
      <c r="P27" s="1463" t="s">
        <v>880</v>
      </c>
      <c r="Q27" s="3233">
        <v>15000</v>
      </c>
      <c r="R27" s="1466">
        <v>20088</v>
      </c>
      <c r="S27" s="1469">
        <f>SUM(Q27:R27)</f>
        <v>35088</v>
      </c>
      <c r="T27" s="2991">
        <v>220500</v>
      </c>
      <c r="U27" s="1469">
        <f>R27*I27</f>
        <v>160302.24000000002</v>
      </c>
      <c r="V27" s="1469">
        <f>SUM(T27:U27)</f>
        <v>380802.24</v>
      </c>
      <c r="W27" s="2993">
        <v>82500</v>
      </c>
      <c r="X27" s="1459">
        <f>R27*M27</f>
        <v>50220</v>
      </c>
      <c r="Y27" s="1459">
        <f>SUM(W27:X27)</f>
        <v>132720</v>
      </c>
      <c r="Z27" s="1910"/>
    </row>
    <row r="28" spans="2:26">
      <c r="C28" s="1450" t="s">
        <v>1733</v>
      </c>
      <c r="D28" s="2777">
        <v>0.66700000000000004</v>
      </c>
      <c r="E28" s="1452">
        <v>0.68799999999999994</v>
      </c>
      <c r="F28" s="1485"/>
      <c r="H28" s="1460" t="s">
        <v>1032</v>
      </c>
      <c r="I28" s="2205">
        <v>28.63</v>
      </c>
      <c r="J28" s="1470" t="s">
        <v>110</v>
      </c>
      <c r="K28" s="1460" t="s">
        <v>845</v>
      </c>
      <c r="L28" s="1467">
        <v>25</v>
      </c>
      <c r="M28" s="1467">
        <v>5</v>
      </c>
      <c r="N28" s="1461">
        <v>7.9266306651485079E-3</v>
      </c>
      <c r="O28" s="1460">
        <v>13</v>
      </c>
      <c r="P28" s="1463" t="s">
        <v>880</v>
      </c>
      <c r="Q28" s="3233">
        <v>30000</v>
      </c>
      <c r="R28" s="1466">
        <v>20088</v>
      </c>
      <c r="S28" s="1469">
        <f>SUM(Q28:R28)</f>
        <v>50088</v>
      </c>
      <c r="T28" s="2991">
        <v>882300</v>
      </c>
      <c r="U28" s="1469">
        <f>R28*I28</f>
        <v>575119.43999999994</v>
      </c>
      <c r="V28" s="1469">
        <f>SUM(T28:U28)</f>
        <v>1457419.44</v>
      </c>
      <c r="W28" s="2993">
        <v>330000</v>
      </c>
      <c r="X28" s="1459">
        <f>R28*M28</f>
        <v>100440</v>
      </c>
      <c r="Y28" s="1459">
        <f>SUM(W28:X28)</f>
        <v>430440</v>
      </c>
      <c r="Z28" s="1910"/>
    </row>
    <row r="29" spans="2:26">
      <c r="C29" s="1667" t="s">
        <v>719</v>
      </c>
      <c r="D29" s="2778">
        <f>D15*D28</f>
        <v>145196.76210000002</v>
      </c>
      <c r="E29" s="1504">
        <f>E15*E28</f>
        <v>117758.45839999999</v>
      </c>
      <c r="F29" s="1426">
        <f t="shared" ref="F29:F35" si="8">SUM(D29:E29)</f>
        <v>262955.2205</v>
      </c>
      <c r="H29" s="1460" t="s">
        <v>1849</v>
      </c>
      <c r="I29" s="2205">
        <v>11.32</v>
      </c>
      <c r="J29" s="1470" t="s">
        <v>229</v>
      </c>
      <c r="K29" s="1460" t="s">
        <v>845</v>
      </c>
      <c r="L29" s="1467">
        <v>7.06</v>
      </c>
      <c r="M29" s="1467">
        <v>0.5</v>
      </c>
      <c r="N29" s="1461">
        <v>4.7141890184046201E-2</v>
      </c>
      <c r="O29" s="1460">
        <v>10</v>
      </c>
      <c r="P29" s="1463" t="s">
        <v>880</v>
      </c>
      <c r="Q29" s="3233">
        <v>0</v>
      </c>
      <c r="R29" s="1466">
        <v>438165</v>
      </c>
      <c r="S29" s="1469">
        <f>SUM(Q29:R29)</f>
        <v>438165</v>
      </c>
      <c r="T29" s="2991">
        <v>0</v>
      </c>
      <c r="U29" s="1469">
        <f>R29*I29</f>
        <v>4960027.8</v>
      </c>
      <c r="V29" s="1469">
        <f>SUM(T29:U29)</f>
        <v>4960027.8</v>
      </c>
      <c r="W29" s="2993">
        <v>0</v>
      </c>
      <c r="X29" s="1459">
        <f>R29*M29</f>
        <v>219082.5</v>
      </c>
      <c r="Y29" s="1459">
        <f>SUM(W29:X29)</f>
        <v>219082.5</v>
      </c>
      <c r="Z29" s="1910"/>
    </row>
    <row r="30" spans="2:26">
      <c r="C30" s="1667" t="s">
        <v>720</v>
      </c>
      <c r="D30" s="2785">
        <f>D21*D28</f>
        <v>69368</v>
      </c>
      <c r="E30" s="1504">
        <f>E21*E28</f>
        <v>69539.599999999991</v>
      </c>
      <c r="F30" s="1426">
        <f t="shared" si="8"/>
        <v>138907.59999999998</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910"/>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910"/>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910"/>
    </row>
    <row r="33" spans="1:26">
      <c r="C33" s="1667" t="s">
        <v>719</v>
      </c>
      <c r="D33" s="2778"/>
      <c r="E33" s="1641">
        <f>E15*E32</f>
        <v>35943.715499999998</v>
      </c>
      <c r="F33" s="1661">
        <f>SUM(D33:E33)</f>
        <v>35943.715499999998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910"/>
    </row>
    <row r="34" spans="1:26">
      <c r="A34" s="1400" t="s">
        <v>60</v>
      </c>
      <c r="C34" s="1667" t="s">
        <v>720</v>
      </c>
      <c r="D34" s="2785"/>
      <c r="E34" s="1641">
        <f>E21*E32</f>
        <v>21225.75</v>
      </c>
      <c r="F34" s="1661">
        <f t="shared" ref="F34" si="9">SUM(D34:E34)</f>
        <v>21225.75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910"/>
    </row>
    <row r="35" spans="1:26">
      <c r="A35" s="1357" t="s">
        <v>275</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910"/>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910"/>
    </row>
    <row r="37" spans="1:26">
      <c r="A37" s="1400">
        <v>18230440</v>
      </c>
      <c r="C37" s="1451" t="s">
        <v>46</v>
      </c>
      <c r="D37" s="2771">
        <f>SUM(D38:D41)</f>
        <v>1847506.07</v>
      </c>
      <c r="E37" s="1657">
        <f>SUM(E38:E41)</f>
        <v>1847331</v>
      </c>
      <c r="F37" s="1638">
        <f>D37+E37</f>
        <v>3694837.0700000003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357" t="s">
        <v>4</v>
      </c>
      <c r="C38" s="1423" t="s">
        <v>1824</v>
      </c>
      <c r="D38" s="2778">
        <v>400000</v>
      </c>
      <c r="E38" s="1520">
        <v>924701</v>
      </c>
      <c r="F38" s="1426">
        <f t="shared" ref="F38:F41" si="10">SUM(D38:E38)</f>
        <v>1324701</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C39" s="1423" t="s">
        <v>1825</v>
      </c>
      <c r="D39" s="2778">
        <v>1197506.07</v>
      </c>
      <c r="E39" s="1520">
        <v>802630</v>
      </c>
      <c r="F39" s="1426">
        <f t="shared" si="10"/>
        <v>2000136.07</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t="s">
        <v>1845</v>
      </c>
      <c r="D40" s="2778">
        <v>250000</v>
      </c>
      <c r="E40" s="1520">
        <v>120000</v>
      </c>
      <c r="F40" s="1426">
        <f t="shared" si="10"/>
        <v>370000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11000</v>
      </c>
      <c r="E43" s="1464">
        <f>SUM(E44:E47)</f>
        <v>11000</v>
      </c>
      <c r="F43" s="1638">
        <f>D43+E43</f>
        <v>22000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c r="D44" s="2778">
        <v>11000</v>
      </c>
      <c r="E44" s="1520">
        <v>11000</v>
      </c>
      <c r="F44" s="1426">
        <f t="shared" ref="F44:F47" si="11">SUM(D44:E44)</f>
        <v>22000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3:26">
      <c r="C49" s="1451" t="s">
        <v>47</v>
      </c>
      <c r="D49" s="2771">
        <f>SUM(D50:D54)</f>
        <v>1550000</v>
      </c>
      <c r="E49" s="1464">
        <f>SUM(E50:E54)</f>
        <v>1590926</v>
      </c>
      <c r="F49" s="1638">
        <f>D49+E49</f>
        <v>3140926</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3:26">
      <c r="C50" s="1423" t="s">
        <v>833</v>
      </c>
      <c r="D50" s="2778">
        <v>400000</v>
      </c>
      <c r="E50" s="1520">
        <v>391939</v>
      </c>
      <c r="F50" s="1426">
        <f t="shared" ref="F50:F54" si="12">SUM(D50:E50)</f>
        <v>791939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3:26">
      <c r="C51" s="1423" t="s">
        <v>832</v>
      </c>
      <c r="D51" s="2778">
        <v>1000000</v>
      </c>
      <c r="E51" s="1520">
        <v>1021487</v>
      </c>
      <c r="F51" s="1426">
        <f t="shared" si="12"/>
        <v>2021487</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3:26" s="1652" customFormat="1">
      <c r="C52" s="1667" t="s">
        <v>1021</v>
      </c>
      <c r="D52" s="2778">
        <v>100000</v>
      </c>
      <c r="E52" s="1672">
        <v>97500</v>
      </c>
      <c r="F52" s="1426"/>
      <c r="H52" s="1931"/>
      <c r="I52" s="1983"/>
      <c r="J52" s="1932"/>
      <c r="K52" s="1931"/>
      <c r="L52" s="2013"/>
      <c r="M52" s="2013"/>
      <c r="N52" s="1979"/>
      <c r="O52" s="1931"/>
      <c r="P52" s="3238"/>
      <c r="Q52" s="1983"/>
      <c r="R52" s="1983"/>
      <c r="S52" s="1954"/>
      <c r="T52" s="1954"/>
      <c r="U52" s="1954"/>
      <c r="V52" s="1954"/>
      <c r="W52" s="2012"/>
      <c r="X52" s="2012"/>
      <c r="Y52" s="2012"/>
      <c r="Z52" s="1933"/>
    </row>
    <row r="53" spans="3:26">
      <c r="C53" s="1423" t="s">
        <v>1022</v>
      </c>
      <c r="D53" s="2778">
        <v>50000</v>
      </c>
      <c r="E53" s="1520">
        <v>45000</v>
      </c>
      <c r="F53" s="1426">
        <f t="shared" si="12"/>
        <v>95000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3:26">
      <c r="C54" s="1423" t="s">
        <v>335</v>
      </c>
      <c r="D54" s="2778"/>
      <c r="E54" s="1520">
        <v>35000</v>
      </c>
      <c r="F54" s="1426">
        <f t="shared" si="12"/>
        <v>35000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3:26">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3:26">
      <c r="C56" s="1451" t="s">
        <v>48</v>
      </c>
      <c r="D56" s="2771">
        <f>SUM(D57:D60)</f>
        <v>8250</v>
      </c>
      <c r="E56" s="1464">
        <f>SUM(E57:E60)</f>
        <v>8250</v>
      </c>
      <c r="F56" s="1638">
        <f>D56+E56</f>
        <v>16500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3:26">
      <c r="C57" s="1423"/>
      <c r="D57" s="2778">
        <v>8250</v>
      </c>
      <c r="E57" s="1504">
        <v>8250</v>
      </c>
      <c r="F57" s="1426">
        <f t="shared" ref="F57:F60" si="13">SUM(D57:E57)</f>
        <v>16500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3: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3: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3:26">
      <c r="C60" s="1423"/>
      <c r="D60" s="2778"/>
      <c r="E60" s="1504"/>
      <c r="F60" s="1426">
        <f t="shared" si="13"/>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3:26">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3:26">
      <c r="C62" s="1451" t="s">
        <v>49</v>
      </c>
      <c r="D62" s="2771">
        <f>SUM(D63:D66)</f>
        <v>20000</v>
      </c>
      <c r="E62" s="1464">
        <f>SUM(E63:E66)</f>
        <v>5000</v>
      </c>
      <c r="F62" s="1638">
        <f>D62+E62</f>
        <v>25000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3:26">
      <c r="C63" s="1423"/>
      <c r="D63" s="2778">
        <v>20000</v>
      </c>
      <c r="E63" s="1520">
        <v>5000</v>
      </c>
      <c r="F63" s="1426">
        <f t="shared" ref="F63:F66" si="14">SUM(D63:E63)</f>
        <v>25000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3:26">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400" t="s">
        <v>60</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275</v>
      </c>
      <c r="C66" s="1423"/>
      <c r="D66" s="2778"/>
      <c r="E66" s="1520"/>
      <c r="F66" s="1426">
        <f t="shared" si="14"/>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400" t="s">
        <v>5</v>
      </c>
      <c r="C67" s="1488"/>
      <c r="D67" s="2779"/>
      <c r="E67" s="1490"/>
      <c r="F67" s="1493"/>
    </row>
    <row r="68" spans="1:26">
      <c r="A68" s="1400">
        <v>18230440</v>
      </c>
      <c r="C68" s="1451" t="s">
        <v>50</v>
      </c>
      <c r="D68" s="2771">
        <f>W15</f>
        <v>10242000</v>
      </c>
      <c r="E68" s="1464">
        <f>X15</f>
        <v>9853968.75</v>
      </c>
      <c r="F68" s="1462">
        <f>D68+E68</f>
        <v>20095968.75</v>
      </c>
    </row>
    <row r="69" spans="1:26">
      <c r="A69" s="1357" t="s">
        <v>4</v>
      </c>
      <c r="C69" s="1500" t="s">
        <v>297</v>
      </c>
      <c r="D69" s="2938">
        <f>D68/D12</f>
        <v>0.72050614571073635</v>
      </c>
      <c r="E69" s="1986">
        <f>E68/E12</f>
        <v>0.71234304677497562</v>
      </c>
      <c r="F69" s="1499"/>
    </row>
    <row r="70" spans="1:26">
      <c r="C70" s="1501"/>
      <c r="D70" s="2782"/>
      <c r="E70" s="1497"/>
      <c r="F70" s="1498"/>
    </row>
    <row r="71" spans="1:26">
      <c r="C71" s="1494" t="s">
        <v>51</v>
      </c>
      <c r="D71" s="2778">
        <v>0</v>
      </c>
      <c r="E71" s="1503">
        <v>0</v>
      </c>
      <c r="F71" s="1491">
        <v>0</v>
      </c>
    </row>
    <row r="72" spans="1:26">
      <c r="D72" s="2767"/>
    </row>
  </sheetData>
  <customSheetViews>
    <customSheetView guid="{D9EFFE19-D14B-4C6F-BDF4-FF696F73968D}" showGridLines="0">
      <pane xSplit="1" ySplit="1" topLeftCell="C4" activePane="bottomRight" state="frozen"/>
      <selection pane="bottomRight" activeCell="M15" sqref="L15:M15"/>
      <pageMargins left="0.24" right="0.28000000000000003" top="0.37" bottom="0.35" header="0.3" footer="0.3"/>
      <pageSetup paperSize="17" scale="46" orientation="landscape" r:id="rId1"/>
    </customSheetView>
    <customSheetView guid="{074EB09C-6289-46D7-9513-012B68BCA7BF}" showGridLines="0">
      <pane xSplit="1" ySplit="1" topLeftCell="B2" activePane="bottomRight" state="frozen"/>
      <selection pane="bottomRight" activeCell="W30" sqref="W30"/>
      <pageMargins left="0.24" right="0.28000000000000003" top="0.37" bottom="0.35"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4" right="0.25" top="0.37" bottom="0.35" header="0.3" footer="0.3"/>
  <pageSetup paperSize="3" scale="45" orientation="landscape" r:id="rId3"/>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8DB4E3"/>
  </sheetPr>
  <dimension ref="A1:AA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7.140625" customWidth="1"/>
    <col min="2" max="2" width="17.5703125" style="1413" customWidth="1"/>
    <col min="3" max="3" width="27.5703125" customWidth="1"/>
    <col min="4" max="4" width="19.28515625" customWidth="1"/>
    <col min="5" max="7" width="15.85546875" customWidth="1"/>
    <col min="8" max="8" width="52.42578125" customWidth="1"/>
    <col min="9" max="23" width="18.28515625" customWidth="1"/>
    <col min="24" max="25" width="18.42578125" customWidth="1"/>
    <col min="26" max="26" width="14" style="1907" customWidth="1"/>
  </cols>
  <sheetData>
    <row r="1" spans="1:27" ht="51" customHeight="1" thickBot="1">
      <c r="C1" s="1403" t="s">
        <v>247</v>
      </c>
      <c r="D1" s="1361" t="s">
        <v>275</v>
      </c>
      <c r="E1" s="1403" t="s">
        <v>5</v>
      </c>
      <c r="F1" s="1403">
        <v>18230634</v>
      </c>
      <c r="G1" s="1361" t="s">
        <v>4</v>
      </c>
      <c r="J1" s="1361"/>
      <c r="K1" s="1361"/>
      <c r="L1" s="1361"/>
      <c r="M1" s="1403" t="s">
        <v>247</v>
      </c>
      <c r="N1" s="1361" t="s">
        <v>275</v>
      </c>
      <c r="O1" s="1403" t="s">
        <v>5</v>
      </c>
      <c r="P1" s="1403">
        <v>18230634</v>
      </c>
      <c r="Q1" s="1361" t="s">
        <v>4</v>
      </c>
      <c r="R1" s="1126"/>
      <c r="S1" s="1126"/>
      <c r="T1" s="1126"/>
      <c r="U1" s="1126"/>
      <c r="V1" s="1403" t="s">
        <v>247</v>
      </c>
      <c r="W1" s="1361" t="s">
        <v>275</v>
      </c>
      <c r="X1" s="1403" t="s">
        <v>5</v>
      </c>
      <c r="Y1" s="1403">
        <v>18230634</v>
      </c>
      <c r="Z1" s="1912" t="s">
        <v>4</v>
      </c>
    </row>
    <row r="2" spans="1:27" ht="16.5" thickBot="1">
      <c r="C2" s="1128"/>
      <c r="D2" s="1129"/>
      <c r="E2" s="1126"/>
      <c r="F2" s="1126"/>
      <c r="G2" s="1652"/>
      <c r="H2" s="1126"/>
      <c r="I2" s="1178" t="s">
        <v>627</v>
      </c>
      <c r="J2" s="1126"/>
      <c r="K2" s="1126"/>
      <c r="L2" s="1126"/>
      <c r="M2" s="1126"/>
      <c r="N2" s="1126"/>
      <c r="O2" s="1126"/>
      <c r="P2" s="1126"/>
      <c r="Q2" s="1126"/>
      <c r="R2" s="1126"/>
      <c r="S2" s="3582"/>
      <c r="T2" s="3582"/>
      <c r="U2" s="3576" t="s">
        <v>33</v>
      </c>
      <c r="V2" s="3583"/>
      <c r="W2" s="3584"/>
      <c r="X2" s="3585" t="s">
        <v>34</v>
      </c>
      <c r="Z2"/>
      <c r="AA2" s="1907"/>
    </row>
    <row r="3" spans="1:27" ht="26.25" thickBot="1">
      <c r="A3" s="1402" t="s">
        <v>247</v>
      </c>
      <c r="B3" s="1402"/>
      <c r="E3" s="1126"/>
      <c r="F3" s="1126"/>
      <c r="G3" s="1652"/>
      <c r="H3" s="1126"/>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275</v>
      </c>
      <c r="B4" s="1402"/>
      <c r="C4" s="1128"/>
      <c r="D4" s="1131"/>
      <c r="E4" s="1126"/>
      <c r="F4" s="1126"/>
      <c r="G4" s="1652"/>
      <c r="H4" s="2946" t="s">
        <v>1726</v>
      </c>
      <c r="I4" s="2947">
        <f>D15</f>
        <v>38972.19</v>
      </c>
      <c r="J4" s="2948">
        <f>D21</f>
        <v>1600.8</v>
      </c>
      <c r="K4" s="2948">
        <f>D27</f>
        <v>27062.184330000004</v>
      </c>
      <c r="L4" s="2948">
        <f>D37</f>
        <v>25000</v>
      </c>
      <c r="M4" s="2948">
        <f>D43</f>
        <v>402</v>
      </c>
      <c r="N4" s="2948">
        <f>D49</f>
        <v>125000</v>
      </c>
      <c r="O4" s="2948">
        <f>D55</f>
        <v>525</v>
      </c>
      <c r="P4" s="2948">
        <f>D61</f>
        <v>600</v>
      </c>
      <c r="Q4" s="2948">
        <f>D67</f>
        <v>1236875</v>
      </c>
      <c r="R4" s="2948">
        <v>0</v>
      </c>
      <c r="S4" s="2949">
        <f>SUM(I4:R4)</f>
        <v>1456037.1743300001</v>
      </c>
      <c r="T4" s="2950">
        <f>T15</f>
        <v>2971700</v>
      </c>
      <c r="U4" s="2954" t="e">
        <v>#DIV/0!</v>
      </c>
      <c r="V4" s="2954" t="e">
        <v>#DIV/0!</v>
      </c>
      <c r="W4" s="2954" t="e">
        <v>#DIV/0!</v>
      </c>
      <c r="X4" s="2957" t="e">
        <v>#DIV/0!</v>
      </c>
      <c r="Z4"/>
      <c r="AA4" s="1907"/>
    </row>
    <row r="5" spans="1:27" ht="16.5" thickBot="1">
      <c r="A5" s="1402" t="s">
        <v>5</v>
      </c>
      <c r="C5" s="1129"/>
      <c r="E5" s="1127"/>
      <c r="F5" s="1126"/>
      <c r="G5" s="1652"/>
      <c r="H5" s="3205" t="s">
        <v>1753</v>
      </c>
      <c r="I5" s="2617">
        <v>39946.57</v>
      </c>
      <c r="J5" s="2618">
        <v>1640.82</v>
      </c>
      <c r="K5" s="2618">
        <v>28279.425200000001</v>
      </c>
      <c r="L5" s="2618">
        <v>25000</v>
      </c>
      <c r="M5" s="2618">
        <v>402</v>
      </c>
      <c r="N5" s="2618">
        <v>125000</v>
      </c>
      <c r="O5" s="2618">
        <v>525</v>
      </c>
      <c r="P5" s="2618">
        <v>600</v>
      </c>
      <c r="Q5" s="2618">
        <v>1170500</v>
      </c>
      <c r="R5" s="2618">
        <v>0</v>
      </c>
      <c r="S5" s="2619">
        <v>1391893.8152000001</v>
      </c>
      <c r="T5" s="2620">
        <v>2865825</v>
      </c>
      <c r="U5" s="1186">
        <v>0.38638635383361974</v>
      </c>
      <c r="V5" s="1186">
        <v>5.0728401443212855E-2</v>
      </c>
      <c r="W5" s="1186">
        <v>0.38046853070250508</v>
      </c>
      <c r="X5" s="1130" t="e">
        <v>#DIV/0!</v>
      </c>
      <c r="Z5"/>
      <c r="AA5" s="1907"/>
    </row>
    <row r="6" spans="1:27" ht="16.5" thickBot="1">
      <c r="A6" s="1402">
        <v>18230634</v>
      </c>
      <c r="B6" s="1402"/>
      <c r="C6" s="1128"/>
      <c r="D6" s="1126"/>
      <c r="E6" s="1126"/>
      <c r="F6" s="1126"/>
      <c r="G6" s="1652"/>
      <c r="H6" s="3206" t="s">
        <v>1754</v>
      </c>
      <c r="I6" s="2621">
        <f>E15</f>
        <v>0</v>
      </c>
      <c r="J6" s="2622">
        <f>E21</f>
        <v>0</v>
      </c>
      <c r="K6" s="2623">
        <f>E27</f>
        <v>0</v>
      </c>
      <c r="L6" s="2622">
        <f>E37</f>
        <v>0</v>
      </c>
      <c r="M6" s="2622">
        <f>E43</f>
        <v>0</v>
      </c>
      <c r="N6" s="2622">
        <f>E49</f>
        <v>0</v>
      </c>
      <c r="O6" s="2622">
        <f>E55</f>
        <v>0</v>
      </c>
      <c r="P6" s="2622">
        <f>E61</f>
        <v>0</v>
      </c>
      <c r="Q6" s="2622">
        <f>E67</f>
        <v>0</v>
      </c>
      <c r="R6" s="2622">
        <v>0</v>
      </c>
      <c r="S6" s="2624">
        <f>SUM(I6:R6)</f>
        <v>0</v>
      </c>
      <c r="T6" s="2625">
        <f>U15</f>
        <v>0</v>
      </c>
      <c r="U6" s="2631">
        <v>0.56433512986987144</v>
      </c>
      <c r="V6" s="2631">
        <v>1.8007544630546931E-2</v>
      </c>
      <c r="W6" s="2631">
        <v>0.3558043194643184</v>
      </c>
      <c r="X6" s="2626">
        <v>0.42221572462492302</v>
      </c>
      <c r="Z6"/>
      <c r="AA6" s="1907"/>
    </row>
    <row r="7" spans="1:27" ht="15.75">
      <c r="A7" s="1357" t="s">
        <v>4</v>
      </c>
      <c r="B7" s="1357"/>
      <c r="G7" s="2606"/>
      <c r="H7" s="2607"/>
      <c r="I7" s="2607"/>
      <c r="J7" s="2607"/>
      <c r="K7" s="2607"/>
      <c r="L7" s="2607"/>
      <c r="M7" s="2607"/>
      <c r="N7" s="2607"/>
      <c r="O7" s="2607"/>
      <c r="P7" s="2607"/>
      <c r="Q7" s="2607"/>
      <c r="R7" s="2607"/>
      <c r="S7" s="2608"/>
      <c r="T7" s="2630"/>
      <c r="U7" s="2630"/>
      <c r="V7" s="2630"/>
      <c r="W7" s="2610"/>
    </row>
    <row r="8" spans="1:27">
      <c r="B8" s="1357"/>
    </row>
    <row r="9" spans="1:27" s="1132" customFormat="1">
      <c r="A9" s="1357"/>
      <c r="B9" s="1357"/>
      <c r="C9" s="1413"/>
      <c r="D9" s="1413"/>
      <c r="E9" s="1413"/>
      <c r="F9" s="1413"/>
      <c r="I9" s="3003" t="s">
        <v>1730</v>
      </c>
      <c r="J9" s="1652"/>
      <c r="K9" s="1652"/>
      <c r="L9" s="1652"/>
      <c r="M9" s="1652"/>
      <c r="N9" s="1652"/>
      <c r="O9" s="1652"/>
      <c r="P9" s="1652"/>
      <c r="Q9" s="3003" t="s">
        <v>1729</v>
      </c>
      <c r="R9" s="1652"/>
      <c r="S9" s="1652"/>
      <c r="T9" s="3003" t="s">
        <v>1729</v>
      </c>
      <c r="U9" s="1652"/>
      <c r="V9" s="1652"/>
      <c r="W9" s="3003" t="s">
        <v>1729</v>
      </c>
      <c r="Z9" s="1907"/>
    </row>
    <row r="10" spans="1:27" s="1132" customFormat="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5" t="s">
        <v>300</v>
      </c>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C12" s="1434" t="s">
        <v>298</v>
      </c>
      <c r="D12" s="2939">
        <f>D15+D21+D27+D37+D43+D49+D55+D61+D67</f>
        <v>1456037.1743300001</v>
      </c>
      <c r="E12" s="1909">
        <f>E15+E21+E27+E37+E43+E49+E55+E61+E67</f>
        <v>0</v>
      </c>
      <c r="F12" s="1462">
        <f>D12+E12</f>
        <v>1456037.1743300001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45" t="s">
        <v>1045</v>
      </c>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7">
      <c r="B15" s="1433" t="s">
        <v>296</v>
      </c>
      <c r="C15" s="1597" t="s">
        <v>1749</v>
      </c>
      <c r="D15" s="2780">
        <f>SUM(D16:D19)</f>
        <v>38972.19</v>
      </c>
      <c r="E15" s="1657">
        <f>SUM(E16:E19)</f>
        <v>0</v>
      </c>
      <c r="F15" s="1602">
        <f>D15+E15</f>
        <v>38972.19</v>
      </c>
      <c r="H15" s="1475" t="s">
        <v>308</v>
      </c>
      <c r="I15" s="1476"/>
      <c r="J15" s="1476"/>
      <c r="K15" s="1477"/>
      <c r="L15" s="1478">
        <f>SUMPRODUCT(L16:L27,S16:S27)</f>
        <v>611865</v>
      </c>
      <c r="M15" s="1478">
        <f>SUM(M16:M27)</f>
        <v>2051.8000000000002</v>
      </c>
      <c r="N15" s="1479">
        <f>SUM(N16:N65)</f>
        <v>1</v>
      </c>
      <c r="O15" s="1477">
        <v>18</v>
      </c>
      <c r="P15" s="1477"/>
      <c r="Q15" s="1477"/>
      <c r="R15" s="1477"/>
      <c r="S15" s="1477"/>
      <c r="T15" s="2983">
        <v>2971700</v>
      </c>
      <c r="U15" s="1480">
        <f t="shared" ref="U15:Y15" si="0">SUM(U16:U65)</f>
        <v>0</v>
      </c>
      <c r="V15" s="1480">
        <f t="shared" si="0"/>
        <v>2971700</v>
      </c>
      <c r="W15" s="2987">
        <v>1236875</v>
      </c>
      <c r="X15" s="1478">
        <f t="shared" si="0"/>
        <v>0</v>
      </c>
      <c r="Y15" s="1478">
        <f t="shared" si="0"/>
        <v>1236875</v>
      </c>
      <c r="Z15" s="1911">
        <v>0</v>
      </c>
    </row>
    <row r="16" spans="1:27">
      <c r="B16" s="1432">
        <v>0.1</v>
      </c>
      <c r="C16" s="1667" t="s">
        <v>734</v>
      </c>
      <c r="D16" s="2772">
        <v>9063.3000000000011</v>
      </c>
      <c r="E16" s="1448"/>
      <c r="F16" s="1426">
        <f>SUM(D16:E16)</f>
        <v>9063.3000000000011</v>
      </c>
      <c r="H16" s="1924" t="s">
        <v>1034</v>
      </c>
      <c r="I16" s="1927">
        <v>0</v>
      </c>
      <c r="J16" s="1470" t="s">
        <v>110</v>
      </c>
      <c r="K16" s="1460" t="s">
        <v>845</v>
      </c>
      <c r="L16" s="1467">
        <v>80</v>
      </c>
      <c r="M16" s="1467">
        <v>80</v>
      </c>
      <c r="N16" s="1461">
        <v>0</v>
      </c>
      <c r="O16" s="1460">
        <v>1</v>
      </c>
      <c r="P16" s="1463" t="s">
        <v>994</v>
      </c>
      <c r="Q16" s="1466">
        <v>1000</v>
      </c>
      <c r="R16" s="1466"/>
      <c r="S16" s="1469">
        <f>SUM(Q16:R16)</f>
        <v>1000</v>
      </c>
      <c r="T16" s="2991">
        <v>0</v>
      </c>
      <c r="U16" s="1469">
        <f>R16*I16</f>
        <v>0</v>
      </c>
      <c r="V16" s="1469">
        <f>SUM(T16:U16)</f>
        <v>0</v>
      </c>
      <c r="W16" s="2993">
        <v>80000</v>
      </c>
      <c r="X16" s="1459">
        <f>R16*M16</f>
        <v>0</v>
      </c>
      <c r="Y16" s="1459">
        <f>SUM(W16:X16)</f>
        <v>80000</v>
      </c>
      <c r="Z16" s="1910">
        <v>0</v>
      </c>
    </row>
    <row r="17" spans="2:26">
      <c r="B17" s="1432">
        <v>0.19</v>
      </c>
      <c r="C17" s="1423" t="s">
        <v>735</v>
      </c>
      <c r="D17" s="2784">
        <v>17220.27</v>
      </c>
      <c r="E17" s="1447"/>
      <c r="F17" s="1426">
        <f t="shared" ref="F17:F19" si="1">SUM(D17:E17)</f>
        <v>17220.27</v>
      </c>
      <c r="H17" s="1924" t="s">
        <v>1035</v>
      </c>
      <c r="I17" s="1927">
        <v>17</v>
      </c>
      <c r="J17" s="1470" t="s">
        <v>110</v>
      </c>
      <c r="K17" s="1460" t="s">
        <v>845</v>
      </c>
      <c r="L17" s="1467">
        <v>7.3980000000000015</v>
      </c>
      <c r="M17" s="1467">
        <v>7.4</v>
      </c>
      <c r="N17" s="1461">
        <v>2.9121930955327814E-2</v>
      </c>
      <c r="O17" s="1460">
        <v>12</v>
      </c>
      <c r="P17" s="1463" t="s">
        <v>880</v>
      </c>
      <c r="Q17" s="1466">
        <v>5000</v>
      </c>
      <c r="R17" s="1466"/>
      <c r="S17" s="1469">
        <f t="shared" ref="S17:S28" si="2">SUM(Q17:R17)</f>
        <v>5000</v>
      </c>
      <c r="T17" s="2991">
        <v>85000</v>
      </c>
      <c r="U17" s="1469">
        <f t="shared" ref="U17:U28" si="3">R17*I17</f>
        <v>0</v>
      </c>
      <c r="V17" s="1469">
        <f t="shared" ref="V17:V28" si="4">SUM(T17:U17)</f>
        <v>85000</v>
      </c>
      <c r="W17" s="2993">
        <v>37000</v>
      </c>
      <c r="X17" s="1459">
        <f t="shared" ref="X17:X28" si="5">R17*M17</f>
        <v>0</v>
      </c>
      <c r="Y17" s="1459">
        <f t="shared" ref="Y17:Y28" si="6">SUM(W17:X17)</f>
        <v>37000</v>
      </c>
      <c r="Z17" s="1910">
        <v>0</v>
      </c>
    </row>
    <row r="18" spans="2:26">
      <c r="B18" s="1432">
        <v>0.14000000000000001</v>
      </c>
      <c r="C18" s="1423" t="s">
        <v>737</v>
      </c>
      <c r="D18" s="2784">
        <v>12688.62</v>
      </c>
      <c r="E18" s="1447"/>
      <c r="F18" s="1426">
        <f t="shared" si="1"/>
        <v>12688.62</v>
      </c>
      <c r="H18" s="1924" t="s">
        <v>1036</v>
      </c>
      <c r="I18" s="1927">
        <v>16</v>
      </c>
      <c r="J18" s="1470" t="s">
        <v>110</v>
      </c>
      <c r="K18" s="1460" t="s">
        <v>845</v>
      </c>
      <c r="L18" s="1467">
        <v>7.4</v>
      </c>
      <c r="M18" s="1467">
        <v>7.4</v>
      </c>
      <c r="N18" s="1461">
        <v>1.6445325715949824E-2</v>
      </c>
      <c r="O18" s="1460">
        <v>12</v>
      </c>
      <c r="P18" s="1463" t="s">
        <v>880</v>
      </c>
      <c r="Q18" s="1466">
        <v>3000</v>
      </c>
      <c r="R18" s="1466"/>
      <c r="S18" s="1469">
        <f t="shared" si="2"/>
        <v>3000</v>
      </c>
      <c r="T18" s="2991">
        <v>48000</v>
      </c>
      <c r="U18" s="1469">
        <f t="shared" si="3"/>
        <v>0</v>
      </c>
      <c r="V18" s="1469">
        <f t="shared" si="4"/>
        <v>48000</v>
      </c>
      <c r="W18" s="2993">
        <v>22200</v>
      </c>
      <c r="X18" s="1459">
        <f t="shared" si="5"/>
        <v>0</v>
      </c>
      <c r="Y18" s="1459">
        <f t="shared" si="6"/>
        <v>22200</v>
      </c>
      <c r="Z18" s="1910">
        <v>0</v>
      </c>
    </row>
    <row r="19" spans="2:26">
      <c r="B19" s="1432"/>
      <c r="C19" s="1423"/>
      <c r="D19" s="2786"/>
      <c r="E19" s="1446"/>
      <c r="F19" s="1426">
        <f t="shared" si="1"/>
        <v>0</v>
      </c>
      <c r="H19" s="1924" t="s">
        <v>1037</v>
      </c>
      <c r="I19" s="1927">
        <v>307</v>
      </c>
      <c r="J19" s="1470" t="s">
        <v>110</v>
      </c>
      <c r="K19" s="1460" t="s">
        <v>845</v>
      </c>
      <c r="L19" s="1467">
        <v>15</v>
      </c>
      <c r="M19" s="1467">
        <v>15</v>
      </c>
      <c r="N19" s="1461">
        <v>8.9404328032856389E-2</v>
      </c>
      <c r="O19" s="1460">
        <v>10</v>
      </c>
      <c r="P19" s="1463" t="s">
        <v>846</v>
      </c>
      <c r="Q19" s="1466">
        <v>850</v>
      </c>
      <c r="R19" s="1466"/>
      <c r="S19" s="1469">
        <f t="shared" si="2"/>
        <v>850</v>
      </c>
      <c r="T19" s="2991">
        <v>260950</v>
      </c>
      <c r="U19" s="1469">
        <f t="shared" si="3"/>
        <v>0</v>
      </c>
      <c r="V19" s="1469">
        <f t="shared" si="4"/>
        <v>260950</v>
      </c>
      <c r="W19" s="2993">
        <v>12750</v>
      </c>
      <c r="X19" s="1459">
        <f t="shared" si="5"/>
        <v>0</v>
      </c>
      <c r="Y19" s="1459">
        <f t="shared" si="6"/>
        <v>12750</v>
      </c>
      <c r="Z19" s="1910">
        <v>20.53</v>
      </c>
    </row>
    <row r="20" spans="2:26">
      <c r="B20" s="1449">
        <f>SUM(B16:B19)</f>
        <v>0.43000000000000005</v>
      </c>
      <c r="C20" s="1488"/>
      <c r="D20" s="2770"/>
      <c r="E20" s="1490"/>
      <c r="F20" s="1492"/>
      <c r="H20" s="1924" t="s">
        <v>1038</v>
      </c>
      <c r="I20" s="1927">
        <v>173</v>
      </c>
      <c r="J20" s="1470" t="s">
        <v>110</v>
      </c>
      <c r="K20" s="1460" t="s">
        <v>845</v>
      </c>
      <c r="L20" s="1467">
        <v>390</v>
      </c>
      <c r="M20" s="1467">
        <v>390</v>
      </c>
      <c r="N20" s="1461">
        <v>5.186273292191468E-3</v>
      </c>
      <c r="O20" s="1460">
        <v>20</v>
      </c>
      <c r="P20" s="1463" t="s">
        <v>994</v>
      </c>
      <c r="Q20" s="1466">
        <v>100</v>
      </c>
      <c r="R20" s="1466"/>
      <c r="S20" s="1469">
        <f t="shared" si="2"/>
        <v>100</v>
      </c>
      <c r="T20" s="2991">
        <v>17300</v>
      </c>
      <c r="U20" s="1469">
        <f t="shared" si="3"/>
        <v>0</v>
      </c>
      <c r="V20" s="1469">
        <f t="shared" si="4"/>
        <v>17300</v>
      </c>
      <c r="W20" s="2993">
        <v>39000</v>
      </c>
      <c r="X20" s="1459">
        <f t="shared" si="5"/>
        <v>0</v>
      </c>
      <c r="Y20" s="1459">
        <f t="shared" si="6"/>
        <v>39000</v>
      </c>
      <c r="Z20" s="1910">
        <v>0</v>
      </c>
    </row>
    <row r="21" spans="2:26">
      <c r="B21" s="1433" t="s">
        <v>296</v>
      </c>
      <c r="C21" s="1451" t="s">
        <v>44</v>
      </c>
      <c r="D21" s="2780">
        <f>SUM(D22:D25)</f>
        <v>1600.8</v>
      </c>
      <c r="E21" s="1657">
        <f>SUM(E22:E25)</f>
        <v>0</v>
      </c>
      <c r="F21" s="1602">
        <f>D21+E21</f>
        <v>1600.8</v>
      </c>
      <c r="H21" s="1924" t="s">
        <v>1039</v>
      </c>
      <c r="I21" s="1927">
        <v>900</v>
      </c>
      <c r="J21" s="1470" t="s">
        <v>110</v>
      </c>
      <c r="K21" s="1460" t="s">
        <v>845</v>
      </c>
      <c r="L21" s="1467">
        <v>475</v>
      </c>
      <c r="M21" s="1467">
        <v>475</v>
      </c>
      <c r="N21" s="1461">
        <v>7.323309107883906E-2</v>
      </c>
      <c r="O21" s="1460">
        <v>20</v>
      </c>
      <c r="P21" s="1463" t="s">
        <v>994</v>
      </c>
      <c r="Q21" s="1466">
        <v>275</v>
      </c>
      <c r="R21" s="1466"/>
      <c r="S21" s="1469">
        <f t="shared" si="2"/>
        <v>275</v>
      </c>
      <c r="T21" s="2991">
        <v>247500</v>
      </c>
      <c r="U21" s="1469">
        <f t="shared" si="3"/>
        <v>0</v>
      </c>
      <c r="V21" s="1469">
        <f t="shared" si="4"/>
        <v>247500</v>
      </c>
      <c r="W21" s="2993">
        <v>130625</v>
      </c>
      <c r="X21" s="1459">
        <f t="shared" si="5"/>
        <v>0</v>
      </c>
      <c r="Y21" s="1459">
        <f t="shared" si="6"/>
        <v>130625</v>
      </c>
      <c r="Z21" s="1910">
        <v>0</v>
      </c>
    </row>
    <row r="22" spans="2:26">
      <c r="B22" s="1982">
        <f>(SUM(D22:E22)/2)/((80000+(80000*1.025))/2)</f>
        <v>9.8814814814814807E-3</v>
      </c>
      <c r="C22" s="1423" t="s">
        <v>10</v>
      </c>
      <c r="D22" s="2772">
        <v>1600.8</v>
      </c>
      <c r="E22" s="1448"/>
      <c r="F22" s="1426">
        <f t="shared" ref="F22:F25" si="7">SUM(D22:E22)</f>
        <v>1600.8</v>
      </c>
      <c r="H22" s="1924" t="s">
        <v>1040</v>
      </c>
      <c r="I22" s="1927">
        <v>670</v>
      </c>
      <c r="J22" s="1470" t="s">
        <v>110</v>
      </c>
      <c r="K22" s="1460" t="s">
        <v>845</v>
      </c>
      <c r="L22" s="1467">
        <v>475</v>
      </c>
      <c r="M22" s="1467">
        <v>475</v>
      </c>
      <c r="N22" s="1461">
        <v>3.0415287300696786E-2</v>
      </c>
      <c r="O22" s="1460">
        <v>20</v>
      </c>
      <c r="P22" s="1463" t="s">
        <v>994</v>
      </c>
      <c r="Q22" s="1466">
        <v>140</v>
      </c>
      <c r="R22" s="1466"/>
      <c r="S22" s="1469">
        <f t="shared" si="2"/>
        <v>140</v>
      </c>
      <c r="T22" s="2991">
        <v>93800</v>
      </c>
      <c r="U22" s="1469">
        <f t="shared" si="3"/>
        <v>0</v>
      </c>
      <c r="V22" s="1469">
        <f t="shared" si="4"/>
        <v>93800</v>
      </c>
      <c r="W22" s="2993">
        <v>66500</v>
      </c>
      <c r="X22" s="1459">
        <f t="shared" si="5"/>
        <v>0</v>
      </c>
      <c r="Y22" s="1459">
        <f t="shared" si="6"/>
        <v>66500</v>
      </c>
      <c r="Z22" s="1910">
        <v>0</v>
      </c>
    </row>
    <row r="23" spans="2:26">
      <c r="B23" s="1982">
        <f>(SUM(D23:E23)/2)/((80000+(80000*1.025))/2)</f>
        <v>0</v>
      </c>
      <c r="C23" s="1423" t="s">
        <v>1106</v>
      </c>
      <c r="D23" s="2773"/>
      <c r="E23" s="1444"/>
      <c r="F23" s="1426">
        <f t="shared" si="7"/>
        <v>0</v>
      </c>
      <c r="H23" s="1924" t="s">
        <v>1041</v>
      </c>
      <c r="I23" s="1927">
        <v>960</v>
      </c>
      <c r="J23" s="1470" t="s">
        <v>110</v>
      </c>
      <c r="K23" s="1460" t="s">
        <v>845</v>
      </c>
      <c r="L23" s="1467">
        <v>555</v>
      </c>
      <c r="M23" s="1467">
        <v>555</v>
      </c>
      <c r="N23" s="1461">
        <v>0.12745127429861114</v>
      </c>
      <c r="O23" s="1460">
        <v>20</v>
      </c>
      <c r="P23" s="1463" t="s">
        <v>994</v>
      </c>
      <c r="Q23" s="1466">
        <v>400</v>
      </c>
      <c r="R23" s="1466"/>
      <c r="S23" s="1469">
        <f t="shared" si="2"/>
        <v>400</v>
      </c>
      <c r="T23" s="2991">
        <v>384000</v>
      </c>
      <c r="U23" s="1469">
        <f t="shared" si="3"/>
        <v>0</v>
      </c>
      <c r="V23" s="1469">
        <f t="shared" si="4"/>
        <v>384000</v>
      </c>
      <c r="W23" s="2993">
        <v>222000</v>
      </c>
      <c r="X23" s="1459">
        <f t="shared" si="5"/>
        <v>0</v>
      </c>
      <c r="Y23" s="1459">
        <f t="shared" si="6"/>
        <v>222000</v>
      </c>
      <c r="Z23" s="1910">
        <v>0</v>
      </c>
    </row>
    <row r="24" spans="2:26">
      <c r="B24" s="1982"/>
      <c r="C24" s="1423"/>
      <c r="D24" s="2774"/>
      <c r="E24" s="1443"/>
      <c r="F24" s="1426">
        <f t="shared" si="7"/>
        <v>0</v>
      </c>
      <c r="H24" s="1924" t="s">
        <v>1018</v>
      </c>
      <c r="I24" s="1927">
        <v>53</v>
      </c>
      <c r="J24" s="1470" t="s">
        <v>110</v>
      </c>
      <c r="K24" s="1460" t="s">
        <v>845</v>
      </c>
      <c r="L24" s="1467">
        <v>2</v>
      </c>
      <c r="M24" s="1467">
        <v>2</v>
      </c>
      <c r="N24" s="1461">
        <v>9.0791902390139657E-3</v>
      </c>
      <c r="O24" s="1460">
        <v>10</v>
      </c>
      <c r="P24" s="1463" t="s">
        <v>846</v>
      </c>
      <c r="Q24" s="1466">
        <v>500</v>
      </c>
      <c r="R24" s="1466"/>
      <c r="S24" s="1469">
        <f t="shared" si="2"/>
        <v>500</v>
      </c>
      <c r="T24" s="2991">
        <v>26500</v>
      </c>
      <c r="U24" s="1469">
        <f t="shared" si="3"/>
        <v>0</v>
      </c>
      <c r="V24" s="1469">
        <f t="shared" si="4"/>
        <v>26500</v>
      </c>
      <c r="W24" s="2993">
        <v>1000</v>
      </c>
      <c r="X24" s="1459">
        <f t="shared" si="5"/>
        <v>0</v>
      </c>
      <c r="Y24" s="1459">
        <f t="shared" si="6"/>
        <v>1000</v>
      </c>
      <c r="Z24" s="1910">
        <v>2.36</v>
      </c>
    </row>
    <row r="25" spans="2:26">
      <c r="B25" s="1982"/>
      <c r="C25" s="1423"/>
      <c r="D25" s="2775"/>
      <c r="E25" s="1444"/>
      <c r="F25" s="1426">
        <f t="shared" si="7"/>
        <v>0</v>
      </c>
      <c r="H25" s="1924" t="s">
        <v>1019</v>
      </c>
      <c r="I25" s="1927">
        <v>31</v>
      </c>
      <c r="J25" s="1470" t="s">
        <v>110</v>
      </c>
      <c r="K25" s="1460" t="s">
        <v>845</v>
      </c>
      <c r="L25" s="1467">
        <v>2</v>
      </c>
      <c r="M25" s="1467">
        <v>2</v>
      </c>
      <c r="N25" s="1461">
        <v>4.2483758099537043E-3</v>
      </c>
      <c r="O25" s="1460">
        <v>10</v>
      </c>
      <c r="P25" s="1463" t="s">
        <v>846</v>
      </c>
      <c r="Q25" s="1466">
        <v>400</v>
      </c>
      <c r="R25" s="1466"/>
      <c r="S25" s="1469">
        <f t="shared" si="2"/>
        <v>400</v>
      </c>
      <c r="T25" s="2991">
        <v>12400</v>
      </c>
      <c r="U25" s="1469">
        <f t="shared" si="3"/>
        <v>0</v>
      </c>
      <c r="V25" s="1469">
        <f t="shared" si="4"/>
        <v>12400</v>
      </c>
      <c r="W25" s="2993">
        <v>800</v>
      </c>
      <c r="X25" s="1459">
        <f t="shared" si="5"/>
        <v>0</v>
      </c>
      <c r="Y25" s="1459">
        <f t="shared" si="6"/>
        <v>800</v>
      </c>
      <c r="Z25" s="1910">
        <v>2.36</v>
      </c>
    </row>
    <row r="26" spans="2:26">
      <c r="B26" s="1449">
        <f>SUM(B22:B25)</f>
        <v>9.8814814814814807E-3</v>
      </c>
      <c r="C26" s="1424"/>
      <c r="D26" s="2776"/>
      <c r="E26" s="1431"/>
      <c r="F26" s="1439"/>
      <c r="H26" s="1924" t="s">
        <v>1042</v>
      </c>
      <c r="I26" s="1927">
        <v>1.1299999999999999</v>
      </c>
      <c r="J26" s="1470" t="s">
        <v>110</v>
      </c>
      <c r="K26" s="1460" t="s">
        <v>992</v>
      </c>
      <c r="L26" s="1467">
        <v>1</v>
      </c>
      <c r="M26" s="1467">
        <v>1</v>
      </c>
      <c r="N26" s="1461" t="s">
        <v>229</v>
      </c>
      <c r="O26" s="1460">
        <v>30</v>
      </c>
      <c r="P26" s="1463" t="s">
        <v>994</v>
      </c>
      <c r="Q26" s="1466"/>
      <c r="R26" s="1466"/>
      <c r="S26" s="1469">
        <f t="shared" si="2"/>
        <v>0</v>
      </c>
      <c r="T26" s="2991">
        <v>0</v>
      </c>
      <c r="U26" s="1469">
        <f t="shared" si="3"/>
        <v>0</v>
      </c>
      <c r="V26" s="1469">
        <f t="shared" si="4"/>
        <v>0</v>
      </c>
      <c r="W26" s="2993">
        <v>0</v>
      </c>
      <c r="X26" s="1459">
        <f t="shared" si="5"/>
        <v>0</v>
      </c>
      <c r="Y26" s="1459">
        <f t="shared" si="6"/>
        <v>0</v>
      </c>
      <c r="Z26" s="1910">
        <v>0</v>
      </c>
    </row>
    <row r="27" spans="2:26" ht="15.75" customHeight="1">
      <c r="C27" s="1597" t="s">
        <v>1737</v>
      </c>
      <c r="D27" s="2780">
        <f>SUM(D29:D35)</f>
        <v>27062.184330000004</v>
      </c>
      <c r="E27" s="1657">
        <f>SUM(E29:E31)+SUM(E33:E35)</f>
        <v>0</v>
      </c>
      <c r="F27" s="1602">
        <f>D27+E27</f>
        <v>27062.184330000004</v>
      </c>
      <c r="H27" s="1928" t="s">
        <v>1013</v>
      </c>
      <c r="I27" s="1927">
        <v>260</v>
      </c>
      <c r="J27" s="1470" t="s">
        <v>110</v>
      </c>
      <c r="K27" s="1460" t="s">
        <v>845</v>
      </c>
      <c r="L27" s="1467">
        <v>42</v>
      </c>
      <c r="M27" s="1467">
        <v>42</v>
      </c>
      <c r="N27" s="1461" t="s">
        <v>229</v>
      </c>
      <c r="O27" s="1460">
        <v>5</v>
      </c>
      <c r="P27" s="1463" t="s">
        <v>878</v>
      </c>
      <c r="Q27" s="1466"/>
      <c r="R27" s="1466"/>
      <c r="S27" s="1469">
        <f>SUM(Q27:R27)</f>
        <v>0</v>
      </c>
      <c r="T27" s="2991">
        <v>0</v>
      </c>
      <c r="U27" s="1469">
        <f>R27*I27</f>
        <v>0</v>
      </c>
      <c r="V27" s="1469">
        <f>SUM(T27:U27)</f>
        <v>0</v>
      </c>
      <c r="W27" s="2993">
        <v>0</v>
      </c>
      <c r="X27" s="1459">
        <f>R27*M27</f>
        <v>0</v>
      </c>
      <c r="Y27" s="1459">
        <f>SUM(W27:X27)</f>
        <v>0</v>
      </c>
      <c r="Z27" s="1910">
        <v>0</v>
      </c>
    </row>
    <row r="28" spans="2:26">
      <c r="C28" s="1450" t="s">
        <v>1733</v>
      </c>
      <c r="D28" s="2777">
        <v>0.66700000000000004</v>
      </c>
      <c r="E28" s="1452">
        <v>0.68799999999999994</v>
      </c>
      <c r="F28" s="1485"/>
      <c r="H28" s="1924" t="s">
        <v>1587</v>
      </c>
      <c r="I28" s="1927">
        <v>7185</v>
      </c>
      <c r="J28" s="1470" t="s">
        <v>110</v>
      </c>
      <c r="K28" s="1460" t="s">
        <v>845</v>
      </c>
      <c r="L28" s="1467">
        <v>4958</v>
      </c>
      <c r="M28" s="1467">
        <v>2500</v>
      </c>
      <c r="N28" s="1461">
        <v>0.61541492327655989</v>
      </c>
      <c r="O28" s="1460">
        <v>15</v>
      </c>
      <c r="P28" s="1463" t="s">
        <v>1054</v>
      </c>
      <c r="Q28" s="1466">
        <v>250</v>
      </c>
      <c r="R28" s="1466"/>
      <c r="S28" s="1469">
        <f t="shared" si="2"/>
        <v>250</v>
      </c>
      <c r="T28" s="2991">
        <v>1796250</v>
      </c>
      <c r="U28" s="1469">
        <f t="shared" si="3"/>
        <v>0</v>
      </c>
      <c r="V28" s="1469">
        <f t="shared" si="4"/>
        <v>1796250</v>
      </c>
      <c r="W28" s="2993">
        <v>625000</v>
      </c>
      <c r="X28" s="1459">
        <f t="shared" si="5"/>
        <v>0</v>
      </c>
      <c r="Y28" s="1459">
        <f t="shared" si="6"/>
        <v>625000</v>
      </c>
      <c r="Z28" s="1910">
        <v>0</v>
      </c>
    </row>
    <row r="29" spans="2:26">
      <c r="C29" s="1667" t="s">
        <v>719</v>
      </c>
      <c r="D29" s="2778">
        <f>D15*D28</f>
        <v>25994.450730000004</v>
      </c>
      <c r="E29" s="1504">
        <f>E15*E28</f>
        <v>0</v>
      </c>
      <c r="F29" s="1426">
        <f t="shared" ref="F29:F35" si="8">SUM(D29:E29)</f>
        <v>25994.450730000004</v>
      </c>
      <c r="H29" s="1460"/>
      <c r="I29" s="1466"/>
      <c r="J29" s="1470" t="s">
        <v>229</v>
      </c>
      <c r="K29" s="1460"/>
      <c r="L29" s="1467"/>
      <c r="M29" s="1467"/>
      <c r="N29" s="1461"/>
      <c r="O29" s="1460"/>
      <c r="P29" s="1463"/>
      <c r="Q29" s="1466"/>
      <c r="R29" s="1466"/>
      <c r="S29" s="1469" t="s">
        <v>229</v>
      </c>
      <c r="T29" s="2991" t="s">
        <v>229</v>
      </c>
      <c r="U29" s="1469" t="s">
        <v>229</v>
      </c>
      <c r="V29" s="1469" t="s">
        <v>229</v>
      </c>
      <c r="W29" s="1459" t="s">
        <v>229</v>
      </c>
      <c r="X29" s="1459" t="s">
        <v>229</v>
      </c>
      <c r="Y29" s="1459" t="s">
        <v>229</v>
      </c>
      <c r="Z29" s="1910"/>
    </row>
    <row r="30" spans="2:26">
      <c r="C30" s="1667" t="s">
        <v>720</v>
      </c>
      <c r="D30" s="2785">
        <f>D21*D28</f>
        <v>1067.7336</v>
      </c>
      <c r="E30" s="1504">
        <f>E21*E28</f>
        <v>0</v>
      </c>
      <c r="F30" s="1426">
        <f t="shared" si="8"/>
        <v>1067.7336</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910"/>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910"/>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910"/>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910"/>
    </row>
    <row r="34" spans="1:26">
      <c r="A34" s="1402" t="s">
        <v>552</v>
      </c>
      <c r="C34" s="1667" t="s">
        <v>720</v>
      </c>
      <c r="D34" s="2785"/>
      <c r="E34" s="1641">
        <f>E21*E32</f>
        <v>0</v>
      </c>
      <c r="F34" s="1661">
        <f t="shared" ref="F34" si="9">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910"/>
    </row>
    <row r="35" spans="1:26">
      <c r="A35" s="1663" t="s">
        <v>553</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910"/>
    </row>
    <row r="36" spans="1:26">
      <c r="A36" s="1663" t="s">
        <v>554</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910"/>
    </row>
    <row r="37" spans="1:26">
      <c r="A37" s="1357" t="s">
        <v>275</v>
      </c>
      <c r="C37" s="1451" t="s">
        <v>46</v>
      </c>
      <c r="D37" s="2780">
        <f>SUM(D38:D41)</f>
        <v>25000</v>
      </c>
      <c r="E37" s="1657">
        <f>SUM(E38:E41)</f>
        <v>0</v>
      </c>
      <c r="F37" s="1602">
        <f>D37+E37</f>
        <v>25000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402" t="s">
        <v>5</v>
      </c>
      <c r="C38" s="1423" t="s">
        <v>1009</v>
      </c>
      <c r="D38" s="2778">
        <v>25000</v>
      </c>
      <c r="E38" s="1520"/>
      <c r="F38" s="1426">
        <f t="shared" ref="F38:F41" si="10">SUM(D38:E38)</f>
        <v>25000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A39" s="1402">
        <v>18230634</v>
      </c>
      <c r="C39" s="1423"/>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A40" s="1357" t="s">
        <v>4</v>
      </c>
      <c r="C40" s="1423"/>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80">
        <f>SUM(D44:D47)</f>
        <v>402</v>
      </c>
      <c r="E43" s="1657">
        <f>SUM(E44:E47)</f>
        <v>0</v>
      </c>
      <c r="F43" s="1602">
        <f>D43+E43</f>
        <v>402</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1011</v>
      </c>
      <c r="D44" s="2778">
        <v>402</v>
      </c>
      <c r="E44" s="1520"/>
      <c r="F44" s="1426">
        <f t="shared" ref="F44:F47" si="11">SUM(D44:E44)</f>
        <v>402</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t="s">
        <v>1060</v>
      </c>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80">
        <f>SUM(D50:D53)</f>
        <v>125000</v>
      </c>
      <c r="E49" s="1657">
        <f>SUM(E50:E53)</f>
        <v>0</v>
      </c>
      <c r="F49" s="1602">
        <f>D49+E49</f>
        <v>125000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1012</v>
      </c>
      <c r="D50" s="2778">
        <v>125000</v>
      </c>
      <c r="E50" s="1520"/>
      <c r="F50" s="1426">
        <f t="shared" ref="F50:F53" si="12">SUM(D50:E50)</f>
        <v>125000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80">
        <f>SUM(D56:D59)</f>
        <v>525</v>
      </c>
      <c r="E55" s="1657">
        <f>SUM(E56:E59)</f>
        <v>0</v>
      </c>
      <c r="F55" s="1602">
        <f>D55+E55</f>
        <v>525</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c r="D56" s="2778">
        <v>525</v>
      </c>
      <c r="E56" s="1504"/>
      <c r="F56" s="1426">
        <f t="shared" ref="F56:F59" si="13">SUM(D56:E56)</f>
        <v>525</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80">
        <f>SUM(D62:D65)</f>
        <v>600</v>
      </c>
      <c r="E61" s="1657">
        <f>SUM(E62:E65)</f>
        <v>0</v>
      </c>
      <c r="F61" s="1602">
        <f>D61+E61</f>
        <v>600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c r="D62" s="2778">
        <v>600</v>
      </c>
      <c r="E62" s="1520"/>
      <c r="F62" s="1426">
        <f t="shared" ref="F62:F65" si="14">SUM(D62:E62)</f>
        <v>600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402" t="s">
        <v>555</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663" t="s">
        <v>556</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663" t="s">
        <v>554</v>
      </c>
      <c r="C66" s="1488"/>
      <c r="D66" s="2779"/>
      <c r="E66" s="1490"/>
      <c r="F66" s="1493"/>
    </row>
    <row r="67" spans="1:26">
      <c r="A67" s="1357" t="s">
        <v>275</v>
      </c>
      <c r="C67" s="1451" t="s">
        <v>50</v>
      </c>
      <c r="D67" s="2771">
        <f>W15</f>
        <v>1236875</v>
      </c>
      <c r="E67" s="1464">
        <f>X15</f>
        <v>0</v>
      </c>
      <c r="F67" s="1462">
        <f>D67+E67</f>
        <v>1236875</v>
      </c>
    </row>
    <row r="68" spans="1:26">
      <c r="A68" s="1402" t="s">
        <v>5</v>
      </c>
      <c r="C68" s="1500" t="s">
        <v>297</v>
      </c>
      <c r="D68" s="2938">
        <f>D67/D12</f>
        <v>0.84948037165957102</v>
      </c>
      <c r="E68" s="1986" t="e">
        <f>E67/E12</f>
        <v>#DIV/0!</v>
      </c>
      <c r="F68" s="1499"/>
    </row>
    <row r="69" spans="1:26">
      <c r="A69" s="1402">
        <v>18230634</v>
      </c>
      <c r="C69" s="1501"/>
      <c r="D69" s="2782"/>
      <c r="E69" s="1497"/>
      <c r="F69" s="1498"/>
    </row>
    <row r="70" spans="1:26">
      <c r="A70" s="1357" t="s">
        <v>4</v>
      </c>
      <c r="C70" s="1494" t="s">
        <v>51</v>
      </c>
      <c r="D70" s="2778">
        <v>0</v>
      </c>
      <c r="E70" s="1503">
        <v>0</v>
      </c>
      <c r="F70" s="1491">
        <v>0</v>
      </c>
    </row>
  </sheetData>
  <customSheetViews>
    <customSheetView guid="{D9EFFE19-D14B-4C6F-BDF4-FF696F73968D}" showGridLines="0">
      <pane xSplit="1" ySplit="1" topLeftCell="B5" activePane="bottomRight" state="frozen"/>
      <selection pane="bottomRight" activeCell="Z27" sqref="Z27:Z28"/>
      <pageMargins left="0.22" right="0.21" top="0.36" bottom="0.39" header="0.3" footer="0.3"/>
      <pageSetup paperSize="3" scale="42" orientation="landscape" r:id="rId1"/>
    </customSheetView>
    <customSheetView guid="{074EB09C-6289-46D7-9513-012B68BCA7BF}" showGridLines="0">
      <pane xSplit="1" ySplit="1" topLeftCell="B2" activePane="bottomRight" state="frozen"/>
      <selection pane="bottomRight" activeCell="R16" sqref="R16:R28"/>
      <pageMargins left="0.22" right="0.21" top="0.36" bottom="0.39" header="0.3" footer="0.3"/>
      <pageSetup paperSize="3" scale="42" orientation="landscape" r:id="rId2"/>
    </customSheetView>
  </customSheetViews>
  <mergeCells count="8">
    <mergeCell ref="S2:T2"/>
    <mergeCell ref="U2:W2"/>
    <mergeCell ref="X2:X3"/>
    <mergeCell ref="H10:P10"/>
    <mergeCell ref="H12:P12"/>
    <mergeCell ref="Q12:S12"/>
    <mergeCell ref="T12:V12"/>
    <mergeCell ref="W12:Y12"/>
  </mergeCells>
  <pageMargins left="0.22" right="0.21" top="0.36" bottom="0.39" header="0.3" footer="0.3"/>
  <pageSetup paperSize="3" scale="42" orientation="landscape" r:id="rId3"/>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Z71"/>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 customWidth="1"/>
    <col min="2" max="2" width="16.85546875" style="1413" customWidth="1"/>
    <col min="3" max="3" width="28" customWidth="1"/>
    <col min="4" max="5" width="15.85546875" customWidth="1"/>
    <col min="6" max="6" width="14.85546875" customWidth="1"/>
    <col min="7" max="7" width="21.42578125" customWidth="1"/>
    <col min="8" max="23" width="14.7109375" customWidth="1"/>
  </cols>
  <sheetData>
    <row r="1" spans="1:26" ht="42" customHeight="1" thickBot="1">
      <c r="C1" s="1405" t="s">
        <v>285</v>
      </c>
      <c r="D1" s="1361" t="s">
        <v>275</v>
      </c>
      <c r="E1" s="1401" t="s">
        <v>5</v>
      </c>
      <c r="F1" s="1401">
        <v>18230501</v>
      </c>
      <c r="G1" s="1361" t="s">
        <v>4</v>
      </c>
      <c r="J1" s="1361"/>
      <c r="K1" s="1361"/>
      <c r="L1" s="1361"/>
      <c r="M1" s="1405" t="s">
        <v>285</v>
      </c>
      <c r="N1" s="1361" t="s">
        <v>275</v>
      </c>
      <c r="O1" s="1401" t="s">
        <v>5</v>
      </c>
      <c r="P1" s="1401">
        <v>18230501</v>
      </c>
      <c r="Q1" s="1361" t="s">
        <v>4</v>
      </c>
      <c r="R1" s="1133"/>
      <c r="S1" s="1133"/>
      <c r="T1" s="1133"/>
      <c r="U1" s="1133"/>
      <c r="V1" s="1405" t="s">
        <v>285</v>
      </c>
      <c r="W1" s="1361" t="s">
        <v>275</v>
      </c>
      <c r="X1" s="1401" t="s">
        <v>5</v>
      </c>
      <c r="Y1" s="1401">
        <v>18230501</v>
      </c>
      <c r="Z1" s="1361" t="s">
        <v>4</v>
      </c>
    </row>
    <row r="2" spans="1:26" ht="16.5" thickBot="1">
      <c r="C2" s="1141"/>
      <c r="D2" s="1133"/>
      <c r="E2" s="1133"/>
      <c r="F2" s="1133"/>
      <c r="G2" s="1413"/>
      <c r="H2" s="1178"/>
      <c r="I2" s="1413"/>
      <c r="J2" s="1413"/>
      <c r="K2" s="1413"/>
      <c r="L2" s="1413"/>
      <c r="M2" s="1413"/>
      <c r="N2" s="1413"/>
      <c r="O2" s="1413"/>
      <c r="P2" s="1413"/>
      <c r="Q2" s="1413"/>
      <c r="R2" s="1395"/>
      <c r="S2" s="1395"/>
      <c r="T2" s="1393" t="s">
        <v>33</v>
      </c>
      <c r="U2" s="1396"/>
      <c r="V2" s="1397"/>
      <c r="W2" s="1398" t="s">
        <v>34</v>
      </c>
      <c r="X2" s="1133"/>
      <c r="Y2" s="1133"/>
    </row>
    <row r="3" spans="1:26" ht="27" thickBot="1">
      <c r="A3" s="1404" t="s">
        <v>285</v>
      </c>
      <c r="B3" s="1404"/>
      <c r="C3" s="1134"/>
      <c r="D3" s="1135"/>
      <c r="E3" s="1133"/>
      <c r="F3" s="1133"/>
      <c r="G3" s="1652"/>
      <c r="H3" s="1413"/>
      <c r="I3" s="1179" t="s">
        <v>1747</v>
      </c>
      <c r="J3" s="1154" t="s">
        <v>8</v>
      </c>
      <c r="K3" s="1154" t="s">
        <v>9</v>
      </c>
      <c r="L3" s="1154" t="s">
        <v>10</v>
      </c>
      <c r="M3" s="1558" t="s">
        <v>482</v>
      </c>
      <c r="N3" s="1154" t="s">
        <v>11</v>
      </c>
      <c r="O3" s="1154" t="s">
        <v>12</v>
      </c>
      <c r="P3" s="1154" t="s">
        <v>13</v>
      </c>
      <c r="Q3" s="1154" t="s">
        <v>35</v>
      </c>
      <c r="R3" s="1154" t="s">
        <v>36</v>
      </c>
      <c r="S3" s="1180" t="s">
        <v>15</v>
      </c>
      <c r="T3" s="1527" t="s">
        <v>37</v>
      </c>
      <c r="U3" s="1181" t="s">
        <v>38</v>
      </c>
      <c r="V3" s="1181" t="s">
        <v>10</v>
      </c>
      <c r="W3" s="1146" t="s">
        <v>39</v>
      </c>
      <c r="X3" s="1394"/>
      <c r="Y3" s="1133"/>
      <c r="Z3" s="1133"/>
    </row>
    <row r="4" spans="1:26" ht="16.5" thickBot="1">
      <c r="A4" s="1357" t="s">
        <v>275</v>
      </c>
      <c r="B4" s="1357"/>
      <c r="E4" s="1133"/>
      <c r="F4" s="1133"/>
      <c r="G4" s="1652"/>
      <c r="H4" s="1353"/>
      <c r="I4" s="1535">
        <v>0</v>
      </c>
      <c r="J4" s="1534">
        <v>0</v>
      </c>
      <c r="K4" s="1534">
        <v>27</v>
      </c>
      <c r="L4" s="1534">
        <v>0</v>
      </c>
      <c r="M4" s="1534">
        <v>0</v>
      </c>
      <c r="N4" s="1534">
        <v>0</v>
      </c>
      <c r="O4" s="1534">
        <v>0</v>
      </c>
      <c r="P4" s="1534">
        <v>0</v>
      </c>
      <c r="Q4" s="1534">
        <v>741140.27802919003</v>
      </c>
      <c r="R4" s="1534">
        <v>0</v>
      </c>
      <c r="S4" s="1532">
        <v>741167.27802919003</v>
      </c>
      <c r="T4" s="1530">
        <v>2845321.04</v>
      </c>
      <c r="U4" s="1148" t="e">
        <v>#DIV/0!</v>
      </c>
      <c r="V4" s="1148" t="e">
        <v>#DIV/0!</v>
      </c>
      <c r="W4" s="1148" t="e">
        <v>#DIV/0!</v>
      </c>
      <c r="X4" s="1139" t="e">
        <v>#DIV/0!</v>
      </c>
      <c r="Y4" s="1136" t="s">
        <v>6</v>
      </c>
      <c r="Z4" s="1137" t="s">
        <v>6</v>
      </c>
    </row>
    <row r="5" spans="1:26" ht="16.5" thickBot="1">
      <c r="A5" s="1400" t="s">
        <v>5</v>
      </c>
      <c r="B5" s="1400"/>
      <c r="C5" s="1135"/>
      <c r="E5" s="1133"/>
      <c r="F5" s="1133"/>
      <c r="G5" s="1652"/>
      <c r="H5" s="1190"/>
      <c r="I5" s="1184">
        <v>0</v>
      </c>
      <c r="J5" s="1160">
        <v>0</v>
      </c>
      <c r="K5" s="1160">
        <v>0</v>
      </c>
      <c r="L5" s="1160">
        <v>0</v>
      </c>
      <c r="M5" s="1160">
        <v>0</v>
      </c>
      <c r="N5" s="1160">
        <v>0</v>
      </c>
      <c r="O5" s="1160">
        <v>0</v>
      </c>
      <c r="P5" s="1160">
        <v>0</v>
      </c>
      <c r="Q5" s="1160">
        <v>0</v>
      </c>
      <c r="R5" s="1160">
        <v>0</v>
      </c>
      <c r="S5" s="1533">
        <v>0</v>
      </c>
      <c r="T5" s="1531">
        <f>T15</f>
        <v>0</v>
      </c>
      <c r="U5" s="1149" t="e">
        <v>#DIV/0!</v>
      </c>
      <c r="V5" s="1149" t="e">
        <v>#DIV/0!</v>
      </c>
      <c r="W5" s="1149" t="e">
        <v>#DIV/0!</v>
      </c>
      <c r="X5" s="1140" t="e">
        <v>#DIV/0!</v>
      </c>
      <c r="Y5" s="1133"/>
      <c r="Z5" s="1133"/>
    </row>
    <row r="6" spans="1:26" ht="16.5" thickBot="1">
      <c r="A6" s="1400">
        <v>18230501</v>
      </c>
      <c r="B6" s="1400"/>
      <c r="C6" s="1134"/>
      <c r="D6" s="1134"/>
      <c r="E6" s="1133"/>
      <c r="F6" s="1133"/>
      <c r="G6" s="1652"/>
      <c r="H6" s="1202"/>
      <c r="I6" s="49"/>
      <c r="J6" s="1522"/>
      <c r="K6" s="1521"/>
      <c r="L6" s="50"/>
      <c r="M6" s="50"/>
      <c r="N6" s="50"/>
      <c r="O6" s="50"/>
      <c r="P6" s="50"/>
      <c r="Q6" s="50"/>
      <c r="R6" s="50"/>
      <c r="S6" s="1529"/>
      <c r="T6" s="1528">
        <f>U15</f>
        <v>0</v>
      </c>
      <c r="U6" s="1149"/>
      <c r="V6" s="1149"/>
      <c r="W6" s="1149"/>
      <c r="X6" s="1140"/>
      <c r="Y6" s="1133"/>
      <c r="Z6" s="1133"/>
    </row>
    <row r="7" spans="1:26" ht="16.5" thickBot="1">
      <c r="A7" s="1357" t="s">
        <v>4</v>
      </c>
      <c r="B7" s="1357"/>
      <c r="C7" s="1190"/>
      <c r="D7" s="1190"/>
      <c r="E7" s="1413"/>
      <c r="F7" s="1413"/>
      <c r="G7" s="1652"/>
      <c r="H7" s="1202" t="s">
        <v>20</v>
      </c>
      <c r="I7" s="1170">
        <v>0</v>
      </c>
      <c r="J7" s="1523">
        <v>0</v>
      </c>
      <c r="K7" s="1524">
        <v>0</v>
      </c>
      <c r="L7" s="1525">
        <v>0</v>
      </c>
      <c r="M7" s="1523">
        <v>0</v>
      </c>
      <c r="N7" s="1524">
        <v>0</v>
      </c>
      <c r="O7" s="1523">
        <v>0</v>
      </c>
      <c r="P7" s="1524">
        <v>0</v>
      </c>
      <c r="Q7" s="1525">
        <v>741140.27802919003</v>
      </c>
      <c r="R7" s="1523">
        <v>0</v>
      </c>
      <c r="S7" s="1525">
        <v>741167.27802919003</v>
      </c>
      <c r="T7" s="1526">
        <v>2845321.04</v>
      </c>
      <c r="U7" s="1138">
        <v>0.9999635709767547</v>
      </c>
      <c r="V7" s="1138">
        <v>0</v>
      </c>
      <c r="W7" s="1138">
        <v>0</v>
      </c>
      <c r="X7" s="1140">
        <v>0.2604863449887504</v>
      </c>
      <c r="Y7" s="1133"/>
      <c r="Z7" s="1133"/>
    </row>
    <row r="8" spans="1:26" ht="15.75">
      <c r="B8" s="1357"/>
      <c r="C8" s="1190"/>
      <c r="D8" s="1190"/>
      <c r="E8" s="1413"/>
      <c r="F8" s="1413"/>
      <c r="X8" s="1133"/>
      <c r="Y8" s="1133"/>
    </row>
    <row r="9" spans="1:26" ht="15.75">
      <c r="A9" s="1357"/>
      <c r="B9" s="1357"/>
      <c r="C9" s="1190"/>
      <c r="D9" s="1190"/>
      <c r="E9" s="1413"/>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c r="E14" s="1502"/>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v>0</v>
      </c>
      <c r="E15" s="1464">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row>
    <row r="16" spans="1:26">
      <c r="B16" s="1432"/>
      <c r="C16" s="1423"/>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row>
    <row r="17" spans="2:26">
      <c r="B17" s="1432"/>
      <c r="C17" s="1423"/>
      <c r="D17" s="2784"/>
      <c r="E17" s="1447"/>
      <c r="F17" s="1426">
        <f t="shared" ref="F17:F19"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row>
    <row r="18" spans="2:26">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row>
    <row r="19" spans="2:26">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row>
    <row r="20" spans="2:26">
      <c r="B20" s="1449"/>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row>
    <row r="21" spans="2:26">
      <c r="C21" s="1451" t="s">
        <v>44</v>
      </c>
      <c r="D21" s="2771">
        <v>0</v>
      </c>
      <c r="E21" s="1464">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row>
    <row r="22" spans="2:26">
      <c r="C22" s="1423"/>
      <c r="D22" s="2772"/>
      <c r="E22" s="1448"/>
      <c r="F22" s="1426">
        <f t="shared" ref="F22:F25" si="1">SUM(D22:E22)</f>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2">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2"/>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4" t="s">
        <v>285</v>
      </c>
      <c r="C34" s="1667" t="s">
        <v>720</v>
      </c>
      <c r="D34" s="2785"/>
      <c r="E34" s="1641">
        <f>E21*E32</f>
        <v>0</v>
      </c>
      <c r="F34" s="1661">
        <f t="shared" ref="F34" si="3">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18230501</v>
      </c>
      <c r="C37" s="1451" t="s">
        <v>46</v>
      </c>
      <c r="D37" s="2771">
        <v>0</v>
      </c>
      <c r="E37" s="1464">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423"/>
      <c r="D38" s="2778"/>
      <c r="E38" s="1520"/>
      <c r="F38" s="1426">
        <f t="shared" ref="F38:F41" si="4">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v>0</v>
      </c>
      <c r="E43" s="1464">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5">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v>0</v>
      </c>
      <c r="E49" s="1464">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6">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v>0</v>
      </c>
      <c r="E55" s="1464">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v>0</v>
      </c>
      <c r="E61" s="1464">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4" t="s">
        <v>285</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18230501</v>
      </c>
      <c r="C67" s="1451" t="s">
        <v>50</v>
      </c>
      <c r="D67" s="2771">
        <f>W15</f>
        <v>0</v>
      </c>
      <c r="E67" s="1464">
        <f>X15*1.15</f>
        <v>0</v>
      </c>
      <c r="F67" s="1462">
        <f>D67+E67</f>
        <v>0</v>
      </c>
    </row>
    <row r="68" spans="1:26">
      <c r="A68" s="1357" t="s">
        <v>4</v>
      </c>
      <c r="C68" s="1500" t="s">
        <v>297</v>
      </c>
      <c r="D68" s="2781"/>
      <c r="E68" s="1496"/>
      <c r="F68" s="1499"/>
    </row>
    <row r="69" spans="1:26">
      <c r="C69" s="1501"/>
      <c r="D69" s="2782"/>
      <c r="E69" s="1497"/>
      <c r="F69" s="1498"/>
    </row>
    <row r="70" spans="1:26">
      <c r="C70" s="1494" t="s">
        <v>51</v>
      </c>
      <c r="D70" s="2778">
        <v>0</v>
      </c>
      <c r="E70" s="1503">
        <v>0</v>
      </c>
      <c r="F70" s="1491">
        <v>0</v>
      </c>
    </row>
    <row r="71" spans="1:26">
      <c r="D71" s="2767"/>
    </row>
  </sheetData>
  <customSheetViews>
    <customSheetView guid="{D9EFFE19-D14B-4C6F-BDF4-FF696F73968D}" showGridLines="0">
      <pane xSplit="1" ySplit="1" topLeftCell="B2" activePane="bottomRight" state="frozen"/>
      <selection pane="bottomRight" activeCell="F29" sqref="F29"/>
      <pageMargins left="0.7" right="0.7" top="0.75" bottom="0.75" header="0.3" footer="0.3"/>
    </customSheetView>
    <customSheetView guid="{074EB09C-6289-46D7-9513-012B68BCA7BF}" showGridLines="0">
      <pane xSplit="1" ySplit="1" topLeftCell="B2" activePane="bottomRight" state="frozen"/>
      <selection pane="bottomRight" activeCell="E29" sqref="E29"/>
      <pageMargins left="0.7" right="0.7" top="0.75" bottom="0.75" header="0.3" footer="0.3"/>
    </customSheetView>
  </customSheetViews>
  <mergeCells count="6">
    <mergeCell ref="H10:P10"/>
    <mergeCell ref="Z12:Z13"/>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8DB4E3"/>
  </sheetPr>
  <dimension ref="A1:Z72"/>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8.140625" customWidth="1"/>
    <col min="2" max="2" width="15.7109375" style="1413" customWidth="1"/>
    <col min="3" max="3" width="28.140625" customWidth="1"/>
    <col min="4" max="4" width="18.85546875" customWidth="1"/>
    <col min="5" max="7" width="17.7109375" customWidth="1"/>
    <col min="8" max="8" width="46.85546875" customWidth="1"/>
    <col min="9" max="24" width="17.85546875" customWidth="1"/>
    <col min="25" max="25" width="16.28515625" customWidth="1"/>
    <col min="26" max="26" width="15.42578125" customWidth="1"/>
  </cols>
  <sheetData>
    <row r="1" spans="1:26" ht="51" customHeight="1" thickBot="1">
      <c r="C1" s="1401" t="s">
        <v>182</v>
      </c>
      <c r="D1" s="1361" t="s">
        <v>275</v>
      </c>
      <c r="E1" s="1401" t="s">
        <v>5</v>
      </c>
      <c r="F1" s="1403">
        <v>18230461</v>
      </c>
      <c r="G1" s="1361" t="s">
        <v>4</v>
      </c>
      <c r="J1" s="1361"/>
      <c r="K1" s="1361"/>
      <c r="L1" s="1361"/>
      <c r="M1" s="1401" t="s">
        <v>182</v>
      </c>
      <c r="N1" s="1361" t="s">
        <v>275</v>
      </c>
      <c r="O1" s="1401" t="s">
        <v>5</v>
      </c>
      <c r="P1" s="1403">
        <v>18230461</v>
      </c>
      <c r="Q1" s="1361" t="s">
        <v>4</v>
      </c>
      <c r="R1" s="1142"/>
      <c r="S1" s="1142"/>
      <c r="T1" s="1142"/>
      <c r="U1" s="1142"/>
      <c r="V1" s="1401" t="s">
        <v>182</v>
      </c>
      <c r="W1" s="1361" t="s">
        <v>275</v>
      </c>
      <c r="X1" s="1401" t="s">
        <v>5</v>
      </c>
      <c r="Y1" s="1403">
        <v>18230461</v>
      </c>
      <c r="Z1" s="1361" t="s">
        <v>4</v>
      </c>
    </row>
    <row r="2" spans="1:26" ht="16.5" thickBot="1">
      <c r="C2" s="1144"/>
      <c r="D2" s="1150"/>
      <c r="E2" s="1151"/>
      <c r="F2" s="1142"/>
      <c r="G2" s="1652"/>
      <c r="H2" s="1142"/>
      <c r="I2" s="1178" t="s">
        <v>627</v>
      </c>
      <c r="J2" s="1142"/>
      <c r="K2" s="1142"/>
      <c r="L2" s="1142"/>
      <c r="M2" s="1142"/>
      <c r="N2" s="1142"/>
      <c r="O2" s="1142"/>
      <c r="P2" s="1142"/>
      <c r="Q2" s="1142"/>
      <c r="R2" s="1142"/>
      <c r="S2" s="3582"/>
      <c r="T2" s="3582"/>
      <c r="U2" s="3576" t="s">
        <v>33</v>
      </c>
      <c r="V2" s="3583"/>
      <c r="W2" s="3584"/>
      <c r="X2" s="3585" t="s">
        <v>34</v>
      </c>
    </row>
    <row r="3" spans="1:26" ht="26.25" thickBot="1">
      <c r="A3" s="1400" t="s">
        <v>182</v>
      </c>
      <c r="B3" s="1400"/>
      <c r="E3" s="1151"/>
      <c r="F3" s="1142"/>
      <c r="G3" s="1652"/>
      <c r="H3" s="114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86"/>
    </row>
    <row r="4" spans="1:26" ht="16.5" thickBot="1">
      <c r="A4" s="1357" t="s">
        <v>275</v>
      </c>
      <c r="B4" s="1400"/>
      <c r="C4" s="1144"/>
      <c r="D4" s="1144"/>
      <c r="E4" s="1142"/>
      <c r="F4" s="1142"/>
      <c r="G4" s="1652"/>
      <c r="H4" s="2946" t="s">
        <v>1726</v>
      </c>
      <c r="I4" s="2947">
        <f>D15</f>
        <v>7412.75</v>
      </c>
      <c r="J4" s="2948">
        <f>D21</f>
        <v>0</v>
      </c>
      <c r="K4" s="2948">
        <f>D27</f>
        <v>4944.3042500000001</v>
      </c>
      <c r="L4" s="2948">
        <f>D37</f>
        <v>15381.33</v>
      </c>
      <c r="M4" s="2948">
        <f>D43</f>
        <v>500</v>
      </c>
      <c r="N4" s="2948">
        <f>D49</f>
        <v>100250</v>
      </c>
      <c r="O4" s="2948">
        <f>D55</f>
        <v>250</v>
      </c>
      <c r="P4" s="2948">
        <f>D61</f>
        <v>250</v>
      </c>
      <c r="Q4" s="2948">
        <f>D67</f>
        <v>100232.37</v>
      </c>
      <c r="R4" s="2948">
        <v>0</v>
      </c>
      <c r="S4" s="2949">
        <f>SUM(I4:R4)</f>
        <v>229220.75425</v>
      </c>
      <c r="T4" s="2950">
        <f>T15</f>
        <v>5722290</v>
      </c>
      <c r="U4" s="2954">
        <v>0.40344390038584205</v>
      </c>
      <c r="V4" s="2954">
        <v>4.5519564215612825E-2</v>
      </c>
      <c r="W4" s="2954">
        <v>0.40344390038584205</v>
      </c>
      <c r="X4" s="2957">
        <v>3.9077962885763907E-2</v>
      </c>
    </row>
    <row r="5" spans="1:26" ht="16.5" thickBot="1">
      <c r="A5" s="1400" t="s">
        <v>5</v>
      </c>
      <c r="C5" s="1145"/>
      <c r="E5" s="1142"/>
      <c r="F5" s="1142"/>
      <c r="G5" s="1652"/>
      <c r="H5" s="3205" t="s">
        <v>1753</v>
      </c>
      <c r="I5" s="2617">
        <v>0</v>
      </c>
      <c r="J5" s="2618">
        <v>0</v>
      </c>
      <c r="K5" s="2618">
        <v>0</v>
      </c>
      <c r="L5" s="2618">
        <v>0</v>
      </c>
      <c r="M5" s="2618">
        <v>0</v>
      </c>
      <c r="N5" s="2618">
        <v>0</v>
      </c>
      <c r="O5" s="2618">
        <v>0</v>
      </c>
      <c r="P5" s="2618">
        <v>0</v>
      </c>
      <c r="Q5" s="2618">
        <v>0</v>
      </c>
      <c r="R5" s="2618">
        <v>0</v>
      </c>
      <c r="S5" s="2619">
        <v>0</v>
      </c>
      <c r="T5" s="2620">
        <v>0</v>
      </c>
      <c r="U5" s="1186">
        <v>0.42677129214552645</v>
      </c>
      <c r="V5" s="1186">
        <v>1.2924323859146776E-2</v>
      </c>
      <c r="W5" s="1186">
        <v>0.52208948451349935</v>
      </c>
      <c r="X5" s="1147" t="e">
        <v>#DIV/0!</v>
      </c>
    </row>
    <row r="6" spans="1:26" ht="16.5" thickBot="1">
      <c r="A6" s="1402">
        <v>18230461</v>
      </c>
      <c r="B6" s="1402"/>
      <c r="C6" s="1144"/>
      <c r="D6" s="1142"/>
      <c r="E6" s="1143"/>
      <c r="F6" s="1142"/>
      <c r="G6" s="1652"/>
      <c r="H6" s="3206" t="s">
        <v>1754</v>
      </c>
      <c r="I6" s="2621">
        <f>E15</f>
        <v>6220</v>
      </c>
      <c r="J6" s="2622">
        <f>E21</f>
        <v>0</v>
      </c>
      <c r="K6" s="2623">
        <f>E27</f>
        <v>5585.5599999999995</v>
      </c>
      <c r="L6" s="2622">
        <f>E37</f>
        <v>14040</v>
      </c>
      <c r="M6" s="2622">
        <f>E43</f>
        <v>500</v>
      </c>
      <c r="N6" s="2622">
        <f>E49</f>
        <v>49769</v>
      </c>
      <c r="O6" s="2622">
        <f>E55</f>
        <v>250</v>
      </c>
      <c r="P6" s="2622">
        <f>E61</f>
        <v>250</v>
      </c>
      <c r="Q6" s="2622">
        <f>E67</f>
        <v>49760</v>
      </c>
      <c r="R6" s="2622">
        <v>0</v>
      </c>
      <c r="S6" s="2624">
        <f>SUM(I6:R6)</f>
        <v>126374.56</v>
      </c>
      <c r="T6" s="2625">
        <f>U15</f>
        <v>0</v>
      </c>
      <c r="U6" s="2631">
        <v>0</v>
      </c>
      <c r="V6" s="2631">
        <v>4.6399307994208147E-2</v>
      </c>
      <c r="W6" s="2631">
        <v>0.80242174996178495</v>
      </c>
      <c r="X6" s="2626">
        <v>3.929545969190542E-2</v>
      </c>
    </row>
    <row r="7" spans="1:26" ht="15.75">
      <c r="A7" s="1357"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26" ht="15.75">
      <c r="B8" s="1357"/>
      <c r="C8" s="1190"/>
      <c r="D8" s="1413"/>
      <c r="E8" s="1414"/>
      <c r="F8" s="1413"/>
    </row>
    <row r="9" spans="1:26" ht="15.75">
      <c r="A9" s="1357"/>
      <c r="B9" s="1357"/>
      <c r="C9" s="1190"/>
      <c r="D9" s="1413"/>
      <c r="E9" s="1414"/>
      <c r="F9" s="1413"/>
      <c r="H9" s="1142"/>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939">
        <f>D15+D21+D27+D37+D43+D49+D55+D61+D67</f>
        <v>229220.75425</v>
      </c>
      <c r="E12" s="1909">
        <f>E15+E21+E27+E37+E43+E49+E55+E61+E67</f>
        <v>126374.56</v>
      </c>
      <c r="F12" s="1462">
        <f>D12+E12</f>
        <v>355595.31425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80">
        <f>SUM(D16:D19)</f>
        <v>7412.75</v>
      </c>
      <c r="E15" s="1657">
        <f>SUM(E16:E19)</f>
        <v>6220</v>
      </c>
      <c r="F15" s="1602">
        <f>D15+E15</f>
        <v>13632.75</v>
      </c>
      <c r="H15" s="1475" t="s">
        <v>308</v>
      </c>
      <c r="I15" s="1476"/>
      <c r="J15" s="1476"/>
      <c r="K15" s="1477"/>
      <c r="L15" s="1478">
        <f>SUMPRODUCT(L16:L23,S16:S23)</f>
        <v>149992.37</v>
      </c>
      <c r="M15" s="1478">
        <f>SUM(M16:M23)</f>
        <v>8.5399999999999991</v>
      </c>
      <c r="N15" s="1479"/>
      <c r="O15" s="1477">
        <v>2</v>
      </c>
      <c r="P15" s="1477"/>
      <c r="Q15" s="1477"/>
      <c r="R15" s="1477"/>
      <c r="S15" s="1477"/>
      <c r="T15" s="2983">
        <v>5722290</v>
      </c>
      <c r="U15" s="1480">
        <f t="shared" ref="U15:Y15" si="0">SUM(U16:U65)</f>
        <v>0</v>
      </c>
      <c r="V15" s="1480">
        <f t="shared" si="0"/>
        <v>5722290</v>
      </c>
      <c r="W15" s="2987">
        <v>100232.37</v>
      </c>
      <c r="X15" s="1478">
        <f t="shared" si="0"/>
        <v>49760</v>
      </c>
      <c r="Y15" s="1478">
        <f t="shared" si="0"/>
        <v>149992.37</v>
      </c>
      <c r="Z15" s="1481">
        <v>0</v>
      </c>
    </row>
    <row r="16" spans="1:26">
      <c r="B16" s="1432">
        <v>0.08</v>
      </c>
      <c r="C16" s="1423" t="s">
        <v>735</v>
      </c>
      <c r="D16" s="2772">
        <v>7412.75</v>
      </c>
      <c r="E16" s="1448">
        <v>6220</v>
      </c>
      <c r="F16" s="1426">
        <f>SUM(D16:E16)</f>
        <v>13632.75</v>
      </c>
      <c r="H16" s="1935" t="s">
        <v>1818</v>
      </c>
      <c r="I16" s="1983">
        <v>310</v>
      </c>
      <c r="J16" s="1470" t="s">
        <v>110</v>
      </c>
      <c r="K16" s="1460" t="s">
        <v>893</v>
      </c>
      <c r="L16" s="1467">
        <v>5.43</v>
      </c>
      <c r="M16" s="1467">
        <v>5.43</v>
      </c>
      <c r="N16" s="1461">
        <v>1</v>
      </c>
      <c r="O16" s="1460">
        <v>2</v>
      </c>
      <c r="P16" s="1463" t="s">
        <v>880</v>
      </c>
      <c r="Q16" s="1466">
        <v>18459</v>
      </c>
      <c r="R16" s="1466">
        <v>0</v>
      </c>
      <c r="S16" s="1469">
        <f>SUM(Q16:R16)</f>
        <v>18459</v>
      </c>
      <c r="T16" s="2991">
        <v>5722290</v>
      </c>
      <c r="U16" s="1469">
        <f>R16*I16</f>
        <v>0</v>
      </c>
      <c r="V16" s="1469">
        <f>SUM(T16:U16)</f>
        <v>5722290</v>
      </c>
      <c r="W16" s="2993">
        <v>100232.37</v>
      </c>
      <c r="X16" s="1459">
        <f>R16*M16</f>
        <v>0</v>
      </c>
      <c r="Y16" s="1459">
        <f>SUM(W16:X16)</f>
        <v>100232.37</v>
      </c>
      <c r="Z16" s="1482"/>
    </row>
    <row r="17" spans="2:26">
      <c r="B17" s="1432"/>
      <c r="C17" s="1423"/>
      <c r="D17" s="2784"/>
      <c r="E17" s="1447"/>
      <c r="F17" s="1426">
        <f t="shared" ref="F17:F19" si="1">SUM(D17:E17)</f>
        <v>0</v>
      </c>
      <c r="H17" s="1935" t="s">
        <v>1818</v>
      </c>
      <c r="I17" s="1983">
        <v>0</v>
      </c>
      <c r="J17" s="1470" t="s">
        <v>110</v>
      </c>
      <c r="K17" s="1460" t="s">
        <v>893</v>
      </c>
      <c r="L17" s="1467">
        <v>3.11</v>
      </c>
      <c r="M17" s="1467">
        <v>3.11</v>
      </c>
      <c r="N17" s="1461">
        <v>0</v>
      </c>
      <c r="O17" s="1460">
        <v>2</v>
      </c>
      <c r="P17" s="1463" t="s">
        <v>880</v>
      </c>
      <c r="Q17" s="1466">
        <v>0</v>
      </c>
      <c r="R17" s="1466">
        <v>16000</v>
      </c>
      <c r="S17" s="1469">
        <f>SUM(Q17:R17)</f>
        <v>16000</v>
      </c>
      <c r="T17" s="2991">
        <v>0</v>
      </c>
      <c r="U17" s="1469">
        <f>R17*I17</f>
        <v>0</v>
      </c>
      <c r="V17" s="1469">
        <f>SUM(T17:U17)</f>
        <v>0</v>
      </c>
      <c r="W17" s="2993">
        <v>0</v>
      </c>
      <c r="X17" s="1459">
        <f>R17*M17</f>
        <v>49760</v>
      </c>
      <c r="Y17" s="1459">
        <f>SUM(W17:X17)</f>
        <v>49760</v>
      </c>
      <c r="Z17" s="1482"/>
    </row>
    <row r="18" spans="2:26">
      <c r="B18" s="1432"/>
      <c r="C18" s="1423"/>
      <c r="D18" s="2784"/>
      <c r="E18" s="1447"/>
      <c r="F18" s="1426">
        <f t="shared" si="1"/>
        <v>0</v>
      </c>
      <c r="H18" s="1935"/>
      <c r="I18" s="1936"/>
      <c r="J18" s="1470"/>
      <c r="K18" s="1460"/>
      <c r="L18" s="1467"/>
      <c r="M18" s="1467"/>
      <c r="N18" s="1461"/>
      <c r="O18" s="1460"/>
      <c r="P18" s="1463"/>
      <c r="Q18" s="1466"/>
      <c r="R18" s="1466"/>
      <c r="S18" s="1469"/>
      <c r="T18" s="1469"/>
      <c r="U18" s="1469"/>
      <c r="V18" s="1469"/>
      <c r="W18" s="1459"/>
      <c r="X18" s="1459"/>
      <c r="Y18" s="1459"/>
      <c r="Z18" s="1482"/>
    </row>
    <row r="19" spans="2:26">
      <c r="B19" s="1432"/>
      <c r="C19" s="1423"/>
      <c r="D19" s="2786"/>
      <c r="E19" s="1446"/>
      <c r="F19" s="1426">
        <f t="shared" si="1"/>
        <v>0</v>
      </c>
      <c r="H19" s="1935"/>
      <c r="I19" s="1936"/>
      <c r="J19" s="1470"/>
      <c r="K19" s="1460"/>
      <c r="L19" s="1467"/>
      <c r="M19" s="1467"/>
      <c r="N19" s="1461"/>
      <c r="O19" s="1460"/>
      <c r="P19" s="1463"/>
      <c r="Q19" s="1466"/>
      <c r="R19" s="1466"/>
      <c r="S19" s="1469"/>
      <c r="T19" s="1469"/>
      <c r="U19" s="1469"/>
      <c r="V19" s="1469"/>
      <c r="W19" s="1459"/>
      <c r="X19" s="1459"/>
      <c r="Y19" s="1459"/>
      <c r="Z19" s="1482"/>
    </row>
    <row r="20" spans="2:26">
      <c r="B20" s="1449">
        <f>SUM(B16:B19)</f>
        <v>0.08</v>
      </c>
      <c r="C20" s="1488"/>
      <c r="D20" s="2770"/>
      <c r="E20" s="1490"/>
      <c r="F20" s="1492"/>
      <c r="H20" s="1935"/>
      <c r="I20" s="1936"/>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80">
        <f>SUM(D22:D25)</f>
        <v>0</v>
      </c>
      <c r="E21" s="1657">
        <f>SUM(E22:E25)</f>
        <v>0</v>
      </c>
      <c r="F21" s="1602">
        <f>D21+E21</f>
        <v>0</v>
      </c>
      <c r="H21" s="1935"/>
      <c r="I21" s="1936"/>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v>
      </c>
      <c r="C22" s="1423"/>
      <c r="D22" s="2772"/>
      <c r="E22" s="1448"/>
      <c r="F22" s="1426">
        <f t="shared" ref="F22:F25" si="2">SUM(D22:E22)</f>
        <v>0</v>
      </c>
      <c r="H22" s="1935"/>
      <c r="I22" s="1936"/>
      <c r="J22" s="1470"/>
      <c r="K22" s="1460"/>
      <c r="L22" s="1467"/>
      <c r="M22" s="1467"/>
      <c r="N22" s="1461"/>
      <c r="O22" s="1460"/>
      <c r="P22" s="1463"/>
      <c r="Q22" s="1466"/>
      <c r="R22" s="1466"/>
      <c r="S22" s="1469"/>
      <c r="T22" s="1469"/>
      <c r="U22" s="1469"/>
      <c r="V22" s="1469"/>
      <c r="W22" s="1459"/>
      <c r="X22" s="1459"/>
      <c r="Y22" s="1459"/>
      <c r="Z22" s="1482"/>
    </row>
    <row r="23" spans="2:26">
      <c r="B23" s="1982"/>
      <c r="C23" s="1423"/>
      <c r="D23" s="2791"/>
      <c r="E23" s="1562"/>
      <c r="F23" s="1426">
        <f t="shared" si="2"/>
        <v>0</v>
      </c>
      <c r="H23" s="1935"/>
      <c r="I23" s="1936"/>
      <c r="J23" s="1470"/>
      <c r="K23" s="1460"/>
      <c r="L23" s="1467"/>
      <c r="M23" s="1467"/>
      <c r="N23" s="1461"/>
      <c r="O23" s="1460"/>
      <c r="P23" s="1463"/>
      <c r="Q23" s="1466"/>
      <c r="R23" s="1466"/>
      <c r="S23" s="1469"/>
      <c r="T23" s="1469"/>
      <c r="U23" s="1469"/>
      <c r="V23" s="1469"/>
      <c r="W23" s="1459"/>
      <c r="X23" s="1459"/>
      <c r="Y23" s="1459"/>
      <c r="Z23" s="1482"/>
    </row>
    <row r="24" spans="2:26">
      <c r="B24" s="1982"/>
      <c r="C24" s="1423"/>
      <c r="D24" s="2774"/>
      <c r="E24" s="1443"/>
      <c r="F24" s="1426">
        <f t="shared" si="2"/>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80">
        <f>SUM(D29:D35)</f>
        <v>4944.3042500000001</v>
      </c>
      <c r="E27" s="1657">
        <f>SUM(E29:E31)+SUM(E33:E35)</f>
        <v>5585.5599999999995</v>
      </c>
      <c r="F27" s="1602">
        <f>D27+E27</f>
        <v>10529.864249999999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4944.3042500000001</v>
      </c>
      <c r="E29" s="1504">
        <f>E15*E28</f>
        <v>4279.3599999999997</v>
      </c>
      <c r="F29" s="1426">
        <f t="shared" ref="F29:F35" si="3">SUM(D29:E29)</f>
        <v>9223.6642499999998</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3"/>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1306.2</v>
      </c>
      <c r="F33" s="1661">
        <f>SUM(D33:E33)</f>
        <v>1306.2</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A34" s="1400" t="s">
        <v>182</v>
      </c>
      <c r="C34" s="1667" t="s">
        <v>720</v>
      </c>
      <c r="D34" s="2785"/>
      <c r="E34" s="1641">
        <f>E21*E32</f>
        <v>0</v>
      </c>
      <c r="F34" s="1661">
        <f t="shared" ref="F34" si="4">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2">
        <v>18230461</v>
      </c>
      <c r="C37" s="1451" t="s">
        <v>46</v>
      </c>
      <c r="D37" s="2780">
        <f>SUM(D38:D41)</f>
        <v>15381.33</v>
      </c>
      <c r="E37" s="1657">
        <f>SUM(E38:E41)</f>
        <v>14040</v>
      </c>
      <c r="F37" s="1602">
        <f>D37+E37</f>
        <v>29421.33</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423" t="s">
        <v>888</v>
      </c>
      <c r="D38" s="2778">
        <v>15381.33</v>
      </c>
      <c r="E38" s="1520">
        <v>14040</v>
      </c>
      <c r="F38" s="1426">
        <f t="shared" ref="F38:F41" si="5">SUM(D38:E38)</f>
        <v>29421.33</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80">
        <f>SUM(D44:D47)</f>
        <v>500</v>
      </c>
      <c r="E43" s="1657">
        <f>SUM(E44:E47)</f>
        <v>500</v>
      </c>
      <c r="F43" s="1602">
        <f>D43+E43</f>
        <v>1000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c r="D44" s="2778">
        <v>500</v>
      </c>
      <c r="E44" s="1520">
        <v>500</v>
      </c>
      <c r="F44" s="1426">
        <f t="shared" ref="F44:F47" si="6">SUM(D44:E44)</f>
        <v>1000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100250</v>
      </c>
      <c r="E49" s="1657">
        <f>SUM(E50:E53)</f>
        <v>49769</v>
      </c>
      <c r="F49" s="1602">
        <f>D49+E49</f>
        <v>150019</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t="s">
        <v>999</v>
      </c>
      <c r="D50" s="2778">
        <v>100250</v>
      </c>
      <c r="E50" s="1520">
        <v>49769</v>
      </c>
      <c r="F50" s="1426">
        <f t="shared" ref="F50:F53" si="7">SUM(D50:E50)</f>
        <v>150019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250</v>
      </c>
      <c r="E55" s="1657">
        <f>SUM(E56:E59)</f>
        <v>250</v>
      </c>
      <c r="F55" s="1602">
        <f>D55+E55</f>
        <v>500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250</v>
      </c>
      <c r="E56" s="1504">
        <v>250</v>
      </c>
      <c r="F56" s="1426">
        <f t="shared" ref="F56:F59" si="8">SUM(D56:E56)</f>
        <v>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250</v>
      </c>
      <c r="E61" s="1657">
        <f>SUM(E62:E65)</f>
        <v>250</v>
      </c>
      <c r="F61" s="1602">
        <f>D61+E61</f>
        <v>500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250</v>
      </c>
      <c r="E62" s="1520">
        <v>250</v>
      </c>
      <c r="F62" s="1426">
        <f t="shared" ref="F62:F65" si="9">SUM(D62:E62)</f>
        <v>500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c r="A64" s="1400" t="s">
        <v>182</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2">
        <v>18230461</v>
      </c>
      <c r="C67" s="1451" t="s">
        <v>50</v>
      </c>
      <c r="D67" s="2771">
        <f>W15</f>
        <v>100232.37</v>
      </c>
      <c r="E67" s="1464">
        <f>X15</f>
        <v>49760</v>
      </c>
      <c r="F67" s="1462">
        <f>D67+E67</f>
        <v>149992.37</v>
      </c>
    </row>
    <row r="68" spans="1:26">
      <c r="A68" s="1357" t="s">
        <v>4</v>
      </c>
      <c r="C68" s="1500" t="s">
        <v>297</v>
      </c>
      <c r="D68" s="2938">
        <f>D67/D12</f>
        <v>0.43727440967531844</v>
      </c>
      <c r="E68" s="1986">
        <f>E67/E12</f>
        <v>0.39375013452074531</v>
      </c>
      <c r="F68" s="1499"/>
    </row>
    <row r="69" spans="1:26">
      <c r="C69" s="1501"/>
      <c r="D69" s="2782"/>
      <c r="E69" s="1497"/>
      <c r="F69" s="1498"/>
    </row>
    <row r="70" spans="1:26">
      <c r="C70" s="1494" t="s">
        <v>51</v>
      </c>
      <c r="D70" s="2778">
        <v>0</v>
      </c>
      <c r="E70" s="1503">
        <v>0</v>
      </c>
      <c r="F70" s="1491">
        <v>0</v>
      </c>
    </row>
    <row r="71" spans="1:26">
      <c r="D71" s="2767"/>
    </row>
    <row r="72" spans="1:26">
      <c r="D72" s="2767"/>
    </row>
  </sheetData>
  <customSheetViews>
    <customSheetView guid="{D9EFFE19-D14B-4C6F-BDF4-FF696F73968D}" showGridLines="0">
      <pane xSplit="1" ySplit="1" topLeftCell="G2" activePane="bottomRight" state="frozen"/>
      <selection pane="bottomRight" activeCell="O17" sqref="O17"/>
      <pageMargins left="0.21" right="0.24" top="0.37" bottom="0.39" header="0.3" footer="0.3"/>
      <pageSetup paperSize="3" scale="43" orientation="landscape" r:id="rId1"/>
    </customSheetView>
    <customSheetView guid="{074EB09C-6289-46D7-9513-012B68BCA7BF}" showGridLines="0">
      <pane xSplit="1" ySplit="1" topLeftCell="B5" activePane="bottomRight" state="frozen"/>
      <selection pane="bottomRight" activeCell="Y27" sqref="Y27"/>
      <pageMargins left="0.21" right="0.24" top="0.37" bottom="0.39" header="0.3" footer="0.3"/>
      <pageSetup paperSize="3"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24" top="0.37" bottom="0.39" header="0.3" footer="0.3"/>
  <pageSetup paperSize="3" scale="42" orientation="landscape"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8DB4E3"/>
  </sheetPr>
  <dimension ref="A1:Y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6.85546875" style="849" customWidth="1"/>
    <col min="2" max="2" width="14.85546875" style="1413" customWidth="1"/>
    <col min="3" max="3" width="29" customWidth="1"/>
    <col min="4" max="4" width="18.7109375" customWidth="1"/>
    <col min="5" max="5" width="17.42578125" style="9" customWidth="1"/>
    <col min="6" max="7" width="17.425781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5.2851562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5.7109375" bestFit="1" customWidth="1"/>
    <col min="250" max="250" width="19.7109375" bestFit="1" customWidth="1"/>
    <col min="251" max="251" width="16.140625" customWidth="1"/>
    <col min="252" max="252" width="19.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5.2851562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6" width="15.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5.7109375" bestFit="1" customWidth="1"/>
    <col min="506" max="506" width="19.7109375" bestFit="1" customWidth="1"/>
    <col min="507" max="507" width="16.140625" customWidth="1"/>
    <col min="508" max="508" width="19.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5.2851562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2" width="15.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5.7109375" bestFit="1" customWidth="1"/>
    <col min="762" max="762" width="19.7109375" bestFit="1" customWidth="1"/>
    <col min="763" max="763" width="16.140625" customWidth="1"/>
    <col min="764" max="764" width="19.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5.2851562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8" width="15.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5.7109375" bestFit="1" customWidth="1"/>
    <col min="1018" max="1018" width="19.7109375" bestFit="1" customWidth="1"/>
    <col min="1019" max="1019" width="16.140625" customWidth="1"/>
    <col min="1020" max="1020" width="19.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5.2851562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4" width="15.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5.7109375" bestFit="1" customWidth="1"/>
    <col min="1274" max="1274" width="19.7109375" bestFit="1" customWidth="1"/>
    <col min="1275" max="1275" width="16.140625" customWidth="1"/>
    <col min="1276" max="1276" width="19.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5.2851562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90" width="15.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5.7109375" bestFit="1" customWidth="1"/>
    <col min="1530" max="1530" width="19.7109375" bestFit="1" customWidth="1"/>
    <col min="1531" max="1531" width="16.140625" customWidth="1"/>
    <col min="1532" max="1532" width="19.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5.2851562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6" width="15.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5.7109375" bestFit="1" customWidth="1"/>
    <col min="1786" max="1786" width="19.7109375" bestFit="1" customWidth="1"/>
    <col min="1787" max="1787" width="16.140625" customWidth="1"/>
    <col min="1788" max="1788" width="19.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5.2851562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2" width="15.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5.7109375" bestFit="1" customWidth="1"/>
    <col min="2042" max="2042" width="19.7109375" bestFit="1" customWidth="1"/>
    <col min="2043" max="2043" width="16.140625" customWidth="1"/>
    <col min="2044" max="2044" width="19.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5.2851562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8" width="15.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5.7109375" bestFit="1" customWidth="1"/>
    <col min="2298" max="2298" width="19.7109375" bestFit="1" customWidth="1"/>
    <col min="2299" max="2299" width="16.140625" customWidth="1"/>
    <col min="2300" max="2300" width="19.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5.2851562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4" width="15.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5.7109375" bestFit="1" customWidth="1"/>
    <col min="2554" max="2554" width="19.7109375" bestFit="1" customWidth="1"/>
    <col min="2555" max="2555" width="16.140625" customWidth="1"/>
    <col min="2556" max="2556" width="19.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5.2851562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70" width="15.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5.7109375" bestFit="1" customWidth="1"/>
    <col min="2810" max="2810" width="19.7109375" bestFit="1" customWidth="1"/>
    <col min="2811" max="2811" width="16.140625" customWidth="1"/>
    <col min="2812" max="2812" width="19.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5.2851562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6" width="15.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5.7109375" bestFit="1" customWidth="1"/>
    <col min="3066" max="3066" width="19.7109375" bestFit="1" customWidth="1"/>
    <col min="3067" max="3067" width="16.140625" customWidth="1"/>
    <col min="3068" max="3068" width="19.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5.2851562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2" width="15.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5.7109375" bestFit="1" customWidth="1"/>
    <col min="3322" max="3322" width="19.7109375" bestFit="1" customWidth="1"/>
    <col min="3323" max="3323" width="16.140625" customWidth="1"/>
    <col min="3324" max="3324" width="19.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5.2851562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8" width="15.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5.7109375" bestFit="1" customWidth="1"/>
    <col min="3578" max="3578" width="19.7109375" bestFit="1" customWidth="1"/>
    <col min="3579" max="3579" width="16.140625" customWidth="1"/>
    <col min="3580" max="3580" width="19.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5.2851562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4" width="15.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5.7109375" bestFit="1" customWidth="1"/>
    <col min="3834" max="3834" width="19.7109375" bestFit="1" customWidth="1"/>
    <col min="3835" max="3835" width="16.140625" customWidth="1"/>
    <col min="3836" max="3836" width="19.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5.2851562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50" width="15.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5.7109375" bestFit="1" customWidth="1"/>
    <col min="4090" max="4090" width="19.7109375" bestFit="1" customWidth="1"/>
    <col min="4091" max="4091" width="16.140625" customWidth="1"/>
    <col min="4092" max="4092" width="19.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5.2851562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6" width="15.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5.7109375" bestFit="1" customWidth="1"/>
    <col min="4346" max="4346" width="19.7109375" bestFit="1" customWidth="1"/>
    <col min="4347" max="4347" width="16.140625" customWidth="1"/>
    <col min="4348" max="4348" width="19.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5.2851562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2" width="15.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5.7109375" bestFit="1" customWidth="1"/>
    <col min="4602" max="4602" width="19.7109375" bestFit="1" customWidth="1"/>
    <col min="4603" max="4603" width="16.140625" customWidth="1"/>
    <col min="4604" max="4604" width="19.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5.2851562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8" width="15.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5.7109375" bestFit="1" customWidth="1"/>
    <col min="4858" max="4858" width="19.7109375" bestFit="1" customWidth="1"/>
    <col min="4859" max="4859" width="16.140625" customWidth="1"/>
    <col min="4860" max="4860" width="19.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5.2851562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4" width="15.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5.7109375" bestFit="1" customWidth="1"/>
    <col min="5114" max="5114" width="19.7109375" bestFit="1" customWidth="1"/>
    <col min="5115" max="5115" width="16.140625" customWidth="1"/>
    <col min="5116" max="5116" width="19.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5.2851562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30" width="15.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5.7109375" bestFit="1" customWidth="1"/>
    <col min="5370" max="5370" width="19.7109375" bestFit="1" customWidth="1"/>
    <col min="5371" max="5371" width="16.140625" customWidth="1"/>
    <col min="5372" max="5372" width="19.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5.2851562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6" width="15.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5.7109375" bestFit="1" customWidth="1"/>
    <col min="5626" max="5626" width="19.7109375" bestFit="1" customWidth="1"/>
    <col min="5627" max="5627" width="16.140625" customWidth="1"/>
    <col min="5628" max="5628" width="19.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5.2851562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2" width="15.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5.7109375" bestFit="1" customWidth="1"/>
    <col min="5882" max="5882" width="19.7109375" bestFit="1" customWidth="1"/>
    <col min="5883" max="5883" width="16.140625" customWidth="1"/>
    <col min="5884" max="5884" width="19.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5.2851562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8" width="15.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5.7109375" bestFit="1" customWidth="1"/>
    <col min="6138" max="6138" width="19.7109375" bestFit="1" customWidth="1"/>
    <col min="6139" max="6139" width="16.140625" customWidth="1"/>
    <col min="6140" max="6140" width="19.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5.2851562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4" width="15.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5.7109375" bestFit="1" customWidth="1"/>
    <col min="6394" max="6394" width="19.7109375" bestFit="1" customWidth="1"/>
    <col min="6395" max="6395" width="16.140625" customWidth="1"/>
    <col min="6396" max="6396" width="19.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5.2851562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10" width="15.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5.7109375" bestFit="1" customWidth="1"/>
    <col min="6650" max="6650" width="19.7109375" bestFit="1" customWidth="1"/>
    <col min="6651" max="6651" width="16.140625" customWidth="1"/>
    <col min="6652" max="6652" width="19.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5.2851562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6" width="15.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5.7109375" bestFit="1" customWidth="1"/>
    <col min="6906" max="6906" width="19.7109375" bestFit="1" customWidth="1"/>
    <col min="6907" max="6907" width="16.140625" customWidth="1"/>
    <col min="6908" max="6908" width="19.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5.2851562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2" width="15.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5.7109375" bestFit="1" customWidth="1"/>
    <col min="7162" max="7162" width="19.7109375" bestFit="1" customWidth="1"/>
    <col min="7163" max="7163" width="16.140625" customWidth="1"/>
    <col min="7164" max="7164" width="19.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5.2851562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8" width="15.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5.7109375" bestFit="1" customWidth="1"/>
    <col min="7418" max="7418" width="19.7109375" bestFit="1" customWidth="1"/>
    <col min="7419" max="7419" width="16.140625" customWidth="1"/>
    <col min="7420" max="7420" width="19.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5.2851562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4" width="15.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5.7109375" bestFit="1" customWidth="1"/>
    <col min="7674" max="7674" width="19.7109375" bestFit="1" customWidth="1"/>
    <col min="7675" max="7675" width="16.140625" customWidth="1"/>
    <col min="7676" max="7676" width="19.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5.2851562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90" width="15.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5.7109375" bestFit="1" customWidth="1"/>
    <col min="7930" max="7930" width="19.7109375" bestFit="1" customWidth="1"/>
    <col min="7931" max="7931" width="16.140625" customWidth="1"/>
    <col min="7932" max="7932" width="19.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5.2851562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6" width="15.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5.7109375" bestFit="1" customWidth="1"/>
    <col min="8186" max="8186" width="19.7109375" bestFit="1" customWidth="1"/>
    <col min="8187" max="8187" width="16.140625" customWidth="1"/>
    <col min="8188" max="8188" width="19.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5.2851562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2" width="15.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5.7109375" bestFit="1" customWidth="1"/>
    <col min="8442" max="8442" width="19.7109375" bestFit="1" customWidth="1"/>
    <col min="8443" max="8443" width="16.140625" customWidth="1"/>
    <col min="8444" max="8444" width="19.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5.2851562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8" width="15.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5.7109375" bestFit="1" customWidth="1"/>
    <col min="8698" max="8698" width="19.7109375" bestFit="1" customWidth="1"/>
    <col min="8699" max="8699" width="16.140625" customWidth="1"/>
    <col min="8700" max="8700" width="19.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5.2851562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4" width="15.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5.7109375" bestFit="1" customWidth="1"/>
    <col min="8954" max="8954" width="19.7109375" bestFit="1" customWidth="1"/>
    <col min="8955" max="8955" width="16.140625" customWidth="1"/>
    <col min="8956" max="8956" width="19.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5.2851562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70" width="15.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5.7109375" bestFit="1" customWidth="1"/>
    <col min="9210" max="9210" width="19.7109375" bestFit="1" customWidth="1"/>
    <col min="9211" max="9211" width="16.140625" customWidth="1"/>
    <col min="9212" max="9212" width="19.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5.2851562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6" width="15.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5.7109375" bestFit="1" customWidth="1"/>
    <col min="9466" max="9466" width="19.7109375" bestFit="1" customWidth="1"/>
    <col min="9467" max="9467" width="16.140625" customWidth="1"/>
    <col min="9468" max="9468" width="19.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5.2851562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2" width="15.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5.7109375" bestFit="1" customWidth="1"/>
    <col min="9722" max="9722" width="19.7109375" bestFit="1" customWidth="1"/>
    <col min="9723" max="9723" width="16.140625" customWidth="1"/>
    <col min="9724" max="9724" width="19.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5.2851562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8" width="15.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5.7109375" bestFit="1" customWidth="1"/>
    <col min="9978" max="9978" width="19.7109375" bestFit="1" customWidth="1"/>
    <col min="9979" max="9979" width="16.140625" customWidth="1"/>
    <col min="9980" max="9980" width="19.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5.2851562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4" width="15.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5.7109375" bestFit="1" customWidth="1"/>
    <col min="10234" max="10234" width="19.7109375" bestFit="1" customWidth="1"/>
    <col min="10235" max="10235" width="16.140625" customWidth="1"/>
    <col min="10236" max="10236" width="19.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5.2851562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50" width="15.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5.7109375" bestFit="1" customWidth="1"/>
    <col min="10490" max="10490" width="19.7109375" bestFit="1" customWidth="1"/>
    <col min="10491" max="10491" width="16.140625" customWidth="1"/>
    <col min="10492" max="10492" width="19.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5.2851562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6" width="15.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5.7109375" bestFit="1" customWidth="1"/>
    <col min="10746" max="10746" width="19.7109375" bestFit="1" customWidth="1"/>
    <col min="10747" max="10747" width="16.140625" customWidth="1"/>
    <col min="10748" max="10748" width="19.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5.2851562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2" width="15.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5.7109375" bestFit="1" customWidth="1"/>
    <col min="11002" max="11002" width="19.7109375" bestFit="1" customWidth="1"/>
    <col min="11003" max="11003" width="16.140625" customWidth="1"/>
    <col min="11004" max="11004" width="19.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5.2851562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8" width="15.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5.7109375" bestFit="1" customWidth="1"/>
    <col min="11258" max="11258" width="19.7109375" bestFit="1" customWidth="1"/>
    <col min="11259" max="11259" width="16.140625" customWidth="1"/>
    <col min="11260" max="11260" width="19.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5.2851562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4" width="15.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5.7109375" bestFit="1" customWidth="1"/>
    <col min="11514" max="11514" width="19.7109375" bestFit="1" customWidth="1"/>
    <col min="11515" max="11515" width="16.140625" customWidth="1"/>
    <col min="11516" max="11516" width="19.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5.2851562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30" width="15.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5.7109375" bestFit="1" customWidth="1"/>
    <col min="11770" max="11770" width="19.7109375" bestFit="1" customWidth="1"/>
    <col min="11771" max="11771" width="16.140625" customWidth="1"/>
    <col min="11772" max="11772" width="19.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5.2851562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6" width="15.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5.7109375" bestFit="1" customWidth="1"/>
    <col min="12026" max="12026" width="19.7109375" bestFit="1" customWidth="1"/>
    <col min="12027" max="12027" width="16.140625" customWidth="1"/>
    <col min="12028" max="12028" width="19.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5.2851562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2" width="15.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5.7109375" bestFit="1" customWidth="1"/>
    <col min="12282" max="12282" width="19.7109375" bestFit="1" customWidth="1"/>
    <col min="12283" max="12283" width="16.140625" customWidth="1"/>
    <col min="12284" max="12284" width="19.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5.2851562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8" width="15.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5.7109375" bestFit="1" customWidth="1"/>
    <col min="12538" max="12538" width="19.7109375" bestFit="1" customWidth="1"/>
    <col min="12539" max="12539" width="16.140625" customWidth="1"/>
    <col min="12540" max="12540" width="19.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5.2851562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4" width="15.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5.7109375" bestFit="1" customWidth="1"/>
    <col min="12794" max="12794" width="19.7109375" bestFit="1" customWidth="1"/>
    <col min="12795" max="12795" width="16.140625" customWidth="1"/>
    <col min="12796" max="12796" width="19.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5.2851562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10" width="15.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5.7109375" bestFit="1" customWidth="1"/>
    <col min="13050" max="13050" width="19.7109375" bestFit="1" customWidth="1"/>
    <col min="13051" max="13051" width="16.140625" customWidth="1"/>
    <col min="13052" max="13052" width="19.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5.2851562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6" width="15.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5.7109375" bestFit="1" customWidth="1"/>
    <col min="13306" max="13306" width="19.7109375" bestFit="1" customWidth="1"/>
    <col min="13307" max="13307" width="16.140625" customWidth="1"/>
    <col min="13308" max="13308" width="19.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5.2851562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2" width="15.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5.7109375" bestFit="1" customWidth="1"/>
    <col min="13562" max="13562" width="19.7109375" bestFit="1" customWidth="1"/>
    <col min="13563" max="13563" width="16.140625" customWidth="1"/>
    <col min="13564" max="13564" width="19.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5.2851562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8" width="15.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5.7109375" bestFit="1" customWidth="1"/>
    <col min="13818" max="13818" width="19.7109375" bestFit="1" customWidth="1"/>
    <col min="13819" max="13819" width="16.140625" customWidth="1"/>
    <col min="13820" max="13820" width="19.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5.2851562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4" width="15.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5.7109375" bestFit="1" customWidth="1"/>
    <col min="14074" max="14074" width="19.7109375" bestFit="1" customWidth="1"/>
    <col min="14075" max="14075" width="16.140625" customWidth="1"/>
    <col min="14076" max="14076" width="19.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5.2851562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90" width="15.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5.7109375" bestFit="1" customWidth="1"/>
    <col min="14330" max="14330" width="19.7109375" bestFit="1" customWidth="1"/>
    <col min="14331" max="14331" width="16.140625" customWidth="1"/>
    <col min="14332" max="14332" width="19.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5.2851562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6" width="15.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5.7109375" bestFit="1" customWidth="1"/>
    <col min="14586" max="14586" width="19.7109375" bestFit="1" customWidth="1"/>
    <col min="14587" max="14587" width="16.140625" customWidth="1"/>
    <col min="14588" max="14588" width="19.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5.2851562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2" width="15.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5.7109375" bestFit="1" customWidth="1"/>
    <col min="14842" max="14842" width="19.7109375" bestFit="1" customWidth="1"/>
    <col min="14843" max="14843" width="16.140625" customWidth="1"/>
    <col min="14844" max="14844" width="19.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5.2851562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8" width="15.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5.7109375" bestFit="1" customWidth="1"/>
    <col min="15098" max="15098" width="19.7109375" bestFit="1" customWidth="1"/>
    <col min="15099" max="15099" width="16.140625" customWidth="1"/>
    <col min="15100" max="15100" width="19.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5.2851562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4" width="15.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5.7109375" bestFit="1" customWidth="1"/>
    <col min="15354" max="15354" width="19.7109375" bestFit="1" customWidth="1"/>
    <col min="15355" max="15355" width="16.140625" customWidth="1"/>
    <col min="15356" max="15356" width="19.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5.2851562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70" width="15.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5.7109375" bestFit="1" customWidth="1"/>
    <col min="15610" max="15610" width="19.7109375" bestFit="1" customWidth="1"/>
    <col min="15611" max="15611" width="16.140625" customWidth="1"/>
    <col min="15612" max="15612" width="19.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5.2851562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6" width="15.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5.7109375" bestFit="1" customWidth="1"/>
    <col min="15866" max="15866" width="19.7109375" bestFit="1" customWidth="1"/>
    <col min="15867" max="15867" width="16.140625" customWidth="1"/>
    <col min="15868" max="15868" width="19.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5.2851562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2" width="15.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5.7109375" bestFit="1" customWidth="1"/>
    <col min="16122" max="16122" width="19.7109375" bestFit="1" customWidth="1"/>
    <col min="16123" max="16123" width="16.140625" customWidth="1"/>
    <col min="16124" max="16124" width="19.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5.2851562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8" width="15.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1" customHeight="1" thickBot="1">
      <c r="C1" s="1401" t="s">
        <v>179</v>
      </c>
      <c r="D1" s="1361" t="s">
        <v>273</v>
      </c>
      <c r="E1" s="1401" t="s">
        <v>5</v>
      </c>
      <c r="F1" s="1401">
        <v>18230405</v>
      </c>
      <c r="G1" s="1361" t="s">
        <v>4</v>
      </c>
      <c r="J1" s="1361"/>
      <c r="K1" s="1361"/>
      <c r="L1" s="1361"/>
      <c r="M1" s="1401" t="s">
        <v>179</v>
      </c>
      <c r="N1" s="1361" t="s">
        <v>273</v>
      </c>
      <c r="O1" s="1401" t="s">
        <v>5</v>
      </c>
      <c r="P1" s="1401">
        <v>18230405</v>
      </c>
      <c r="Q1" s="1361" t="s">
        <v>4</v>
      </c>
      <c r="V1" s="1401" t="s">
        <v>179</v>
      </c>
      <c r="W1" s="1361" t="s">
        <v>273</v>
      </c>
      <c r="X1" s="1401" t="s">
        <v>5</v>
      </c>
      <c r="Y1" s="1401">
        <v>18230405</v>
      </c>
    </row>
    <row r="2" spans="1:25" ht="16.5" thickBot="1">
      <c r="C2" s="44"/>
      <c r="D2" s="45"/>
      <c r="G2" s="1652"/>
      <c r="I2" s="1178" t="s">
        <v>627</v>
      </c>
      <c r="S2" s="3575"/>
      <c r="T2" s="3575"/>
      <c r="U2" s="3576" t="s">
        <v>33</v>
      </c>
      <c r="V2" s="3577"/>
      <c r="W2" s="3578"/>
      <c r="X2" s="3579" t="s">
        <v>34</v>
      </c>
    </row>
    <row r="3" spans="1:25" ht="26.25" thickBot="1">
      <c r="A3" s="1400" t="s">
        <v>179</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5" ht="16.5" thickBot="1">
      <c r="A4" s="1357" t="s">
        <v>273</v>
      </c>
      <c r="B4" s="1400"/>
      <c r="C4" s="44"/>
      <c r="H4" s="2946" t="s">
        <v>1726</v>
      </c>
      <c r="I4" s="2947">
        <f>D15</f>
        <v>13500</v>
      </c>
      <c r="J4" s="2948">
        <f>D21</f>
        <v>10984.2</v>
      </c>
      <c r="K4" s="2948">
        <f>D27</f>
        <v>16330.9614</v>
      </c>
      <c r="L4" s="2948">
        <f>D37</f>
        <v>26000</v>
      </c>
      <c r="M4" s="2948">
        <f>D43</f>
        <v>1000</v>
      </c>
      <c r="N4" s="2948">
        <f>D49</f>
        <v>2500</v>
      </c>
      <c r="O4" s="2948">
        <f>D55</f>
        <v>2000</v>
      </c>
      <c r="P4" s="2948">
        <f>D61</f>
        <v>0</v>
      </c>
      <c r="Q4" s="2948">
        <f>D67</f>
        <v>0</v>
      </c>
      <c r="R4" s="2948">
        <f>D68</f>
        <v>0</v>
      </c>
      <c r="S4" s="2949">
        <f>SUM(I4:R4)</f>
        <v>72315.161399999997</v>
      </c>
      <c r="T4" s="2950">
        <f>T15</f>
        <v>0</v>
      </c>
      <c r="U4" s="2954">
        <f>Q4/S4</f>
        <v>0</v>
      </c>
      <c r="V4" s="2954">
        <f>(L4+(J4*1.63))/S4</f>
        <v>0.60712366743054802</v>
      </c>
      <c r="W4" s="2954">
        <f>N4/S4</f>
        <v>3.4570897051195683E-2</v>
      </c>
      <c r="X4" s="2953" t="e">
        <f>S4/T4</f>
        <v>#DIV/0!</v>
      </c>
    </row>
    <row r="5" spans="1:25" ht="16.5" thickBot="1">
      <c r="A5" s="1400" t="s">
        <v>5</v>
      </c>
      <c r="C5" s="45"/>
      <c r="H5" s="3205" t="s">
        <v>1753</v>
      </c>
      <c r="I5" s="2617">
        <v>13500</v>
      </c>
      <c r="J5" s="2618">
        <v>10984.2</v>
      </c>
      <c r="K5" s="2618">
        <v>16649.256000000001</v>
      </c>
      <c r="L5" s="2618">
        <v>26000</v>
      </c>
      <c r="M5" s="2618">
        <v>1000</v>
      </c>
      <c r="N5" s="2618">
        <v>2500</v>
      </c>
      <c r="O5" s="2618">
        <v>2000</v>
      </c>
      <c r="P5" s="2618">
        <v>0</v>
      </c>
      <c r="Q5" s="2618">
        <v>0</v>
      </c>
      <c r="R5" s="2618">
        <v>0</v>
      </c>
      <c r="S5" s="2619">
        <v>72633.456000000006</v>
      </c>
      <c r="T5" s="2620">
        <v>0</v>
      </c>
      <c r="U5" s="1186">
        <f>Q5/S5</f>
        <v>0</v>
      </c>
      <c r="V5" s="1186">
        <f>(L5+(J5*1.63))/S5</f>
        <v>0.60446312784565825</v>
      </c>
      <c r="W5" s="1186">
        <f>N5/S5</f>
        <v>3.4419400338048071E-2</v>
      </c>
      <c r="X5" s="48" t="e">
        <f>S5/T5</f>
        <v>#DIV/0!</v>
      </c>
    </row>
    <row r="6" spans="1:25" ht="16.5" thickBot="1">
      <c r="A6" s="1400">
        <v>18230405</v>
      </c>
      <c r="B6" s="1400"/>
      <c r="D6" s="1152"/>
      <c r="H6" s="3206" t="s">
        <v>1754</v>
      </c>
      <c r="I6" s="2621">
        <f>E15</f>
        <v>11662.5</v>
      </c>
      <c r="J6" s="2622">
        <f>E21</f>
        <v>777.5</v>
      </c>
      <c r="K6" s="2623">
        <f>E27</f>
        <v>11171.119999999999</v>
      </c>
      <c r="L6" s="2622">
        <f>E37</f>
        <v>26000</v>
      </c>
      <c r="M6" s="2622">
        <f>E43</f>
        <v>1000</v>
      </c>
      <c r="N6" s="2622">
        <f>E49</f>
        <v>2500</v>
      </c>
      <c r="O6" s="2622">
        <f>E55</f>
        <v>2000</v>
      </c>
      <c r="P6" s="2622">
        <f>E61</f>
        <v>0</v>
      </c>
      <c r="Q6" s="2622">
        <f>E67</f>
        <v>0</v>
      </c>
      <c r="R6" s="2622">
        <f>E68</f>
        <v>0</v>
      </c>
      <c r="S6" s="2624">
        <f>SUM(I6:R6)</f>
        <v>55111.119999999995</v>
      </c>
      <c r="T6" s="2625">
        <f>U15</f>
        <v>0</v>
      </c>
      <c r="U6" s="2631">
        <f>Q6/S6</f>
        <v>0</v>
      </c>
      <c r="V6" s="2631">
        <f>(L6+(J6*1.63))/S6</f>
        <v>0.49476993027904353</v>
      </c>
      <c r="W6" s="2631">
        <f>N6/S6</f>
        <v>4.5362895909210339E-2</v>
      </c>
      <c r="X6" s="2626" t="e">
        <f>S6/T6</f>
        <v>#DIV/0!</v>
      </c>
    </row>
    <row r="7" spans="1:25"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5" ht="15.75">
      <c r="B8" s="1357"/>
      <c r="C8" s="1413"/>
      <c r="D8" s="1190"/>
      <c r="E8" s="1414"/>
      <c r="F8" s="1413"/>
    </row>
    <row r="9" spans="1:25"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5">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row>
    <row r="11" spans="1:25">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row>
    <row r="12" spans="1:25">
      <c r="C12" s="1434" t="s">
        <v>298</v>
      </c>
      <c r="D12" s="2766">
        <f>D15+D21+D27+D37+D43+D49+D55+D61</f>
        <v>72315.161399999997</v>
      </c>
      <c r="E12" s="1484">
        <f>E15+E21+E27+E37+E43+E49+E55+E61</f>
        <v>55111.119999999995</v>
      </c>
      <c r="F12" s="1462">
        <f>D12+E12</f>
        <v>127426.28139999999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row>
    <row r="14" spans="1:25"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row>
    <row r="15" spans="1:25">
      <c r="B15" s="1433" t="s">
        <v>296</v>
      </c>
      <c r="C15" s="1597" t="s">
        <v>1749</v>
      </c>
      <c r="D15" s="2771">
        <f>SUM(D16:D19)</f>
        <v>13500</v>
      </c>
      <c r="E15" s="1464">
        <f>SUM(E16:E19)</f>
        <v>11662.5</v>
      </c>
      <c r="F15" s="1462">
        <f>D15+E15</f>
        <v>25162.5</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row>
    <row r="16" spans="1:25">
      <c r="B16" s="1432">
        <v>0.05</v>
      </c>
      <c r="C16" s="1423" t="s">
        <v>734</v>
      </c>
      <c r="D16" s="2772">
        <v>4500</v>
      </c>
      <c r="E16" s="1448">
        <v>3887.5</v>
      </c>
      <c r="F16" s="1426">
        <f>SUM(D16:E16)</f>
        <v>8387.5</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row>
    <row r="17" spans="2:25">
      <c r="B17" s="1432">
        <v>0.1</v>
      </c>
      <c r="C17" s="1423" t="s">
        <v>735</v>
      </c>
      <c r="D17" s="2784">
        <v>9000</v>
      </c>
      <c r="E17" s="1447">
        <v>7775</v>
      </c>
      <c r="F17" s="1426">
        <f t="shared" ref="F17:F19" si="0">SUM(D17:E17)</f>
        <v>16775</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row>
    <row r="18" spans="2:25">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row>
    <row r="19" spans="2:25">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row>
    <row r="20" spans="2:25">
      <c r="B20" s="1449">
        <f>SUM(B16:B19)</f>
        <v>0.15000000000000002</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row>
    <row r="21" spans="2:25">
      <c r="B21" s="1433" t="s">
        <v>296</v>
      </c>
      <c r="C21" s="1451" t="s">
        <v>44</v>
      </c>
      <c r="D21" s="2771">
        <f>SUM(D22:D25)</f>
        <v>10984.2</v>
      </c>
      <c r="E21" s="1464">
        <f>SUM(E22:E25)</f>
        <v>777.5</v>
      </c>
      <c r="F21" s="1638">
        <f>D21+E21</f>
        <v>11761.7</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row>
    <row r="22" spans="2:25">
      <c r="B22" s="1982">
        <f>(SUM(D22:E22)/2)/((80000+(80000*1.025))/2)</f>
        <v>7.2603086419753091E-2</v>
      </c>
      <c r="C22" s="2248" t="s">
        <v>1090</v>
      </c>
      <c r="D22" s="2941">
        <v>10984.2</v>
      </c>
      <c r="E22" s="2249">
        <v>777.5</v>
      </c>
      <c r="F22" s="1426">
        <f t="shared" ref="F22:F25" si="1">SUM(D22:E22)</f>
        <v>11761.7</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7.2603086419753091E-2</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16330.9614</v>
      </c>
      <c r="E27" s="1657">
        <f>SUM(E29:E31)+SUM(E33:E35)</f>
        <v>11171.119999999999</v>
      </c>
      <c r="F27" s="1638">
        <f>D27+E27</f>
        <v>27502.081399999999</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9004.5</v>
      </c>
      <c r="E29" s="1504">
        <f>E15*E28</f>
        <v>8023.7999999999993</v>
      </c>
      <c r="F29" s="1426">
        <f t="shared" ref="F29:F35" si="2">SUM(D29:E29)</f>
        <v>17028.3</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7326.461400000001</v>
      </c>
      <c r="E30" s="1504">
        <f>E21*E28</f>
        <v>534.91999999999996</v>
      </c>
      <c r="F30" s="1426">
        <f t="shared" si="2"/>
        <v>7861.3814000000011</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2449.125</v>
      </c>
      <c r="F33" s="1661">
        <f>SUM(D33:E33)</f>
        <v>2449.125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ht="25.5">
      <c r="A34" s="1400" t="s">
        <v>179</v>
      </c>
      <c r="C34" s="1667" t="s">
        <v>720</v>
      </c>
      <c r="D34" s="2785"/>
      <c r="E34" s="1641">
        <f>E21*E32</f>
        <v>163.27500000000001</v>
      </c>
      <c r="F34" s="1661">
        <f t="shared" ref="F34" si="3">SUM(D34:E34)</f>
        <v>163.27500000000001</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1357" t="s">
        <v>273</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1400">
        <v>18230405</v>
      </c>
      <c r="C37" s="1451" t="s">
        <v>46</v>
      </c>
      <c r="D37" s="2771">
        <f>SUM(D38:D41)</f>
        <v>26000</v>
      </c>
      <c r="E37" s="1464">
        <f>SUM(E38:E41)</f>
        <v>26000</v>
      </c>
      <c r="F37" s="1638">
        <f>D37+E37</f>
        <v>52000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1357" t="s">
        <v>4</v>
      </c>
      <c r="C38" s="1423" t="s">
        <v>1095</v>
      </c>
      <c r="D38" s="2778">
        <v>26000</v>
      </c>
      <c r="E38" s="1520">
        <v>26000</v>
      </c>
      <c r="F38" s="1426">
        <f t="shared" ref="F38:F41" si="4">SUM(D38:E38)</f>
        <v>52000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1000</v>
      </c>
      <c r="E43" s="1464">
        <f>SUM(E44:E47)</f>
        <v>1000</v>
      </c>
      <c r="F43" s="1638">
        <f>D43+E43</f>
        <v>2000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423" t="s">
        <v>1091</v>
      </c>
      <c r="D44" s="2778">
        <v>1000</v>
      </c>
      <c r="E44" s="1520">
        <v>1000</v>
      </c>
      <c r="F44" s="1426">
        <f t="shared" ref="F44:F47" si="5">SUM(D44:E44)</f>
        <v>2000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451" t="s">
        <v>47</v>
      </c>
      <c r="D49" s="2771">
        <f>SUM(D50:D53)</f>
        <v>2500</v>
      </c>
      <c r="E49" s="1464">
        <f>SUM(E50:E53)</f>
        <v>2500</v>
      </c>
      <c r="F49" s="1638">
        <f>D49+E49</f>
        <v>5000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423" t="s">
        <v>1092</v>
      </c>
      <c r="D50" s="2778">
        <v>2500</v>
      </c>
      <c r="E50" s="1520">
        <v>2500</v>
      </c>
      <c r="F50" s="1426">
        <f t="shared" ref="F50:F53" si="6">SUM(D50:E50)</f>
        <v>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451" t="s">
        <v>48</v>
      </c>
      <c r="D55" s="2771">
        <f>SUM(D56:D59)</f>
        <v>2000</v>
      </c>
      <c r="E55" s="1464">
        <f>SUM(E56:E59)</f>
        <v>2000</v>
      </c>
      <c r="F55" s="1638">
        <f>D55+E55</f>
        <v>4000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423" t="s">
        <v>1093</v>
      </c>
      <c r="D56" s="2778">
        <v>2000</v>
      </c>
      <c r="E56" s="1504">
        <v>2000</v>
      </c>
      <c r="F56" s="1426">
        <f t="shared" ref="F56:F59" si="7">SUM(D56:E56)</f>
        <v>4000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ht="25.5">
      <c r="A64" s="1400" t="s">
        <v>179</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1400" t="s">
        <v>5</v>
      </c>
      <c r="C66" s="1488"/>
      <c r="D66" s="2779"/>
      <c r="E66" s="1490"/>
      <c r="F66" s="1493"/>
    </row>
    <row r="67" spans="1:25">
      <c r="A67" s="1400">
        <v>18230405</v>
      </c>
      <c r="C67" s="1451" t="s">
        <v>50</v>
      </c>
      <c r="D67" s="2771">
        <f>W15</f>
        <v>0</v>
      </c>
      <c r="E67" s="1464">
        <f>X15*1.15</f>
        <v>0</v>
      </c>
      <c r="F67" s="1462">
        <f>D67+E67</f>
        <v>0</v>
      </c>
    </row>
    <row r="68" spans="1:25">
      <c r="A68" s="1357" t="s">
        <v>4</v>
      </c>
      <c r="C68" s="1500" t="s">
        <v>297</v>
      </c>
      <c r="D68" s="2781"/>
      <c r="E68" s="1496"/>
      <c r="F68" s="1499"/>
    </row>
    <row r="69" spans="1:25">
      <c r="C69" s="1501"/>
      <c r="D69" s="2782"/>
      <c r="E69" s="1497"/>
      <c r="F69" s="1498"/>
    </row>
    <row r="70" spans="1:25">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F29" sqref="F29"/>
      <pageMargins left="0.2" right="0.23" top="0.37" bottom="0.37" header="0.3" footer="0.3"/>
      <pageSetup paperSize="3" scale="53" orientation="landscape" r:id="rId1"/>
    </customSheetView>
    <customSheetView guid="{074EB09C-6289-46D7-9513-012B68BCA7BF}" showGridLines="0">
      <pane xSplit="1" ySplit="1" topLeftCell="L2" activePane="bottomRight" state="frozen"/>
      <selection pane="bottomRight" activeCell="G56" sqref="G56"/>
      <pageMargins left="0.2" right="0.23" top="0.37" bottom="0.37" header="0.3" footer="0.3"/>
      <pageSetup paperSize="3" scale="53" orientation="landscape" r:id="rId2"/>
    </customSheetView>
  </customSheetViews>
  <mergeCells count="8">
    <mergeCell ref="S2:T2"/>
    <mergeCell ref="U2:W2"/>
    <mergeCell ref="X2:X3"/>
    <mergeCell ref="H10:P10"/>
    <mergeCell ref="H12:P12"/>
    <mergeCell ref="Q12:S12"/>
    <mergeCell ref="T12:V12"/>
    <mergeCell ref="W12:Y12"/>
  </mergeCells>
  <pageMargins left="0.2" right="0.23" top="0.37" bottom="0.37" header="0.3" footer="0.3"/>
  <pageSetup paperSize="3" scale="53" orientation="landscape" r:id="rId3"/>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7.5703125" style="849" customWidth="1"/>
    <col min="2" max="2" width="15.28515625" style="1413" customWidth="1"/>
    <col min="3" max="3" width="28.5703125" customWidth="1"/>
    <col min="4" max="4" width="21" customWidth="1"/>
    <col min="5" max="5" width="15.5703125" style="9" customWidth="1"/>
    <col min="6" max="6" width="15.5703125" customWidth="1"/>
    <col min="7" max="7" width="19.140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49" max="249" width="24" bestFit="1" customWidth="1"/>
    <col min="250" max="250" width="45.7109375" bestFit="1" customWidth="1"/>
    <col min="251" max="251" width="19.7109375" bestFit="1" customWidth="1"/>
    <col min="252" max="252" width="11.42578125" bestFit="1"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5.5703125" bestFit="1" customWidth="1"/>
    <col min="264" max="264" width="16.140625" customWidth="1"/>
    <col min="265" max="265" width="16.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1.42578125" bestFit="1"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5.5703125" bestFit="1" customWidth="1"/>
    <col min="520" max="520" width="16.140625" customWidth="1"/>
    <col min="521" max="521" width="16.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1.42578125" bestFit="1"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5.5703125" bestFit="1" customWidth="1"/>
    <col min="776" max="776" width="16.140625" customWidth="1"/>
    <col min="777" max="777" width="16.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1.42578125" bestFit="1"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5.5703125" bestFit="1" customWidth="1"/>
    <col min="1032" max="1032" width="16.140625" customWidth="1"/>
    <col min="1033" max="1033" width="16.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1.42578125" bestFit="1"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5.5703125" bestFit="1" customWidth="1"/>
    <col min="1288" max="1288" width="16.140625" customWidth="1"/>
    <col min="1289" max="1289" width="16.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1.42578125" bestFit="1"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5.5703125" bestFit="1" customWidth="1"/>
    <col min="1544" max="1544" width="16.140625" customWidth="1"/>
    <col min="1545" max="1545" width="16.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1.42578125" bestFit="1"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5.5703125" bestFit="1" customWidth="1"/>
    <col min="1800" max="1800" width="16.140625" customWidth="1"/>
    <col min="1801" max="1801" width="16.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1.42578125" bestFit="1"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5.5703125" bestFit="1" customWidth="1"/>
    <col min="2056" max="2056" width="16.140625" customWidth="1"/>
    <col min="2057" max="2057" width="16.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1.42578125" bestFit="1"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5.5703125" bestFit="1" customWidth="1"/>
    <col min="2312" max="2312" width="16.140625" customWidth="1"/>
    <col min="2313" max="2313" width="16.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1.42578125" bestFit="1"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5.5703125" bestFit="1" customWidth="1"/>
    <col min="2568" max="2568" width="16.140625" customWidth="1"/>
    <col min="2569" max="2569" width="16.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1.42578125" bestFit="1"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5.5703125" bestFit="1" customWidth="1"/>
    <col min="2824" max="2824" width="16.140625" customWidth="1"/>
    <col min="2825" max="2825" width="16.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1.42578125" bestFit="1"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5.5703125" bestFit="1" customWidth="1"/>
    <col min="3080" max="3080" width="16.140625" customWidth="1"/>
    <col min="3081" max="3081" width="16.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1.42578125" bestFit="1"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5.5703125" bestFit="1" customWidth="1"/>
    <col min="3336" max="3336" width="16.140625" customWidth="1"/>
    <col min="3337" max="3337" width="16.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1.42578125" bestFit="1"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5.5703125" bestFit="1" customWidth="1"/>
    <col min="3592" max="3592" width="16.140625" customWidth="1"/>
    <col min="3593" max="3593" width="16.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1.42578125" bestFit="1"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5.5703125" bestFit="1" customWidth="1"/>
    <col min="3848" max="3848" width="16.140625" customWidth="1"/>
    <col min="3849" max="3849" width="16.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1.42578125" bestFit="1"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5.5703125" bestFit="1" customWidth="1"/>
    <col min="4104" max="4104" width="16.140625" customWidth="1"/>
    <col min="4105" max="4105" width="16.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1.42578125" bestFit="1"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5.5703125" bestFit="1" customWidth="1"/>
    <col min="4360" max="4360" width="16.140625" customWidth="1"/>
    <col min="4361" max="4361" width="16.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1.42578125" bestFit="1"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5.5703125" bestFit="1" customWidth="1"/>
    <col min="4616" max="4616" width="16.140625" customWidth="1"/>
    <col min="4617" max="4617" width="16.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1.42578125" bestFit="1"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5.5703125" bestFit="1" customWidth="1"/>
    <col min="4872" max="4872" width="16.140625" customWidth="1"/>
    <col min="4873" max="4873" width="16.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1.42578125" bestFit="1"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5.5703125" bestFit="1" customWidth="1"/>
    <col min="5128" max="5128" width="16.140625" customWidth="1"/>
    <col min="5129" max="5129" width="16.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1.42578125" bestFit="1"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5.5703125" bestFit="1" customWidth="1"/>
    <col min="5384" max="5384" width="16.140625" customWidth="1"/>
    <col min="5385" max="5385" width="16.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1.42578125" bestFit="1"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5.5703125" bestFit="1" customWidth="1"/>
    <col min="5640" max="5640" width="16.140625" customWidth="1"/>
    <col min="5641" max="5641" width="16.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1.42578125" bestFit="1"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5.5703125" bestFit="1" customWidth="1"/>
    <col min="5896" max="5896" width="16.140625" customWidth="1"/>
    <col min="5897" max="5897" width="16.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1.42578125" bestFit="1"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5.5703125" bestFit="1" customWidth="1"/>
    <col min="6152" max="6152" width="16.140625" customWidth="1"/>
    <col min="6153" max="6153" width="16.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1.42578125" bestFit="1"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5.5703125" bestFit="1" customWidth="1"/>
    <col min="6408" max="6408" width="16.140625" customWidth="1"/>
    <col min="6409" max="6409" width="16.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1.42578125" bestFit="1"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5.5703125" bestFit="1" customWidth="1"/>
    <col min="6664" max="6664" width="16.140625" customWidth="1"/>
    <col min="6665" max="6665" width="16.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1.42578125" bestFit="1"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5.5703125" bestFit="1" customWidth="1"/>
    <col min="6920" max="6920" width="16.140625" customWidth="1"/>
    <col min="6921" max="6921" width="16.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1.42578125" bestFit="1"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5.5703125" bestFit="1" customWidth="1"/>
    <col min="7176" max="7176" width="16.140625" customWidth="1"/>
    <col min="7177" max="7177" width="16.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1.42578125" bestFit="1"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5.5703125" bestFit="1" customWidth="1"/>
    <col min="7432" max="7432" width="16.140625" customWidth="1"/>
    <col min="7433" max="7433" width="16.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1.42578125" bestFit="1"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5.5703125" bestFit="1" customWidth="1"/>
    <col min="7688" max="7688" width="16.140625" customWidth="1"/>
    <col min="7689" max="7689" width="16.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1.42578125" bestFit="1"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5.5703125" bestFit="1" customWidth="1"/>
    <col min="7944" max="7944" width="16.140625" customWidth="1"/>
    <col min="7945" max="7945" width="16.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1.42578125" bestFit="1"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5.5703125" bestFit="1" customWidth="1"/>
    <col min="8200" max="8200" width="16.140625" customWidth="1"/>
    <col min="8201" max="8201" width="16.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1.42578125" bestFit="1"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5.5703125" bestFit="1" customWidth="1"/>
    <col min="8456" max="8456" width="16.140625" customWidth="1"/>
    <col min="8457" max="8457" width="16.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1.42578125" bestFit="1"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5.5703125" bestFit="1" customWidth="1"/>
    <col min="8712" max="8712" width="16.140625" customWidth="1"/>
    <col min="8713" max="8713" width="16.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1.42578125" bestFit="1"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5.5703125" bestFit="1" customWidth="1"/>
    <col min="8968" max="8968" width="16.140625" customWidth="1"/>
    <col min="8969" max="8969" width="16.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1.42578125" bestFit="1"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5.5703125" bestFit="1" customWidth="1"/>
    <col min="9224" max="9224" width="16.140625" customWidth="1"/>
    <col min="9225" max="9225" width="16.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1.42578125" bestFit="1"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5.5703125" bestFit="1" customWidth="1"/>
    <col min="9480" max="9480" width="16.140625" customWidth="1"/>
    <col min="9481" max="9481" width="16.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1.42578125" bestFit="1"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5.5703125" bestFit="1" customWidth="1"/>
    <col min="9736" max="9736" width="16.140625" customWidth="1"/>
    <col min="9737" max="9737" width="16.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1.42578125" bestFit="1"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5.5703125" bestFit="1" customWidth="1"/>
    <col min="9992" max="9992" width="16.140625" customWidth="1"/>
    <col min="9993" max="9993" width="16.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1.42578125" bestFit="1"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5.5703125" bestFit="1" customWidth="1"/>
    <col min="10248" max="10248" width="16.140625" customWidth="1"/>
    <col min="10249" max="10249" width="16.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1.42578125" bestFit="1"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5.5703125" bestFit="1" customWidth="1"/>
    <col min="10504" max="10504" width="16.140625" customWidth="1"/>
    <col min="10505" max="10505" width="16.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1.42578125" bestFit="1"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5.5703125" bestFit="1" customWidth="1"/>
    <col min="10760" max="10760" width="16.140625" customWidth="1"/>
    <col min="10761" max="10761" width="16.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1.42578125" bestFit="1"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5.5703125" bestFit="1" customWidth="1"/>
    <col min="11016" max="11016" width="16.140625" customWidth="1"/>
    <col min="11017" max="11017" width="16.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1.42578125" bestFit="1"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5.5703125" bestFit="1" customWidth="1"/>
    <col min="11272" max="11272" width="16.140625" customWidth="1"/>
    <col min="11273" max="11273" width="16.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1.42578125" bestFit="1"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5.5703125" bestFit="1" customWidth="1"/>
    <col min="11528" max="11528" width="16.140625" customWidth="1"/>
    <col min="11529" max="11529" width="16.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1.42578125" bestFit="1"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5.5703125" bestFit="1" customWidth="1"/>
    <col min="11784" max="11784" width="16.140625" customWidth="1"/>
    <col min="11785" max="11785" width="16.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1.42578125" bestFit="1"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5.5703125" bestFit="1" customWidth="1"/>
    <col min="12040" max="12040" width="16.140625" customWidth="1"/>
    <col min="12041" max="12041" width="16.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1.42578125" bestFit="1"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5.5703125" bestFit="1" customWidth="1"/>
    <col min="12296" max="12296" width="16.140625" customWidth="1"/>
    <col min="12297" max="12297" width="16.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1.42578125" bestFit="1"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5.5703125" bestFit="1" customWidth="1"/>
    <col min="12552" max="12552" width="16.140625" customWidth="1"/>
    <col min="12553" max="12553" width="16.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1.42578125" bestFit="1"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5.5703125" bestFit="1" customWidth="1"/>
    <col min="12808" max="12808" width="16.140625" customWidth="1"/>
    <col min="12809" max="12809" width="16.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1.42578125" bestFit="1"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5.5703125" bestFit="1" customWidth="1"/>
    <col min="13064" max="13064" width="16.140625" customWidth="1"/>
    <col min="13065" max="13065" width="16.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1.42578125" bestFit="1"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5.5703125" bestFit="1" customWidth="1"/>
    <col min="13320" max="13320" width="16.140625" customWidth="1"/>
    <col min="13321" max="13321" width="16.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1.42578125" bestFit="1"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5.5703125" bestFit="1" customWidth="1"/>
    <col min="13576" max="13576" width="16.140625" customWidth="1"/>
    <col min="13577" max="13577" width="16.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1.42578125" bestFit="1"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5.5703125" bestFit="1" customWidth="1"/>
    <col min="13832" max="13832" width="16.140625" customWidth="1"/>
    <col min="13833" max="13833" width="16.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1.42578125" bestFit="1"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5.5703125" bestFit="1" customWidth="1"/>
    <col min="14088" max="14088" width="16.140625" customWidth="1"/>
    <col min="14089" max="14089" width="16.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1.42578125" bestFit="1"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5.5703125" bestFit="1" customWidth="1"/>
    <col min="14344" max="14344" width="16.140625" customWidth="1"/>
    <col min="14345" max="14345" width="16.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1.42578125" bestFit="1"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5.5703125" bestFit="1" customWidth="1"/>
    <col min="14600" max="14600" width="16.140625" customWidth="1"/>
    <col min="14601" max="14601" width="16.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1.42578125" bestFit="1"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5.5703125" bestFit="1" customWidth="1"/>
    <col min="14856" max="14856" width="16.140625" customWidth="1"/>
    <col min="14857" max="14857" width="16.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1.42578125" bestFit="1"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5.5703125" bestFit="1" customWidth="1"/>
    <col min="15112" max="15112" width="16.140625" customWidth="1"/>
    <col min="15113" max="15113" width="16.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1.42578125" bestFit="1"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5.5703125" bestFit="1" customWidth="1"/>
    <col min="15368" max="15368" width="16.140625" customWidth="1"/>
    <col min="15369" max="15369" width="16.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1.42578125" bestFit="1"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5.5703125" bestFit="1" customWidth="1"/>
    <col min="15624" max="15624" width="16.140625" customWidth="1"/>
    <col min="15625" max="15625" width="16.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1.42578125" bestFit="1"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5.5703125" bestFit="1" customWidth="1"/>
    <col min="15880" max="15880" width="16.140625" customWidth="1"/>
    <col min="15881" max="15881" width="16.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1.42578125" bestFit="1"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5.5703125" bestFit="1" customWidth="1"/>
    <col min="16136" max="16136" width="16.140625" customWidth="1"/>
    <col min="16137" max="16137" width="16.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401" t="s">
        <v>284</v>
      </c>
      <c r="D1" s="1361" t="s">
        <v>273</v>
      </c>
      <c r="E1" s="1401" t="s">
        <v>5</v>
      </c>
      <c r="F1" s="1401">
        <v>18230433</v>
      </c>
      <c r="G1" s="1401" t="s">
        <v>4</v>
      </c>
      <c r="J1" s="1361"/>
      <c r="K1" s="1361"/>
      <c r="L1" s="1361"/>
      <c r="M1" s="1401" t="s">
        <v>284</v>
      </c>
      <c r="N1" s="1361" t="s">
        <v>273</v>
      </c>
      <c r="O1" s="1401" t="s">
        <v>5</v>
      </c>
      <c r="P1" s="1401">
        <v>18230433</v>
      </c>
      <c r="Q1" s="1401" t="s">
        <v>4</v>
      </c>
      <c r="V1" s="1401" t="s">
        <v>284</v>
      </c>
      <c r="W1" s="1361" t="s">
        <v>273</v>
      </c>
      <c r="X1" s="1401" t="s">
        <v>5</v>
      </c>
      <c r="Y1" s="1401">
        <v>18230433</v>
      </c>
      <c r="Z1" s="1401" t="s">
        <v>4</v>
      </c>
    </row>
    <row r="2" spans="1:26" ht="16.5" thickBot="1">
      <c r="C2" s="44"/>
      <c r="D2" s="45"/>
      <c r="G2" s="1652"/>
      <c r="I2" s="1178" t="s">
        <v>627</v>
      </c>
      <c r="S2" s="3575"/>
      <c r="T2" s="3575"/>
      <c r="U2" s="3576" t="s">
        <v>33</v>
      </c>
      <c r="V2" s="3577"/>
      <c r="W2" s="3578"/>
      <c r="X2" s="3579" t="s">
        <v>34</v>
      </c>
    </row>
    <row r="3" spans="1:26" ht="26.25" thickBot="1">
      <c r="A3" s="1400" t="s">
        <v>284</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6" ht="16.5" thickBot="1">
      <c r="A4" s="1357" t="s">
        <v>273</v>
      </c>
      <c r="B4" s="1357"/>
      <c r="C4" s="45"/>
      <c r="G4" s="1652"/>
      <c r="H4" s="1353" t="s">
        <v>1724</v>
      </c>
      <c r="I4" s="2617">
        <v>0</v>
      </c>
      <c r="J4" s="2618">
        <v>0</v>
      </c>
      <c r="K4" s="2618">
        <v>0</v>
      </c>
      <c r="L4" s="2618">
        <v>5000</v>
      </c>
      <c r="M4" s="2618">
        <v>0</v>
      </c>
      <c r="N4" s="2618">
        <v>0</v>
      </c>
      <c r="O4" s="2618">
        <v>0</v>
      </c>
      <c r="P4" s="2618">
        <v>0</v>
      </c>
      <c r="Q4" s="2618">
        <v>0</v>
      </c>
      <c r="R4" s="2618">
        <v>0</v>
      </c>
      <c r="S4" s="2619">
        <v>5000</v>
      </c>
      <c r="T4" s="2620" t="s">
        <v>628</v>
      </c>
      <c r="U4" s="1186">
        <f>Q4/S4</f>
        <v>0</v>
      </c>
      <c r="V4" s="1186">
        <f>(L4+(J4*1.63))/S4</f>
        <v>1</v>
      </c>
      <c r="W4" s="1186">
        <f>N4/S4</f>
        <v>0</v>
      </c>
      <c r="X4" s="48" t="e">
        <f>S4/T4</f>
        <v>#VALUE!</v>
      </c>
    </row>
    <row r="5" spans="1:26" ht="16.5" thickBot="1">
      <c r="A5" s="1400" t="s">
        <v>5</v>
      </c>
      <c r="B5" s="1400"/>
      <c r="C5" s="44"/>
      <c r="G5" s="1652"/>
      <c r="H5" s="2946" t="s">
        <v>1726</v>
      </c>
      <c r="I5" s="2947">
        <f>D15</f>
        <v>0</v>
      </c>
      <c r="J5" s="2948">
        <f>D21</f>
        <v>0</v>
      </c>
      <c r="K5" s="2948">
        <f>D27</f>
        <v>0</v>
      </c>
      <c r="L5" s="2948">
        <f>D37</f>
        <v>0</v>
      </c>
      <c r="M5" s="2948">
        <f>D43</f>
        <v>0</v>
      </c>
      <c r="N5" s="2948">
        <f>D49</f>
        <v>0</v>
      </c>
      <c r="O5" s="2948">
        <f>D55</f>
        <v>0</v>
      </c>
      <c r="P5" s="2948">
        <f>D61</f>
        <v>0</v>
      </c>
      <c r="Q5" s="2948">
        <f>D67</f>
        <v>0</v>
      </c>
      <c r="R5" s="2948">
        <f>D68</f>
        <v>0</v>
      </c>
      <c r="S5" s="2949">
        <f>SUM(I5:R5)</f>
        <v>0</v>
      </c>
      <c r="T5" s="2950">
        <f>T15</f>
        <v>0</v>
      </c>
      <c r="U5" s="2954" t="e">
        <f>Q5/S5</f>
        <v>#DIV/0!</v>
      </c>
      <c r="V5" s="2954" t="e">
        <f>(L5+(J5*1.63))/S5</f>
        <v>#DIV/0!</v>
      </c>
      <c r="W5" s="2954" t="e">
        <f>N5/S5</f>
        <v>#DIV/0!</v>
      </c>
      <c r="X5" s="2953" t="e">
        <f>S5/T5</f>
        <v>#DIV/0!</v>
      </c>
    </row>
    <row r="6" spans="1:26" ht="16.5" thickBot="1">
      <c r="A6" s="1400">
        <v>18230433</v>
      </c>
      <c r="B6" s="1400"/>
      <c r="D6" s="1153"/>
      <c r="G6" s="1652"/>
      <c r="H6" s="1202"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6" ht="15.75">
      <c r="A7" s="1400" t="s">
        <v>4</v>
      </c>
      <c r="B7" s="1357"/>
      <c r="C7" s="1413"/>
      <c r="D7" s="1190"/>
      <c r="E7" s="1414"/>
      <c r="F7" s="1413"/>
      <c r="G7" s="1652"/>
      <c r="H7" s="2606"/>
      <c r="I7" s="2607"/>
      <c r="J7" s="2607"/>
      <c r="K7" s="2607"/>
      <c r="L7" s="2607"/>
      <c r="M7" s="2607"/>
      <c r="N7" s="2607"/>
      <c r="O7" s="2607"/>
      <c r="P7" s="2607"/>
      <c r="Q7" s="2607"/>
      <c r="R7" s="2607"/>
      <c r="S7" s="2607"/>
      <c r="T7" s="2608"/>
      <c r="U7" s="2630"/>
      <c r="V7" s="2630"/>
      <c r="W7" s="2630"/>
      <c r="X7" s="2610"/>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85"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row>
    <row r="16" spans="1:26">
      <c r="B16" s="1432"/>
      <c r="C16" s="1423"/>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row>
    <row r="17" spans="2:26">
      <c r="B17" s="1432"/>
      <c r="C17" s="1423"/>
      <c r="D17" s="2784"/>
      <c r="E17" s="1447"/>
      <c r="F17" s="1426">
        <f t="shared" ref="F17:F19"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row>
    <row r="18" spans="2:26">
      <c r="B18" s="1432"/>
      <c r="C18" s="1423"/>
      <c r="D18" s="2784"/>
      <c r="E18" s="1447"/>
      <c r="F18" s="1426">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row>
    <row r="19" spans="2:26">
      <c r="B19" s="1432"/>
      <c r="C19" s="1423"/>
      <c r="D19" s="2786"/>
      <c r="E19" s="1446"/>
      <c r="F19" s="1426">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row>
    <row r="20" spans="2:26">
      <c r="B20" s="1449"/>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row>
    <row r="21" spans="2:26">
      <c r="B21" s="1433" t="s">
        <v>296</v>
      </c>
      <c r="C21" s="1451"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row>
    <row r="22" spans="2:26">
      <c r="B22" s="1982"/>
      <c r="C22" s="1423"/>
      <c r="D22" s="2772"/>
      <c r="E22" s="1448"/>
      <c r="F22" s="1426">
        <f t="shared" ref="F22:F25" si="1">SUM(D22:E22)</f>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B23" s="1982"/>
      <c r="C23" s="1423"/>
      <c r="D23" s="2773"/>
      <c r="E23" s="1444"/>
      <c r="F23" s="1426">
        <f t="shared" si="1"/>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1"/>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1"/>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2">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2"/>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2"/>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284</v>
      </c>
      <c r="C34" s="1667" t="s">
        <v>720</v>
      </c>
      <c r="D34" s="2785"/>
      <c r="E34" s="1641">
        <f>E21*E32</f>
        <v>0</v>
      </c>
      <c r="F34" s="1661">
        <f t="shared" ref="F34" si="3">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273</v>
      </c>
      <c r="C35" s="1445"/>
      <c r="D35" s="2775"/>
      <c r="E35" s="1444"/>
      <c r="F35" s="1426">
        <f t="shared" si="2"/>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18230433</v>
      </c>
      <c r="C37" s="1451"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4</v>
      </c>
      <c r="C38" s="1423"/>
      <c r="D38" s="2778"/>
      <c r="E38" s="1520"/>
      <c r="F38" s="1426">
        <f t="shared" ref="F38:F41" si="4">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4"/>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4"/>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4"/>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5">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6">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284</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18230433</v>
      </c>
      <c r="C67" s="1451" t="s">
        <v>50</v>
      </c>
      <c r="D67" s="2771">
        <f>W15</f>
        <v>0</v>
      </c>
      <c r="E67" s="1464">
        <f>X15*1.15</f>
        <v>0</v>
      </c>
      <c r="F67" s="1462">
        <f>D67+E67</f>
        <v>0</v>
      </c>
    </row>
    <row r="68" spans="1:26">
      <c r="A68" s="1400" t="s">
        <v>4</v>
      </c>
      <c r="C68" s="1500" t="s">
        <v>297</v>
      </c>
      <c r="D68" s="2781"/>
      <c r="E68" s="1496"/>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F29" sqref="F29"/>
      <pageMargins left="0.18" right="0.2" top="0.4" bottom="0.33" header="0.3" footer="0.3"/>
      <pageSetup paperSize="17" scale="52" orientation="landscape" r:id="rId1"/>
    </customSheetView>
    <customSheetView guid="{074EB09C-6289-46D7-9513-012B68BCA7BF}" showGridLines="0">
      <pane xSplit="1" ySplit="1" topLeftCell="B2" activePane="bottomRight" state="frozen"/>
      <selection pane="bottomRight" activeCell="E29" sqref="E29"/>
      <pageMargins left="0.18" right="0.2" top="0.4" bottom="0.33" header="0.3" footer="0.3"/>
      <pageSetup paperSize="17" scale="52"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8" right="0.2" top="0.4" bottom="0.33" header="0.3" footer="0.3"/>
  <pageSetup paperSize="3" scale="50" orientation="landscape" r:id="rId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8DB4E3"/>
  </sheetPr>
  <dimension ref="A1:Z70"/>
  <sheetViews>
    <sheetView showGridLines="0" workbookViewId="0">
      <pane xSplit="1" ySplit="1" topLeftCell="B2" activePane="bottomRight" state="frozen"/>
      <selection pane="topRight" activeCell="B1" sqref="B1"/>
      <selection pane="bottomLeft" activeCell="A2" sqref="A2"/>
      <selection pane="bottomRight" activeCell="F28" sqref="F28"/>
    </sheetView>
  </sheetViews>
  <sheetFormatPr defaultRowHeight="12.75"/>
  <cols>
    <col min="1" max="1" width="15.42578125" style="849" customWidth="1"/>
    <col min="2" max="2" width="16" style="1413" customWidth="1"/>
    <col min="3" max="3" width="28.28515625" customWidth="1"/>
    <col min="4" max="4" width="20.5703125" customWidth="1"/>
    <col min="5" max="5" width="16.28515625" style="9" customWidth="1"/>
    <col min="6" max="6" width="16.28515625" customWidth="1"/>
    <col min="7" max="7" width="16.85546875" customWidth="1"/>
    <col min="8" max="8" width="37" customWidth="1"/>
    <col min="9" max="9" width="15.5703125" bestFit="1" customWidth="1"/>
    <col min="10" max="10" width="14.425781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7" width="16.28515625" bestFit="1" customWidth="1"/>
    <col min="18" max="18" width="16.140625" customWidth="1"/>
    <col min="19" max="19" width="16.85546875" bestFit="1" customWidth="1"/>
    <col min="20" max="20" width="15.7109375" bestFit="1" customWidth="1"/>
    <col min="21" max="21" width="16.28515625" bestFit="1" customWidth="1"/>
    <col min="22" max="22" width="16.5703125" bestFit="1" customWidth="1"/>
    <col min="23" max="23" width="14.28515625" customWidth="1"/>
    <col min="24" max="25" width="16.28515625" customWidth="1"/>
    <col min="26" max="26" width="14.140625" customWidth="1"/>
    <col min="249" max="249" width="24.28515625" bestFit="1" customWidth="1"/>
    <col min="250" max="250" width="45.7109375" bestFit="1" customWidth="1"/>
    <col min="251" max="251" width="19.85546875" bestFit="1" customWidth="1"/>
    <col min="252" max="252" width="15.42578125" bestFit="1" customWidth="1"/>
    <col min="253" max="253" width="20.42578125" bestFit="1" customWidth="1"/>
    <col min="254" max="254" width="13.42578125" customWidth="1"/>
    <col min="255" max="255" width="15.5703125" bestFit="1" customWidth="1"/>
    <col min="256" max="256" width="14.425781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3" width="16.28515625" bestFit="1" customWidth="1"/>
    <col min="264" max="264" width="16.140625" customWidth="1"/>
    <col min="265" max="265" width="16.85546875" bestFit="1" customWidth="1"/>
    <col min="266" max="266" width="15.7109375" bestFit="1" customWidth="1"/>
    <col min="267" max="267" width="16.28515625" bestFit="1" customWidth="1"/>
    <col min="268" max="268" width="16.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28515625" bestFit="1" customWidth="1"/>
    <col min="506" max="506" width="45.7109375" bestFit="1" customWidth="1"/>
    <col min="507" max="507" width="19.85546875" bestFit="1" customWidth="1"/>
    <col min="508" max="508" width="15.42578125" bestFit="1" customWidth="1"/>
    <col min="509" max="509" width="20.42578125" bestFit="1" customWidth="1"/>
    <col min="510" max="510" width="13.42578125" customWidth="1"/>
    <col min="511" max="511" width="15.5703125" bestFit="1" customWidth="1"/>
    <col min="512" max="512" width="14.425781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19" width="16.28515625" bestFit="1" customWidth="1"/>
    <col min="520" max="520" width="16.140625" customWidth="1"/>
    <col min="521" max="521" width="16.85546875" bestFit="1" customWidth="1"/>
    <col min="522" max="522" width="15.7109375" bestFit="1" customWidth="1"/>
    <col min="523" max="523" width="16.28515625" bestFit="1" customWidth="1"/>
    <col min="524" max="524" width="16.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28515625" bestFit="1" customWidth="1"/>
    <col min="762" max="762" width="45.7109375" bestFit="1" customWidth="1"/>
    <col min="763" max="763" width="19.85546875" bestFit="1" customWidth="1"/>
    <col min="764" max="764" width="15.42578125" bestFit="1" customWidth="1"/>
    <col min="765" max="765" width="20.42578125" bestFit="1" customWidth="1"/>
    <col min="766" max="766" width="13.42578125" customWidth="1"/>
    <col min="767" max="767" width="15.5703125" bestFit="1" customWidth="1"/>
    <col min="768" max="768" width="14.425781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5" width="16.28515625" bestFit="1" customWidth="1"/>
    <col min="776" max="776" width="16.140625" customWidth="1"/>
    <col min="777" max="777" width="16.85546875" bestFit="1" customWidth="1"/>
    <col min="778" max="778" width="15.7109375" bestFit="1" customWidth="1"/>
    <col min="779" max="779" width="16.28515625" bestFit="1" customWidth="1"/>
    <col min="780" max="780" width="16.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28515625" bestFit="1" customWidth="1"/>
    <col min="1018" max="1018" width="45.7109375" bestFit="1" customWidth="1"/>
    <col min="1019" max="1019" width="19.85546875" bestFit="1" customWidth="1"/>
    <col min="1020" max="1020" width="15.42578125" bestFit="1" customWidth="1"/>
    <col min="1021" max="1021" width="20.42578125" bestFit="1" customWidth="1"/>
    <col min="1022" max="1022" width="13.42578125" customWidth="1"/>
    <col min="1023" max="1023" width="15.5703125" bestFit="1" customWidth="1"/>
    <col min="1024" max="1024" width="14.425781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1" width="16.28515625" bestFit="1" customWidth="1"/>
    <col min="1032" max="1032" width="16.140625" customWidth="1"/>
    <col min="1033" max="1033" width="16.85546875" bestFit="1" customWidth="1"/>
    <col min="1034" max="1034" width="15.7109375" bestFit="1" customWidth="1"/>
    <col min="1035" max="1035" width="16.28515625" bestFit="1" customWidth="1"/>
    <col min="1036" max="1036" width="16.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28515625" bestFit="1" customWidth="1"/>
    <col min="1274" max="1274" width="45.7109375" bestFit="1" customWidth="1"/>
    <col min="1275" max="1275" width="19.85546875" bestFit="1" customWidth="1"/>
    <col min="1276" max="1276" width="15.42578125" bestFit="1" customWidth="1"/>
    <col min="1277" max="1277" width="20.42578125" bestFit="1" customWidth="1"/>
    <col min="1278" max="1278" width="13.42578125" customWidth="1"/>
    <col min="1279" max="1279" width="15.5703125" bestFit="1" customWidth="1"/>
    <col min="1280" max="1280" width="14.425781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7" width="16.28515625" bestFit="1" customWidth="1"/>
    <col min="1288" max="1288" width="16.140625" customWidth="1"/>
    <col min="1289" max="1289" width="16.85546875" bestFit="1" customWidth="1"/>
    <col min="1290" max="1290" width="15.7109375" bestFit="1" customWidth="1"/>
    <col min="1291" max="1291" width="16.28515625" bestFit="1" customWidth="1"/>
    <col min="1292" max="1292" width="16.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28515625" bestFit="1" customWidth="1"/>
    <col min="1530" max="1530" width="45.7109375" bestFit="1" customWidth="1"/>
    <col min="1531" max="1531" width="19.85546875" bestFit="1" customWidth="1"/>
    <col min="1532" max="1532" width="15.42578125" bestFit="1" customWidth="1"/>
    <col min="1533" max="1533" width="20.42578125" bestFit="1" customWidth="1"/>
    <col min="1534" max="1534" width="13.42578125" customWidth="1"/>
    <col min="1535" max="1535" width="15.5703125" bestFit="1" customWidth="1"/>
    <col min="1536" max="1536" width="14.425781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3" width="16.28515625" bestFit="1" customWidth="1"/>
    <col min="1544" max="1544" width="16.140625" customWidth="1"/>
    <col min="1545" max="1545" width="16.85546875" bestFit="1" customWidth="1"/>
    <col min="1546" max="1546" width="15.7109375" bestFit="1" customWidth="1"/>
    <col min="1547" max="1547" width="16.28515625" bestFit="1" customWidth="1"/>
    <col min="1548" max="1548" width="16.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28515625" bestFit="1" customWidth="1"/>
    <col min="1786" max="1786" width="45.7109375" bestFit="1" customWidth="1"/>
    <col min="1787" max="1787" width="19.85546875" bestFit="1" customWidth="1"/>
    <col min="1788" max="1788" width="15.42578125" bestFit="1" customWidth="1"/>
    <col min="1789" max="1789" width="20.42578125" bestFit="1" customWidth="1"/>
    <col min="1790" max="1790" width="13.42578125" customWidth="1"/>
    <col min="1791" max="1791" width="15.5703125" bestFit="1" customWidth="1"/>
    <col min="1792" max="1792" width="14.425781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799" width="16.28515625" bestFit="1" customWidth="1"/>
    <col min="1800" max="1800" width="16.140625" customWidth="1"/>
    <col min="1801" max="1801" width="16.85546875" bestFit="1" customWidth="1"/>
    <col min="1802" max="1802" width="15.7109375" bestFit="1" customWidth="1"/>
    <col min="1803" max="1803" width="16.28515625" bestFit="1" customWidth="1"/>
    <col min="1804" max="1804" width="16.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28515625" bestFit="1" customWidth="1"/>
    <col min="2042" max="2042" width="45.7109375" bestFit="1" customWidth="1"/>
    <col min="2043" max="2043" width="19.85546875" bestFit="1" customWidth="1"/>
    <col min="2044" max="2044" width="15.42578125" bestFit="1" customWidth="1"/>
    <col min="2045" max="2045" width="20.42578125" bestFit="1" customWidth="1"/>
    <col min="2046" max="2046" width="13.42578125" customWidth="1"/>
    <col min="2047" max="2047" width="15.5703125" bestFit="1" customWidth="1"/>
    <col min="2048" max="2048" width="14.425781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5" width="16.28515625" bestFit="1" customWidth="1"/>
    <col min="2056" max="2056" width="16.140625" customWidth="1"/>
    <col min="2057" max="2057" width="16.85546875" bestFit="1" customWidth="1"/>
    <col min="2058" max="2058" width="15.7109375" bestFit="1" customWidth="1"/>
    <col min="2059" max="2059" width="16.28515625" bestFit="1" customWidth="1"/>
    <col min="2060" max="2060" width="16.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28515625" bestFit="1" customWidth="1"/>
    <col min="2298" max="2298" width="45.7109375" bestFit="1" customWidth="1"/>
    <col min="2299" max="2299" width="19.85546875" bestFit="1" customWidth="1"/>
    <col min="2300" max="2300" width="15.42578125" bestFit="1" customWidth="1"/>
    <col min="2301" max="2301" width="20.42578125" bestFit="1" customWidth="1"/>
    <col min="2302" max="2302" width="13.42578125" customWidth="1"/>
    <col min="2303" max="2303" width="15.5703125" bestFit="1" customWidth="1"/>
    <col min="2304" max="2304" width="14.425781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1" width="16.28515625" bestFit="1" customWidth="1"/>
    <col min="2312" max="2312" width="16.140625" customWidth="1"/>
    <col min="2313" max="2313" width="16.85546875" bestFit="1" customWidth="1"/>
    <col min="2314" max="2314" width="15.7109375" bestFit="1" customWidth="1"/>
    <col min="2315" max="2315" width="16.28515625" bestFit="1" customWidth="1"/>
    <col min="2316" max="2316" width="16.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28515625" bestFit="1" customWidth="1"/>
    <col min="2554" max="2554" width="45.7109375" bestFit="1" customWidth="1"/>
    <col min="2555" max="2555" width="19.85546875" bestFit="1" customWidth="1"/>
    <col min="2556" max="2556" width="15.42578125" bestFit="1" customWidth="1"/>
    <col min="2557" max="2557" width="20.42578125" bestFit="1" customWidth="1"/>
    <col min="2558" max="2558" width="13.42578125" customWidth="1"/>
    <col min="2559" max="2559" width="15.5703125" bestFit="1" customWidth="1"/>
    <col min="2560" max="2560" width="14.425781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7" width="16.28515625" bestFit="1" customWidth="1"/>
    <col min="2568" max="2568" width="16.140625" customWidth="1"/>
    <col min="2569" max="2569" width="16.85546875" bestFit="1" customWidth="1"/>
    <col min="2570" max="2570" width="15.7109375" bestFit="1" customWidth="1"/>
    <col min="2571" max="2571" width="16.28515625" bestFit="1" customWidth="1"/>
    <col min="2572" max="2572" width="16.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28515625" bestFit="1" customWidth="1"/>
    <col min="2810" max="2810" width="45.7109375" bestFit="1" customWidth="1"/>
    <col min="2811" max="2811" width="19.85546875" bestFit="1" customWidth="1"/>
    <col min="2812" max="2812" width="15.42578125" bestFit="1" customWidth="1"/>
    <col min="2813" max="2813" width="20.42578125" bestFit="1" customWidth="1"/>
    <col min="2814" max="2814" width="13.42578125" customWidth="1"/>
    <col min="2815" max="2815" width="15.5703125" bestFit="1" customWidth="1"/>
    <col min="2816" max="2816" width="14.425781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3" width="16.28515625" bestFit="1" customWidth="1"/>
    <col min="2824" max="2824" width="16.140625" customWidth="1"/>
    <col min="2825" max="2825" width="16.85546875" bestFit="1" customWidth="1"/>
    <col min="2826" max="2826" width="15.7109375" bestFit="1" customWidth="1"/>
    <col min="2827" max="2827" width="16.28515625" bestFit="1" customWidth="1"/>
    <col min="2828" max="2828" width="16.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28515625" bestFit="1" customWidth="1"/>
    <col min="3066" max="3066" width="45.7109375" bestFit="1" customWidth="1"/>
    <col min="3067" max="3067" width="19.85546875" bestFit="1" customWidth="1"/>
    <col min="3068" max="3068" width="15.42578125" bestFit="1" customWidth="1"/>
    <col min="3069" max="3069" width="20.42578125" bestFit="1" customWidth="1"/>
    <col min="3070" max="3070" width="13.42578125" customWidth="1"/>
    <col min="3071" max="3071" width="15.5703125" bestFit="1" customWidth="1"/>
    <col min="3072" max="3072" width="14.425781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79" width="16.28515625" bestFit="1" customWidth="1"/>
    <col min="3080" max="3080" width="16.140625" customWidth="1"/>
    <col min="3081" max="3081" width="16.85546875" bestFit="1" customWidth="1"/>
    <col min="3082" max="3082" width="15.7109375" bestFit="1" customWidth="1"/>
    <col min="3083" max="3083" width="16.28515625" bestFit="1" customWidth="1"/>
    <col min="3084" max="3084" width="16.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28515625" bestFit="1" customWidth="1"/>
    <col min="3322" max="3322" width="45.7109375" bestFit="1" customWidth="1"/>
    <col min="3323" max="3323" width="19.85546875" bestFit="1" customWidth="1"/>
    <col min="3324" max="3324" width="15.42578125" bestFit="1" customWidth="1"/>
    <col min="3325" max="3325" width="20.42578125" bestFit="1" customWidth="1"/>
    <col min="3326" max="3326" width="13.42578125" customWidth="1"/>
    <col min="3327" max="3327" width="15.5703125" bestFit="1" customWidth="1"/>
    <col min="3328" max="3328" width="14.425781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5" width="16.28515625" bestFit="1" customWidth="1"/>
    <col min="3336" max="3336" width="16.140625" customWidth="1"/>
    <col min="3337" max="3337" width="16.85546875" bestFit="1" customWidth="1"/>
    <col min="3338" max="3338" width="15.7109375" bestFit="1" customWidth="1"/>
    <col min="3339" max="3339" width="16.28515625" bestFit="1" customWidth="1"/>
    <col min="3340" max="3340" width="16.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28515625" bestFit="1" customWidth="1"/>
    <col min="3578" max="3578" width="45.7109375" bestFit="1" customWidth="1"/>
    <col min="3579" max="3579" width="19.85546875" bestFit="1" customWidth="1"/>
    <col min="3580" max="3580" width="15.42578125" bestFit="1" customWidth="1"/>
    <col min="3581" max="3581" width="20.42578125" bestFit="1" customWidth="1"/>
    <col min="3582" max="3582" width="13.42578125" customWidth="1"/>
    <col min="3583" max="3583" width="15.5703125" bestFit="1" customWidth="1"/>
    <col min="3584" max="3584" width="14.425781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1" width="16.28515625" bestFit="1" customWidth="1"/>
    <col min="3592" max="3592" width="16.140625" customWidth="1"/>
    <col min="3593" max="3593" width="16.85546875" bestFit="1" customWidth="1"/>
    <col min="3594" max="3594" width="15.7109375" bestFit="1" customWidth="1"/>
    <col min="3595" max="3595" width="16.28515625" bestFit="1" customWidth="1"/>
    <col min="3596" max="3596" width="16.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28515625" bestFit="1" customWidth="1"/>
    <col min="3834" max="3834" width="45.7109375" bestFit="1" customWidth="1"/>
    <col min="3835" max="3835" width="19.85546875" bestFit="1" customWidth="1"/>
    <col min="3836" max="3836" width="15.42578125" bestFit="1" customWidth="1"/>
    <col min="3837" max="3837" width="20.42578125" bestFit="1" customWidth="1"/>
    <col min="3838" max="3838" width="13.42578125" customWidth="1"/>
    <col min="3839" max="3839" width="15.5703125" bestFit="1" customWidth="1"/>
    <col min="3840" max="3840" width="14.425781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7" width="16.28515625" bestFit="1" customWidth="1"/>
    <col min="3848" max="3848" width="16.140625" customWidth="1"/>
    <col min="3849" max="3849" width="16.85546875" bestFit="1" customWidth="1"/>
    <col min="3850" max="3850" width="15.7109375" bestFit="1" customWidth="1"/>
    <col min="3851" max="3851" width="16.28515625" bestFit="1" customWidth="1"/>
    <col min="3852" max="3852" width="16.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28515625" bestFit="1" customWidth="1"/>
    <col min="4090" max="4090" width="45.7109375" bestFit="1" customWidth="1"/>
    <col min="4091" max="4091" width="19.85546875" bestFit="1" customWidth="1"/>
    <col min="4092" max="4092" width="15.42578125" bestFit="1" customWidth="1"/>
    <col min="4093" max="4093" width="20.42578125" bestFit="1" customWidth="1"/>
    <col min="4094" max="4094" width="13.42578125" customWidth="1"/>
    <col min="4095" max="4095" width="15.5703125" bestFit="1" customWidth="1"/>
    <col min="4096" max="4096" width="14.425781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3" width="16.28515625" bestFit="1" customWidth="1"/>
    <col min="4104" max="4104" width="16.140625" customWidth="1"/>
    <col min="4105" max="4105" width="16.85546875" bestFit="1" customWidth="1"/>
    <col min="4106" max="4106" width="15.7109375" bestFit="1" customWidth="1"/>
    <col min="4107" max="4107" width="16.28515625" bestFit="1" customWidth="1"/>
    <col min="4108" max="4108" width="16.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28515625" bestFit="1" customWidth="1"/>
    <col min="4346" max="4346" width="45.7109375" bestFit="1" customWidth="1"/>
    <col min="4347" max="4347" width="19.85546875" bestFit="1" customWidth="1"/>
    <col min="4348" max="4348" width="15.42578125" bestFit="1" customWidth="1"/>
    <col min="4349" max="4349" width="20.42578125" bestFit="1" customWidth="1"/>
    <col min="4350" max="4350" width="13.42578125" customWidth="1"/>
    <col min="4351" max="4351" width="15.5703125" bestFit="1" customWidth="1"/>
    <col min="4352" max="4352" width="14.425781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59" width="16.28515625" bestFit="1" customWidth="1"/>
    <col min="4360" max="4360" width="16.140625" customWidth="1"/>
    <col min="4361" max="4361" width="16.85546875" bestFit="1" customWidth="1"/>
    <col min="4362" max="4362" width="15.7109375" bestFit="1" customWidth="1"/>
    <col min="4363" max="4363" width="16.28515625" bestFit="1" customWidth="1"/>
    <col min="4364" max="4364" width="16.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28515625" bestFit="1" customWidth="1"/>
    <col min="4602" max="4602" width="45.7109375" bestFit="1" customWidth="1"/>
    <col min="4603" max="4603" width="19.85546875" bestFit="1" customWidth="1"/>
    <col min="4604" max="4604" width="15.42578125" bestFit="1" customWidth="1"/>
    <col min="4605" max="4605" width="20.42578125" bestFit="1" customWidth="1"/>
    <col min="4606" max="4606" width="13.42578125" customWidth="1"/>
    <col min="4607" max="4607" width="15.5703125" bestFit="1" customWidth="1"/>
    <col min="4608" max="4608" width="14.425781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5" width="16.28515625" bestFit="1" customWidth="1"/>
    <col min="4616" max="4616" width="16.140625" customWidth="1"/>
    <col min="4617" max="4617" width="16.85546875" bestFit="1" customWidth="1"/>
    <col min="4618" max="4618" width="15.7109375" bestFit="1" customWidth="1"/>
    <col min="4619" max="4619" width="16.28515625" bestFit="1" customWidth="1"/>
    <col min="4620" max="4620" width="16.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28515625" bestFit="1" customWidth="1"/>
    <col min="4858" max="4858" width="45.7109375" bestFit="1" customWidth="1"/>
    <col min="4859" max="4859" width="19.85546875" bestFit="1" customWidth="1"/>
    <col min="4860" max="4860" width="15.42578125" bestFit="1" customWidth="1"/>
    <col min="4861" max="4861" width="20.42578125" bestFit="1" customWidth="1"/>
    <col min="4862" max="4862" width="13.42578125" customWidth="1"/>
    <col min="4863" max="4863" width="15.5703125" bestFit="1" customWidth="1"/>
    <col min="4864" max="4864" width="14.425781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1" width="16.28515625" bestFit="1" customWidth="1"/>
    <col min="4872" max="4872" width="16.140625" customWidth="1"/>
    <col min="4873" max="4873" width="16.85546875" bestFit="1" customWidth="1"/>
    <col min="4874" max="4874" width="15.7109375" bestFit="1" customWidth="1"/>
    <col min="4875" max="4875" width="16.28515625" bestFit="1" customWidth="1"/>
    <col min="4876" max="4876" width="16.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28515625" bestFit="1" customWidth="1"/>
    <col min="5114" max="5114" width="45.7109375" bestFit="1" customWidth="1"/>
    <col min="5115" max="5115" width="19.85546875" bestFit="1" customWidth="1"/>
    <col min="5116" max="5116" width="15.42578125" bestFit="1" customWidth="1"/>
    <col min="5117" max="5117" width="20.42578125" bestFit="1" customWidth="1"/>
    <col min="5118" max="5118" width="13.42578125" customWidth="1"/>
    <col min="5119" max="5119" width="15.5703125" bestFit="1" customWidth="1"/>
    <col min="5120" max="5120" width="14.425781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7" width="16.28515625" bestFit="1" customWidth="1"/>
    <col min="5128" max="5128" width="16.140625" customWidth="1"/>
    <col min="5129" max="5129" width="16.85546875" bestFit="1" customWidth="1"/>
    <col min="5130" max="5130" width="15.7109375" bestFit="1" customWidth="1"/>
    <col min="5131" max="5131" width="16.28515625" bestFit="1" customWidth="1"/>
    <col min="5132" max="5132" width="16.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28515625" bestFit="1" customWidth="1"/>
    <col min="5370" max="5370" width="45.7109375" bestFit="1" customWidth="1"/>
    <col min="5371" max="5371" width="19.85546875" bestFit="1" customWidth="1"/>
    <col min="5372" max="5372" width="15.42578125" bestFit="1" customWidth="1"/>
    <col min="5373" max="5373" width="20.42578125" bestFit="1" customWidth="1"/>
    <col min="5374" max="5374" width="13.42578125" customWidth="1"/>
    <col min="5375" max="5375" width="15.5703125" bestFit="1" customWidth="1"/>
    <col min="5376" max="5376" width="14.425781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3" width="16.28515625" bestFit="1" customWidth="1"/>
    <col min="5384" max="5384" width="16.140625" customWidth="1"/>
    <col min="5385" max="5385" width="16.85546875" bestFit="1" customWidth="1"/>
    <col min="5386" max="5386" width="15.7109375" bestFit="1" customWidth="1"/>
    <col min="5387" max="5387" width="16.28515625" bestFit="1" customWidth="1"/>
    <col min="5388" max="5388" width="16.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28515625" bestFit="1" customWidth="1"/>
    <col min="5626" max="5626" width="45.7109375" bestFit="1" customWidth="1"/>
    <col min="5627" max="5627" width="19.85546875" bestFit="1" customWidth="1"/>
    <col min="5628" max="5628" width="15.42578125" bestFit="1" customWidth="1"/>
    <col min="5629" max="5629" width="20.42578125" bestFit="1" customWidth="1"/>
    <col min="5630" max="5630" width="13.42578125" customWidth="1"/>
    <col min="5631" max="5631" width="15.5703125" bestFit="1" customWidth="1"/>
    <col min="5632" max="5632" width="14.425781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39" width="16.28515625" bestFit="1" customWidth="1"/>
    <col min="5640" max="5640" width="16.140625" customWidth="1"/>
    <col min="5641" max="5641" width="16.85546875" bestFit="1" customWidth="1"/>
    <col min="5642" max="5642" width="15.7109375" bestFit="1" customWidth="1"/>
    <col min="5643" max="5643" width="16.28515625" bestFit="1" customWidth="1"/>
    <col min="5644" max="5644" width="16.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28515625" bestFit="1" customWidth="1"/>
    <col min="5882" max="5882" width="45.7109375" bestFit="1" customWidth="1"/>
    <col min="5883" max="5883" width="19.85546875" bestFit="1" customWidth="1"/>
    <col min="5884" max="5884" width="15.42578125" bestFit="1" customWidth="1"/>
    <col min="5885" max="5885" width="20.42578125" bestFit="1" customWidth="1"/>
    <col min="5886" max="5886" width="13.42578125" customWidth="1"/>
    <col min="5887" max="5887" width="15.5703125" bestFit="1" customWidth="1"/>
    <col min="5888" max="5888" width="14.425781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5" width="16.28515625" bestFit="1" customWidth="1"/>
    <col min="5896" max="5896" width="16.140625" customWidth="1"/>
    <col min="5897" max="5897" width="16.85546875" bestFit="1" customWidth="1"/>
    <col min="5898" max="5898" width="15.7109375" bestFit="1" customWidth="1"/>
    <col min="5899" max="5899" width="16.28515625" bestFit="1" customWidth="1"/>
    <col min="5900" max="5900" width="16.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28515625" bestFit="1" customWidth="1"/>
    <col min="6138" max="6138" width="45.7109375" bestFit="1" customWidth="1"/>
    <col min="6139" max="6139" width="19.85546875" bestFit="1" customWidth="1"/>
    <col min="6140" max="6140" width="15.42578125" bestFit="1" customWidth="1"/>
    <col min="6141" max="6141" width="20.42578125" bestFit="1" customWidth="1"/>
    <col min="6142" max="6142" width="13.42578125" customWidth="1"/>
    <col min="6143" max="6143" width="15.5703125" bestFit="1" customWidth="1"/>
    <col min="6144" max="6144" width="14.425781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1" width="16.28515625" bestFit="1" customWidth="1"/>
    <col min="6152" max="6152" width="16.140625" customWidth="1"/>
    <col min="6153" max="6153" width="16.85546875" bestFit="1" customWidth="1"/>
    <col min="6154" max="6154" width="15.7109375" bestFit="1" customWidth="1"/>
    <col min="6155" max="6155" width="16.28515625" bestFit="1" customWidth="1"/>
    <col min="6156" max="6156" width="16.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28515625" bestFit="1" customWidth="1"/>
    <col min="6394" max="6394" width="45.7109375" bestFit="1" customWidth="1"/>
    <col min="6395" max="6395" width="19.85546875" bestFit="1" customWidth="1"/>
    <col min="6396" max="6396" width="15.42578125" bestFit="1" customWidth="1"/>
    <col min="6397" max="6397" width="20.42578125" bestFit="1" customWidth="1"/>
    <col min="6398" max="6398" width="13.42578125" customWidth="1"/>
    <col min="6399" max="6399" width="15.5703125" bestFit="1" customWidth="1"/>
    <col min="6400" max="6400" width="14.425781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7" width="16.28515625" bestFit="1" customWidth="1"/>
    <col min="6408" max="6408" width="16.140625" customWidth="1"/>
    <col min="6409" max="6409" width="16.85546875" bestFit="1" customWidth="1"/>
    <col min="6410" max="6410" width="15.7109375" bestFit="1" customWidth="1"/>
    <col min="6411" max="6411" width="16.28515625" bestFit="1" customWidth="1"/>
    <col min="6412" max="6412" width="16.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28515625" bestFit="1" customWidth="1"/>
    <col min="6650" max="6650" width="45.7109375" bestFit="1" customWidth="1"/>
    <col min="6651" max="6651" width="19.85546875" bestFit="1" customWidth="1"/>
    <col min="6652" max="6652" width="15.42578125" bestFit="1" customWidth="1"/>
    <col min="6653" max="6653" width="20.42578125" bestFit="1" customWidth="1"/>
    <col min="6654" max="6654" width="13.42578125" customWidth="1"/>
    <col min="6655" max="6655" width="15.5703125" bestFit="1" customWidth="1"/>
    <col min="6656" max="6656" width="14.425781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3" width="16.28515625" bestFit="1" customWidth="1"/>
    <col min="6664" max="6664" width="16.140625" customWidth="1"/>
    <col min="6665" max="6665" width="16.85546875" bestFit="1" customWidth="1"/>
    <col min="6666" max="6666" width="15.7109375" bestFit="1" customWidth="1"/>
    <col min="6667" max="6667" width="16.28515625" bestFit="1" customWidth="1"/>
    <col min="6668" max="6668" width="16.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28515625" bestFit="1" customWidth="1"/>
    <col min="6906" max="6906" width="45.7109375" bestFit="1" customWidth="1"/>
    <col min="6907" max="6907" width="19.85546875" bestFit="1" customWidth="1"/>
    <col min="6908" max="6908" width="15.42578125" bestFit="1" customWidth="1"/>
    <col min="6909" max="6909" width="20.42578125" bestFit="1" customWidth="1"/>
    <col min="6910" max="6910" width="13.42578125" customWidth="1"/>
    <col min="6911" max="6911" width="15.5703125" bestFit="1" customWidth="1"/>
    <col min="6912" max="6912" width="14.425781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19" width="16.28515625" bestFit="1" customWidth="1"/>
    <col min="6920" max="6920" width="16.140625" customWidth="1"/>
    <col min="6921" max="6921" width="16.85546875" bestFit="1" customWidth="1"/>
    <col min="6922" max="6922" width="15.7109375" bestFit="1" customWidth="1"/>
    <col min="6923" max="6923" width="16.28515625" bestFit="1" customWidth="1"/>
    <col min="6924" max="6924" width="16.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28515625" bestFit="1" customWidth="1"/>
    <col min="7162" max="7162" width="45.7109375" bestFit="1" customWidth="1"/>
    <col min="7163" max="7163" width="19.85546875" bestFit="1" customWidth="1"/>
    <col min="7164" max="7164" width="15.42578125" bestFit="1" customWidth="1"/>
    <col min="7165" max="7165" width="20.42578125" bestFit="1" customWidth="1"/>
    <col min="7166" max="7166" width="13.42578125" customWidth="1"/>
    <col min="7167" max="7167" width="15.5703125" bestFit="1" customWidth="1"/>
    <col min="7168" max="7168" width="14.425781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5" width="16.28515625" bestFit="1" customWidth="1"/>
    <col min="7176" max="7176" width="16.140625" customWidth="1"/>
    <col min="7177" max="7177" width="16.85546875" bestFit="1" customWidth="1"/>
    <col min="7178" max="7178" width="15.7109375" bestFit="1" customWidth="1"/>
    <col min="7179" max="7179" width="16.28515625" bestFit="1" customWidth="1"/>
    <col min="7180" max="7180" width="16.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28515625" bestFit="1" customWidth="1"/>
    <col min="7418" max="7418" width="45.7109375" bestFit="1" customWidth="1"/>
    <col min="7419" max="7419" width="19.85546875" bestFit="1" customWidth="1"/>
    <col min="7420" max="7420" width="15.42578125" bestFit="1" customWidth="1"/>
    <col min="7421" max="7421" width="20.42578125" bestFit="1" customWidth="1"/>
    <col min="7422" max="7422" width="13.42578125" customWidth="1"/>
    <col min="7423" max="7423" width="15.5703125" bestFit="1" customWidth="1"/>
    <col min="7424" max="7424" width="14.425781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1" width="16.28515625" bestFit="1" customWidth="1"/>
    <col min="7432" max="7432" width="16.140625" customWidth="1"/>
    <col min="7433" max="7433" width="16.85546875" bestFit="1" customWidth="1"/>
    <col min="7434" max="7434" width="15.7109375" bestFit="1" customWidth="1"/>
    <col min="7435" max="7435" width="16.28515625" bestFit="1" customWidth="1"/>
    <col min="7436" max="7436" width="16.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28515625" bestFit="1" customWidth="1"/>
    <col min="7674" max="7674" width="45.7109375" bestFit="1" customWidth="1"/>
    <col min="7675" max="7675" width="19.85546875" bestFit="1" customWidth="1"/>
    <col min="7676" max="7676" width="15.42578125" bestFit="1" customWidth="1"/>
    <col min="7677" max="7677" width="20.42578125" bestFit="1" customWidth="1"/>
    <col min="7678" max="7678" width="13.42578125" customWidth="1"/>
    <col min="7679" max="7679" width="15.5703125" bestFit="1" customWidth="1"/>
    <col min="7680" max="7680" width="14.425781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7" width="16.28515625" bestFit="1" customWidth="1"/>
    <col min="7688" max="7688" width="16.140625" customWidth="1"/>
    <col min="7689" max="7689" width="16.85546875" bestFit="1" customWidth="1"/>
    <col min="7690" max="7690" width="15.7109375" bestFit="1" customWidth="1"/>
    <col min="7691" max="7691" width="16.28515625" bestFit="1" customWidth="1"/>
    <col min="7692" max="7692" width="16.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28515625" bestFit="1" customWidth="1"/>
    <col min="7930" max="7930" width="45.7109375" bestFit="1" customWidth="1"/>
    <col min="7931" max="7931" width="19.85546875" bestFit="1" customWidth="1"/>
    <col min="7932" max="7932" width="15.42578125" bestFit="1" customWidth="1"/>
    <col min="7933" max="7933" width="20.42578125" bestFit="1" customWidth="1"/>
    <col min="7934" max="7934" width="13.42578125" customWidth="1"/>
    <col min="7935" max="7935" width="15.5703125" bestFit="1" customWidth="1"/>
    <col min="7936" max="7936" width="14.425781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3" width="16.28515625" bestFit="1" customWidth="1"/>
    <col min="7944" max="7944" width="16.140625" customWidth="1"/>
    <col min="7945" max="7945" width="16.85546875" bestFit="1" customWidth="1"/>
    <col min="7946" max="7946" width="15.7109375" bestFit="1" customWidth="1"/>
    <col min="7947" max="7947" width="16.28515625" bestFit="1" customWidth="1"/>
    <col min="7948" max="7948" width="16.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28515625" bestFit="1" customWidth="1"/>
    <col min="8186" max="8186" width="45.7109375" bestFit="1" customWidth="1"/>
    <col min="8187" max="8187" width="19.85546875" bestFit="1" customWidth="1"/>
    <col min="8188" max="8188" width="15.42578125" bestFit="1" customWidth="1"/>
    <col min="8189" max="8189" width="20.42578125" bestFit="1" customWidth="1"/>
    <col min="8190" max="8190" width="13.42578125" customWidth="1"/>
    <col min="8191" max="8191" width="15.5703125" bestFit="1" customWidth="1"/>
    <col min="8192" max="8192" width="14.425781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199" width="16.28515625" bestFit="1" customWidth="1"/>
    <col min="8200" max="8200" width="16.140625" customWidth="1"/>
    <col min="8201" max="8201" width="16.85546875" bestFit="1" customWidth="1"/>
    <col min="8202" max="8202" width="15.7109375" bestFit="1" customWidth="1"/>
    <col min="8203" max="8203" width="16.28515625" bestFit="1" customWidth="1"/>
    <col min="8204" max="8204" width="16.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28515625" bestFit="1" customWidth="1"/>
    <col min="8442" max="8442" width="45.7109375" bestFit="1" customWidth="1"/>
    <col min="8443" max="8443" width="19.85546875" bestFit="1" customWidth="1"/>
    <col min="8444" max="8444" width="15.42578125" bestFit="1" customWidth="1"/>
    <col min="8445" max="8445" width="20.42578125" bestFit="1" customWidth="1"/>
    <col min="8446" max="8446" width="13.42578125" customWidth="1"/>
    <col min="8447" max="8447" width="15.5703125" bestFit="1" customWidth="1"/>
    <col min="8448" max="8448" width="14.425781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5" width="16.28515625" bestFit="1" customWidth="1"/>
    <col min="8456" max="8456" width="16.140625" customWidth="1"/>
    <col min="8457" max="8457" width="16.85546875" bestFit="1" customWidth="1"/>
    <col min="8458" max="8458" width="15.7109375" bestFit="1" customWidth="1"/>
    <col min="8459" max="8459" width="16.28515625" bestFit="1" customWidth="1"/>
    <col min="8460" max="8460" width="16.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28515625" bestFit="1" customWidth="1"/>
    <col min="8698" max="8698" width="45.7109375" bestFit="1" customWidth="1"/>
    <col min="8699" max="8699" width="19.85546875" bestFit="1" customWidth="1"/>
    <col min="8700" max="8700" width="15.42578125" bestFit="1" customWidth="1"/>
    <col min="8701" max="8701" width="20.42578125" bestFit="1" customWidth="1"/>
    <col min="8702" max="8702" width="13.42578125" customWidth="1"/>
    <col min="8703" max="8703" width="15.5703125" bestFit="1" customWidth="1"/>
    <col min="8704" max="8704" width="14.425781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1" width="16.28515625" bestFit="1" customWidth="1"/>
    <col min="8712" max="8712" width="16.140625" customWidth="1"/>
    <col min="8713" max="8713" width="16.85546875" bestFit="1" customWidth="1"/>
    <col min="8714" max="8714" width="15.7109375" bestFit="1" customWidth="1"/>
    <col min="8715" max="8715" width="16.28515625" bestFit="1" customWidth="1"/>
    <col min="8716" max="8716" width="16.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28515625" bestFit="1" customWidth="1"/>
    <col min="8954" max="8954" width="45.7109375" bestFit="1" customWidth="1"/>
    <col min="8955" max="8955" width="19.85546875" bestFit="1" customWidth="1"/>
    <col min="8956" max="8956" width="15.42578125" bestFit="1" customWidth="1"/>
    <col min="8957" max="8957" width="20.42578125" bestFit="1" customWidth="1"/>
    <col min="8958" max="8958" width="13.42578125" customWidth="1"/>
    <col min="8959" max="8959" width="15.5703125" bestFit="1" customWidth="1"/>
    <col min="8960" max="8960" width="14.425781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7" width="16.28515625" bestFit="1" customWidth="1"/>
    <col min="8968" max="8968" width="16.140625" customWidth="1"/>
    <col min="8969" max="8969" width="16.85546875" bestFit="1" customWidth="1"/>
    <col min="8970" max="8970" width="15.7109375" bestFit="1" customWidth="1"/>
    <col min="8971" max="8971" width="16.28515625" bestFit="1" customWidth="1"/>
    <col min="8972" max="8972" width="16.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28515625" bestFit="1" customWidth="1"/>
    <col min="9210" max="9210" width="45.7109375" bestFit="1" customWidth="1"/>
    <col min="9211" max="9211" width="19.85546875" bestFit="1" customWidth="1"/>
    <col min="9212" max="9212" width="15.42578125" bestFit="1" customWidth="1"/>
    <col min="9213" max="9213" width="20.42578125" bestFit="1" customWidth="1"/>
    <col min="9214" max="9214" width="13.42578125" customWidth="1"/>
    <col min="9215" max="9215" width="15.5703125" bestFit="1" customWidth="1"/>
    <col min="9216" max="9216" width="14.425781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3" width="16.28515625" bestFit="1" customWidth="1"/>
    <col min="9224" max="9224" width="16.140625" customWidth="1"/>
    <col min="9225" max="9225" width="16.85546875" bestFit="1" customWidth="1"/>
    <col min="9226" max="9226" width="15.7109375" bestFit="1" customWidth="1"/>
    <col min="9227" max="9227" width="16.28515625" bestFit="1" customWidth="1"/>
    <col min="9228" max="9228" width="16.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28515625" bestFit="1" customWidth="1"/>
    <col min="9466" max="9466" width="45.7109375" bestFit="1" customWidth="1"/>
    <col min="9467" max="9467" width="19.85546875" bestFit="1" customWidth="1"/>
    <col min="9468" max="9468" width="15.42578125" bestFit="1" customWidth="1"/>
    <col min="9469" max="9469" width="20.42578125" bestFit="1" customWidth="1"/>
    <col min="9470" max="9470" width="13.42578125" customWidth="1"/>
    <col min="9471" max="9471" width="15.5703125" bestFit="1" customWidth="1"/>
    <col min="9472" max="9472" width="14.425781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79" width="16.28515625" bestFit="1" customWidth="1"/>
    <col min="9480" max="9480" width="16.140625" customWidth="1"/>
    <col min="9481" max="9481" width="16.85546875" bestFit="1" customWidth="1"/>
    <col min="9482" max="9482" width="15.7109375" bestFit="1" customWidth="1"/>
    <col min="9483" max="9483" width="16.28515625" bestFit="1" customWidth="1"/>
    <col min="9484" max="9484" width="16.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28515625" bestFit="1" customWidth="1"/>
    <col min="9722" max="9722" width="45.7109375" bestFit="1" customWidth="1"/>
    <col min="9723" max="9723" width="19.85546875" bestFit="1" customWidth="1"/>
    <col min="9724" max="9724" width="15.42578125" bestFit="1" customWidth="1"/>
    <col min="9725" max="9725" width="20.42578125" bestFit="1" customWidth="1"/>
    <col min="9726" max="9726" width="13.42578125" customWidth="1"/>
    <col min="9727" max="9727" width="15.5703125" bestFit="1" customWidth="1"/>
    <col min="9728" max="9728" width="14.425781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5" width="16.28515625" bestFit="1" customWidth="1"/>
    <col min="9736" max="9736" width="16.140625" customWidth="1"/>
    <col min="9737" max="9737" width="16.85546875" bestFit="1" customWidth="1"/>
    <col min="9738" max="9738" width="15.7109375" bestFit="1" customWidth="1"/>
    <col min="9739" max="9739" width="16.28515625" bestFit="1" customWidth="1"/>
    <col min="9740" max="9740" width="16.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28515625" bestFit="1" customWidth="1"/>
    <col min="9978" max="9978" width="45.7109375" bestFit="1" customWidth="1"/>
    <col min="9979" max="9979" width="19.85546875" bestFit="1" customWidth="1"/>
    <col min="9980" max="9980" width="15.42578125" bestFit="1" customWidth="1"/>
    <col min="9981" max="9981" width="20.42578125" bestFit="1" customWidth="1"/>
    <col min="9982" max="9982" width="13.42578125" customWidth="1"/>
    <col min="9983" max="9983" width="15.5703125" bestFit="1" customWidth="1"/>
    <col min="9984" max="9984" width="14.425781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1" width="16.28515625" bestFit="1" customWidth="1"/>
    <col min="9992" max="9992" width="16.140625" customWidth="1"/>
    <col min="9993" max="9993" width="16.85546875" bestFit="1" customWidth="1"/>
    <col min="9994" max="9994" width="15.7109375" bestFit="1" customWidth="1"/>
    <col min="9995" max="9995" width="16.28515625" bestFit="1" customWidth="1"/>
    <col min="9996" max="9996" width="16.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28515625" bestFit="1" customWidth="1"/>
    <col min="10234" max="10234" width="45.7109375" bestFit="1" customWidth="1"/>
    <col min="10235" max="10235" width="19.85546875" bestFit="1" customWidth="1"/>
    <col min="10236" max="10236" width="15.42578125" bestFit="1" customWidth="1"/>
    <col min="10237" max="10237" width="20.42578125" bestFit="1" customWidth="1"/>
    <col min="10238" max="10238" width="13.42578125" customWidth="1"/>
    <col min="10239" max="10239" width="15.5703125" bestFit="1" customWidth="1"/>
    <col min="10240" max="10240" width="14.425781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7" width="16.28515625" bestFit="1" customWidth="1"/>
    <col min="10248" max="10248" width="16.140625" customWidth="1"/>
    <col min="10249" max="10249" width="16.85546875" bestFit="1" customWidth="1"/>
    <col min="10250" max="10250" width="15.7109375" bestFit="1" customWidth="1"/>
    <col min="10251" max="10251" width="16.28515625" bestFit="1" customWidth="1"/>
    <col min="10252" max="10252" width="16.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28515625" bestFit="1" customWidth="1"/>
    <col min="10490" max="10490" width="45.7109375" bestFit="1" customWidth="1"/>
    <col min="10491" max="10491" width="19.85546875" bestFit="1" customWidth="1"/>
    <col min="10492" max="10492" width="15.42578125" bestFit="1" customWidth="1"/>
    <col min="10493" max="10493" width="20.42578125" bestFit="1" customWidth="1"/>
    <col min="10494" max="10494" width="13.42578125" customWidth="1"/>
    <col min="10495" max="10495" width="15.5703125" bestFit="1" customWidth="1"/>
    <col min="10496" max="10496" width="14.425781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3" width="16.28515625" bestFit="1" customWidth="1"/>
    <col min="10504" max="10504" width="16.140625" customWidth="1"/>
    <col min="10505" max="10505" width="16.85546875" bestFit="1" customWidth="1"/>
    <col min="10506" max="10506" width="15.7109375" bestFit="1" customWidth="1"/>
    <col min="10507" max="10507" width="16.28515625" bestFit="1" customWidth="1"/>
    <col min="10508" max="10508" width="16.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28515625" bestFit="1" customWidth="1"/>
    <col min="10746" max="10746" width="45.7109375" bestFit="1" customWidth="1"/>
    <col min="10747" max="10747" width="19.85546875" bestFit="1" customWidth="1"/>
    <col min="10748" max="10748" width="15.42578125" bestFit="1" customWidth="1"/>
    <col min="10749" max="10749" width="20.42578125" bestFit="1" customWidth="1"/>
    <col min="10750" max="10750" width="13.42578125" customWidth="1"/>
    <col min="10751" max="10751" width="15.5703125" bestFit="1" customWidth="1"/>
    <col min="10752" max="10752" width="14.425781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59" width="16.28515625" bestFit="1" customWidth="1"/>
    <col min="10760" max="10760" width="16.140625" customWidth="1"/>
    <col min="10761" max="10761" width="16.85546875" bestFit="1" customWidth="1"/>
    <col min="10762" max="10762" width="15.7109375" bestFit="1" customWidth="1"/>
    <col min="10763" max="10763" width="16.28515625" bestFit="1" customWidth="1"/>
    <col min="10764" max="10764" width="16.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28515625" bestFit="1" customWidth="1"/>
    <col min="11002" max="11002" width="45.7109375" bestFit="1" customWidth="1"/>
    <col min="11003" max="11003" width="19.85546875" bestFit="1" customWidth="1"/>
    <col min="11004" max="11004" width="15.42578125" bestFit="1" customWidth="1"/>
    <col min="11005" max="11005" width="20.42578125" bestFit="1" customWidth="1"/>
    <col min="11006" max="11006" width="13.42578125" customWidth="1"/>
    <col min="11007" max="11007" width="15.5703125" bestFit="1" customWidth="1"/>
    <col min="11008" max="11008" width="14.425781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5" width="16.28515625" bestFit="1" customWidth="1"/>
    <col min="11016" max="11016" width="16.140625" customWidth="1"/>
    <col min="11017" max="11017" width="16.85546875" bestFit="1" customWidth="1"/>
    <col min="11018" max="11018" width="15.7109375" bestFit="1" customWidth="1"/>
    <col min="11019" max="11019" width="16.28515625" bestFit="1" customWidth="1"/>
    <col min="11020" max="11020" width="16.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28515625" bestFit="1" customWidth="1"/>
    <col min="11258" max="11258" width="45.7109375" bestFit="1" customWidth="1"/>
    <col min="11259" max="11259" width="19.85546875" bestFit="1" customWidth="1"/>
    <col min="11260" max="11260" width="15.42578125" bestFit="1" customWidth="1"/>
    <col min="11261" max="11261" width="20.42578125" bestFit="1" customWidth="1"/>
    <col min="11262" max="11262" width="13.42578125" customWidth="1"/>
    <col min="11263" max="11263" width="15.5703125" bestFit="1" customWidth="1"/>
    <col min="11264" max="11264" width="14.425781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1" width="16.28515625" bestFit="1" customWidth="1"/>
    <col min="11272" max="11272" width="16.140625" customWidth="1"/>
    <col min="11273" max="11273" width="16.85546875" bestFit="1" customWidth="1"/>
    <col min="11274" max="11274" width="15.7109375" bestFit="1" customWidth="1"/>
    <col min="11275" max="11275" width="16.28515625" bestFit="1" customWidth="1"/>
    <col min="11276" max="11276" width="16.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28515625" bestFit="1" customWidth="1"/>
    <col min="11514" max="11514" width="45.7109375" bestFit="1" customWidth="1"/>
    <col min="11515" max="11515" width="19.85546875" bestFit="1" customWidth="1"/>
    <col min="11516" max="11516" width="15.42578125" bestFit="1" customWidth="1"/>
    <col min="11517" max="11517" width="20.42578125" bestFit="1" customWidth="1"/>
    <col min="11518" max="11518" width="13.42578125" customWidth="1"/>
    <col min="11519" max="11519" width="15.5703125" bestFit="1" customWidth="1"/>
    <col min="11520" max="11520" width="14.425781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7" width="16.28515625" bestFit="1" customWidth="1"/>
    <col min="11528" max="11528" width="16.140625" customWidth="1"/>
    <col min="11529" max="11529" width="16.85546875" bestFit="1" customWidth="1"/>
    <col min="11530" max="11530" width="15.7109375" bestFit="1" customWidth="1"/>
    <col min="11531" max="11531" width="16.28515625" bestFit="1" customWidth="1"/>
    <col min="11532" max="11532" width="16.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28515625" bestFit="1" customWidth="1"/>
    <col min="11770" max="11770" width="45.7109375" bestFit="1" customWidth="1"/>
    <col min="11771" max="11771" width="19.85546875" bestFit="1" customWidth="1"/>
    <col min="11772" max="11772" width="15.42578125" bestFit="1" customWidth="1"/>
    <col min="11773" max="11773" width="20.42578125" bestFit="1" customWidth="1"/>
    <col min="11774" max="11774" width="13.42578125" customWidth="1"/>
    <col min="11775" max="11775" width="15.5703125" bestFit="1" customWidth="1"/>
    <col min="11776" max="11776" width="14.425781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3" width="16.28515625" bestFit="1" customWidth="1"/>
    <col min="11784" max="11784" width="16.140625" customWidth="1"/>
    <col min="11785" max="11785" width="16.85546875" bestFit="1" customWidth="1"/>
    <col min="11786" max="11786" width="15.7109375" bestFit="1" customWidth="1"/>
    <col min="11787" max="11787" width="16.28515625" bestFit="1" customWidth="1"/>
    <col min="11788" max="11788" width="16.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28515625" bestFit="1" customWidth="1"/>
    <col min="12026" max="12026" width="45.7109375" bestFit="1" customWidth="1"/>
    <col min="12027" max="12027" width="19.85546875" bestFit="1" customWidth="1"/>
    <col min="12028" max="12028" width="15.42578125" bestFit="1" customWidth="1"/>
    <col min="12029" max="12029" width="20.42578125" bestFit="1" customWidth="1"/>
    <col min="12030" max="12030" width="13.42578125" customWidth="1"/>
    <col min="12031" max="12031" width="15.5703125" bestFit="1" customWidth="1"/>
    <col min="12032" max="12032" width="14.425781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39" width="16.28515625" bestFit="1" customWidth="1"/>
    <col min="12040" max="12040" width="16.140625" customWidth="1"/>
    <col min="12041" max="12041" width="16.85546875" bestFit="1" customWidth="1"/>
    <col min="12042" max="12042" width="15.7109375" bestFit="1" customWidth="1"/>
    <col min="12043" max="12043" width="16.28515625" bestFit="1" customWidth="1"/>
    <col min="12044" max="12044" width="16.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28515625" bestFit="1" customWidth="1"/>
    <col min="12282" max="12282" width="45.7109375" bestFit="1" customWidth="1"/>
    <col min="12283" max="12283" width="19.85546875" bestFit="1" customWidth="1"/>
    <col min="12284" max="12284" width="15.42578125" bestFit="1" customWidth="1"/>
    <col min="12285" max="12285" width="20.42578125" bestFit="1" customWidth="1"/>
    <col min="12286" max="12286" width="13.42578125" customWidth="1"/>
    <col min="12287" max="12287" width="15.5703125" bestFit="1" customWidth="1"/>
    <col min="12288" max="12288" width="14.425781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5" width="16.28515625" bestFit="1" customWidth="1"/>
    <col min="12296" max="12296" width="16.140625" customWidth="1"/>
    <col min="12297" max="12297" width="16.85546875" bestFit="1" customWidth="1"/>
    <col min="12298" max="12298" width="15.7109375" bestFit="1" customWidth="1"/>
    <col min="12299" max="12299" width="16.28515625" bestFit="1" customWidth="1"/>
    <col min="12300" max="12300" width="16.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28515625" bestFit="1" customWidth="1"/>
    <col min="12538" max="12538" width="45.7109375" bestFit="1" customWidth="1"/>
    <col min="12539" max="12539" width="19.85546875" bestFit="1" customWidth="1"/>
    <col min="12540" max="12540" width="15.42578125" bestFit="1" customWidth="1"/>
    <col min="12541" max="12541" width="20.42578125" bestFit="1" customWidth="1"/>
    <col min="12542" max="12542" width="13.42578125" customWidth="1"/>
    <col min="12543" max="12543" width="15.5703125" bestFit="1" customWidth="1"/>
    <col min="12544" max="12544" width="14.425781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1" width="16.28515625" bestFit="1" customWidth="1"/>
    <col min="12552" max="12552" width="16.140625" customWidth="1"/>
    <col min="12553" max="12553" width="16.85546875" bestFit="1" customWidth="1"/>
    <col min="12554" max="12554" width="15.7109375" bestFit="1" customWidth="1"/>
    <col min="12555" max="12555" width="16.28515625" bestFit="1" customWidth="1"/>
    <col min="12556" max="12556" width="16.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28515625" bestFit="1" customWidth="1"/>
    <col min="12794" max="12794" width="45.7109375" bestFit="1" customWidth="1"/>
    <col min="12795" max="12795" width="19.85546875" bestFit="1" customWidth="1"/>
    <col min="12796" max="12796" width="15.42578125" bestFit="1" customWidth="1"/>
    <col min="12797" max="12797" width="20.42578125" bestFit="1" customWidth="1"/>
    <col min="12798" max="12798" width="13.42578125" customWidth="1"/>
    <col min="12799" max="12799" width="15.5703125" bestFit="1" customWidth="1"/>
    <col min="12800" max="12800" width="14.425781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7" width="16.28515625" bestFit="1" customWidth="1"/>
    <col min="12808" max="12808" width="16.140625" customWidth="1"/>
    <col min="12809" max="12809" width="16.85546875" bestFit="1" customWidth="1"/>
    <col min="12810" max="12810" width="15.7109375" bestFit="1" customWidth="1"/>
    <col min="12811" max="12811" width="16.28515625" bestFit="1" customWidth="1"/>
    <col min="12812" max="12812" width="16.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28515625" bestFit="1" customWidth="1"/>
    <col min="13050" max="13050" width="45.7109375" bestFit="1" customWidth="1"/>
    <col min="13051" max="13051" width="19.85546875" bestFit="1" customWidth="1"/>
    <col min="13052" max="13052" width="15.42578125" bestFit="1" customWidth="1"/>
    <col min="13053" max="13053" width="20.42578125" bestFit="1" customWidth="1"/>
    <col min="13054" max="13054" width="13.42578125" customWidth="1"/>
    <col min="13055" max="13055" width="15.5703125" bestFit="1" customWidth="1"/>
    <col min="13056" max="13056" width="14.425781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3" width="16.28515625" bestFit="1" customWidth="1"/>
    <col min="13064" max="13064" width="16.140625" customWidth="1"/>
    <col min="13065" max="13065" width="16.85546875" bestFit="1" customWidth="1"/>
    <col min="13066" max="13066" width="15.7109375" bestFit="1" customWidth="1"/>
    <col min="13067" max="13067" width="16.28515625" bestFit="1" customWidth="1"/>
    <col min="13068" max="13068" width="16.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28515625" bestFit="1" customWidth="1"/>
    <col min="13306" max="13306" width="45.7109375" bestFit="1" customWidth="1"/>
    <col min="13307" max="13307" width="19.85546875" bestFit="1" customWidth="1"/>
    <col min="13308" max="13308" width="15.42578125" bestFit="1" customWidth="1"/>
    <col min="13309" max="13309" width="20.42578125" bestFit="1" customWidth="1"/>
    <col min="13310" max="13310" width="13.42578125" customWidth="1"/>
    <col min="13311" max="13311" width="15.5703125" bestFit="1" customWidth="1"/>
    <col min="13312" max="13312" width="14.425781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19" width="16.28515625" bestFit="1" customWidth="1"/>
    <col min="13320" max="13320" width="16.140625" customWidth="1"/>
    <col min="13321" max="13321" width="16.85546875" bestFit="1" customWidth="1"/>
    <col min="13322" max="13322" width="15.7109375" bestFit="1" customWidth="1"/>
    <col min="13323" max="13323" width="16.28515625" bestFit="1" customWidth="1"/>
    <col min="13324" max="13324" width="16.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28515625" bestFit="1" customWidth="1"/>
    <col min="13562" max="13562" width="45.7109375" bestFit="1" customWidth="1"/>
    <col min="13563" max="13563" width="19.85546875" bestFit="1" customWidth="1"/>
    <col min="13564" max="13564" width="15.42578125" bestFit="1" customWidth="1"/>
    <col min="13565" max="13565" width="20.42578125" bestFit="1" customWidth="1"/>
    <col min="13566" max="13566" width="13.42578125" customWidth="1"/>
    <col min="13567" max="13567" width="15.5703125" bestFit="1" customWidth="1"/>
    <col min="13568" max="13568" width="14.425781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5" width="16.28515625" bestFit="1" customWidth="1"/>
    <col min="13576" max="13576" width="16.140625" customWidth="1"/>
    <col min="13577" max="13577" width="16.85546875" bestFit="1" customWidth="1"/>
    <col min="13578" max="13578" width="15.7109375" bestFit="1" customWidth="1"/>
    <col min="13579" max="13579" width="16.28515625" bestFit="1" customWidth="1"/>
    <col min="13580" max="13580" width="16.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28515625" bestFit="1" customWidth="1"/>
    <col min="13818" max="13818" width="45.7109375" bestFit="1" customWidth="1"/>
    <col min="13819" max="13819" width="19.85546875" bestFit="1" customWidth="1"/>
    <col min="13820" max="13820" width="15.42578125" bestFit="1" customWidth="1"/>
    <col min="13821" max="13821" width="20.42578125" bestFit="1" customWidth="1"/>
    <col min="13822" max="13822" width="13.42578125" customWidth="1"/>
    <col min="13823" max="13823" width="15.5703125" bestFit="1" customWidth="1"/>
    <col min="13824" max="13824" width="14.425781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1" width="16.28515625" bestFit="1" customWidth="1"/>
    <col min="13832" max="13832" width="16.140625" customWidth="1"/>
    <col min="13833" max="13833" width="16.85546875" bestFit="1" customWidth="1"/>
    <col min="13834" max="13834" width="15.7109375" bestFit="1" customWidth="1"/>
    <col min="13835" max="13835" width="16.28515625" bestFit="1" customWidth="1"/>
    <col min="13836" max="13836" width="16.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28515625" bestFit="1" customWidth="1"/>
    <col min="14074" max="14074" width="45.7109375" bestFit="1" customWidth="1"/>
    <col min="14075" max="14075" width="19.85546875" bestFit="1" customWidth="1"/>
    <col min="14076" max="14076" width="15.42578125" bestFit="1" customWidth="1"/>
    <col min="14077" max="14077" width="20.42578125" bestFit="1" customWidth="1"/>
    <col min="14078" max="14078" width="13.42578125" customWidth="1"/>
    <col min="14079" max="14079" width="15.5703125" bestFit="1" customWidth="1"/>
    <col min="14080" max="14080" width="14.425781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7" width="16.28515625" bestFit="1" customWidth="1"/>
    <col min="14088" max="14088" width="16.140625" customWidth="1"/>
    <col min="14089" max="14089" width="16.85546875" bestFit="1" customWidth="1"/>
    <col min="14090" max="14090" width="15.7109375" bestFit="1" customWidth="1"/>
    <col min="14091" max="14091" width="16.28515625" bestFit="1" customWidth="1"/>
    <col min="14092" max="14092" width="16.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28515625" bestFit="1" customWidth="1"/>
    <col min="14330" max="14330" width="45.7109375" bestFit="1" customWidth="1"/>
    <col min="14331" max="14331" width="19.85546875" bestFit="1" customWidth="1"/>
    <col min="14332" max="14332" width="15.42578125" bestFit="1" customWidth="1"/>
    <col min="14333" max="14333" width="20.42578125" bestFit="1" customWidth="1"/>
    <col min="14334" max="14334" width="13.42578125" customWidth="1"/>
    <col min="14335" max="14335" width="15.5703125" bestFit="1" customWidth="1"/>
    <col min="14336" max="14336" width="14.425781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3" width="16.28515625" bestFit="1" customWidth="1"/>
    <col min="14344" max="14344" width="16.140625" customWidth="1"/>
    <col min="14345" max="14345" width="16.85546875" bestFit="1" customWidth="1"/>
    <col min="14346" max="14346" width="15.7109375" bestFit="1" customWidth="1"/>
    <col min="14347" max="14347" width="16.28515625" bestFit="1" customWidth="1"/>
    <col min="14348" max="14348" width="16.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28515625" bestFit="1" customWidth="1"/>
    <col min="14586" max="14586" width="45.7109375" bestFit="1" customWidth="1"/>
    <col min="14587" max="14587" width="19.85546875" bestFit="1" customWidth="1"/>
    <col min="14588" max="14588" width="15.42578125" bestFit="1" customWidth="1"/>
    <col min="14589" max="14589" width="20.42578125" bestFit="1" customWidth="1"/>
    <col min="14590" max="14590" width="13.42578125" customWidth="1"/>
    <col min="14591" max="14591" width="15.5703125" bestFit="1" customWidth="1"/>
    <col min="14592" max="14592" width="14.425781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599" width="16.28515625" bestFit="1" customWidth="1"/>
    <col min="14600" max="14600" width="16.140625" customWidth="1"/>
    <col min="14601" max="14601" width="16.85546875" bestFit="1" customWidth="1"/>
    <col min="14602" max="14602" width="15.7109375" bestFit="1" customWidth="1"/>
    <col min="14603" max="14603" width="16.28515625" bestFit="1" customWidth="1"/>
    <col min="14604" max="14604" width="16.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28515625" bestFit="1" customWidth="1"/>
    <col min="14842" max="14842" width="45.7109375" bestFit="1" customWidth="1"/>
    <col min="14843" max="14843" width="19.85546875" bestFit="1" customWidth="1"/>
    <col min="14844" max="14844" width="15.42578125" bestFit="1" customWidth="1"/>
    <col min="14845" max="14845" width="20.42578125" bestFit="1" customWidth="1"/>
    <col min="14846" max="14846" width="13.42578125" customWidth="1"/>
    <col min="14847" max="14847" width="15.5703125" bestFit="1" customWidth="1"/>
    <col min="14848" max="14848" width="14.425781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5" width="16.28515625" bestFit="1" customWidth="1"/>
    <col min="14856" max="14856" width="16.140625" customWidth="1"/>
    <col min="14857" max="14857" width="16.85546875" bestFit="1" customWidth="1"/>
    <col min="14858" max="14858" width="15.7109375" bestFit="1" customWidth="1"/>
    <col min="14859" max="14859" width="16.28515625" bestFit="1" customWidth="1"/>
    <col min="14860" max="14860" width="16.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28515625" bestFit="1" customWidth="1"/>
    <col min="15098" max="15098" width="45.7109375" bestFit="1" customWidth="1"/>
    <col min="15099" max="15099" width="19.85546875" bestFit="1" customWidth="1"/>
    <col min="15100" max="15100" width="15.42578125" bestFit="1" customWidth="1"/>
    <col min="15101" max="15101" width="20.42578125" bestFit="1" customWidth="1"/>
    <col min="15102" max="15102" width="13.42578125" customWidth="1"/>
    <col min="15103" max="15103" width="15.5703125" bestFit="1" customWidth="1"/>
    <col min="15104" max="15104" width="14.425781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1" width="16.28515625" bestFit="1" customWidth="1"/>
    <col min="15112" max="15112" width="16.140625" customWidth="1"/>
    <col min="15113" max="15113" width="16.85546875" bestFit="1" customWidth="1"/>
    <col min="15114" max="15114" width="15.7109375" bestFit="1" customWidth="1"/>
    <col min="15115" max="15115" width="16.28515625" bestFit="1" customWidth="1"/>
    <col min="15116" max="15116" width="16.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28515625" bestFit="1" customWidth="1"/>
    <col min="15354" max="15354" width="45.7109375" bestFit="1" customWidth="1"/>
    <col min="15355" max="15355" width="19.85546875" bestFit="1" customWidth="1"/>
    <col min="15356" max="15356" width="15.42578125" bestFit="1" customWidth="1"/>
    <col min="15357" max="15357" width="20.42578125" bestFit="1" customWidth="1"/>
    <col min="15358" max="15358" width="13.42578125" customWidth="1"/>
    <col min="15359" max="15359" width="15.5703125" bestFit="1" customWidth="1"/>
    <col min="15360" max="15360" width="14.425781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7" width="16.28515625" bestFit="1" customWidth="1"/>
    <col min="15368" max="15368" width="16.140625" customWidth="1"/>
    <col min="15369" max="15369" width="16.85546875" bestFit="1" customWidth="1"/>
    <col min="15370" max="15370" width="15.7109375" bestFit="1" customWidth="1"/>
    <col min="15371" max="15371" width="16.28515625" bestFit="1" customWidth="1"/>
    <col min="15372" max="15372" width="16.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28515625" bestFit="1" customWidth="1"/>
    <col min="15610" max="15610" width="45.7109375" bestFit="1" customWidth="1"/>
    <col min="15611" max="15611" width="19.85546875" bestFit="1" customWidth="1"/>
    <col min="15612" max="15612" width="15.42578125" bestFit="1" customWidth="1"/>
    <col min="15613" max="15613" width="20.42578125" bestFit="1" customWidth="1"/>
    <col min="15614" max="15614" width="13.42578125" customWidth="1"/>
    <col min="15615" max="15615" width="15.5703125" bestFit="1" customWidth="1"/>
    <col min="15616" max="15616" width="14.425781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3" width="16.28515625" bestFit="1" customWidth="1"/>
    <col min="15624" max="15624" width="16.140625" customWidth="1"/>
    <col min="15625" max="15625" width="16.85546875" bestFit="1" customWidth="1"/>
    <col min="15626" max="15626" width="15.7109375" bestFit="1" customWidth="1"/>
    <col min="15627" max="15627" width="16.28515625" bestFit="1" customWidth="1"/>
    <col min="15628" max="15628" width="16.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28515625" bestFit="1" customWidth="1"/>
    <col min="15866" max="15866" width="45.7109375" bestFit="1" customWidth="1"/>
    <col min="15867" max="15867" width="19.85546875" bestFit="1" customWidth="1"/>
    <col min="15868" max="15868" width="15.42578125" bestFit="1" customWidth="1"/>
    <col min="15869" max="15869" width="20.42578125" bestFit="1" customWidth="1"/>
    <col min="15870" max="15870" width="13.42578125" customWidth="1"/>
    <col min="15871" max="15871" width="15.5703125" bestFit="1" customWidth="1"/>
    <col min="15872" max="15872" width="14.425781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79" width="16.28515625" bestFit="1" customWidth="1"/>
    <col min="15880" max="15880" width="16.140625" customWidth="1"/>
    <col min="15881" max="15881" width="16.85546875" bestFit="1" customWidth="1"/>
    <col min="15882" max="15882" width="15.7109375" bestFit="1" customWidth="1"/>
    <col min="15883" max="15883" width="16.28515625" bestFit="1" customWidth="1"/>
    <col min="15884" max="15884" width="16.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28515625" bestFit="1" customWidth="1"/>
    <col min="16122" max="16122" width="45.7109375" bestFit="1" customWidth="1"/>
    <col min="16123" max="16123" width="19.85546875" bestFit="1" customWidth="1"/>
    <col min="16124" max="16124" width="15.42578125" bestFit="1" customWidth="1"/>
    <col min="16125" max="16125" width="20.42578125" bestFit="1" customWidth="1"/>
    <col min="16126" max="16126" width="13.42578125" customWidth="1"/>
    <col min="16127" max="16127" width="15.5703125" bestFit="1" customWidth="1"/>
    <col min="16128" max="16128" width="14.425781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5" width="16.28515625" bestFit="1" customWidth="1"/>
    <col min="16136" max="16136" width="16.140625" customWidth="1"/>
    <col min="16137" max="16137" width="16.85546875" bestFit="1" customWidth="1"/>
    <col min="16138" max="16138" width="15.7109375" bestFit="1" customWidth="1"/>
    <col min="16139" max="16139" width="16.28515625" bestFit="1" customWidth="1"/>
    <col min="16140" max="16140" width="16.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42" customHeight="1" thickBot="1">
      <c r="C1" s="1401" t="s">
        <v>63</v>
      </c>
      <c r="D1" s="1361" t="s">
        <v>283</v>
      </c>
      <c r="E1" s="1401" t="s">
        <v>5</v>
      </c>
      <c r="F1" s="1401">
        <v>18230612</v>
      </c>
      <c r="G1" s="1361" t="s">
        <v>4</v>
      </c>
      <c r="J1" s="1361"/>
      <c r="K1" s="1361"/>
      <c r="L1" s="1361"/>
      <c r="M1" s="1401" t="s">
        <v>63</v>
      </c>
      <c r="N1" s="1361" t="s">
        <v>283</v>
      </c>
      <c r="O1" s="1401" t="s">
        <v>5</v>
      </c>
      <c r="P1" s="1401">
        <v>18230612</v>
      </c>
      <c r="Q1" s="1361" t="s">
        <v>4</v>
      </c>
      <c r="V1" s="1401" t="s">
        <v>63</v>
      </c>
      <c r="W1" s="1361" t="s">
        <v>283</v>
      </c>
      <c r="X1" s="1401" t="s">
        <v>5</v>
      </c>
      <c r="Y1" s="1401">
        <v>18230612</v>
      </c>
      <c r="Z1" s="1361" t="s">
        <v>4</v>
      </c>
    </row>
    <row r="2" spans="1:26" ht="16.5" thickBot="1">
      <c r="C2" s="44"/>
      <c r="D2" s="45"/>
      <c r="G2" s="1652"/>
      <c r="I2" s="1178" t="s">
        <v>627</v>
      </c>
      <c r="S2" s="3575"/>
      <c r="T2" s="3575"/>
      <c r="U2" s="3576" t="s">
        <v>33</v>
      </c>
      <c r="V2" s="3577"/>
      <c r="W2" s="3578"/>
      <c r="X2" s="3579" t="s">
        <v>34</v>
      </c>
    </row>
    <row r="3" spans="1:26" ht="26.25" thickBot="1">
      <c r="A3" s="1400" t="s">
        <v>63</v>
      </c>
      <c r="B3" s="1400"/>
      <c r="G3" s="1652"/>
      <c r="I3" s="1179" t="s">
        <v>1747</v>
      </c>
      <c r="J3" s="1154" t="s">
        <v>8</v>
      </c>
      <c r="K3" s="1154" t="s">
        <v>9</v>
      </c>
      <c r="L3" s="1154" t="s">
        <v>10</v>
      </c>
      <c r="M3" s="1558" t="s">
        <v>482</v>
      </c>
      <c r="N3" s="1154" t="s">
        <v>11</v>
      </c>
      <c r="O3" s="1154" t="s">
        <v>12</v>
      </c>
      <c r="P3" s="1154" t="s">
        <v>13</v>
      </c>
      <c r="Q3" s="1154" t="s">
        <v>35</v>
      </c>
      <c r="R3" s="1154" t="s">
        <v>36</v>
      </c>
      <c r="S3" s="1180" t="s">
        <v>15</v>
      </c>
      <c r="T3" s="1527" t="s">
        <v>37</v>
      </c>
      <c r="U3" s="46" t="s">
        <v>38</v>
      </c>
      <c r="V3" s="46" t="s">
        <v>10</v>
      </c>
      <c r="W3" s="47" t="s">
        <v>39</v>
      </c>
      <c r="X3" s="3569"/>
    </row>
    <row r="4" spans="1:26" ht="16.5" thickBot="1">
      <c r="A4" s="1357" t="s">
        <v>283</v>
      </c>
      <c r="B4" s="1400"/>
      <c r="C4" s="44"/>
      <c r="G4" s="1652"/>
      <c r="H4" s="2946" t="s">
        <v>1726</v>
      </c>
      <c r="I4" s="2947">
        <f>D15</f>
        <v>49848.15</v>
      </c>
      <c r="J4" s="2948">
        <f>D21</f>
        <v>16008</v>
      </c>
      <c r="K4" s="2948">
        <f>D27</f>
        <v>43926.052050000006</v>
      </c>
      <c r="L4" s="2948">
        <f>D37</f>
        <v>85000</v>
      </c>
      <c r="M4" s="2948">
        <f>D43</f>
        <v>2000</v>
      </c>
      <c r="N4" s="2948">
        <f>D49</f>
        <v>2000</v>
      </c>
      <c r="O4" s="2948">
        <f>D55</f>
        <v>1000</v>
      </c>
      <c r="P4" s="2948">
        <f>D61</f>
        <v>3000</v>
      </c>
      <c r="Q4" s="2948">
        <f>D67</f>
        <v>630500</v>
      </c>
      <c r="R4" s="2948">
        <f>D70</f>
        <v>0</v>
      </c>
      <c r="S4" s="2949">
        <f>SUM(I4:R4)</f>
        <v>833282.20204999996</v>
      </c>
      <c r="T4" s="2950">
        <f>T15</f>
        <v>1896700</v>
      </c>
      <c r="U4" s="2954">
        <f>Q4/S4</f>
        <v>0.75664642596334697</v>
      </c>
      <c r="V4" s="2954">
        <f>(L4+(J4*1.63))/S4</f>
        <v>0.13331982817669014</v>
      </c>
      <c r="W4" s="2954">
        <f>N4/S4</f>
        <v>2.400147267131949E-3</v>
      </c>
      <c r="X4" s="2953">
        <f>S4/T4</f>
        <v>0.43933263143881479</v>
      </c>
    </row>
    <row r="5" spans="1:26" ht="16.5" thickBot="1">
      <c r="A5" s="1400" t="s">
        <v>5</v>
      </c>
      <c r="C5" s="45"/>
      <c r="G5" s="1652"/>
      <c r="H5" s="3205" t="s">
        <v>1753</v>
      </c>
      <c r="I5" s="2617">
        <v>51094.45</v>
      </c>
      <c r="J5" s="2618">
        <v>16408.199999999997</v>
      </c>
      <c r="K5" s="2618">
        <v>45901.802000000003</v>
      </c>
      <c r="L5" s="2618">
        <v>85000</v>
      </c>
      <c r="M5" s="2618">
        <v>2000</v>
      </c>
      <c r="N5" s="2618">
        <v>2000</v>
      </c>
      <c r="O5" s="2618">
        <v>1000</v>
      </c>
      <c r="P5" s="2618">
        <v>3000</v>
      </c>
      <c r="Q5" s="2618">
        <v>630500</v>
      </c>
      <c r="R5" s="2618">
        <v>0</v>
      </c>
      <c r="S5" s="2637">
        <v>836904.45200000005</v>
      </c>
      <c r="T5" s="2638">
        <v>1896700</v>
      </c>
      <c r="U5" s="1186">
        <f>Q5/S5</f>
        <v>0.75337154497536352</v>
      </c>
      <c r="V5" s="1186">
        <f>(L5+(J5*1.63))/S5</f>
        <v>0.13352225063799755</v>
      </c>
      <c r="W5" s="1186">
        <f>N5/S5</f>
        <v>2.3897590641565854E-3</v>
      </c>
      <c r="X5" s="48">
        <f>S5/T5</f>
        <v>0.44124239573996943</v>
      </c>
    </row>
    <row r="6" spans="1:26" ht="16.5" thickBot="1">
      <c r="A6" s="1400">
        <v>18230612</v>
      </c>
      <c r="B6" s="1400"/>
      <c r="D6" s="44"/>
      <c r="G6" s="1652"/>
      <c r="H6" s="3206" t="s">
        <v>1754</v>
      </c>
      <c r="I6" s="2621">
        <f>E15</f>
        <v>44277.4</v>
      </c>
      <c r="J6" s="2622">
        <f>E21</f>
        <v>16408.199999999997</v>
      </c>
      <c r="K6" s="2623">
        <f>E27</f>
        <v>54495.668799999999</v>
      </c>
      <c r="L6" s="2622">
        <f>E37</f>
        <v>85000</v>
      </c>
      <c r="M6" s="2622">
        <f>E43</f>
        <v>2000</v>
      </c>
      <c r="N6" s="2622">
        <f>E49</f>
        <v>2000</v>
      </c>
      <c r="O6" s="2622">
        <f>E55</f>
        <v>1000</v>
      </c>
      <c r="P6" s="2622">
        <f>E61</f>
        <v>3000</v>
      </c>
      <c r="Q6" s="2622">
        <f>E67</f>
        <v>628850</v>
      </c>
      <c r="R6" s="2622">
        <f>E70</f>
        <v>0</v>
      </c>
      <c r="S6" s="2624">
        <f>SUM(I6:R6)</f>
        <v>837031.26879999996</v>
      </c>
      <c r="T6" s="2625">
        <f>U15</f>
        <v>1949857</v>
      </c>
      <c r="U6" s="2631">
        <f>Q6/S6</f>
        <v>0.75128615075700034</v>
      </c>
      <c r="V6" s="2631">
        <f>(L6+(J6*1.63))/S6</f>
        <v>0.13350202097013941</v>
      </c>
      <c r="W6" s="2631">
        <f>N6/S6</f>
        <v>2.3893969969213651E-3</v>
      </c>
      <c r="X6" s="2626">
        <f>S6/T6</f>
        <v>0.42927828492038134</v>
      </c>
    </row>
    <row r="7" spans="1:26" ht="15.75">
      <c r="A7" s="1357"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833282.20204999996</v>
      </c>
      <c r="E12" s="1484">
        <f>E15+E21+E27+E37+E43+E49+E55+E61+E67</f>
        <v>837031.26879999996</v>
      </c>
      <c r="F12" s="1462">
        <f>D12+E12</f>
        <v>1670313.4708499999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2244" t="s">
        <v>1045</v>
      </c>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row>
    <row r="15" spans="1:26">
      <c r="B15" s="1433" t="s">
        <v>296</v>
      </c>
      <c r="C15" s="1597" t="s">
        <v>1749</v>
      </c>
      <c r="D15" s="2771">
        <f>SUM(D16:D19)</f>
        <v>49848.15</v>
      </c>
      <c r="E15" s="1464">
        <f>SUM(E16:E19)</f>
        <v>44277.4</v>
      </c>
      <c r="F15" s="1462">
        <f>D15+E15</f>
        <v>94125.55</v>
      </c>
      <c r="H15" s="1475" t="s">
        <v>308</v>
      </c>
      <c r="I15" s="1476"/>
      <c r="J15" s="1476"/>
      <c r="K15" s="1477"/>
      <c r="L15" s="1478">
        <f>SUMPRODUCT(L16:L23,S16:S23)</f>
        <v>3279850</v>
      </c>
      <c r="M15" s="1478">
        <f>SUM(M16:M23)</f>
        <v>13700</v>
      </c>
      <c r="N15" s="1479"/>
      <c r="O15" s="1477">
        <v>30</v>
      </c>
      <c r="P15" s="1477"/>
      <c r="Q15" s="3225"/>
      <c r="R15" s="1477"/>
      <c r="S15" s="1477"/>
      <c r="T15" s="2983">
        <v>1896700</v>
      </c>
      <c r="U15" s="1480">
        <f t="shared" ref="U15:Y15" si="0">SUM(U16:U65)</f>
        <v>1949857</v>
      </c>
      <c r="V15" s="1480">
        <f t="shared" si="0"/>
        <v>3846557</v>
      </c>
      <c r="W15" s="2987">
        <v>630500</v>
      </c>
      <c r="X15" s="1478">
        <f t="shared" si="0"/>
        <v>628850</v>
      </c>
      <c r="Y15" s="1478">
        <f t="shared" si="0"/>
        <v>1259350</v>
      </c>
      <c r="Z15" s="1481">
        <v>0</v>
      </c>
    </row>
    <row r="16" spans="1:26">
      <c r="B16" s="1432">
        <v>0.1</v>
      </c>
      <c r="C16" s="1667" t="s">
        <v>734</v>
      </c>
      <c r="D16" s="2772">
        <v>9063.3000000000011</v>
      </c>
      <c r="E16" s="1448">
        <v>9289.9</v>
      </c>
      <c r="F16" s="1426">
        <f>SUM(D16:E16)</f>
        <v>18353.2</v>
      </c>
      <c r="H16" s="1938" t="s">
        <v>1098</v>
      </c>
      <c r="I16" s="1937">
        <v>12000</v>
      </c>
      <c r="J16" s="1470" t="s">
        <v>110</v>
      </c>
      <c r="K16" s="1460" t="s">
        <v>845</v>
      </c>
      <c r="L16" s="1467">
        <v>10800</v>
      </c>
      <c r="M16" s="1467">
        <v>3550</v>
      </c>
      <c r="N16" s="1461">
        <v>9.3590189876297164E-2</v>
      </c>
      <c r="O16" s="1460">
        <v>30</v>
      </c>
      <c r="P16" s="1463" t="s">
        <v>994</v>
      </c>
      <c r="Q16" s="3233">
        <v>20</v>
      </c>
      <c r="R16" s="1466">
        <v>10</v>
      </c>
      <c r="S16" s="1469">
        <f t="shared" ref="S16:S21" si="1">SUM(Q16:R16)</f>
        <v>30</v>
      </c>
      <c r="T16" s="2991">
        <v>240000</v>
      </c>
      <c r="U16" s="1469">
        <f t="shared" ref="U16:U21" si="2">R16*I16</f>
        <v>120000</v>
      </c>
      <c r="V16" s="1469">
        <f t="shared" ref="V16:V21" si="3">SUM(T16:U16)</f>
        <v>360000</v>
      </c>
      <c r="W16" s="2993">
        <v>71000</v>
      </c>
      <c r="X16" s="1459">
        <f t="shared" ref="X16:X21" si="4">R16*M16</f>
        <v>35500</v>
      </c>
      <c r="Y16" s="1459">
        <f t="shared" ref="Y16:Y21" si="5">SUM(W16:X16)</f>
        <v>106500</v>
      </c>
      <c r="Z16" s="1482"/>
    </row>
    <row r="17" spans="2:26">
      <c r="B17" s="1432">
        <v>0.35</v>
      </c>
      <c r="C17" s="1423" t="s">
        <v>735</v>
      </c>
      <c r="D17" s="2784">
        <v>31721.55</v>
      </c>
      <c r="E17" s="1447">
        <v>27212.5</v>
      </c>
      <c r="F17" s="1426">
        <f t="shared" ref="F17:F19" si="6">SUM(D17:E17)</f>
        <v>58934.05</v>
      </c>
      <c r="H17" s="1930" t="s">
        <v>1099</v>
      </c>
      <c r="I17" s="1937">
        <v>12000</v>
      </c>
      <c r="J17" s="1470" t="s">
        <v>110</v>
      </c>
      <c r="K17" s="1460" t="s">
        <v>845</v>
      </c>
      <c r="L17" s="1467">
        <v>8300</v>
      </c>
      <c r="M17" s="1467">
        <v>2950</v>
      </c>
      <c r="N17" s="1461">
        <v>0.21837710971136007</v>
      </c>
      <c r="O17" s="1460">
        <v>30</v>
      </c>
      <c r="P17" s="1463" t="s">
        <v>994</v>
      </c>
      <c r="Q17" s="3233">
        <v>30</v>
      </c>
      <c r="R17" s="1466">
        <v>40</v>
      </c>
      <c r="S17" s="1469">
        <f t="shared" si="1"/>
        <v>70</v>
      </c>
      <c r="T17" s="2991">
        <v>360000</v>
      </c>
      <c r="U17" s="1469">
        <f t="shared" si="2"/>
        <v>480000</v>
      </c>
      <c r="V17" s="1469">
        <f t="shared" si="3"/>
        <v>840000</v>
      </c>
      <c r="W17" s="2993">
        <v>88500</v>
      </c>
      <c r="X17" s="1459">
        <f t="shared" si="4"/>
        <v>118000</v>
      </c>
      <c r="Y17" s="1459">
        <f t="shared" si="5"/>
        <v>206500</v>
      </c>
      <c r="Z17" s="1482"/>
    </row>
    <row r="18" spans="2:26">
      <c r="B18" s="1432">
        <v>0.1</v>
      </c>
      <c r="C18" s="1423" t="s">
        <v>737</v>
      </c>
      <c r="D18" s="2784">
        <v>9063.3000000000011</v>
      </c>
      <c r="E18" s="1447">
        <v>7775</v>
      </c>
      <c r="F18" s="1426">
        <f t="shared" si="6"/>
        <v>16838.300000000003</v>
      </c>
      <c r="H18" s="1938" t="s">
        <v>1100</v>
      </c>
      <c r="I18" s="1937">
        <v>8500</v>
      </c>
      <c r="J18" s="1470" t="s">
        <v>110</v>
      </c>
      <c r="K18" s="1460" t="s">
        <v>845</v>
      </c>
      <c r="L18" s="1467">
        <v>8700</v>
      </c>
      <c r="M18" s="1467">
        <v>2600</v>
      </c>
      <c r="N18" s="1461">
        <v>4.4195367441584775E-2</v>
      </c>
      <c r="O18" s="1460">
        <v>30</v>
      </c>
      <c r="P18" s="1463" t="s">
        <v>994</v>
      </c>
      <c r="Q18" s="3233">
        <v>15</v>
      </c>
      <c r="R18" s="1466">
        <v>5</v>
      </c>
      <c r="S18" s="1469">
        <f t="shared" si="1"/>
        <v>20</v>
      </c>
      <c r="T18" s="2991">
        <v>127500</v>
      </c>
      <c r="U18" s="1469">
        <f t="shared" si="2"/>
        <v>42500</v>
      </c>
      <c r="V18" s="1469">
        <f t="shared" si="3"/>
        <v>170000</v>
      </c>
      <c r="W18" s="2993">
        <v>39000</v>
      </c>
      <c r="X18" s="1459">
        <f t="shared" si="4"/>
        <v>13000</v>
      </c>
      <c r="Y18" s="1459">
        <f t="shared" si="5"/>
        <v>52000</v>
      </c>
      <c r="Z18" s="1482"/>
    </row>
    <row r="19" spans="2:26">
      <c r="B19" s="1432"/>
      <c r="C19" s="1423"/>
      <c r="D19" s="2786"/>
      <c r="E19" s="1446"/>
      <c r="F19" s="1426">
        <f t="shared" si="6"/>
        <v>0</v>
      </c>
      <c r="H19" s="1938" t="s">
        <v>1101</v>
      </c>
      <c r="I19" s="1937">
        <v>8500</v>
      </c>
      <c r="J19" s="1470" t="s">
        <v>110</v>
      </c>
      <c r="K19" s="1460" t="s">
        <v>845</v>
      </c>
      <c r="L19" s="1467">
        <v>6700</v>
      </c>
      <c r="M19" s="1467">
        <v>2000</v>
      </c>
      <c r="N19" s="1461">
        <v>0.1767814697663391</v>
      </c>
      <c r="O19" s="1460">
        <v>30</v>
      </c>
      <c r="P19" s="1463" t="s">
        <v>994</v>
      </c>
      <c r="Q19" s="3233">
        <v>35</v>
      </c>
      <c r="R19" s="1466">
        <v>45</v>
      </c>
      <c r="S19" s="1469">
        <f t="shared" si="1"/>
        <v>80</v>
      </c>
      <c r="T19" s="2991">
        <v>297500</v>
      </c>
      <c r="U19" s="1469">
        <f t="shared" si="2"/>
        <v>382500</v>
      </c>
      <c r="V19" s="1469">
        <f t="shared" si="3"/>
        <v>680000</v>
      </c>
      <c r="W19" s="2993">
        <v>70000</v>
      </c>
      <c r="X19" s="1459">
        <f t="shared" si="4"/>
        <v>90000</v>
      </c>
      <c r="Y19" s="1459">
        <f t="shared" si="5"/>
        <v>160000</v>
      </c>
      <c r="Z19" s="1482"/>
    </row>
    <row r="20" spans="2:26">
      <c r="B20" s="1449">
        <f>SUM(B16:B19)</f>
        <v>0.54999999999999993</v>
      </c>
      <c r="C20" s="1488"/>
      <c r="D20" s="2770"/>
      <c r="E20" s="1490"/>
      <c r="F20" s="1492"/>
      <c r="H20" s="1930" t="s">
        <v>1102</v>
      </c>
      <c r="I20" s="1937">
        <v>3500</v>
      </c>
      <c r="J20" s="1470" t="s">
        <v>110</v>
      </c>
      <c r="K20" s="1460" t="s">
        <v>893</v>
      </c>
      <c r="L20" s="1467">
        <v>2600</v>
      </c>
      <c r="M20" s="1467">
        <v>950</v>
      </c>
      <c r="N20" s="1461">
        <v>0.14103521668858671</v>
      </c>
      <c r="O20" s="1460">
        <v>30</v>
      </c>
      <c r="P20" s="1463" t="s">
        <v>846</v>
      </c>
      <c r="Q20" s="3233">
        <v>80</v>
      </c>
      <c r="R20" s="1466">
        <v>75</v>
      </c>
      <c r="S20" s="1469">
        <f t="shared" si="1"/>
        <v>155</v>
      </c>
      <c r="T20" s="2991">
        <v>280000</v>
      </c>
      <c r="U20" s="1469">
        <f t="shared" si="2"/>
        <v>262500</v>
      </c>
      <c r="V20" s="1469">
        <f t="shared" si="3"/>
        <v>542500</v>
      </c>
      <c r="W20" s="2993">
        <v>76000</v>
      </c>
      <c r="X20" s="1459">
        <f t="shared" si="4"/>
        <v>71250</v>
      </c>
      <c r="Y20" s="1459">
        <f t="shared" si="5"/>
        <v>147250</v>
      </c>
      <c r="Z20" s="1482"/>
    </row>
    <row r="21" spans="2:26">
      <c r="B21" s="1433" t="s">
        <v>296</v>
      </c>
      <c r="C21" s="1451" t="s">
        <v>44</v>
      </c>
      <c r="D21" s="2771">
        <f>SUM(D22:D25)</f>
        <v>16008</v>
      </c>
      <c r="E21" s="1464">
        <f>SUM(E22:E25)</f>
        <v>16408.199999999997</v>
      </c>
      <c r="F21" s="1638">
        <f>D21+E21</f>
        <v>32416.199999999997</v>
      </c>
      <c r="H21" s="1930" t="s">
        <v>1103</v>
      </c>
      <c r="I21" s="1937">
        <v>3500</v>
      </c>
      <c r="J21" s="1470" t="s">
        <v>110</v>
      </c>
      <c r="K21" s="1460" t="s">
        <v>893</v>
      </c>
      <c r="L21" s="1467">
        <v>3500</v>
      </c>
      <c r="M21" s="1467">
        <v>950</v>
      </c>
      <c r="N21" s="1461">
        <v>0.16378283228352003</v>
      </c>
      <c r="O21" s="1460">
        <v>30</v>
      </c>
      <c r="P21" s="1463" t="s">
        <v>846</v>
      </c>
      <c r="Q21" s="3233">
        <v>80</v>
      </c>
      <c r="R21" s="1466">
        <v>100</v>
      </c>
      <c r="S21" s="1469">
        <f t="shared" si="1"/>
        <v>180</v>
      </c>
      <c r="T21" s="2991">
        <v>280000</v>
      </c>
      <c r="U21" s="1469">
        <f t="shared" si="2"/>
        <v>350000</v>
      </c>
      <c r="V21" s="1469">
        <f t="shared" si="3"/>
        <v>630000</v>
      </c>
      <c r="W21" s="2993">
        <v>76000</v>
      </c>
      <c r="X21" s="1459">
        <f t="shared" si="4"/>
        <v>95000</v>
      </c>
      <c r="Y21" s="1459">
        <f t="shared" si="5"/>
        <v>171000</v>
      </c>
      <c r="Z21" s="1482"/>
    </row>
    <row r="22" spans="2:26">
      <c r="B22" s="1982">
        <f>(SUM(D22:E22)/2)/((80000+(80000*1.025))/2)</f>
        <v>0.20009999999999997</v>
      </c>
      <c r="C22" s="1423" t="s">
        <v>1195</v>
      </c>
      <c r="D22" s="2772">
        <v>16008</v>
      </c>
      <c r="E22" s="1448">
        <v>16408.199999999997</v>
      </c>
      <c r="F22" s="1426">
        <f t="shared" ref="F22:F25" si="7">SUM(D22:E22)</f>
        <v>32416.199999999997</v>
      </c>
      <c r="H22" s="1460" t="s">
        <v>1104</v>
      </c>
      <c r="I22" s="1466">
        <v>725</v>
      </c>
      <c r="J22" s="1470" t="s">
        <v>110</v>
      </c>
      <c r="K22" s="1460" t="s">
        <v>845</v>
      </c>
      <c r="L22" s="1467">
        <v>500</v>
      </c>
      <c r="M22" s="1467">
        <v>500</v>
      </c>
      <c r="N22" s="1461">
        <v>9.1789878584926723E-2</v>
      </c>
      <c r="O22" s="1460">
        <v>30</v>
      </c>
      <c r="P22" s="1463" t="s">
        <v>878</v>
      </c>
      <c r="Q22" s="3233">
        <v>300</v>
      </c>
      <c r="R22" s="1466">
        <v>187</v>
      </c>
      <c r="S22" s="1469">
        <f>SUM(Q22:R22)</f>
        <v>487</v>
      </c>
      <c r="T22" s="2991">
        <v>217500</v>
      </c>
      <c r="U22" s="1469">
        <f>R22*I22</f>
        <v>135575</v>
      </c>
      <c r="V22" s="1469">
        <f>SUM(T22:U22)</f>
        <v>353075</v>
      </c>
      <c r="W22" s="2993">
        <v>150000</v>
      </c>
      <c r="X22" s="1459">
        <f>R22*M22</f>
        <v>93500</v>
      </c>
      <c r="Y22" s="1459">
        <f>SUM(W22:X22)</f>
        <v>243500</v>
      </c>
      <c r="Z22" s="1482"/>
    </row>
    <row r="23" spans="2:26">
      <c r="B23" s="1982"/>
      <c r="C23" s="1423"/>
      <c r="D23" s="2772"/>
      <c r="E23" s="1669"/>
      <c r="F23" s="1426">
        <f t="shared" si="7"/>
        <v>0</v>
      </c>
      <c r="H23" s="1460" t="s">
        <v>1105</v>
      </c>
      <c r="I23" s="1466">
        <v>314</v>
      </c>
      <c r="J23" s="1470" t="s">
        <v>110</v>
      </c>
      <c r="K23" s="1460" t="s">
        <v>845</v>
      </c>
      <c r="L23" s="1467">
        <v>450</v>
      </c>
      <c r="M23" s="1467">
        <v>200</v>
      </c>
      <c r="N23" s="1461">
        <v>7.044793564738544E-2</v>
      </c>
      <c r="O23" s="1460">
        <v>30</v>
      </c>
      <c r="P23" s="1463" t="s">
        <v>878</v>
      </c>
      <c r="Q23" s="3233">
        <v>300</v>
      </c>
      <c r="R23" s="1466">
        <v>563</v>
      </c>
      <c r="S23" s="1469">
        <f>SUM(Q23:R23)</f>
        <v>863</v>
      </c>
      <c r="T23" s="2991">
        <v>94200</v>
      </c>
      <c r="U23" s="1469">
        <f>R23*I23</f>
        <v>176782</v>
      </c>
      <c r="V23" s="1469">
        <f>SUM(T23:U23)</f>
        <v>270982</v>
      </c>
      <c r="W23" s="2993">
        <v>60000</v>
      </c>
      <c r="X23" s="1459">
        <f>R23*M23</f>
        <v>112600</v>
      </c>
      <c r="Y23" s="1459">
        <f>SUM(W23:X23)</f>
        <v>172600</v>
      </c>
      <c r="Z23" s="1482"/>
    </row>
    <row r="24" spans="2:26">
      <c r="B24" s="1982"/>
      <c r="C24" s="1423"/>
      <c r="D24" s="2774"/>
      <c r="E24" s="1443"/>
      <c r="F24" s="1426">
        <f t="shared" si="7"/>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7"/>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0.20009999999999997</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43926.052050000006</v>
      </c>
      <c r="E27" s="1657">
        <f>SUM(E29:E31)+SUM(E33:E35)</f>
        <v>54495.668799999999</v>
      </c>
      <c r="F27" s="1638">
        <f>D27+E27</f>
        <v>98421.720850000012</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v>33248.716050000003</v>
      </c>
      <c r="E29" s="1504">
        <f>E15*E28</f>
        <v>30462.851199999997</v>
      </c>
      <c r="F29" s="1426">
        <f t="shared" ref="F29:F35" si="8">SUM(D29:E29)</f>
        <v>63711.56725</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v>10677.336000000001</v>
      </c>
      <c r="E30" s="1504">
        <f>E21*E28</f>
        <v>11288.841599999998</v>
      </c>
      <c r="F30" s="1426">
        <f t="shared" si="8"/>
        <v>21966.177599999999</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8"/>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9298.2540000000008</v>
      </c>
      <c r="F33" s="1661">
        <f>SUM(D33:E33)</f>
        <v>9298.2540000000008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63</v>
      </c>
      <c r="C34" s="1667" t="s">
        <v>720</v>
      </c>
      <c r="D34" s="2785"/>
      <c r="E34" s="1641">
        <f>E21*E32</f>
        <v>3445.7219999999993</v>
      </c>
      <c r="F34" s="1661">
        <f t="shared" ref="F34" si="9">SUM(D34:E34)</f>
        <v>3445.7219999999993</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283</v>
      </c>
      <c r="C35" s="1445"/>
      <c r="D35" s="2775"/>
      <c r="E35" s="1444"/>
      <c r="F35" s="1426">
        <f t="shared" si="8"/>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18230612</v>
      </c>
      <c r="C37" s="1597" t="s">
        <v>46</v>
      </c>
      <c r="D37" s="2771">
        <f>SUM(D38:D41)</f>
        <v>85000</v>
      </c>
      <c r="E37" s="1464">
        <f>SUM(E38:E41)</f>
        <v>85000</v>
      </c>
      <c r="F37" s="1638">
        <f>D37+E37</f>
        <v>170000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4</v>
      </c>
      <c r="C38" s="1667" t="s">
        <v>1000</v>
      </c>
      <c r="D38" s="2778">
        <v>85000</v>
      </c>
      <c r="E38" s="1520">
        <v>85000</v>
      </c>
      <c r="F38" s="1426">
        <f t="shared" ref="F38:F41" si="10">SUM(D38:E38)</f>
        <v>170000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10"/>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2000</v>
      </c>
      <c r="E43" s="1464">
        <f>SUM(E44:E47)</f>
        <v>2000</v>
      </c>
      <c r="F43" s="1638">
        <f>D43+E43</f>
        <v>4000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1096</v>
      </c>
      <c r="D44" s="2778">
        <v>2000</v>
      </c>
      <c r="E44" s="1520">
        <v>2000</v>
      </c>
      <c r="F44" s="1426">
        <f t="shared" ref="F44:F47" si="11">SUM(D44:E44)</f>
        <v>4000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11"/>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2000</v>
      </c>
      <c r="E49" s="1464">
        <f>SUM(E50:E53)</f>
        <v>2000</v>
      </c>
      <c r="F49" s="1638">
        <f>D49+E49</f>
        <v>4000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1097</v>
      </c>
      <c r="D50" s="2778">
        <v>2000</v>
      </c>
      <c r="E50" s="1520">
        <v>2000</v>
      </c>
      <c r="F50" s="1426">
        <f t="shared" ref="F50:F53" si="12">SUM(D50:E50)</f>
        <v>4000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12"/>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1000</v>
      </c>
      <c r="E56" s="1504">
        <v>1000</v>
      </c>
      <c r="F56" s="1426">
        <f t="shared" ref="F56:F59" si="13">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3000</v>
      </c>
      <c r="E61" s="1464">
        <f>SUM(E62:E65)</f>
        <v>3000</v>
      </c>
      <c r="F61" s="1638">
        <f>D61+E61</f>
        <v>6000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3000</v>
      </c>
      <c r="E62" s="1520">
        <v>3000</v>
      </c>
      <c r="F62" s="1426">
        <f t="shared" ref="F62:F65" si="14">SUM(D62:E62)</f>
        <v>6000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63</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283</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18230612</v>
      </c>
      <c r="C67" s="1451" t="s">
        <v>50</v>
      </c>
      <c r="D67" s="2771">
        <f>W15</f>
        <v>630500</v>
      </c>
      <c r="E67" s="1464">
        <f>X15</f>
        <v>628850</v>
      </c>
      <c r="F67" s="1462">
        <f>D67+E67</f>
        <v>1259350</v>
      </c>
    </row>
    <row r="68" spans="1:26">
      <c r="A68" s="1357" t="s">
        <v>4</v>
      </c>
      <c r="C68" s="1500" t="s">
        <v>297</v>
      </c>
      <c r="D68" s="2938">
        <f>D67/D12</f>
        <v>0.75664642596334697</v>
      </c>
      <c r="E68" s="1986">
        <f>E67/E12</f>
        <v>0.75128615075700034</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8" activePane="bottomRight" state="frozen"/>
      <selection pane="bottomRight" activeCell="L16" sqref="L16:R23"/>
      <pageMargins left="0.17" right="0.21" top="0.37" bottom="0.33" header="0.3" footer="0.3"/>
      <pageSetup paperSize="17" scale="48" orientation="landscape" r:id="rId1"/>
    </customSheetView>
    <customSheetView guid="{074EB09C-6289-46D7-9513-012B68BCA7BF}" showGridLines="0">
      <pane xSplit="1" ySplit="1" topLeftCell="B5" activePane="bottomRight" state="frozen"/>
      <selection pane="bottomRight" activeCell="U24" sqref="U24"/>
      <pageMargins left="0.17" right="0.21" top="0.37" bottom="0.33" header="0.3" footer="0.3"/>
      <pageSetup paperSize="17" scale="48" orientation="landscape" r:id="rId2"/>
    </customSheetView>
  </customSheetViews>
  <mergeCells count="8">
    <mergeCell ref="S2:T2"/>
    <mergeCell ref="U2:W2"/>
    <mergeCell ref="X2:X3"/>
    <mergeCell ref="H10:P10"/>
    <mergeCell ref="H12:P12"/>
    <mergeCell ref="Q12:S12"/>
    <mergeCell ref="T12:V12"/>
    <mergeCell ref="W12:Y12"/>
  </mergeCells>
  <pageMargins left="0.17" right="0.21" top="0.37" bottom="0.33" header="0.3" footer="0.3"/>
  <pageSetup paperSize="3" scale="45" orientation="landscape" r:id="rId3"/>
  <drawing r:id="rId4"/>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8DB4E3"/>
  </sheetPr>
  <dimension ref="A1:AA87"/>
  <sheetViews>
    <sheetView showGridLines="0" workbookViewId="0">
      <pane xSplit="1" ySplit="1" topLeftCell="L2" activePane="bottomRight" state="frozen"/>
      <selection pane="topRight" activeCell="B1" sqref="B1"/>
      <selection pane="bottomLeft" activeCell="A2" sqref="A2"/>
      <selection pane="bottomRight" activeCell="I82" sqref="I82"/>
    </sheetView>
  </sheetViews>
  <sheetFormatPr defaultRowHeight="12.75"/>
  <cols>
    <col min="1" max="1" width="17.140625" style="849" customWidth="1"/>
    <col min="2" max="2" width="15.28515625" style="1413" customWidth="1"/>
    <col min="3" max="3" width="29.28515625" customWidth="1"/>
    <col min="4" max="4" width="18.140625" customWidth="1"/>
    <col min="5" max="5" width="19.42578125" style="9" customWidth="1"/>
    <col min="6" max="6" width="19.140625" customWidth="1"/>
    <col min="7" max="7" width="18.28515625" customWidth="1"/>
    <col min="8" max="8" width="46.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7.140625" customWidth="1"/>
    <col min="19" max="19" width="18.42578125" customWidth="1"/>
    <col min="20" max="21" width="20.5703125" bestFit="1" customWidth="1"/>
    <col min="22" max="22" width="23.5703125" bestFit="1" customWidth="1"/>
    <col min="23" max="24" width="15.28515625" customWidth="1"/>
    <col min="25" max="25" width="19.140625" customWidth="1"/>
    <col min="26" max="26" width="13.5703125" style="1907" bestFit="1" customWidth="1"/>
    <col min="249" max="249" width="24" bestFit="1" customWidth="1"/>
    <col min="250" max="250" width="45.7109375" bestFit="1" customWidth="1"/>
    <col min="251" max="251" width="19.7109375" bestFit="1" customWidth="1"/>
    <col min="252" max="252" width="16" customWidth="1"/>
    <col min="253" max="253" width="19.855468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6.5703125" customWidth="1"/>
    <col min="264" max="264" width="17.140625" customWidth="1"/>
    <col min="265" max="265" width="18.42578125" customWidth="1"/>
    <col min="266" max="267" width="20.5703125" bestFit="1" customWidth="1"/>
    <col min="268" max="268" width="23.5703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7109375" bestFit="1" customWidth="1"/>
    <col min="508" max="508" width="16" customWidth="1"/>
    <col min="509" max="509" width="19.855468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6.5703125" customWidth="1"/>
    <col min="520" max="520" width="17.140625" customWidth="1"/>
    <col min="521" max="521" width="18.42578125" customWidth="1"/>
    <col min="522" max="523" width="20.5703125" bestFit="1" customWidth="1"/>
    <col min="524" max="524" width="23.5703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7109375" bestFit="1" customWidth="1"/>
    <col min="764" max="764" width="16" customWidth="1"/>
    <col min="765" max="765" width="19.855468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6.5703125" customWidth="1"/>
    <col min="776" max="776" width="17.140625" customWidth="1"/>
    <col min="777" max="777" width="18.42578125" customWidth="1"/>
    <col min="778" max="779" width="20.5703125" bestFit="1" customWidth="1"/>
    <col min="780" max="780" width="23.5703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7109375" bestFit="1" customWidth="1"/>
    <col min="1020" max="1020" width="16" customWidth="1"/>
    <col min="1021" max="1021" width="19.855468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6.5703125" customWidth="1"/>
    <col min="1032" max="1032" width="17.140625" customWidth="1"/>
    <col min="1033" max="1033" width="18.42578125" customWidth="1"/>
    <col min="1034" max="1035" width="20.5703125" bestFit="1" customWidth="1"/>
    <col min="1036" max="1036" width="23.5703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7109375" bestFit="1" customWidth="1"/>
    <col min="1276" max="1276" width="16" customWidth="1"/>
    <col min="1277" max="1277" width="19.855468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6.5703125" customWidth="1"/>
    <col min="1288" max="1288" width="17.140625" customWidth="1"/>
    <col min="1289" max="1289" width="18.42578125" customWidth="1"/>
    <col min="1290" max="1291" width="20.5703125" bestFit="1" customWidth="1"/>
    <col min="1292" max="1292" width="23.5703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7109375" bestFit="1" customWidth="1"/>
    <col min="1532" max="1532" width="16" customWidth="1"/>
    <col min="1533" max="1533" width="19.855468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6.5703125" customWidth="1"/>
    <col min="1544" max="1544" width="17.140625" customWidth="1"/>
    <col min="1545" max="1545" width="18.42578125" customWidth="1"/>
    <col min="1546" max="1547" width="20.5703125" bestFit="1" customWidth="1"/>
    <col min="1548" max="1548" width="23.5703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7109375" bestFit="1" customWidth="1"/>
    <col min="1788" max="1788" width="16" customWidth="1"/>
    <col min="1789" max="1789" width="19.855468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6.5703125" customWidth="1"/>
    <col min="1800" max="1800" width="17.140625" customWidth="1"/>
    <col min="1801" max="1801" width="18.42578125" customWidth="1"/>
    <col min="1802" max="1803" width="20.5703125" bestFit="1" customWidth="1"/>
    <col min="1804" max="1804" width="23.5703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7109375" bestFit="1" customWidth="1"/>
    <col min="2044" max="2044" width="16" customWidth="1"/>
    <col min="2045" max="2045" width="19.855468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6.5703125" customWidth="1"/>
    <col min="2056" max="2056" width="17.140625" customWidth="1"/>
    <col min="2057" max="2057" width="18.42578125" customWidth="1"/>
    <col min="2058" max="2059" width="20.5703125" bestFit="1" customWidth="1"/>
    <col min="2060" max="2060" width="23.5703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7109375" bestFit="1" customWidth="1"/>
    <col min="2300" max="2300" width="16" customWidth="1"/>
    <col min="2301" max="2301" width="19.855468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6.5703125" customWidth="1"/>
    <col min="2312" max="2312" width="17.140625" customWidth="1"/>
    <col min="2313" max="2313" width="18.42578125" customWidth="1"/>
    <col min="2314" max="2315" width="20.5703125" bestFit="1" customWidth="1"/>
    <col min="2316" max="2316" width="23.5703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7109375" bestFit="1" customWidth="1"/>
    <col min="2556" max="2556" width="16" customWidth="1"/>
    <col min="2557" max="2557" width="19.855468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6.5703125" customWidth="1"/>
    <col min="2568" max="2568" width="17.140625" customWidth="1"/>
    <col min="2569" max="2569" width="18.42578125" customWidth="1"/>
    <col min="2570" max="2571" width="20.5703125" bestFit="1" customWidth="1"/>
    <col min="2572" max="2572" width="23.5703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7109375" bestFit="1" customWidth="1"/>
    <col min="2812" max="2812" width="16" customWidth="1"/>
    <col min="2813" max="2813" width="19.855468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6.5703125" customWidth="1"/>
    <col min="2824" max="2824" width="17.140625" customWidth="1"/>
    <col min="2825" max="2825" width="18.42578125" customWidth="1"/>
    <col min="2826" max="2827" width="20.5703125" bestFit="1" customWidth="1"/>
    <col min="2828" max="2828" width="23.5703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7109375" bestFit="1" customWidth="1"/>
    <col min="3068" max="3068" width="16" customWidth="1"/>
    <col min="3069" max="3069" width="19.855468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6.5703125" customWidth="1"/>
    <col min="3080" max="3080" width="17.140625" customWidth="1"/>
    <col min="3081" max="3081" width="18.42578125" customWidth="1"/>
    <col min="3082" max="3083" width="20.5703125" bestFit="1" customWidth="1"/>
    <col min="3084" max="3084" width="23.5703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7109375" bestFit="1" customWidth="1"/>
    <col min="3324" max="3324" width="16" customWidth="1"/>
    <col min="3325" max="3325" width="19.855468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6.5703125" customWidth="1"/>
    <col min="3336" max="3336" width="17.140625" customWidth="1"/>
    <col min="3337" max="3337" width="18.42578125" customWidth="1"/>
    <col min="3338" max="3339" width="20.5703125" bestFit="1" customWidth="1"/>
    <col min="3340" max="3340" width="23.5703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7109375" bestFit="1" customWidth="1"/>
    <col min="3580" max="3580" width="16" customWidth="1"/>
    <col min="3581" max="3581" width="19.855468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6.5703125" customWidth="1"/>
    <col min="3592" max="3592" width="17.140625" customWidth="1"/>
    <col min="3593" max="3593" width="18.42578125" customWidth="1"/>
    <col min="3594" max="3595" width="20.5703125" bestFit="1" customWidth="1"/>
    <col min="3596" max="3596" width="23.5703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7109375" bestFit="1" customWidth="1"/>
    <col min="3836" max="3836" width="16" customWidth="1"/>
    <col min="3837" max="3837" width="19.855468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6.5703125" customWidth="1"/>
    <col min="3848" max="3848" width="17.140625" customWidth="1"/>
    <col min="3849" max="3849" width="18.42578125" customWidth="1"/>
    <col min="3850" max="3851" width="20.5703125" bestFit="1" customWidth="1"/>
    <col min="3852" max="3852" width="23.5703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7109375" bestFit="1" customWidth="1"/>
    <col min="4092" max="4092" width="16" customWidth="1"/>
    <col min="4093" max="4093" width="19.855468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6.5703125" customWidth="1"/>
    <col min="4104" max="4104" width="17.140625" customWidth="1"/>
    <col min="4105" max="4105" width="18.42578125" customWidth="1"/>
    <col min="4106" max="4107" width="20.5703125" bestFit="1" customWidth="1"/>
    <col min="4108" max="4108" width="23.5703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7109375" bestFit="1" customWidth="1"/>
    <col min="4348" max="4348" width="16" customWidth="1"/>
    <col min="4349" max="4349" width="19.855468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6.5703125" customWidth="1"/>
    <col min="4360" max="4360" width="17.140625" customWidth="1"/>
    <col min="4361" max="4361" width="18.42578125" customWidth="1"/>
    <col min="4362" max="4363" width="20.5703125" bestFit="1" customWidth="1"/>
    <col min="4364" max="4364" width="23.5703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7109375" bestFit="1" customWidth="1"/>
    <col min="4604" max="4604" width="16" customWidth="1"/>
    <col min="4605" max="4605" width="19.855468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6.5703125" customWidth="1"/>
    <col min="4616" max="4616" width="17.140625" customWidth="1"/>
    <col min="4617" max="4617" width="18.42578125" customWidth="1"/>
    <col min="4618" max="4619" width="20.5703125" bestFit="1" customWidth="1"/>
    <col min="4620" max="4620" width="23.5703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7109375" bestFit="1" customWidth="1"/>
    <col min="4860" max="4860" width="16" customWidth="1"/>
    <col min="4861" max="4861" width="19.855468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6.5703125" customWidth="1"/>
    <col min="4872" max="4872" width="17.140625" customWidth="1"/>
    <col min="4873" max="4873" width="18.42578125" customWidth="1"/>
    <col min="4874" max="4875" width="20.5703125" bestFit="1" customWidth="1"/>
    <col min="4876" max="4876" width="23.5703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7109375" bestFit="1" customWidth="1"/>
    <col min="5116" max="5116" width="16" customWidth="1"/>
    <col min="5117" max="5117" width="19.855468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6.5703125" customWidth="1"/>
    <col min="5128" max="5128" width="17.140625" customWidth="1"/>
    <col min="5129" max="5129" width="18.42578125" customWidth="1"/>
    <col min="5130" max="5131" width="20.5703125" bestFit="1" customWidth="1"/>
    <col min="5132" max="5132" width="23.5703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7109375" bestFit="1" customWidth="1"/>
    <col min="5372" max="5372" width="16" customWidth="1"/>
    <col min="5373" max="5373" width="19.855468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6.5703125" customWidth="1"/>
    <col min="5384" max="5384" width="17.140625" customWidth="1"/>
    <col min="5385" max="5385" width="18.42578125" customWidth="1"/>
    <col min="5386" max="5387" width="20.5703125" bestFit="1" customWidth="1"/>
    <col min="5388" max="5388" width="23.5703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7109375" bestFit="1" customWidth="1"/>
    <col min="5628" max="5628" width="16" customWidth="1"/>
    <col min="5629" max="5629" width="19.855468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6.5703125" customWidth="1"/>
    <col min="5640" max="5640" width="17.140625" customWidth="1"/>
    <col min="5641" max="5641" width="18.42578125" customWidth="1"/>
    <col min="5642" max="5643" width="20.5703125" bestFit="1" customWidth="1"/>
    <col min="5644" max="5644" width="23.5703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7109375" bestFit="1" customWidth="1"/>
    <col min="5884" max="5884" width="16" customWidth="1"/>
    <col min="5885" max="5885" width="19.855468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6.5703125" customWidth="1"/>
    <col min="5896" max="5896" width="17.140625" customWidth="1"/>
    <col min="5897" max="5897" width="18.42578125" customWidth="1"/>
    <col min="5898" max="5899" width="20.5703125" bestFit="1" customWidth="1"/>
    <col min="5900" max="5900" width="23.5703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7109375" bestFit="1" customWidth="1"/>
    <col min="6140" max="6140" width="16" customWidth="1"/>
    <col min="6141" max="6141" width="19.855468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6.5703125" customWidth="1"/>
    <col min="6152" max="6152" width="17.140625" customWidth="1"/>
    <col min="6153" max="6153" width="18.42578125" customWidth="1"/>
    <col min="6154" max="6155" width="20.5703125" bestFit="1" customWidth="1"/>
    <col min="6156" max="6156" width="23.5703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7109375" bestFit="1" customWidth="1"/>
    <col min="6396" max="6396" width="16" customWidth="1"/>
    <col min="6397" max="6397" width="19.855468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6.5703125" customWidth="1"/>
    <col min="6408" max="6408" width="17.140625" customWidth="1"/>
    <col min="6409" max="6409" width="18.42578125" customWidth="1"/>
    <col min="6410" max="6411" width="20.5703125" bestFit="1" customWidth="1"/>
    <col min="6412" max="6412" width="23.5703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7109375" bestFit="1" customWidth="1"/>
    <col min="6652" max="6652" width="16" customWidth="1"/>
    <col min="6653" max="6653" width="19.855468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6.5703125" customWidth="1"/>
    <col min="6664" max="6664" width="17.140625" customWidth="1"/>
    <col min="6665" max="6665" width="18.42578125" customWidth="1"/>
    <col min="6666" max="6667" width="20.5703125" bestFit="1" customWidth="1"/>
    <col min="6668" max="6668" width="23.5703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7109375" bestFit="1" customWidth="1"/>
    <col min="6908" max="6908" width="16" customWidth="1"/>
    <col min="6909" max="6909" width="19.855468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6.5703125" customWidth="1"/>
    <col min="6920" max="6920" width="17.140625" customWidth="1"/>
    <col min="6921" max="6921" width="18.42578125" customWidth="1"/>
    <col min="6922" max="6923" width="20.5703125" bestFit="1" customWidth="1"/>
    <col min="6924" max="6924" width="23.5703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7109375" bestFit="1" customWidth="1"/>
    <col min="7164" max="7164" width="16" customWidth="1"/>
    <col min="7165" max="7165" width="19.855468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6.5703125" customWidth="1"/>
    <col min="7176" max="7176" width="17.140625" customWidth="1"/>
    <col min="7177" max="7177" width="18.42578125" customWidth="1"/>
    <col min="7178" max="7179" width="20.5703125" bestFit="1" customWidth="1"/>
    <col min="7180" max="7180" width="23.5703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7109375" bestFit="1" customWidth="1"/>
    <col min="7420" max="7420" width="16" customWidth="1"/>
    <col min="7421" max="7421" width="19.855468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6.5703125" customWidth="1"/>
    <col min="7432" max="7432" width="17.140625" customWidth="1"/>
    <col min="7433" max="7433" width="18.42578125" customWidth="1"/>
    <col min="7434" max="7435" width="20.5703125" bestFit="1" customWidth="1"/>
    <col min="7436" max="7436" width="23.5703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7109375" bestFit="1" customWidth="1"/>
    <col min="7676" max="7676" width="16" customWidth="1"/>
    <col min="7677" max="7677" width="19.855468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6.5703125" customWidth="1"/>
    <col min="7688" max="7688" width="17.140625" customWidth="1"/>
    <col min="7689" max="7689" width="18.42578125" customWidth="1"/>
    <col min="7690" max="7691" width="20.5703125" bestFit="1" customWidth="1"/>
    <col min="7692" max="7692" width="23.5703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7109375" bestFit="1" customWidth="1"/>
    <col min="7932" max="7932" width="16" customWidth="1"/>
    <col min="7933" max="7933" width="19.855468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6.5703125" customWidth="1"/>
    <col min="7944" max="7944" width="17.140625" customWidth="1"/>
    <col min="7945" max="7945" width="18.42578125" customWidth="1"/>
    <col min="7946" max="7947" width="20.5703125" bestFit="1" customWidth="1"/>
    <col min="7948" max="7948" width="23.5703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7109375" bestFit="1" customWidth="1"/>
    <col min="8188" max="8188" width="16" customWidth="1"/>
    <col min="8189" max="8189" width="19.855468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6.5703125" customWidth="1"/>
    <col min="8200" max="8200" width="17.140625" customWidth="1"/>
    <col min="8201" max="8201" width="18.42578125" customWidth="1"/>
    <col min="8202" max="8203" width="20.5703125" bestFit="1" customWidth="1"/>
    <col min="8204" max="8204" width="23.5703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7109375" bestFit="1" customWidth="1"/>
    <col min="8444" max="8444" width="16" customWidth="1"/>
    <col min="8445" max="8445" width="19.855468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6.5703125" customWidth="1"/>
    <col min="8456" max="8456" width="17.140625" customWidth="1"/>
    <col min="8457" max="8457" width="18.42578125" customWidth="1"/>
    <col min="8458" max="8459" width="20.5703125" bestFit="1" customWidth="1"/>
    <col min="8460" max="8460" width="23.5703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7109375" bestFit="1" customWidth="1"/>
    <col min="8700" max="8700" width="16" customWidth="1"/>
    <col min="8701" max="8701" width="19.855468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6.5703125" customWidth="1"/>
    <col min="8712" max="8712" width="17.140625" customWidth="1"/>
    <col min="8713" max="8713" width="18.42578125" customWidth="1"/>
    <col min="8714" max="8715" width="20.5703125" bestFit="1" customWidth="1"/>
    <col min="8716" max="8716" width="23.5703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7109375" bestFit="1" customWidth="1"/>
    <col min="8956" max="8956" width="16" customWidth="1"/>
    <col min="8957" max="8957" width="19.855468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6.5703125" customWidth="1"/>
    <col min="8968" max="8968" width="17.140625" customWidth="1"/>
    <col min="8969" max="8969" width="18.42578125" customWidth="1"/>
    <col min="8970" max="8971" width="20.5703125" bestFit="1" customWidth="1"/>
    <col min="8972" max="8972" width="23.5703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7109375" bestFit="1" customWidth="1"/>
    <col min="9212" max="9212" width="16" customWidth="1"/>
    <col min="9213" max="9213" width="19.855468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6.5703125" customWidth="1"/>
    <col min="9224" max="9224" width="17.140625" customWidth="1"/>
    <col min="9225" max="9225" width="18.42578125" customWidth="1"/>
    <col min="9226" max="9227" width="20.5703125" bestFit="1" customWidth="1"/>
    <col min="9228" max="9228" width="23.5703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7109375" bestFit="1" customWidth="1"/>
    <col min="9468" max="9468" width="16" customWidth="1"/>
    <col min="9469" max="9469" width="19.855468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6.5703125" customWidth="1"/>
    <col min="9480" max="9480" width="17.140625" customWidth="1"/>
    <col min="9481" max="9481" width="18.42578125" customWidth="1"/>
    <col min="9482" max="9483" width="20.5703125" bestFit="1" customWidth="1"/>
    <col min="9484" max="9484" width="23.5703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7109375" bestFit="1" customWidth="1"/>
    <col min="9724" max="9724" width="16" customWidth="1"/>
    <col min="9725" max="9725" width="19.855468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6.5703125" customWidth="1"/>
    <col min="9736" max="9736" width="17.140625" customWidth="1"/>
    <col min="9737" max="9737" width="18.42578125" customWidth="1"/>
    <col min="9738" max="9739" width="20.5703125" bestFit="1" customWidth="1"/>
    <col min="9740" max="9740" width="23.5703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7109375" bestFit="1" customWidth="1"/>
    <col min="9980" max="9980" width="16" customWidth="1"/>
    <col min="9981" max="9981" width="19.855468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6.5703125" customWidth="1"/>
    <col min="9992" max="9992" width="17.140625" customWidth="1"/>
    <col min="9993" max="9993" width="18.42578125" customWidth="1"/>
    <col min="9994" max="9995" width="20.5703125" bestFit="1" customWidth="1"/>
    <col min="9996" max="9996" width="23.5703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7109375" bestFit="1" customWidth="1"/>
    <col min="10236" max="10236" width="16" customWidth="1"/>
    <col min="10237" max="10237" width="19.855468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6.5703125" customWidth="1"/>
    <col min="10248" max="10248" width="17.140625" customWidth="1"/>
    <col min="10249" max="10249" width="18.42578125" customWidth="1"/>
    <col min="10250" max="10251" width="20.5703125" bestFit="1" customWidth="1"/>
    <col min="10252" max="10252" width="23.5703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7109375" bestFit="1" customWidth="1"/>
    <col min="10492" max="10492" width="16" customWidth="1"/>
    <col min="10493" max="10493" width="19.855468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6.5703125" customWidth="1"/>
    <col min="10504" max="10504" width="17.140625" customWidth="1"/>
    <col min="10505" max="10505" width="18.42578125" customWidth="1"/>
    <col min="10506" max="10507" width="20.5703125" bestFit="1" customWidth="1"/>
    <col min="10508" max="10508" width="23.5703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7109375" bestFit="1" customWidth="1"/>
    <col min="10748" max="10748" width="16" customWidth="1"/>
    <col min="10749" max="10749" width="19.855468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6.5703125" customWidth="1"/>
    <col min="10760" max="10760" width="17.140625" customWidth="1"/>
    <col min="10761" max="10761" width="18.42578125" customWidth="1"/>
    <col min="10762" max="10763" width="20.5703125" bestFit="1" customWidth="1"/>
    <col min="10764" max="10764" width="23.5703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7109375" bestFit="1" customWidth="1"/>
    <col min="11004" max="11004" width="16" customWidth="1"/>
    <col min="11005" max="11005" width="19.855468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6.5703125" customWidth="1"/>
    <col min="11016" max="11016" width="17.140625" customWidth="1"/>
    <col min="11017" max="11017" width="18.42578125" customWidth="1"/>
    <col min="11018" max="11019" width="20.5703125" bestFit="1" customWidth="1"/>
    <col min="11020" max="11020" width="23.5703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7109375" bestFit="1" customWidth="1"/>
    <col min="11260" max="11260" width="16" customWidth="1"/>
    <col min="11261" max="11261" width="19.855468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6.5703125" customWidth="1"/>
    <col min="11272" max="11272" width="17.140625" customWidth="1"/>
    <col min="11273" max="11273" width="18.42578125" customWidth="1"/>
    <col min="11274" max="11275" width="20.5703125" bestFit="1" customWidth="1"/>
    <col min="11276" max="11276" width="23.5703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7109375" bestFit="1" customWidth="1"/>
    <col min="11516" max="11516" width="16" customWidth="1"/>
    <col min="11517" max="11517" width="19.855468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6.5703125" customWidth="1"/>
    <col min="11528" max="11528" width="17.140625" customWidth="1"/>
    <col min="11529" max="11529" width="18.42578125" customWidth="1"/>
    <col min="11530" max="11531" width="20.5703125" bestFit="1" customWidth="1"/>
    <col min="11532" max="11532" width="23.5703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7109375" bestFit="1" customWidth="1"/>
    <col min="11772" max="11772" width="16" customWidth="1"/>
    <col min="11773" max="11773" width="19.855468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6.5703125" customWidth="1"/>
    <col min="11784" max="11784" width="17.140625" customWidth="1"/>
    <col min="11785" max="11785" width="18.42578125" customWidth="1"/>
    <col min="11786" max="11787" width="20.5703125" bestFit="1" customWidth="1"/>
    <col min="11788" max="11788" width="23.5703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7109375" bestFit="1" customWidth="1"/>
    <col min="12028" max="12028" width="16" customWidth="1"/>
    <col min="12029" max="12029" width="19.855468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6.5703125" customWidth="1"/>
    <col min="12040" max="12040" width="17.140625" customWidth="1"/>
    <col min="12041" max="12041" width="18.42578125" customWidth="1"/>
    <col min="12042" max="12043" width="20.5703125" bestFit="1" customWidth="1"/>
    <col min="12044" max="12044" width="23.5703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7109375" bestFit="1" customWidth="1"/>
    <col min="12284" max="12284" width="16" customWidth="1"/>
    <col min="12285" max="12285" width="19.855468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6.5703125" customWidth="1"/>
    <col min="12296" max="12296" width="17.140625" customWidth="1"/>
    <col min="12297" max="12297" width="18.42578125" customWidth="1"/>
    <col min="12298" max="12299" width="20.5703125" bestFit="1" customWidth="1"/>
    <col min="12300" max="12300" width="23.5703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7109375" bestFit="1" customWidth="1"/>
    <col min="12540" max="12540" width="16" customWidth="1"/>
    <col min="12541" max="12541" width="19.855468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6.5703125" customWidth="1"/>
    <col min="12552" max="12552" width="17.140625" customWidth="1"/>
    <col min="12553" max="12553" width="18.42578125" customWidth="1"/>
    <col min="12554" max="12555" width="20.5703125" bestFit="1" customWidth="1"/>
    <col min="12556" max="12556" width="23.5703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7109375" bestFit="1" customWidth="1"/>
    <col min="12796" max="12796" width="16" customWidth="1"/>
    <col min="12797" max="12797" width="19.855468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6.5703125" customWidth="1"/>
    <col min="12808" max="12808" width="17.140625" customWidth="1"/>
    <col min="12809" max="12809" width="18.42578125" customWidth="1"/>
    <col min="12810" max="12811" width="20.5703125" bestFit="1" customWidth="1"/>
    <col min="12812" max="12812" width="23.5703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7109375" bestFit="1" customWidth="1"/>
    <col min="13052" max="13052" width="16" customWidth="1"/>
    <col min="13053" max="13053" width="19.855468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6.5703125" customWidth="1"/>
    <col min="13064" max="13064" width="17.140625" customWidth="1"/>
    <col min="13065" max="13065" width="18.42578125" customWidth="1"/>
    <col min="13066" max="13067" width="20.5703125" bestFit="1" customWidth="1"/>
    <col min="13068" max="13068" width="23.5703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7109375" bestFit="1" customWidth="1"/>
    <col min="13308" max="13308" width="16" customWidth="1"/>
    <col min="13309" max="13309" width="19.855468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6.5703125" customWidth="1"/>
    <col min="13320" max="13320" width="17.140625" customWidth="1"/>
    <col min="13321" max="13321" width="18.42578125" customWidth="1"/>
    <col min="13322" max="13323" width="20.5703125" bestFit="1" customWidth="1"/>
    <col min="13324" max="13324" width="23.5703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7109375" bestFit="1" customWidth="1"/>
    <col min="13564" max="13564" width="16" customWidth="1"/>
    <col min="13565" max="13565" width="19.855468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6.5703125" customWidth="1"/>
    <col min="13576" max="13576" width="17.140625" customWidth="1"/>
    <col min="13577" max="13577" width="18.42578125" customWidth="1"/>
    <col min="13578" max="13579" width="20.5703125" bestFit="1" customWidth="1"/>
    <col min="13580" max="13580" width="23.5703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7109375" bestFit="1" customWidth="1"/>
    <col min="13820" max="13820" width="16" customWidth="1"/>
    <col min="13821" max="13821" width="19.855468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6.5703125" customWidth="1"/>
    <col min="13832" max="13832" width="17.140625" customWidth="1"/>
    <col min="13833" max="13833" width="18.42578125" customWidth="1"/>
    <col min="13834" max="13835" width="20.5703125" bestFit="1" customWidth="1"/>
    <col min="13836" max="13836" width="23.5703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7109375" bestFit="1" customWidth="1"/>
    <col min="14076" max="14076" width="16" customWidth="1"/>
    <col min="14077" max="14077" width="19.855468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6.5703125" customWidth="1"/>
    <col min="14088" max="14088" width="17.140625" customWidth="1"/>
    <col min="14089" max="14089" width="18.42578125" customWidth="1"/>
    <col min="14090" max="14091" width="20.5703125" bestFit="1" customWidth="1"/>
    <col min="14092" max="14092" width="23.5703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7109375" bestFit="1" customWidth="1"/>
    <col min="14332" max="14332" width="16" customWidth="1"/>
    <col min="14333" max="14333" width="19.855468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6.5703125" customWidth="1"/>
    <col min="14344" max="14344" width="17.140625" customWidth="1"/>
    <col min="14345" max="14345" width="18.42578125" customWidth="1"/>
    <col min="14346" max="14347" width="20.5703125" bestFit="1" customWidth="1"/>
    <col min="14348" max="14348" width="23.5703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7109375" bestFit="1" customWidth="1"/>
    <col min="14588" max="14588" width="16" customWidth="1"/>
    <col min="14589" max="14589" width="19.855468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6.5703125" customWidth="1"/>
    <col min="14600" max="14600" width="17.140625" customWidth="1"/>
    <col min="14601" max="14601" width="18.42578125" customWidth="1"/>
    <col min="14602" max="14603" width="20.5703125" bestFit="1" customWidth="1"/>
    <col min="14604" max="14604" width="23.5703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7109375" bestFit="1" customWidth="1"/>
    <col min="14844" max="14844" width="16" customWidth="1"/>
    <col min="14845" max="14845" width="19.855468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6.5703125" customWidth="1"/>
    <col min="14856" max="14856" width="17.140625" customWidth="1"/>
    <col min="14857" max="14857" width="18.42578125" customWidth="1"/>
    <col min="14858" max="14859" width="20.5703125" bestFit="1" customWidth="1"/>
    <col min="14860" max="14860" width="23.5703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7109375" bestFit="1" customWidth="1"/>
    <col min="15100" max="15100" width="16" customWidth="1"/>
    <col min="15101" max="15101" width="19.855468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6.5703125" customWidth="1"/>
    <col min="15112" max="15112" width="17.140625" customWidth="1"/>
    <col min="15113" max="15113" width="18.42578125" customWidth="1"/>
    <col min="15114" max="15115" width="20.5703125" bestFit="1" customWidth="1"/>
    <col min="15116" max="15116" width="23.5703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7109375" bestFit="1" customWidth="1"/>
    <col min="15356" max="15356" width="16" customWidth="1"/>
    <col min="15357" max="15357" width="19.855468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6.5703125" customWidth="1"/>
    <col min="15368" max="15368" width="17.140625" customWidth="1"/>
    <col min="15369" max="15369" width="18.42578125" customWidth="1"/>
    <col min="15370" max="15371" width="20.5703125" bestFit="1" customWidth="1"/>
    <col min="15372" max="15372" width="23.5703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7109375" bestFit="1" customWidth="1"/>
    <col min="15612" max="15612" width="16" customWidth="1"/>
    <col min="15613" max="15613" width="19.855468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6.5703125" customWidth="1"/>
    <col min="15624" max="15624" width="17.140625" customWidth="1"/>
    <col min="15625" max="15625" width="18.42578125" customWidth="1"/>
    <col min="15626" max="15627" width="20.5703125" bestFit="1" customWidth="1"/>
    <col min="15628" max="15628" width="23.5703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7109375" bestFit="1" customWidth="1"/>
    <col min="15868" max="15868" width="16" customWidth="1"/>
    <col min="15869" max="15869" width="19.855468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6.5703125" customWidth="1"/>
    <col min="15880" max="15880" width="17.140625" customWidth="1"/>
    <col min="15881" max="15881" width="18.42578125" customWidth="1"/>
    <col min="15882" max="15883" width="20.5703125" bestFit="1" customWidth="1"/>
    <col min="15884" max="15884" width="23.5703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7109375" bestFit="1" customWidth="1"/>
    <col min="16124" max="16124" width="16" customWidth="1"/>
    <col min="16125" max="16125" width="19.855468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6.5703125" customWidth="1"/>
    <col min="16136" max="16136" width="17.140625" customWidth="1"/>
    <col min="16137" max="16137" width="18.42578125" customWidth="1"/>
    <col min="16138" max="16139" width="20.5703125" bestFit="1" customWidth="1"/>
    <col min="16140" max="16140" width="23.5703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2.5" customHeight="1" thickBot="1">
      <c r="C1" s="1401" t="s">
        <v>270</v>
      </c>
      <c r="D1" s="1361" t="s">
        <v>271</v>
      </c>
      <c r="E1" s="1401" t="s">
        <v>5</v>
      </c>
      <c r="F1" s="1401">
        <v>18230407</v>
      </c>
      <c r="G1" s="1401" t="s">
        <v>4</v>
      </c>
      <c r="J1" s="1361"/>
      <c r="K1" s="1361"/>
      <c r="L1" s="1361"/>
      <c r="M1" s="1401" t="s">
        <v>270</v>
      </c>
      <c r="N1" s="1361" t="s">
        <v>271</v>
      </c>
      <c r="O1" s="1401" t="s">
        <v>5</v>
      </c>
      <c r="P1" s="1401">
        <v>18230407</v>
      </c>
      <c r="Q1" s="1401" t="s">
        <v>4</v>
      </c>
      <c r="V1" s="1401" t="s">
        <v>270</v>
      </c>
      <c r="W1" s="1361" t="s">
        <v>271</v>
      </c>
      <c r="X1" s="1401" t="s">
        <v>5</v>
      </c>
      <c r="Y1" s="1401">
        <v>18230407</v>
      </c>
      <c r="Z1" s="1934" t="s">
        <v>4</v>
      </c>
    </row>
    <row r="2" spans="1:27" ht="16.5" thickBot="1">
      <c r="C2" s="44"/>
      <c r="D2" s="45"/>
      <c r="G2" s="1652"/>
      <c r="I2" s="1178" t="s">
        <v>627</v>
      </c>
      <c r="S2" s="3575"/>
      <c r="T2" s="3575"/>
      <c r="U2" s="3576" t="s">
        <v>33</v>
      </c>
      <c r="V2" s="3577"/>
      <c r="W2" s="3578"/>
      <c r="X2" s="3579" t="s">
        <v>34</v>
      </c>
      <c r="Z2"/>
      <c r="AA2" s="1907"/>
    </row>
    <row r="3" spans="1:27" ht="26.25" thickBot="1">
      <c r="A3" s="1400" t="s">
        <v>270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271</v>
      </c>
      <c r="B4" s="1400"/>
      <c r="C4" s="44"/>
      <c r="G4" s="1652"/>
      <c r="H4" s="2946" t="s">
        <v>1726</v>
      </c>
      <c r="I4" s="2947">
        <f>D15</f>
        <v>192344.1</v>
      </c>
      <c r="J4" s="2948">
        <f>D21</f>
        <v>40000</v>
      </c>
      <c r="K4" s="2948">
        <f>D27</f>
        <v>154973.5147</v>
      </c>
      <c r="L4" s="2948">
        <f>D37</f>
        <v>75000</v>
      </c>
      <c r="M4" s="2948">
        <f>D43</f>
        <v>4000</v>
      </c>
      <c r="N4" s="2948">
        <f>D49</f>
        <v>1150000</v>
      </c>
      <c r="O4" s="2948">
        <f>D55</f>
        <v>1000</v>
      </c>
      <c r="P4" s="2948">
        <f>D61</f>
        <v>1000</v>
      </c>
      <c r="Q4" s="2948">
        <f>D67</f>
        <v>8157682</v>
      </c>
      <c r="R4" s="2948">
        <f>D70</f>
        <v>0</v>
      </c>
      <c r="S4" s="2949">
        <f>SUM(I4:R4)</f>
        <v>9775999.6147000007</v>
      </c>
      <c r="T4" s="2950">
        <f>T15</f>
        <v>17190284</v>
      </c>
      <c r="U4" s="2954">
        <f>Q4/S4</f>
        <v>0.83446013927142915</v>
      </c>
      <c r="V4" s="2954">
        <f>(L4+(J4*1.63))/S4</f>
        <v>1.4341244427749741E-2</v>
      </c>
      <c r="W4" s="2954">
        <f>N4/S4</f>
        <v>0.11763502918624966</v>
      </c>
      <c r="X4" s="2953">
        <f>S4/T4</f>
        <v>0.56869331621862684</v>
      </c>
      <c r="Z4"/>
      <c r="AA4" s="1907"/>
    </row>
    <row r="5" spans="1:27" ht="16.5" thickBot="1">
      <c r="A5" s="1400" t="s">
        <v>5</v>
      </c>
      <c r="C5" s="45"/>
      <c r="G5" s="1652"/>
      <c r="H5" s="3205" t="s">
        <v>1753</v>
      </c>
      <c r="I5" s="2617">
        <v>197152.80000000005</v>
      </c>
      <c r="J5" s="2618">
        <v>40000</v>
      </c>
      <c r="K5" s="2618">
        <v>161263.90400000004</v>
      </c>
      <c r="L5" s="2618">
        <v>75000</v>
      </c>
      <c r="M5" s="2618">
        <v>4000</v>
      </c>
      <c r="N5" s="2618">
        <v>1150000</v>
      </c>
      <c r="O5" s="2618">
        <v>1000</v>
      </c>
      <c r="P5" s="2618">
        <v>1000</v>
      </c>
      <c r="Q5" s="2618">
        <v>8521682</v>
      </c>
      <c r="R5" s="2618">
        <v>0</v>
      </c>
      <c r="S5" s="2619">
        <v>10151098.704</v>
      </c>
      <c r="T5" s="2620">
        <v>19095964</v>
      </c>
      <c r="U5" s="1186">
        <f>Q5/S5</f>
        <v>0.83948370993989696</v>
      </c>
      <c r="V5" s="1186">
        <f>(L5+(J5*1.63))/S5</f>
        <v>1.3811312852741226E-2</v>
      </c>
      <c r="W5" s="1186">
        <f>N5/S5</f>
        <v>0.11328822953389736</v>
      </c>
      <c r="X5" s="48">
        <f>S5/T5</f>
        <v>0.53158346465253081</v>
      </c>
      <c r="Z5"/>
      <c r="AA5" s="1907"/>
    </row>
    <row r="6" spans="1:27" ht="16.5" thickBot="1">
      <c r="A6" s="1400">
        <v>18230407</v>
      </c>
      <c r="B6" s="1400"/>
      <c r="C6" s="1190"/>
      <c r="D6" s="1413"/>
      <c r="E6" s="1414"/>
      <c r="F6" s="1413"/>
      <c r="G6" s="1652"/>
      <c r="H6" s="3206" t="s">
        <v>1754</v>
      </c>
      <c r="I6" s="2621">
        <f>E15</f>
        <v>151612.5</v>
      </c>
      <c r="J6" s="2622">
        <f>E21</f>
        <v>40000</v>
      </c>
      <c r="K6" s="2623">
        <f>E27</f>
        <v>172068.02499999999</v>
      </c>
      <c r="L6" s="2622">
        <f>E37</f>
        <v>75000</v>
      </c>
      <c r="M6" s="2622">
        <f>E43</f>
        <v>4000</v>
      </c>
      <c r="N6" s="2622">
        <f>E49</f>
        <v>1150000</v>
      </c>
      <c r="O6" s="2622">
        <f>E55</f>
        <v>1000</v>
      </c>
      <c r="P6" s="2622">
        <f>E61</f>
        <v>1000</v>
      </c>
      <c r="Q6" s="2622">
        <f>E67</f>
        <v>8479517</v>
      </c>
      <c r="R6" s="2622">
        <f>E70</f>
        <v>0</v>
      </c>
      <c r="S6" s="2624">
        <f>SUM(I6:R6)</f>
        <v>10074197.525</v>
      </c>
      <c r="T6" s="2625">
        <f>U15</f>
        <v>18985266</v>
      </c>
      <c r="U6" s="2631">
        <f>Q6/S6</f>
        <v>0.84170644648939419</v>
      </c>
      <c r="V6" s="2631">
        <f>(L6+(J6*1.63))/S6</f>
        <v>1.3916741224507607E-2</v>
      </c>
      <c r="W6" s="2631">
        <f>N6/S6</f>
        <v>0.11415301289717365</v>
      </c>
      <c r="X6" s="2626">
        <f>S6/T6</f>
        <v>0.53063241384134419</v>
      </c>
      <c r="Z6"/>
      <c r="AA6" s="1907"/>
    </row>
    <row r="7" spans="1:27" ht="15.75">
      <c r="A7" s="1400"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27" ht="15.75">
      <c r="B8" s="1400"/>
      <c r="C8" s="1190"/>
      <c r="D8" s="1413"/>
      <c r="E8" s="1414"/>
      <c r="F8" s="1413"/>
    </row>
    <row r="9" spans="1:27"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923"/>
    </row>
    <row r="12" spans="1:27">
      <c r="B12" s="1652"/>
      <c r="C12" s="1434" t="s">
        <v>298</v>
      </c>
      <c r="D12" s="2766">
        <f>D15+D21+D27+D37+D43+D49+D55+D61+D67</f>
        <v>9775999.6147000007</v>
      </c>
      <c r="E12" s="1484">
        <f>E15+E21+E27+E37+E43+E49+E55+E61+E67</f>
        <v>10074197.525</v>
      </c>
      <c r="F12" s="1638">
        <f>D12+E12</f>
        <v>19850197.139700003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B13" s="1652"/>
      <c r="C13" s="1483"/>
      <c r="D13" s="2767"/>
      <c r="E13" s="1336"/>
      <c r="F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5" t="s">
        <v>1045</v>
      </c>
    </row>
    <row r="14" spans="1:27" ht="15.75">
      <c r="B14" s="1652"/>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7">
      <c r="B15" s="1433" t="s">
        <v>296</v>
      </c>
      <c r="C15" s="1597" t="s">
        <v>1749</v>
      </c>
      <c r="D15" s="2771">
        <f>SUM(D16:D19)</f>
        <v>192344.1</v>
      </c>
      <c r="E15" s="1464">
        <f>SUM(E16:E19)</f>
        <v>151612.5</v>
      </c>
      <c r="F15" s="1638">
        <f>D15+E15</f>
        <v>343956.6</v>
      </c>
      <c r="H15" s="1475" t="s">
        <v>308</v>
      </c>
      <c r="I15" s="1476"/>
      <c r="J15" s="1476"/>
      <c r="K15" s="1477"/>
      <c r="L15" s="1478">
        <f>SUMPRODUCT(L16:L87,S16:S87)</f>
        <v>24091458</v>
      </c>
      <c r="M15" s="1478">
        <f>SUM(M16:M72)</f>
        <v>63194.650000000009</v>
      </c>
      <c r="N15" s="1479"/>
      <c r="O15" s="1477">
        <v>18</v>
      </c>
      <c r="P15" s="1477"/>
      <c r="Q15" s="3225"/>
      <c r="R15" s="1477"/>
      <c r="S15" s="1477"/>
      <c r="T15" s="2983">
        <v>17190284</v>
      </c>
      <c r="U15" s="1480">
        <f>SUM(U16:U87)</f>
        <v>18985266</v>
      </c>
      <c r="V15" s="1480">
        <f>SUM(V16:V86)</f>
        <v>36175550</v>
      </c>
      <c r="W15" s="2987">
        <v>8157682</v>
      </c>
      <c r="X15" s="1478">
        <f>SUM(X16:X86)</f>
        <v>8479517</v>
      </c>
      <c r="Y15" s="1478">
        <f>SUM(Y16:Y86)</f>
        <v>16637199</v>
      </c>
      <c r="Z15" s="1911">
        <v>0</v>
      </c>
    </row>
    <row r="16" spans="1:27">
      <c r="B16" s="1982">
        <v>0.45</v>
      </c>
      <c r="C16" s="1667" t="s">
        <v>734</v>
      </c>
      <c r="D16" s="2772">
        <v>44387.1</v>
      </c>
      <c r="E16" s="1669">
        <v>34987.5</v>
      </c>
      <c r="F16" s="1426">
        <f>SUM(D16:E16)</f>
        <v>79374.600000000006</v>
      </c>
      <c r="H16" s="2428" t="s">
        <v>1111</v>
      </c>
      <c r="I16" s="2413">
        <v>216</v>
      </c>
      <c r="J16" s="1470" t="s">
        <v>110</v>
      </c>
      <c r="K16" s="1939" t="s">
        <v>845</v>
      </c>
      <c r="L16" s="2427">
        <v>55</v>
      </c>
      <c r="M16" s="2427">
        <v>55</v>
      </c>
      <c r="N16" s="1461">
        <v>9.5604211841339604E-2</v>
      </c>
      <c r="O16" s="1460">
        <v>5</v>
      </c>
      <c r="P16" s="1940" t="s">
        <v>878</v>
      </c>
      <c r="Q16" s="3245">
        <v>6000</v>
      </c>
      <c r="R16" s="1460">
        <v>10000</v>
      </c>
      <c r="S16" s="1469">
        <f>SUM(Q16:R16)</f>
        <v>16000</v>
      </c>
      <c r="T16" s="2991">
        <v>1296000</v>
      </c>
      <c r="U16" s="1469">
        <f>R16*I16</f>
        <v>2160000</v>
      </c>
      <c r="V16" s="1469">
        <f>SUM(T16:U16)</f>
        <v>3456000</v>
      </c>
      <c r="W16" s="2993">
        <v>330000</v>
      </c>
      <c r="X16" s="1459">
        <f>R16*M16</f>
        <v>550000</v>
      </c>
      <c r="Y16" s="1459">
        <f>SUM(W16:X16)</f>
        <v>880000</v>
      </c>
      <c r="Z16" s="2251">
        <v>0</v>
      </c>
    </row>
    <row r="17" spans="2:26">
      <c r="B17" s="1982">
        <v>0.8</v>
      </c>
      <c r="C17" s="1667" t="s">
        <v>735</v>
      </c>
      <c r="D17" s="2784">
        <v>78910.400000000009</v>
      </c>
      <c r="E17" s="1668">
        <v>62200</v>
      </c>
      <c r="F17" s="1426">
        <f t="shared" ref="F17:F19" si="0">SUM(D17:E17)</f>
        <v>141110.40000000002</v>
      </c>
      <c r="H17" s="2428" t="s">
        <v>1112</v>
      </c>
      <c r="I17" s="2413">
        <v>44.84</v>
      </c>
      <c r="J17" s="1470" t="s">
        <v>110</v>
      </c>
      <c r="K17" s="1939" t="s">
        <v>845</v>
      </c>
      <c r="L17" s="2427">
        <v>2.1</v>
      </c>
      <c r="M17" s="2427">
        <v>2.1</v>
      </c>
      <c r="N17" s="1461">
        <v>9.9410675831318879E-3</v>
      </c>
      <c r="O17" s="1460">
        <v>10</v>
      </c>
      <c r="P17" s="1940" t="s">
        <v>846</v>
      </c>
      <c r="Q17" s="3245">
        <v>4000</v>
      </c>
      <c r="R17" s="1460">
        <v>4000</v>
      </c>
      <c r="S17" s="1469">
        <f t="shared" ref="S17:S53" si="1">SUM(Q17:R17)</f>
        <v>8000</v>
      </c>
      <c r="T17" s="2991">
        <v>180000</v>
      </c>
      <c r="U17" s="1469">
        <f t="shared" ref="U17:U53" si="2">R17*I17</f>
        <v>179360</v>
      </c>
      <c r="V17" s="1469">
        <f t="shared" ref="V17:V53" si="3">SUM(T17:U17)</f>
        <v>359360</v>
      </c>
      <c r="W17" s="2993">
        <v>8400</v>
      </c>
      <c r="X17" s="1459">
        <f t="shared" ref="X17:X53" si="4">R17*M17</f>
        <v>8400</v>
      </c>
      <c r="Y17" s="1459">
        <f t="shared" ref="Y17:Y53" si="5">SUM(W17:X17)</f>
        <v>16800</v>
      </c>
      <c r="Z17" s="2254">
        <v>4.8499999999999996</v>
      </c>
    </row>
    <row r="18" spans="2:26" s="1652" customFormat="1">
      <c r="B18" s="1982">
        <v>0.4</v>
      </c>
      <c r="C18" s="1667" t="s">
        <v>737</v>
      </c>
      <c r="D18" s="2784">
        <v>39455.200000000004</v>
      </c>
      <c r="E18" s="1668">
        <v>31100</v>
      </c>
      <c r="F18" s="1426">
        <f t="shared" si="0"/>
        <v>70555.200000000012</v>
      </c>
      <c r="H18" s="2428" t="s">
        <v>1113</v>
      </c>
      <c r="I18" s="2413">
        <v>0.53</v>
      </c>
      <c r="J18" s="1932" t="s">
        <v>110</v>
      </c>
      <c r="K18" s="1939" t="s">
        <v>992</v>
      </c>
      <c r="L18" s="2445">
        <v>2.42</v>
      </c>
      <c r="M18" s="2445">
        <v>2.42</v>
      </c>
      <c r="N18" s="1941">
        <v>2.6245513884395531E-2</v>
      </c>
      <c r="O18" s="1931">
        <v>30</v>
      </c>
      <c r="P18" s="1940" t="s">
        <v>995</v>
      </c>
      <c r="Q18" s="3245">
        <v>750000</v>
      </c>
      <c r="R18" s="1460">
        <v>375000</v>
      </c>
      <c r="S18" s="1469">
        <f t="shared" si="1"/>
        <v>1125000</v>
      </c>
      <c r="T18" s="2991">
        <v>750000</v>
      </c>
      <c r="U18" s="1469">
        <f t="shared" si="2"/>
        <v>198750</v>
      </c>
      <c r="V18" s="1469">
        <f t="shared" si="3"/>
        <v>948750</v>
      </c>
      <c r="W18" s="2993">
        <v>1500000</v>
      </c>
      <c r="X18" s="1459">
        <f t="shared" si="4"/>
        <v>907500</v>
      </c>
      <c r="Y18" s="1459">
        <f t="shared" si="5"/>
        <v>2407500</v>
      </c>
      <c r="Z18" s="2252">
        <v>0</v>
      </c>
    </row>
    <row r="19" spans="2:26">
      <c r="B19" s="1982">
        <v>0.3</v>
      </c>
      <c r="C19" s="1667" t="s">
        <v>894</v>
      </c>
      <c r="D19" s="2791">
        <v>29591.399999999998</v>
      </c>
      <c r="E19" s="1562">
        <v>23325</v>
      </c>
      <c r="F19" s="1426">
        <f t="shared" si="0"/>
        <v>52916.399999999994</v>
      </c>
      <c r="H19" s="2428" t="s">
        <v>1114</v>
      </c>
      <c r="I19" s="2416">
        <v>1.2</v>
      </c>
      <c r="J19" s="1470" t="s">
        <v>110</v>
      </c>
      <c r="K19" s="1939" t="s">
        <v>992</v>
      </c>
      <c r="L19" s="2427">
        <v>0.73</v>
      </c>
      <c r="M19" s="2427">
        <v>0.75</v>
      </c>
      <c r="N19" s="1461">
        <v>1.2669771129436789E-2</v>
      </c>
      <c r="O19" s="1460">
        <v>30</v>
      </c>
      <c r="P19" s="1940" t="s">
        <v>995</v>
      </c>
      <c r="Q19" s="3245">
        <v>100000</v>
      </c>
      <c r="R19" s="1460">
        <v>200000</v>
      </c>
      <c r="S19" s="1469">
        <f t="shared" si="1"/>
        <v>300000</v>
      </c>
      <c r="T19" s="2991">
        <v>218000.00000000003</v>
      </c>
      <c r="U19" s="1469">
        <f t="shared" si="2"/>
        <v>240000</v>
      </c>
      <c r="V19" s="1469">
        <f t="shared" si="3"/>
        <v>458000</v>
      </c>
      <c r="W19" s="2993">
        <v>75000</v>
      </c>
      <c r="X19" s="1459">
        <f t="shared" si="4"/>
        <v>150000</v>
      </c>
      <c r="Y19" s="1459">
        <f t="shared" si="5"/>
        <v>225000</v>
      </c>
      <c r="Z19" s="2251">
        <v>0</v>
      </c>
    </row>
    <row r="20" spans="2:26">
      <c r="B20" s="1449">
        <f>SUM(B16:B19)</f>
        <v>1.95</v>
      </c>
      <c r="C20" s="1488"/>
      <c r="D20" s="2770"/>
      <c r="E20" s="1490"/>
      <c r="F20" s="1492"/>
      <c r="H20" s="2428" t="s">
        <v>1115</v>
      </c>
      <c r="I20" s="2416">
        <v>1</v>
      </c>
      <c r="J20" s="1470" t="s">
        <v>110</v>
      </c>
      <c r="K20" s="1939" t="s">
        <v>992</v>
      </c>
      <c r="L20" s="2427">
        <v>0.75</v>
      </c>
      <c r="M20" s="2427">
        <v>0.75</v>
      </c>
      <c r="N20" s="1461">
        <v>0.1214416927035535</v>
      </c>
      <c r="O20" s="1460">
        <v>30</v>
      </c>
      <c r="P20" s="1940" t="s">
        <v>995</v>
      </c>
      <c r="Q20" s="3245">
        <v>1000000</v>
      </c>
      <c r="R20" s="1460">
        <v>3000000</v>
      </c>
      <c r="S20" s="1469">
        <f t="shared" si="1"/>
        <v>4000000</v>
      </c>
      <c r="T20" s="2991">
        <v>1390000</v>
      </c>
      <c r="U20" s="1469">
        <f t="shared" si="2"/>
        <v>3000000</v>
      </c>
      <c r="V20" s="1469">
        <f t="shared" si="3"/>
        <v>4390000</v>
      </c>
      <c r="W20" s="2993">
        <v>750000</v>
      </c>
      <c r="X20" s="1459">
        <f t="shared" si="4"/>
        <v>2250000</v>
      </c>
      <c r="Y20" s="1459">
        <f t="shared" si="5"/>
        <v>3000000</v>
      </c>
      <c r="Z20" s="2251">
        <v>0</v>
      </c>
    </row>
    <row r="21" spans="2:26">
      <c r="B21" s="1433" t="s">
        <v>296</v>
      </c>
      <c r="C21" s="1597" t="s">
        <v>44</v>
      </c>
      <c r="D21" s="2771">
        <f>SUM(D22:D25)</f>
        <v>40000</v>
      </c>
      <c r="E21" s="1464">
        <f>SUM(E22:E25)</f>
        <v>40000</v>
      </c>
      <c r="F21" s="1638">
        <f>D21+E21</f>
        <v>80000</v>
      </c>
      <c r="H21" s="2428" t="s">
        <v>1116</v>
      </c>
      <c r="I21" s="2413">
        <v>180</v>
      </c>
      <c r="J21" s="1470" t="s">
        <v>110</v>
      </c>
      <c r="K21" s="1939" t="s">
        <v>845</v>
      </c>
      <c r="L21" s="2445">
        <v>124</v>
      </c>
      <c r="M21" s="2427">
        <v>50</v>
      </c>
      <c r="N21" s="1461">
        <v>1.991754413361242E-4</v>
      </c>
      <c r="O21" s="1460">
        <v>14</v>
      </c>
      <c r="P21" s="1940" t="s">
        <v>846</v>
      </c>
      <c r="Q21" s="3245">
        <v>20</v>
      </c>
      <c r="R21" s="1460">
        <v>20</v>
      </c>
      <c r="S21" s="1469">
        <f t="shared" si="1"/>
        <v>40</v>
      </c>
      <c r="T21" s="2991">
        <v>3600</v>
      </c>
      <c r="U21" s="1469">
        <f t="shared" si="2"/>
        <v>3600</v>
      </c>
      <c r="V21" s="1469">
        <f t="shared" si="3"/>
        <v>7200</v>
      </c>
      <c r="W21" s="2993">
        <v>1000</v>
      </c>
      <c r="X21" s="1459">
        <f t="shared" si="4"/>
        <v>1000</v>
      </c>
      <c r="Y21" s="1459">
        <f t="shared" si="5"/>
        <v>2000</v>
      </c>
      <c r="Z21" s="2251">
        <v>22.49</v>
      </c>
    </row>
    <row r="22" spans="2:26">
      <c r="B22" s="1982">
        <f>(SUM(D22:E22)/2)/((80000+(80000*1.025))/2)</f>
        <v>0.39506172839506171</v>
      </c>
      <c r="C22" s="1667" t="s">
        <v>895</v>
      </c>
      <c r="D22" s="2772">
        <v>32000</v>
      </c>
      <c r="E22" s="1669">
        <v>32000</v>
      </c>
      <c r="F22" s="1426">
        <f t="shared" ref="F22:F25" si="6">SUM(D22:E22)</f>
        <v>64000</v>
      </c>
      <c r="H22" s="2428" t="s">
        <v>1850</v>
      </c>
      <c r="I22" s="2413">
        <v>809</v>
      </c>
      <c r="J22" s="1470" t="s">
        <v>110</v>
      </c>
      <c r="K22" s="1939" t="s">
        <v>845</v>
      </c>
      <c r="L22" s="2427">
        <v>700</v>
      </c>
      <c r="M22" s="2427">
        <v>700</v>
      </c>
      <c r="N22" s="1461">
        <v>4.4759147789145685E-2</v>
      </c>
      <c r="O22" s="1460">
        <v>11</v>
      </c>
      <c r="P22" s="1940" t="s">
        <v>846</v>
      </c>
      <c r="Q22" s="3245">
        <v>1000</v>
      </c>
      <c r="R22" s="1460">
        <v>1000</v>
      </c>
      <c r="S22" s="1469">
        <f t="shared" si="1"/>
        <v>2000</v>
      </c>
      <c r="T22" s="2991">
        <v>809000</v>
      </c>
      <c r="U22" s="1469">
        <f t="shared" si="2"/>
        <v>809000</v>
      </c>
      <c r="V22" s="1469">
        <f t="shared" si="3"/>
        <v>1618000</v>
      </c>
      <c r="W22" s="2993">
        <v>600000</v>
      </c>
      <c r="X22" s="1459">
        <f t="shared" si="4"/>
        <v>700000</v>
      </c>
      <c r="Y22" s="1459">
        <f t="shared" si="5"/>
        <v>1300000</v>
      </c>
      <c r="Z22" s="2253">
        <v>20.309999999999999</v>
      </c>
    </row>
    <row r="23" spans="2:26">
      <c r="B23" s="1982">
        <f>(SUM(D23:E23)/2)/((80000+(80000*1.025))/2)</f>
        <v>9.8765432098765427E-2</v>
      </c>
      <c r="C23" s="1667" t="s">
        <v>1106</v>
      </c>
      <c r="D23" s="2772">
        <v>8000</v>
      </c>
      <c r="E23" s="1669">
        <v>8000</v>
      </c>
      <c r="F23" s="1426">
        <f t="shared" si="6"/>
        <v>16000</v>
      </c>
      <c r="H23" s="2428" t="s">
        <v>1117</v>
      </c>
      <c r="I23" s="2436">
        <v>38000</v>
      </c>
      <c r="J23" s="1470" t="s">
        <v>110</v>
      </c>
      <c r="K23" s="1939" t="s">
        <v>991</v>
      </c>
      <c r="L23" s="2427">
        <v>16055</v>
      </c>
      <c r="M23" s="2427">
        <v>8000</v>
      </c>
      <c r="N23" s="1461">
        <v>0.16948585211195819</v>
      </c>
      <c r="O23" s="1460">
        <v>15</v>
      </c>
      <c r="P23" s="1940" t="s">
        <v>996</v>
      </c>
      <c r="Q23" s="3245">
        <v>50</v>
      </c>
      <c r="R23" s="1460">
        <v>90</v>
      </c>
      <c r="S23" s="1469">
        <f t="shared" si="1"/>
        <v>140</v>
      </c>
      <c r="T23" s="2991">
        <v>2706750</v>
      </c>
      <c r="U23" s="1469">
        <f t="shared" si="2"/>
        <v>3420000</v>
      </c>
      <c r="V23" s="1469">
        <f t="shared" si="3"/>
        <v>6126750</v>
      </c>
      <c r="W23" s="2993">
        <v>400000</v>
      </c>
      <c r="X23" s="1459">
        <f t="shared" si="4"/>
        <v>720000</v>
      </c>
      <c r="Y23" s="1459">
        <f t="shared" si="5"/>
        <v>1120000</v>
      </c>
      <c r="Z23" s="2251">
        <v>0</v>
      </c>
    </row>
    <row r="24" spans="2:26">
      <c r="B24" s="1982"/>
      <c r="C24" s="1667"/>
      <c r="D24" s="2774"/>
      <c r="E24" s="1443"/>
      <c r="F24" s="1426">
        <f t="shared" si="6"/>
        <v>0</v>
      </c>
      <c r="H24" s="2428" t="s">
        <v>1047</v>
      </c>
      <c r="I24" s="2437">
        <v>2659</v>
      </c>
      <c r="J24" s="1470" t="s">
        <v>110</v>
      </c>
      <c r="K24" s="1939" t="s">
        <v>893</v>
      </c>
      <c r="L24" s="2445">
        <v>3250</v>
      </c>
      <c r="M24" s="2427">
        <v>1200</v>
      </c>
      <c r="N24" s="1461">
        <v>2.0206625156107209E-2</v>
      </c>
      <c r="O24" s="1460">
        <v>15</v>
      </c>
      <c r="P24" s="1940" t="s">
        <v>995</v>
      </c>
      <c r="Q24" s="3245">
        <v>500</v>
      </c>
      <c r="R24" s="1460">
        <v>50</v>
      </c>
      <c r="S24" s="1469">
        <f t="shared" si="1"/>
        <v>550</v>
      </c>
      <c r="T24" s="2991">
        <v>597500</v>
      </c>
      <c r="U24" s="1469">
        <f t="shared" si="2"/>
        <v>132950</v>
      </c>
      <c r="V24" s="1469">
        <f t="shared" si="3"/>
        <v>730450</v>
      </c>
      <c r="W24" s="2993">
        <v>600000</v>
      </c>
      <c r="X24" s="1459">
        <f t="shared" si="4"/>
        <v>60000</v>
      </c>
      <c r="Y24" s="1459">
        <f t="shared" si="5"/>
        <v>660000</v>
      </c>
      <c r="Z24" s="2251">
        <v>0</v>
      </c>
    </row>
    <row r="25" spans="2:26">
      <c r="B25" s="1982"/>
      <c r="C25" s="1667"/>
      <c r="D25" s="2775"/>
      <c r="E25" s="1444"/>
      <c r="F25" s="1426">
        <f t="shared" si="6"/>
        <v>0</v>
      </c>
      <c r="H25" s="2428" t="s">
        <v>1102</v>
      </c>
      <c r="I25" s="2436">
        <v>3500</v>
      </c>
      <c r="J25" s="1470" t="s">
        <v>110</v>
      </c>
      <c r="K25" s="1939" t="s">
        <v>893</v>
      </c>
      <c r="L25" s="2427">
        <v>2196</v>
      </c>
      <c r="M25" s="2427">
        <v>950</v>
      </c>
      <c r="N25" s="1461">
        <v>5.8092837056369559E-4</v>
      </c>
      <c r="O25" s="1460">
        <v>30</v>
      </c>
      <c r="P25" s="1940" t="s">
        <v>846</v>
      </c>
      <c r="Q25" s="3245">
        <v>3</v>
      </c>
      <c r="R25" s="1460">
        <v>3</v>
      </c>
      <c r="S25" s="1469">
        <f t="shared" si="1"/>
        <v>6</v>
      </c>
      <c r="T25" s="2991">
        <v>10500</v>
      </c>
      <c r="U25" s="1469">
        <f t="shared" si="2"/>
        <v>10500</v>
      </c>
      <c r="V25" s="1469">
        <f t="shared" si="3"/>
        <v>21000</v>
      </c>
      <c r="W25" s="2993">
        <v>2850</v>
      </c>
      <c r="X25" s="1459">
        <f t="shared" si="4"/>
        <v>2850</v>
      </c>
      <c r="Y25" s="1459">
        <f t="shared" si="5"/>
        <v>5700</v>
      </c>
      <c r="Z25" s="2251">
        <v>0</v>
      </c>
    </row>
    <row r="26" spans="2:26">
      <c r="B26" s="1449">
        <f>SUM(B22:B25)</f>
        <v>0.49382716049382713</v>
      </c>
      <c r="C26" s="1424"/>
      <c r="D26" s="2776"/>
      <c r="E26" s="1431"/>
      <c r="F26" s="1439"/>
      <c r="H26" s="2428" t="s">
        <v>1103</v>
      </c>
      <c r="I26" s="2436">
        <v>3500</v>
      </c>
      <c r="J26" s="1470" t="s">
        <v>110</v>
      </c>
      <c r="K26" s="1939" t="s">
        <v>893</v>
      </c>
      <c r="L26" s="2427">
        <v>3489</v>
      </c>
      <c r="M26" s="2427">
        <v>950</v>
      </c>
      <c r="N26" s="1461">
        <v>5.8092837056369559E-4</v>
      </c>
      <c r="O26" s="1460">
        <v>30</v>
      </c>
      <c r="P26" s="1940" t="s">
        <v>846</v>
      </c>
      <c r="Q26" s="3245">
        <v>3</v>
      </c>
      <c r="R26" s="1460">
        <v>3</v>
      </c>
      <c r="S26" s="1469">
        <f t="shared" si="1"/>
        <v>6</v>
      </c>
      <c r="T26" s="2991">
        <v>10500</v>
      </c>
      <c r="U26" s="1469">
        <f t="shared" si="2"/>
        <v>10500</v>
      </c>
      <c r="V26" s="1469">
        <f t="shared" si="3"/>
        <v>21000</v>
      </c>
      <c r="W26" s="2993">
        <v>2850</v>
      </c>
      <c r="X26" s="1459">
        <f t="shared" si="4"/>
        <v>2850</v>
      </c>
      <c r="Y26" s="1459">
        <f t="shared" si="5"/>
        <v>5700</v>
      </c>
      <c r="Z26" s="2251">
        <v>0</v>
      </c>
    </row>
    <row r="27" spans="2:26">
      <c r="B27" s="1652"/>
      <c r="C27" s="1597" t="s">
        <v>1737</v>
      </c>
      <c r="D27" s="2771">
        <f>SUM(D29:D35)</f>
        <v>154973.5147</v>
      </c>
      <c r="E27" s="1657">
        <f>SUM(E29:E31)+SUM(E33:E35)</f>
        <v>172068.02499999999</v>
      </c>
      <c r="F27" s="1638">
        <f>D27+E27</f>
        <v>327041.53969999996</v>
      </c>
      <c r="H27" s="2428" t="s">
        <v>1050</v>
      </c>
      <c r="I27" s="2416">
        <v>109</v>
      </c>
      <c r="J27" s="1470" t="s">
        <v>110</v>
      </c>
      <c r="K27" s="1939" t="s">
        <v>845</v>
      </c>
      <c r="L27" s="2427">
        <v>884</v>
      </c>
      <c r="M27" s="2427">
        <v>350</v>
      </c>
      <c r="N27" s="1461">
        <v>0</v>
      </c>
      <c r="O27" s="1460">
        <v>20</v>
      </c>
      <c r="P27" s="1940" t="s">
        <v>1054</v>
      </c>
      <c r="Q27" s="3245">
        <v>0</v>
      </c>
      <c r="R27" s="1460">
        <v>0</v>
      </c>
      <c r="S27" s="1469">
        <f t="shared" si="1"/>
        <v>0</v>
      </c>
      <c r="T27" s="2991">
        <v>0</v>
      </c>
      <c r="U27" s="1469">
        <f t="shared" si="2"/>
        <v>0</v>
      </c>
      <c r="V27" s="1469">
        <f t="shared" si="3"/>
        <v>0</v>
      </c>
      <c r="W27" s="2993">
        <v>0</v>
      </c>
      <c r="X27" s="1459">
        <f t="shared" si="4"/>
        <v>0</v>
      </c>
      <c r="Y27" s="1459">
        <f t="shared" si="5"/>
        <v>0</v>
      </c>
      <c r="Z27" s="2251">
        <v>0</v>
      </c>
    </row>
    <row r="28" spans="2:26">
      <c r="B28" s="1652"/>
      <c r="C28" s="1450" t="s">
        <v>1733</v>
      </c>
      <c r="D28" s="2777">
        <v>0.66700000000000004</v>
      </c>
      <c r="E28" s="1452">
        <v>0.68799999999999994</v>
      </c>
      <c r="F28" s="1485"/>
      <c r="H28" s="2428" t="s">
        <v>1118</v>
      </c>
      <c r="I28" s="2416">
        <v>939</v>
      </c>
      <c r="J28" s="1470" t="s">
        <v>110</v>
      </c>
      <c r="K28" s="1939" t="s">
        <v>845</v>
      </c>
      <c r="L28" s="2427">
        <v>1688</v>
      </c>
      <c r="M28" s="2427">
        <v>800</v>
      </c>
      <c r="N28" s="1461">
        <v>0</v>
      </c>
      <c r="O28" s="1460">
        <v>20</v>
      </c>
      <c r="P28" s="1940" t="s">
        <v>995</v>
      </c>
      <c r="Q28" s="3245">
        <v>0</v>
      </c>
      <c r="R28" s="1460">
        <v>0</v>
      </c>
      <c r="S28" s="1469">
        <f t="shared" si="1"/>
        <v>0</v>
      </c>
      <c r="T28" s="2991">
        <v>0</v>
      </c>
      <c r="U28" s="1469">
        <f t="shared" si="2"/>
        <v>0</v>
      </c>
      <c r="V28" s="1469">
        <f t="shared" si="3"/>
        <v>0</v>
      </c>
      <c r="W28" s="2993">
        <v>0</v>
      </c>
      <c r="X28" s="1459">
        <f t="shared" si="4"/>
        <v>0</v>
      </c>
      <c r="Y28" s="1459">
        <f t="shared" si="5"/>
        <v>0</v>
      </c>
      <c r="Z28" s="2251">
        <v>0</v>
      </c>
    </row>
    <row r="29" spans="2:26">
      <c r="B29" s="1652"/>
      <c r="C29" s="1667" t="s">
        <v>719</v>
      </c>
      <c r="D29" s="2778">
        <f>D15*D28</f>
        <v>128293.51470000001</v>
      </c>
      <c r="E29" s="1641">
        <f>E15*E28</f>
        <v>104309.4</v>
      </c>
      <c r="F29" s="1426">
        <f t="shared" ref="F29:F35" si="7">SUM(D29:E29)</f>
        <v>232602.91470000002</v>
      </c>
      <c r="H29" s="2428" t="s">
        <v>1119</v>
      </c>
      <c r="I29" s="2416">
        <v>27</v>
      </c>
      <c r="J29" s="1470" t="s">
        <v>110</v>
      </c>
      <c r="K29" s="1939" t="s">
        <v>845</v>
      </c>
      <c r="L29" s="2427">
        <v>50</v>
      </c>
      <c r="M29" s="2427">
        <v>25</v>
      </c>
      <c r="N29" s="1461">
        <v>1.8672697625261643E-3</v>
      </c>
      <c r="O29" s="1460">
        <v>15</v>
      </c>
      <c r="P29" s="1940" t="s">
        <v>880</v>
      </c>
      <c r="Q29" s="3245">
        <v>2000</v>
      </c>
      <c r="R29" s="1460">
        <v>500</v>
      </c>
      <c r="S29" s="1469">
        <f t="shared" si="1"/>
        <v>2500</v>
      </c>
      <c r="T29" s="2991">
        <v>54000</v>
      </c>
      <c r="U29" s="1469">
        <f t="shared" si="2"/>
        <v>13500</v>
      </c>
      <c r="V29" s="1469">
        <f t="shared" si="3"/>
        <v>67500</v>
      </c>
      <c r="W29" s="2993">
        <v>60000</v>
      </c>
      <c r="X29" s="1459">
        <f t="shared" si="4"/>
        <v>12500</v>
      </c>
      <c r="Y29" s="1459">
        <f t="shared" si="5"/>
        <v>72500</v>
      </c>
      <c r="Z29" s="2251">
        <v>0</v>
      </c>
    </row>
    <row r="30" spans="2:26">
      <c r="B30" s="1652"/>
      <c r="C30" s="1667" t="s">
        <v>720</v>
      </c>
      <c r="D30" s="2785">
        <f>D21*D28</f>
        <v>26680</v>
      </c>
      <c r="E30" s="1641">
        <f>E21*E28</f>
        <v>27519.999999999996</v>
      </c>
      <c r="F30" s="1426">
        <f t="shared" si="7"/>
        <v>54200</v>
      </c>
      <c r="H30" s="2428" t="s">
        <v>1120</v>
      </c>
      <c r="I30" s="2416">
        <v>143</v>
      </c>
      <c r="J30" s="1470" t="s">
        <v>110</v>
      </c>
      <c r="K30" s="1939" t="s">
        <v>845</v>
      </c>
      <c r="L30" s="2427">
        <v>40</v>
      </c>
      <c r="M30" s="2427">
        <v>50</v>
      </c>
      <c r="N30" s="1461">
        <v>1.582338228392542E-3</v>
      </c>
      <c r="O30" s="1460">
        <v>10</v>
      </c>
      <c r="P30" s="1940" t="s">
        <v>878</v>
      </c>
      <c r="Q30" s="3245">
        <v>200</v>
      </c>
      <c r="R30" s="1460">
        <v>200</v>
      </c>
      <c r="S30" s="1469">
        <f t="shared" si="1"/>
        <v>400</v>
      </c>
      <c r="T30" s="2991">
        <v>28600</v>
      </c>
      <c r="U30" s="1469">
        <f t="shared" si="2"/>
        <v>28600</v>
      </c>
      <c r="V30" s="1469">
        <f t="shared" si="3"/>
        <v>57200</v>
      </c>
      <c r="W30" s="2993">
        <v>10000</v>
      </c>
      <c r="X30" s="1459">
        <f t="shared" si="4"/>
        <v>10000</v>
      </c>
      <c r="Y30" s="1459">
        <f t="shared" si="5"/>
        <v>20000</v>
      </c>
      <c r="Z30" s="2251">
        <v>0</v>
      </c>
    </row>
    <row r="31" spans="2:26">
      <c r="B31" s="1652"/>
      <c r="C31" s="1667"/>
      <c r="D31" s="2774"/>
      <c r="E31" s="1443"/>
      <c r="F31" s="1426">
        <f t="shared" si="7"/>
        <v>0</v>
      </c>
      <c r="H31" s="2428" t="s">
        <v>1121</v>
      </c>
      <c r="I31" s="2416">
        <v>143</v>
      </c>
      <c r="J31" s="1470" t="s">
        <v>110</v>
      </c>
      <c r="K31" s="1939" t="s">
        <v>845</v>
      </c>
      <c r="L31" s="2427">
        <v>250</v>
      </c>
      <c r="M31" s="2427">
        <v>200</v>
      </c>
      <c r="N31" s="1461">
        <v>6.3293529135701682E-3</v>
      </c>
      <c r="O31" s="1460">
        <v>10</v>
      </c>
      <c r="P31" s="1940" t="s">
        <v>878</v>
      </c>
      <c r="Q31" s="3245">
        <v>1200</v>
      </c>
      <c r="R31" s="1460">
        <v>400</v>
      </c>
      <c r="S31" s="1469">
        <f t="shared" si="1"/>
        <v>1600</v>
      </c>
      <c r="T31" s="2991">
        <v>171600</v>
      </c>
      <c r="U31" s="1469">
        <f t="shared" si="2"/>
        <v>57200</v>
      </c>
      <c r="V31" s="1469">
        <f t="shared" si="3"/>
        <v>228800</v>
      </c>
      <c r="W31" s="2993">
        <v>240000</v>
      </c>
      <c r="X31" s="1459">
        <f t="shared" si="4"/>
        <v>80000</v>
      </c>
      <c r="Y31" s="1459">
        <f t="shared" si="5"/>
        <v>320000</v>
      </c>
      <c r="Z31" s="2251">
        <v>0</v>
      </c>
    </row>
    <row r="32" spans="2:26">
      <c r="B32" s="1652"/>
      <c r="C32" s="1450" t="s">
        <v>1734</v>
      </c>
      <c r="D32" s="2777"/>
      <c r="E32" s="1452">
        <v>0.21</v>
      </c>
      <c r="F32" s="1485"/>
      <c r="H32" s="2428" t="s">
        <v>1122</v>
      </c>
      <c r="I32" s="2416">
        <v>1.4</v>
      </c>
      <c r="J32" s="1470" t="s">
        <v>110</v>
      </c>
      <c r="K32" s="1939" t="s">
        <v>992</v>
      </c>
      <c r="L32" s="2427">
        <v>0.98</v>
      </c>
      <c r="M32" s="2427">
        <v>0.75</v>
      </c>
      <c r="N32" s="1461">
        <v>7.4690790501046574E-3</v>
      </c>
      <c r="O32" s="1460">
        <v>30</v>
      </c>
      <c r="P32" s="1940" t="s">
        <v>995</v>
      </c>
      <c r="Q32" s="3245">
        <v>100000</v>
      </c>
      <c r="R32" s="1460">
        <v>100000</v>
      </c>
      <c r="S32" s="1469">
        <f t="shared" si="1"/>
        <v>200000</v>
      </c>
      <c r="T32" s="2991">
        <v>130000</v>
      </c>
      <c r="U32" s="1469">
        <f t="shared" si="2"/>
        <v>140000</v>
      </c>
      <c r="V32" s="1469">
        <f t="shared" si="3"/>
        <v>270000</v>
      </c>
      <c r="W32" s="2993">
        <v>75000</v>
      </c>
      <c r="X32" s="1459">
        <f t="shared" si="4"/>
        <v>75000</v>
      </c>
      <c r="Y32" s="1459">
        <f t="shared" si="5"/>
        <v>150000</v>
      </c>
      <c r="Z32" s="2251">
        <v>0</v>
      </c>
    </row>
    <row r="33" spans="1:26">
      <c r="B33" s="1652"/>
      <c r="C33" s="1667" t="s">
        <v>719</v>
      </c>
      <c r="D33" s="2778"/>
      <c r="E33" s="1641">
        <f>E15*E32</f>
        <v>31838.625</v>
      </c>
      <c r="F33" s="1661">
        <f>SUM(D33:E33)</f>
        <v>31838.625</v>
      </c>
      <c r="H33" s="2428" t="s">
        <v>1123</v>
      </c>
      <c r="I33" s="2416">
        <v>0.66</v>
      </c>
      <c r="J33" s="1470" t="s">
        <v>110</v>
      </c>
      <c r="K33" s="1939" t="s">
        <v>992</v>
      </c>
      <c r="L33" s="2427">
        <v>1.01</v>
      </c>
      <c r="M33" s="2427">
        <v>0.75</v>
      </c>
      <c r="N33" s="1461">
        <v>9.2201631385180826E-4</v>
      </c>
      <c r="O33" s="1460">
        <v>30</v>
      </c>
      <c r="P33" s="1940" t="s">
        <v>995</v>
      </c>
      <c r="Q33" s="3245">
        <v>50000</v>
      </c>
      <c r="R33" s="1460">
        <v>500</v>
      </c>
      <c r="S33" s="1469">
        <f t="shared" si="1"/>
        <v>50500</v>
      </c>
      <c r="T33" s="2991">
        <v>33000</v>
      </c>
      <c r="U33" s="1469">
        <f t="shared" si="2"/>
        <v>330</v>
      </c>
      <c r="V33" s="1469">
        <f t="shared" si="3"/>
        <v>33330</v>
      </c>
      <c r="W33" s="2993">
        <v>37500</v>
      </c>
      <c r="X33" s="1459">
        <f t="shared" si="4"/>
        <v>375</v>
      </c>
      <c r="Y33" s="1459">
        <f t="shared" si="5"/>
        <v>37875</v>
      </c>
      <c r="Z33" s="2251">
        <v>0</v>
      </c>
    </row>
    <row r="34" spans="1:26">
      <c r="A34" s="1400" t="s">
        <v>557</v>
      </c>
      <c r="B34" s="1652"/>
      <c r="C34" s="1667" t="s">
        <v>720</v>
      </c>
      <c r="D34" s="2785"/>
      <c r="E34" s="1641">
        <f>E21*E32</f>
        <v>8400</v>
      </c>
      <c r="F34" s="1661">
        <f t="shared" ref="F34" si="8">SUM(D34:E34)</f>
        <v>8400</v>
      </c>
      <c r="H34" s="2434" t="s">
        <v>1124</v>
      </c>
      <c r="I34" s="2436">
        <v>21168</v>
      </c>
      <c r="J34" s="1470" t="s">
        <v>110</v>
      </c>
      <c r="K34" s="1939" t="s">
        <v>991</v>
      </c>
      <c r="L34" s="2427">
        <v>17958</v>
      </c>
      <c r="M34" s="2427">
        <v>6351</v>
      </c>
      <c r="N34" s="1461">
        <v>1.1711515950564102E-3</v>
      </c>
      <c r="O34" s="1460">
        <v>15</v>
      </c>
      <c r="P34" s="1940" t="s">
        <v>995</v>
      </c>
      <c r="Q34" s="3245">
        <v>1</v>
      </c>
      <c r="R34" s="1460">
        <v>1</v>
      </c>
      <c r="S34" s="1469">
        <f t="shared" si="1"/>
        <v>2</v>
      </c>
      <c r="T34" s="2991">
        <v>21168</v>
      </c>
      <c r="U34" s="1469">
        <f t="shared" si="2"/>
        <v>21168</v>
      </c>
      <c r="V34" s="1469">
        <f t="shared" si="3"/>
        <v>42336</v>
      </c>
      <c r="W34" s="2993">
        <v>6351</v>
      </c>
      <c r="X34" s="1459">
        <f t="shared" si="4"/>
        <v>6351</v>
      </c>
      <c r="Y34" s="1459">
        <f t="shared" si="5"/>
        <v>12702</v>
      </c>
      <c r="Z34" s="2251">
        <v>0</v>
      </c>
    </row>
    <row r="35" spans="1:26">
      <c r="A35" s="1663" t="s">
        <v>558</v>
      </c>
      <c r="B35" s="1652"/>
      <c r="C35" s="1445"/>
      <c r="D35" s="2775"/>
      <c r="E35" s="1444"/>
      <c r="F35" s="1426">
        <f t="shared" si="7"/>
        <v>0</v>
      </c>
      <c r="H35" s="2428" t="s">
        <v>1125</v>
      </c>
      <c r="I35" s="2437">
        <v>1069</v>
      </c>
      <c r="J35" s="1470" t="s">
        <v>110</v>
      </c>
      <c r="K35" s="1939" t="s">
        <v>845</v>
      </c>
      <c r="L35" s="2427">
        <v>900</v>
      </c>
      <c r="M35" s="2427">
        <v>500</v>
      </c>
      <c r="N35" s="1461">
        <v>2.0219073621190718E-4</v>
      </c>
      <c r="O35" s="1460">
        <v>15</v>
      </c>
      <c r="P35" s="1940" t="s">
        <v>846</v>
      </c>
      <c r="Q35" s="3245">
        <v>6</v>
      </c>
      <c r="R35" s="1460">
        <v>1</v>
      </c>
      <c r="S35" s="1469">
        <f t="shared" si="1"/>
        <v>7</v>
      </c>
      <c r="T35" s="2991">
        <v>6240</v>
      </c>
      <c r="U35" s="1469">
        <f t="shared" si="2"/>
        <v>1069</v>
      </c>
      <c r="V35" s="1469">
        <f t="shared" si="3"/>
        <v>7309</v>
      </c>
      <c r="W35" s="2993">
        <v>3000</v>
      </c>
      <c r="X35" s="1459">
        <f t="shared" si="4"/>
        <v>500</v>
      </c>
      <c r="Y35" s="1459">
        <f t="shared" si="5"/>
        <v>3500</v>
      </c>
      <c r="Z35" s="2251">
        <v>0</v>
      </c>
    </row>
    <row r="36" spans="1:26">
      <c r="A36" s="1357" t="s">
        <v>271</v>
      </c>
      <c r="B36" s="1652"/>
      <c r="C36" s="1488"/>
      <c r="D36" s="2779"/>
      <c r="E36" s="1490"/>
      <c r="F36" s="1493"/>
      <c r="H36" s="2428" t="s">
        <v>1126</v>
      </c>
      <c r="I36" s="2437">
        <v>1592</v>
      </c>
      <c r="J36" s="1470" t="s">
        <v>110</v>
      </c>
      <c r="K36" s="1939" t="s">
        <v>845</v>
      </c>
      <c r="L36" s="2427">
        <v>1369</v>
      </c>
      <c r="M36" s="2427">
        <v>800</v>
      </c>
      <c r="N36" s="1461">
        <v>2.9074081783925904E-4</v>
      </c>
      <c r="O36" s="1460">
        <v>15</v>
      </c>
      <c r="P36" s="1940" t="s">
        <v>846</v>
      </c>
      <c r="Q36" s="3245">
        <v>6</v>
      </c>
      <c r="R36" s="1460">
        <v>2</v>
      </c>
      <c r="S36" s="1469">
        <f t="shared" si="1"/>
        <v>8</v>
      </c>
      <c r="T36" s="2991">
        <v>7326</v>
      </c>
      <c r="U36" s="1469">
        <f t="shared" si="2"/>
        <v>3184</v>
      </c>
      <c r="V36" s="1469">
        <f t="shared" si="3"/>
        <v>10510</v>
      </c>
      <c r="W36" s="2993">
        <v>4800</v>
      </c>
      <c r="X36" s="1459">
        <f t="shared" si="4"/>
        <v>1600</v>
      </c>
      <c r="Y36" s="1459">
        <f t="shared" si="5"/>
        <v>6400</v>
      </c>
      <c r="Z36" s="2251">
        <v>0</v>
      </c>
    </row>
    <row r="37" spans="1:26">
      <c r="A37" s="1400" t="s">
        <v>5</v>
      </c>
      <c r="B37" s="1652"/>
      <c r="C37" s="1597" t="s">
        <v>46</v>
      </c>
      <c r="D37" s="2771">
        <f>SUM(D38:D41)</f>
        <v>75000</v>
      </c>
      <c r="E37" s="1464">
        <f>SUM(E38:E41)</f>
        <v>75000</v>
      </c>
      <c r="F37" s="1638">
        <f>D37+E37</f>
        <v>150000</v>
      </c>
      <c r="H37" s="2428" t="s">
        <v>1127</v>
      </c>
      <c r="I37" s="2416">
        <v>16.52</v>
      </c>
      <c r="J37" s="1470" t="s">
        <v>110</v>
      </c>
      <c r="K37" s="1939" t="s">
        <v>845</v>
      </c>
      <c r="L37" s="2445">
        <v>10.08</v>
      </c>
      <c r="M37" s="2445">
        <v>10.08</v>
      </c>
      <c r="N37" s="1461">
        <v>4.6156142204072666E-2</v>
      </c>
      <c r="O37" s="1460">
        <v>12</v>
      </c>
      <c r="P37" s="1940" t="s">
        <v>880</v>
      </c>
      <c r="Q37" s="3245">
        <v>50000</v>
      </c>
      <c r="R37" s="1460">
        <v>50000</v>
      </c>
      <c r="S37" s="1469">
        <f t="shared" si="1"/>
        <v>100000</v>
      </c>
      <c r="T37" s="2991">
        <v>850000</v>
      </c>
      <c r="U37" s="1469">
        <f t="shared" si="2"/>
        <v>826000</v>
      </c>
      <c r="V37" s="1469">
        <f t="shared" si="3"/>
        <v>1676000</v>
      </c>
      <c r="W37" s="2993">
        <v>636000</v>
      </c>
      <c r="X37" s="1459">
        <f t="shared" si="4"/>
        <v>504000</v>
      </c>
      <c r="Y37" s="1459">
        <f t="shared" si="5"/>
        <v>1140000</v>
      </c>
      <c r="Z37" s="2251">
        <v>0</v>
      </c>
    </row>
    <row r="38" spans="1:26">
      <c r="A38" s="1400">
        <v>18230407</v>
      </c>
      <c r="B38" s="1652"/>
      <c r="C38" s="1667" t="s">
        <v>1107</v>
      </c>
      <c r="D38" s="2778">
        <v>75000</v>
      </c>
      <c r="E38" s="1672">
        <v>75000</v>
      </c>
      <c r="F38" s="1426">
        <f t="shared" ref="F38:F41" si="9">SUM(D38:E38)</f>
        <v>150000</v>
      </c>
      <c r="H38" s="2428" t="s">
        <v>1128</v>
      </c>
      <c r="I38" s="2416">
        <v>9.09</v>
      </c>
      <c r="J38" s="1470" t="s">
        <v>110</v>
      </c>
      <c r="K38" s="1939" t="s">
        <v>845</v>
      </c>
      <c r="L38" s="2427">
        <v>11.05</v>
      </c>
      <c r="M38" s="2427">
        <v>11.05</v>
      </c>
      <c r="N38" s="1461">
        <v>1.09048554131528E-2</v>
      </c>
      <c r="O38" s="1460">
        <v>12</v>
      </c>
      <c r="P38" s="1940" t="s">
        <v>880</v>
      </c>
      <c r="Q38" s="3245">
        <v>10000</v>
      </c>
      <c r="R38" s="1460">
        <v>10000</v>
      </c>
      <c r="S38" s="1469">
        <f t="shared" si="1"/>
        <v>20000</v>
      </c>
      <c r="T38" s="2991">
        <v>190000</v>
      </c>
      <c r="U38" s="1469">
        <f t="shared" si="2"/>
        <v>90900</v>
      </c>
      <c r="V38" s="1469">
        <f t="shared" si="3"/>
        <v>280900</v>
      </c>
      <c r="W38" s="2993">
        <v>112200</v>
      </c>
      <c r="X38" s="1459">
        <f t="shared" si="4"/>
        <v>110500</v>
      </c>
      <c r="Y38" s="1459">
        <f t="shared" si="5"/>
        <v>222700</v>
      </c>
      <c r="Z38" s="2251">
        <v>0</v>
      </c>
    </row>
    <row r="39" spans="1:26">
      <c r="A39" s="1400" t="s">
        <v>4</v>
      </c>
      <c r="B39" s="1652"/>
      <c r="C39" s="1667"/>
      <c r="D39" s="2778"/>
      <c r="E39" s="1672"/>
      <c r="F39" s="1426">
        <f t="shared" si="9"/>
        <v>0</v>
      </c>
      <c r="H39" s="2428" t="s">
        <v>1129</v>
      </c>
      <c r="I39" s="2416">
        <v>20.8</v>
      </c>
      <c r="J39" s="1470" t="s">
        <v>110</v>
      </c>
      <c r="K39" s="1939" t="s">
        <v>845</v>
      </c>
      <c r="L39" s="2445">
        <v>12.83</v>
      </c>
      <c r="M39" s="2445">
        <v>12.83</v>
      </c>
      <c r="N39" s="1461">
        <v>6.7111058427977398E-3</v>
      </c>
      <c r="O39" s="1460">
        <v>12</v>
      </c>
      <c r="P39" s="1940" t="s">
        <v>880</v>
      </c>
      <c r="Q39" s="3245">
        <v>5000</v>
      </c>
      <c r="R39" s="1460">
        <v>5000</v>
      </c>
      <c r="S39" s="1469">
        <f t="shared" si="1"/>
        <v>10000</v>
      </c>
      <c r="T39" s="2991">
        <v>115000</v>
      </c>
      <c r="U39" s="1469">
        <f t="shared" si="2"/>
        <v>104000</v>
      </c>
      <c r="V39" s="1469">
        <f t="shared" si="3"/>
        <v>219000</v>
      </c>
      <c r="W39" s="2993">
        <v>63700</v>
      </c>
      <c r="X39" s="1459">
        <f t="shared" si="4"/>
        <v>64150</v>
      </c>
      <c r="Y39" s="1459">
        <f t="shared" si="5"/>
        <v>127850</v>
      </c>
      <c r="Z39" s="2251">
        <v>0</v>
      </c>
    </row>
    <row r="40" spans="1:26">
      <c r="B40" s="1652"/>
      <c r="C40" s="1667"/>
      <c r="D40" s="2778"/>
      <c r="E40" s="1672"/>
      <c r="F40" s="1426">
        <f t="shared" si="9"/>
        <v>0</v>
      </c>
      <c r="H40" s="2428" t="s">
        <v>1130</v>
      </c>
      <c r="I40" s="2416">
        <v>0</v>
      </c>
      <c r="J40" s="1470" t="s">
        <v>110</v>
      </c>
      <c r="K40" s="1939" t="s">
        <v>845</v>
      </c>
      <c r="L40" s="2445">
        <v>16.239999999999998</v>
      </c>
      <c r="M40" s="2445">
        <v>16.239999999999998</v>
      </c>
      <c r="N40" s="1461">
        <v>3.8175292922757137E-3</v>
      </c>
      <c r="O40" s="1460">
        <v>12</v>
      </c>
      <c r="P40" s="1940" t="s">
        <v>880</v>
      </c>
      <c r="Q40" s="3245">
        <v>6000</v>
      </c>
      <c r="R40" s="1460">
        <v>0</v>
      </c>
      <c r="S40" s="1469">
        <f t="shared" si="1"/>
        <v>6000</v>
      </c>
      <c r="T40" s="2991">
        <v>138000</v>
      </c>
      <c r="U40" s="1469">
        <f t="shared" si="2"/>
        <v>0</v>
      </c>
      <c r="V40" s="1469">
        <f t="shared" si="3"/>
        <v>138000</v>
      </c>
      <c r="W40" s="2993">
        <v>97439.999999999985</v>
      </c>
      <c r="X40" s="1459">
        <f t="shared" si="4"/>
        <v>0</v>
      </c>
      <c r="Y40" s="1459">
        <f t="shared" si="5"/>
        <v>97439.999999999985</v>
      </c>
      <c r="Z40" s="2251">
        <v>0</v>
      </c>
    </row>
    <row r="41" spans="1:26">
      <c r="B41" s="1652"/>
      <c r="C41" s="1667"/>
      <c r="D41" s="2778"/>
      <c r="E41" s="1672"/>
      <c r="F41" s="1426">
        <f t="shared" si="9"/>
        <v>0</v>
      </c>
      <c r="H41" s="2428" t="s">
        <v>1131</v>
      </c>
      <c r="I41" s="2416">
        <v>14.15</v>
      </c>
      <c r="J41" s="1470" t="s">
        <v>110</v>
      </c>
      <c r="K41" s="1939" t="s">
        <v>845</v>
      </c>
      <c r="L41" s="2445">
        <v>11.59</v>
      </c>
      <c r="M41" s="2445">
        <v>11.59</v>
      </c>
      <c r="N41" s="1461">
        <v>1.0672484064927322E-2</v>
      </c>
      <c r="O41" s="1460">
        <v>12</v>
      </c>
      <c r="P41" s="1940" t="s">
        <v>880</v>
      </c>
      <c r="Q41" s="3245">
        <v>15000</v>
      </c>
      <c r="R41" s="1460">
        <v>15000</v>
      </c>
      <c r="S41" s="1469">
        <f t="shared" si="1"/>
        <v>30000</v>
      </c>
      <c r="T41" s="2991">
        <v>240000</v>
      </c>
      <c r="U41" s="1469">
        <f t="shared" si="2"/>
        <v>212250</v>
      </c>
      <c r="V41" s="1469">
        <f t="shared" si="3"/>
        <v>452250</v>
      </c>
      <c r="W41" s="2993">
        <v>176100</v>
      </c>
      <c r="X41" s="1459">
        <f t="shared" si="4"/>
        <v>173850</v>
      </c>
      <c r="Y41" s="1459">
        <f t="shared" si="5"/>
        <v>349950</v>
      </c>
      <c r="Z41" s="2251">
        <v>0</v>
      </c>
    </row>
    <row r="42" spans="1:26">
      <c r="B42" s="1652"/>
      <c r="C42" s="1488"/>
      <c r="D42" s="2779"/>
      <c r="E42" s="1490"/>
      <c r="F42" s="1493"/>
      <c r="H42" s="2428" t="s">
        <v>1132</v>
      </c>
      <c r="I42" s="2416">
        <v>31.86</v>
      </c>
      <c r="J42" s="1470" t="s">
        <v>110</v>
      </c>
      <c r="K42" s="1939" t="s">
        <v>845</v>
      </c>
      <c r="L42" s="2445">
        <v>11.59</v>
      </c>
      <c r="M42" s="2445">
        <v>11.59</v>
      </c>
      <c r="N42" s="1461">
        <v>1.1021041087265539E-2</v>
      </c>
      <c r="O42" s="1460">
        <v>12</v>
      </c>
      <c r="P42" s="1940" t="s">
        <v>880</v>
      </c>
      <c r="Q42" s="3245">
        <v>8000</v>
      </c>
      <c r="R42" s="1460">
        <v>8000</v>
      </c>
      <c r="S42" s="1469">
        <f t="shared" si="1"/>
        <v>16000</v>
      </c>
      <c r="T42" s="2991">
        <v>200000</v>
      </c>
      <c r="U42" s="1469">
        <f t="shared" si="2"/>
        <v>254880</v>
      </c>
      <c r="V42" s="1469">
        <f t="shared" si="3"/>
        <v>454880</v>
      </c>
      <c r="W42" s="2993">
        <v>108320</v>
      </c>
      <c r="X42" s="1459">
        <f t="shared" si="4"/>
        <v>92720</v>
      </c>
      <c r="Y42" s="1459">
        <f t="shared" si="5"/>
        <v>201040</v>
      </c>
      <c r="Z42" s="2251">
        <v>0</v>
      </c>
    </row>
    <row r="43" spans="1:26">
      <c r="B43" s="1652"/>
      <c r="C43" s="1597" t="s">
        <v>483</v>
      </c>
      <c r="D43" s="2771">
        <f>SUM(D44:D47)</f>
        <v>4000</v>
      </c>
      <c r="E43" s="1464">
        <f>SUM(E44:E47)</f>
        <v>4000</v>
      </c>
      <c r="F43" s="1638">
        <f>D43+E43</f>
        <v>8000</v>
      </c>
      <c r="H43" s="2428" t="s">
        <v>1133</v>
      </c>
      <c r="I43" s="2436">
        <v>10095</v>
      </c>
      <c r="J43" s="1470" t="s">
        <v>110</v>
      </c>
      <c r="K43" s="1939" t="s">
        <v>991</v>
      </c>
      <c r="L43" s="2427">
        <v>9376</v>
      </c>
      <c r="M43" s="2427">
        <v>3028</v>
      </c>
      <c r="N43" s="1461">
        <v>5.5852113341338155E-4</v>
      </c>
      <c r="O43" s="1460">
        <v>10</v>
      </c>
      <c r="P43" s="1940" t="s">
        <v>878</v>
      </c>
      <c r="Q43" s="3245">
        <v>1</v>
      </c>
      <c r="R43" s="1460">
        <v>1</v>
      </c>
      <c r="S43" s="1469">
        <f t="shared" si="1"/>
        <v>2</v>
      </c>
      <c r="T43" s="2991">
        <v>10095</v>
      </c>
      <c r="U43" s="1469">
        <f t="shared" si="2"/>
        <v>10095</v>
      </c>
      <c r="V43" s="1469">
        <f t="shared" si="3"/>
        <v>20190</v>
      </c>
      <c r="W43" s="2993">
        <v>3028</v>
      </c>
      <c r="X43" s="1459">
        <f t="shared" si="4"/>
        <v>3028</v>
      </c>
      <c r="Y43" s="1459">
        <f t="shared" si="5"/>
        <v>6056</v>
      </c>
      <c r="Z43" s="2251">
        <v>0</v>
      </c>
    </row>
    <row r="44" spans="1:26">
      <c r="B44" s="1652"/>
      <c r="C44" s="1667" t="s">
        <v>1108</v>
      </c>
      <c r="D44" s="2778">
        <v>4000</v>
      </c>
      <c r="E44" s="1672">
        <v>4000</v>
      </c>
      <c r="F44" s="1426">
        <f t="shared" ref="F44:F47" si="10">SUM(D44:E44)</f>
        <v>8000</v>
      </c>
      <c r="H44" s="2428" t="s">
        <v>1134</v>
      </c>
      <c r="I44" s="2436">
        <v>24000</v>
      </c>
      <c r="J44" s="1470" t="s">
        <v>110</v>
      </c>
      <c r="K44" s="1939" t="s">
        <v>991</v>
      </c>
      <c r="L44" s="2427">
        <v>11454</v>
      </c>
      <c r="M44" s="2427">
        <v>5071</v>
      </c>
      <c r="N44" s="1461">
        <v>1.3278362755741614E-3</v>
      </c>
      <c r="O44" s="1460">
        <v>15</v>
      </c>
      <c r="P44" s="1940" t="s">
        <v>997</v>
      </c>
      <c r="Q44" s="3245">
        <v>1</v>
      </c>
      <c r="R44" s="1460">
        <v>1</v>
      </c>
      <c r="S44" s="1469">
        <f t="shared" si="1"/>
        <v>2</v>
      </c>
      <c r="T44" s="2991">
        <v>24000</v>
      </c>
      <c r="U44" s="1469">
        <f t="shared" si="2"/>
        <v>24000</v>
      </c>
      <c r="V44" s="1469">
        <f t="shared" si="3"/>
        <v>48000</v>
      </c>
      <c r="W44" s="2993">
        <v>5071</v>
      </c>
      <c r="X44" s="1459">
        <f t="shared" si="4"/>
        <v>5071</v>
      </c>
      <c r="Y44" s="1459">
        <f t="shared" si="5"/>
        <v>10142</v>
      </c>
      <c r="Z44" s="2251">
        <v>0</v>
      </c>
    </row>
    <row r="45" spans="1:26">
      <c r="B45" s="1652"/>
      <c r="C45" s="1667"/>
      <c r="D45" s="2778"/>
      <c r="E45" s="1672"/>
      <c r="F45" s="1426">
        <f t="shared" si="10"/>
        <v>0</v>
      </c>
      <c r="H45" s="2428" t="s">
        <v>868</v>
      </c>
      <c r="I45" s="2416">
        <v>98</v>
      </c>
      <c r="J45" s="1470" t="s">
        <v>110</v>
      </c>
      <c r="K45" s="1939" t="s">
        <v>845</v>
      </c>
      <c r="L45" s="2427">
        <v>211</v>
      </c>
      <c r="M45" s="2427">
        <v>50</v>
      </c>
      <c r="N45" s="1461">
        <v>5.4219981252611588E-4</v>
      </c>
      <c r="O45" s="1460">
        <v>15</v>
      </c>
      <c r="P45" s="1940" t="s">
        <v>879</v>
      </c>
      <c r="Q45" s="3245">
        <v>100</v>
      </c>
      <c r="R45" s="1460">
        <v>100</v>
      </c>
      <c r="S45" s="1469">
        <f t="shared" si="1"/>
        <v>200</v>
      </c>
      <c r="T45" s="2991">
        <v>9800</v>
      </c>
      <c r="U45" s="1469">
        <f t="shared" si="2"/>
        <v>9800</v>
      </c>
      <c r="V45" s="1469">
        <f t="shared" si="3"/>
        <v>19600</v>
      </c>
      <c r="W45" s="2993">
        <v>5000</v>
      </c>
      <c r="X45" s="1459">
        <f t="shared" si="4"/>
        <v>5000</v>
      </c>
      <c r="Y45" s="1459">
        <f t="shared" si="5"/>
        <v>10000</v>
      </c>
      <c r="Z45" s="2251">
        <v>0</v>
      </c>
    </row>
    <row r="46" spans="1:26">
      <c r="B46" s="1652"/>
      <c r="C46" s="1667"/>
      <c r="D46" s="2778"/>
      <c r="E46" s="1672"/>
      <c r="F46" s="1426">
        <f t="shared" si="10"/>
        <v>0</v>
      </c>
      <c r="H46" s="2428" t="s">
        <v>1135</v>
      </c>
      <c r="I46" s="2416">
        <v>356</v>
      </c>
      <c r="J46" s="1470" t="s">
        <v>110</v>
      </c>
      <c r="K46" s="1939" t="s">
        <v>845</v>
      </c>
      <c r="L46" s="2427">
        <v>108.5</v>
      </c>
      <c r="M46" s="2427">
        <v>108.5</v>
      </c>
      <c r="N46" s="1461">
        <v>1.1817742852610035E-4</v>
      </c>
      <c r="O46" s="1460">
        <v>7</v>
      </c>
      <c r="P46" s="1940" t="s">
        <v>879</v>
      </c>
      <c r="Q46" s="3246">
        <v>6</v>
      </c>
      <c r="R46" s="2448">
        <v>6</v>
      </c>
      <c r="S46" s="1469">
        <f t="shared" si="1"/>
        <v>12</v>
      </c>
      <c r="T46" s="2991">
        <v>2136</v>
      </c>
      <c r="U46" s="1469">
        <f t="shared" si="2"/>
        <v>2136</v>
      </c>
      <c r="V46" s="1469">
        <f t="shared" si="3"/>
        <v>4272</v>
      </c>
      <c r="W46" s="2993">
        <v>651</v>
      </c>
      <c r="X46" s="1459">
        <f t="shared" si="4"/>
        <v>651</v>
      </c>
      <c r="Y46" s="1459">
        <f t="shared" si="5"/>
        <v>1302</v>
      </c>
      <c r="Z46" s="2251">
        <v>7.12</v>
      </c>
    </row>
    <row r="47" spans="1:26">
      <c r="B47" s="1652"/>
      <c r="C47" s="1667"/>
      <c r="D47" s="2778"/>
      <c r="E47" s="1672"/>
      <c r="F47" s="1426">
        <f t="shared" si="10"/>
        <v>0</v>
      </c>
      <c r="H47" s="2428" t="s">
        <v>1136</v>
      </c>
      <c r="I47" s="2413">
        <v>494</v>
      </c>
      <c r="J47" s="1470" t="s">
        <v>110</v>
      </c>
      <c r="K47" s="1939" t="s">
        <v>845</v>
      </c>
      <c r="L47" s="2445">
        <v>0</v>
      </c>
      <c r="M47" s="2445">
        <v>0</v>
      </c>
      <c r="N47" s="1461">
        <v>9.7153354162842799E-3</v>
      </c>
      <c r="O47" s="1460">
        <v>15</v>
      </c>
      <c r="P47" s="1940" t="s">
        <v>879</v>
      </c>
      <c r="Q47" s="3247">
        <v>600</v>
      </c>
      <c r="R47" s="2449">
        <v>100</v>
      </c>
      <c r="S47" s="1469">
        <f t="shared" si="1"/>
        <v>700</v>
      </c>
      <c r="T47" s="2991">
        <v>301800</v>
      </c>
      <c r="U47" s="1469">
        <f t="shared" si="2"/>
        <v>49400</v>
      </c>
      <c r="V47" s="1469">
        <f t="shared" si="3"/>
        <v>351200</v>
      </c>
      <c r="W47" s="2993">
        <v>360000</v>
      </c>
      <c r="X47" s="1459">
        <f t="shared" si="4"/>
        <v>0</v>
      </c>
      <c r="Y47" s="1459">
        <f t="shared" si="5"/>
        <v>360000</v>
      </c>
      <c r="Z47" s="2251">
        <v>0</v>
      </c>
    </row>
    <row r="48" spans="1:26">
      <c r="B48" s="1652"/>
      <c r="C48" s="1488"/>
      <c r="D48" s="2779"/>
      <c r="E48" s="1490"/>
      <c r="F48" s="1493"/>
      <c r="H48" s="2428" t="s">
        <v>1137</v>
      </c>
      <c r="I48" s="2416">
        <v>354</v>
      </c>
      <c r="J48" s="1470" t="s">
        <v>110</v>
      </c>
      <c r="K48" s="1939" t="s">
        <v>845</v>
      </c>
      <c r="L48" s="2427">
        <v>18</v>
      </c>
      <c r="M48" s="2427">
        <v>18</v>
      </c>
      <c r="N48" s="1461">
        <v>9.7319333697289574E-3</v>
      </c>
      <c r="O48" s="1460">
        <v>10</v>
      </c>
      <c r="P48" s="1940" t="s">
        <v>846</v>
      </c>
      <c r="Q48" s="3231">
        <v>800</v>
      </c>
      <c r="R48" s="2422">
        <v>300</v>
      </c>
      <c r="S48" s="1469">
        <f t="shared" si="1"/>
        <v>1100</v>
      </c>
      <c r="T48" s="2991">
        <v>245600</v>
      </c>
      <c r="U48" s="1469">
        <f t="shared" si="2"/>
        <v>106200</v>
      </c>
      <c r="V48" s="1469">
        <f t="shared" si="3"/>
        <v>351800</v>
      </c>
      <c r="W48" s="2993">
        <v>14400</v>
      </c>
      <c r="X48" s="1459">
        <f t="shared" si="4"/>
        <v>5400</v>
      </c>
      <c r="Y48" s="1459">
        <f t="shared" si="5"/>
        <v>19800</v>
      </c>
      <c r="Z48" s="2251">
        <v>24.31</v>
      </c>
    </row>
    <row r="49" spans="1:26">
      <c r="B49" s="1652"/>
      <c r="C49" s="1597" t="s">
        <v>47</v>
      </c>
      <c r="D49" s="2771">
        <f>SUM(D50:D53)</f>
        <v>1150000</v>
      </c>
      <c r="E49" s="1464">
        <f>SUM(E50:E53)</f>
        <v>1150000</v>
      </c>
      <c r="F49" s="1638">
        <f>D49+E49</f>
        <v>2300000</v>
      </c>
      <c r="H49" s="2428" t="s">
        <v>1138</v>
      </c>
      <c r="I49" s="2436">
        <v>27000</v>
      </c>
      <c r="J49" s="1470" t="s">
        <v>110</v>
      </c>
      <c r="K49" s="1939" t="s">
        <v>991</v>
      </c>
      <c r="L49" s="2427">
        <v>12665</v>
      </c>
      <c r="M49" s="2427">
        <v>8000</v>
      </c>
      <c r="N49" s="1461">
        <v>2.240723715031397E-3</v>
      </c>
      <c r="O49" s="1460">
        <v>12</v>
      </c>
      <c r="P49" s="1940" t="s">
        <v>997</v>
      </c>
      <c r="Q49" s="3231">
        <v>1</v>
      </c>
      <c r="R49" s="2422">
        <v>2</v>
      </c>
      <c r="S49" s="1469">
        <f t="shared" si="1"/>
        <v>3</v>
      </c>
      <c r="T49" s="2991">
        <v>27000</v>
      </c>
      <c r="U49" s="1469">
        <f t="shared" si="2"/>
        <v>54000</v>
      </c>
      <c r="V49" s="1469">
        <f t="shared" si="3"/>
        <v>81000</v>
      </c>
      <c r="W49" s="2993">
        <v>8000</v>
      </c>
      <c r="X49" s="1459">
        <f t="shared" si="4"/>
        <v>16000</v>
      </c>
      <c r="Y49" s="1459">
        <f t="shared" si="5"/>
        <v>24000</v>
      </c>
      <c r="Z49" s="2251">
        <v>0</v>
      </c>
    </row>
    <row r="50" spans="1:26">
      <c r="B50" s="1652"/>
      <c r="C50" s="1667" t="s">
        <v>1109</v>
      </c>
      <c r="D50" s="2778">
        <v>1100000</v>
      </c>
      <c r="E50" s="1672">
        <v>1100000</v>
      </c>
      <c r="F50" s="1426">
        <f t="shared" ref="F50:F53" si="11">SUM(D50:E50)</f>
        <v>2200000</v>
      </c>
      <c r="H50" s="2428" t="s">
        <v>1139</v>
      </c>
      <c r="I50" s="2413">
        <v>335</v>
      </c>
      <c r="J50" s="1470" t="s">
        <v>110</v>
      </c>
      <c r="K50" s="1939" t="s">
        <v>845</v>
      </c>
      <c r="L50" s="2427">
        <v>58</v>
      </c>
      <c r="M50" s="2427">
        <v>58</v>
      </c>
      <c r="N50" s="1461">
        <v>5.5741460318373647E-3</v>
      </c>
      <c r="O50" s="1460">
        <v>10</v>
      </c>
      <c r="P50" s="1940" t="s">
        <v>846</v>
      </c>
      <c r="Q50" s="3231">
        <v>500</v>
      </c>
      <c r="R50" s="2422">
        <v>100</v>
      </c>
      <c r="S50" s="1469">
        <f t="shared" si="1"/>
        <v>600</v>
      </c>
      <c r="T50" s="2991">
        <v>168000</v>
      </c>
      <c r="U50" s="1469">
        <f t="shared" si="2"/>
        <v>33500</v>
      </c>
      <c r="V50" s="1469">
        <f t="shared" si="3"/>
        <v>201500</v>
      </c>
      <c r="W50" s="2993">
        <v>29000</v>
      </c>
      <c r="X50" s="1459">
        <f t="shared" si="4"/>
        <v>5800</v>
      </c>
      <c r="Y50" s="1459">
        <f t="shared" si="5"/>
        <v>34800</v>
      </c>
      <c r="Z50" s="2253">
        <v>31.95</v>
      </c>
    </row>
    <row r="51" spans="1:26">
      <c r="B51" s="1652"/>
      <c r="C51" s="1667" t="s">
        <v>1110</v>
      </c>
      <c r="D51" s="2778">
        <v>50000</v>
      </c>
      <c r="E51" s="1672">
        <v>50000</v>
      </c>
      <c r="F51" s="1426">
        <f t="shared" si="11"/>
        <v>100000</v>
      </c>
      <c r="H51" s="2428" t="s">
        <v>1140</v>
      </c>
      <c r="I51" s="2413">
        <v>335</v>
      </c>
      <c r="J51" s="1470" t="s">
        <v>110</v>
      </c>
      <c r="K51" s="1939" t="s">
        <v>845</v>
      </c>
      <c r="L51" s="2427">
        <v>41</v>
      </c>
      <c r="M51" s="2427">
        <v>41</v>
      </c>
      <c r="N51" s="1461">
        <v>6.9669909584031769E-2</v>
      </c>
      <c r="O51" s="1460">
        <v>10</v>
      </c>
      <c r="P51" s="1940" t="s">
        <v>846</v>
      </c>
      <c r="Q51" s="3231">
        <v>6000</v>
      </c>
      <c r="R51" s="2422">
        <v>1500</v>
      </c>
      <c r="S51" s="1469">
        <f t="shared" si="1"/>
        <v>7500</v>
      </c>
      <c r="T51" s="2991">
        <v>2016000</v>
      </c>
      <c r="U51" s="1469">
        <f t="shared" si="2"/>
        <v>502500</v>
      </c>
      <c r="V51" s="1469">
        <f t="shared" si="3"/>
        <v>2518500</v>
      </c>
      <c r="W51" s="2993">
        <v>246000</v>
      </c>
      <c r="X51" s="1459">
        <f t="shared" si="4"/>
        <v>61500</v>
      </c>
      <c r="Y51" s="1459">
        <f t="shared" si="5"/>
        <v>307500</v>
      </c>
      <c r="Z51" s="2253">
        <v>31.95</v>
      </c>
    </row>
    <row r="52" spans="1:26">
      <c r="B52" s="1652"/>
      <c r="C52" s="1667"/>
      <c r="D52" s="2778"/>
      <c r="E52" s="1672"/>
      <c r="F52" s="1426">
        <f t="shared" si="11"/>
        <v>0</v>
      </c>
      <c r="H52" s="2428" t="s">
        <v>1141</v>
      </c>
      <c r="I52" s="2413">
        <v>53</v>
      </c>
      <c r="J52" s="1470" t="s">
        <v>110</v>
      </c>
      <c r="K52" s="1939" t="s">
        <v>845</v>
      </c>
      <c r="L52" s="2427">
        <v>33</v>
      </c>
      <c r="M52" s="2427">
        <v>33</v>
      </c>
      <c r="N52" s="1461">
        <v>1.5353106936326239E-2</v>
      </c>
      <c r="O52" s="1460">
        <v>10</v>
      </c>
      <c r="P52" s="1940" t="s">
        <v>846</v>
      </c>
      <c r="Q52" s="3231">
        <v>5000</v>
      </c>
      <c r="R52" s="2422">
        <v>5000</v>
      </c>
      <c r="S52" s="1469">
        <f t="shared" si="1"/>
        <v>10000</v>
      </c>
      <c r="T52" s="2991">
        <v>290000</v>
      </c>
      <c r="U52" s="1469">
        <f t="shared" si="2"/>
        <v>265000</v>
      </c>
      <c r="V52" s="1469">
        <f t="shared" si="3"/>
        <v>555000</v>
      </c>
      <c r="W52" s="2993">
        <v>165000</v>
      </c>
      <c r="X52" s="1459">
        <f t="shared" si="4"/>
        <v>165000</v>
      </c>
      <c r="Y52" s="1459">
        <f t="shared" si="5"/>
        <v>330000</v>
      </c>
      <c r="Z52" s="2253">
        <v>4.5199999999999996</v>
      </c>
    </row>
    <row r="53" spans="1:26">
      <c r="B53" s="1652"/>
      <c r="C53" s="1667"/>
      <c r="D53" s="2778"/>
      <c r="E53" s="1672"/>
      <c r="F53" s="1426">
        <f t="shared" si="11"/>
        <v>0</v>
      </c>
      <c r="H53" s="2428" t="s">
        <v>1142</v>
      </c>
      <c r="I53" s="2436">
        <v>34649</v>
      </c>
      <c r="J53" s="1470" t="s">
        <v>110</v>
      </c>
      <c r="K53" s="1939" t="s">
        <v>991</v>
      </c>
      <c r="L53" s="2427">
        <v>137340</v>
      </c>
      <c r="M53" s="2427">
        <v>4121</v>
      </c>
      <c r="N53" s="1461">
        <v>1.9170082963487131E-3</v>
      </c>
      <c r="O53" s="1460">
        <v>15</v>
      </c>
      <c r="P53" s="1940" t="s">
        <v>1160</v>
      </c>
      <c r="Q53" s="3231">
        <v>1</v>
      </c>
      <c r="R53" s="2422">
        <v>1</v>
      </c>
      <c r="S53" s="1469">
        <f t="shared" si="1"/>
        <v>2</v>
      </c>
      <c r="T53" s="2991">
        <v>34649</v>
      </c>
      <c r="U53" s="1469">
        <f t="shared" si="2"/>
        <v>34649</v>
      </c>
      <c r="V53" s="1469">
        <f t="shared" si="3"/>
        <v>69298</v>
      </c>
      <c r="W53" s="2993">
        <v>4121</v>
      </c>
      <c r="X53" s="1459">
        <f t="shared" si="4"/>
        <v>4121</v>
      </c>
      <c r="Y53" s="1459">
        <f t="shared" si="5"/>
        <v>8242</v>
      </c>
      <c r="Z53" s="2251">
        <v>0</v>
      </c>
    </row>
    <row r="54" spans="1:26">
      <c r="B54" s="1652"/>
      <c r="C54" s="1488"/>
      <c r="D54" s="2779"/>
      <c r="E54" s="1490"/>
      <c r="F54" s="1493"/>
      <c r="H54" s="2428" t="s">
        <v>1143</v>
      </c>
      <c r="I54" s="2432">
        <v>2</v>
      </c>
      <c r="J54" s="1470" t="s">
        <v>110</v>
      </c>
      <c r="K54" s="1460" t="s">
        <v>992</v>
      </c>
      <c r="L54" s="2446">
        <v>1.04</v>
      </c>
      <c r="M54" s="2446">
        <v>0.75</v>
      </c>
      <c r="N54" s="1461">
        <v>1.0954649273486831E-3</v>
      </c>
      <c r="O54" s="1460">
        <v>30</v>
      </c>
      <c r="P54" s="1463" t="s">
        <v>995</v>
      </c>
      <c r="Q54" s="3248">
        <v>12000</v>
      </c>
      <c r="R54" s="2450">
        <v>12000</v>
      </c>
      <c r="S54" s="1469">
        <f t="shared" ref="S54:S86" si="12">SUM(Q54:R54)</f>
        <v>24000</v>
      </c>
      <c r="T54" s="2991">
        <v>15600</v>
      </c>
      <c r="U54" s="1469">
        <f t="shared" ref="U54:U72" si="13">R54*I54</f>
        <v>24000</v>
      </c>
      <c r="V54" s="1469">
        <f t="shared" ref="V54:V72" si="14">SUM(T54:U54)</f>
        <v>39600</v>
      </c>
      <c r="W54" s="2993">
        <v>9000</v>
      </c>
      <c r="X54" s="1459">
        <f t="shared" ref="X54:X72" si="15">R54*M54</f>
        <v>9000</v>
      </c>
      <c r="Y54" s="1459">
        <f t="shared" ref="Y54:Y72" si="16">SUM(W54:X54)</f>
        <v>18000</v>
      </c>
      <c r="Z54" s="2251">
        <v>0</v>
      </c>
    </row>
    <row r="55" spans="1:26">
      <c r="B55" s="1652"/>
      <c r="C55" s="1597" t="s">
        <v>48</v>
      </c>
      <c r="D55" s="2771">
        <f>SUM(D56:D59)</f>
        <v>1000</v>
      </c>
      <c r="E55" s="1464">
        <f>SUM(E56:E59)</f>
        <v>1000</v>
      </c>
      <c r="F55" s="1638">
        <f>D55+E55</f>
        <v>2000</v>
      </c>
      <c r="H55" s="2428" t="s">
        <v>1144</v>
      </c>
      <c r="I55" s="2432">
        <v>149</v>
      </c>
      <c r="J55" s="1470" t="s">
        <v>110</v>
      </c>
      <c r="K55" s="1460" t="s">
        <v>845</v>
      </c>
      <c r="L55" s="2446">
        <v>73</v>
      </c>
      <c r="M55" s="2446">
        <v>50</v>
      </c>
      <c r="N55" s="1461">
        <v>8.2436502108562508E-4</v>
      </c>
      <c r="O55" s="1460">
        <v>15</v>
      </c>
      <c r="P55" s="1463" t="s">
        <v>846</v>
      </c>
      <c r="Q55" s="3248">
        <v>100</v>
      </c>
      <c r="R55" s="2450">
        <v>100</v>
      </c>
      <c r="S55" s="1469">
        <f t="shared" si="12"/>
        <v>200</v>
      </c>
      <c r="T55" s="2991">
        <v>14900</v>
      </c>
      <c r="U55" s="1469">
        <f t="shared" si="13"/>
        <v>14900</v>
      </c>
      <c r="V55" s="1469">
        <f t="shared" si="14"/>
        <v>29800</v>
      </c>
      <c r="W55" s="2993">
        <v>5000</v>
      </c>
      <c r="X55" s="1459">
        <f t="shared" si="15"/>
        <v>5000</v>
      </c>
      <c r="Y55" s="1459">
        <f t="shared" si="16"/>
        <v>10000</v>
      </c>
      <c r="Z55" s="2251">
        <v>0</v>
      </c>
    </row>
    <row r="56" spans="1:26">
      <c r="B56" s="1652"/>
      <c r="C56" s="1667"/>
      <c r="D56" s="2778">
        <v>1000</v>
      </c>
      <c r="E56" s="1641">
        <v>1000</v>
      </c>
      <c r="F56" s="1426">
        <f t="shared" ref="F56:F59" si="17">SUM(D56:E56)</f>
        <v>2000</v>
      </c>
      <c r="H56" s="2428" t="s">
        <v>1145</v>
      </c>
      <c r="I56" s="2432">
        <v>20</v>
      </c>
      <c r="J56" s="1470" t="s">
        <v>110</v>
      </c>
      <c r="K56" s="1460" t="s">
        <v>845</v>
      </c>
      <c r="L56" s="2446">
        <v>4.5</v>
      </c>
      <c r="M56" s="2446">
        <v>4.5</v>
      </c>
      <c r="N56" s="1461">
        <v>4.4261209185805376E-3</v>
      </c>
      <c r="O56" s="1460">
        <v>15</v>
      </c>
      <c r="P56" s="1463" t="s">
        <v>846</v>
      </c>
      <c r="Q56" s="3248">
        <v>5000</v>
      </c>
      <c r="R56" s="2450">
        <v>3000</v>
      </c>
      <c r="S56" s="1469">
        <f t="shared" si="12"/>
        <v>8000</v>
      </c>
      <c r="T56" s="2991">
        <v>100000</v>
      </c>
      <c r="U56" s="1469">
        <f t="shared" si="13"/>
        <v>60000</v>
      </c>
      <c r="V56" s="1469">
        <f t="shared" si="14"/>
        <v>160000</v>
      </c>
      <c r="W56" s="2993">
        <v>22500</v>
      </c>
      <c r="X56" s="1459">
        <f t="shared" si="15"/>
        <v>13500</v>
      </c>
      <c r="Y56" s="1459">
        <f t="shared" si="16"/>
        <v>36000</v>
      </c>
      <c r="Z56" s="2251">
        <v>0</v>
      </c>
    </row>
    <row r="57" spans="1:26">
      <c r="B57" s="1652"/>
      <c r="C57" s="1667"/>
      <c r="D57" s="2778"/>
      <c r="E57" s="1641"/>
      <c r="F57" s="1426">
        <f t="shared" si="17"/>
        <v>0</v>
      </c>
      <c r="H57" s="2428" t="s">
        <v>1146</v>
      </c>
      <c r="I57" s="2432">
        <v>12.8</v>
      </c>
      <c r="J57" s="1470" t="s">
        <v>110</v>
      </c>
      <c r="K57" s="1460" t="s">
        <v>992</v>
      </c>
      <c r="L57" s="2446">
        <v>17.809999999999999</v>
      </c>
      <c r="M57" s="2447">
        <v>5</v>
      </c>
      <c r="N57" s="1461">
        <v>6.8438894703551564E-2</v>
      </c>
      <c r="O57" s="1460">
        <v>30</v>
      </c>
      <c r="P57" s="1463" t="s">
        <v>995</v>
      </c>
      <c r="Q57" s="3249">
        <v>100000</v>
      </c>
      <c r="R57" s="2451">
        <v>100000</v>
      </c>
      <c r="S57" s="1469">
        <f t="shared" si="12"/>
        <v>200000</v>
      </c>
      <c r="T57" s="2991">
        <v>1194000</v>
      </c>
      <c r="U57" s="1469">
        <f t="shared" si="13"/>
        <v>1280000</v>
      </c>
      <c r="V57" s="1469">
        <f t="shared" si="14"/>
        <v>2474000</v>
      </c>
      <c r="W57" s="2993">
        <v>500000</v>
      </c>
      <c r="X57" s="1459">
        <f t="shared" si="15"/>
        <v>500000</v>
      </c>
      <c r="Y57" s="1459">
        <f t="shared" si="16"/>
        <v>1000000</v>
      </c>
      <c r="Z57" s="2251">
        <v>0</v>
      </c>
    </row>
    <row r="58" spans="1:26">
      <c r="B58" s="1652"/>
      <c r="C58" s="1667"/>
      <c r="D58" s="2778"/>
      <c r="E58" s="1641"/>
      <c r="F58" s="1426">
        <f t="shared" si="17"/>
        <v>0</v>
      </c>
      <c r="H58" s="2428" t="s">
        <v>1147</v>
      </c>
      <c r="I58" s="2432">
        <v>15.4</v>
      </c>
      <c r="J58" s="1470" t="s">
        <v>110</v>
      </c>
      <c r="K58" s="1460" t="s">
        <v>992</v>
      </c>
      <c r="L58" s="2446">
        <v>19.87</v>
      </c>
      <c r="M58" s="2447">
        <v>7</v>
      </c>
      <c r="N58" s="1461">
        <v>8.0970349554282707E-3</v>
      </c>
      <c r="O58" s="1460">
        <v>30</v>
      </c>
      <c r="P58" s="1463" t="s">
        <v>995</v>
      </c>
      <c r="Q58" s="3248">
        <v>10000</v>
      </c>
      <c r="R58" s="2450">
        <v>10000</v>
      </c>
      <c r="S58" s="1469">
        <f t="shared" si="12"/>
        <v>20000</v>
      </c>
      <c r="T58" s="2991">
        <v>138700</v>
      </c>
      <c r="U58" s="1469">
        <f t="shared" si="13"/>
        <v>154000</v>
      </c>
      <c r="V58" s="1469">
        <f t="shared" si="14"/>
        <v>292700</v>
      </c>
      <c r="W58" s="2993">
        <v>70000</v>
      </c>
      <c r="X58" s="1459">
        <f t="shared" si="15"/>
        <v>70000</v>
      </c>
      <c r="Y58" s="1459">
        <f t="shared" si="16"/>
        <v>140000</v>
      </c>
      <c r="Z58" s="2251">
        <v>0</v>
      </c>
    </row>
    <row r="59" spans="1:26">
      <c r="B59" s="1652"/>
      <c r="C59" s="1667"/>
      <c r="D59" s="2778"/>
      <c r="E59" s="1641"/>
      <c r="F59" s="1426">
        <f t="shared" si="17"/>
        <v>0</v>
      </c>
      <c r="H59" s="2428" t="s">
        <v>1148</v>
      </c>
      <c r="I59" s="2432">
        <v>23.7</v>
      </c>
      <c r="J59" s="1470" t="s">
        <v>110</v>
      </c>
      <c r="K59" s="1460" t="s">
        <v>992</v>
      </c>
      <c r="L59" s="2446">
        <v>17.809999999999999</v>
      </c>
      <c r="M59" s="2447">
        <v>7</v>
      </c>
      <c r="N59" s="1461">
        <v>0.10036229182881369</v>
      </c>
      <c r="O59" s="1460">
        <v>30</v>
      </c>
      <c r="P59" s="1463" t="s">
        <v>995</v>
      </c>
      <c r="Q59" s="3248">
        <v>80000</v>
      </c>
      <c r="R59" s="2450">
        <v>80000</v>
      </c>
      <c r="S59" s="1469">
        <f t="shared" si="12"/>
        <v>160000</v>
      </c>
      <c r="T59" s="2991">
        <v>1732000</v>
      </c>
      <c r="U59" s="1469">
        <f t="shared" si="13"/>
        <v>1896000</v>
      </c>
      <c r="V59" s="1469">
        <f t="shared" si="14"/>
        <v>3628000</v>
      </c>
      <c r="W59" s="2993">
        <v>560000</v>
      </c>
      <c r="X59" s="1459">
        <f t="shared" si="15"/>
        <v>560000</v>
      </c>
      <c r="Y59" s="1459">
        <f t="shared" si="16"/>
        <v>1120000</v>
      </c>
      <c r="Z59" s="2251">
        <v>0</v>
      </c>
    </row>
    <row r="60" spans="1:26">
      <c r="B60" s="1652"/>
      <c r="C60" s="1488"/>
      <c r="D60" s="2779"/>
      <c r="E60" s="1490"/>
      <c r="F60" s="1493"/>
      <c r="H60" s="2428" t="s">
        <v>1149</v>
      </c>
      <c r="I60" s="2432">
        <v>26.3</v>
      </c>
      <c r="J60" s="1470" t="s">
        <v>110</v>
      </c>
      <c r="K60" s="1460" t="s">
        <v>992</v>
      </c>
      <c r="L60" s="2446">
        <v>19.87</v>
      </c>
      <c r="M60" s="2447">
        <v>9</v>
      </c>
      <c r="N60" s="1461">
        <v>8.1285710669731573E-3</v>
      </c>
      <c r="O60" s="1460">
        <v>30</v>
      </c>
      <c r="P60" s="1463" t="s">
        <v>995</v>
      </c>
      <c r="Q60" s="3248">
        <v>8000</v>
      </c>
      <c r="R60" s="2450">
        <v>4000</v>
      </c>
      <c r="S60" s="1469">
        <f t="shared" si="12"/>
        <v>12000</v>
      </c>
      <c r="T60" s="2991">
        <v>188640</v>
      </c>
      <c r="U60" s="1469">
        <f t="shared" si="13"/>
        <v>105200</v>
      </c>
      <c r="V60" s="1469">
        <f t="shared" si="14"/>
        <v>293840</v>
      </c>
      <c r="W60" s="2993">
        <v>72000</v>
      </c>
      <c r="X60" s="1459">
        <f t="shared" si="15"/>
        <v>36000</v>
      </c>
      <c r="Y60" s="1459">
        <f t="shared" si="16"/>
        <v>108000</v>
      </c>
      <c r="Z60" s="2251">
        <v>0</v>
      </c>
    </row>
    <row r="61" spans="1:26">
      <c r="B61" s="1652"/>
      <c r="C61" s="1597" t="s">
        <v>49</v>
      </c>
      <c r="D61" s="2771">
        <f>SUM(D62:D65)</f>
        <v>1000</v>
      </c>
      <c r="E61" s="1464">
        <f>SUM(E62:E65)</f>
        <v>1000</v>
      </c>
      <c r="F61" s="1638">
        <f>D61+E61</f>
        <v>2000</v>
      </c>
      <c r="H61" s="2438" t="s">
        <v>1150</v>
      </c>
      <c r="I61" s="2439">
        <v>79.5</v>
      </c>
      <c r="J61" s="1470" t="s">
        <v>110</v>
      </c>
      <c r="K61" s="1460" t="s">
        <v>845</v>
      </c>
      <c r="L61" s="2446">
        <v>332.27</v>
      </c>
      <c r="M61" s="2446">
        <v>150</v>
      </c>
      <c r="N61" s="1461">
        <v>7.8287013747393259E-4</v>
      </c>
      <c r="O61" s="1460">
        <v>20</v>
      </c>
      <c r="P61" s="1463" t="s">
        <v>995</v>
      </c>
      <c r="Q61" s="3248">
        <v>200</v>
      </c>
      <c r="R61" s="2450">
        <v>200</v>
      </c>
      <c r="S61" s="1469">
        <f t="shared" si="12"/>
        <v>400</v>
      </c>
      <c r="T61" s="2991">
        <v>12400</v>
      </c>
      <c r="U61" s="1469">
        <f t="shared" si="13"/>
        <v>15900</v>
      </c>
      <c r="V61" s="1469">
        <f t="shared" si="14"/>
        <v>28300</v>
      </c>
      <c r="W61" s="2993">
        <v>30000</v>
      </c>
      <c r="X61" s="1459">
        <f t="shared" si="15"/>
        <v>30000</v>
      </c>
      <c r="Y61" s="1459">
        <f t="shared" si="16"/>
        <v>60000</v>
      </c>
      <c r="Z61" s="2251">
        <v>0</v>
      </c>
    </row>
    <row r="62" spans="1:26">
      <c r="B62" s="1652"/>
      <c r="C62" s="1667"/>
      <c r="D62" s="2778">
        <v>1000</v>
      </c>
      <c r="E62" s="1672">
        <v>1000</v>
      </c>
      <c r="F62" s="1426">
        <f t="shared" ref="F62:F65" si="18">SUM(D62:E62)</f>
        <v>2000</v>
      </c>
      <c r="H62" s="2440" t="s">
        <v>1151</v>
      </c>
      <c r="I62" s="2441">
        <v>5</v>
      </c>
      <c r="J62" s="1470" t="s">
        <v>110</v>
      </c>
      <c r="K62" s="1460" t="s">
        <v>845</v>
      </c>
      <c r="L62" s="1467">
        <v>6</v>
      </c>
      <c r="M62" s="1467">
        <v>20</v>
      </c>
      <c r="N62" s="1461">
        <v>2.766325574112836E-5</v>
      </c>
      <c r="O62" s="1460">
        <v>15</v>
      </c>
      <c r="P62" s="1463" t="s">
        <v>846</v>
      </c>
      <c r="Q62" s="3248">
        <v>100</v>
      </c>
      <c r="R62" s="2450">
        <v>100</v>
      </c>
      <c r="S62" s="1469">
        <f t="shared" si="12"/>
        <v>200</v>
      </c>
      <c r="T62" s="2991">
        <v>500</v>
      </c>
      <c r="U62" s="1469">
        <f t="shared" si="13"/>
        <v>500</v>
      </c>
      <c r="V62" s="1469">
        <f t="shared" si="14"/>
        <v>1000</v>
      </c>
      <c r="W62" s="2993">
        <v>2000</v>
      </c>
      <c r="X62" s="1459">
        <f t="shared" si="15"/>
        <v>2000</v>
      </c>
      <c r="Y62" s="1459">
        <f t="shared" si="16"/>
        <v>4000</v>
      </c>
      <c r="Z62" s="2251">
        <v>0.43</v>
      </c>
    </row>
    <row r="63" spans="1:26">
      <c r="B63" s="1652"/>
      <c r="C63" s="1667"/>
      <c r="D63" s="2778"/>
      <c r="E63" s="1672"/>
      <c r="F63" s="1426">
        <f t="shared" si="18"/>
        <v>0</v>
      </c>
      <c r="H63" s="2440" t="s">
        <v>1152</v>
      </c>
      <c r="I63" s="2205">
        <v>9.66</v>
      </c>
      <c r="J63" s="1470" t="s">
        <v>110</v>
      </c>
      <c r="K63" s="1460" t="s">
        <v>845</v>
      </c>
      <c r="L63" s="1467">
        <v>13.78</v>
      </c>
      <c r="M63" s="1467">
        <v>25</v>
      </c>
      <c r="N63" s="1461">
        <v>4.4245994395147757E-3</v>
      </c>
      <c r="O63" s="1460">
        <v>15</v>
      </c>
      <c r="P63" s="1463" t="s">
        <v>880</v>
      </c>
      <c r="Q63" s="3248">
        <v>5000</v>
      </c>
      <c r="R63" s="2450">
        <v>500</v>
      </c>
      <c r="S63" s="1469">
        <f t="shared" si="12"/>
        <v>5500</v>
      </c>
      <c r="T63" s="2991">
        <v>155000</v>
      </c>
      <c r="U63" s="1469">
        <f t="shared" si="13"/>
        <v>4830</v>
      </c>
      <c r="V63" s="1469">
        <f t="shared" si="14"/>
        <v>159830</v>
      </c>
      <c r="W63" s="2993">
        <v>125000</v>
      </c>
      <c r="X63" s="1459">
        <f t="shared" si="15"/>
        <v>12500</v>
      </c>
      <c r="Y63" s="1459">
        <f t="shared" si="16"/>
        <v>137500</v>
      </c>
      <c r="Z63" s="2251">
        <v>0</v>
      </c>
    </row>
    <row r="64" spans="1:26" ht="25.5">
      <c r="A64" s="1400" t="s">
        <v>270</v>
      </c>
      <c r="B64" s="1652"/>
      <c r="C64" s="1667"/>
      <c r="D64" s="2778"/>
      <c r="E64" s="1672"/>
      <c r="F64" s="1426">
        <f t="shared" si="18"/>
        <v>0</v>
      </c>
      <c r="H64" s="2438" t="s">
        <v>544</v>
      </c>
      <c r="I64" s="2442">
        <v>50000</v>
      </c>
      <c r="J64" s="1470" t="s">
        <v>110</v>
      </c>
      <c r="K64" s="1460" t="s">
        <v>991</v>
      </c>
      <c r="L64" s="1467">
        <v>10000</v>
      </c>
      <c r="M64" s="1467">
        <v>10000</v>
      </c>
      <c r="N64" s="1461">
        <v>5.5326511482256716E-2</v>
      </c>
      <c r="O64" s="1460">
        <v>3</v>
      </c>
      <c r="P64" s="1463" t="s">
        <v>995</v>
      </c>
      <c r="Q64" s="3248">
        <v>0</v>
      </c>
      <c r="R64" s="2450">
        <v>40</v>
      </c>
      <c r="S64" s="1469">
        <f t="shared" si="12"/>
        <v>40</v>
      </c>
      <c r="T64" s="2991">
        <v>0</v>
      </c>
      <c r="U64" s="1469">
        <f t="shared" si="13"/>
        <v>2000000</v>
      </c>
      <c r="V64" s="1469">
        <f t="shared" si="14"/>
        <v>2000000</v>
      </c>
      <c r="W64" s="2993">
        <v>0</v>
      </c>
      <c r="X64" s="1459">
        <f t="shared" si="15"/>
        <v>400000</v>
      </c>
      <c r="Y64" s="1459">
        <f t="shared" si="16"/>
        <v>400000</v>
      </c>
      <c r="Z64" s="2251">
        <v>0</v>
      </c>
    </row>
    <row r="65" spans="1:26">
      <c r="A65" s="1357" t="s">
        <v>271</v>
      </c>
      <c r="B65" s="1652"/>
      <c r="C65" s="1667"/>
      <c r="D65" s="2778"/>
      <c r="E65" s="1672"/>
      <c r="F65" s="1426">
        <f t="shared" si="18"/>
        <v>0</v>
      </c>
      <c r="H65" s="2438" t="s">
        <v>1153</v>
      </c>
      <c r="I65" s="2442">
        <v>40000</v>
      </c>
      <c r="J65" s="1470" t="s">
        <v>110</v>
      </c>
      <c r="K65" s="1460" t="s">
        <v>991</v>
      </c>
      <c r="L65" s="1467">
        <v>15000</v>
      </c>
      <c r="M65" s="1467">
        <v>10000</v>
      </c>
      <c r="N65" s="1461">
        <v>2.2130604592902688E-3</v>
      </c>
      <c r="O65" s="1460">
        <v>5</v>
      </c>
      <c r="P65" s="1463" t="s">
        <v>995</v>
      </c>
      <c r="Q65" s="3249">
        <v>1</v>
      </c>
      <c r="R65" s="2451">
        <v>1</v>
      </c>
      <c r="S65" s="1469">
        <f t="shared" si="12"/>
        <v>2</v>
      </c>
      <c r="T65" s="2991">
        <v>40000</v>
      </c>
      <c r="U65" s="1469">
        <f t="shared" si="13"/>
        <v>40000</v>
      </c>
      <c r="V65" s="1469">
        <f t="shared" si="14"/>
        <v>80000</v>
      </c>
      <c r="W65" s="2993">
        <v>10000</v>
      </c>
      <c r="X65" s="1459">
        <f t="shared" si="15"/>
        <v>10000</v>
      </c>
      <c r="Y65" s="1459">
        <f t="shared" si="16"/>
        <v>20000</v>
      </c>
      <c r="Z65" s="2251">
        <v>0</v>
      </c>
    </row>
    <row r="66" spans="1:26">
      <c r="A66" s="1400" t="s">
        <v>5</v>
      </c>
      <c r="B66" s="1652"/>
      <c r="C66" s="1488"/>
      <c r="D66" s="2779"/>
      <c r="E66" s="1490"/>
      <c r="F66" s="1493"/>
      <c r="H66" s="2443" t="s">
        <v>1154</v>
      </c>
      <c r="I66" s="2444">
        <v>645</v>
      </c>
      <c r="J66" s="2226" t="s">
        <v>110</v>
      </c>
      <c r="K66" s="2224" t="s">
        <v>893</v>
      </c>
      <c r="L66" s="1467">
        <v>642.36</v>
      </c>
      <c r="M66" s="1467">
        <v>642.36</v>
      </c>
      <c r="N66" s="2250">
        <v>0</v>
      </c>
      <c r="O66" s="2224">
        <v>20</v>
      </c>
      <c r="P66" s="2225" t="s">
        <v>995</v>
      </c>
      <c r="Q66" s="3250">
        <v>0</v>
      </c>
      <c r="R66" s="2452">
        <v>0</v>
      </c>
      <c r="S66" s="2228">
        <f t="shared" si="12"/>
        <v>0</v>
      </c>
      <c r="T66" s="2986">
        <v>0</v>
      </c>
      <c r="U66" s="2228">
        <f t="shared" si="13"/>
        <v>0</v>
      </c>
      <c r="V66" s="2228">
        <f t="shared" si="14"/>
        <v>0</v>
      </c>
      <c r="W66" s="2990">
        <v>0</v>
      </c>
      <c r="X66" s="2230">
        <f t="shared" si="15"/>
        <v>0</v>
      </c>
      <c r="Y66" s="2230">
        <f t="shared" si="16"/>
        <v>0</v>
      </c>
      <c r="Z66" s="2252">
        <v>0</v>
      </c>
    </row>
    <row r="67" spans="1:26">
      <c r="A67" s="1400">
        <v>18230407</v>
      </c>
      <c r="B67" s="1652"/>
      <c r="C67" s="1597" t="s">
        <v>50</v>
      </c>
      <c r="D67" s="2771">
        <f>W15</f>
        <v>8157682</v>
      </c>
      <c r="E67" s="1464">
        <f>X15</f>
        <v>8479517</v>
      </c>
      <c r="F67" s="1638">
        <f>D67+E67</f>
        <v>16637199</v>
      </c>
      <c r="H67" s="2443" t="s">
        <v>1155</v>
      </c>
      <c r="I67" s="2444">
        <v>228</v>
      </c>
      <c r="J67" s="2226" t="s">
        <v>110</v>
      </c>
      <c r="K67" s="2224" t="s">
        <v>845</v>
      </c>
      <c r="L67" s="1467">
        <v>349</v>
      </c>
      <c r="M67" s="1467">
        <v>100</v>
      </c>
      <c r="N67" s="2250">
        <v>2.0415482736952728E-4</v>
      </c>
      <c r="O67" s="2224">
        <v>12</v>
      </c>
      <c r="P67" s="2225" t="s">
        <v>878</v>
      </c>
      <c r="Q67" s="3251">
        <v>20</v>
      </c>
      <c r="R67" s="2453">
        <v>20</v>
      </c>
      <c r="S67" s="2228">
        <f t="shared" si="12"/>
        <v>40</v>
      </c>
      <c r="T67" s="2986">
        <v>2820</v>
      </c>
      <c r="U67" s="2228">
        <f t="shared" si="13"/>
        <v>4560</v>
      </c>
      <c r="V67" s="2228">
        <f t="shared" si="14"/>
        <v>7380</v>
      </c>
      <c r="W67" s="2990">
        <v>2000</v>
      </c>
      <c r="X67" s="2230">
        <f t="shared" si="15"/>
        <v>2000</v>
      </c>
      <c r="Y67" s="2230">
        <f t="shared" si="16"/>
        <v>4000</v>
      </c>
      <c r="Z67" s="2252">
        <v>5.86</v>
      </c>
    </row>
    <row r="68" spans="1:26">
      <c r="A68" s="1400" t="s">
        <v>4</v>
      </c>
      <c r="C68" s="1500" t="s">
        <v>297</v>
      </c>
      <c r="D68" s="2938">
        <f>D67/D12</f>
        <v>0.83446013927142915</v>
      </c>
      <c r="E68" s="1986">
        <f>E67/E12</f>
        <v>0.84170644648939419</v>
      </c>
      <c r="F68" s="1499"/>
      <c r="H68" s="2443" t="s">
        <v>1156</v>
      </c>
      <c r="I68" s="2444">
        <v>183</v>
      </c>
      <c r="J68" s="2226" t="s">
        <v>110</v>
      </c>
      <c r="K68" s="2224" t="s">
        <v>845</v>
      </c>
      <c r="L68" s="1467">
        <v>46</v>
      </c>
      <c r="M68" s="1467">
        <v>50</v>
      </c>
      <c r="N68" s="2250">
        <v>1.5270117169102854E-4</v>
      </c>
      <c r="O68" s="2224">
        <v>12</v>
      </c>
      <c r="P68" s="2225" t="s">
        <v>878</v>
      </c>
      <c r="Q68" s="3251">
        <v>20</v>
      </c>
      <c r="R68" s="2453">
        <v>20</v>
      </c>
      <c r="S68" s="2228">
        <f t="shared" si="12"/>
        <v>40</v>
      </c>
      <c r="T68" s="2986">
        <v>1860</v>
      </c>
      <c r="U68" s="2228">
        <f t="shared" si="13"/>
        <v>3660</v>
      </c>
      <c r="V68" s="2228">
        <f t="shared" si="14"/>
        <v>5520</v>
      </c>
      <c r="W68" s="2990">
        <v>1000</v>
      </c>
      <c r="X68" s="2230">
        <f t="shared" si="15"/>
        <v>1000</v>
      </c>
      <c r="Y68" s="2230">
        <f t="shared" si="16"/>
        <v>2000</v>
      </c>
      <c r="Z68" s="2252">
        <v>-0.31</v>
      </c>
    </row>
    <row r="69" spans="1:26">
      <c r="C69" s="1501"/>
      <c r="D69" s="2782"/>
      <c r="E69" s="1497"/>
      <c r="F69" s="1498"/>
      <c r="H69" s="2443" t="s">
        <v>1157</v>
      </c>
      <c r="I69" s="2444">
        <v>0</v>
      </c>
      <c r="J69" s="2226" t="s">
        <v>110</v>
      </c>
      <c r="K69" s="2224" t="s">
        <v>845</v>
      </c>
      <c r="L69" s="1467">
        <v>1</v>
      </c>
      <c r="M69" s="1467">
        <v>1</v>
      </c>
      <c r="N69" s="2250">
        <v>0</v>
      </c>
      <c r="O69" s="2224">
        <v>30</v>
      </c>
      <c r="P69" s="2225" t="s">
        <v>995</v>
      </c>
      <c r="Q69" s="3250">
        <v>0</v>
      </c>
      <c r="R69" s="2454">
        <v>0</v>
      </c>
      <c r="S69" s="2228">
        <f t="shared" si="12"/>
        <v>0</v>
      </c>
      <c r="T69" s="2986">
        <v>0</v>
      </c>
      <c r="U69" s="2228">
        <f t="shared" si="13"/>
        <v>0</v>
      </c>
      <c r="V69" s="2228">
        <f t="shared" si="14"/>
        <v>0</v>
      </c>
      <c r="W69" s="2990">
        <v>0</v>
      </c>
      <c r="X69" s="2230">
        <f t="shared" si="15"/>
        <v>0</v>
      </c>
      <c r="Y69" s="2230">
        <f t="shared" si="16"/>
        <v>0</v>
      </c>
      <c r="Z69" s="2252">
        <v>0</v>
      </c>
    </row>
    <row r="70" spans="1:26">
      <c r="C70" s="1494" t="s">
        <v>51</v>
      </c>
      <c r="D70" s="2778">
        <v>0</v>
      </c>
      <c r="E70" s="1671">
        <v>0</v>
      </c>
      <c r="F70" s="1491">
        <v>0</v>
      </c>
      <c r="H70" s="2443" t="s">
        <v>1158</v>
      </c>
      <c r="I70" s="2444">
        <v>538</v>
      </c>
      <c r="J70" s="2226" t="s">
        <v>110</v>
      </c>
      <c r="K70" s="2224" t="s">
        <v>893</v>
      </c>
      <c r="L70" s="1467">
        <v>480.54</v>
      </c>
      <c r="M70" s="1467">
        <v>480.54</v>
      </c>
      <c r="N70" s="2250">
        <v>0</v>
      </c>
      <c r="O70" s="2224">
        <v>20</v>
      </c>
      <c r="P70" s="2225" t="s">
        <v>995</v>
      </c>
      <c r="Q70" s="3250">
        <v>0</v>
      </c>
      <c r="R70" s="2454">
        <v>0</v>
      </c>
      <c r="S70" s="2228">
        <f t="shared" si="12"/>
        <v>0</v>
      </c>
      <c r="T70" s="2986">
        <v>0</v>
      </c>
      <c r="U70" s="2228">
        <f t="shared" si="13"/>
        <v>0</v>
      </c>
      <c r="V70" s="2228">
        <f t="shared" si="14"/>
        <v>0</v>
      </c>
      <c r="W70" s="2990">
        <v>0</v>
      </c>
      <c r="X70" s="2230">
        <f t="shared" si="15"/>
        <v>0</v>
      </c>
      <c r="Y70" s="2230">
        <f t="shared" si="16"/>
        <v>0</v>
      </c>
      <c r="Z70" s="2252">
        <v>0</v>
      </c>
    </row>
    <row r="71" spans="1:26">
      <c r="H71" s="2443" t="s">
        <v>1851</v>
      </c>
      <c r="I71" s="2444">
        <v>49</v>
      </c>
      <c r="J71" s="2226" t="s">
        <v>110</v>
      </c>
      <c r="K71" s="2224" t="s">
        <v>893</v>
      </c>
      <c r="L71" s="1467">
        <v>58.15</v>
      </c>
      <c r="M71" s="1467">
        <v>50</v>
      </c>
      <c r="N71" s="2250">
        <v>0</v>
      </c>
      <c r="O71" s="2224">
        <v>20</v>
      </c>
      <c r="P71" s="2225" t="s">
        <v>995</v>
      </c>
      <c r="Q71" s="3250">
        <v>0</v>
      </c>
      <c r="R71" s="2454">
        <v>0</v>
      </c>
      <c r="S71" s="2228">
        <f t="shared" si="12"/>
        <v>0</v>
      </c>
      <c r="T71" s="2986">
        <v>0</v>
      </c>
      <c r="U71" s="2228">
        <f t="shared" si="13"/>
        <v>0</v>
      </c>
      <c r="V71" s="2228">
        <f t="shared" si="14"/>
        <v>0</v>
      </c>
      <c r="W71" s="2990">
        <v>0</v>
      </c>
      <c r="X71" s="2230">
        <f t="shared" si="15"/>
        <v>0</v>
      </c>
      <c r="Y71" s="2230">
        <f t="shared" si="16"/>
        <v>0</v>
      </c>
      <c r="Z71" s="2252">
        <v>0</v>
      </c>
    </row>
    <row r="72" spans="1:26">
      <c r="H72" s="2443" t="s">
        <v>1159</v>
      </c>
      <c r="I72" s="2444">
        <v>76.97</v>
      </c>
      <c r="J72" s="2226" t="s">
        <v>110</v>
      </c>
      <c r="K72" s="2224" t="s">
        <v>845</v>
      </c>
      <c r="L72" s="1467">
        <v>2.1</v>
      </c>
      <c r="M72" s="1467">
        <v>2.1</v>
      </c>
      <c r="N72" s="2250">
        <v>9.5849031654648593E-3</v>
      </c>
      <c r="O72" s="2224">
        <v>10</v>
      </c>
      <c r="P72" s="2225" t="s">
        <v>846</v>
      </c>
      <c r="Q72" s="3251">
        <v>4000</v>
      </c>
      <c r="R72" s="2453">
        <v>500</v>
      </c>
      <c r="S72" s="2228">
        <f t="shared" si="12"/>
        <v>4500</v>
      </c>
      <c r="T72" s="2986">
        <v>308000</v>
      </c>
      <c r="U72" s="2228">
        <f t="shared" si="13"/>
        <v>38485</v>
      </c>
      <c r="V72" s="2228">
        <f t="shared" si="14"/>
        <v>346485</v>
      </c>
      <c r="W72" s="2990">
        <v>8400</v>
      </c>
      <c r="X72" s="2230">
        <f t="shared" si="15"/>
        <v>1050</v>
      </c>
      <c r="Y72" s="2230">
        <f t="shared" si="16"/>
        <v>9450</v>
      </c>
      <c r="Z72" s="2252">
        <v>8.33</v>
      </c>
    </row>
    <row r="73" spans="1:26">
      <c r="H73" s="2428" t="s">
        <v>1852</v>
      </c>
      <c r="I73" s="2432">
        <v>809</v>
      </c>
      <c r="J73" s="2226" t="s">
        <v>110</v>
      </c>
      <c r="K73" s="2224" t="s">
        <v>845</v>
      </c>
      <c r="L73" s="1467">
        <v>600</v>
      </c>
      <c r="M73" s="1467">
        <v>600</v>
      </c>
      <c r="N73" s="2250">
        <v>1.1189786947286421E-3</v>
      </c>
      <c r="O73" s="2224">
        <v>11</v>
      </c>
      <c r="P73" s="2225" t="s">
        <v>846</v>
      </c>
      <c r="Q73" s="3251">
        <v>0</v>
      </c>
      <c r="R73" s="2453">
        <v>50</v>
      </c>
      <c r="S73" s="2228">
        <f t="shared" si="12"/>
        <v>50</v>
      </c>
      <c r="T73" s="2986"/>
      <c r="U73" s="2228">
        <f t="shared" ref="U73:U86" si="19">R73*I73</f>
        <v>40450</v>
      </c>
      <c r="V73" s="2228">
        <f t="shared" ref="V73:V86" si="20">SUM(T73:U73)</f>
        <v>40450</v>
      </c>
      <c r="W73" s="2990"/>
      <c r="X73" s="2230">
        <f t="shared" ref="X73:X86" si="21">R73*M73</f>
        <v>30000</v>
      </c>
      <c r="Y73" s="2230">
        <f t="shared" ref="Y73:Y86" si="22">SUM(W73:X73)</f>
        <v>30000</v>
      </c>
      <c r="Z73" s="2252"/>
    </row>
    <row r="74" spans="1:26">
      <c r="H74" s="2428" t="s">
        <v>1853</v>
      </c>
      <c r="I74" s="2432">
        <v>1</v>
      </c>
      <c r="J74" s="2226" t="s">
        <v>110</v>
      </c>
      <c r="K74" s="2224" t="s">
        <v>991</v>
      </c>
      <c r="L74" s="1467">
        <v>0.02</v>
      </c>
      <c r="M74" s="1467">
        <v>0.02</v>
      </c>
      <c r="N74" s="2250" t="s">
        <v>229</v>
      </c>
      <c r="O74" s="2224">
        <v>3</v>
      </c>
      <c r="P74" s="2225" t="s">
        <v>995</v>
      </c>
      <c r="Q74" s="3251">
        <v>0</v>
      </c>
      <c r="R74" s="2453"/>
      <c r="S74" s="2228">
        <f t="shared" si="12"/>
        <v>0</v>
      </c>
      <c r="T74" s="2986"/>
      <c r="U74" s="2228">
        <f t="shared" si="19"/>
        <v>0</v>
      </c>
      <c r="V74" s="2228">
        <f t="shared" si="20"/>
        <v>0</v>
      </c>
      <c r="W74" s="2990"/>
      <c r="X74" s="2230">
        <f t="shared" si="21"/>
        <v>0</v>
      </c>
      <c r="Y74" s="2230">
        <f t="shared" si="22"/>
        <v>0</v>
      </c>
      <c r="Z74" s="2252"/>
    </row>
    <row r="75" spans="1:26">
      <c r="H75" s="2428" t="s">
        <v>1854</v>
      </c>
      <c r="I75" s="2432">
        <v>63.06</v>
      </c>
      <c r="J75" s="2226" t="s">
        <v>110</v>
      </c>
      <c r="K75" s="2224" t="s">
        <v>845</v>
      </c>
      <c r="L75" s="1467">
        <v>2.1</v>
      </c>
      <c r="M75" s="1467">
        <v>2.1</v>
      </c>
      <c r="N75" s="2250">
        <v>3.4888898140711085E-3</v>
      </c>
      <c r="O75" s="2224">
        <v>12</v>
      </c>
      <c r="P75" s="2225" t="s">
        <v>880</v>
      </c>
      <c r="Q75" s="3251">
        <v>0</v>
      </c>
      <c r="R75" s="2453">
        <v>2000</v>
      </c>
      <c r="S75" s="2228">
        <f t="shared" si="12"/>
        <v>2000</v>
      </c>
      <c r="T75" s="2986"/>
      <c r="U75" s="2228">
        <f t="shared" si="19"/>
        <v>126120</v>
      </c>
      <c r="V75" s="2228">
        <f t="shared" si="20"/>
        <v>126120</v>
      </c>
      <c r="W75" s="2990"/>
      <c r="X75" s="2230">
        <f t="shared" si="21"/>
        <v>4200</v>
      </c>
      <c r="Y75" s="2230">
        <f t="shared" si="22"/>
        <v>4200</v>
      </c>
      <c r="Z75" s="2252"/>
    </row>
    <row r="76" spans="1:26">
      <c r="H76" s="2428" t="s">
        <v>1855</v>
      </c>
      <c r="I76" s="2432">
        <v>36.729999999999997</v>
      </c>
      <c r="J76" s="2226" t="s">
        <v>110</v>
      </c>
      <c r="K76" s="2224" t="s">
        <v>845</v>
      </c>
      <c r="L76" s="1467">
        <v>2.1</v>
      </c>
      <c r="M76" s="1467">
        <v>2.1</v>
      </c>
      <c r="N76" s="2250">
        <v>2.0321427667432893E-3</v>
      </c>
      <c r="O76" s="2224">
        <v>12</v>
      </c>
      <c r="P76" s="2225" t="s">
        <v>880</v>
      </c>
      <c r="Q76" s="3251">
        <v>0</v>
      </c>
      <c r="R76" s="2453">
        <v>2000</v>
      </c>
      <c r="S76" s="2228">
        <f t="shared" si="12"/>
        <v>2000</v>
      </c>
      <c r="T76" s="2986"/>
      <c r="U76" s="2228">
        <f t="shared" si="19"/>
        <v>73460</v>
      </c>
      <c r="V76" s="2228">
        <f t="shared" si="20"/>
        <v>73460</v>
      </c>
      <c r="W76" s="2990"/>
      <c r="X76" s="2230">
        <f t="shared" si="21"/>
        <v>4200</v>
      </c>
      <c r="Y76" s="2230">
        <f t="shared" si="22"/>
        <v>4200</v>
      </c>
      <c r="Z76" s="2252"/>
    </row>
    <row r="77" spans="1:26">
      <c r="H77" s="2428" t="s">
        <v>1856</v>
      </c>
      <c r="I77" s="2432">
        <v>20.67</v>
      </c>
      <c r="J77" s="2226" t="s">
        <v>110</v>
      </c>
      <c r="K77" s="2224" t="s">
        <v>845</v>
      </c>
      <c r="L77" s="1467">
        <v>7.22</v>
      </c>
      <c r="M77" s="1467">
        <v>7.22</v>
      </c>
      <c r="N77" s="2250">
        <v>5.6350051944678472E-4</v>
      </c>
      <c r="O77" s="2224">
        <v>12</v>
      </c>
      <c r="P77" s="2225" t="s">
        <v>880</v>
      </c>
      <c r="Q77" s="3251">
        <v>0</v>
      </c>
      <c r="R77" s="2453">
        <v>1000</v>
      </c>
      <c r="S77" s="2228">
        <f t="shared" si="12"/>
        <v>1000</v>
      </c>
      <c r="T77" s="2986"/>
      <c r="U77" s="2228">
        <f t="shared" si="19"/>
        <v>20670</v>
      </c>
      <c r="V77" s="2228">
        <f t="shared" si="20"/>
        <v>20670</v>
      </c>
      <c r="W77" s="2990"/>
      <c r="X77" s="2230">
        <f t="shared" si="21"/>
        <v>7220</v>
      </c>
      <c r="Y77" s="2230">
        <f t="shared" si="22"/>
        <v>7220</v>
      </c>
      <c r="Z77" s="2252"/>
    </row>
    <row r="78" spans="1:26">
      <c r="H78" s="2428" t="s">
        <v>1857</v>
      </c>
      <c r="I78" s="2432">
        <v>16.010000000000002</v>
      </c>
      <c r="J78" s="2226" t="s">
        <v>110</v>
      </c>
      <c r="K78" s="2224" t="s">
        <v>845</v>
      </c>
      <c r="L78" s="1467">
        <v>8.39</v>
      </c>
      <c r="M78" s="1467">
        <v>8.39</v>
      </c>
      <c r="N78" s="2250">
        <v>4.4288872441546507E-4</v>
      </c>
      <c r="O78" s="2224">
        <v>12</v>
      </c>
      <c r="P78" s="2225" t="s">
        <v>880</v>
      </c>
      <c r="Q78" s="3251">
        <v>0</v>
      </c>
      <c r="R78" s="2453">
        <v>1000</v>
      </c>
      <c r="S78" s="2228">
        <f t="shared" si="12"/>
        <v>1000</v>
      </c>
      <c r="T78" s="2986"/>
      <c r="U78" s="2228">
        <f t="shared" si="19"/>
        <v>16010.000000000002</v>
      </c>
      <c r="V78" s="2228">
        <f t="shared" si="20"/>
        <v>16010.000000000002</v>
      </c>
      <c r="W78" s="2990"/>
      <c r="X78" s="2230">
        <f t="shared" si="21"/>
        <v>8390</v>
      </c>
      <c r="Y78" s="2230">
        <f t="shared" si="22"/>
        <v>8390</v>
      </c>
      <c r="Z78" s="2252"/>
    </row>
    <row r="79" spans="1:26">
      <c r="H79" s="2428" t="s">
        <v>1858</v>
      </c>
      <c r="I79" s="2432"/>
      <c r="J79" s="2226" t="s">
        <v>110</v>
      </c>
      <c r="K79" s="2224"/>
      <c r="L79" s="1467"/>
      <c r="M79" s="1467"/>
      <c r="N79" s="2250" t="s">
        <v>229</v>
      </c>
      <c r="O79" s="2224"/>
      <c r="P79" s="2225"/>
      <c r="Q79" s="3251">
        <v>0</v>
      </c>
      <c r="R79" s="2453"/>
      <c r="S79" s="2228">
        <f t="shared" si="12"/>
        <v>0</v>
      </c>
      <c r="T79" s="2986"/>
      <c r="U79" s="2228">
        <f t="shared" si="19"/>
        <v>0</v>
      </c>
      <c r="V79" s="2228">
        <f t="shared" si="20"/>
        <v>0</v>
      </c>
      <c r="W79" s="2990"/>
      <c r="X79" s="2230">
        <f t="shared" si="21"/>
        <v>0</v>
      </c>
      <c r="Y79" s="2230">
        <f t="shared" si="22"/>
        <v>0</v>
      </c>
      <c r="Z79" s="2252"/>
    </row>
    <row r="80" spans="1:26">
      <c r="H80" s="2428" t="s">
        <v>1859</v>
      </c>
      <c r="I80" s="2432">
        <v>18.09</v>
      </c>
      <c r="J80" s="2226" t="s">
        <v>110</v>
      </c>
      <c r="K80" s="2224" t="s">
        <v>991</v>
      </c>
      <c r="L80" s="1467">
        <v>8.8699999999999992</v>
      </c>
      <c r="M80" s="1467">
        <v>8.8699999999999992</v>
      </c>
      <c r="N80" s="2250">
        <v>3.4164120840293521E-4</v>
      </c>
      <c r="O80" s="2224">
        <v>12</v>
      </c>
      <c r="P80" s="2225" t="s">
        <v>880</v>
      </c>
      <c r="Q80" s="3251">
        <v>0</v>
      </c>
      <c r="R80" s="2453">
        <v>1000</v>
      </c>
      <c r="S80" s="2228">
        <f t="shared" si="12"/>
        <v>1000</v>
      </c>
      <c r="T80" s="2986"/>
      <c r="U80" s="2228">
        <f t="shared" si="19"/>
        <v>18090</v>
      </c>
      <c r="V80" s="2228">
        <f t="shared" si="20"/>
        <v>18090</v>
      </c>
      <c r="W80" s="2990"/>
      <c r="X80" s="2230">
        <f t="shared" si="21"/>
        <v>8870</v>
      </c>
      <c r="Y80" s="2230">
        <f t="shared" si="22"/>
        <v>8870</v>
      </c>
      <c r="Z80" s="2252"/>
    </row>
    <row r="81" spans="8:26">
      <c r="H81" s="2428" t="s">
        <v>1860</v>
      </c>
      <c r="I81" s="2432">
        <v>39.409999999999997</v>
      </c>
      <c r="J81" s="2226" t="s">
        <v>110</v>
      </c>
      <c r="K81" s="2224" t="s">
        <v>845</v>
      </c>
      <c r="L81" s="1467">
        <v>8.8699999999999992</v>
      </c>
      <c r="M81" s="1467">
        <v>8.8699999999999992</v>
      </c>
      <c r="N81" s="2250">
        <v>3.4164120840293521E-4</v>
      </c>
      <c r="O81" s="2224">
        <v>12</v>
      </c>
      <c r="P81" s="2225" t="s">
        <v>880</v>
      </c>
      <c r="Q81" s="3251">
        <v>0</v>
      </c>
      <c r="R81" s="2453">
        <v>1000</v>
      </c>
      <c r="S81" s="2228">
        <f t="shared" si="12"/>
        <v>1000</v>
      </c>
      <c r="T81" s="2986"/>
      <c r="U81" s="2228">
        <f t="shared" si="19"/>
        <v>39410</v>
      </c>
      <c r="V81" s="2228">
        <f t="shared" si="20"/>
        <v>39410</v>
      </c>
      <c r="W81" s="2990"/>
      <c r="X81" s="2230">
        <f t="shared" si="21"/>
        <v>8870</v>
      </c>
      <c r="Y81" s="2230">
        <f t="shared" si="22"/>
        <v>8870</v>
      </c>
      <c r="Z81" s="2252"/>
    </row>
    <row r="82" spans="8:26">
      <c r="H82" s="2428" t="s">
        <v>1861</v>
      </c>
      <c r="I82" s="2432"/>
      <c r="J82" s="2226" t="s">
        <v>110</v>
      </c>
      <c r="K82" s="2224"/>
      <c r="L82" s="1467"/>
      <c r="M82" s="1467"/>
      <c r="N82" s="2250" t="s">
        <v>229</v>
      </c>
      <c r="O82" s="2224"/>
      <c r="P82" s="2225"/>
      <c r="Q82" s="3251">
        <v>0</v>
      </c>
      <c r="R82" s="2453"/>
      <c r="S82" s="2228">
        <f t="shared" si="12"/>
        <v>0</v>
      </c>
      <c r="T82" s="2986"/>
      <c r="U82" s="2228">
        <f t="shared" si="19"/>
        <v>0</v>
      </c>
      <c r="V82" s="2228">
        <f t="shared" si="20"/>
        <v>0</v>
      </c>
      <c r="W82" s="2990"/>
      <c r="X82" s="2230">
        <f t="shared" si="21"/>
        <v>0</v>
      </c>
      <c r="Y82" s="2230">
        <f t="shared" si="22"/>
        <v>0</v>
      </c>
      <c r="Z82" s="2252"/>
    </row>
    <row r="83" spans="8:26">
      <c r="H83" s="2428" t="s">
        <v>1862</v>
      </c>
      <c r="I83" s="2432"/>
      <c r="J83" s="2226" t="s">
        <v>110</v>
      </c>
      <c r="K83" s="2224"/>
      <c r="L83" s="1467"/>
      <c r="M83" s="1467"/>
      <c r="N83" s="2250" t="s">
        <v>229</v>
      </c>
      <c r="O83" s="2224"/>
      <c r="P83" s="2225"/>
      <c r="Q83" s="3251">
        <v>0</v>
      </c>
      <c r="R83" s="2453"/>
      <c r="S83" s="2228">
        <f t="shared" si="12"/>
        <v>0</v>
      </c>
      <c r="T83" s="2986"/>
      <c r="U83" s="2228">
        <f t="shared" si="19"/>
        <v>0</v>
      </c>
      <c r="V83" s="2228">
        <f t="shared" si="20"/>
        <v>0</v>
      </c>
      <c r="W83" s="2990"/>
      <c r="X83" s="2230">
        <f t="shared" si="21"/>
        <v>0</v>
      </c>
      <c r="Y83" s="2230">
        <f t="shared" si="22"/>
        <v>0</v>
      </c>
      <c r="Z83" s="2252"/>
    </row>
    <row r="84" spans="8:26">
      <c r="H84" s="2428" t="s">
        <v>1863</v>
      </c>
      <c r="I84" s="2432"/>
      <c r="J84" s="2226" t="s">
        <v>110</v>
      </c>
      <c r="K84" s="2224"/>
      <c r="L84" s="1467"/>
      <c r="M84" s="1467"/>
      <c r="N84" s="2250" t="s">
        <v>229</v>
      </c>
      <c r="O84" s="2224"/>
      <c r="P84" s="2225"/>
      <c r="Q84" s="3251">
        <v>0</v>
      </c>
      <c r="R84" s="2453"/>
      <c r="S84" s="2228">
        <f t="shared" si="12"/>
        <v>0</v>
      </c>
      <c r="T84" s="2986"/>
      <c r="U84" s="2228">
        <f t="shared" si="19"/>
        <v>0</v>
      </c>
      <c r="V84" s="2228">
        <f t="shared" si="20"/>
        <v>0</v>
      </c>
      <c r="W84" s="2990"/>
      <c r="X84" s="2230">
        <f t="shared" si="21"/>
        <v>0</v>
      </c>
      <c r="Y84" s="2230">
        <f t="shared" si="22"/>
        <v>0</v>
      </c>
      <c r="Z84" s="2252"/>
    </row>
    <row r="85" spans="8:26">
      <c r="H85" s="2428" t="s">
        <v>1864</v>
      </c>
      <c r="I85" s="2432"/>
      <c r="J85" s="2226" t="s">
        <v>110</v>
      </c>
      <c r="K85" s="2224"/>
      <c r="L85" s="1467"/>
      <c r="M85" s="1467"/>
      <c r="N85" s="2250" t="s">
        <v>229</v>
      </c>
      <c r="O85" s="2224"/>
      <c r="P85" s="2225"/>
      <c r="Q85" s="3251">
        <v>0</v>
      </c>
      <c r="R85" s="2453"/>
      <c r="S85" s="2228">
        <f t="shared" si="12"/>
        <v>0</v>
      </c>
      <c r="T85" s="2986"/>
      <c r="U85" s="2228">
        <f t="shared" si="19"/>
        <v>0</v>
      </c>
      <c r="V85" s="2228">
        <f t="shared" si="20"/>
        <v>0</v>
      </c>
      <c r="W85" s="2990"/>
      <c r="X85" s="2230">
        <f t="shared" si="21"/>
        <v>0</v>
      </c>
      <c r="Y85" s="2230">
        <f t="shared" si="22"/>
        <v>0</v>
      </c>
      <c r="Z85" s="2252"/>
    </row>
    <row r="86" spans="8:26">
      <c r="H86" s="2428" t="s">
        <v>1865</v>
      </c>
      <c r="I86" s="2432"/>
      <c r="J86" s="2226" t="s">
        <v>110</v>
      </c>
      <c r="K86" s="2224"/>
      <c r="L86" s="1467"/>
      <c r="M86" s="1467"/>
      <c r="N86" s="2250" t="s">
        <v>229</v>
      </c>
      <c r="O86" s="2224"/>
      <c r="P86" s="2225"/>
      <c r="Q86" s="3251">
        <v>0</v>
      </c>
      <c r="R86" s="2453"/>
      <c r="S86" s="2228">
        <f t="shared" si="12"/>
        <v>0</v>
      </c>
      <c r="T86" s="2986"/>
      <c r="U86" s="2228">
        <f t="shared" si="19"/>
        <v>0</v>
      </c>
      <c r="V86" s="2228">
        <f t="shared" si="20"/>
        <v>0</v>
      </c>
      <c r="W86" s="2990"/>
      <c r="X86" s="2230">
        <f t="shared" si="21"/>
        <v>0</v>
      </c>
      <c r="Y86" s="2230">
        <f t="shared" si="22"/>
        <v>0</v>
      </c>
      <c r="Z86" s="2252"/>
    </row>
    <row r="87" spans="8:26">
      <c r="H87" s="2428" t="s">
        <v>1866</v>
      </c>
      <c r="I87" s="2432"/>
      <c r="J87" s="2226" t="s">
        <v>110</v>
      </c>
      <c r="K87" s="2224"/>
      <c r="L87" s="1467"/>
      <c r="M87" s="1467"/>
      <c r="N87" s="2250" t="s">
        <v>229</v>
      </c>
      <c r="O87" s="2224"/>
      <c r="P87" s="2225"/>
      <c r="Q87" s="3251">
        <v>0</v>
      </c>
      <c r="R87" s="2455"/>
    </row>
  </sheetData>
  <customSheetViews>
    <customSheetView guid="{D9EFFE19-D14B-4C6F-BDF4-FF696F73968D}" showGridLines="0">
      <pane xSplit="1" ySplit="1" topLeftCell="G2" activePane="bottomRight" state="frozen"/>
      <selection pane="bottomRight" activeCell="F29" sqref="F29"/>
      <pageMargins left="0.23" right="0.17" top="0.4" bottom="0.33" header="0.3" footer="0.3"/>
      <pageSetup paperSize="17" scale="43" orientation="landscape" r:id="rId1"/>
    </customSheetView>
    <customSheetView guid="{074EB09C-6289-46D7-9513-012B68BCA7BF}" showGridLines="0">
      <pane xSplit="1" ySplit="1" topLeftCell="B2" activePane="bottomRight" state="frozen"/>
      <selection pane="bottomRight" activeCell="L16" sqref="L16"/>
      <pageMargins left="0.23" right="0.17" top="0.4" bottom="0.33" header="0.3" footer="0.3"/>
      <pageSetup paperSize="17" scale="43" orientation="landscape" r:id="rId2"/>
    </customSheetView>
  </customSheetViews>
  <mergeCells count="8">
    <mergeCell ref="S2:T2"/>
    <mergeCell ref="U2:W2"/>
    <mergeCell ref="X2:X3"/>
    <mergeCell ref="H10:P10"/>
    <mergeCell ref="H12:P12"/>
    <mergeCell ref="Q12:S12"/>
    <mergeCell ref="T12:V12"/>
    <mergeCell ref="W12:Y12"/>
  </mergeCells>
  <pageMargins left="0.23" right="0.17" top="0.4" bottom="0.33" header="0.3" footer="0.3"/>
  <pageSetup paperSize="3" scale="43" orientation="landscape" r:id="rId3"/>
  <drawing r:id="rId4"/>
  <legacy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8DB4E3"/>
  </sheetPr>
  <dimension ref="A1:AA71"/>
  <sheetViews>
    <sheetView showGridLines="0" workbookViewId="0">
      <pane xSplit="1" ySplit="1" topLeftCell="B2" activePane="bottomRight" state="frozen"/>
      <selection pane="topRight" activeCell="B1" sqref="B1"/>
      <selection pane="bottomLeft" activeCell="A2" sqref="A2"/>
      <selection pane="bottomRight" activeCell="F29" sqref="F29"/>
    </sheetView>
  </sheetViews>
  <sheetFormatPr defaultRowHeight="12.75"/>
  <cols>
    <col min="1" max="1" width="18" style="849" customWidth="1"/>
    <col min="2" max="2" width="16" style="1413" customWidth="1"/>
    <col min="3" max="3" width="28.7109375" customWidth="1"/>
    <col min="4" max="4" width="21.140625" customWidth="1"/>
    <col min="5" max="5" width="15.42578125" style="9" customWidth="1"/>
    <col min="6" max="6" width="15.42578125" customWidth="1"/>
    <col min="7" max="7" width="16.140625" customWidth="1"/>
    <col min="8" max="8" width="48"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7" bestFit="1" customWidth="1"/>
    <col min="17" max="17" width="16.28515625" bestFit="1" customWidth="1"/>
    <col min="18" max="18" width="16.140625" customWidth="1"/>
    <col min="19" max="19" width="17.7109375" bestFit="1" customWidth="1"/>
    <col min="20" max="20" width="16.28515625" bestFit="1" customWidth="1"/>
    <col min="21" max="21" width="15.5703125" bestFit="1" customWidth="1"/>
    <col min="22" max="22" width="16.42578125" bestFit="1" customWidth="1"/>
    <col min="23" max="25" width="16.140625" customWidth="1"/>
    <col min="26" max="26" width="13.7109375" style="1907" customWidth="1"/>
    <col min="249" max="249" width="24" bestFit="1" customWidth="1"/>
    <col min="250" max="250" width="45.7109375" bestFit="1" customWidth="1"/>
    <col min="251" max="251" width="19.85546875" bestFit="1" customWidth="1"/>
    <col min="252" max="252" width="16.28515625" bestFit="1" customWidth="1"/>
    <col min="253" max="253" width="20"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7" bestFit="1" customWidth="1"/>
    <col min="263" max="263" width="16.28515625" bestFit="1" customWidth="1"/>
    <col min="264" max="264" width="16.140625" customWidth="1"/>
    <col min="265" max="265" width="17.7109375" bestFit="1" customWidth="1"/>
    <col min="266" max="266" width="16.28515625" bestFit="1" customWidth="1"/>
    <col min="267"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5.7109375" bestFit="1" customWidth="1"/>
    <col min="507" max="507" width="19.85546875" bestFit="1" customWidth="1"/>
    <col min="508" max="508" width="16.28515625" bestFit="1" customWidth="1"/>
    <col min="509" max="509" width="20"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7" bestFit="1" customWidth="1"/>
    <col min="519" max="519" width="16.28515625" bestFit="1" customWidth="1"/>
    <col min="520" max="520" width="16.140625" customWidth="1"/>
    <col min="521" max="521" width="17.7109375" bestFit="1" customWidth="1"/>
    <col min="522" max="522" width="16.28515625" bestFit="1" customWidth="1"/>
    <col min="523"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5.7109375" bestFit="1" customWidth="1"/>
    <col min="763" max="763" width="19.85546875" bestFit="1" customWidth="1"/>
    <col min="764" max="764" width="16.28515625" bestFit="1" customWidth="1"/>
    <col min="765" max="765" width="20"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7" bestFit="1" customWidth="1"/>
    <col min="775" max="775" width="16.28515625" bestFit="1" customWidth="1"/>
    <col min="776" max="776" width="16.140625" customWidth="1"/>
    <col min="777" max="777" width="17.7109375" bestFit="1" customWidth="1"/>
    <col min="778" max="778" width="16.28515625" bestFit="1" customWidth="1"/>
    <col min="779"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5.7109375" bestFit="1" customWidth="1"/>
    <col min="1019" max="1019" width="19.85546875" bestFit="1" customWidth="1"/>
    <col min="1020" max="1020" width="16.28515625" bestFit="1" customWidth="1"/>
    <col min="1021" max="1021" width="20"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7" bestFit="1" customWidth="1"/>
    <col min="1031" max="1031" width="16.28515625" bestFit="1" customWidth="1"/>
    <col min="1032" max="1032" width="16.140625" customWidth="1"/>
    <col min="1033" max="1033" width="17.7109375" bestFit="1" customWidth="1"/>
    <col min="1034" max="1034" width="16.28515625" bestFit="1" customWidth="1"/>
    <col min="1035"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5.7109375" bestFit="1" customWidth="1"/>
    <col min="1275" max="1275" width="19.85546875" bestFit="1" customWidth="1"/>
    <col min="1276" max="1276" width="16.28515625" bestFit="1" customWidth="1"/>
    <col min="1277" max="1277" width="20"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7" bestFit="1" customWidth="1"/>
    <col min="1287" max="1287" width="16.28515625" bestFit="1" customWidth="1"/>
    <col min="1288" max="1288" width="16.140625" customWidth="1"/>
    <col min="1289" max="1289" width="17.7109375" bestFit="1" customWidth="1"/>
    <col min="1290" max="1290" width="16.28515625" bestFit="1" customWidth="1"/>
    <col min="1291"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5.7109375" bestFit="1" customWidth="1"/>
    <col min="1531" max="1531" width="19.85546875" bestFit="1" customWidth="1"/>
    <col min="1532" max="1532" width="16.28515625" bestFit="1" customWidth="1"/>
    <col min="1533" max="1533" width="20"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7" bestFit="1" customWidth="1"/>
    <col min="1543" max="1543" width="16.28515625" bestFit="1" customWidth="1"/>
    <col min="1544" max="1544" width="16.140625" customWidth="1"/>
    <col min="1545" max="1545" width="17.7109375" bestFit="1" customWidth="1"/>
    <col min="1546" max="1546" width="16.28515625" bestFit="1" customWidth="1"/>
    <col min="1547"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5.7109375" bestFit="1" customWidth="1"/>
    <col min="1787" max="1787" width="19.85546875" bestFit="1" customWidth="1"/>
    <col min="1788" max="1788" width="16.28515625" bestFit="1" customWidth="1"/>
    <col min="1789" max="1789" width="20"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7" bestFit="1" customWidth="1"/>
    <col min="1799" max="1799" width="16.28515625" bestFit="1" customWidth="1"/>
    <col min="1800" max="1800" width="16.140625" customWidth="1"/>
    <col min="1801" max="1801" width="17.7109375" bestFit="1" customWidth="1"/>
    <col min="1802" max="1802" width="16.28515625" bestFit="1" customWidth="1"/>
    <col min="1803"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5.7109375" bestFit="1" customWidth="1"/>
    <col min="2043" max="2043" width="19.85546875" bestFit="1" customWidth="1"/>
    <col min="2044" max="2044" width="16.28515625" bestFit="1" customWidth="1"/>
    <col min="2045" max="2045" width="20"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7" bestFit="1" customWidth="1"/>
    <col min="2055" max="2055" width="16.28515625" bestFit="1" customWidth="1"/>
    <col min="2056" max="2056" width="16.140625" customWidth="1"/>
    <col min="2057" max="2057" width="17.7109375" bestFit="1" customWidth="1"/>
    <col min="2058" max="2058" width="16.28515625" bestFit="1" customWidth="1"/>
    <col min="2059"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5.7109375" bestFit="1" customWidth="1"/>
    <col min="2299" max="2299" width="19.85546875" bestFit="1" customWidth="1"/>
    <col min="2300" max="2300" width="16.28515625" bestFit="1" customWidth="1"/>
    <col min="2301" max="2301" width="20"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7" bestFit="1" customWidth="1"/>
    <col min="2311" max="2311" width="16.28515625" bestFit="1" customWidth="1"/>
    <col min="2312" max="2312" width="16.140625" customWidth="1"/>
    <col min="2313" max="2313" width="17.7109375" bestFit="1" customWidth="1"/>
    <col min="2314" max="2314" width="16.28515625" bestFit="1" customWidth="1"/>
    <col min="2315"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5.7109375" bestFit="1" customWidth="1"/>
    <col min="2555" max="2555" width="19.85546875" bestFit="1" customWidth="1"/>
    <col min="2556" max="2556" width="16.28515625" bestFit="1" customWidth="1"/>
    <col min="2557" max="2557" width="20"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7" bestFit="1" customWidth="1"/>
    <col min="2567" max="2567" width="16.28515625" bestFit="1" customWidth="1"/>
    <col min="2568" max="2568" width="16.140625" customWidth="1"/>
    <col min="2569" max="2569" width="17.7109375" bestFit="1" customWidth="1"/>
    <col min="2570" max="2570" width="16.28515625" bestFit="1" customWidth="1"/>
    <col min="2571"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5.7109375" bestFit="1" customWidth="1"/>
    <col min="2811" max="2811" width="19.85546875" bestFit="1" customWidth="1"/>
    <col min="2812" max="2812" width="16.28515625" bestFit="1" customWidth="1"/>
    <col min="2813" max="2813" width="20"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7" bestFit="1" customWidth="1"/>
    <col min="2823" max="2823" width="16.28515625" bestFit="1" customWidth="1"/>
    <col min="2824" max="2824" width="16.140625" customWidth="1"/>
    <col min="2825" max="2825" width="17.7109375" bestFit="1" customWidth="1"/>
    <col min="2826" max="2826" width="16.28515625" bestFit="1" customWidth="1"/>
    <col min="2827"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5.7109375" bestFit="1" customWidth="1"/>
    <col min="3067" max="3067" width="19.85546875" bestFit="1" customWidth="1"/>
    <col min="3068" max="3068" width="16.28515625" bestFit="1" customWidth="1"/>
    <col min="3069" max="3069" width="20"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7" bestFit="1" customWidth="1"/>
    <col min="3079" max="3079" width="16.28515625" bestFit="1" customWidth="1"/>
    <col min="3080" max="3080" width="16.140625" customWidth="1"/>
    <col min="3081" max="3081" width="17.7109375" bestFit="1" customWidth="1"/>
    <col min="3082" max="3082" width="16.28515625" bestFit="1" customWidth="1"/>
    <col min="3083"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5.7109375" bestFit="1" customWidth="1"/>
    <col min="3323" max="3323" width="19.85546875" bestFit="1" customWidth="1"/>
    <col min="3324" max="3324" width="16.28515625" bestFit="1" customWidth="1"/>
    <col min="3325" max="3325" width="20"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7" bestFit="1" customWidth="1"/>
    <col min="3335" max="3335" width="16.28515625" bestFit="1" customWidth="1"/>
    <col min="3336" max="3336" width="16.140625" customWidth="1"/>
    <col min="3337" max="3337" width="17.7109375" bestFit="1" customWidth="1"/>
    <col min="3338" max="3338" width="16.28515625" bestFit="1" customWidth="1"/>
    <col min="3339"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5.7109375" bestFit="1" customWidth="1"/>
    <col min="3579" max="3579" width="19.85546875" bestFit="1" customWidth="1"/>
    <col min="3580" max="3580" width="16.28515625" bestFit="1" customWidth="1"/>
    <col min="3581" max="3581" width="20"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7" bestFit="1" customWidth="1"/>
    <col min="3591" max="3591" width="16.28515625" bestFit="1" customWidth="1"/>
    <col min="3592" max="3592" width="16.140625" customWidth="1"/>
    <col min="3593" max="3593" width="17.7109375" bestFit="1" customWidth="1"/>
    <col min="3594" max="3594" width="16.28515625" bestFit="1" customWidth="1"/>
    <col min="3595"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5.7109375" bestFit="1" customWidth="1"/>
    <col min="3835" max="3835" width="19.85546875" bestFit="1" customWidth="1"/>
    <col min="3836" max="3836" width="16.28515625" bestFit="1" customWidth="1"/>
    <col min="3837" max="3837" width="20"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7" bestFit="1" customWidth="1"/>
    <col min="3847" max="3847" width="16.28515625" bestFit="1" customWidth="1"/>
    <col min="3848" max="3848" width="16.140625" customWidth="1"/>
    <col min="3849" max="3849" width="17.7109375" bestFit="1" customWidth="1"/>
    <col min="3850" max="3850" width="16.28515625" bestFit="1" customWidth="1"/>
    <col min="3851"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5.7109375" bestFit="1" customWidth="1"/>
    <col min="4091" max="4091" width="19.85546875" bestFit="1" customWidth="1"/>
    <col min="4092" max="4092" width="16.28515625" bestFit="1" customWidth="1"/>
    <col min="4093" max="4093" width="20"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7" bestFit="1" customWidth="1"/>
    <col min="4103" max="4103" width="16.28515625" bestFit="1" customWidth="1"/>
    <col min="4104" max="4104" width="16.140625" customWidth="1"/>
    <col min="4105" max="4105" width="17.7109375" bestFit="1" customWidth="1"/>
    <col min="4106" max="4106" width="16.28515625" bestFit="1" customWidth="1"/>
    <col min="4107"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5.7109375" bestFit="1" customWidth="1"/>
    <col min="4347" max="4347" width="19.85546875" bestFit="1" customWidth="1"/>
    <col min="4348" max="4348" width="16.28515625" bestFit="1" customWidth="1"/>
    <col min="4349" max="4349" width="20"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7" bestFit="1" customWidth="1"/>
    <col min="4359" max="4359" width="16.28515625" bestFit="1" customWidth="1"/>
    <col min="4360" max="4360" width="16.140625" customWidth="1"/>
    <col min="4361" max="4361" width="17.7109375" bestFit="1" customWidth="1"/>
    <col min="4362" max="4362" width="16.28515625" bestFit="1" customWidth="1"/>
    <col min="4363"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5.7109375" bestFit="1" customWidth="1"/>
    <col min="4603" max="4603" width="19.85546875" bestFit="1" customWidth="1"/>
    <col min="4604" max="4604" width="16.28515625" bestFit="1" customWidth="1"/>
    <col min="4605" max="4605" width="20"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7" bestFit="1" customWidth="1"/>
    <col min="4615" max="4615" width="16.28515625" bestFit="1" customWidth="1"/>
    <col min="4616" max="4616" width="16.140625" customWidth="1"/>
    <col min="4617" max="4617" width="17.7109375" bestFit="1" customWidth="1"/>
    <col min="4618" max="4618" width="16.28515625" bestFit="1" customWidth="1"/>
    <col min="4619"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5.7109375" bestFit="1" customWidth="1"/>
    <col min="4859" max="4859" width="19.85546875" bestFit="1" customWidth="1"/>
    <col min="4860" max="4860" width="16.28515625" bestFit="1" customWidth="1"/>
    <col min="4861" max="4861" width="20"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7" bestFit="1" customWidth="1"/>
    <col min="4871" max="4871" width="16.28515625" bestFit="1" customWidth="1"/>
    <col min="4872" max="4872" width="16.140625" customWidth="1"/>
    <col min="4873" max="4873" width="17.7109375" bestFit="1" customWidth="1"/>
    <col min="4874" max="4874" width="16.28515625" bestFit="1" customWidth="1"/>
    <col min="4875"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5.7109375" bestFit="1" customWidth="1"/>
    <col min="5115" max="5115" width="19.85546875" bestFit="1" customWidth="1"/>
    <col min="5116" max="5116" width="16.28515625" bestFit="1" customWidth="1"/>
    <col min="5117" max="5117" width="20"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7" bestFit="1" customWidth="1"/>
    <col min="5127" max="5127" width="16.28515625" bestFit="1" customWidth="1"/>
    <col min="5128" max="5128" width="16.140625" customWidth="1"/>
    <col min="5129" max="5129" width="17.7109375" bestFit="1" customWidth="1"/>
    <col min="5130" max="5130" width="16.28515625" bestFit="1" customWidth="1"/>
    <col min="5131"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5.7109375" bestFit="1" customWidth="1"/>
    <col min="5371" max="5371" width="19.85546875" bestFit="1" customWidth="1"/>
    <col min="5372" max="5372" width="16.28515625" bestFit="1" customWidth="1"/>
    <col min="5373" max="5373" width="20"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7" bestFit="1" customWidth="1"/>
    <col min="5383" max="5383" width="16.28515625" bestFit="1" customWidth="1"/>
    <col min="5384" max="5384" width="16.140625" customWidth="1"/>
    <col min="5385" max="5385" width="17.7109375" bestFit="1" customWidth="1"/>
    <col min="5386" max="5386" width="16.28515625" bestFit="1" customWidth="1"/>
    <col min="5387"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5.7109375" bestFit="1" customWidth="1"/>
    <col min="5627" max="5627" width="19.85546875" bestFit="1" customWidth="1"/>
    <col min="5628" max="5628" width="16.28515625" bestFit="1" customWidth="1"/>
    <col min="5629" max="5629" width="20"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7" bestFit="1" customWidth="1"/>
    <col min="5639" max="5639" width="16.28515625" bestFit="1" customWidth="1"/>
    <col min="5640" max="5640" width="16.140625" customWidth="1"/>
    <col min="5641" max="5641" width="17.7109375" bestFit="1" customWidth="1"/>
    <col min="5642" max="5642" width="16.28515625" bestFit="1" customWidth="1"/>
    <col min="5643"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5.7109375" bestFit="1" customWidth="1"/>
    <col min="5883" max="5883" width="19.85546875" bestFit="1" customWidth="1"/>
    <col min="5884" max="5884" width="16.28515625" bestFit="1" customWidth="1"/>
    <col min="5885" max="5885" width="20"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7" bestFit="1" customWidth="1"/>
    <col min="5895" max="5895" width="16.28515625" bestFit="1" customWidth="1"/>
    <col min="5896" max="5896" width="16.140625" customWidth="1"/>
    <col min="5897" max="5897" width="17.7109375" bestFit="1" customWidth="1"/>
    <col min="5898" max="5898" width="16.28515625" bestFit="1" customWidth="1"/>
    <col min="5899"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5.7109375" bestFit="1" customWidth="1"/>
    <col min="6139" max="6139" width="19.85546875" bestFit="1" customWidth="1"/>
    <col min="6140" max="6140" width="16.28515625" bestFit="1" customWidth="1"/>
    <col min="6141" max="6141" width="20"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7" bestFit="1" customWidth="1"/>
    <col min="6151" max="6151" width="16.28515625" bestFit="1" customWidth="1"/>
    <col min="6152" max="6152" width="16.140625" customWidth="1"/>
    <col min="6153" max="6153" width="17.7109375" bestFit="1" customWidth="1"/>
    <col min="6154" max="6154" width="16.28515625" bestFit="1" customWidth="1"/>
    <col min="6155"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5.7109375" bestFit="1" customWidth="1"/>
    <col min="6395" max="6395" width="19.85546875" bestFit="1" customWidth="1"/>
    <col min="6396" max="6396" width="16.28515625" bestFit="1" customWidth="1"/>
    <col min="6397" max="6397" width="20"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7" bestFit="1" customWidth="1"/>
    <col min="6407" max="6407" width="16.28515625" bestFit="1" customWidth="1"/>
    <col min="6408" max="6408" width="16.140625" customWidth="1"/>
    <col min="6409" max="6409" width="17.7109375" bestFit="1" customWidth="1"/>
    <col min="6410" max="6410" width="16.28515625" bestFit="1" customWidth="1"/>
    <col min="6411"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5.7109375" bestFit="1" customWidth="1"/>
    <col min="6651" max="6651" width="19.85546875" bestFit="1" customWidth="1"/>
    <col min="6652" max="6652" width="16.28515625" bestFit="1" customWidth="1"/>
    <col min="6653" max="6653" width="20"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7" bestFit="1" customWidth="1"/>
    <col min="6663" max="6663" width="16.28515625" bestFit="1" customWidth="1"/>
    <col min="6664" max="6664" width="16.140625" customWidth="1"/>
    <col min="6665" max="6665" width="17.7109375" bestFit="1" customWidth="1"/>
    <col min="6666" max="6666" width="16.28515625" bestFit="1" customWidth="1"/>
    <col min="6667"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5.7109375" bestFit="1" customWidth="1"/>
    <col min="6907" max="6907" width="19.85546875" bestFit="1" customWidth="1"/>
    <col min="6908" max="6908" width="16.28515625" bestFit="1" customWidth="1"/>
    <col min="6909" max="6909" width="20"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7" bestFit="1" customWidth="1"/>
    <col min="6919" max="6919" width="16.28515625" bestFit="1" customWidth="1"/>
    <col min="6920" max="6920" width="16.140625" customWidth="1"/>
    <col min="6921" max="6921" width="17.7109375" bestFit="1" customWidth="1"/>
    <col min="6922" max="6922" width="16.28515625" bestFit="1" customWidth="1"/>
    <col min="6923"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5.7109375" bestFit="1" customWidth="1"/>
    <col min="7163" max="7163" width="19.85546875" bestFit="1" customWidth="1"/>
    <col min="7164" max="7164" width="16.28515625" bestFit="1" customWidth="1"/>
    <col min="7165" max="7165" width="20"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7" bestFit="1" customWidth="1"/>
    <col min="7175" max="7175" width="16.28515625" bestFit="1" customWidth="1"/>
    <col min="7176" max="7176" width="16.140625" customWidth="1"/>
    <col min="7177" max="7177" width="17.7109375" bestFit="1" customWidth="1"/>
    <col min="7178" max="7178" width="16.28515625" bestFit="1" customWidth="1"/>
    <col min="7179"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5.7109375" bestFit="1" customWidth="1"/>
    <col min="7419" max="7419" width="19.85546875" bestFit="1" customWidth="1"/>
    <col min="7420" max="7420" width="16.28515625" bestFit="1" customWidth="1"/>
    <col min="7421" max="7421" width="20"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7" bestFit="1" customWidth="1"/>
    <col min="7431" max="7431" width="16.28515625" bestFit="1" customWidth="1"/>
    <col min="7432" max="7432" width="16.140625" customWidth="1"/>
    <col min="7433" max="7433" width="17.7109375" bestFit="1" customWidth="1"/>
    <col min="7434" max="7434" width="16.28515625" bestFit="1" customWidth="1"/>
    <col min="7435"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5.7109375" bestFit="1" customWidth="1"/>
    <col min="7675" max="7675" width="19.85546875" bestFit="1" customWidth="1"/>
    <col min="7676" max="7676" width="16.28515625" bestFit="1" customWidth="1"/>
    <col min="7677" max="7677" width="20"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7" bestFit="1" customWidth="1"/>
    <col min="7687" max="7687" width="16.28515625" bestFit="1" customWidth="1"/>
    <col min="7688" max="7688" width="16.140625" customWidth="1"/>
    <col min="7689" max="7689" width="17.7109375" bestFit="1" customWidth="1"/>
    <col min="7690" max="7690" width="16.28515625" bestFit="1" customWidth="1"/>
    <col min="7691"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5.7109375" bestFit="1" customWidth="1"/>
    <col min="7931" max="7931" width="19.85546875" bestFit="1" customWidth="1"/>
    <col min="7932" max="7932" width="16.28515625" bestFit="1" customWidth="1"/>
    <col min="7933" max="7933" width="20"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7" bestFit="1" customWidth="1"/>
    <col min="7943" max="7943" width="16.28515625" bestFit="1" customWidth="1"/>
    <col min="7944" max="7944" width="16.140625" customWidth="1"/>
    <col min="7945" max="7945" width="17.7109375" bestFit="1" customWidth="1"/>
    <col min="7946" max="7946" width="16.28515625" bestFit="1" customWidth="1"/>
    <col min="7947"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5.7109375" bestFit="1" customWidth="1"/>
    <col min="8187" max="8187" width="19.85546875" bestFit="1" customWidth="1"/>
    <col min="8188" max="8188" width="16.28515625" bestFit="1" customWidth="1"/>
    <col min="8189" max="8189" width="20"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7" bestFit="1" customWidth="1"/>
    <col min="8199" max="8199" width="16.28515625" bestFit="1" customWidth="1"/>
    <col min="8200" max="8200" width="16.140625" customWidth="1"/>
    <col min="8201" max="8201" width="17.7109375" bestFit="1" customWidth="1"/>
    <col min="8202" max="8202" width="16.28515625" bestFit="1" customWidth="1"/>
    <col min="8203"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5.7109375" bestFit="1" customWidth="1"/>
    <col min="8443" max="8443" width="19.85546875" bestFit="1" customWidth="1"/>
    <col min="8444" max="8444" width="16.28515625" bestFit="1" customWidth="1"/>
    <col min="8445" max="8445" width="20"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7" bestFit="1" customWidth="1"/>
    <col min="8455" max="8455" width="16.28515625" bestFit="1" customWidth="1"/>
    <col min="8456" max="8456" width="16.140625" customWidth="1"/>
    <col min="8457" max="8457" width="17.7109375" bestFit="1" customWidth="1"/>
    <col min="8458" max="8458" width="16.28515625" bestFit="1" customWidth="1"/>
    <col min="8459"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5.7109375" bestFit="1" customWidth="1"/>
    <col min="8699" max="8699" width="19.85546875" bestFit="1" customWidth="1"/>
    <col min="8700" max="8700" width="16.28515625" bestFit="1" customWidth="1"/>
    <col min="8701" max="8701" width="20"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7" bestFit="1" customWidth="1"/>
    <col min="8711" max="8711" width="16.28515625" bestFit="1" customWidth="1"/>
    <col min="8712" max="8712" width="16.140625" customWidth="1"/>
    <col min="8713" max="8713" width="17.7109375" bestFit="1" customWidth="1"/>
    <col min="8714" max="8714" width="16.28515625" bestFit="1" customWidth="1"/>
    <col min="8715"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5.7109375" bestFit="1" customWidth="1"/>
    <col min="8955" max="8955" width="19.85546875" bestFit="1" customWidth="1"/>
    <col min="8956" max="8956" width="16.28515625" bestFit="1" customWidth="1"/>
    <col min="8957" max="8957" width="20"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7" bestFit="1" customWidth="1"/>
    <col min="8967" max="8967" width="16.28515625" bestFit="1" customWidth="1"/>
    <col min="8968" max="8968" width="16.140625" customWidth="1"/>
    <col min="8969" max="8969" width="17.7109375" bestFit="1" customWidth="1"/>
    <col min="8970" max="8970" width="16.28515625" bestFit="1" customWidth="1"/>
    <col min="8971"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5.7109375" bestFit="1" customWidth="1"/>
    <col min="9211" max="9211" width="19.85546875" bestFit="1" customWidth="1"/>
    <col min="9212" max="9212" width="16.28515625" bestFit="1" customWidth="1"/>
    <col min="9213" max="9213" width="20"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7" bestFit="1" customWidth="1"/>
    <col min="9223" max="9223" width="16.28515625" bestFit="1" customWidth="1"/>
    <col min="9224" max="9224" width="16.140625" customWidth="1"/>
    <col min="9225" max="9225" width="17.7109375" bestFit="1" customWidth="1"/>
    <col min="9226" max="9226" width="16.28515625" bestFit="1" customWidth="1"/>
    <col min="9227"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5.7109375" bestFit="1" customWidth="1"/>
    <col min="9467" max="9467" width="19.85546875" bestFit="1" customWidth="1"/>
    <col min="9468" max="9468" width="16.28515625" bestFit="1" customWidth="1"/>
    <col min="9469" max="9469" width="20"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7" bestFit="1" customWidth="1"/>
    <col min="9479" max="9479" width="16.28515625" bestFit="1" customWidth="1"/>
    <col min="9480" max="9480" width="16.140625" customWidth="1"/>
    <col min="9481" max="9481" width="17.7109375" bestFit="1" customWidth="1"/>
    <col min="9482" max="9482" width="16.28515625" bestFit="1" customWidth="1"/>
    <col min="9483"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5.7109375" bestFit="1" customWidth="1"/>
    <col min="9723" max="9723" width="19.85546875" bestFit="1" customWidth="1"/>
    <col min="9724" max="9724" width="16.28515625" bestFit="1" customWidth="1"/>
    <col min="9725" max="9725" width="20"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7" bestFit="1" customWidth="1"/>
    <col min="9735" max="9735" width="16.28515625" bestFit="1" customWidth="1"/>
    <col min="9736" max="9736" width="16.140625" customWidth="1"/>
    <col min="9737" max="9737" width="17.7109375" bestFit="1" customWidth="1"/>
    <col min="9738" max="9738" width="16.28515625" bestFit="1" customWidth="1"/>
    <col min="9739"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5.7109375" bestFit="1" customWidth="1"/>
    <col min="9979" max="9979" width="19.85546875" bestFit="1" customWidth="1"/>
    <col min="9980" max="9980" width="16.28515625" bestFit="1" customWidth="1"/>
    <col min="9981" max="9981" width="20"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7" bestFit="1" customWidth="1"/>
    <col min="9991" max="9991" width="16.28515625" bestFit="1" customWidth="1"/>
    <col min="9992" max="9992" width="16.140625" customWidth="1"/>
    <col min="9993" max="9993" width="17.7109375" bestFit="1" customWidth="1"/>
    <col min="9994" max="9994" width="16.28515625" bestFit="1" customWidth="1"/>
    <col min="9995"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5.7109375" bestFit="1" customWidth="1"/>
    <col min="10235" max="10235" width="19.85546875" bestFit="1" customWidth="1"/>
    <col min="10236" max="10236" width="16.28515625" bestFit="1" customWidth="1"/>
    <col min="10237" max="10237" width="20"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7" bestFit="1" customWidth="1"/>
    <col min="10247" max="10247" width="16.28515625" bestFit="1" customWidth="1"/>
    <col min="10248" max="10248" width="16.140625" customWidth="1"/>
    <col min="10249" max="10249" width="17.7109375" bestFit="1" customWidth="1"/>
    <col min="10250" max="10250" width="16.28515625" bestFit="1" customWidth="1"/>
    <col min="10251"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5.7109375" bestFit="1" customWidth="1"/>
    <col min="10491" max="10491" width="19.85546875" bestFit="1" customWidth="1"/>
    <col min="10492" max="10492" width="16.28515625" bestFit="1" customWidth="1"/>
    <col min="10493" max="10493" width="20"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7" bestFit="1" customWidth="1"/>
    <col min="10503" max="10503" width="16.28515625" bestFit="1" customWidth="1"/>
    <col min="10504" max="10504" width="16.140625" customWidth="1"/>
    <col min="10505" max="10505" width="17.7109375" bestFit="1" customWidth="1"/>
    <col min="10506" max="10506" width="16.28515625" bestFit="1" customWidth="1"/>
    <col min="10507"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5.7109375" bestFit="1" customWidth="1"/>
    <col min="10747" max="10747" width="19.85546875" bestFit="1" customWidth="1"/>
    <col min="10748" max="10748" width="16.28515625" bestFit="1" customWidth="1"/>
    <col min="10749" max="10749" width="20"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7" bestFit="1" customWidth="1"/>
    <col min="10759" max="10759" width="16.28515625" bestFit="1" customWidth="1"/>
    <col min="10760" max="10760" width="16.140625" customWidth="1"/>
    <col min="10761" max="10761" width="17.7109375" bestFit="1" customWidth="1"/>
    <col min="10762" max="10762" width="16.28515625" bestFit="1" customWidth="1"/>
    <col min="10763"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5.7109375" bestFit="1" customWidth="1"/>
    <col min="11003" max="11003" width="19.85546875" bestFit="1" customWidth="1"/>
    <col min="11004" max="11004" width="16.28515625" bestFit="1" customWidth="1"/>
    <col min="11005" max="11005" width="20"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7" bestFit="1" customWidth="1"/>
    <col min="11015" max="11015" width="16.28515625" bestFit="1" customWidth="1"/>
    <col min="11016" max="11016" width="16.140625" customWidth="1"/>
    <col min="11017" max="11017" width="17.7109375" bestFit="1" customWidth="1"/>
    <col min="11018" max="11018" width="16.28515625" bestFit="1" customWidth="1"/>
    <col min="11019"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5.7109375" bestFit="1" customWidth="1"/>
    <col min="11259" max="11259" width="19.85546875" bestFit="1" customWidth="1"/>
    <col min="11260" max="11260" width="16.28515625" bestFit="1" customWidth="1"/>
    <col min="11261" max="11261" width="20"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7" bestFit="1" customWidth="1"/>
    <col min="11271" max="11271" width="16.28515625" bestFit="1" customWidth="1"/>
    <col min="11272" max="11272" width="16.140625" customWidth="1"/>
    <col min="11273" max="11273" width="17.7109375" bestFit="1" customWidth="1"/>
    <col min="11274" max="11274" width="16.28515625" bestFit="1" customWidth="1"/>
    <col min="11275"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5.7109375" bestFit="1" customWidth="1"/>
    <col min="11515" max="11515" width="19.85546875" bestFit="1" customWidth="1"/>
    <col min="11516" max="11516" width="16.28515625" bestFit="1" customWidth="1"/>
    <col min="11517" max="11517" width="20"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7" bestFit="1" customWidth="1"/>
    <col min="11527" max="11527" width="16.28515625" bestFit="1" customWidth="1"/>
    <col min="11528" max="11528" width="16.140625" customWidth="1"/>
    <col min="11529" max="11529" width="17.7109375" bestFit="1" customWidth="1"/>
    <col min="11530" max="11530" width="16.28515625" bestFit="1" customWidth="1"/>
    <col min="11531"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5.7109375" bestFit="1" customWidth="1"/>
    <col min="11771" max="11771" width="19.85546875" bestFit="1" customWidth="1"/>
    <col min="11772" max="11772" width="16.28515625" bestFit="1" customWidth="1"/>
    <col min="11773" max="11773" width="20"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7" bestFit="1" customWidth="1"/>
    <col min="11783" max="11783" width="16.28515625" bestFit="1" customWidth="1"/>
    <col min="11784" max="11784" width="16.140625" customWidth="1"/>
    <col min="11785" max="11785" width="17.7109375" bestFit="1" customWidth="1"/>
    <col min="11786" max="11786" width="16.28515625" bestFit="1" customWidth="1"/>
    <col min="11787"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5.7109375" bestFit="1" customWidth="1"/>
    <col min="12027" max="12027" width="19.85546875" bestFit="1" customWidth="1"/>
    <col min="12028" max="12028" width="16.28515625" bestFit="1" customWidth="1"/>
    <col min="12029" max="12029" width="20"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7" bestFit="1" customWidth="1"/>
    <col min="12039" max="12039" width="16.28515625" bestFit="1" customWidth="1"/>
    <col min="12040" max="12040" width="16.140625" customWidth="1"/>
    <col min="12041" max="12041" width="17.7109375" bestFit="1" customWidth="1"/>
    <col min="12042" max="12042" width="16.28515625" bestFit="1" customWidth="1"/>
    <col min="12043"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5.7109375" bestFit="1" customWidth="1"/>
    <col min="12283" max="12283" width="19.85546875" bestFit="1" customWidth="1"/>
    <col min="12284" max="12284" width="16.28515625" bestFit="1" customWidth="1"/>
    <col min="12285" max="12285" width="20"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7" bestFit="1" customWidth="1"/>
    <col min="12295" max="12295" width="16.28515625" bestFit="1" customWidth="1"/>
    <col min="12296" max="12296" width="16.140625" customWidth="1"/>
    <col min="12297" max="12297" width="17.7109375" bestFit="1" customWidth="1"/>
    <col min="12298" max="12298" width="16.28515625" bestFit="1" customWidth="1"/>
    <col min="12299"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5.7109375" bestFit="1" customWidth="1"/>
    <col min="12539" max="12539" width="19.85546875" bestFit="1" customWidth="1"/>
    <col min="12540" max="12540" width="16.28515625" bestFit="1" customWidth="1"/>
    <col min="12541" max="12541" width="20"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7" bestFit="1" customWidth="1"/>
    <col min="12551" max="12551" width="16.28515625" bestFit="1" customWidth="1"/>
    <col min="12552" max="12552" width="16.140625" customWidth="1"/>
    <col min="12553" max="12553" width="17.7109375" bestFit="1" customWidth="1"/>
    <col min="12554" max="12554" width="16.28515625" bestFit="1" customWidth="1"/>
    <col min="12555"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5.7109375" bestFit="1" customWidth="1"/>
    <col min="12795" max="12795" width="19.85546875" bestFit="1" customWidth="1"/>
    <col min="12796" max="12796" width="16.28515625" bestFit="1" customWidth="1"/>
    <col min="12797" max="12797" width="20"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7" bestFit="1" customWidth="1"/>
    <col min="12807" max="12807" width="16.28515625" bestFit="1" customWidth="1"/>
    <col min="12808" max="12808" width="16.140625" customWidth="1"/>
    <col min="12809" max="12809" width="17.7109375" bestFit="1" customWidth="1"/>
    <col min="12810" max="12810" width="16.28515625" bestFit="1" customWidth="1"/>
    <col min="12811"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5.7109375" bestFit="1" customWidth="1"/>
    <col min="13051" max="13051" width="19.85546875" bestFit="1" customWidth="1"/>
    <col min="13052" max="13052" width="16.28515625" bestFit="1" customWidth="1"/>
    <col min="13053" max="13053" width="20"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7" bestFit="1" customWidth="1"/>
    <col min="13063" max="13063" width="16.28515625" bestFit="1" customWidth="1"/>
    <col min="13064" max="13064" width="16.140625" customWidth="1"/>
    <col min="13065" max="13065" width="17.7109375" bestFit="1" customWidth="1"/>
    <col min="13066" max="13066" width="16.28515625" bestFit="1" customWidth="1"/>
    <col min="13067"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5.7109375" bestFit="1" customWidth="1"/>
    <col min="13307" max="13307" width="19.85546875" bestFit="1" customWidth="1"/>
    <col min="13308" max="13308" width="16.28515625" bestFit="1" customWidth="1"/>
    <col min="13309" max="13309" width="20"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7" bestFit="1" customWidth="1"/>
    <col min="13319" max="13319" width="16.28515625" bestFit="1" customWidth="1"/>
    <col min="13320" max="13320" width="16.140625" customWidth="1"/>
    <col min="13321" max="13321" width="17.7109375" bestFit="1" customWidth="1"/>
    <col min="13322" max="13322" width="16.28515625" bestFit="1" customWidth="1"/>
    <col min="13323"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5.7109375" bestFit="1" customWidth="1"/>
    <col min="13563" max="13563" width="19.85546875" bestFit="1" customWidth="1"/>
    <col min="13564" max="13564" width="16.28515625" bestFit="1" customWidth="1"/>
    <col min="13565" max="13565" width="20"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7" bestFit="1" customWidth="1"/>
    <col min="13575" max="13575" width="16.28515625" bestFit="1" customWidth="1"/>
    <col min="13576" max="13576" width="16.140625" customWidth="1"/>
    <col min="13577" max="13577" width="17.7109375" bestFit="1" customWidth="1"/>
    <col min="13578" max="13578" width="16.28515625" bestFit="1" customWidth="1"/>
    <col min="13579"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5.7109375" bestFit="1" customWidth="1"/>
    <col min="13819" max="13819" width="19.85546875" bestFit="1" customWidth="1"/>
    <col min="13820" max="13820" width="16.28515625" bestFit="1" customWidth="1"/>
    <col min="13821" max="13821" width="20"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7" bestFit="1" customWidth="1"/>
    <col min="13831" max="13831" width="16.28515625" bestFit="1" customWidth="1"/>
    <col min="13832" max="13832" width="16.140625" customWidth="1"/>
    <col min="13833" max="13833" width="17.7109375" bestFit="1" customWidth="1"/>
    <col min="13834" max="13834" width="16.28515625" bestFit="1" customWidth="1"/>
    <col min="13835"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5.7109375" bestFit="1" customWidth="1"/>
    <col min="14075" max="14075" width="19.85546875" bestFit="1" customWidth="1"/>
    <col min="14076" max="14076" width="16.28515625" bestFit="1" customWidth="1"/>
    <col min="14077" max="14077" width="20"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7" bestFit="1" customWidth="1"/>
    <col min="14087" max="14087" width="16.28515625" bestFit="1" customWidth="1"/>
    <col min="14088" max="14088" width="16.140625" customWidth="1"/>
    <col min="14089" max="14089" width="17.7109375" bestFit="1" customWidth="1"/>
    <col min="14090" max="14090" width="16.28515625" bestFit="1" customWidth="1"/>
    <col min="14091"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5.7109375" bestFit="1" customWidth="1"/>
    <col min="14331" max="14331" width="19.85546875" bestFit="1" customWidth="1"/>
    <col min="14332" max="14332" width="16.28515625" bestFit="1" customWidth="1"/>
    <col min="14333" max="14333" width="20"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7" bestFit="1" customWidth="1"/>
    <col min="14343" max="14343" width="16.28515625" bestFit="1" customWidth="1"/>
    <col min="14344" max="14344" width="16.140625" customWidth="1"/>
    <col min="14345" max="14345" width="17.7109375" bestFit="1" customWidth="1"/>
    <col min="14346" max="14346" width="16.28515625" bestFit="1" customWidth="1"/>
    <col min="14347"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5.7109375" bestFit="1" customWidth="1"/>
    <col min="14587" max="14587" width="19.85546875" bestFit="1" customWidth="1"/>
    <col min="14588" max="14588" width="16.28515625" bestFit="1" customWidth="1"/>
    <col min="14589" max="14589" width="20"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7" bestFit="1" customWidth="1"/>
    <col min="14599" max="14599" width="16.28515625" bestFit="1" customWidth="1"/>
    <col min="14600" max="14600" width="16.140625" customWidth="1"/>
    <col min="14601" max="14601" width="17.7109375" bestFit="1" customWidth="1"/>
    <col min="14602" max="14602" width="16.28515625" bestFit="1" customWidth="1"/>
    <col min="14603"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5.7109375" bestFit="1" customWidth="1"/>
    <col min="14843" max="14843" width="19.85546875" bestFit="1" customWidth="1"/>
    <col min="14844" max="14844" width="16.28515625" bestFit="1" customWidth="1"/>
    <col min="14845" max="14845" width="20"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7" bestFit="1" customWidth="1"/>
    <col min="14855" max="14855" width="16.28515625" bestFit="1" customWidth="1"/>
    <col min="14856" max="14856" width="16.140625" customWidth="1"/>
    <col min="14857" max="14857" width="17.7109375" bestFit="1" customWidth="1"/>
    <col min="14858" max="14858" width="16.28515625" bestFit="1" customWidth="1"/>
    <col min="14859"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5.7109375" bestFit="1" customWidth="1"/>
    <col min="15099" max="15099" width="19.85546875" bestFit="1" customWidth="1"/>
    <col min="15100" max="15100" width="16.28515625" bestFit="1" customWidth="1"/>
    <col min="15101" max="15101" width="20"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7" bestFit="1" customWidth="1"/>
    <col min="15111" max="15111" width="16.28515625" bestFit="1" customWidth="1"/>
    <col min="15112" max="15112" width="16.140625" customWidth="1"/>
    <col min="15113" max="15113" width="17.7109375" bestFit="1" customWidth="1"/>
    <col min="15114" max="15114" width="16.28515625" bestFit="1" customWidth="1"/>
    <col min="15115"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5.7109375" bestFit="1" customWidth="1"/>
    <col min="15355" max="15355" width="19.85546875" bestFit="1" customWidth="1"/>
    <col min="15356" max="15356" width="16.28515625" bestFit="1" customWidth="1"/>
    <col min="15357" max="15357" width="20"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7" bestFit="1" customWidth="1"/>
    <col min="15367" max="15367" width="16.28515625" bestFit="1" customWidth="1"/>
    <col min="15368" max="15368" width="16.140625" customWidth="1"/>
    <col min="15369" max="15369" width="17.7109375" bestFit="1" customWidth="1"/>
    <col min="15370" max="15370" width="16.28515625" bestFit="1" customWidth="1"/>
    <col min="15371"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5.7109375" bestFit="1" customWidth="1"/>
    <col min="15611" max="15611" width="19.85546875" bestFit="1" customWidth="1"/>
    <col min="15612" max="15612" width="16.28515625" bestFit="1" customWidth="1"/>
    <col min="15613" max="15613" width="20"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7" bestFit="1" customWidth="1"/>
    <col min="15623" max="15623" width="16.28515625" bestFit="1" customWidth="1"/>
    <col min="15624" max="15624" width="16.140625" customWidth="1"/>
    <col min="15625" max="15625" width="17.7109375" bestFit="1" customWidth="1"/>
    <col min="15626" max="15626" width="16.28515625" bestFit="1" customWidth="1"/>
    <col min="15627"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5.7109375" bestFit="1" customWidth="1"/>
    <col min="15867" max="15867" width="19.85546875" bestFit="1" customWidth="1"/>
    <col min="15868" max="15868" width="16.28515625" bestFit="1" customWidth="1"/>
    <col min="15869" max="15869" width="20"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7" bestFit="1" customWidth="1"/>
    <col min="15879" max="15879" width="16.28515625" bestFit="1" customWidth="1"/>
    <col min="15880" max="15880" width="16.140625" customWidth="1"/>
    <col min="15881" max="15881" width="17.7109375" bestFit="1" customWidth="1"/>
    <col min="15882" max="15882" width="16.28515625" bestFit="1" customWidth="1"/>
    <col min="15883"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5.7109375" bestFit="1" customWidth="1"/>
    <col min="16123" max="16123" width="19.85546875" bestFit="1" customWidth="1"/>
    <col min="16124" max="16124" width="16.28515625" bestFit="1" customWidth="1"/>
    <col min="16125" max="16125" width="20"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7" bestFit="1" customWidth="1"/>
    <col min="16135" max="16135" width="16.28515625" bestFit="1" customWidth="1"/>
    <col min="16136" max="16136" width="16.140625" customWidth="1"/>
    <col min="16137" max="16137" width="17.7109375" bestFit="1" customWidth="1"/>
    <col min="16138" max="16138" width="16.28515625" bestFit="1" customWidth="1"/>
    <col min="16139"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2.5" customHeight="1" thickBot="1">
      <c r="C1" s="942"/>
      <c r="D1" s="1401" t="s">
        <v>282</v>
      </c>
      <c r="E1" s="1361" t="s">
        <v>269</v>
      </c>
      <c r="F1" s="1401" t="s">
        <v>5</v>
      </c>
      <c r="G1" s="1401">
        <v>18230486</v>
      </c>
      <c r="H1" s="1401" t="s">
        <v>4</v>
      </c>
      <c r="J1" s="1361"/>
      <c r="K1" s="1361"/>
      <c r="L1" s="1361"/>
    </row>
    <row r="2" spans="1:27" ht="16.5" thickBot="1">
      <c r="C2" s="44"/>
      <c r="D2" s="45"/>
      <c r="G2" s="1652"/>
      <c r="I2" s="1178" t="s">
        <v>627</v>
      </c>
      <c r="S2" s="3575"/>
      <c r="T2" s="3575"/>
      <c r="U2" s="3576" t="s">
        <v>33</v>
      </c>
      <c r="V2" s="3577"/>
      <c r="W2" s="3578"/>
      <c r="X2" s="3579" t="s">
        <v>34</v>
      </c>
      <c r="Z2"/>
      <c r="AA2" s="1907"/>
    </row>
    <row r="3" spans="1:27" ht="26.25" thickBot="1">
      <c r="A3" s="1400" t="s">
        <v>282</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A3" s="1907"/>
    </row>
    <row r="4" spans="1:27" ht="16.5" thickBot="1">
      <c r="A4" s="1357" t="s">
        <v>269</v>
      </c>
      <c r="B4" s="1400"/>
      <c r="C4" s="44"/>
      <c r="G4" s="1652"/>
      <c r="H4" s="2946" t="s">
        <v>1726</v>
      </c>
      <c r="I4" s="2947">
        <f>D15</f>
        <v>179031</v>
      </c>
      <c r="J4" s="2948">
        <f>D22</f>
        <v>12000</v>
      </c>
      <c r="K4" s="2948">
        <f>D28</f>
        <v>127417.67700000001</v>
      </c>
      <c r="L4" s="2948">
        <f>D38</f>
        <v>30000</v>
      </c>
      <c r="M4" s="2948">
        <f>D44</f>
        <v>4000</v>
      </c>
      <c r="N4" s="2948">
        <f>D50</f>
        <v>0</v>
      </c>
      <c r="O4" s="2948">
        <f>D56</f>
        <v>500</v>
      </c>
      <c r="P4" s="2948">
        <f>D62</f>
        <v>500</v>
      </c>
      <c r="Q4" s="2948">
        <f>D68</f>
        <v>366454.74</v>
      </c>
      <c r="R4" s="2948">
        <f>D71</f>
        <v>0</v>
      </c>
      <c r="S4" s="2949">
        <f>SUM(I4:R4)</f>
        <v>719903.41700000002</v>
      </c>
      <c r="T4" s="2950">
        <f>T15</f>
        <v>2000000.0788</v>
      </c>
      <c r="U4" s="2954">
        <f>Q4/S4</f>
        <v>0.50903319993548524</v>
      </c>
      <c r="V4" s="2954">
        <f>(L4+(J4*1.63))/S4</f>
        <v>6.8842568085768649E-2</v>
      </c>
      <c r="W4" s="2954">
        <f>N4/S4</f>
        <v>0</v>
      </c>
      <c r="X4" s="2953">
        <f>S4/T4</f>
        <v>0.35995169431790325</v>
      </c>
      <c r="Z4"/>
      <c r="AA4" s="1907"/>
    </row>
    <row r="5" spans="1:27" ht="16.5" thickBot="1">
      <c r="A5" s="1400" t="s">
        <v>5</v>
      </c>
      <c r="C5" s="45"/>
      <c r="G5" s="1652"/>
      <c r="H5" s="3205" t="s">
        <v>1753</v>
      </c>
      <c r="I5" s="2617">
        <v>179031</v>
      </c>
      <c r="J5" s="2618">
        <v>12000</v>
      </c>
      <c r="K5" s="2618">
        <v>129901.08</v>
      </c>
      <c r="L5" s="2618">
        <v>30000</v>
      </c>
      <c r="M5" s="2618">
        <v>4000</v>
      </c>
      <c r="N5" s="2618">
        <v>0</v>
      </c>
      <c r="O5" s="2618">
        <v>500</v>
      </c>
      <c r="P5" s="2618">
        <v>500</v>
      </c>
      <c r="Q5" s="2618">
        <v>366454.74</v>
      </c>
      <c r="R5" s="2618">
        <v>0</v>
      </c>
      <c r="S5" s="2619">
        <v>722386.82000000007</v>
      </c>
      <c r="T5" s="2620">
        <v>2000000.0788</v>
      </c>
      <c r="U5" s="1186">
        <f>Q5/S5</f>
        <v>0.50728325857329448</v>
      </c>
      <c r="V5" s="1186">
        <f>(L5+(J5*1.63))/S5</f>
        <v>6.860590285963411E-2</v>
      </c>
      <c r="W5" s="1186">
        <f>N5/S5</f>
        <v>0</v>
      </c>
      <c r="X5" s="48">
        <f>S5/T5</f>
        <v>0.36119339576898024</v>
      </c>
      <c r="Z5"/>
      <c r="AA5" s="1907"/>
    </row>
    <row r="6" spans="1:27" ht="16.5" thickBot="1">
      <c r="A6" s="1400">
        <v>18230486</v>
      </c>
      <c r="B6" s="1400"/>
      <c r="D6" s="44"/>
      <c r="G6" s="1652"/>
      <c r="H6" s="3206" t="s">
        <v>1754</v>
      </c>
      <c r="I6" s="2621">
        <f>E15</f>
        <v>152390</v>
      </c>
      <c r="J6" s="2622">
        <f>E22</f>
        <v>15550</v>
      </c>
      <c r="K6" s="2623">
        <f>E28</f>
        <v>150810.12</v>
      </c>
      <c r="L6" s="2622">
        <f>E38</f>
        <v>30000</v>
      </c>
      <c r="M6" s="2622">
        <f>E44</f>
        <v>4000</v>
      </c>
      <c r="N6" s="2622">
        <f>E50</f>
        <v>0</v>
      </c>
      <c r="O6" s="2622">
        <f>E56</f>
        <v>500</v>
      </c>
      <c r="P6" s="2622">
        <f>E62</f>
        <v>500</v>
      </c>
      <c r="Q6" s="2622">
        <f>E68</f>
        <v>319594</v>
      </c>
      <c r="R6" s="2622">
        <f>E71</f>
        <v>0</v>
      </c>
      <c r="S6" s="2624">
        <f>SUM(I6:R6)</f>
        <v>673344.12</v>
      </c>
      <c r="T6" s="2625">
        <f>U15</f>
        <v>1294293</v>
      </c>
      <c r="U6" s="2631">
        <f>Q6/S6</f>
        <v>0.47463695086548019</v>
      </c>
      <c r="V6" s="2631">
        <f>(L6+(J6*1.63))/S6</f>
        <v>8.2196455506287042E-2</v>
      </c>
      <c r="W6" s="2631">
        <f>N6/S6</f>
        <v>0</v>
      </c>
      <c r="X6" s="2626">
        <f>S6/T6</f>
        <v>0.52024087281627884</v>
      </c>
      <c r="Z6"/>
      <c r="AA6" s="1907"/>
    </row>
    <row r="7" spans="1:27" ht="15.75">
      <c r="A7" s="1400" t="s">
        <v>4</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06" t="s">
        <v>300</v>
      </c>
    </row>
    <row r="11" spans="1:27">
      <c r="A11" s="135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923"/>
    </row>
    <row r="12" spans="1:27">
      <c r="B12" s="1652"/>
      <c r="C12" s="1434" t="s">
        <v>298</v>
      </c>
      <c r="D12" s="2766">
        <f>D15+D22+D28+D38+D44+D50+D56+D62+D68</f>
        <v>719903.41700000002</v>
      </c>
      <c r="E12" s="1484">
        <f>E15+E22+E28+E38+E44+E50+E56+E62+E68</f>
        <v>673344.12</v>
      </c>
      <c r="F12" s="1638">
        <f>D12+E12</f>
        <v>1393247.537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row>
    <row r="13" spans="1:27">
      <c r="B13" s="1652"/>
      <c r="C13" s="1483"/>
      <c r="D13" s="2767"/>
      <c r="E13" s="1336"/>
      <c r="F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1474">
        <v>2016</v>
      </c>
      <c r="X13" s="1474">
        <v>2017</v>
      </c>
      <c r="Y13" s="1474" t="s">
        <v>306</v>
      </c>
      <c r="Z13" s="2245" t="s">
        <v>1045</v>
      </c>
    </row>
    <row r="14" spans="1:27" ht="15.75">
      <c r="B14" s="1652"/>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908" t="s">
        <v>307</v>
      </c>
    </row>
    <row r="15" spans="1:27">
      <c r="B15" s="1433" t="s">
        <v>296</v>
      </c>
      <c r="C15" s="1597" t="s">
        <v>1749</v>
      </c>
      <c r="D15" s="2771">
        <f>SUM(D16:D20)</f>
        <v>179031</v>
      </c>
      <c r="E15" s="1464">
        <f>SUM(E16:E20)</f>
        <v>152390</v>
      </c>
      <c r="F15" s="1638">
        <f>D15+E15</f>
        <v>331421</v>
      </c>
      <c r="H15" s="1475" t="s">
        <v>308</v>
      </c>
      <c r="I15" s="1476"/>
      <c r="J15" s="1476"/>
      <c r="K15" s="1477"/>
      <c r="L15" s="1478">
        <f>SUMPRODUCT(L16:L25,S16:S25)</f>
        <v>759068.24</v>
      </c>
      <c r="M15" s="1478">
        <f>SUM(M16:M27)</f>
        <v>255.52499999999998</v>
      </c>
      <c r="N15" s="1479"/>
      <c r="O15" s="1477">
        <v>15</v>
      </c>
      <c r="P15" s="1477"/>
      <c r="Q15" s="3225"/>
      <c r="R15" s="1477"/>
      <c r="S15" s="1477"/>
      <c r="T15" s="2983">
        <v>2000000.0788</v>
      </c>
      <c r="U15" s="1480">
        <f t="shared" ref="U15:Y15" si="0">SUM(U16:U66)</f>
        <v>1294293</v>
      </c>
      <c r="V15" s="1480">
        <f t="shared" si="0"/>
        <v>3294293.0788000003</v>
      </c>
      <c r="W15" s="2987">
        <v>366454.74</v>
      </c>
      <c r="X15" s="1478">
        <f t="shared" si="0"/>
        <v>319594</v>
      </c>
      <c r="Y15" s="1478">
        <f t="shared" si="0"/>
        <v>686048.74</v>
      </c>
      <c r="Z15" s="1911">
        <v>0</v>
      </c>
    </row>
    <row r="16" spans="1:27">
      <c r="B16" s="1982">
        <v>0.25</v>
      </c>
      <c r="C16" s="1667" t="s">
        <v>734</v>
      </c>
      <c r="D16" s="2772">
        <v>22500</v>
      </c>
      <c r="E16" s="1669">
        <v>19437.5</v>
      </c>
      <c r="F16" s="1426">
        <f>SUM(D16:E16)</f>
        <v>41937.5</v>
      </c>
      <c r="H16" s="1944" t="s">
        <v>1161</v>
      </c>
      <c r="I16" s="1944">
        <v>71</v>
      </c>
      <c r="J16" s="1470" t="s">
        <v>110</v>
      </c>
      <c r="K16" s="1946" t="s">
        <v>845</v>
      </c>
      <c r="L16" s="1947">
        <v>75</v>
      </c>
      <c r="M16" s="1948">
        <v>75</v>
      </c>
      <c r="N16" s="1461">
        <v>5.3450010605656254E-2</v>
      </c>
      <c r="O16" s="1460">
        <v>14</v>
      </c>
      <c r="P16" s="1950" t="s">
        <v>997</v>
      </c>
      <c r="Q16" s="3252">
        <v>1240</v>
      </c>
      <c r="R16" s="1466">
        <v>1240</v>
      </c>
      <c r="S16" s="1469">
        <f>SUM(Q16:R16)</f>
        <v>2480</v>
      </c>
      <c r="T16" s="2991">
        <v>88040</v>
      </c>
      <c r="U16" s="1469">
        <f>R16*I16</f>
        <v>88040</v>
      </c>
      <c r="V16" s="1469">
        <f>SUM(T16:U16)</f>
        <v>176080</v>
      </c>
      <c r="W16" s="2993">
        <v>93000</v>
      </c>
      <c r="X16" s="1459">
        <f>R16*M16</f>
        <v>93000</v>
      </c>
      <c r="Y16" s="1459">
        <f>SUM(W16:X16)</f>
        <v>186000</v>
      </c>
      <c r="Z16" s="1910"/>
    </row>
    <row r="17" spans="2:26" s="1652" customFormat="1">
      <c r="B17" s="1982">
        <v>0.7</v>
      </c>
      <c r="C17" s="1667" t="s">
        <v>735</v>
      </c>
      <c r="D17" s="2784">
        <v>63000</v>
      </c>
      <c r="E17" s="1668">
        <v>54425</v>
      </c>
      <c r="F17" s="1426">
        <f t="shared" ref="F17:F20" si="1">SUM(D17:E17)</f>
        <v>117425</v>
      </c>
      <c r="H17" s="1944" t="s">
        <v>1162</v>
      </c>
      <c r="I17" s="1944">
        <v>5.7799999999999997E-2</v>
      </c>
      <c r="J17" s="1932" t="s">
        <v>110</v>
      </c>
      <c r="K17" s="1946" t="s">
        <v>992</v>
      </c>
      <c r="L17" s="1947">
        <v>0.02</v>
      </c>
      <c r="M17" s="1948">
        <v>0.02</v>
      </c>
      <c r="N17" s="1942">
        <v>0.10187791188337544</v>
      </c>
      <c r="O17" s="1931">
        <v>12</v>
      </c>
      <c r="P17" s="1950" t="s">
        <v>996</v>
      </c>
      <c r="Q17" s="3252">
        <v>5806500</v>
      </c>
      <c r="R17" s="1951">
        <v>0</v>
      </c>
      <c r="S17" s="1469">
        <f t="shared" ref="S17:S25" si="2">SUM(Q17:R17)</f>
        <v>5806500</v>
      </c>
      <c r="T17" s="2991">
        <v>335615.7</v>
      </c>
      <c r="U17" s="1469">
        <f t="shared" ref="U17:U25" si="3">R17*I17</f>
        <v>0</v>
      </c>
      <c r="V17" s="1469">
        <f t="shared" ref="V17:V25" si="4">SUM(T17:U17)</f>
        <v>335615.7</v>
      </c>
      <c r="W17" s="2993">
        <v>98710.5</v>
      </c>
      <c r="X17" s="1459">
        <f t="shared" ref="X17:X25" si="5">R17*M17</f>
        <v>0</v>
      </c>
      <c r="Y17" s="1459">
        <f t="shared" ref="Y17:Y25" si="6">SUM(W17:X17)</f>
        <v>98710.5</v>
      </c>
      <c r="Z17" s="1933"/>
    </row>
    <row r="18" spans="2:26" s="1652" customFormat="1">
      <c r="B18" s="1982">
        <v>0.6</v>
      </c>
      <c r="C18" s="1667" t="s">
        <v>736</v>
      </c>
      <c r="D18" s="2784">
        <v>54000</v>
      </c>
      <c r="E18" s="1668">
        <v>46650</v>
      </c>
      <c r="F18" s="1426"/>
      <c r="H18" s="1976" t="s">
        <v>1163</v>
      </c>
      <c r="I18" s="1976">
        <v>1.66E-2</v>
      </c>
      <c r="J18" s="1932" t="s">
        <v>110</v>
      </c>
      <c r="K18" s="1946" t="s">
        <v>992</v>
      </c>
      <c r="L18" s="2013">
        <v>5.0000000000000001E-3</v>
      </c>
      <c r="M18" s="2013">
        <v>5.0000000000000001E-3</v>
      </c>
      <c r="N18" s="1979">
        <v>8.0870272446143227E-2</v>
      </c>
      <c r="O18" s="1931">
        <v>12</v>
      </c>
      <c r="P18" s="1950" t="s">
        <v>996</v>
      </c>
      <c r="Q18" s="3252">
        <v>16048818</v>
      </c>
      <c r="R18" s="1983">
        <v>0</v>
      </c>
      <c r="S18" s="1954">
        <f>SUM(Q18:R18)</f>
        <v>16048818</v>
      </c>
      <c r="T18" s="2985">
        <v>266410.37880000001</v>
      </c>
      <c r="U18" s="1954">
        <f>R18*I18</f>
        <v>0</v>
      </c>
      <c r="V18" s="1954">
        <f>SUM(T18:U18)</f>
        <v>266410.37880000001</v>
      </c>
      <c r="W18" s="2989">
        <v>80244.09</v>
      </c>
      <c r="X18" s="2012">
        <f>R18*M18</f>
        <v>0</v>
      </c>
      <c r="Y18" s="2012">
        <f>SUM(W18:X18)</f>
        <v>80244.09</v>
      </c>
      <c r="Z18" s="1933"/>
    </row>
    <row r="19" spans="2:26">
      <c r="B19" s="1982">
        <v>0.4</v>
      </c>
      <c r="C19" s="1667" t="s">
        <v>737</v>
      </c>
      <c r="D19" s="2784">
        <v>36000</v>
      </c>
      <c r="E19" s="1668">
        <v>31100</v>
      </c>
      <c r="F19" s="1426">
        <f t="shared" si="1"/>
        <v>67100</v>
      </c>
      <c r="H19" s="1944" t="s">
        <v>1164</v>
      </c>
      <c r="I19" s="1944">
        <v>307</v>
      </c>
      <c r="J19" s="1470" t="s">
        <v>110</v>
      </c>
      <c r="K19" s="1946" t="s">
        <v>845</v>
      </c>
      <c r="L19" s="1947">
        <v>31</v>
      </c>
      <c r="M19" s="1948">
        <v>25</v>
      </c>
      <c r="N19" s="1461">
        <v>0.20502122423364511</v>
      </c>
      <c r="O19" s="1460">
        <v>10</v>
      </c>
      <c r="P19" s="1950" t="s">
        <v>846</v>
      </c>
      <c r="Q19" s="3252">
        <v>1400</v>
      </c>
      <c r="R19" s="1466">
        <v>800</v>
      </c>
      <c r="S19" s="1469">
        <f t="shared" si="2"/>
        <v>2200</v>
      </c>
      <c r="T19" s="2991">
        <v>429800</v>
      </c>
      <c r="U19" s="1469">
        <f t="shared" si="3"/>
        <v>245600</v>
      </c>
      <c r="V19" s="1469">
        <f t="shared" si="4"/>
        <v>675400</v>
      </c>
      <c r="W19" s="2993">
        <v>35000</v>
      </c>
      <c r="X19" s="1459">
        <f t="shared" si="5"/>
        <v>20000</v>
      </c>
      <c r="Y19" s="1459">
        <f t="shared" si="6"/>
        <v>55000</v>
      </c>
      <c r="Z19" s="1910"/>
    </row>
    <row r="20" spans="2:26">
      <c r="B20" s="1982">
        <v>0.01</v>
      </c>
      <c r="C20" s="1667" t="s">
        <v>894</v>
      </c>
      <c r="D20" s="2784">
        <v>3531</v>
      </c>
      <c r="E20" s="1668">
        <v>777.5</v>
      </c>
      <c r="F20" s="1426">
        <f t="shared" si="1"/>
        <v>4308.5</v>
      </c>
      <c r="H20" s="1944" t="s">
        <v>1165</v>
      </c>
      <c r="I20" s="1944">
        <v>222</v>
      </c>
      <c r="J20" s="1470" t="s">
        <v>110</v>
      </c>
      <c r="K20" s="1946" t="s">
        <v>845</v>
      </c>
      <c r="L20" s="1947">
        <v>31</v>
      </c>
      <c r="M20" s="1948">
        <v>15</v>
      </c>
      <c r="N20" s="1461">
        <v>0.17858156087748508</v>
      </c>
      <c r="O20" s="1460">
        <v>10</v>
      </c>
      <c r="P20" s="1950" t="s">
        <v>846</v>
      </c>
      <c r="Q20" s="3252">
        <v>2100</v>
      </c>
      <c r="R20" s="1466">
        <v>550</v>
      </c>
      <c r="S20" s="1469">
        <f t="shared" si="2"/>
        <v>2650</v>
      </c>
      <c r="T20" s="2991">
        <v>466200</v>
      </c>
      <c r="U20" s="1469">
        <f t="shared" si="3"/>
        <v>122100</v>
      </c>
      <c r="V20" s="1469">
        <f t="shared" si="4"/>
        <v>588300</v>
      </c>
      <c r="W20" s="2993">
        <v>31500</v>
      </c>
      <c r="X20" s="1459">
        <f t="shared" si="5"/>
        <v>8250</v>
      </c>
      <c r="Y20" s="1459">
        <f t="shared" si="6"/>
        <v>39750</v>
      </c>
      <c r="Z20" s="1910"/>
    </row>
    <row r="21" spans="2:26">
      <c r="B21" s="1449">
        <f>SUM(B16:B20)</f>
        <v>1.9599999999999997</v>
      </c>
      <c r="C21" s="1488"/>
      <c r="D21" s="2770"/>
      <c r="E21" s="1490"/>
      <c r="F21" s="1492"/>
      <c r="H21" s="1944" t="s">
        <v>1166</v>
      </c>
      <c r="I21" s="1944">
        <v>203</v>
      </c>
      <c r="J21" s="1470" t="s">
        <v>110</v>
      </c>
      <c r="K21" s="1946" t="s">
        <v>845</v>
      </c>
      <c r="L21" s="1947">
        <v>70</v>
      </c>
      <c r="M21" s="1948">
        <v>70</v>
      </c>
      <c r="N21" s="1461">
        <v>1.5405429567452606E-2</v>
      </c>
      <c r="O21" s="1460">
        <v>10</v>
      </c>
      <c r="P21" s="1950" t="s">
        <v>996</v>
      </c>
      <c r="Q21" s="3252">
        <v>250</v>
      </c>
      <c r="R21" s="1466">
        <v>0</v>
      </c>
      <c r="S21" s="1469">
        <f t="shared" si="2"/>
        <v>250</v>
      </c>
      <c r="T21" s="2991">
        <v>50750</v>
      </c>
      <c r="U21" s="1469">
        <f t="shared" si="3"/>
        <v>0</v>
      </c>
      <c r="V21" s="1469">
        <f t="shared" si="4"/>
        <v>50750</v>
      </c>
      <c r="W21" s="2993">
        <v>17500</v>
      </c>
      <c r="X21" s="1459">
        <f t="shared" si="5"/>
        <v>0</v>
      </c>
      <c r="Y21" s="1459">
        <f t="shared" si="6"/>
        <v>17500</v>
      </c>
      <c r="Z21" s="1910"/>
    </row>
    <row r="22" spans="2:26">
      <c r="B22" s="1433" t="s">
        <v>296</v>
      </c>
      <c r="C22" s="1597" t="s">
        <v>44</v>
      </c>
      <c r="D22" s="2771">
        <f>SUM(D23:D26)</f>
        <v>12000</v>
      </c>
      <c r="E22" s="1464">
        <f>SUM(E23:E26)</f>
        <v>15550</v>
      </c>
      <c r="F22" s="1638">
        <f>D22+E22</f>
        <v>27550</v>
      </c>
      <c r="H22" s="1944" t="s">
        <v>1167</v>
      </c>
      <c r="I22" s="1944">
        <v>379</v>
      </c>
      <c r="J22" s="1470" t="s">
        <v>110</v>
      </c>
      <c r="K22" s="1946" t="s">
        <v>845</v>
      </c>
      <c r="L22" s="1947">
        <v>70</v>
      </c>
      <c r="M22" s="1948">
        <v>70</v>
      </c>
      <c r="N22" s="1461">
        <v>1.7257116668171046E-2</v>
      </c>
      <c r="O22" s="1460">
        <v>10</v>
      </c>
      <c r="P22" s="1950" t="s">
        <v>996</v>
      </c>
      <c r="Q22" s="3252">
        <v>150</v>
      </c>
      <c r="R22" s="1466">
        <v>0</v>
      </c>
      <c r="S22" s="1469">
        <f t="shared" si="2"/>
        <v>150</v>
      </c>
      <c r="T22" s="2991">
        <v>56850</v>
      </c>
      <c r="U22" s="1469">
        <f t="shared" si="3"/>
        <v>0</v>
      </c>
      <c r="V22" s="1469">
        <f t="shared" si="4"/>
        <v>56850</v>
      </c>
      <c r="W22" s="2993">
        <v>10500</v>
      </c>
      <c r="X22" s="1459">
        <f t="shared" si="5"/>
        <v>0</v>
      </c>
      <c r="Y22" s="1459">
        <f t="shared" si="6"/>
        <v>10500</v>
      </c>
      <c r="Z22" s="1910"/>
    </row>
    <row r="23" spans="2:26">
      <c r="B23" s="1982">
        <f>(SUM(D23:E23)/2)/((80000+(80000*1.025))/2)</f>
        <v>0.17006172839506173</v>
      </c>
      <c r="C23" s="1667" t="s">
        <v>895</v>
      </c>
      <c r="D23" s="2772">
        <v>12000</v>
      </c>
      <c r="E23" s="1669">
        <v>15550</v>
      </c>
      <c r="F23" s="1426">
        <f t="shared" ref="F23:F26" si="7">SUM(D23:E23)</f>
        <v>27550</v>
      </c>
      <c r="H23" s="1944" t="s">
        <v>1867</v>
      </c>
      <c r="I23" s="1944">
        <v>1</v>
      </c>
      <c r="J23" s="1470" t="s">
        <v>110</v>
      </c>
      <c r="K23" s="1946" t="s">
        <v>991</v>
      </c>
      <c r="L23" s="1947">
        <v>0.3</v>
      </c>
      <c r="M23" s="1948">
        <v>0.3</v>
      </c>
      <c r="N23" s="1461">
        <v>0.18597859551196164</v>
      </c>
      <c r="O23" s="1460">
        <v>14</v>
      </c>
      <c r="P23" s="1950" t="s">
        <v>995</v>
      </c>
      <c r="Q23" s="3252">
        <v>0.5</v>
      </c>
      <c r="R23" s="1466">
        <v>306334</v>
      </c>
      <c r="S23" s="1469">
        <f t="shared" si="2"/>
        <v>306334.5</v>
      </c>
      <c r="T23" s="2991">
        <v>306334</v>
      </c>
      <c r="U23" s="1469">
        <f t="shared" si="3"/>
        <v>306334</v>
      </c>
      <c r="V23" s="1469">
        <f t="shared" si="4"/>
        <v>612668</v>
      </c>
      <c r="W23" s="2993">
        <v>0.15</v>
      </c>
      <c r="X23" s="1459">
        <f t="shared" si="5"/>
        <v>91900.2</v>
      </c>
      <c r="Y23" s="1459">
        <f t="shared" si="6"/>
        <v>91900.349999999991</v>
      </c>
      <c r="Z23" s="1910"/>
    </row>
    <row r="24" spans="2:26">
      <c r="B24" s="1982"/>
      <c r="C24" s="1667"/>
      <c r="D24" s="2773"/>
      <c r="E24" s="1444"/>
      <c r="F24" s="1426">
        <f t="shared" si="7"/>
        <v>0</v>
      </c>
      <c r="H24" s="1944"/>
      <c r="I24" s="1944"/>
      <c r="J24" s="1470"/>
      <c r="K24" s="1946"/>
      <c r="L24" s="1947"/>
      <c r="M24" s="1948"/>
      <c r="N24" s="1461" t="s">
        <v>229</v>
      </c>
      <c r="O24" s="1460"/>
      <c r="P24" s="1950"/>
      <c r="Q24" s="3252">
        <v>0</v>
      </c>
      <c r="R24" s="1466"/>
      <c r="S24" s="1469">
        <f t="shared" si="2"/>
        <v>0</v>
      </c>
      <c r="T24" s="2991">
        <v>0</v>
      </c>
      <c r="U24" s="1469">
        <f t="shared" si="3"/>
        <v>0</v>
      </c>
      <c r="V24" s="1469">
        <f t="shared" si="4"/>
        <v>0</v>
      </c>
      <c r="W24" s="2993">
        <v>0</v>
      </c>
      <c r="X24" s="1459">
        <f t="shared" si="5"/>
        <v>0</v>
      </c>
      <c r="Y24" s="1459">
        <f t="shared" si="6"/>
        <v>0</v>
      </c>
      <c r="Z24" s="1910"/>
    </row>
    <row r="25" spans="2:26">
      <c r="B25" s="1982"/>
      <c r="C25" s="1667"/>
      <c r="D25" s="2774"/>
      <c r="E25" s="1443"/>
      <c r="F25" s="1426">
        <f t="shared" si="7"/>
        <v>0</v>
      </c>
      <c r="H25" s="1944" t="s">
        <v>1868</v>
      </c>
      <c r="I25" s="1944">
        <v>1</v>
      </c>
      <c r="J25" s="1470"/>
      <c r="K25" s="1946" t="s">
        <v>991</v>
      </c>
      <c r="L25" s="1947">
        <v>0.2</v>
      </c>
      <c r="M25" s="1949">
        <v>0.2</v>
      </c>
      <c r="N25" s="1461">
        <v>0.16155787820610953</v>
      </c>
      <c r="O25" s="1460">
        <v>12</v>
      </c>
      <c r="P25" s="1950" t="s">
        <v>996</v>
      </c>
      <c r="Q25" s="3252">
        <v>0</v>
      </c>
      <c r="R25" s="1466">
        <v>532219</v>
      </c>
      <c r="S25" s="1469">
        <f t="shared" si="2"/>
        <v>532219</v>
      </c>
      <c r="T25" s="2991">
        <v>0</v>
      </c>
      <c r="U25" s="1469">
        <f t="shared" si="3"/>
        <v>532219</v>
      </c>
      <c r="V25" s="1469">
        <f t="shared" si="4"/>
        <v>532219</v>
      </c>
      <c r="W25" s="2993">
        <v>0</v>
      </c>
      <c r="X25" s="1459">
        <f t="shared" si="5"/>
        <v>106443.8</v>
      </c>
      <c r="Y25" s="1459">
        <f t="shared" si="6"/>
        <v>106443.8</v>
      </c>
      <c r="Z25" s="1910"/>
    </row>
    <row r="26" spans="2:26">
      <c r="B26" s="1982"/>
      <c r="C26" s="1667"/>
      <c r="D26" s="2775"/>
      <c r="E26" s="1444"/>
      <c r="F26" s="1426">
        <f t="shared" si="7"/>
        <v>0</v>
      </c>
      <c r="H26" s="1944"/>
      <c r="I26" s="1944"/>
      <c r="J26" s="1470"/>
      <c r="K26" s="1946"/>
      <c r="L26" s="1947"/>
      <c r="M26" s="1948"/>
      <c r="N26" s="1461" t="s">
        <v>229</v>
      </c>
      <c r="O26" s="1460"/>
      <c r="P26" s="1950"/>
      <c r="Q26" s="1951"/>
      <c r="R26" s="1466"/>
      <c r="S26" s="1469"/>
      <c r="T26" s="2991"/>
      <c r="U26" s="1469"/>
      <c r="V26" s="1469"/>
      <c r="W26" s="2993"/>
      <c r="X26" s="1459"/>
      <c r="Y26" s="1459"/>
      <c r="Z26" s="1910"/>
    </row>
    <row r="27" spans="2:26">
      <c r="B27" s="1449">
        <f>SUM(B23:B26)</f>
        <v>0.17006172839506173</v>
      </c>
      <c r="C27" s="1424"/>
      <c r="D27" s="2776"/>
      <c r="E27" s="1431"/>
      <c r="F27" s="1439"/>
      <c r="H27" s="1944"/>
      <c r="I27" s="2241"/>
      <c r="J27" s="1470"/>
      <c r="K27" s="1946"/>
      <c r="L27" s="1947"/>
      <c r="M27" s="1948"/>
      <c r="N27" s="1461"/>
      <c r="O27" s="1460"/>
      <c r="P27" s="1950"/>
      <c r="Q27" s="1982"/>
      <c r="R27" s="2205"/>
      <c r="S27" s="1469"/>
      <c r="T27" s="2991"/>
      <c r="U27" s="1469"/>
      <c r="V27" s="1469"/>
      <c r="W27" s="2993"/>
      <c r="X27" s="1459"/>
      <c r="Y27" s="1459"/>
      <c r="Z27" s="1910"/>
    </row>
    <row r="28" spans="2:26">
      <c r="B28" s="1652"/>
      <c r="C28" s="1597" t="s">
        <v>1737</v>
      </c>
      <c r="D28" s="2771">
        <f>SUM(D30:D36)</f>
        <v>127417.67700000001</v>
      </c>
      <c r="E28" s="1657">
        <f>SUM(E30:E32)+SUM(E34:E36)</f>
        <v>150810.12</v>
      </c>
      <c r="F28" s="1638">
        <f>D28+E28</f>
        <v>278227.79700000002</v>
      </c>
      <c r="H28" s="1944"/>
      <c r="I28" s="1945"/>
      <c r="J28" s="1470" t="s">
        <v>229</v>
      </c>
      <c r="K28" s="1946"/>
      <c r="L28" s="1947"/>
      <c r="M28" s="1948"/>
      <c r="N28" s="1461"/>
      <c r="O28" s="1460"/>
      <c r="P28" s="1950"/>
      <c r="Q28" s="1951"/>
      <c r="R28" s="1466"/>
      <c r="S28" s="1469"/>
      <c r="T28" s="2991"/>
      <c r="U28" s="1469"/>
      <c r="V28" s="1469"/>
      <c r="W28" s="2993"/>
      <c r="X28" s="1459"/>
      <c r="Y28" s="1459"/>
      <c r="Z28" s="1910"/>
    </row>
    <row r="29" spans="2:26">
      <c r="B29" s="1652"/>
      <c r="C29" s="1450" t="s">
        <v>1733</v>
      </c>
      <c r="D29" s="2777">
        <v>0.66700000000000004</v>
      </c>
      <c r="E29" s="1452">
        <v>0.68799999999999994</v>
      </c>
      <c r="F29" s="1485"/>
      <c r="H29" s="1944"/>
      <c r="I29" s="1944"/>
      <c r="J29" s="1470" t="s">
        <v>229</v>
      </c>
      <c r="K29" s="1946"/>
      <c r="L29" s="1947"/>
      <c r="M29" s="1948"/>
      <c r="N29" s="1461"/>
      <c r="O29" s="1460"/>
      <c r="P29" s="1950"/>
      <c r="Q29" s="1951"/>
      <c r="R29" s="1466"/>
      <c r="S29" s="1469"/>
      <c r="T29" s="2991"/>
      <c r="U29" s="1469"/>
      <c r="V29" s="1469"/>
      <c r="W29" s="2993"/>
      <c r="X29" s="1459"/>
      <c r="Y29" s="1459"/>
      <c r="Z29" s="1910"/>
    </row>
    <row r="30" spans="2:26">
      <c r="B30" s="1652"/>
      <c r="C30" s="1667" t="s">
        <v>719</v>
      </c>
      <c r="D30" s="2778">
        <f>D15*D29</f>
        <v>119413.67700000001</v>
      </c>
      <c r="E30" s="1641">
        <f>E15*E29</f>
        <v>104844.31999999999</v>
      </c>
      <c r="F30" s="1426">
        <f t="shared" ref="F30:F36" si="8">SUM(D30:E30)</f>
        <v>224257.997</v>
      </c>
      <c r="H30" s="1944"/>
      <c r="I30" s="1944"/>
      <c r="J30" s="1470" t="s">
        <v>229</v>
      </c>
      <c r="K30" s="1946"/>
      <c r="L30" s="1947"/>
      <c r="M30" s="1948"/>
      <c r="N30" s="1461"/>
      <c r="O30" s="1460"/>
      <c r="P30" s="1950"/>
      <c r="Q30" s="1951"/>
      <c r="R30" s="1466"/>
      <c r="S30" s="1469"/>
      <c r="T30" s="2991"/>
      <c r="U30" s="1469"/>
      <c r="V30" s="1469"/>
      <c r="W30" s="2993"/>
      <c r="X30" s="1459"/>
      <c r="Y30" s="1459"/>
      <c r="Z30" s="1910"/>
    </row>
    <row r="31" spans="2:26">
      <c r="B31" s="1652"/>
      <c r="C31" s="1667" t="s">
        <v>720</v>
      </c>
      <c r="D31" s="2785">
        <f>D22*D29</f>
        <v>8004</v>
      </c>
      <c r="E31" s="1641">
        <f>E22*E29</f>
        <v>10698.4</v>
      </c>
      <c r="F31" s="1426">
        <f t="shared" si="8"/>
        <v>18702.400000000001</v>
      </c>
      <c r="H31" s="1944"/>
      <c r="I31" s="1944"/>
      <c r="J31" s="1470" t="s">
        <v>229</v>
      </c>
      <c r="K31" s="1946"/>
      <c r="L31" s="1947"/>
      <c r="M31" s="1948"/>
      <c r="N31" s="1461"/>
      <c r="O31" s="1460"/>
      <c r="P31" s="1950"/>
      <c r="Q31" s="1951"/>
      <c r="R31" s="1466"/>
      <c r="S31" s="1469"/>
      <c r="T31" s="2991"/>
      <c r="U31" s="1469"/>
      <c r="V31" s="1469"/>
      <c r="W31" s="2993"/>
      <c r="X31" s="1459"/>
      <c r="Y31" s="1459"/>
      <c r="Z31" s="1910"/>
    </row>
    <row r="32" spans="2:26">
      <c r="B32" s="1652"/>
      <c r="C32" s="1667"/>
      <c r="D32" s="2774"/>
      <c r="E32" s="1443"/>
      <c r="F32" s="1426">
        <f t="shared" si="8"/>
        <v>0</v>
      </c>
      <c r="H32" s="1944"/>
      <c r="I32" s="1943"/>
      <c r="J32" s="1470" t="s">
        <v>229</v>
      </c>
      <c r="K32" s="1946"/>
      <c r="L32" s="1947"/>
      <c r="M32" s="1948"/>
      <c r="N32" s="1461"/>
      <c r="O32" s="1460"/>
      <c r="P32" s="1950"/>
      <c r="Q32" s="1951"/>
      <c r="R32" s="1466"/>
      <c r="S32" s="1469"/>
      <c r="T32" s="2991"/>
      <c r="U32" s="1469"/>
      <c r="V32" s="1469"/>
      <c r="W32" s="2993"/>
      <c r="X32" s="1459"/>
      <c r="Y32" s="1459"/>
      <c r="Z32" s="1910"/>
    </row>
    <row r="33" spans="1:26">
      <c r="B33" s="1652"/>
      <c r="C33" s="1450" t="s">
        <v>1734</v>
      </c>
      <c r="D33" s="2777"/>
      <c r="E33" s="1452">
        <v>0.21</v>
      </c>
      <c r="F33" s="1485"/>
      <c r="H33" s="1944"/>
      <c r="I33" s="1943"/>
      <c r="J33" s="1470" t="s">
        <v>229</v>
      </c>
      <c r="K33" s="1946"/>
      <c r="L33" s="1947"/>
      <c r="M33" s="1948"/>
      <c r="N33" s="1461"/>
      <c r="O33" s="1460"/>
      <c r="P33" s="1950"/>
      <c r="Q33" s="1951"/>
      <c r="R33" s="1466"/>
      <c r="S33" s="1469"/>
      <c r="T33" s="2991"/>
      <c r="U33" s="1469"/>
      <c r="V33" s="1469"/>
      <c r="W33" s="2993"/>
      <c r="X33" s="1459"/>
      <c r="Y33" s="1459"/>
      <c r="Z33" s="1910"/>
    </row>
    <row r="34" spans="1:26">
      <c r="B34" s="1652"/>
      <c r="C34" s="1667" t="s">
        <v>719</v>
      </c>
      <c r="D34" s="2778"/>
      <c r="E34" s="1641">
        <f>E15*E33</f>
        <v>32001.899999999998</v>
      </c>
      <c r="F34" s="1661">
        <f>SUM(D34:E34)</f>
        <v>32001.899999999998</v>
      </c>
      <c r="H34" s="1944"/>
      <c r="I34" s="1943"/>
      <c r="J34" s="1470" t="s">
        <v>229</v>
      </c>
      <c r="K34" s="1946"/>
      <c r="L34" s="1947"/>
      <c r="M34" s="1948"/>
      <c r="N34" s="1461"/>
      <c r="O34" s="1460"/>
      <c r="P34" s="1950"/>
      <c r="Q34" s="1951"/>
      <c r="R34" s="1466"/>
      <c r="S34" s="1469"/>
      <c r="T34" s="2991"/>
      <c r="U34" s="1469"/>
      <c r="V34" s="1469"/>
      <c r="W34" s="2993"/>
      <c r="X34" s="1459"/>
      <c r="Y34" s="1459"/>
      <c r="Z34" s="1910"/>
    </row>
    <row r="35" spans="1:26" ht="25.5">
      <c r="A35" s="1400" t="s">
        <v>282</v>
      </c>
      <c r="B35" s="1652"/>
      <c r="C35" s="1667" t="s">
        <v>720</v>
      </c>
      <c r="D35" s="2785"/>
      <c r="E35" s="1641">
        <f>E22*E33</f>
        <v>3265.5</v>
      </c>
      <c r="F35" s="1661">
        <f t="shared" ref="F35" si="9">SUM(D35:E35)</f>
        <v>3265.5</v>
      </c>
      <c r="H35" s="1460"/>
      <c r="I35" s="1466"/>
      <c r="J35" s="1470" t="s">
        <v>229</v>
      </c>
      <c r="K35" s="1460"/>
      <c r="L35" s="1467"/>
      <c r="M35" s="1467"/>
      <c r="N35" s="1461"/>
      <c r="O35" s="1460"/>
      <c r="P35" s="1463"/>
      <c r="Q35" s="1466"/>
      <c r="R35" s="1466"/>
      <c r="S35" s="1469" t="s">
        <v>229</v>
      </c>
      <c r="T35" s="1469" t="s">
        <v>229</v>
      </c>
      <c r="U35" s="1469" t="s">
        <v>229</v>
      </c>
      <c r="V35" s="1469" t="s">
        <v>229</v>
      </c>
      <c r="W35" s="2993" t="s">
        <v>229</v>
      </c>
      <c r="X35" s="1459" t="s">
        <v>229</v>
      </c>
      <c r="Y35" s="1459" t="s">
        <v>229</v>
      </c>
      <c r="Z35" s="1910"/>
    </row>
    <row r="36" spans="1:26">
      <c r="A36" s="1357" t="s">
        <v>269</v>
      </c>
      <c r="B36" s="1652"/>
      <c r="C36" s="1445"/>
      <c r="D36" s="2775"/>
      <c r="E36" s="1444"/>
      <c r="F36" s="1426">
        <f t="shared" si="8"/>
        <v>0</v>
      </c>
      <c r="H36" s="1460"/>
      <c r="I36" s="1466"/>
      <c r="J36" s="1470" t="s">
        <v>229</v>
      </c>
      <c r="K36" s="1460"/>
      <c r="L36" s="1467"/>
      <c r="M36" s="1467"/>
      <c r="N36" s="1461"/>
      <c r="O36" s="1460"/>
      <c r="P36" s="1463"/>
      <c r="Q36" s="1466"/>
      <c r="R36" s="1466"/>
      <c r="S36" s="1469" t="s">
        <v>229</v>
      </c>
      <c r="T36" s="1469" t="s">
        <v>229</v>
      </c>
      <c r="U36" s="1469" t="s">
        <v>229</v>
      </c>
      <c r="V36" s="1469" t="s">
        <v>229</v>
      </c>
      <c r="W36" s="2993" t="s">
        <v>229</v>
      </c>
      <c r="X36" s="1459" t="s">
        <v>229</v>
      </c>
      <c r="Y36" s="1459" t="s">
        <v>229</v>
      </c>
      <c r="Z36" s="1910"/>
    </row>
    <row r="37" spans="1:26">
      <c r="A37" s="1400" t="s">
        <v>5</v>
      </c>
      <c r="B37" s="1652"/>
      <c r="C37" s="1488"/>
      <c r="D37" s="2779"/>
      <c r="E37" s="1490"/>
      <c r="F37" s="1493"/>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910"/>
    </row>
    <row r="38" spans="1:26">
      <c r="A38" s="1400">
        <v>18230486</v>
      </c>
      <c r="B38" s="1652"/>
      <c r="C38" s="1597" t="s">
        <v>46</v>
      </c>
      <c r="D38" s="2771">
        <f>SUM(D39:D42)</f>
        <v>30000</v>
      </c>
      <c r="E38" s="1464">
        <f>SUM(E39:E42)</f>
        <v>30000</v>
      </c>
      <c r="F38" s="1638">
        <f>D38+E38</f>
        <v>60000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910"/>
    </row>
    <row r="39" spans="1:26">
      <c r="A39" s="1400" t="s">
        <v>4</v>
      </c>
      <c r="B39" s="1652"/>
      <c r="C39" s="1667" t="s">
        <v>12</v>
      </c>
      <c r="D39" s="2778">
        <v>30000</v>
      </c>
      <c r="E39" s="1672">
        <v>30000</v>
      </c>
      <c r="F39" s="1426">
        <f t="shared" ref="F39:F42" si="10">SUM(D39:E39)</f>
        <v>60000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B40" s="1652"/>
      <c r="C40" s="1667"/>
      <c r="D40" s="2778"/>
      <c r="E40" s="1672"/>
      <c r="F40" s="1426">
        <f t="shared" si="10"/>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B41" s="1652"/>
      <c r="C41" s="1667"/>
      <c r="D41" s="2778"/>
      <c r="E41" s="1672"/>
      <c r="F41" s="1426">
        <f t="shared" si="10"/>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B42" s="1652"/>
      <c r="C42" s="1667"/>
      <c r="D42" s="2778"/>
      <c r="E42" s="1672"/>
      <c r="F42" s="1426">
        <f t="shared" si="10"/>
        <v>0</v>
      </c>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B43" s="1652"/>
      <c r="C43" s="1488"/>
      <c r="D43" s="2779"/>
      <c r="E43" s="1490"/>
      <c r="F43" s="1493"/>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B44" s="1652"/>
      <c r="C44" s="1597" t="s">
        <v>483</v>
      </c>
      <c r="D44" s="2771">
        <f>SUM(D45:D48)</f>
        <v>4000</v>
      </c>
      <c r="E44" s="1464">
        <f>SUM(E45:E48)</f>
        <v>4000</v>
      </c>
      <c r="F44" s="1638">
        <f>D44+E44</f>
        <v>8000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B45" s="1652"/>
      <c r="C45" s="1667" t="s">
        <v>712</v>
      </c>
      <c r="D45" s="2778">
        <v>4000</v>
      </c>
      <c r="E45" s="1672">
        <v>4000</v>
      </c>
      <c r="F45" s="1426">
        <f t="shared" ref="F45:F48" si="11">SUM(D45:E45)</f>
        <v>8000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B46" s="1652"/>
      <c r="C46" s="1667"/>
      <c r="D46" s="2778"/>
      <c r="E46" s="1672"/>
      <c r="F46" s="1426">
        <f t="shared" si="11"/>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B47" s="1652"/>
      <c r="C47" s="1667"/>
      <c r="D47" s="2778"/>
      <c r="E47" s="1672"/>
      <c r="F47" s="1426">
        <f t="shared" si="11"/>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B48" s="1652"/>
      <c r="C48" s="1667"/>
      <c r="D48" s="2778"/>
      <c r="E48" s="1672"/>
      <c r="F48" s="1426">
        <f t="shared" si="11"/>
        <v>0</v>
      </c>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2:26">
      <c r="B49" s="1652"/>
      <c r="C49" s="1488"/>
      <c r="D49" s="2779"/>
      <c r="E49" s="1490"/>
      <c r="F49" s="1493"/>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2:26">
      <c r="B50" s="1652"/>
      <c r="C50" s="1597" t="s">
        <v>47</v>
      </c>
      <c r="D50" s="2771">
        <f>SUM(D51:D54)</f>
        <v>0</v>
      </c>
      <c r="E50" s="1464">
        <f>SUM(E51:E54)</f>
        <v>0</v>
      </c>
      <c r="F50" s="1638">
        <f>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2:26">
      <c r="B51" s="1652"/>
      <c r="C51" s="1667"/>
      <c r="D51" s="2778"/>
      <c r="E51" s="1672"/>
      <c r="F51" s="1426">
        <f t="shared" ref="F51:F54" si="12">SUM(D51:E51)</f>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2:26">
      <c r="B52" s="1652"/>
      <c r="C52" s="1667"/>
      <c r="D52" s="2778"/>
      <c r="E52" s="1672"/>
      <c r="F52" s="1426">
        <f t="shared" si="12"/>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2:26">
      <c r="B53" s="1652"/>
      <c r="C53" s="1667"/>
      <c r="D53" s="2778"/>
      <c r="E53" s="1672"/>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2:26">
      <c r="B54" s="1652"/>
      <c r="C54" s="1667"/>
      <c r="D54" s="2778"/>
      <c r="E54" s="1672"/>
      <c r="F54" s="1426">
        <f t="shared" si="12"/>
        <v>0</v>
      </c>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2:26">
      <c r="B55" s="1652"/>
      <c r="C55" s="1488"/>
      <c r="D55" s="2779"/>
      <c r="E55" s="1490"/>
      <c r="F55" s="1493"/>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2:26">
      <c r="B56" s="1652"/>
      <c r="C56" s="1597" t="s">
        <v>48</v>
      </c>
      <c r="D56" s="2771">
        <f>SUM(D57:D60)</f>
        <v>500</v>
      </c>
      <c r="E56" s="1464">
        <f>SUM(E57:E60)</f>
        <v>500</v>
      </c>
      <c r="F56" s="1638">
        <f>D56+E56</f>
        <v>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2:26">
      <c r="B57" s="1652"/>
      <c r="C57" s="1667"/>
      <c r="D57" s="2778">
        <v>500</v>
      </c>
      <c r="E57" s="1641">
        <v>500</v>
      </c>
      <c r="F57" s="1426">
        <f t="shared" ref="F57:F60" si="13">SUM(D57:E57)</f>
        <v>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2:26">
      <c r="B58" s="1652"/>
      <c r="C58" s="1667"/>
      <c r="D58" s="2778"/>
      <c r="E58" s="1641"/>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2:26">
      <c r="B59" s="1652"/>
      <c r="C59" s="1667"/>
      <c r="D59" s="2778"/>
      <c r="E59" s="1641"/>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2:26">
      <c r="B60" s="1652"/>
      <c r="C60" s="1667"/>
      <c r="D60" s="2778"/>
      <c r="E60" s="1641"/>
      <c r="F60" s="1426">
        <f t="shared" si="13"/>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2:26">
      <c r="B61" s="1652"/>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2:26">
      <c r="B62" s="1652"/>
      <c r="C62" s="1597" t="s">
        <v>49</v>
      </c>
      <c r="D62" s="2771">
        <f>SUM(D63:D66)</f>
        <v>500</v>
      </c>
      <c r="E62" s="1464">
        <f>SUM(E63:E66)</f>
        <v>500</v>
      </c>
      <c r="F62" s="1638">
        <f>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2:26">
      <c r="B63" s="1652"/>
      <c r="C63" s="1667"/>
      <c r="D63" s="2778">
        <v>500</v>
      </c>
      <c r="E63" s="1672">
        <v>500</v>
      </c>
      <c r="F63" s="1426">
        <f t="shared" ref="F63:F66" si="14">SUM(D63:E63)</f>
        <v>1000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2:26">
      <c r="B64" s="1652"/>
      <c r="C64" s="1667"/>
      <c r="D64" s="2778"/>
      <c r="E64" s="1672"/>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ht="25.5">
      <c r="A65" s="1400" t="s">
        <v>282</v>
      </c>
      <c r="B65" s="1652"/>
      <c r="C65" s="1667"/>
      <c r="D65" s="2778"/>
      <c r="E65" s="1672"/>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269</v>
      </c>
      <c r="B66" s="1652"/>
      <c r="C66" s="1667"/>
      <c r="D66" s="2778"/>
      <c r="E66" s="1672"/>
      <c r="F66" s="1426">
        <f t="shared" si="14"/>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400" t="s">
        <v>5</v>
      </c>
      <c r="B67" s="1652"/>
      <c r="C67" s="1488"/>
      <c r="D67" s="2779"/>
      <c r="E67" s="1490"/>
      <c r="F67" s="1493"/>
    </row>
    <row r="68" spans="1:26">
      <c r="A68" s="1400">
        <v>18230486</v>
      </c>
      <c r="B68" s="1652"/>
      <c r="C68" s="1597" t="s">
        <v>50</v>
      </c>
      <c r="D68" s="2771">
        <f>W15</f>
        <v>366454.74</v>
      </c>
      <c r="E68" s="1464">
        <f>X15</f>
        <v>319594</v>
      </c>
      <c r="F68" s="1638">
        <f>D68+E68</f>
        <v>686048.74</v>
      </c>
    </row>
    <row r="69" spans="1:26">
      <c r="A69" s="1400" t="s">
        <v>4</v>
      </c>
      <c r="C69" s="1500" t="s">
        <v>297</v>
      </c>
      <c r="D69" s="2938">
        <f>D68/D12</f>
        <v>0.50903319993548524</v>
      </c>
      <c r="E69" s="1986">
        <f>E68/E12</f>
        <v>0.47463695086548019</v>
      </c>
      <c r="F69" s="1499"/>
    </row>
    <row r="70" spans="1:26">
      <c r="C70" s="1501"/>
      <c r="D70" s="2782"/>
      <c r="E70" s="1497"/>
      <c r="F70" s="1498"/>
    </row>
    <row r="71" spans="1:26">
      <c r="C71" s="1494" t="s">
        <v>51</v>
      </c>
      <c r="D71" s="2778">
        <v>0</v>
      </c>
      <c r="E71" s="1671">
        <v>0</v>
      </c>
      <c r="F71" s="1491">
        <v>0</v>
      </c>
    </row>
  </sheetData>
  <customSheetViews>
    <customSheetView guid="{D9EFFE19-D14B-4C6F-BDF4-FF696F73968D}" showGridLines="0">
      <pane xSplit="1" ySplit="1" topLeftCell="H2" activePane="bottomRight" state="frozen"/>
      <selection pane="bottomRight" activeCell="L15" sqref="L15:M15"/>
      <pageMargins left="0.17" right="0.17" top="0.35" bottom="0.31" header="0.3" footer="0.3"/>
      <pageSetup paperSize="17" scale="46" orientation="landscape" r:id="rId1"/>
    </customSheetView>
    <customSheetView guid="{074EB09C-6289-46D7-9513-012B68BCA7BF}" showGridLines="0">
      <pane xSplit="1" ySplit="1" topLeftCell="D2" activePane="bottomRight" state="frozen"/>
      <selection pane="bottomRight" activeCell="L16" sqref="L16"/>
      <pageMargins left="0.17" right="0.17" top="0.35" bottom="0.31" header="0.3" footer="0.3"/>
      <pageSetup paperSize="17" scale="46" orientation="landscape" r:id="rId2"/>
    </customSheetView>
  </customSheetViews>
  <mergeCells count="8">
    <mergeCell ref="S2:T2"/>
    <mergeCell ref="U2:W2"/>
    <mergeCell ref="X2:X3"/>
    <mergeCell ref="H10:P10"/>
    <mergeCell ref="H12:P12"/>
    <mergeCell ref="Q12:S12"/>
    <mergeCell ref="T12:V12"/>
    <mergeCell ref="W12:Y12"/>
  </mergeCells>
  <pageMargins left="0.17" right="0.17" top="0.35" bottom="0.31" header="0.3" footer="0.3"/>
  <pageSetup paperSize="3" scale="46" orientation="landscape" r:id="rId3"/>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60497B"/>
  </sheetPr>
  <dimension ref="A1:AE165"/>
  <sheetViews>
    <sheetView showGridLines="0" zoomScale="50" zoomScaleNormal="5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28515625" style="849" customWidth="1"/>
    <col min="2" max="2" width="15.140625" style="1413" customWidth="1"/>
    <col min="3" max="3" width="32.28515625" customWidth="1"/>
    <col min="4" max="4" width="21" customWidth="1"/>
    <col min="5" max="5" width="15.85546875" style="9" customWidth="1"/>
    <col min="6" max="6" width="15.85546875" customWidth="1"/>
    <col min="7" max="7" width="16.7109375" bestFit="1" customWidth="1"/>
    <col min="8" max="8" width="50.28515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20.85546875" bestFit="1" customWidth="1"/>
    <col min="18" max="18" width="23.42578125" bestFit="1" customWidth="1"/>
    <col min="19" max="19" width="23.28515625" bestFit="1" customWidth="1"/>
    <col min="20" max="20" width="15.5703125" bestFit="1" customWidth="1"/>
    <col min="21" max="21" width="20.5703125" bestFit="1" customWidth="1"/>
    <col min="22" max="22" width="18.28515625" customWidth="1"/>
    <col min="23" max="23" width="14.28515625" customWidth="1"/>
    <col min="24" max="24" width="13.85546875" customWidth="1"/>
    <col min="25" max="25" width="15.28515625" customWidth="1"/>
    <col min="26" max="29" width="15.28515625" style="1652" customWidth="1"/>
    <col min="30" max="30" width="15.28515625" style="1907" customWidth="1"/>
    <col min="31" max="31" width="12.5703125" bestFit="1" customWidth="1"/>
    <col min="254" max="254" width="20" customWidth="1"/>
    <col min="255" max="255" width="36.85546875" customWidth="1"/>
    <col min="256" max="256" width="19.7109375" bestFit="1" customWidth="1"/>
    <col min="257" max="257" width="21" customWidth="1"/>
    <col min="258" max="258" width="16.7109375" bestFit="1" customWidth="1"/>
    <col min="259" max="259" width="15" customWidth="1"/>
    <col min="260" max="260" width="15.28515625" bestFit="1" customWidth="1"/>
    <col min="261" max="261" width="14.140625" bestFit="1" customWidth="1"/>
    <col min="262" max="262" width="15.28515625" customWidth="1"/>
    <col min="263" max="263" width="15.85546875" customWidth="1"/>
    <col min="264" max="264" width="17" bestFit="1" customWidth="1"/>
    <col min="265" max="265" width="12.7109375" customWidth="1"/>
    <col min="266" max="266" width="13.7109375" customWidth="1"/>
    <col min="267" max="267" width="13.85546875" bestFit="1" customWidth="1"/>
    <col min="268" max="268" width="20.85546875" bestFit="1" customWidth="1"/>
    <col min="269" max="269" width="23.42578125" bestFit="1" customWidth="1"/>
    <col min="270" max="270" width="23.28515625" bestFit="1" customWidth="1"/>
    <col min="271" max="271" width="15.5703125" bestFit="1" customWidth="1"/>
    <col min="272" max="272" width="20.5703125" bestFit="1" customWidth="1"/>
    <col min="273" max="273" width="18.28515625" customWidth="1"/>
    <col min="274" max="274" width="14.28515625" customWidth="1"/>
    <col min="275" max="275" width="12.85546875" bestFit="1" customWidth="1"/>
    <col min="276" max="276" width="11.28515625" bestFit="1" customWidth="1"/>
    <col min="277" max="277" width="12.5703125" bestFit="1" customWidth="1"/>
    <col min="278" max="278" width="14" bestFit="1" customWidth="1"/>
    <col min="279" max="279" width="6" bestFit="1" customWidth="1"/>
    <col min="280" max="280" width="15" customWidth="1"/>
    <col min="281" max="281" width="14.85546875" bestFit="1" customWidth="1"/>
    <col min="282" max="282" width="16.140625" bestFit="1" customWidth="1"/>
    <col min="510" max="510" width="20" customWidth="1"/>
    <col min="511" max="511" width="36.85546875" customWidth="1"/>
    <col min="512" max="512" width="19.7109375" bestFit="1" customWidth="1"/>
    <col min="513" max="513" width="21" customWidth="1"/>
    <col min="514" max="514" width="16.7109375" bestFit="1" customWidth="1"/>
    <col min="515" max="515" width="15" customWidth="1"/>
    <col min="516" max="516" width="15.28515625" bestFit="1" customWidth="1"/>
    <col min="517" max="517" width="14.140625" bestFit="1" customWidth="1"/>
    <col min="518" max="518" width="15.28515625" customWidth="1"/>
    <col min="519" max="519" width="15.85546875" customWidth="1"/>
    <col min="520" max="520" width="17" bestFit="1" customWidth="1"/>
    <col min="521" max="521" width="12.7109375" customWidth="1"/>
    <col min="522" max="522" width="13.7109375" customWidth="1"/>
    <col min="523" max="523" width="13.85546875" bestFit="1" customWidth="1"/>
    <col min="524" max="524" width="20.85546875" bestFit="1" customWidth="1"/>
    <col min="525" max="525" width="23.42578125" bestFit="1" customWidth="1"/>
    <col min="526" max="526" width="23.28515625" bestFit="1" customWidth="1"/>
    <col min="527" max="527" width="15.5703125" bestFit="1" customWidth="1"/>
    <col min="528" max="528" width="20.5703125" bestFit="1" customWidth="1"/>
    <col min="529" max="529" width="18.28515625" customWidth="1"/>
    <col min="530" max="530" width="14.28515625" customWidth="1"/>
    <col min="531" max="531" width="12.85546875" bestFit="1" customWidth="1"/>
    <col min="532" max="532" width="11.28515625" bestFit="1" customWidth="1"/>
    <col min="533" max="533" width="12.5703125" bestFit="1" customWidth="1"/>
    <col min="534" max="534" width="14" bestFit="1" customWidth="1"/>
    <col min="535" max="535" width="6" bestFit="1" customWidth="1"/>
    <col min="536" max="536" width="15" customWidth="1"/>
    <col min="537" max="537" width="14.85546875" bestFit="1" customWidth="1"/>
    <col min="538" max="538" width="16.140625" bestFit="1" customWidth="1"/>
    <col min="766" max="766" width="20" customWidth="1"/>
    <col min="767" max="767" width="36.85546875" customWidth="1"/>
    <col min="768" max="768" width="19.7109375" bestFit="1" customWidth="1"/>
    <col min="769" max="769" width="21" customWidth="1"/>
    <col min="770" max="770" width="16.7109375" bestFit="1" customWidth="1"/>
    <col min="771" max="771" width="15" customWidth="1"/>
    <col min="772" max="772" width="15.28515625" bestFit="1" customWidth="1"/>
    <col min="773" max="773" width="14.140625" bestFit="1" customWidth="1"/>
    <col min="774" max="774" width="15.28515625" customWidth="1"/>
    <col min="775" max="775" width="15.85546875" customWidth="1"/>
    <col min="776" max="776" width="17" bestFit="1" customWidth="1"/>
    <col min="777" max="777" width="12.7109375" customWidth="1"/>
    <col min="778" max="778" width="13.7109375" customWidth="1"/>
    <col min="779" max="779" width="13.85546875" bestFit="1" customWidth="1"/>
    <col min="780" max="780" width="20.85546875" bestFit="1" customWidth="1"/>
    <col min="781" max="781" width="23.42578125" bestFit="1" customWidth="1"/>
    <col min="782" max="782" width="23.28515625" bestFit="1" customWidth="1"/>
    <col min="783" max="783" width="15.5703125" bestFit="1" customWidth="1"/>
    <col min="784" max="784" width="20.5703125" bestFit="1" customWidth="1"/>
    <col min="785" max="785" width="18.28515625" customWidth="1"/>
    <col min="786" max="786" width="14.28515625" customWidth="1"/>
    <col min="787" max="787" width="12.85546875" bestFit="1" customWidth="1"/>
    <col min="788" max="788" width="11.28515625" bestFit="1" customWidth="1"/>
    <col min="789" max="789" width="12.5703125" bestFit="1" customWidth="1"/>
    <col min="790" max="790" width="14" bestFit="1" customWidth="1"/>
    <col min="791" max="791" width="6" bestFit="1" customWidth="1"/>
    <col min="792" max="792" width="15" customWidth="1"/>
    <col min="793" max="793" width="14.85546875" bestFit="1" customWidth="1"/>
    <col min="794" max="794" width="16.140625" bestFit="1" customWidth="1"/>
    <col min="1022" max="1022" width="20" customWidth="1"/>
    <col min="1023" max="1023" width="36.85546875" customWidth="1"/>
    <col min="1024" max="1024" width="19.7109375" bestFit="1" customWidth="1"/>
    <col min="1025" max="1025" width="21" customWidth="1"/>
    <col min="1026" max="1026" width="16.7109375" bestFit="1" customWidth="1"/>
    <col min="1027" max="1027" width="15" customWidth="1"/>
    <col min="1028" max="1028" width="15.28515625" bestFit="1" customWidth="1"/>
    <col min="1029" max="1029" width="14.140625" bestFit="1" customWidth="1"/>
    <col min="1030" max="1030" width="15.28515625" customWidth="1"/>
    <col min="1031" max="1031" width="15.85546875" customWidth="1"/>
    <col min="1032" max="1032" width="17" bestFit="1" customWidth="1"/>
    <col min="1033" max="1033" width="12.7109375" customWidth="1"/>
    <col min="1034" max="1034" width="13.7109375" customWidth="1"/>
    <col min="1035" max="1035" width="13.85546875" bestFit="1" customWidth="1"/>
    <col min="1036" max="1036" width="20.85546875" bestFit="1" customWidth="1"/>
    <col min="1037" max="1037" width="23.42578125" bestFit="1" customWidth="1"/>
    <col min="1038" max="1038" width="23.28515625" bestFit="1" customWidth="1"/>
    <col min="1039" max="1039" width="15.5703125" bestFit="1" customWidth="1"/>
    <col min="1040" max="1040" width="20.5703125" bestFit="1" customWidth="1"/>
    <col min="1041" max="1041" width="18.28515625" customWidth="1"/>
    <col min="1042" max="1042" width="14.28515625" customWidth="1"/>
    <col min="1043" max="1043" width="12.85546875" bestFit="1" customWidth="1"/>
    <col min="1044" max="1044" width="11.28515625" bestFit="1" customWidth="1"/>
    <col min="1045" max="1045" width="12.5703125" bestFit="1" customWidth="1"/>
    <col min="1046" max="1046" width="14" bestFit="1" customWidth="1"/>
    <col min="1047" max="1047" width="6" bestFit="1" customWidth="1"/>
    <col min="1048" max="1048" width="15" customWidth="1"/>
    <col min="1049" max="1049" width="14.85546875" bestFit="1" customWidth="1"/>
    <col min="1050" max="1050" width="16.140625" bestFit="1" customWidth="1"/>
    <col min="1278" max="1278" width="20" customWidth="1"/>
    <col min="1279" max="1279" width="36.85546875" customWidth="1"/>
    <col min="1280" max="1280" width="19.7109375" bestFit="1" customWidth="1"/>
    <col min="1281" max="1281" width="21" customWidth="1"/>
    <col min="1282" max="1282" width="16.7109375" bestFit="1" customWidth="1"/>
    <col min="1283" max="1283" width="15" customWidth="1"/>
    <col min="1284" max="1284" width="15.28515625" bestFit="1" customWidth="1"/>
    <col min="1285" max="1285" width="14.140625" bestFit="1" customWidth="1"/>
    <col min="1286" max="1286" width="15.28515625" customWidth="1"/>
    <col min="1287" max="1287" width="15.85546875" customWidth="1"/>
    <col min="1288" max="1288" width="17" bestFit="1" customWidth="1"/>
    <col min="1289" max="1289" width="12.7109375" customWidth="1"/>
    <col min="1290" max="1290" width="13.7109375" customWidth="1"/>
    <col min="1291" max="1291" width="13.85546875" bestFit="1" customWidth="1"/>
    <col min="1292" max="1292" width="20.85546875" bestFit="1" customWidth="1"/>
    <col min="1293" max="1293" width="23.42578125" bestFit="1" customWidth="1"/>
    <col min="1294" max="1294" width="23.28515625" bestFit="1" customWidth="1"/>
    <col min="1295" max="1295" width="15.5703125" bestFit="1" customWidth="1"/>
    <col min="1296" max="1296" width="20.5703125" bestFit="1" customWidth="1"/>
    <col min="1297" max="1297" width="18.28515625" customWidth="1"/>
    <col min="1298" max="1298" width="14.28515625" customWidth="1"/>
    <col min="1299" max="1299" width="12.85546875" bestFit="1" customWidth="1"/>
    <col min="1300" max="1300" width="11.28515625" bestFit="1" customWidth="1"/>
    <col min="1301" max="1301" width="12.5703125" bestFit="1" customWidth="1"/>
    <col min="1302" max="1302" width="14" bestFit="1" customWidth="1"/>
    <col min="1303" max="1303" width="6" bestFit="1" customWidth="1"/>
    <col min="1304" max="1304" width="15" customWidth="1"/>
    <col min="1305" max="1305" width="14.85546875" bestFit="1" customWidth="1"/>
    <col min="1306" max="1306" width="16.140625" bestFit="1" customWidth="1"/>
    <col min="1534" max="1534" width="20" customWidth="1"/>
    <col min="1535" max="1535" width="36.85546875" customWidth="1"/>
    <col min="1536" max="1536" width="19.7109375" bestFit="1" customWidth="1"/>
    <col min="1537" max="1537" width="21" customWidth="1"/>
    <col min="1538" max="1538" width="16.7109375" bestFit="1" customWidth="1"/>
    <col min="1539" max="1539" width="15" customWidth="1"/>
    <col min="1540" max="1540" width="15.28515625" bestFit="1" customWidth="1"/>
    <col min="1541" max="1541" width="14.140625" bestFit="1" customWidth="1"/>
    <col min="1542" max="1542" width="15.28515625" customWidth="1"/>
    <col min="1543" max="1543" width="15.85546875" customWidth="1"/>
    <col min="1544" max="1544" width="17" bestFit="1" customWidth="1"/>
    <col min="1545" max="1545" width="12.7109375" customWidth="1"/>
    <col min="1546" max="1546" width="13.7109375" customWidth="1"/>
    <col min="1547" max="1547" width="13.85546875" bestFit="1" customWidth="1"/>
    <col min="1548" max="1548" width="20.85546875" bestFit="1" customWidth="1"/>
    <col min="1549" max="1549" width="23.42578125" bestFit="1" customWidth="1"/>
    <col min="1550" max="1550" width="23.28515625" bestFit="1" customWidth="1"/>
    <col min="1551" max="1551" width="15.5703125" bestFit="1" customWidth="1"/>
    <col min="1552" max="1552" width="20.5703125" bestFit="1" customWidth="1"/>
    <col min="1553" max="1553" width="18.28515625" customWidth="1"/>
    <col min="1554" max="1554" width="14.28515625" customWidth="1"/>
    <col min="1555" max="1555" width="12.85546875" bestFit="1" customWidth="1"/>
    <col min="1556" max="1556" width="11.28515625" bestFit="1" customWidth="1"/>
    <col min="1557" max="1557" width="12.5703125" bestFit="1" customWidth="1"/>
    <col min="1558" max="1558" width="14" bestFit="1" customWidth="1"/>
    <col min="1559" max="1559" width="6" bestFit="1" customWidth="1"/>
    <col min="1560" max="1560" width="15" customWidth="1"/>
    <col min="1561" max="1561" width="14.85546875" bestFit="1" customWidth="1"/>
    <col min="1562" max="1562" width="16.140625" bestFit="1" customWidth="1"/>
    <col min="1790" max="1790" width="20" customWidth="1"/>
    <col min="1791" max="1791" width="36.85546875" customWidth="1"/>
    <col min="1792" max="1792" width="19.7109375" bestFit="1" customWidth="1"/>
    <col min="1793" max="1793" width="21" customWidth="1"/>
    <col min="1794" max="1794" width="16.7109375" bestFit="1" customWidth="1"/>
    <col min="1795" max="1795" width="15" customWidth="1"/>
    <col min="1796" max="1796" width="15.28515625" bestFit="1" customWidth="1"/>
    <col min="1797" max="1797" width="14.140625" bestFit="1" customWidth="1"/>
    <col min="1798" max="1798" width="15.28515625" customWidth="1"/>
    <col min="1799" max="1799" width="15.85546875" customWidth="1"/>
    <col min="1800" max="1800" width="17" bestFit="1" customWidth="1"/>
    <col min="1801" max="1801" width="12.7109375" customWidth="1"/>
    <col min="1802" max="1802" width="13.7109375" customWidth="1"/>
    <col min="1803" max="1803" width="13.85546875" bestFit="1" customWidth="1"/>
    <col min="1804" max="1804" width="20.85546875" bestFit="1" customWidth="1"/>
    <col min="1805" max="1805" width="23.42578125" bestFit="1" customWidth="1"/>
    <col min="1806" max="1806" width="23.28515625" bestFit="1" customWidth="1"/>
    <col min="1807" max="1807" width="15.5703125" bestFit="1" customWidth="1"/>
    <col min="1808" max="1808" width="20.5703125" bestFit="1" customWidth="1"/>
    <col min="1809" max="1809" width="18.28515625" customWidth="1"/>
    <col min="1810" max="1810" width="14.28515625" customWidth="1"/>
    <col min="1811" max="1811" width="12.85546875" bestFit="1" customWidth="1"/>
    <col min="1812" max="1812" width="11.28515625" bestFit="1" customWidth="1"/>
    <col min="1813" max="1813" width="12.5703125" bestFit="1" customWidth="1"/>
    <col min="1814" max="1814" width="14" bestFit="1" customWidth="1"/>
    <col min="1815" max="1815" width="6" bestFit="1" customWidth="1"/>
    <col min="1816" max="1816" width="15" customWidth="1"/>
    <col min="1817" max="1817" width="14.85546875" bestFit="1" customWidth="1"/>
    <col min="1818" max="1818" width="16.140625" bestFit="1" customWidth="1"/>
    <col min="2046" max="2046" width="20" customWidth="1"/>
    <col min="2047" max="2047" width="36.85546875" customWidth="1"/>
    <col min="2048" max="2048" width="19.7109375" bestFit="1" customWidth="1"/>
    <col min="2049" max="2049" width="21" customWidth="1"/>
    <col min="2050" max="2050" width="16.7109375" bestFit="1" customWidth="1"/>
    <col min="2051" max="2051" width="15" customWidth="1"/>
    <col min="2052" max="2052" width="15.28515625" bestFit="1" customWidth="1"/>
    <col min="2053" max="2053" width="14.140625" bestFit="1" customWidth="1"/>
    <col min="2054" max="2054" width="15.28515625" customWidth="1"/>
    <col min="2055" max="2055" width="15.85546875" customWidth="1"/>
    <col min="2056" max="2056" width="17" bestFit="1" customWidth="1"/>
    <col min="2057" max="2057" width="12.7109375" customWidth="1"/>
    <col min="2058" max="2058" width="13.7109375" customWidth="1"/>
    <col min="2059" max="2059" width="13.85546875" bestFit="1" customWidth="1"/>
    <col min="2060" max="2060" width="20.85546875" bestFit="1" customWidth="1"/>
    <col min="2061" max="2061" width="23.42578125" bestFit="1" customWidth="1"/>
    <col min="2062" max="2062" width="23.28515625" bestFit="1" customWidth="1"/>
    <col min="2063" max="2063" width="15.5703125" bestFit="1" customWidth="1"/>
    <col min="2064" max="2064" width="20.5703125" bestFit="1" customWidth="1"/>
    <col min="2065" max="2065" width="18.28515625" customWidth="1"/>
    <col min="2066" max="2066" width="14.28515625" customWidth="1"/>
    <col min="2067" max="2067" width="12.85546875" bestFit="1" customWidth="1"/>
    <col min="2068" max="2068" width="11.28515625" bestFit="1" customWidth="1"/>
    <col min="2069" max="2069" width="12.5703125" bestFit="1" customWidth="1"/>
    <col min="2070" max="2070" width="14" bestFit="1" customWidth="1"/>
    <col min="2071" max="2071" width="6" bestFit="1" customWidth="1"/>
    <col min="2072" max="2072" width="15" customWidth="1"/>
    <col min="2073" max="2073" width="14.85546875" bestFit="1" customWidth="1"/>
    <col min="2074" max="2074" width="16.140625" bestFit="1" customWidth="1"/>
    <col min="2302" max="2302" width="20" customWidth="1"/>
    <col min="2303" max="2303" width="36.85546875" customWidth="1"/>
    <col min="2304" max="2304" width="19.7109375" bestFit="1" customWidth="1"/>
    <col min="2305" max="2305" width="21" customWidth="1"/>
    <col min="2306" max="2306" width="16.7109375" bestFit="1" customWidth="1"/>
    <col min="2307" max="2307" width="15" customWidth="1"/>
    <col min="2308" max="2308" width="15.28515625" bestFit="1" customWidth="1"/>
    <col min="2309" max="2309" width="14.140625" bestFit="1" customWidth="1"/>
    <col min="2310" max="2310" width="15.28515625" customWidth="1"/>
    <col min="2311" max="2311" width="15.85546875" customWidth="1"/>
    <col min="2312" max="2312" width="17" bestFit="1" customWidth="1"/>
    <col min="2313" max="2313" width="12.7109375" customWidth="1"/>
    <col min="2314" max="2314" width="13.7109375" customWidth="1"/>
    <col min="2315" max="2315" width="13.85546875" bestFit="1" customWidth="1"/>
    <col min="2316" max="2316" width="20.85546875" bestFit="1" customWidth="1"/>
    <col min="2317" max="2317" width="23.42578125" bestFit="1" customWidth="1"/>
    <col min="2318" max="2318" width="23.28515625" bestFit="1" customWidth="1"/>
    <col min="2319" max="2319" width="15.5703125" bestFit="1" customWidth="1"/>
    <col min="2320" max="2320" width="20.5703125" bestFit="1" customWidth="1"/>
    <col min="2321" max="2321" width="18.28515625" customWidth="1"/>
    <col min="2322" max="2322" width="14.28515625" customWidth="1"/>
    <col min="2323" max="2323" width="12.85546875" bestFit="1" customWidth="1"/>
    <col min="2324" max="2324" width="11.28515625" bestFit="1" customWidth="1"/>
    <col min="2325" max="2325" width="12.5703125" bestFit="1" customWidth="1"/>
    <col min="2326" max="2326" width="14" bestFit="1" customWidth="1"/>
    <col min="2327" max="2327" width="6" bestFit="1" customWidth="1"/>
    <col min="2328" max="2328" width="15" customWidth="1"/>
    <col min="2329" max="2329" width="14.85546875" bestFit="1" customWidth="1"/>
    <col min="2330" max="2330" width="16.140625" bestFit="1" customWidth="1"/>
    <col min="2558" max="2558" width="20" customWidth="1"/>
    <col min="2559" max="2559" width="36.85546875" customWidth="1"/>
    <col min="2560" max="2560" width="19.7109375" bestFit="1" customWidth="1"/>
    <col min="2561" max="2561" width="21" customWidth="1"/>
    <col min="2562" max="2562" width="16.7109375" bestFit="1" customWidth="1"/>
    <col min="2563" max="2563" width="15" customWidth="1"/>
    <col min="2564" max="2564" width="15.28515625" bestFit="1" customWidth="1"/>
    <col min="2565" max="2565" width="14.140625" bestFit="1" customWidth="1"/>
    <col min="2566" max="2566" width="15.28515625" customWidth="1"/>
    <col min="2567" max="2567" width="15.85546875" customWidth="1"/>
    <col min="2568" max="2568" width="17" bestFit="1" customWidth="1"/>
    <col min="2569" max="2569" width="12.7109375" customWidth="1"/>
    <col min="2570" max="2570" width="13.7109375" customWidth="1"/>
    <col min="2571" max="2571" width="13.85546875" bestFit="1" customWidth="1"/>
    <col min="2572" max="2572" width="20.85546875" bestFit="1" customWidth="1"/>
    <col min="2573" max="2573" width="23.42578125" bestFit="1" customWidth="1"/>
    <col min="2574" max="2574" width="23.28515625" bestFit="1" customWidth="1"/>
    <col min="2575" max="2575" width="15.5703125" bestFit="1" customWidth="1"/>
    <col min="2576" max="2576" width="20.5703125" bestFit="1" customWidth="1"/>
    <col min="2577" max="2577" width="18.28515625" customWidth="1"/>
    <col min="2578" max="2578" width="14.28515625" customWidth="1"/>
    <col min="2579" max="2579" width="12.85546875" bestFit="1" customWidth="1"/>
    <col min="2580" max="2580" width="11.28515625" bestFit="1" customWidth="1"/>
    <col min="2581" max="2581" width="12.5703125" bestFit="1" customWidth="1"/>
    <col min="2582" max="2582" width="14" bestFit="1" customWidth="1"/>
    <col min="2583" max="2583" width="6" bestFit="1" customWidth="1"/>
    <col min="2584" max="2584" width="15" customWidth="1"/>
    <col min="2585" max="2585" width="14.85546875" bestFit="1" customWidth="1"/>
    <col min="2586" max="2586" width="16.140625" bestFit="1" customWidth="1"/>
    <col min="2814" max="2814" width="20" customWidth="1"/>
    <col min="2815" max="2815" width="36.85546875" customWidth="1"/>
    <col min="2816" max="2816" width="19.7109375" bestFit="1" customWidth="1"/>
    <col min="2817" max="2817" width="21" customWidth="1"/>
    <col min="2818" max="2818" width="16.7109375" bestFit="1" customWidth="1"/>
    <col min="2819" max="2819" width="15" customWidth="1"/>
    <col min="2820" max="2820" width="15.28515625" bestFit="1" customWidth="1"/>
    <col min="2821" max="2821" width="14.140625" bestFit="1" customWidth="1"/>
    <col min="2822" max="2822" width="15.28515625" customWidth="1"/>
    <col min="2823" max="2823" width="15.85546875" customWidth="1"/>
    <col min="2824" max="2824" width="17" bestFit="1" customWidth="1"/>
    <col min="2825" max="2825" width="12.7109375" customWidth="1"/>
    <col min="2826" max="2826" width="13.7109375" customWidth="1"/>
    <col min="2827" max="2827" width="13.85546875" bestFit="1" customWidth="1"/>
    <col min="2828" max="2828" width="20.85546875" bestFit="1" customWidth="1"/>
    <col min="2829" max="2829" width="23.42578125" bestFit="1" customWidth="1"/>
    <col min="2830" max="2830" width="23.28515625" bestFit="1" customWidth="1"/>
    <col min="2831" max="2831" width="15.5703125" bestFit="1" customWidth="1"/>
    <col min="2832" max="2832" width="20.5703125" bestFit="1" customWidth="1"/>
    <col min="2833" max="2833" width="18.28515625" customWidth="1"/>
    <col min="2834" max="2834" width="14.28515625" customWidth="1"/>
    <col min="2835" max="2835" width="12.85546875" bestFit="1" customWidth="1"/>
    <col min="2836" max="2836" width="11.28515625" bestFit="1" customWidth="1"/>
    <col min="2837" max="2837" width="12.5703125" bestFit="1" customWidth="1"/>
    <col min="2838" max="2838" width="14" bestFit="1" customWidth="1"/>
    <col min="2839" max="2839" width="6" bestFit="1" customWidth="1"/>
    <col min="2840" max="2840" width="15" customWidth="1"/>
    <col min="2841" max="2841" width="14.85546875" bestFit="1" customWidth="1"/>
    <col min="2842" max="2842" width="16.140625" bestFit="1" customWidth="1"/>
    <col min="3070" max="3070" width="20" customWidth="1"/>
    <col min="3071" max="3071" width="36.85546875" customWidth="1"/>
    <col min="3072" max="3072" width="19.7109375" bestFit="1" customWidth="1"/>
    <col min="3073" max="3073" width="21" customWidth="1"/>
    <col min="3074" max="3074" width="16.7109375" bestFit="1" customWidth="1"/>
    <col min="3075" max="3075" width="15" customWidth="1"/>
    <col min="3076" max="3076" width="15.28515625" bestFit="1" customWidth="1"/>
    <col min="3077" max="3077" width="14.140625" bestFit="1" customWidth="1"/>
    <col min="3078" max="3078" width="15.28515625" customWidth="1"/>
    <col min="3079" max="3079" width="15.85546875" customWidth="1"/>
    <col min="3080" max="3080" width="17" bestFit="1" customWidth="1"/>
    <col min="3081" max="3081" width="12.7109375" customWidth="1"/>
    <col min="3082" max="3082" width="13.7109375" customWidth="1"/>
    <col min="3083" max="3083" width="13.85546875" bestFit="1" customWidth="1"/>
    <col min="3084" max="3084" width="20.85546875" bestFit="1" customWidth="1"/>
    <col min="3085" max="3085" width="23.42578125" bestFit="1" customWidth="1"/>
    <col min="3086" max="3086" width="23.28515625" bestFit="1" customWidth="1"/>
    <col min="3087" max="3087" width="15.5703125" bestFit="1" customWidth="1"/>
    <col min="3088" max="3088" width="20.5703125" bestFit="1" customWidth="1"/>
    <col min="3089" max="3089" width="18.28515625" customWidth="1"/>
    <col min="3090" max="3090" width="14.28515625" customWidth="1"/>
    <col min="3091" max="3091" width="12.85546875" bestFit="1" customWidth="1"/>
    <col min="3092" max="3092" width="11.28515625" bestFit="1" customWidth="1"/>
    <col min="3093" max="3093" width="12.5703125" bestFit="1" customWidth="1"/>
    <col min="3094" max="3094" width="14" bestFit="1" customWidth="1"/>
    <col min="3095" max="3095" width="6" bestFit="1" customWidth="1"/>
    <col min="3096" max="3096" width="15" customWidth="1"/>
    <col min="3097" max="3097" width="14.85546875" bestFit="1" customWidth="1"/>
    <col min="3098" max="3098" width="16.140625" bestFit="1" customWidth="1"/>
    <col min="3326" max="3326" width="20" customWidth="1"/>
    <col min="3327" max="3327" width="36.85546875" customWidth="1"/>
    <col min="3328" max="3328" width="19.7109375" bestFit="1" customWidth="1"/>
    <col min="3329" max="3329" width="21" customWidth="1"/>
    <col min="3330" max="3330" width="16.7109375" bestFit="1" customWidth="1"/>
    <col min="3331" max="3331" width="15" customWidth="1"/>
    <col min="3332" max="3332" width="15.28515625" bestFit="1" customWidth="1"/>
    <col min="3333" max="3333" width="14.140625" bestFit="1" customWidth="1"/>
    <col min="3334" max="3334" width="15.28515625" customWidth="1"/>
    <col min="3335" max="3335" width="15.85546875" customWidth="1"/>
    <col min="3336" max="3336" width="17" bestFit="1" customWidth="1"/>
    <col min="3337" max="3337" width="12.7109375" customWidth="1"/>
    <col min="3338" max="3338" width="13.7109375" customWidth="1"/>
    <col min="3339" max="3339" width="13.85546875" bestFit="1" customWidth="1"/>
    <col min="3340" max="3340" width="20.85546875" bestFit="1" customWidth="1"/>
    <col min="3341" max="3341" width="23.42578125" bestFit="1" customWidth="1"/>
    <col min="3342" max="3342" width="23.28515625" bestFit="1" customWidth="1"/>
    <col min="3343" max="3343" width="15.5703125" bestFit="1" customWidth="1"/>
    <col min="3344" max="3344" width="20.5703125" bestFit="1" customWidth="1"/>
    <col min="3345" max="3345" width="18.28515625" customWidth="1"/>
    <col min="3346" max="3346" width="14.28515625" customWidth="1"/>
    <col min="3347" max="3347" width="12.85546875" bestFit="1" customWidth="1"/>
    <col min="3348" max="3348" width="11.28515625" bestFit="1" customWidth="1"/>
    <col min="3349" max="3349" width="12.5703125" bestFit="1" customWidth="1"/>
    <col min="3350" max="3350" width="14" bestFit="1" customWidth="1"/>
    <col min="3351" max="3351" width="6" bestFit="1" customWidth="1"/>
    <col min="3352" max="3352" width="15" customWidth="1"/>
    <col min="3353" max="3353" width="14.85546875" bestFit="1" customWidth="1"/>
    <col min="3354" max="3354" width="16.140625" bestFit="1" customWidth="1"/>
    <col min="3582" max="3582" width="20" customWidth="1"/>
    <col min="3583" max="3583" width="36.85546875" customWidth="1"/>
    <col min="3584" max="3584" width="19.7109375" bestFit="1" customWidth="1"/>
    <col min="3585" max="3585" width="21" customWidth="1"/>
    <col min="3586" max="3586" width="16.7109375" bestFit="1" customWidth="1"/>
    <col min="3587" max="3587" width="15" customWidth="1"/>
    <col min="3588" max="3588" width="15.28515625" bestFit="1" customWidth="1"/>
    <col min="3589" max="3589" width="14.140625" bestFit="1" customWidth="1"/>
    <col min="3590" max="3590" width="15.28515625" customWidth="1"/>
    <col min="3591" max="3591" width="15.85546875" customWidth="1"/>
    <col min="3592" max="3592" width="17" bestFit="1" customWidth="1"/>
    <col min="3593" max="3593" width="12.7109375" customWidth="1"/>
    <col min="3594" max="3594" width="13.7109375" customWidth="1"/>
    <col min="3595" max="3595" width="13.85546875" bestFit="1" customWidth="1"/>
    <col min="3596" max="3596" width="20.85546875" bestFit="1" customWidth="1"/>
    <col min="3597" max="3597" width="23.42578125" bestFit="1" customWidth="1"/>
    <col min="3598" max="3598" width="23.28515625" bestFit="1" customWidth="1"/>
    <col min="3599" max="3599" width="15.5703125" bestFit="1" customWidth="1"/>
    <col min="3600" max="3600" width="20.5703125" bestFit="1" customWidth="1"/>
    <col min="3601" max="3601" width="18.28515625" customWidth="1"/>
    <col min="3602" max="3602" width="14.28515625" customWidth="1"/>
    <col min="3603" max="3603" width="12.85546875" bestFit="1" customWidth="1"/>
    <col min="3604" max="3604" width="11.28515625" bestFit="1" customWidth="1"/>
    <col min="3605" max="3605" width="12.5703125" bestFit="1" customWidth="1"/>
    <col min="3606" max="3606" width="14" bestFit="1" customWidth="1"/>
    <col min="3607" max="3607" width="6" bestFit="1" customWidth="1"/>
    <col min="3608" max="3608" width="15" customWidth="1"/>
    <col min="3609" max="3609" width="14.85546875" bestFit="1" customWidth="1"/>
    <col min="3610" max="3610" width="16.140625" bestFit="1" customWidth="1"/>
    <col min="3838" max="3838" width="20" customWidth="1"/>
    <col min="3839" max="3839" width="36.85546875" customWidth="1"/>
    <col min="3840" max="3840" width="19.7109375" bestFit="1" customWidth="1"/>
    <col min="3841" max="3841" width="21" customWidth="1"/>
    <col min="3842" max="3842" width="16.7109375" bestFit="1" customWidth="1"/>
    <col min="3843" max="3843" width="15" customWidth="1"/>
    <col min="3844" max="3844" width="15.28515625" bestFit="1" customWidth="1"/>
    <col min="3845" max="3845" width="14.140625" bestFit="1" customWidth="1"/>
    <col min="3846" max="3846" width="15.28515625" customWidth="1"/>
    <col min="3847" max="3847" width="15.85546875" customWidth="1"/>
    <col min="3848" max="3848" width="17" bestFit="1" customWidth="1"/>
    <col min="3849" max="3849" width="12.7109375" customWidth="1"/>
    <col min="3850" max="3850" width="13.7109375" customWidth="1"/>
    <col min="3851" max="3851" width="13.85546875" bestFit="1" customWidth="1"/>
    <col min="3852" max="3852" width="20.85546875" bestFit="1" customWidth="1"/>
    <col min="3853" max="3853" width="23.42578125" bestFit="1" customWidth="1"/>
    <col min="3854" max="3854" width="23.28515625" bestFit="1" customWidth="1"/>
    <col min="3855" max="3855" width="15.5703125" bestFit="1" customWidth="1"/>
    <col min="3856" max="3856" width="20.5703125" bestFit="1" customWidth="1"/>
    <col min="3857" max="3857" width="18.28515625" customWidth="1"/>
    <col min="3858" max="3858" width="14.28515625" customWidth="1"/>
    <col min="3859" max="3859" width="12.85546875" bestFit="1" customWidth="1"/>
    <col min="3860" max="3860" width="11.28515625" bestFit="1" customWidth="1"/>
    <col min="3861" max="3861" width="12.5703125" bestFit="1" customWidth="1"/>
    <col min="3862" max="3862" width="14" bestFit="1" customWidth="1"/>
    <col min="3863" max="3863" width="6" bestFit="1" customWidth="1"/>
    <col min="3864" max="3864" width="15" customWidth="1"/>
    <col min="3865" max="3865" width="14.85546875" bestFit="1" customWidth="1"/>
    <col min="3866" max="3866" width="16.140625" bestFit="1" customWidth="1"/>
    <col min="4094" max="4094" width="20" customWidth="1"/>
    <col min="4095" max="4095" width="36.85546875" customWidth="1"/>
    <col min="4096" max="4096" width="19.7109375" bestFit="1" customWidth="1"/>
    <col min="4097" max="4097" width="21" customWidth="1"/>
    <col min="4098" max="4098" width="16.7109375" bestFit="1" customWidth="1"/>
    <col min="4099" max="4099" width="15" customWidth="1"/>
    <col min="4100" max="4100" width="15.28515625" bestFit="1" customWidth="1"/>
    <col min="4101" max="4101" width="14.140625" bestFit="1" customWidth="1"/>
    <col min="4102" max="4102" width="15.28515625" customWidth="1"/>
    <col min="4103" max="4103" width="15.85546875" customWidth="1"/>
    <col min="4104" max="4104" width="17" bestFit="1" customWidth="1"/>
    <col min="4105" max="4105" width="12.7109375" customWidth="1"/>
    <col min="4106" max="4106" width="13.7109375" customWidth="1"/>
    <col min="4107" max="4107" width="13.85546875" bestFit="1" customWidth="1"/>
    <col min="4108" max="4108" width="20.85546875" bestFit="1" customWidth="1"/>
    <col min="4109" max="4109" width="23.42578125" bestFit="1" customWidth="1"/>
    <col min="4110" max="4110" width="23.28515625" bestFit="1" customWidth="1"/>
    <col min="4111" max="4111" width="15.5703125" bestFit="1" customWidth="1"/>
    <col min="4112" max="4112" width="20.5703125" bestFit="1" customWidth="1"/>
    <col min="4113" max="4113" width="18.28515625" customWidth="1"/>
    <col min="4114" max="4114" width="14.28515625" customWidth="1"/>
    <col min="4115" max="4115" width="12.85546875" bestFit="1" customWidth="1"/>
    <col min="4116" max="4116" width="11.28515625" bestFit="1" customWidth="1"/>
    <col min="4117" max="4117" width="12.5703125" bestFit="1" customWidth="1"/>
    <col min="4118" max="4118" width="14" bestFit="1" customWidth="1"/>
    <col min="4119" max="4119" width="6" bestFit="1" customWidth="1"/>
    <col min="4120" max="4120" width="15" customWidth="1"/>
    <col min="4121" max="4121" width="14.85546875" bestFit="1" customWidth="1"/>
    <col min="4122" max="4122" width="16.140625" bestFit="1" customWidth="1"/>
    <col min="4350" max="4350" width="20" customWidth="1"/>
    <col min="4351" max="4351" width="36.85546875" customWidth="1"/>
    <col min="4352" max="4352" width="19.7109375" bestFit="1" customWidth="1"/>
    <col min="4353" max="4353" width="21" customWidth="1"/>
    <col min="4354" max="4354" width="16.7109375" bestFit="1" customWidth="1"/>
    <col min="4355" max="4355" width="15" customWidth="1"/>
    <col min="4356" max="4356" width="15.28515625" bestFit="1" customWidth="1"/>
    <col min="4357" max="4357" width="14.140625" bestFit="1" customWidth="1"/>
    <col min="4358" max="4358" width="15.28515625" customWidth="1"/>
    <col min="4359" max="4359" width="15.85546875" customWidth="1"/>
    <col min="4360" max="4360" width="17" bestFit="1" customWidth="1"/>
    <col min="4361" max="4361" width="12.7109375" customWidth="1"/>
    <col min="4362" max="4362" width="13.7109375" customWidth="1"/>
    <col min="4363" max="4363" width="13.85546875" bestFit="1" customWidth="1"/>
    <col min="4364" max="4364" width="20.85546875" bestFit="1" customWidth="1"/>
    <col min="4365" max="4365" width="23.42578125" bestFit="1" customWidth="1"/>
    <col min="4366" max="4366" width="23.28515625" bestFit="1" customWidth="1"/>
    <col min="4367" max="4367" width="15.5703125" bestFit="1" customWidth="1"/>
    <col min="4368" max="4368" width="20.5703125" bestFit="1" customWidth="1"/>
    <col min="4369" max="4369" width="18.28515625" customWidth="1"/>
    <col min="4370" max="4370" width="14.28515625" customWidth="1"/>
    <col min="4371" max="4371" width="12.85546875" bestFit="1" customWidth="1"/>
    <col min="4372" max="4372" width="11.28515625" bestFit="1" customWidth="1"/>
    <col min="4373" max="4373" width="12.5703125" bestFit="1" customWidth="1"/>
    <col min="4374" max="4374" width="14" bestFit="1" customWidth="1"/>
    <col min="4375" max="4375" width="6" bestFit="1" customWidth="1"/>
    <col min="4376" max="4376" width="15" customWidth="1"/>
    <col min="4377" max="4377" width="14.85546875" bestFit="1" customWidth="1"/>
    <col min="4378" max="4378" width="16.140625" bestFit="1" customWidth="1"/>
    <col min="4606" max="4606" width="20" customWidth="1"/>
    <col min="4607" max="4607" width="36.85546875" customWidth="1"/>
    <col min="4608" max="4608" width="19.7109375" bestFit="1" customWidth="1"/>
    <col min="4609" max="4609" width="21" customWidth="1"/>
    <col min="4610" max="4610" width="16.7109375" bestFit="1" customWidth="1"/>
    <col min="4611" max="4611" width="15" customWidth="1"/>
    <col min="4612" max="4612" width="15.28515625" bestFit="1" customWidth="1"/>
    <col min="4613" max="4613" width="14.140625" bestFit="1" customWidth="1"/>
    <col min="4614" max="4614" width="15.28515625" customWidth="1"/>
    <col min="4615" max="4615" width="15.85546875" customWidth="1"/>
    <col min="4616" max="4616" width="17" bestFit="1" customWidth="1"/>
    <col min="4617" max="4617" width="12.7109375" customWidth="1"/>
    <col min="4618" max="4618" width="13.7109375" customWidth="1"/>
    <col min="4619" max="4619" width="13.85546875" bestFit="1" customWidth="1"/>
    <col min="4620" max="4620" width="20.85546875" bestFit="1" customWidth="1"/>
    <col min="4621" max="4621" width="23.42578125" bestFit="1" customWidth="1"/>
    <col min="4622" max="4622" width="23.28515625" bestFit="1" customWidth="1"/>
    <col min="4623" max="4623" width="15.5703125" bestFit="1" customWidth="1"/>
    <col min="4624" max="4624" width="20.5703125" bestFit="1" customWidth="1"/>
    <col min="4625" max="4625" width="18.28515625" customWidth="1"/>
    <col min="4626" max="4626" width="14.28515625" customWidth="1"/>
    <col min="4627" max="4627" width="12.85546875" bestFit="1" customWidth="1"/>
    <col min="4628" max="4628" width="11.28515625" bestFit="1" customWidth="1"/>
    <col min="4629" max="4629" width="12.5703125" bestFit="1" customWidth="1"/>
    <col min="4630" max="4630" width="14" bestFit="1" customWidth="1"/>
    <col min="4631" max="4631" width="6" bestFit="1" customWidth="1"/>
    <col min="4632" max="4632" width="15" customWidth="1"/>
    <col min="4633" max="4633" width="14.85546875" bestFit="1" customWidth="1"/>
    <col min="4634" max="4634" width="16.140625" bestFit="1" customWidth="1"/>
    <col min="4862" max="4862" width="20" customWidth="1"/>
    <col min="4863" max="4863" width="36.85546875" customWidth="1"/>
    <col min="4864" max="4864" width="19.7109375" bestFit="1" customWidth="1"/>
    <col min="4865" max="4865" width="21" customWidth="1"/>
    <col min="4866" max="4866" width="16.7109375" bestFit="1" customWidth="1"/>
    <col min="4867" max="4867" width="15" customWidth="1"/>
    <col min="4868" max="4868" width="15.28515625" bestFit="1" customWidth="1"/>
    <col min="4869" max="4869" width="14.140625" bestFit="1" customWidth="1"/>
    <col min="4870" max="4870" width="15.28515625" customWidth="1"/>
    <col min="4871" max="4871" width="15.85546875" customWidth="1"/>
    <col min="4872" max="4872" width="17" bestFit="1" customWidth="1"/>
    <col min="4873" max="4873" width="12.7109375" customWidth="1"/>
    <col min="4874" max="4874" width="13.7109375" customWidth="1"/>
    <col min="4875" max="4875" width="13.85546875" bestFit="1" customWidth="1"/>
    <col min="4876" max="4876" width="20.85546875" bestFit="1" customWidth="1"/>
    <col min="4877" max="4877" width="23.42578125" bestFit="1" customWidth="1"/>
    <col min="4878" max="4878" width="23.28515625" bestFit="1" customWidth="1"/>
    <col min="4879" max="4879" width="15.5703125" bestFit="1" customWidth="1"/>
    <col min="4880" max="4880" width="20.5703125" bestFit="1" customWidth="1"/>
    <col min="4881" max="4881" width="18.28515625" customWidth="1"/>
    <col min="4882" max="4882" width="14.28515625" customWidth="1"/>
    <col min="4883" max="4883" width="12.85546875" bestFit="1" customWidth="1"/>
    <col min="4884" max="4884" width="11.28515625" bestFit="1" customWidth="1"/>
    <col min="4885" max="4885" width="12.5703125" bestFit="1" customWidth="1"/>
    <col min="4886" max="4886" width="14" bestFit="1" customWidth="1"/>
    <col min="4887" max="4887" width="6" bestFit="1" customWidth="1"/>
    <col min="4888" max="4888" width="15" customWidth="1"/>
    <col min="4889" max="4889" width="14.85546875" bestFit="1" customWidth="1"/>
    <col min="4890" max="4890" width="16.140625" bestFit="1" customWidth="1"/>
    <col min="5118" max="5118" width="20" customWidth="1"/>
    <col min="5119" max="5119" width="36.85546875" customWidth="1"/>
    <col min="5120" max="5120" width="19.7109375" bestFit="1" customWidth="1"/>
    <col min="5121" max="5121" width="21" customWidth="1"/>
    <col min="5122" max="5122" width="16.7109375" bestFit="1" customWidth="1"/>
    <col min="5123" max="5123" width="15" customWidth="1"/>
    <col min="5124" max="5124" width="15.28515625" bestFit="1" customWidth="1"/>
    <col min="5125" max="5125" width="14.140625" bestFit="1" customWidth="1"/>
    <col min="5126" max="5126" width="15.28515625" customWidth="1"/>
    <col min="5127" max="5127" width="15.85546875" customWidth="1"/>
    <col min="5128" max="5128" width="17" bestFit="1" customWidth="1"/>
    <col min="5129" max="5129" width="12.7109375" customWidth="1"/>
    <col min="5130" max="5130" width="13.7109375" customWidth="1"/>
    <col min="5131" max="5131" width="13.85546875" bestFit="1" customWidth="1"/>
    <col min="5132" max="5132" width="20.85546875" bestFit="1" customWidth="1"/>
    <col min="5133" max="5133" width="23.42578125" bestFit="1" customWidth="1"/>
    <col min="5134" max="5134" width="23.28515625" bestFit="1" customWidth="1"/>
    <col min="5135" max="5135" width="15.5703125" bestFit="1" customWidth="1"/>
    <col min="5136" max="5136" width="20.5703125" bestFit="1" customWidth="1"/>
    <col min="5137" max="5137" width="18.28515625" customWidth="1"/>
    <col min="5138" max="5138" width="14.28515625" customWidth="1"/>
    <col min="5139" max="5139" width="12.85546875" bestFit="1" customWidth="1"/>
    <col min="5140" max="5140" width="11.28515625" bestFit="1" customWidth="1"/>
    <col min="5141" max="5141" width="12.5703125" bestFit="1" customWidth="1"/>
    <col min="5142" max="5142" width="14" bestFit="1" customWidth="1"/>
    <col min="5143" max="5143" width="6" bestFit="1" customWidth="1"/>
    <col min="5144" max="5144" width="15" customWidth="1"/>
    <col min="5145" max="5145" width="14.85546875" bestFit="1" customWidth="1"/>
    <col min="5146" max="5146" width="16.140625" bestFit="1" customWidth="1"/>
    <col min="5374" max="5374" width="20" customWidth="1"/>
    <col min="5375" max="5375" width="36.85546875" customWidth="1"/>
    <col min="5376" max="5376" width="19.7109375" bestFit="1" customWidth="1"/>
    <col min="5377" max="5377" width="21" customWidth="1"/>
    <col min="5378" max="5378" width="16.7109375" bestFit="1" customWidth="1"/>
    <col min="5379" max="5379" width="15" customWidth="1"/>
    <col min="5380" max="5380" width="15.28515625" bestFit="1" customWidth="1"/>
    <col min="5381" max="5381" width="14.140625" bestFit="1" customWidth="1"/>
    <col min="5382" max="5382" width="15.28515625" customWidth="1"/>
    <col min="5383" max="5383" width="15.85546875" customWidth="1"/>
    <col min="5384" max="5384" width="17" bestFit="1" customWidth="1"/>
    <col min="5385" max="5385" width="12.7109375" customWidth="1"/>
    <col min="5386" max="5386" width="13.7109375" customWidth="1"/>
    <col min="5387" max="5387" width="13.85546875" bestFit="1" customWidth="1"/>
    <col min="5388" max="5388" width="20.85546875" bestFit="1" customWidth="1"/>
    <col min="5389" max="5389" width="23.42578125" bestFit="1" customWidth="1"/>
    <col min="5390" max="5390" width="23.28515625" bestFit="1" customWidth="1"/>
    <col min="5391" max="5391" width="15.5703125" bestFit="1" customWidth="1"/>
    <col min="5392" max="5392" width="20.5703125" bestFit="1" customWidth="1"/>
    <col min="5393" max="5393" width="18.28515625" customWidth="1"/>
    <col min="5394" max="5394" width="14.28515625" customWidth="1"/>
    <col min="5395" max="5395" width="12.85546875" bestFit="1" customWidth="1"/>
    <col min="5396" max="5396" width="11.28515625" bestFit="1" customWidth="1"/>
    <col min="5397" max="5397" width="12.5703125" bestFit="1" customWidth="1"/>
    <col min="5398" max="5398" width="14" bestFit="1" customWidth="1"/>
    <col min="5399" max="5399" width="6" bestFit="1" customWidth="1"/>
    <col min="5400" max="5400" width="15" customWidth="1"/>
    <col min="5401" max="5401" width="14.85546875" bestFit="1" customWidth="1"/>
    <col min="5402" max="5402" width="16.140625" bestFit="1" customWidth="1"/>
    <col min="5630" max="5630" width="20" customWidth="1"/>
    <col min="5631" max="5631" width="36.85546875" customWidth="1"/>
    <col min="5632" max="5632" width="19.7109375" bestFit="1" customWidth="1"/>
    <col min="5633" max="5633" width="21" customWidth="1"/>
    <col min="5634" max="5634" width="16.7109375" bestFit="1" customWidth="1"/>
    <col min="5635" max="5635" width="15" customWidth="1"/>
    <col min="5636" max="5636" width="15.28515625" bestFit="1" customWidth="1"/>
    <col min="5637" max="5637" width="14.140625" bestFit="1" customWidth="1"/>
    <col min="5638" max="5638" width="15.28515625" customWidth="1"/>
    <col min="5639" max="5639" width="15.85546875" customWidth="1"/>
    <col min="5640" max="5640" width="17" bestFit="1" customWidth="1"/>
    <col min="5641" max="5641" width="12.7109375" customWidth="1"/>
    <col min="5642" max="5642" width="13.7109375" customWidth="1"/>
    <col min="5643" max="5643" width="13.85546875" bestFit="1" customWidth="1"/>
    <col min="5644" max="5644" width="20.85546875" bestFit="1" customWidth="1"/>
    <col min="5645" max="5645" width="23.42578125" bestFit="1" customWidth="1"/>
    <col min="5646" max="5646" width="23.28515625" bestFit="1" customWidth="1"/>
    <col min="5647" max="5647" width="15.5703125" bestFit="1" customWidth="1"/>
    <col min="5648" max="5648" width="20.5703125" bestFit="1" customWidth="1"/>
    <col min="5649" max="5649" width="18.28515625" customWidth="1"/>
    <col min="5650" max="5650" width="14.28515625" customWidth="1"/>
    <col min="5651" max="5651" width="12.85546875" bestFit="1" customWidth="1"/>
    <col min="5652" max="5652" width="11.28515625" bestFit="1" customWidth="1"/>
    <col min="5653" max="5653" width="12.5703125" bestFit="1" customWidth="1"/>
    <col min="5654" max="5654" width="14" bestFit="1" customWidth="1"/>
    <col min="5655" max="5655" width="6" bestFit="1" customWidth="1"/>
    <col min="5656" max="5656" width="15" customWidth="1"/>
    <col min="5657" max="5657" width="14.85546875" bestFit="1" customWidth="1"/>
    <col min="5658" max="5658" width="16.140625" bestFit="1" customWidth="1"/>
    <col min="5886" max="5886" width="20" customWidth="1"/>
    <col min="5887" max="5887" width="36.85546875" customWidth="1"/>
    <col min="5888" max="5888" width="19.7109375" bestFit="1" customWidth="1"/>
    <col min="5889" max="5889" width="21" customWidth="1"/>
    <col min="5890" max="5890" width="16.7109375" bestFit="1" customWidth="1"/>
    <col min="5891" max="5891" width="15" customWidth="1"/>
    <col min="5892" max="5892" width="15.28515625" bestFit="1" customWidth="1"/>
    <col min="5893" max="5893" width="14.140625" bestFit="1" customWidth="1"/>
    <col min="5894" max="5894" width="15.28515625" customWidth="1"/>
    <col min="5895" max="5895" width="15.85546875" customWidth="1"/>
    <col min="5896" max="5896" width="17" bestFit="1" customWidth="1"/>
    <col min="5897" max="5897" width="12.7109375" customWidth="1"/>
    <col min="5898" max="5898" width="13.7109375" customWidth="1"/>
    <col min="5899" max="5899" width="13.85546875" bestFit="1" customWidth="1"/>
    <col min="5900" max="5900" width="20.85546875" bestFit="1" customWidth="1"/>
    <col min="5901" max="5901" width="23.42578125" bestFit="1" customWidth="1"/>
    <col min="5902" max="5902" width="23.28515625" bestFit="1" customWidth="1"/>
    <col min="5903" max="5903" width="15.5703125" bestFit="1" customWidth="1"/>
    <col min="5904" max="5904" width="20.5703125" bestFit="1" customWidth="1"/>
    <col min="5905" max="5905" width="18.28515625" customWidth="1"/>
    <col min="5906" max="5906" width="14.28515625" customWidth="1"/>
    <col min="5907" max="5907" width="12.85546875" bestFit="1" customWidth="1"/>
    <col min="5908" max="5908" width="11.28515625" bestFit="1" customWidth="1"/>
    <col min="5909" max="5909" width="12.5703125" bestFit="1" customWidth="1"/>
    <col min="5910" max="5910" width="14" bestFit="1" customWidth="1"/>
    <col min="5911" max="5911" width="6" bestFit="1" customWidth="1"/>
    <col min="5912" max="5912" width="15" customWidth="1"/>
    <col min="5913" max="5913" width="14.85546875" bestFit="1" customWidth="1"/>
    <col min="5914" max="5914" width="16.140625" bestFit="1" customWidth="1"/>
    <col min="6142" max="6142" width="20" customWidth="1"/>
    <col min="6143" max="6143" width="36.85546875" customWidth="1"/>
    <col min="6144" max="6144" width="19.7109375" bestFit="1" customWidth="1"/>
    <col min="6145" max="6145" width="21" customWidth="1"/>
    <col min="6146" max="6146" width="16.7109375" bestFit="1" customWidth="1"/>
    <col min="6147" max="6147" width="15" customWidth="1"/>
    <col min="6148" max="6148" width="15.28515625" bestFit="1" customWidth="1"/>
    <col min="6149" max="6149" width="14.140625" bestFit="1" customWidth="1"/>
    <col min="6150" max="6150" width="15.28515625" customWidth="1"/>
    <col min="6151" max="6151" width="15.85546875" customWidth="1"/>
    <col min="6152" max="6152" width="17" bestFit="1" customWidth="1"/>
    <col min="6153" max="6153" width="12.7109375" customWidth="1"/>
    <col min="6154" max="6154" width="13.7109375" customWidth="1"/>
    <col min="6155" max="6155" width="13.85546875" bestFit="1" customWidth="1"/>
    <col min="6156" max="6156" width="20.85546875" bestFit="1" customWidth="1"/>
    <col min="6157" max="6157" width="23.42578125" bestFit="1" customWidth="1"/>
    <col min="6158" max="6158" width="23.28515625" bestFit="1" customWidth="1"/>
    <col min="6159" max="6159" width="15.5703125" bestFit="1" customWidth="1"/>
    <col min="6160" max="6160" width="20.5703125" bestFit="1" customWidth="1"/>
    <col min="6161" max="6161" width="18.28515625" customWidth="1"/>
    <col min="6162" max="6162" width="14.28515625" customWidth="1"/>
    <col min="6163" max="6163" width="12.85546875" bestFit="1" customWidth="1"/>
    <col min="6164" max="6164" width="11.28515625" bestFit="1" customWidth="1"/>
    <col min="6165" max="6165" width="12.5703125" bestFit="1" customWidth="1"/>
    <col min="6166" max="6166" width="14" bestFit="1" customWidth="1"/>
    <col min="6167" max="6167" width="6" bestFit="1" customWidth="1"/>
    <col min="6168" max="6168" width="15" customWidth="1"/>
    <col min="6169" max="6169" width="14.85546875" bestFit="1" customWidth="1"/>
    <col min="6170" max="6170" width="16.140625" bestFit="1" customWidth="1"/>
    <col min="6398" max="6398" width="20" customWidth="1"/>
    <col min="6399" max="6399" width="36.85546875" customWidth="1"/>
    <col min="6400" max="6400" width="19.7109375" bestFit="1" customWidth="1"/>
    <col min="6401" max="6401" width="21" customWidth="1"/>
    <col min="6402" max="6402" width="16.7109375" bestFit="1" customWidth="1"/>
    <col min="6403" max="6403" width="15" customWidth="1"/>
    <col min="6404" max="6404" width="15.28515625" bestFit="1" customWidth="1"/>
    <col min="6405" max="6405" width="14.140625" bestFit="1" customWidth="1"/>
    <col min="6406" max="6406" width="15.28515625" customWidth="1"/>
    <col min="6407" max="6407" width="15.85546875" customWidth="1"/>
    <col min="6408" max="6408" width="17" bestFit="1" customWidth="1"/>
    <col min="6409" max="6409" width="12.7109375" customWidth="1"/>
    <col min="6410" max="6410" width="13.7109375" customWidth="1"/>
    <col min="6411" max="6411" width="13.85546875" bestFit="1" customWidth="1"/>
    <col min="6412" max="6412" width="20.85546875" bestFit="1" customWidth="1"/>
    <col min="6413" max="6413" width="23.42578125" bestFit="1" customWidth="1"/>
    <col min="6414" max="6414" width="23.28515625" bestFit="1" customWidth="1"/>
    <col min="6415" max="6415" width="15.5703125" bestFit="1" customWidth="1"/>
    <col min="6416" max="6416" width="20.5703125" bestFit="1" customWidth="1"/>
    <col min="6417" max="6417" width="18.28515625" customWidth="1"/>
    <col min="6418" max="6418" width="14.28515625" customWidth="1"/>
    <col min="6419" max="6419" width="12.85546875" bestFit="1" customWidth="1"/>
    <col min="6420" max="6420" width="11.28515625" bestFit="1" customWidth="1"/>
    <col min="6421" max="6421" width="12.5703125" bestFit="1" customWidth="1"/>
    <col min="6422" max="6422" width="14" bestFit="1" customWidth="1"/>
    <col min="6423" max="6423" width="6" bestFit="1" customWidth="1"/>
    <col min="6424" max="6424" width="15" customWidth="1"/>
    <col min="6425" max="6425" width="14.85546875" bestFit="1" customWidth="1"/>
    <col min="6426" max="6426" width="16.140625" bestFit="1" customWidth="1"/>
    <col min="6654" max="6654" width="20" customWidth="1"/>
    <col min="6655" max="6655" width="36.85546875" customWidth="1"/>
    <col min="6656" max="6656" width="19.7109375" bestFit="1" customWidth="1"/>
    <col min="6657" max="6657" width="21" customWidth="1"/>
    <col min="6658" max="6658" width="16.7109375" bestFit="1" customWidth="1"/>
    <col min="6659" max="6659" width="15" customWidth="1"/>
    <col min="6660" max="6660" width="15.28515625" bestFit="1" customWidth="1"/>
    <col min="6661" max="6661" width="14.140625" bestFit="1" customWidth="1"/>
    <col min="6662" max="6662" width="15.28515625" customWidth="1"/>
    <col min="6663" max="6663" width="15.85546875" customWidth="1"/>
    <col min="6664" max="6664" width="17" bestFit="1" customWidth="1"/>
    <col min="6665" max="6665" width="12.7109375" customWidth="1"/>
    <col min="6666" max="6666" width="13.7109375" customWidth="1"/>
    <col min="6667" max="6667" width="13.85546875" bestFit="1" customWidth="1"/>
    <col min="6668" max="6668" width="20.85546875" bestFit="1" customWidth="1"/>
    <col min="6669" max="6669" width="23.42578125" bestFit="1" customWidth="1"/>
    <col min="6670" max="6670" width="23.28515625" bestFit="1" customWidth="1"/>
    <col min="6671" max="6671" width="15.5703125" bestFit="1" customWidth="1"/>
    <col min="6672" max="6672" width="20.5703125" bestFit="1" customWidth="1"/>
    <col min="6673" max="6673" width="18.28515625" customWidth="1"/>
    <col min="6674" max="6674" width="14.28515625" customWidth="1"/>
    <col min="6675" max="6675" width="12.85546875" bestFit="1" customWidth="1"/>
    <col min="6676" max="6676" width="11.28515625" bestFit="1" customWidth="1"/>
    <col min="6677" max="6677" width="12.5703125" bestFit="1" customWidth="1"/>
    <col min="6678" max="6678" width="14" bestFit="1" customWidth="1"/>
    <col min="6679" max="6679" width="6" bestFit="1" customWidth="1"/>
    <col min="6680" max="6680" width="15" customWidth="1"/>
    <col min="6681" max="6681" width="14.85546875" bestFit="1" customWidth="1"/>
    <col min="6682" max="6682" width="16.140625" bestFit="1" customWidth="1"/>
    <col min="6910" max="6910" width="20" customWidth="1"/>
    <col min="6911" max="6911" width="36.85546875" customWidth="1"/>
    <col min="6912" max="6912" width="19.7109375" bestFit="1" customWidth="1"/>
    <col min="6913" max="6913" width="21" customWidth="1"/>
    <col min="6914" max="6914" width="16.7109375" bestFit="1" customWidth="1"/>
    <col min="6915" max="6915" width="15" customWidth="1"/>
    <col min="6916" max="6916" width="15.28515625" bestFit="1" customWidth="1"/>
    <col min="6917" max="6917" width="14.140625" bestFit="1" customWidth="1"/>
    <col min="6918" max="6918" width="15.28515625" customWidth="1"/>
    <col min="6919" max="6919" width="15.85546875" customWidth="1"/>
    <col min="6920" max="6920" width="17" bestFit="1" customWidth="1"/>
    <col min="6921" max="6921" width="12.7109375" customWidth="1"/>
    <col min="6922" max="6922" width="13.7109375" customWidth="1"/>
    <col min="6923" max="6923" width="13.85546875" bestFit="1" customWidth="1"/>
    <col min="6924" max="6924" width="20.85546875" bestFit="1" customWidth="1"/>
    <col min="6925" max="6925" width="23.42578125" bestFit="1" customWidth="1"/>
    <col min="6926" max="6926" width="23.28515625" bestFit="1" customWidth="1"/>
    <col min="6927" max="6927" width="15.5703125" bestFit="1" customWidth="1"/>
    <col min="6928" max="6928" width="20.5703125" bestFit="1" customWidth="1"/>
    <col min="6929" max="6929" width="18.28515625" customWidth="1"/>
    <col min="6930" max="6930" width="14.28515625" customWidth="1"/>
    <col min="6931" max="6931" width="12.85546875" bestFit="1" customWidth="1"/>
    <col min="6932" max="6932" width="11.28515625" bestFit="1" customWidth="1"/>
    <col min="6933" max="6933" width="12.5703125" bestFit="1" customWidth="1"/>
    <col min="6934" max="6934" width="14" bestFit="1" customWidth="1"/>
    <col min="6935" max="6935" width="6" bestFit="1" customWidth="1"/>
    <col min="6936" max="6936" width="15" customWidth="1"/>
    <col min="6937" max="6937" width="14.85546875" bestFit="1" customWidth="1"/>
    <col min="6938" max="6938" width="16.140625" bestFit="1" customWidth="1"/>
    <col min="7166" max="7166" width="20" customWidth="1"/>
    <col min="7167" max="7167" width="36.85546875" customWidth="1"/>
    <col min="7168" max="7168" width="19.7109375" bestFit="1" customWidth="1"/>
    <col min="7169" max="7169" width="21" customWidth="1"/>
    <col min="7170" max="7170" width="16.7109375" bestFit="1" customWidth="1"/>
    <col min="7171" max="7171" width="15" customWidth="1"/>
    <col min="7172" max="7172" width="15.28515625" bestFit="1" customWidth="1"/>
    <col min="7173" max="7173" width="14.140625" bestFit="1" customWidth="1"/>
    <col min="7174" max="7174" width="15.28515625" customWidth="1"/>
    <col min="7175" max="7175" width="15.85546875" customWidth="1"/>
    <col min="7176" max="7176" width="17" bestFit="1" customWidth="1"/>
    <col min="7177" max="7177" width="12.7109375" customWidth="1"/>
    <col min="7178" max="7178" width="13.7109375" customWidth="1"/>
    <col min="7179" max="7179" width="13.85546875" bestFit="1" customWidth="1"/>
    <col min="7180" max="7180" width="20.85546875" bestFit="1" customWidth="1"/>
    <col min="7181" max="7181" width="23.42578125" bestFit="1" customWidth="1"/>
    <col min="7182" max="7182" width="23.28515625" bestFit="1" customWidth="1"/>
    <col min="7183" max="7183" width="15.5703125" bestFit="1" customWidth="1"/>
    <col min="7184" max="7184" width="20.5703125" bestFit="1" customWidth="1"/>
    <col min="7185" max="7185" width="18.28515625" customWidth="1"/>
    <col min="7186" max="7186" width="14.28515625" customWidth="1"/>
    <col min="7187" max="7187" width="12.85546875" bestFit="1" customWidth="1"/>
    <col min="7188" max="7188" width="11.28515625" bestFit="1" customWidth="1"/>
    <col min="7189" max="7189" width="12.5703125" bestFit="1" customWidth="1"/>
    <col min="7190" max="7190" width="14" bestFit="1" customWidth="1"/>
    <col min="7191" max="7191" width="6" bestFit="1" customWidth="1"/>
    <col min="7192" max="7192" width="15" customWidth="1"/>
    <col min="7193" max="7193" width="14.85546875" bestFit="1" customWidth="1"/>
    <col min="7194" max="7194" width="16.140625" bestFit="1" customWidth="1"/>
    <col min="7422" max="7422" width="20" customWidth="1"/>
    <col min="7423" max="7423" width="36.85546875" customWidth="1"/>
    <col min="7424" max="7424" width="19.7109375" bestFit="1" customWidth="1"/>
    <col min="7425" max="7425" width="21" customWidth="1"/>
    <col min="7426" max="7426" width="16.7109375" bestFit="1" customWidth="1"/>
    <col min="7427" max="7427" width="15" customWidth="1"/>
    <col min="7428" max="7428" width="15.28515625" bestFit="1" customWidth="1"/>
    <col min="7429" max="7429" width="14.140625" bestFit="1" customWidth="1"/>
    <col min="7430" max="7430" width="15.28515625" customWidth="1"/>
    <col min="7431" max="7431" width="15.85546875" customWidth="1"/>
    <col min="7432" max="7432" width="17" bestFit="1" customWidth="1"/>
    <col min="7433" max="7433" width="12.7109375" customWidth="1"/>
    <col min="7434" max="7434" width="13.7109375" customWidth="1"/>
    <col min="7435" max="7435" width="13.85546875" bestFit="1" customWidth="1"/>
    <col min="7436" max="7436" width="20.85546875" bestFit="1" customWidth="1"/>
    <col min="7437" max="7437" width="23.42578125" bestFit="1" customWidth="1"/>
    <col min="7438" max="7438" width="23.28515625" bestFit="1" customWidth="1"/>
    <col min="7439" max="7439" width="15.5703125" bestFit="1" customWidth="1"/>
    <col min="7440" max="7440" width="20.5703125" bestFit="1" customWidth="1"/>
    <col min="7441" max="7441" width="18.28515625" customWidth="1"/>
    <col min="7442" max="7442" width="14.28515625" customWidth="1"/>
    <col min="7443" max="7443" width="12.85546875" bestFit="1" customWidth="1"/>
    <col min="7444" max="7444" width="11.28515625" bestFit="1" customWidth="1"/>
    <col min="7445" max="7445" width="12.5703125" bestFit="1" customWidth="1"/>
    <col min="7446" max="7446" width="14" bestFit="1" customWidth="1"/>
    <col min="7447" max="7447" width="6" bestFit="1" customWidth="1"/>
    <col min="7448" max="7448" width="15" customWidth="1"/>
    <col min="7449" max="7449" width="14.85546875" bestFit="1" customWidth="1"/>
    <col min="7450" max="7450" width="16.140625" bestFit="1" customWidth="1"/>
    <col min="7678" max="7678" width="20" customWidth="1"/>
    <col min="7679" max="7679" width="36.85546875" customWidth="1"/>
    <col min="7680" max="7680" width="19.7109375" bestFit="1" customWidth="1"/>
    <col min="7681" max="7681" width="21" customWidth="1"/>
    <col min="7682" max="7682" width="16.7109375" bestFit="1" customWidth="1"/>
    <col min="7683" max="7683" width="15" customWidth="1"/>
    <col min="7684" max="7684" width="15.28515625" bestFit="1" customWidth="1"/>
    <col min="7685" max="7685" width="14.140625" bestFit="1" customWidth="1"/>
    <col min="7686" max="7686" width="15.28515625" customWidth="1"/>
    <col min="7687" max="7687" width="15.85546875" customWidth="1"/>
    <col min="7688" max="7688" width="17" bestFit="1" customWidth="1"/>
    <col min="7689" max="7689" width="12.7109375" customWidth="1"/>
    <col min="7690" max="7690" width="13.7109375" customWidth="1"/>
    <col min="7691" max="7691" width="13.85546875" bestFit="1" customWidth="1"/>
    <col min="7692" max="7692" width="20.85546875" bestFit="1" customWidth="1"/>
    <col min="7693" max="7693" width="23.42578125" bestFit="1" customWidth="1"/>
    <col min="7694" max="7694" width="23.28515625" bestFit="1" customWidth="1"/>
    <col min="7695" max="7695" width="15.5703125" bestFit="1" customWidth="1"/>
    <col min="7696" max="7696" width="20.5703125" bestFit="1" customWidth="1"/>
    <col min="7697" max="7697" width="18.28515625" customWidth="1"/>
    <col min="7698" max="7698" width="14.28515625" customWidth="1"/>
    <col min="7699" max="7699" width="12.85546875" bestFit="1" customWidth="1"/>
    <col min="7700" max="7700" width="11.28515625" bestFit="1" customWidth="1"/>
    <col min="7701" max="7701" width="12.5703125" bestFit="1" customWidth="1"/>
    <col min="7702" max="7702" width="14" bestFit="1" customWidth="1"/>
    <col min="7703" max="7703" width="6" bestFit="1" customWidth="1"/>
    <col min="7704" max="7704" width="15" customWidth="1"/>
    <col min="7705" max="7705" width="14.85546875" bestFit="1" customWidth="1"/>
    <col min="7706" max="7706" width="16.140625" bestFit="1" customWidth="1"/>
    <col min="7934" max="7934" width="20" customWidth="1"/>
    <col min="7935" max="7935" width="36.85546875" customWidth="1"/>
    <col min="7936" max="7936" width="19.7109375" bestFit="1" customWidth="1"/>
    <col min="7937" max="7937" width="21" customWidth="1"/>
    <col min="7938" max="7938" width="16.7109375" bestFit="1" customWidth="1"/>
    <col min="7939" max="7939" width="15" customWidth="1"/>
    <col min="7940" max="7940" width="15.28515625" bestFit="1" customWidth="1"/>
    <col min="7941" max="7941" width="14.140625" bestFit="1" customWidth="1"/>
    <col min="7942" max="7942" width="15.28515625" customWidth="1"/>
    <col min="7943" max="7943" width="15.85546875" customWidth="1"/>
    <col min="7944" max="7944" width="17" bestFit="1" customWidth="1"/>
    <col min="7945" max="7945" width="12.7109375" customWidth="1"/>
    <col min="7946" max="7946" width="13.7109375" customWidth="1"/>
    <col min="7947" max="7947" width="13.85546875" bestFit="1" customWidth="1"/>
    <col min="7948" max="7948" width="20.85546875" bestFit="1" customWidth="1"/>
    <col min="7949" max="7949" width="23.42578125" bestFit="1" customWidth="1"/>
    <col min="7950" max="7950" width="23.28515625" bestFit="1" customWidth="1"/>
    <col min="7951" max="7951" width="15.5703125" bestFit="1" customWidth="1"/>
    <col min="7952" max="7952" width="20.5703125" bestFit="1" customWidth="1"/>
    <col min="7953" max="7953" width="18.28515625" customWidth="1"/>
    <col min="7954" max="7954" width="14.28515625" customWidth="1"/>
    <col min="7955" max="7955" width="12.85546875" bestFit="1" customWidth="1"/>
    <col min="7956" max="7956" width="11.28515625" bestFit="1" customWidth="1"/>
    <col min="7957" max="7957" width="12.5703125" bestFit="1" customWidth="1"/>
    <col min="7958" max="7958" width="14" bestFit="1" customWidth="1"/>
    <col min="7959" max="7959" width="6" bestFit="1" customWidth="1"/>
    <col min="7960" max="7960" width="15" customWidth="1"/>
    <col min="7961" max="7961" width="14.85546875" bestFit="1" customWidth="1"/>
    <col min="7962" max="7962" width="16.140625" bestFit="1" customWidth="1"/>
    <col min="8190" max="8190" width="20" customWidth="1"/>
    <col min="8191" max="8191" width="36.85546875" customWidth="1"/>
    <col min="8192" max="8192" width="19.7109375" bestFit="1" customWidth="1"/>
    <col min="8193" max="8193" width="21" customWidth="1"/>
    <col min="8194" max="8194" width="16.7109375" bestFit="1" customWidth="1"/>
    <col min="8195" max="8195" width="15" customWidth="1"/>
    <col min="8196" max="8196" width="15.28515625" bestFit="1" customWidth="1"/>
    <col min="8197" max="8197" width="14.140625" bestFit="1" customWidth="1"/>
    <col min="8198" max="8198" width="15.28515625" customWidth="1"/>
    <col min="8199" max="8199" width="15.85546875" customWidth="1"/>
    <col min="8200" max="8200" width="17" bestFit="1" customWidth="1"/>
    <col min="8201" max="8201" width="12.7109375" customWidth="1"/>
    <col min="8202" max="8202" width="13.7109375" customWidth="1"/>
    <col min="8203" max="8203" width="13.85546875" bestFit="1" customWidth="1"/>
    <col min="8204" max="8204" width="20.85546875" bestFit="1" customWidth="1"/>
    <col min="8205" max="8205" width="23.42578125" bestFit="1" customWidth="1"/>
    <col min="8206" max="8206" width="23.28515625" bestFit="1" customWidth="1"/>
    <col min="8207" max="8207" width="15.5703125" bestFit="1" customWidth="1"/>
    <col min="8208" max="8208" width="20.5703125" bestFit="1" customWidth="1"/>
    <col min="8209" max="8209" width="18.28515625" customWidth="1"/>
    <col min="8210" max="8210" width="14.28515625" customWidth="1"/>
    <col min="8211" max="8211" width="12.85546875" bestFit="1" customWidth="1"/>
    <col min="8212" max="8212" width="11.28515625" bestFit="1" customWidth="1"/>
    <col min="8213" max="8213" width="12.5703125" bestFit="1" customWidth="1"/>
    <col min="8214" max="8214" width="14" bestFit="1" customWidth="1"/>
    <col min="8215" max="8215" width="6" bestFit="1" customWidth="1"/>
    <col min="8216" max="8216" width="15" customWidth="1"/>
    <col min="8217" max="8217" width="14.85546875" bestFit="1" customWidth="1"/>
    <col min="8218" max="8218" width="16.140625" bestFit="1" customWidth="1"/>
    <col min="8446" max="8446" width="20" customWidth="1"/>
    <col min="8447" max="8447" width="36.85546875" customWidth="1"/>
    <col min="8448" max="8448" width="19.7109375" bestFit="1" customWidth="1"/>
    <col min="8449" max="8449" width="21" customWidth="1"/>
    <col min="8450" max="8450" width="16.7109375" bestFit="1" customWidth="1"/>
    <col min="8451" max="8451" width="15" customWidth="1"/>
    <col min="8452" max="8452" width="15.28515625" bestFit="1" customWidth="1"/>
    <col min="8453" max="8453" width="14.140625" bestFit="1" customWidth="1"/>
    <col min="8454" max="8454" width="15.28515625" customWidth="1"/>
    <col min="8455" max="8455" width="15.85546875" customWidth="1"/>
    <col min="8456" max="8456" width="17" bestFit="1" customWidth="1"/>
    <col min="8457" max="8457" width="12.7109375" customWidth="1"/>
    <col min="8458" max="8458" width="13.7109375" customWidth="1"/>
    <col min="8459" max="8459" width="13.85546875" bestFit="1" customWidth="1"/>
    <col min="8460" max="8460" width="20.85546875" bestFit="1" customWidth="1"/>
    <col min="8461" max="8461" width="23.42578125" bestFit="1" customWidth="1"/>
    <col min="8462" max="8462" width="23.28515625" bestFit="1" customWidth="1"/>
    <col min="8463" max="8463" width="15.5703125" bestFit="1" customWidth="1"/>
    <col min="8464" max="8464" width="20.5703125" bestFit="1" customWidth="1"/>
    <col min="8465" max="8465" width="18.28515625" customWidth="1"/>
    <col min="8466" max="8466" width="14.28515625" customWidth="1"/>
    <col min="8467" max="8467" width="12.85546875" bestFit="1" customWidth="1"/>
    <col min="8468" max="8468" width="11.28515625" bestFit="1" customWidth="1"/>
    <col min="8469" max="8469" width="12.5703125" bestFit="1" customWidth="1"/>
    <col min="8470" max="8470" width="14" bestFit="1" customWidth="1"/>
    <col min="8471" max="8471" width="6" bestFit="1" customWidth="1"/>
    <col min="8472" max="8472" width="15" customWidth="1"/>
    <col min="8473" max="8473" width="14.85546875" bestFit="1" customWidth="1"/>
    <col min="8474" max="8474" width="16.140625" bestFit="1" customWidth="1"/>
    <col min="8702" max="8702" width="20" customWidth="1"/>
    <col min="8703" max="8703" width="36.85546875" customWidth="1"/>
    <col min="8704" max="8704" width="19.7109375" bestFit="1" customWidth="1"/>
    <col min="8705" max="8705" width="21" customWidth="1"/>
    <col min="8706" max="8706" width="16.7109375" bestFit="1" customWidth="1"/>
    <col min="8707" max="8707" width="15" customWidth="1"/>
    <col min="8708" max="8708" width="15.28515625" bestFit="1" customWidth="1"/>
    <col min="8709" max="8709" width="14.140625" bestFit="1" customWidth="1"/>
    <col min="8710" max="8710" width="15.28515625" customWidth="1"/>
    <col min="8711" max="8711" width="15.85546875" customWidth="1"/>
    <col min="8712" max="8712" width="17" bestFit="1" customWidth="1"/>
    <col min="8713" max="8713" width="12.7109375" customWidth="1"/>
    <col min="8714" max="8714" width="13.7109375" customWidth="1"/>
    <col min="8715" max="8715" width="13.85546875" bestFit="1" customWidth="1"/>
    <col min="8716" max="8716" width="20.85546875" bestFit="1" customWidth="1"/>
    <col min="8717" max="8717" width="23.42578125" bestFit="1" customWidth="1"/>
    <col min="8718" max="8718" width="23.28515625" bestFit="1" customWidth="1"/>
    <col min="8719" max="8719" width="15.5703125" bestFit="1" customWidth="1"/>
    <col min="8720" max="8720" width="20.5703125" bestFit="1" customWidth="1"/>
    <col min="8721" max="8721" width="18.28515625" customWidth="1"/>
    <col min="8722" max="8722" width="14.28515625" customWidth="1"/>
    <col min="8723" max="8723" width="12.85546875" bestFit="1" customWidth="1"/>
    <col min="8724" max="8724" width="11.28515625" bestFit="1" customWidth="1"/>
    <col min="8725" max="8725" width="12.5703125" bestFit="1" customWidth="1"/>
    <col min="8726" max="8726" width="14" bestFit="1" customWidth="1"/>
    <col min="8727" max="8727" width="6" bestFit="1" customWidth="1"/>
    <col min="8728" max="8728" width="15" customWidth="1"/>
    <col min="8729" max="8729" width="14.85546875" bestFit="1" customWidth="1"/>
    <col min="8730" max="8730" width="16.140625" bestFit="1" customWidth="1"/>
    <col min="8958" max="8958" width="20" customWidth="1"/>
    <col min="8959" max="8959" width="36.85546875" customWidth="1"/>
    <col min="8960" max="8960" width="19.7109375" bestFit="1" customWidth="1"/>
    <col min="8961" max="8961" width="21" customWidth="1"/>
    <col min="8962" max="8962" width="16.7109375" bestFit="1" customWidth="1"/>
    <col min="8963" max="8963" width="15" customWidth="1"/>
    <col min="8964" max="8964" width="15.28515625" bestFit="1" customWidth="1"/>
    <col min="8965" max="8965" width="14.140625" bestFit="1" customWidth="1"/>
    <col min="8966" max="8966" width="15.28515625" customWidth="1"/>
    <col min="8967" max="8967" width="15.85546875" customWidth="1"/>
    <col min="8968" max="8968" width="17" bestFit="1" customWidth="1"/>
    <col min="8969" max="8969" width="12.7109375" customWidth="1"/>
    <col min="8970" max="8970" width="13.7109375" customWidth="1"/>
    <col min="8971" max="8971" width="13.85546875" bestFit="1" customWidth="1"/>
    <col min="8972" max="8972" width="20.85546875" bestFit="1" customWidth="1"/>
    <col min="8973" max="8973" width="23.42578125" bestFit="1" customWidth="1"/>
    <col min="8974" max="8974" width="23.28515625" bestFit="1" customWidth="1"/>
    <col min="8975" max="8975" width="15.5703125" bestFit="1" customWidth="1"/>
    <col min="8976" max="8976" width="20.5703125" bestFit="1" customWidth="1"/>
    <col min="8977" max="8977" width="18.28515625" customWidth="1"/>
    <col min="8978" max="8978" width="14.28515625" customWidth="1"/>
    <col min="8979" max="8979" width="12.85546875" bestFit="1" customWidth="1"/>
    <col min="8980" max="8980" width="11.28515625" bestFit="1" customWidth="1"/>
    <col min="8981" max="8981" width="12.5703125" bestFit="1" customWidth="1"/>
    <col min="8982" max="8982" width="14" bestFit="1" customWidth="1"/>
    <col min="8983" max="8983" width="6" bestFit="1" customWidth="1"/>
    <col min="8984" max="8984" width="15" customWidth="1"/>
    <col min="8985" max="8985" width="14.85546875" bestFit="1" customWidth="1"/>
    <col min="8986" max="8986" width="16.140625" bestFit="1" customWidth="1"/>
    <col min="9214" max="9214" width="20" customWidth="1"/>
    <col min="9215" max="9215" width="36.85546875" customWidth="1"/>
    <col min="9216" max="9216" width="19.7109375" bestFit="1" customWidth="1"/>
    <col min="9217" max="9217" width="21" customWidth="1"/>
    <col min="9218" max="9218" width="16.7109375" bestFit="1" customWidth="1"/>
    <col min="9219" max="9219" width="15" customWidth="1"/>
    <col min="9220" max="9220" width="15.28515625" bestFit="1" customWidth="1"/>
    <col min="9221" max="9221" width="14.140625" bestFit="1" customWidth="1"/>
    <col min="9222" max="9222" width="15.28515625" customWidth="1"/>
    <col min="9223" max="9223" width="15.85546875" customWidth="1"/>
    <col min="9224" max="9224" width="17" bestFit="1" customWidth="1"/>
    <col min="9225" max="9225" width="12.7109375" customWidth="1"/>
    <col min="9226" max="9226" width="13.7109375" customWidth="1"/>
    <col min="9227" max="9227" width="13.85546875" bestFit="1" customWidth="1"/>
    <col min="9228" max="9228" width="20.85546875" bestFit="1" customWidth="1"/>
    <col min="9229" max="9229" width="23.42578125" bestFit="1" customWidth="1"/>
    <col min="9230" max="9230" width="23.28515625" bestFit="1" customWidth="1"/>
    <col min="9231" max="9231" width="15.5703125" bestFit="1" customWidth="1"/>
    <col min="9232" max="9232" width="20.5703125" bestFit="1" customWidth="1"/>
    <col min="9233" max="9233" width="18.28515625" customWidth="1"/>
    <col min="9234" max="9234" width="14.28515625" customWidth="1"/>
    <col min="9235" max="9235" width="12.85546875" bestFit="1" customWidth="1"/>
    <col min="9236" max="9236" width="11.28515625" bestFit="1" customWidth="1"/>
    <col min="9237" max="9237" width="12.5703125" bestFit="1" customWidth="1"/>
    <col min="9238" max="9238" width="14" bestFit="1" customWidth="1"/>
    <col min="9239" max="9239" width="6" bestFit="1" customWidth="1"/>
    <col min="9240" max="9240" width="15" customWidth="1"/>
    <col min="9241" max="9241" width="14.85546875" bestFit="1" customWidth="1"/>
    <col min="9242" max="9242" width="16.140625" bestFit="1" customWidth="1"/>
    <col min="9470" max="9470" width="20" customWidth="1"/>
    <col min="9471" max="9471" width="36.85546875" customWidth="1"/>
    <col min="9472" max="9472" width="19.7109375" bestFit="1" customWidth="1"/>
    <col min="9473" max="9473" width="21" customWidth="1"/>
    <col min="9474" max="9474" width="16.7109375" bestFit="1" customWidth="1"/>
    <col min="9475" max="9475" width="15" customWidth="1"/>
    <col min="9476" max="9476" width="15.28515625" bestFit="1" customWidth="1"/>
    <col min="9477" max="9477" width="14.140625" bestFit="1" customWidth="1"/>
    <col min="9478" max="9478" width="15.28515625" customWidth="1"/>
    <col min="9479" max="9479" width="15.85546875" customWidth="1"/>
    <col min="9480" max="9480" width="17" bestFit="1" customWidth="1"/>
    <col min="9481" max="9481" width="12.7109375" customWidth="1"/>
    <col min="9482" max="9482" width="13.7109375" customWidth="1"/>
    <col min="9483" max="9483" width="13.85546875" bestFit="1" customWidth="1"/>
    <col min="9484" max="9484" width="20.85546875" bestFit="1" customWidth="1"/>
    <col min="9485" max="9485" width="23.42578125" bestFit="1" customWidth="1"/>
    <col min="9486" max="9486" width="23.28515625" bestFit="1" customWidth="1"/>
    <col min="9487" max="9487" width="15.5703125" bestFit="1" customWidth="1"/>
    <col min="9488" max="9488" width="20.5703125" bestFit="1" customWidth="1"/>
    <col min="9489" max="9489" width="18.28515625" customWidth="1"/>
    <col min="9490" max="9490" width="14.28515625" customWidth="1"/>
    <col min="9491" max="9491" width="12.85546875" bestFit="1" customWidth="1"/>
    <col min="9492" max="9492" width="11.28515625" bestFit="1" customWidth="1"/>
    <col min="9493" max="9493" width="12.5703125" bestFit="1" customWidth="1"/>
    <col min="9494" max="9494" width="14" bestFit="1" customWidth="1"/>
    <col min="9495" max="9495" width="6" bestFit="1" customWidth="1"/>
    <col min="9496" max="9496" width="15" customWidth="1"/>
    <col min="9497" max="9497" width="14.85546875" bestFit="1" customWidth="1"/>
    <col min="9498" max="9498" width="16.140625" bestFit="1" customWidth="1"/>
    <col min="9726" max="9726" width="20" customWidth="1"/>
    <col min="9727" max="9727" width="36.85546875" customWidth="1"/>
    <col min="9728" max="9728" width="19.7109375" bestFit="1" customWidth="1"/>
    <col min="9729" max="9729" width="21" customWidth="1"/>
    <col min="9730" max="9730" width="16.7109375" bestFit="1" customWidth="1"/>
    <col min="9731" max="9731" width="15" customWidth="1"/>
    <col min="9732" max="9732" width="15.28515625" bestFit="1" customWidth="1"/>
    <col min="9733" max="9733" width="14.140625" bestFit="1" customWidth="1"/>
    <col min="9734" max="9734" width="15.28515625" customWidth="1"/>
    <col min="9735" max="9735" width="15.85546875" customWidth="1"/>
    <col min="9736" max="9736" width="17" bestFit="1" customWidth="1"/>
    <col min="9737" max="9737" width="12.7109375" customWidth="1"/>
    <col min="9738" max="9738" width="13.7109375" customWidth="1"/>
    <col min="9739" max="9739" width="13.85546875" bestFit="1" customWidth="1"/>
    <col min="9740" max="9740" width="20.85546875" bestFit="1" customWidth="1"/>
    <col min="9741" max="9741" width="23.42578125" bestFit="1" customWidth="1"/>
    <col min="9742" max="9742" width="23.28515625" bestFit="1" customWidth="1"/>
    <col min="9743" max="9743" width="15.5703125" bestFit="1" customWidth="1"/>
    <col min="9744" max="9744" width="20.5703125" bestFit="1" customWidth="1"/>
    <col min="9745" max="9745" width="18.28515625" customWidth="1"/>
    <col min="9746" max="9746" width="14.28515625" customWidth="1"/>
    <col min="9747" max="9747" width="12.85546875" bestFit="1" customWidth="1"/>
    <col min="9748" max="9748" width="11.28515625" bestFit="1" customWidth="1"/>
    <col min="9749" max="9749" width="12.5703125" bestFit="1" customWidth="1"/>
    <col min="9750" max="9750" width="14" bestFit="1" customWidth="1"/>
    <col min="9751" max="9751" width="6" bestFit="1" customWidth="1"/>
    <col min="9752" max="9752" width="15" customWidth="1"/>
    <col min="9753" max="9753" width="14.85546875" bestFit="1" customWidth="1"/>
    <col min="9754" max="9754" width="16.140625" bestFit="1" customWidth="1"/>
    <col min="9982" max="9982" width="20" customWidth="1"/>
    <col min="9983" max="9983" width="36.85546875" customWidth="1"/>
    <col min="9984" max="9984" width="19.7109375" bestFit="1" customWidth="1"/>
    <col min="9985" max="9985" width="21" customWidth="1"/>
    <col min="9986" max="9986" width="16.7109375" bestFit="1" customWidth="1"/>
    <col min="9987" max="9987" width="15" customWidth="1"/>
    <col min="9988" max="9988" width="15.28515625" bestFit="1" customWidth="1"/>
    <col min="9989" max="9989" width="14.140625" bestFit="1" customWidth="1"/>
    <col min="9990" max="9990" width="15.28515625" customWidth="1"/>
    <col min="9991" max="9991" width="15.85546875" customWidth="1"/>
    <col min="9992" max="9992" width="17" bestFit="1" customWidth="1"/>
    <col min="9993" max="9993" width="12.7109375" customWidth="1"/>
    <col min="9994" max="9994" width="13.7109375" customWidth="1"/>
    <col min="9995" max="9995" width="13.85546875" bestFit="1" customWidth="1"/>
    <col min="9996" max="9996" width="20.85546875" bestFit="1" customWidth="1"/>
    <col min="9997" max="9997" width="23.42578125" bestFit="1" customWidth="1"/>
    <col min="9998" max="9998" width="23.28515625" bestFit="1" customWidth="1"/>
    <col min="9999" max="9999" width="15.5703125" bestFit="1" customWidth="1"/>
    <col min="10000" max="10000" width="20.5703125" bestFit="1" customWidth="1"/>
    <col min="10001" max="10001" width="18.28515625" customWidth="1"/>
    <col min="10002" max="10002" width="14.28515625" customWidth="1"/>
    <col min="10003" max="10003" width="12.85546875" bestFit="1" customWidth="1"/>
    <col min="10004" max="10004" width="11.28515625" bestFit="1" customWidth="1"/>
    <col min="10005" max="10005" width="12.5703125" bestFit="1" customWidth="1"/>
    <col min="10006" max="10006" width="14" bestFit="1" customWidth="1"/>
    <col min="10007" max="10007" width="6" bestFit="1" customWidth="1"/>
    <col min="10008" max="10008" width="15" customWidth="1"/>
    <col min="10009" max="10009" width="14.85546875" bestFit="1" customWidth="1"/>
    <col min="10010" max="10010" width="16.140625" bestFit="1" customWidth="1"/>
    <col min="10238" max="10238" width="20" customWidth="1"/>
    <col min="10239" max="10239" width="36.85546875" customWidth="1"/>
    <col min="10240" max="10240" width="19.7109375" bestFit="1" customWidth="1"/>
    <col min="10241" max="10241" width="21" customWidth="1"/>
    <col min="10242" max="10242" width="16.7109375" bestFit="1" customWidth="1"/>
    <col min="10243" max="10243" width="15" customWidth="1"/>
    <col min="10244" max="10244" width="15.28515625" bestFit="1" customWidth="1"/>
    <col min="10245" max="10245" width="14.140625" bestFit="1" customWidth="1"/>
    <col min="10246" max="10246" width="15.28515625" customWidth="1"/>
    <col min="10247" max="10247" width="15.85546875" customWidth="1"/>
    <col min="10248" max="10248" width="17" bestFit="1" customWidth="1"/>
    <col min="10249" max="10249" width="12.7109375" customWidth="1"/>
    <col min="10250" max="10250" width="13.7109375" customWidth="1"/>
    <col min="10251" max="10251" width="13.85546875" bestFit="1" customWidth="1"/>
    <col min="10252" max="10252" width="20.85546875" bestFit="1" customWidth="1"/>
    <col min="10253" max="10253" width="23.42578125" bestFit="1" customWidth="1"/>
    <col min="10254" max="10254" width="23.28515625" bestFit="1" customWidth="1"/>
    <col min="10255" max="10255" width="15.5703125" bestFit="1" customWidth="1"/>
    <col min="10256" max="10256" width="20.5703125" bestFit="1" customWidth="1"/>
    <col min="10257" max="10257" width="18.28515625" customWidth="1"/>
    <col min="10258" max="10258" width="14.28515625" customWidth="1"/>
    <col min="10259" max="10259" width="12.85546875" bestFit="1" customWidth="1"/>
    <col min="10260" max="10260" width="11.28515625" bestFit="1" customWidth="1"/>
    <col min="10261" max="10261" width="12.5703125" bestFit="1" customWidth="1"/>
    <col min="10262" max="10262" width="14" bestFit="1" customWidth="1"/>
    <col min="10263" max="10263" width="6" bestFit="1" customWidth="1"/>
    <col min="10264" max="10264" width="15" customWidth="1"/>
    <col min="10265" max="10265" width="14.85546875" bestFit="1" customWidth="1"/>
    <col min="10266" max="10266" width="16.140625" bestFit="1" customWidth="1"/>
    <col min="10494" max="10494" width="20" customWidth="1"/>
    <col min="10495" max="10495" width="36.85546875" customWidth="1"/>
    <col min="10496" max="10496" width="19.7109375" bestFit="1" customWidth="1"/>
    <col min="10497" max="10497" width="21" customWidth="1"/>
    <col min="10498" max="10498" width="16.7109375" bestFit="1" customWidth="1"/>
    <col min="10499" max="10499" width="15" customWidth="1"/>
    <col min="10500" max="10500" width="15.28515625" bestFit="1" customWidth="1"/>
    <col min="10501" max="10501" width="14.140625" bestFit="1" customWidth="1"/>
    <col min="10502" max="10502" width="15.28515625" customWidth="1"/>
    <col min="10503" max="10503" width="15.85546875" customWidth="1"/>
    <col min="10504" max="10504" width="17" bestFit="1" customWidth="1"/>
    <col min="10505" max="10505" width="12.7109375" customWidth="1"/>
    <col min="10506" max="10506" width="13.7109375" customWidth="1"/>
    <col min="10507" max="10507" width="13.85546875" bestFit="1" customWidth="1"/>
    <col min="10508" max="10508" width="20.85546875" bestFit="1" customWidth="1"/>
    <col min="10509" max="10509" width="23.42578125" bestFit="1" customWidth="1"/>
    <col min="10510" max="10510" width="23.28515625" bestFit="1" customWidth="1"/>
    <col min="10511" max="10511" width="15.5703125" bestFit="1" customWidth="1"/>
    <col min="10512" max="10512" width="20.5703125" bestFit="1" customWidth="1"/>
    <col min="10513" max="10513" width="18.28515625" customWidth="1"/>
    <col min="10514" max="10514" width="14.28515625" customWidth="1"/>
    <col min="10515" max="10515" width="12.85546875" bestFit="1" customWidth="1"/>
    <col min="10516" max="10516" width="11.28515625" bestFit="1" customWidth="1"/>
    <col min="10517" max="10517" width="12.5703125" bestFit="1" customWidth="1"/>
    <col min="10518" max="10518" width="14" bestFit="1" customWidth="1"/>
    <col min="10519" max="10519" width="6" bestFit="1" customWidth="1"/>
    <col min="10520" max="10520" width="15" customWidth="1"/>
    <col min="10521" max="10521" width="14.85546875" bestFit="1" customWidth="1"/>
    <col min="10522" max="10522" width="16.140625" bestFit="1" customWidth="1"/>
    <col min="10750" max="10750" width="20" customWidth="1"/>
    <col min="10751" max="10751" width="36.85546875" customWidth="1"/>
    <col min="10752" max="10752" width="19.7109375" bestFit="1" customWidth="1"/>
    <col min="10753" max="10753" width="21" customWidth="1"/>
    <col min="10754" max="10754" width="16.7109375" bestFit="1" customWidth="1"/>
    <col min="10755" max="10755" width="15" customWidth="1"/>
    <col min="10756" max="10756" width="15.28515625" bestFit="1" customWidth="1"/>
    <col min="10757" max="10757" width="14.140625" bestFit="1" customWidth="1"/>
    <col min="10758" max="10758" width="15.28515625" customWidth="1"/>
    <col min="10759" max="10759" width="15.85546875" customWidth="1"/>
    <col min="10760" max="10760" width="17" bestFit="1" customWidth="1"/>
    <col min="10761" max="10761" width="12.7109375" customWidth="1"/>
    <col min="10762" max="10762" width="13.7109375" customWidth="1"/>
    <col min="10763" max="10763" width="13.85546875" bestFit="1" customWidth="1"/>
    <col min="10764" max="10764" width="20.85546875" bestFit="1" customWidth="1"/>
    <col min="10765" max="10765" width="23.42578125" bestFit="1" customWidth="1"/>
    <col min="10766" max="10766" width="23.28515625" bestFit="1" customWidth="1"/>
    <col min="10767" max="10767" width="15.5703125" bestFit="1" customWidth="1"/>
    <col min="10768" max="10768" width="20.5703125" bestFit="1" customWidth="1"/>
    <col min="10769" max="10769" width="18.28515625" customWidth="1"/>
    <col min="10770" max="10770" width="14.28515625" customWidth="1"/>
    <col min="10771" max="10771" width="12.85546875" bestFit="1" customWidth="1"/>
    <col min="10772" max="10772" width="11.28515625" bestFit="1" customWidth="1"/>
    <col min="10773" max="10773" width="12.5703125" bestFit="1" customWidth="1"/>
    <col min="10774" max="10774" width="14" bestFit="1" customWidth="1"/>
    <col min="10775" max="10775" width="6" bestFit="1" customWidth="1"/>
    <col min="10776" max="10776" width="15" customWidth="1"/>
    <col min="10777" max="10777" width="14.85546875" bestFit="1" customWidth="1"/>
    <col min="10778" max="10778" width="16.140625" bestFit="1" customWidth="1"/>
    <col min="11006" max="11006" width="20" customWidth="1"/>
    <col min="11007" max="11007" width="36.85546875" customWidth="1"/>
    <col min="11008" max="11008" width="19.7109375" bestFit="1" customWidth="1"/>
    <col min="11009" max="11009" width="21" customWidth="1"/>
    <col min="11010" max="11010" width="16.7109375" bestFit="1" customWidth="1"/>
    <col min="11011" max="11011" width="15" customWidth="1"/>
    <col min="11012" max="11012" width="15.28515625" bestFit="1" customWidth="1"/>
    <col min="11013" max="11013" width="14.140625" bestFit="1" customWidth="1"/>
    <col min="11014" max="11014" width="15.28515625" customWidth="1"/>
    <col min="11015" max="11015" width="15.85546875" customWidth="1"/>
    <col min="11016" max="11016" width="17" bestFit="1" customWidth="1"/>
    <col min="11017" max="11017" width="12.7109375" customWidth="1"/>
    <col min="11018" max="11018" width="13.7109375" customWidth="1"/>
    <col min="11019" max="11019" width="13.85546875" bestFit="1" customWidth="1"/>
    <col min="11020" max="11020" width="20.85546875" bestFit="1" customWidth="1"/>
    <col min="11021" max="11021" width="23.42578125" bestFit="1" customWidth="1"/>
    <col min="11022" max="11022" width="23.28515625" bestFit="1" customWidth="1"/>
    <col min="11023" max="11023" width="15.5703125" bestFit="1" customWidth="1"/>
    <col min="11024" max="11024" width="20.5703125" bestFit="1" customWidth="1"/>
    <col min="11025" max="11025" width="18.28515625" customWidth="1"/>
    <col min="11026" max="11026" width="14.28515625" customWidth="1"/>
    <col min="11027" max="11027" width="12.85546875" bestFit="1" customWidth="1"/>
    <col min="11028" max="11028" width="11.28515625" bestFit="1" customWidth="1"/>
    <col min="11029" max="11029" width="12.5703125" bestFit="1" customWidth="1"/>
    <col min="11030" max="11030" width="14" bestFit="1" customWidth="1"/>
    <col min="11031" max="11031" width="6" bestFit="1" customWidth="1"/>
    <col min="11032" max="11032" width="15" customWidth="1"/>
    <col min="11033" max="11033" width="14.85546875" bestFit="1" customWidth="1"/>
    <col min="11034" max="11034" width="16.140625" bestFit="1" customWidth="1"/>
    <col min="11262" max="11262" width="20" customWidth="1"/>
    <col min="11263" max="11263" width="36.85546875" customWidth="1"/>
    <col min="11264" max="11264" width="19.7109375" bestFit="1" customWidth="1"/>
    <col min="11265" max="11265" width="21" customWidth="1"/>
    <col min="11266" max="11266" width="16.7109375" bestFit="1" customWidth="1"/>
    <col min="11267" max="11267" width="15" customWidth="1"/>
    <col min="11268" max="11268" width="15.28515625" bestFit="1" customWidth="1"/>
    <col min="11269" max="11269" width="14.140625" bestFit="1" customWidth="1"/>
    <col min="11270" max="11270" width="15.28515625" customWidth="1"/>
    <col min="11271" max="11271" width="15.85546875" customWidth="1"/>
    <col min="11272" max="11272" width="17" bestFit="1" customWidth="1"/>
    <col min="11273" max="11273" width="12.7109375" customWidth="1"/>
    <col min="11274" max="11274" width="13.7109375" customWidth="1"/>
    <col min="11275" max="11275" width="13.85546875" bestFit="1" customWidth="1"/>
    <col min="11276" max="11276" width="20.85546875" bestFit="1" customWidth="1"/>
    <col min="11277" max="11277" width="23.42578125" bestFit="1" customWidth="1"/>
    <col min="11278" max="11278" width="23.28515625" bestFit="1" customWidth="1"/>
    <col min="11279" max="11279" width="15.5703125" bestFit="1" customWidth="1"/>
    <col min="11280" max="11280" width="20.5703125" bestFit="1" customWidth="1"/>
    <col min="11281" max="11281" width="18.28515625" customWidth="1"/>
    <col min="11282" max="11282" width="14.28515625" customWidth="1"/>
    <col min="11283" max="11283" width="12.85546875" bestFit="1" customWidth="1"/>
    <col min="11284" max="11284" width="11.28515625" bestFit="1" customWidth="1"/>
    <col min="11285" max="11285" width="12.5703125" bestFit="1" customWidth="1"/>
    <col min="11286" max="11286" width="14" bestFit="1" customWidth="1"/>
    <col min="11287" max="11287" width="6" bestFit="1" customWidth="1"/>
    <col min="11288" max="11288" width="15" customWidth="1"/>
    <col min="11289" max="11289" width="14.85546875" bestFit="1" customWidth="1"/>
    <col min="11290" max="11290" width="16.140625" bestFit="1" customWidth="1"/>
    <col min="11518" max="11518" width="20" customWidth="1"/>
    <col min="11519" max="11519" width="36.85546875" customWidth="1"/>
    <col min="11520" max="11520" width="19.7109375" bestFit="1" customWidth="1"/>
    <col min="11521" max="11521" width="21" customWidth="1"/>
    <col min="11522" max="11522" width="16.7109375" bestFit="1" customWidth="1"/>
    <col min="11523" max="11523" width="15" customWidth="1"/>
    <col min="11524" max="11524" width="15.28515625" bestFit="1" customWidth="1"/>
    <col min="11525" max="11525" width="14.140625" bestFit="1" customWidth="1"/>
    <col min="11526" max="11526" width="15.28515625" customWidth="1"/>
    <col min="11527" max="11527" width="15.85546875" customWidth="1"/>
    <col min="11528" max="11528" width="17" bestFit="1" customWidth="1"/>
    <col min="11529" max="11529" width="12.7109375" customWidth="1"/>
    <col min="11530" max="11530" width="13.7109375" customWidth="1"/>
    <col min="11531" max="11531" width="13.85546875" bestFit="1" customWidth="1"/>
    <col min="11532" max="11532" width="20.85546875" bestFit="1" customWidth="1"/>
    <col min="11533" max="11533" width="23.42578125" bestFit="1" customWidth="1"/>
    <col min="11534" max="11534" width="23.28515625" bestFit="1" customWidth="1"/>
    <col min="11535" max="11535" width="15.5703125" bestFit="1" customWidth="1"/>
    <col min="11536" max="11536" width="20.5703125" bestFit="1" customWidth="1"/>
    <col min="11537" max="11537" width="18.28515625" customWidth="1"/>
    <col min="11538" max="11538" width="14.28515625" customWidth="1"/>
    <col min="11539" max="11539" width="12.85546875" bestFit="1" customWidth="1"/>
    <col min="11540" max="11540" width="11.28515625" bestFit="1" customWidth="1"/>
    <col min="11541" max="11541" width="12.5703125" bestFit="1" customWidth="1"/>
    <col min="11542" max="11542" width="14" bestFit="1" customWidth="1"/>
    <col min="11543" max="11543" width="6" bestFit="1" customWidth="1"/>
    <col min="11544" max="11544" width="15" customWidth="1"/>
    <col min="11545" max="11545" width="14.85546875" bestFit="1" customWidth="1"/>
    <col min="11546" max="11546" width="16.140625" bestFit="1" customWidth="1"/>
    <col min="11774" max="11774" width="20" customWidth="1"/>
    <col min="11775" max="11775" width="36.85546875" customWidth="1"/>
    <col min="11776" max="11776" width="19.7109375" bestFit="1" customWidth="1"/>
    <col min="11777" max="11777" width="21" customWidth="1"/>
    <col min="11778" max="11778" width="16.7109375" bestFit="1" customWidth="1"/>
    <col min="11779" max="11779" width="15" customWidth="1"/>
    <col min="11780" max="11780" width="15.28515625" bestFit="1" customWidth="1"/>
    <col min="11781" max="11781" width="14.140625" bestFit="1" customWidth="1"/>
    <col min="11782" max="11782" width="15.28515625" customWidth="1"/>
    <col min="11783" max="11783" width="15.85546875" customWidth="1"/>
    <col min="11784" max="11784" width="17" bestFit="1" customWidth="1"/>
    <col min="11785" max="11785" width="12.7109375" customWidth="1"/>
    <col min="11786" max="11786" width="13.7109375" customWidth="1"/>
    <col min="11787" max="11787" width="13.85546875" bestFit="1" customWidth="1"/>
    <col min="11788" max="11788" width="20.85546875" bestFit="1" customWidth="1"/>
    <col min="11789" max="11789" width="23.42578125" bestFit="1" customWidth="1"/>
    <col min="11790" max="11790" width="23.28515625" bestFit="1" customWidth="1"/>
    <col min="11791" max="11791" width="15.5703125" bestFit="1" customWidth="1"/>
    <col min="11792" max="11792" width="20.5703125" bestFit="1" customWidth="1"/>
    <col min="11793" max="11793" width="18.28515625" customWidth="1"/>
    <col min="11794" max="11794" width="14.28515625" customWidth="1"/>
    <col min="11795" max="11795" width="12.85546875" bestFit="1" customWidth="1"/>
    <col min="11796" max="11796" width="11.28515625" bestFit="1" customWidth="1"/>
    <col min="11797" max="11797" width="12.5703125" bestFit="1" customWidth="1"/>
    <col min="11798" max="11798" width="14" bestFit="1" customWidth="1"/>
    <col min="11799" max="11799" width="6" bestFit="1" customWidth="1"/>
    <col min="11800" max="11800" width="15" customWidth="1"/>
    <col min="11801" max="11801" width="14.85546875" bestFit="1" customWidth="1"/>
    <col min="11802" max="11802" width="16.140625" bestFit="1" customWidth="1"/>
    <col min="12030" max="12030" width="20" customWidth="1"/>
    <col min="12031" max="12031" width="36.85546875" customWidth="1"/>
    <col min="12032" max="12032" width="19.7109375" bestFit="1" customWidth="1"/>
    <col min="12033" max="12033" width="21" customWidth="1"/>
    <col min="12034" max="12034" width="16.7109375" bestFit="1" customWidth="1"/>
    <col min="12035" max="12035" width="15" customWidth="1"/>
    <col min="12036" max="12036" width="15.28515625" bestFit="1" customWidth="1"/>
    <col min="12037" max="12037" width="14.140625" bestFit="1" customWidth="1"/>
    <col min="12038" max="12038" width="15.28515625" customWidth="1"/>
    <col min="12039" max="12039" width="15.85546875" customWidth="1"/>
    <col min="12040" max="12040" width="17" bestFit="1" customWidth="1"/>
    <col min="12041" max="12041" width="12.7109375" customWidth="1"/>
    <col min="12042" max="12042" width="13.7109375" customWidth="1"/>
    <col min="12043" max="12043" width="13.85546875" bestFit="1" customWidth="1"/>
    <col min="12044" max="12044" width="20.85546875" bestFit="1" customWidth="1"/>
    <col min="12045" max="12045" width="23.42578125" bestFit="1" customWidth="1"/>
    <col min="12046" max="12046" width="23.28515625" bestFit="1" customWidth="1"/>
    <col min="12047" max="12047" width="15.5703125" bestFit="1" customWidth="1"/>
    <col min="12048" max="12048" width="20.5703125" bestFit="1" customWidth="1"/>
    <col min="12049" max="12049" width="18.28515625" customWidth="1"/>
    <col min="12050" max="12050" width="14.28515625" customWidth="1"/>
    <col min="12051" max="12051" width="12.85546875" bestFit="1" customWidth="1"/>
    <col min="12052" max="12052" width="11.28515625" bestFit="1" customWidth="1"/>
    <col min="12053" max="12053" width="12.5703125" bestFit="1" customWidth="1"/>
    <col min="12054" max="12054" width="14" bestFit="1" customWidth="1"/>
    <col min="12055" max="12055" width="6" bestFit="1" customWidth="1"/>
    <col min="12056" max="12056" width="15" customWidth="1"/>
    <col min="12057" max="12057" width="14.85546875" bestFit="1" customWidth="1"/>
    <col min="12058" max="12058" width="16.140625" bestFit="1" customWidth="1"/>
    <col min="12286" max="12286" width="20" customWidth="1"/>
    <col min="12287" max="12287" width="36.85546875" customWidth="1"/>
    <col min="12288" max="12288" width="19.7109375" bestFit="1" customWidth="1"/>
    <col min="12289" max="12289" width="21" customWidth="1"/>
    <col min="12290" max="12290" width="16.7109375" bestFit="1" customWidth="1"/>
    <col min="12291" max="12291" width="15" customWidth="1"/>
    <col min="12292" max="12292" width="15.28515625" bestFit="1" customWidth="1"/>
    <col min="12293" max="12293" width="14.140625" bestFit="1" customWidth="1"/>
    <col min="12294" max="12294" width="15.28515625" customWidth="1"/>
    <col min="12295" max="12295" width="15.85546875" customWidth="1"/>
    <col min="12296" max="12296" width="17" bestFit="1" customWidth="1"/>
    <col min="12297" max="12297" width="12.7109375" customWidth="1"/>
    <col min="12298" max="12298" width="13.7109375" customWidth="1"/>
    <col min="12299" max="12299" width="13.85546875" bestFit="1" customWidth="1"/>
    <col min="12300" max="12300" width="20.85546875" bestFit="1" customWidth="1"/>
    <col min="12301" max="12301" width="23.42578125" bestFit="1" customWidth="1"/>
    <col min="12302" max="12302" width="23.28515625" bestFit="1" customWidth="1"/>
    <col min="12303" max="12303" width="15.5703125" bestFit="1" customWidth="1"/>
    <col min="12304" max="12304" width="20.5703125" bestFit="1" customWidth="1"/>
    <col min="12305" max="12305" width="18.28515625" customWidth="1"/>
    <col min="12306" max="12306" width="14.28515625" customWidth="1"/>
    <col min="12307" max="12307" width="12.85546875" bestFit="1" customWidth="1"/>
    <col min="12308" max="12308" width="11.28515625" bestFit="1" customWidth="1"/>
    <col min="12309" max="12309" width="12.5703125" bestFit="1" customWidth="1"/>
    <col min="12310" max="12310" width="14" bestFit="1" customWidth="1"/>
    <col min="12311" max="12311" width="6" bestFit="1" customWidth="1"/>
    <col min="12312" max="12312" width="15" customWidth="1"/>
    <col min="12313" max="12313" width="14.85546875" bestFit="1" customWidth="1"/>
    <col min="12314" max="12314" width="16.140625" bestFit="1" customWidth="1"/>
    <col min="12542" max="12542" width="20" customWidth="1"/>
    <col min="12543" max="12543" width="36.85546875" customWidth="1"/>
    <col min="12544" max="12544" width="19.7109375" bestFit="1" customWidth="1"/>
    <col min="12545" max="12545" width="21" customWidth="1"/>
    <col min="12546" max="12546" width="16.7109375" bestFit="1" customWidth="1"/>
    <col min="12547" max="12547" width="15" customWidth="1"/>
    <col min="12548" max="12548" width="15.28515625" bestFit="1" customWidth="1"/>
    <col min="12549" max="12549" width="14.140625" bestFit="1" customWidth="1"/>
    <col min="12550" max="12550" width="15.28515625" customWidth="1"/>
    <col min="12551" max="12551" width="15.85546875" customWidth="1"/>
    <col min="12552" max="12552" width="17" bestFit="1" customWidth="1"/>
    <col min="12553" max="12553" width="12.7109375" customWidth="1"/>
    <col min="12554" max="12554" width="13.7109375" customWidth="1"/>
    <col min="12555" max="12555" width="13.85546875" bestFit="1" customWidth="1"/>
    <col min="12556" max="12556" width="20.85546875" bestFit="1" customWidth="1"/>
    <col min="12557" max="12557" width="23.42578125" bestFit="1" customWidth="1"/>
    <col min="12558" max="12558" width="23.28515625" bestFit="1" customWidth="1"/>
    <col min="12559" max="12559" width="15.5703125" bestFit="1" customWidth="1"/>
    <col min="12560" max="12560" width="20.5703125" bestFit="1" customWidth="1"/>
    <col min="12561" max="12561" width="18.28515625" customWidth="1"/>
    <col min="12562" max="12562" width="14.28515625" customWidth="1"/>
    <col min="12563" max="12563" width="12.85546875" bestFit="1" customWidth="1"/>
    <col min="12564" max="12564" width="11.28515625" bestFit="1" customWidth="1"/>
    <col min="12565" max="12565" width="12.5703125" bestFit="1" customWidth="1"/>
    <col min="12566" max="12566" width="14" bestFit="1" customWidth="1"/>
    <col min="12567" max="12567" width="6" bestFit="1" customWidth="1"/>
    <col min="12568" max="12568" width="15" customWidth="1"/>
    <col min="12569" max="12569" width="14.85546875" bestFit="1" customWidth="1"/>
    <col min="12570" max="12570" width="16.140625" bestFit="1" customWidth="1"/>
    <col min="12798" max="12798" width="20" customWidth="1"/>
    <col min="12799" max="12799" width="36.85546875" customWidth="1"/>
    <col min="12800" max="12800" width="19.7109375" bestFit="1" customWidth="1"/>
    <col min="12801" max="12801" width="21" customWidth="1"/>
    <col min="12802" max="12802" width="16.7109375" bestFit="1" customWidth="1"/>
    <col min="12803" max="12803" width="15" customWidth="1"/>
    <col min="12804" max="12804" width="15.28515625" bestFit="1" customWidth="1"/>
    <col min="12805" max="12805" width="14.140625" bestFit="1" customWidth="1"/>
    <col min="12806" max="12806" width="15.28515625" customWidth="1"/>
    <col min="12807" max="12807" width="15.85546875" customWidth="1"/>
    <col min="12808" max="12808" width="17" bestFit="1" customWidth="1"/>
    <col min="12809" max="12809" width="12.7109375" customWidth="1"/>
    <col min="12810" max="12810" width="13.7109375" customWidth="1"/>
    <col min="12811" max="12811" width="13.85546875" bestFit="1" customWidth="1"/>
    <col min="12812" max="12812" width="20.85546875" bestFit="1" customWidth="1"/>
    <col min="12813" max="12813" width="23.42578125" bestFit="1" customWidth="1"/>
    <col min="12814" max="12814" width="23.28515625" bestFit="1" customWidth="1"/>
    <col min="12815" max="12815" width="15.5703125" bestFit="1" customWidth="1"/>
    <col min="12816" max="12816" width="20.5703125" bestFit="1" customWidth="1"/>
    <col min="12817" max="12817" width="18.28515625" customWidth="1"/>
    <col min="12818" max="12818" width="14.28515625" customWidth="1"/>
    <col min="12819" max="12819" width="12.85546875" bestFit="1" customWidth="1"/>
    <col min="12820" max="12820" width="11.28515625" bestFit="1" customWidth="1"/>
    <col min="12821" max="12821" width="12.5703125" bestFit="1" customWidth="1"/>
    <col min="12822" max="12822" width="14" bestFit="1" customWidth="1"/>
    <col min="12823" max="12823" width="6" bestFit="1" customWidth="1"/>
    <col min="12824" max="12824" width="15" customWidth="1"/>
    <col min="12825" max="12825" width="14.85546875" bestFit="1" customWidth="1"/>
    <col min="12826" max="12826" width="16.140625" bestFit="1" customWidth="1"/>
    <col min="13054" max="13054" width="20" customWidth="1"/>
    <col min="13055" max="13055" width="36.85546875" customWidth="1"/>
    <col min="13056" max="13056" width="19.7109375" bestFit="1" customWidth="1"/>
    <col min="13057" max="13057" width="21" customWidth="1"/>
    <col min="13058" max="13058" width="16.7109375" bestFit="1" customWidth="1"/>
    <col min="13059" max="13059" width="15" customWidth="1"/>
    <col min="13060" max="13060" width="15.28515625" bestFit="1" customWidth="1"/>
    <col min="13061" max="13061" width="14.140625" bestFit="1" customWidth="1"/>
    <col min="13062" max="13062" width="15.28515625" customWidth="1"/>
    <col min="13063" max="13063" width="15.85546875" customWidth="1"/>
    <col min="13064" max="13064" width="17" bestFit="1" customWidth="1"/>
    <col min="13065" max="13065" width="12.7109375" customWidth="1"/>
    <col min="13066" max="13066" width="13.7109375" customWidth="1"/>
    <col min="13067" max="13067" width="13.85546875" bestFit="1" customWidth="1"/>
    <col min="13068" max="13068" width="20.85546875" bestFit="1" customWidth="1"/>
    <col min="13069" max="13069" width="23.42578125" bestFit="1" customWidth="1"/>
    <col min="13070" max="13070" width="23.28515625" bestFit="1" customWidth="1"/>
    <col min="13071" max="13071" width="15.5703125" bestFit="1" customWidth="1"/>
    <col min="13072" max="13072" width="20.5703125" bestFit="1" customWidth="1"/>
    <col min="13073" max="13073" width="18.28515625" customWidth="1"/>
    <col min="13074" max="13074" width="14.28515625" customWidth="1"/>
    <col min="13075" max="13075" width="12.85546875" bestFit="1" customWidth="1"/>
    <col min="13076" max="13076" width="11.28515625" bestFit="1" customWidth="1"/>
    <col min="13077" max="13077" width="12.5703125" bestFit="1" customWidth="1"/>
    <col min="13078" max="13078" width="14" bestFit="1" customWidth="1"/>
    <col min="13079" max="13079" width="6" bestFit="1" customWidth="1"/>
    <col min="13080" max="13080" width="15" customWidth="1"/>
    <col min="13081" max="13081" width="14.85546875" bestFit="1" customWidth="1"/>
    <col min="13082" max="13082" width="16.140625" bestFit="1" customWidth="1"/>
    <col min="13310" max="13310" width="20" customWidth="1"/>
    <col min="13311" max="13311" width="36.85546875" customWidth="1"/>
    <col min="13312" max="13312" width="19.7109375" bestFit="1" customWidth="1"/>
    <col min="13313" max="13313" width="21" customWidth="1"/>
    <col min="13314" max="13314" width="16.7109375" bestFit="1" customWidth="1"/>
    <col min="13315" max="13315" width="15" customWidth="1"/>
    <col min="13316" max="13316" width="15.28515625" bestFit="1" customWidth="1"/>
    <col min="13317" max="13317" width="14.140625" bestFit="1" customWidth="1"/>
    <col min="13318" max="13318" width="15.28515625" customWidth="1"/>
    <col min="13319" max="13319" width="15.85546875" customWidth="1"/>
    <col min="13320" max="13320" width="17" bestFit="1" customWidth="1"/>
    <col min="13321" max="13321" width="12.7109375" customWidth="1"/>
    <col min="13322" max="13322" width="13.7109375" customWidth="1"/>
    <col min="13323" max="13323" width="13.85546875" bestFit="1" customWidth="1"/>
    <col min="13324" max="13324" width="20.85546875" bestFit="1" customWidth="1"/>
    <col min="13325" max="13325" width="23.42578125" bestFit="1" customWidth="1"/>
    <col min="13326" max="13326" width="23.28515625" bestFit="1" customWidth="1"/>
    <col min="13327" max="13327" width="15.5703125" bestFit="1" customWidth="1"/>
    <col min="13328" max="13328" width="20.5703125" bestFit="1" customWidth="1"/>
    <col min="13329" max="13329" width="18.28515625" customWidth="1"/>
    <col min="13330" max="13330" width="14.28515625" customWidth="1"/>
    <col min="13331" max="13331" width="12.85546875" bestFit="1" customWidth="1"/>
    <col min="13332" max="13332" width="11.28515625" bestFit="1" customWidth="1"/>
    <col min="13333" max="13333" width="12.5703125" bestFit="1" customWidth="1"/>
    <col min="13334" max="13334" width="14" bestFit="1" customWidth="1"/>
    <col min="13335" max="13335" width="6" bestFit="1" customWidth="1"/>
    <col min="13336" max="13336" width="15" customWidth="1"/>
    <col min="13337" max="13337" width="14.85546875" bestFit="1" customWidth="1"/>
    <col min="13338" max="13338" width="16.140625" bestFit="1" customWidth="1"/>
    <col min="13566" max="13566" width="20" customWidth="1"/>
    <col min="13567" max="13567" width="36.85546875" customWidth="1"/>
    <col min="13568" max="13568" width="19.7109375" bestFit="1" customWidth="1"/>
    <col min="13569" max="13569" width="21" customWidth="1"/>
    <col min="13570" max="13570" width="16.7109375" bestFit="1" customWidth="1"/>
    <col min="13571" max="13571" width="15" customWidth="1"/>
    <col min="13572" max="13572" width="15.28515625" bestFit="1" customWidth="1"/>
    <col min="13573" max="13573" width="14.140625" bestFit="1" customWidth="1"/>
    <col min="13574" max="13574" width="15.28515625" customWidth="1"/>
    <col min="13575" max="13575" width="15.85546875" customWidth="1"/>
    <col min="13576" max="13576" width="17" bestFit="1" customWidth="1"/>
    <col min="13577" max="13577" width="12.7109375" customWidth="1"/>
    <col min="13578" max="13578" width="13.7109375" customWidth="1"/>
    <col min="13579" max="13579" width="13.85546875" bestFit="1" customWidth="1"/>
    <col min="13580" max="13580" width="20.85546875" bestFit="1" customWidth="1"/>
    <col min="13581" max="13581" width="23.42578125" bestFit="1" customWidth="1"/>
    <col min="13582" max="13582" width="23.28515625" bestFit="1" customWidth="1"/>
    <col min="13583" max="13583" width="15.5703125" bestFit="1" customWidth="1"/>
    <col min="13584" max="13584" width="20.5703125" bestFit="1" customWidth="1"/>
    <col min="13585" max="13585" width="18.28515625" customWidth="1"/>
    <col min="13586" max="13586" width="14.28515625" customWidth="1"/>
    <col min="13587" max="13587" width="12.85546875" bestFit="1" customWidth="1"/>
    <col min="13588" max="13588" width="11.28515625" bestFit="1" customWidth="1"/>
    <col min="13589" max="13589" width="12.5703125" bestFit="1" customWidth="1"/>
    <col min="13590" max="13590" width="14" bestFit="1" customWidth="1"/>
    <col min="13591" max="13591" width="6" bestFit="1" customWidth="1"/>
    <col min="13592" max="13592" width="15" customWidth="1"/>
    <col min="13593" max="13593" width="14.85546875" bestFit="1" customWidth="1"/>
    <col min="13594" max="13594" width="16.140625" bestFit="1" customWidth="1"/>
    <col min="13822" max="13822" width="20" customWidth="1"/>
    <col min="13823" max="13823" width="36.85546875" customWidth="1"/>
    <col min="13824" max="13824" width="19.7109375" bestFit="1" customWidth="1"/>
    <col min="13825" max="13825" width="21" customWidth="1"/>
    <col min="13826" max="13826" width="16.7109375" bestFit="1" customWidth="1"/>
    <col min="13827" max="13827" width="15" customWidth="1"/>
    <col min="13828" max="13828" width="15.28515625" bestFit="1" customWidth="1"/>
    <col min="13829" max="13829" width="14.140625" bestFit="1" customWidth="1"/>
    <col min="13830" max="13830" width="15.28515625" customWidth="1"/>
    <col min="13831" max="13831" width="15.85546875" customWidth="1"/>
    <col min="13832" max="13832" width="17" bestFit="1" customWidth="1"/>
    <col min="13833" max="13833" width="12.7109375" customWidth="1"/>
    <col min="13834" max="13834" width="13.7109375" customWidth="1"/>
    <col min="13835" max="13835" width="13.85546875" bestFit="1" customWidth="1"/>
    <col min="13836" max="13836" width="20.85546875" bestFit="1" customWidth="1"/>
    <col min="13837" max="13837" width="23.42578125" bestFit="1" customWidth="1"/>
    <col min="13838" max="13838" width="23.28515625" bestFit="1" customWidth="1"/>
    <col min="13839" max="13839" width="15.5703125" bestFit="1" customWidth="1"/>
    <col min="13840" max="13840" width="20.5703125" bestFit="1" customWidth="1"/>
    <col min="13841" max="13841" width="18.28515625" customWidth="1"/>
    <col min="13842" max="13842" width="14.28515625" customWidth="1"/>
    <col min="13843" max="13843" width="12.85546875" bestFit="1" customWidth="1"/>
    <col min="13844" max="13844" width="11.28515625" bestFit="1" customWidth="1"/>
    <col min="13845" max="13845" width="12.5703125" bestFit="1" customWidth="1"/>
    <col min="13846" max="13846" width="14" bestFit="1" customWidth="1"/>
    <col min="13847" max="13847" width="6" bestFit="1" customWidth="1"/>
    <col min="13848" max="13848" width="15" customWidth="1"/>
    <col min="13849" max="13849" width="14.85546875" bestFit="1" customWidth="1"/>
    <col min="13850" max="13850" width="16.140625" bestFit="1" customWidth="1"/>
    <col min="14078" max="14078" width="20" customWidth="1"/>
    <col min="14079" max="14079" width="36.85546875" customWidth="1"/>
    <col min="14080" max="14080" width="19.7109375" bestFit="1" customWidth="1"/>
    <col min="14081" max="14081" width="21" customWidth="1"/>
    <col min="14082" max="14082" width="16.7109375" bestFit="1" customWidth="1"/>
    <col min="14083" max="14083" width="15" customWidth="1"/>
    <col min="14084" max="14084" width="15.28515625" bestFit="1" customWidth="1"/>
    <col min="14085" max="14085" width="14.140625" bestFit="1" customWidth="1"/>
    <col min="14086" max="14086" width="15.28515625" customWidth="1"/>
    <col min="14087" max="14087" width="15.85546875" customWidth="1"/>
    <col min="14088" max="14088" width="17" bestFit="1" customWidth="1"/>
    <col min="14089" max="14089" width="12.7109375" customWidth="1"/>
    <col min="14090" max="14090" width="13.7109375" customWidth="1"/>
    <col min="14091" max="14091" width="13.85546875" bestFit="1" customWidth="1"/>
    <col min="14092" max="14092" width="20.85546875" bestFit="1" customWidth="1"/>
    <col min="14093" max="14093" width="23.42578125" bestFit="1" customWidth="1"/>
    <col min="14094" max="14094" width="23.28515625" bestFit="1" customWidth="1"/>
    <col min="14095" max="14095" width="15.5703125" bestFit="1" customWidth="1"/>
    <col min="14096" max="14096" width="20.5703125" bestFit="1" customWidth="1"/>
    <col min="14097" max="14097" width="18.28515625" customWidth="1"/>
    <col min="14098" max="14098" width="14.28515625" customWidth="1"/>
    <col min="14099" max="14099" width="12.85546875" bestFit="1" customWidth="1"/>
    <col min="14100" max="14100" width="11.28515625" bestFit="1" customWidth="1"/>
    <col min="14101" max="14101" width="12.5703125" bestFit="1" customWidth="1"/>
    <col min="14102" max="14102" width="14" bestFit="1" customWidth="1"/>
    <col min="14103" max="14103" width="6" bestFit="1" customWidth="1"/>
    <col min="14104" max="14104" width="15" customWidth="1"/>
    <col min="14105" max="14105" width="14.85546875" bestFit="1" customWidth="1"/>
    <col min="14106" max="14106" width="16.140625" bestFit="1" customWidth="1"/>
    <col min="14334" max="14334" width="20" customWidth="1"/>
    <col min="14335" max="14335" width="36.85546875" customWidth="1"/>
    <col min="14336" max="14336" width="19.7109375" bestFit="1" customWidth="1"/>
    <col min="14337" max="14337" width="21" customWidth="1"/>
    <col min="14338" max="14338" width="16.7109375" bestFit="1" customWidth="1"/>
    <col min="14339" max="14339" width="15" customWidth="1"/>
    <col min="14340" max="14340" width="15.28515625" bestFit="1" customWidth="1"/>
    <col min="14341" max="14341" width="14.140625" bestFit="1" customWidth="1"/>
    <col min="14342" max="14342" width="15.28515625" customWidth="1"/>
    <col min="14343" max="14343" width="15.85546875" customWidth="1"/>
    <col min="14344" max="14344" width="17" bestFit="1" customWidth="1"/>
    <col min="14345" max="14345" width="12.7109375" customWidth="1"/>
    <col min="14346" max="14346" width="13.7109375" customWidth="1"/>
    <col min="14347" max="14347" width="13.85546875" bestFit="1" customWidth="1"/>
    <col min="14348" max="14348" width="20.85546875" bestFit="1" customWidth="1"/>
    <col min="14349" max="14349" width="23.42578125" bestFit="1" customWidth="1"/>
    <col min="14350" max="14350" width="23.28515625" bestFit="1" customWidth="1"/>
    <col min="14351" max="14351" width="15.5703125" bestFit="1" customWidth="1"/>
    <col min="14352" max="14352" width="20.5703125" bestFit="1" customWidth="1"/>
    <col min="14353" max="14353" width="18.28515625" customWidth="1"/>
    <col min="14354" max="14354" width="14.28515625" customWidth="1"/>
    <col min="14355" max="14355" width="12.85546875" bestFit="1" customWidth="1"/>
    <col min="14356" max="14356" width="11.28515625" bestFit="1" customWidth="1"/>
    <col min="14357" max="14357" width="12.5703125" bestFit="1" customWidth="1"/>
    <col min="14358" max="14358" width="14" bestFit="1" customWidth="1"/>
    <col min="14359" max="14359" width="6" bestFit="1" customWidth="1"/>
    <col min="14360" max="14360" width="15" customWidth="1"/>
    <col min="14361" max="14361" width="14.85546875" bestFit="1" customWidth="1"/>
    <col min="14362" max="14362" width="16.140625" bestFit="1" customWidth="1"/>
    <col min="14590" max="14590" width="20" customWidth="1"/>
    <col min="14591" max="14591" width="36.85546875" customWidth="1"/>
    <col min="14592" max="14592" width="19.7109375" bestFit="1" customWidth="1"/>
    <col min="14593" max="14593" width="21" customWidth="1"/>
    <col min="14594" max="14594" width="16.7109375" bestFit="1" customWidth="1"/>
    <col min="14595" max="14595" width="15" customWidth="1"/>
    <col min="14596" max="14596" width="15.28515625" bestFit="1" customWidth="1"/>
    <col min="14597" max="14597" width="14.140625" bestFit="1" customWidth="1"/>
    <col min="14598" max="14598" width="15.28515625" customWidth="1"/>
    <col min="14599" max="14599" width="15.85546875" customWidth="1"/>
    <col min="14600" max="14600" width="17" bestFit="1" customWidth="1"/>
    <col min="14601" max="14601" width="12.7109375" customWidth="1"/>
    <col min="14602" max="14602" width="13.7109375" customWidth="1"/>
    <col min="14603" max="14603" width="13.85546875" bestFit="1" customWidth="1"/>
    <col min="14604" max="14604" width="20.85546875" bestFit="1" customWidth="1"/>
    <col min="14605" max="14605" width="23.42578125" bestFit="1" customWidth="1"/>
    <col min="14606" max="14606" width="23.28515625" bestFit="1" customWidth="1"/>
    <col min="14607" max="14607" width="15.5703125" bestFit="1" customWidth="1"/>
    <col min="14608" max="14608" width="20.5703125" bestFit="1" customWidth="1"/>
    <col min="14609" max="14609" width="18.28515625" customWidth="1"/>
    <col min="14610" max="14610" width="14.28515625" customWidth="1"/>
    <col min="14611" max="14611" width="12.85546875" bestFit="1" customWidth="1"/>
    <col min="14612" max="14612" width="11.28515625" bestFit="1" customWidth="1"/>
    <col min="14613" max="14613" width="12.5703125" bestFit="1" customWidth="1"/>
    <col min="14614" max="14614" width="14" bestFit="1" customWidth="1"/>
    <col min="14615" max="14615" width="6" bestFit="1" customWidth="1"/>
    <col min="14616" max="14616" width="15" customWidth="1"/>
    <col min="14617" max="14617" width="14.85546875" bestFit="1" customWidth="1"/>
    <col min="14618" max="14618" width="16.140625" bestFit="1" customWidth="1"/>
    <col min="14846" max="14846" width="20" customWidth="1"/>
    <col min="14847" max="14847" width="36.85546875" customWidth="1"/>
    <col min="14848" max="14848" width="19.7109375" bestFit="1" customWidth="1"/>
    <col min="14849" max="14849" width="21" customWidth="1"/>
    <col min="14850" max="14850" width="16.7109375" bestFit="1" customWidth="1"/>
    <col min="14851" max="14851" width="15" customWidth="1"/>
    <col min="14852" max="14852" width="15.28515625" bestFit="1" customWidth="1"/>
    <col min="14853" max="14853" width="14.140625" bestFit="1" customWidth="1"/>
    <col min="14854" max="14854" width="15.28515625" customWidth="1"/>
    <col min="14855" max="14855" width="15.85546875" customWidth="1"/>
    <col min="14856" max="14856" width="17" bestFit="1" customWidth="1"/>
    <col min="14857" max="14857" width="12.7109375" customWidth="1"/>
    <col min="14858" max="14858" width="13.7109375" customWidth="1"/>
    <col min="14859" max="14859" width="13.85546875" bestFit="1" customWidth="1"/>
    <col min="14860" max="14860" width="20.85546875" bestFit="1" customWidth="1"/>
    <col min="14861" max="14861" width="23.42578125" bestFit="1" customWidth="1"/>
    <col min="14862" max="14862" width="23.28515625" bestFit="1" customWidth="1"/>
    <col min="14863" max="14863" width="15.5703125" bestFit="1" customWidth="1"/>
    <col min="14864" max="14864" width="20.5703125" bestFit="1" customWidth="1"/>
    <col min="14865" max="14865" width="18.28515625" customWidth="1"/>
    <col min="14866" max="14866" width="14.28515625" customWidth="1"/>
    <col min="14867" max="14867" width="12.85546875" bestFit="1" customWidth="1"/>
    <col min="14868" max="14868" width="11.28515625" bestFit="1" customWidth="1"/>
    <col min="14869" max="14869" width="12.5703125" bestFit="1" customWidth="1"/>
    <col min="14870" max="14870" width="14" bestFit="1" customWidth="1"/>
    <col min="14871" max="14871" width="6" bestFit="1" customWidth="1"/>
    <col min="14872" max="14872" width="15" customWidth="1"/>
    <col min="14873" max="14873" width="14.85546875" bestFit="1" customWidth="1"/>
    <col min="14874" max="14874" width="16.140625" bestFit="1" customWidth="1"/>
    <col min="15102" max="15102" width="20" customWidth="1"/>
    <col min="15103" max="15103" width="36.85546875" customWidth="1"/>
    <col min="15104" max="15104" width="19.7109375" bestFit="1" customWidth="1"/>
    <col min="15105" max="15105" width="21" customWidth="1"/>
    <col min="15106" max="15106" width="16.7109375" bestFit="1" customWidth="1"/>
    <col min="15107" max="15107" width="15" customWidth="1"/>
    <col min="15108" max="15108" width="15.28515625" bestFit="1" customWidth="1"/>
    <col min="15109" max="15109" width="14.140625" bestFit="1" customWidth="1"/>
    <col min="15110" max="15110" width="15.28515625" customWidth="1"/>
    <col min="15111" max="15111" width="15.85546875" customWidth="1"/>
    <col min="15112" max="15112" width="17" bestFit="1" customWidth="1"/>
    <col min="15113" max="15113" width="12.7109375" customWidth="1"/>
    <col min="15114" max="15114" width="13.7109375" customWidth="1"/>
    <col min="15115" max="15115" width="13.85546875" bestFit="1" customWidth="1"/>
    <col min="15116" max="15116" width="20.85546875" bestFit="1" customWidth="1"/>
    <col min="15117" max="15117" width="23.42578125" bestFit="1" customWidth="1"/>
    <col min="15118" max="15118" width="23.28515625" bestFit="1" customWidth="1"/>
    <col min="15119" max="15119" width="15.5703125" bestFit="1" customWidth="1"/>
    <col min="15120" max="15120" width="20.5703125" bestFit="1" customWidth="1"/>
    <col min="15121" max="15121" width="18.28515625" customWidth="1"/>
    <col min="15122" max="15122" width="14.28515625" customWidth="1"/>
    <col min="15123" max="15123" width="12.85546875" bestFit="1" customWidth="1"/>
    <col min="15124" max="15124" width="11.28515625" bestFit="1" customWidth="1"/>
    <col min="15125" max="15125" width="12.5703125" bestFit="1" customWidth="1"/>
    <col min="15126" max="15126" width="14" bestFit="1" customWidth="1"/>
    <col min="15127" max="15127" width="6" bestFit="1" customWidth="1"/>
    <col min="15128" max="15128" width="15" customWidth="1"/>
    <col min="15129" max="15129" width="14.85546875" bestFit="1" customWidth="1"/>
    <col min="15130" max="15130" width="16.140625" bestFit="1" customWidth="1"/>
    <col min="15358" max="15358" width="20" customWidth="1"/>
    <col min="15359" max="15359" width="36.85546875" customWidth="1"/>
    <col min="15360" max="15360" width="19.7109375" bestFit="1" customWidth="1"/>
    <col min="15361" max="15361" width="21" customWidth="1"/>
    <col min="15362" max="15362" width="16.7109375" bestFit="1" customWidth="1"/>
    <col min="15363" max="15363" width="15" customWidth="1"/>
    <col min="15364" max="15364" width="15.28515625" bestFit="1" customWidth="1"/>
    <col min="15365" max="15365" width="14.140625" bestFit="1" customWidth="1"/>
    <col min="15366" max="15366" width="15.28515625" customWidth="1"/>
    <col min="15367" max="15367" width="15.85546875" customWidth="1"/>
    <col min="15368" max="15368" width="17" bestFit="1" customWidth="1"/>
    <col min="15369" max="15369" width="12.7109375" customWidth="1"/>
    <col min="15370" max="15370" width="13.7109375" customWidth="1"/>
    <col min="15371" max="15371" width="13.85546875" bestFit="1" customWidth="1"/>
    <col min="15372" max="15372" width="20.85546875" bestFit="1" customWidth="1"/>
    <col min="15373" max="15373" width="23.42578125" bestFit="1" customWidth="1"/>
    <col min="15374" max="15374" width="23.28515625" bestFit="1" customWidth="1"/>
    <col min="15375" max="15375" width="15.5703125" bestFit="1" customWidth="1"/>
    <col min="15376" max="15376" width="20.5703125" bestFit="1" customWidth="1"/>
    <col min="15377" max="15377" width="18.28515625" customWidth="1"/>
    <col min="15378" max="15378" width="14.28515625" customWidth="1"/>
    <col min="15379" max="15379" width="12.85546875" bestFit="1" customWidth="1"/>
    <col min="15380" max="15380" width="11.28515625" bestFit="1" customWidth="1"/>
    <col min="15381" max="15381" width="12.5703125" bestFit="1" customWidth="1"/>
    <col min="15382" max="15382" width="14" bestFit="1" customWidth="1"/>
    <col min="15383" max="15383" width="6" bestFit="1" customWidth="1"/>
    <col min="15384" max="15384" width="15" customWidth="1"/>
    <col min="15385" max="15385" width="14.85546875" bestFit="1" customWidth="1"/>
    <col min="15386" max="15386" width="16.140625" bestFit="1" customWidth="1"/>
    <col min="15614" max="15614" width="20" customWidth="1"/>
    <col min="15615" max="15615" width="36.85546875" customWidth="1"/>
    <col min="15616" max="15616" width="19.7109375" bestFit="1" customWidth="1"/>
    <col min="15617" max="15617" width="21" customWidth="1"/>
    <col min="15618" max="15618" width="16.7109375" bestFit="1" customWidth="1"/>
    <col min="15619" max="15619" width="15" customWidth="1"/>
    <col min="15620" max="15620" width="15.28515625" bestFit="1" customWidth="1"/>
    <col min="15621" max="15621" width="14.140625" bestFit="1" customWidth="1"/>
    <col min="15622" max="15622" width="15.28515625" customWidth="1"/>
    <col min="15623" max="15623" width="15.85546875" customWidth="1"/>
    <col min="15624" max="15624" width="17" bestFit="1" customWidth="1"/>
    <col min="15625" max="15625" width="12.7109375" customWidth="1"/>
    <col min="15626" max="15626" width="13.7109375" customWidth="1"/>
    <col min="15627" max="15627" width="13.85546875" bestFit="1" customWidth="1"/>
    <col min="15628" max="15628" width="20.85546875" bestFit="1" customWidth="1"/>
    <col min="15629" max="15629" width="23.42578125" bestFit="1" customWidth="1"/>
    <col min="15630" max="15630" width="23.28515625" bestFit="1" customWidth="1"/>
    <col min="15631" max="15631" width="15.5703125" bestFit="1" customWidth="1"/>
    <col min="15632" max="15632" width="20.5703125" bestFit="1" customWidth="1"/>
    <col min="15633" max="15633" width="18.28515625" customWidth="1"/>
    <col min="15634" max="15634" width="14.28515625" customWidth="1"/>
    <col min="15635" max="15635" width="12.85546875" bestFit="1" customWidth="1"/>
    <col min="15636" max="15636" width="11.28515625" bestFit="1" customWidth="1"/>
    <col min="15637" max="15637" width="12.5703125" bestFit="1" customWidth="1"/>
    <col min="15638" max="15638" width="14" bestFit="1" customWidth="1"/>
    <col min="15639" max="15639" width="6" bestFit="1" customWidth="1"/>
    <col min="15640" max="15640" width="15" customWidth="1"/>
    <col min="15641" max="15641" width="14.85546875" bestFit="1" customWidth="1"/>
    <col min="15642" max="15642" width="16.140625" bestFit="1" customWidth="1"/>
    <col min="15870" max="15870" width="20" customWidth="1"/>
    <col min="15871" max="15871" width="36.85546875" customWidth="1"/>
    <col min="15872" max="15872" width="19.7109375" bestFit="1" customWidth="1"/>
    <col min="15873" max="15873" width="21" customWidth="1"/>
    <col min="15874" max="15874" width="16.7109375" bestFit="1" customWidth="1"/>
    <col min="15875" max="15875" width="15" customWidth="1"/>
    <col min="15876" max="15876" width="15.28515625" bestFit="1" customWidth="1"/>
    <col min="15877" max="15877" width="14.140625" bestFit="1" customWidth="1"/>
    <col min="15878" max="15878" width="15.28515625" customWidth="1"/>
    <col min="15879" max="15879" width="15.85546875" customWidth="1"/>
    <col min="15880" max="15880" width="17" bestFit="1" customWidth="1"/>
    <col min="15881" max="15881" width="12.7109375" customWidth="1"/>
    <col min="15882" max="15882" width="13.7109375" customWidth="1"/>
    <col min="15883" max="15883" width="13.85546875" bestFit="1" customWidth="1"/>
    <col min="15884" max="15884" width="20.85546875" bestFit="1" customWidth="1"/>
    <col min="15885" max="15885" width="23.42578125" bestFit="1" customWidth="1"/>
    <col min="15886" max="15886" width="23.28515625" bestFit="1" customWidth="1"/>
    <col min="15887" max="15887" width="15.5703125" bestFit="1" customWidth="1"/>
    <col min="15888" max="15888" width="20.5703125" bestFit="1" customWidth="1"/>
    <col min="15889" max="15889" width="18.28515625" customWidth="1"/>
    <col min="15890" max="15890" width="14.28515625" customWidth="1"/>
    <col min="15891" max="15891" width="12.85546875" bestFit="1" customWidth="1"/>
    <col min="15892" max="15892" width="11.28515625" bestFit="1" customWidth="1"/>
    <col min="15893" max="15893" width="12.5703125" bestFit="1" customWidth="1"/>
    <col min="15894" max="15894" width="14" bestFit="1" customWidth="1"/>
    <col min="15895" max="15895" width="6" bestFit="1" customWidth="1"/>
    <col min="15896" max="15896" width="15" customWidth="1"/>
    <col min="15897" max="15897" width="14.85546875" bestFit="1" customWidth="1"/>
    <col min="15898" max="15898" width="16.140625" bestFit="1" customWidth="1"/>
    <col min="16126" max="16126" width="20" customWidth="1"/>
    <col min="16127" max="16127" width="36.85546875" customWidth="1"/>
    <col min="16128" max="16128" width="19.7109375" bestFit="1" customWidth="1"/>
    <col min="16129" max="16129" width="21" customWidth="1"/>
    <col min="16130" max="16130" width="16.7109375" bestFit="1" customWidth="1"/>
    <col min="16131" max="16131" width="15" customWidth="1"/>
    <col min="16132" max="16132" width="15.28515625" bestFit="1" customWidth="1"/>
    <col min="16133" max="16133" width="14.140625" bestFit="1" customWidth="1"/>
    <col min="16134" max="16134" width="15.28515625" customWidth="1"/>
    <col min="16135" max="16135" width="15.85546875" customWidth="1"/>
    <col min="16136" max="16136" width="17" bestFit="1" customWidth="1"/>
    <col min="16137" max="16137" width="12.7109375" customWidth="1"/>
    <col min="16138" max="16138" width="13.7109375" customWidth="1"/>
    <col min="16139" max="16139" width="13.85546875" bestFit="1" customWidth="1"/>
    <col min="16140" max="16140" width="20.85546875" bestFit="1" customWidth="1"/>
    <col min="16141" max="16141" width="23.42578125" bestFit="1" customWidth="1"/>
    <col min="16142" max="16142" width="23.28515625" bestFit="1" customWidth="1"/>
    <col min="16143" max="16143" width="15.5703125" bestFit="1" customWidth="1"/>
    <col min="16144" max="16144" width="20.5703125" bestFit="1" customWidth="1"/>
    <col min="16145" max="16145" width="18.28515625" customWidth="1"/>
    <col min="16146" max="16146" width="14.28515625" customWidth="1"/>
    <col min="16147" max="16147" width="12.85546875" bestFit="1" customWidth="1"/>
    <col min="16148" max="16148" width="11.28515625" bestFit="1" customWidth="1"/>
    <col min="16149" max="16149" width="12.5703125" bestFit="1" customWidth="1"/>
    <col min="16150" max="16150" width="14" bestFit="1" customWidth="1"/>
    <col min="16151" max="16151" width="6" bestFit="1" customWidth="1"/>
    <col min="16152" max="16152" width="15" customWidth="1"/>
    <col min="16153" max="16153" width="14.85546875" bestFit="1" customWidth="1"/>
    <col min="16154" max="16154" width="16.140625" bestFit="1" customWidth="1"/>
  </cols>
  <sheetData>
    <row r="1" spans="1:31" ht="51.75" customHeight="1" thickBot="1">
      <c r="C1" s="1401" t="s">
        <v>165</v>
      </c>
      <c r="D1" s="1361" t="s">
        <v>281</v>
      </c>
      <c r="E1" s="1401" t="s">
        <v>5</v>
      </c>
      <c r="F1" s="1401">
        <v>18230661</v>
      </c>
      <c r="G1" s="1401" t="s">
        <v>28</v>
      </c>
      <c r="J1" s="1361"/>
      <c r="K1" s="1361"/>
      <c r="L1" s="1361"/>
      <c r="M1" s="1401" t="s">
        <v>165</v>
      </c>
      <c r="N1" s="1361" t="s">
        <v>281</v>
      </c>
      <c r="O1" s="1401" t="s">
        <v>5</v>
      </c>
      <c r="P1" s="1401">
        <v>18230661</v>
      </c>
      <c r="Q1" s="1401" t="s">
        <v>28</v>
      </c>
      <c r="V1" s="1401" t="s">
        <v>165</v>
      </c>
      <c r="W1" s="1361" t="s">
        <v>281</v>
      </c>
      <c r="X1" s="1401" t="s">
        <v>5</v>
      </c>
      <c r="Y1" s="1401">
        <v>18230661</v>
      </c>
      <c r="Z1" s="1401" t="s">
        <v>28</v>
      </c>
      <c r="AA1" s="1401"/>
      <c r="AB1" s="1401"/>
      <c r="AC1" s="1401"/>
      <c r="AD1" s="1934"/>
    </row>
    <row r="2" spans="1:31" ht="16.5" thickBot="1">
      <c r="C2" s="44"/>
      <c r="D2" s="45"/>
      <c r="G2" s="1652"/>
      <c r="I2" s="1178" t="s">
        <v>627</v>
      </c>
      <c r="S2" s="3575"/>
      <c r="T2" s="3575"/>
      <c r="U2" s="3576" t="s">
        <v>33</v>
      </c>
      <c r="V2" s="3577"/>
      <c r="W2" s="3578"/>
      <c r="X2" s="3579" t="s">
        <v>34</v>
      </c>
      <c r="Z2"/>
      <c r="AE2" s="1652"/>
    </row>
    <row r="3" spans="1:31" ht="26.25" thickBot="1">
      <c r="A3" s="1401" t="s">
        <v>165</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c r="Z3"/>
      <c r="AE3" s="1652"/>
    </row>
    <row r="4" spans="1:31" ht="16.5" thickBot="1">
      <c r="A4" s="1357" t="s">
        <v>281</v>
      </c>
      <c r="B4" s="1400"/>
      <c r="C4" s="44"/>
      <c r="G4" s="1652"/>
      <c r="H4" s="2946" t="s">
        <v>1726</v>
      </c>
      <c r="I4" s="2947">
        <f>D15</f>
        <v>20220.79</v>
      </c>
      <c r="J4" s="2948">
        <f>D27</f>
        <v>1600</v>
      </c>
      <c r="K4" s="2948">
        <f>D33</f>
        <v>14554.466930000002</v>
      </c>
      <c r="L4" s="2948">
        <f>D43</f>
        <v>5000</v>
      </c>
      <c r="M4" s="2948">
        <f>D49</f>
        <v>1000</v>
      </c>
      <c r="N4" s="2948">
        <f>D55</f>
        <v>1000</v>
      </c>
      <c r="O4" s="2948">
        <f>D61</f>
        <v>500</v>
      </c>
      <c r="P4" s="2948">
        <f>D67</f>
        <v>500</v>
      </c>
      <c r="Q4" s="2948">
        <f>D73+D21</f>
        <v>239103.35999999999</v>
      </c>
      <c r="R4" s="2948">
        <f>D76</f>
        <v>0</v>
      </c>
      <c r="S4" s="2949">
        <f>SUM(I4:R4)</f>
        <v>283478.61693000002</v>
      </c>
      <c r="T4" s="2958">
        <f>S15</f>
        <v>18641.260000000002</v>
      </c>
      <c r="U4" s="2954">
        <f>Q4/S4</f>
        <v>0.84346171358329403</v>
      </c>
      <c r="V4" s="2954">
        <f>(L4+(J4*1.63))/S4</f>
        <v>2.6838003100172664E-2</v>
      </c>
      <c r="W4" s="2954">
        <f>N4/S4</f>
        <v>3.5276029311478267E-3</v>
      </c>
      <c r="X4" s="2953">
        <f>S4/T4</f>
        <v>15.207052362876757</v>
      </c>
      <c r="Z4"/>
      <c r="AE4" s="1652"/>
    </row>
    <row r="5" spans="1:31" ht="16.5" thickBot="1">
      <c r="A5" s="1400" t="s">
        <v>5</v>
      </c>
      <c r="C5" s="45"/>
      <c r="G5" s="1652"/>
      <c r="H5" s="3205" t="s">
        <v>1753</v>
      </c>
      <c r="I5" s="2617">
        <v>20726.320000000003</v>
      </c>
      <c r="J5" s="2618">
        <v>1600</v>
      </c>
      <c r="K5" s="2618">
        <v>15181.897600000004</v>
      </c>
      <c r="L5" s="2618">
        <v>5000</v>
      </c>
      <c r="M5" s="2618">
        <v>1000</v>
      </c>
      <c r="N5" s="2618">
        <v>1000</v>
      </c>
      <c r="O5" s="2618">
        <v>500</v>
      </c>
      <c r="P5" s="2618">
        <v>500</v>
      </c>
      <c r="Q5" s="2618">
        <v>239103.35999999999</v>
      </c>
      <c r="R5" s="2618">
        <v>0</v>
      </c>
      <c r="S5" s="2619">
        <v>284611.57759999996</v>
      </c>
      <c r="T5" s="2640">
        <v>18641.260000000002</v>
      </c>
      <c r="U5" s="1186">
        <f>Q5/S5</f>
        <v>0.84010412371924548</v>
      </c>
      <c r="V5" s="1186">
        <f>(L5+(J5*1.63))/S5</f>
        <v>2.6731168366918891E-2</v>
      </c>
      <c r="W5" s="1186">
        <f>N5/S5</f>
        <v>3.5135605108989076E-3</v>
      </c>
      <c r="X5" s="48">
        <f>S5/T5</f>
        <v>15.267829406381324</v>
      </c>
      <c r="Z5"/>
      <c r="AE5" s="1652"/>
    </row>
    <row r="6" spans="1:31" ht="16.5" thickBot="1">
      <c r="A6" s="1400">
        <v>18230661</v>
      </c>
      <c r="B6" s="1400"/>
      <c r="C6" s="1190"/>
      <c r="D6" s="1413"/>
      <c r="E6" s="1414"/>
      <c r="F6" s="1413"/>
      <c r="G6" s="1652"/>
      <c r="H6" s="3206" t="s">
        <v>1754</v>
      </c>
      <c r="I6" s="2621">
        <f>E15</f>
        <v>15938.75</v>
      </c>
      <c r="J6" s="2622">
        <f>E27</f>
        <v>1600</v>
      </c>
      <c r="K6" s="2623">
        <f>E33</f>
        <v>15749.797499999997</v>
      </c>
      <c r="L6" s="2622">
        <f>E43</f>
        <v>5000</v>
      </c>
      <c r="M6" s="2622">
        <f>E49</f>
        <v>1000</v>
      </c>
      <c r="N6" s="2622">
        <f>E55</f>
        <v>1000</v>
      </c>
      <c r="O6" s="2622">
        <f>E61</f>
        <v>500</v>
      </c>
      <c r="P6" s="2622">
        <f>E67</f>
        <v>500</v>
      </c>
      <c r="Q6" s="2622">
        <f>E73+E21</f>
        <v>142311.84</v>
      </c>
      <c r="R6" s="2622">
        <f>E76</f>
        <v>0</v>
      </c>
      <c r="S6" s="2624">
        <f>SUM(I6:R6)</f>
        <v>183600.38750000001</v>
      </c>
      <c r="T6" s="2641">
        <f>T15</f>
        <v>8785.9499999999989</v>
      </c>
      <c r="U6" s="2631">
        <f>Q6/S6</f>
        <v>0.77511731831176001</v>
      </c>
      <c r="V6" s="2631">
        <f>(L6+(J6*1.63))/S6</f>
        <v>4.1437821039457229E-2</v>
      </c>
      <c r="W6" s="2631">
        <f>N6/S6</f>
        <v>5.4466115982462178E-3</v>
      </c>
      <c r="X6" s="2626">
        <f>S6/T6</f>
        <v>20.897044428889309</v>
      </c>
      <c r="Z6"/>
      <c r="AE6" s="1652"/>
    </row>
    <row r="7" spans="1:31" ht="15.75">
      <c r="A7" s="1400" t="s">
        <v>28</v>
      </c>
      <c r="B7" s="1357"/>
      <c r="C7" s="1190"/>
      <c r="D7" s="1413"/>
      <c r="E7" s="1414"/>
      <c r="F7" s="1413"/>
      <c r="G7" s="2606"/>
      <c r="H7" s="2607"/>
      <c r="I7" s="2607"/>
      <c r="J7" s="2607"/>
      <c r="K7" s="2607"/>
      <c r="L7" s="2607"/>
      <c r="M7" s="2607"/>
      <c r="N7" s="2607"/>
      <c r="O7" s="2607"/>
      <c r="P7" s="2607"/>
      <c r="Q7" s="2607"/>
      <c r="R7" s="2607"/>
      <c r="S7" s="2639"/>
      <c r="T7" s="2630"/>
      <c r="U7" s="2630"/>
      <c r="V7" s="2630"/>
      <c r="W7" s="2610"/>
    </row>
    <row r="8" spans="1:31" ht="15.75">
      <c r="B8" s="1400"/>
      <c r="C8" s="1190"/>
      <c r="D8" s="1413"/>
      <c r="E8" s="1414"/>
      <c r="F8" s="1413"/>
    </row>
    <row r="9" spans="1:31"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31">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465"/>
      <c r="AA10" s="1465"/>
      <c r="AB10" s="1465"/>
      <c r="AC10" s="1465"/>
      <c r="AD10" s="3282"/>
      <c r="AE10" s="2423"/>
    </row>
    <row r="11" spans="1:31">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2015">
        <v>0.26910000000000001</v>
      </c>
      <c r="AA11" s="2021" t="s">
        <v>561</v>
      </c>
      <c r="AB11" s="2010"/>
      <c r="AC11" s="2010"/>
      <c r="AD11" s="1923"/>
      <c r="AE11" s="2424"/>
    </row>
    <row r="12" spans="1:31">
      <c r="C12" s="1434" t="s">
        <v>298</v>
      </c>
      <c r="D12" s="2766">
        <f>D15+D21+D27+D33+D43+D49+D55+D61+D67+D73</f>
        <v>283478.61693000002</v>
      </c>
      <c r="E12" s="1638">
        <f>E15+E21+E27+E33+E43+E49+E55+E61+E67+E73</f>
        <v>183600.38750000001</v>
      </c>
      <c r="F12" s="1462">
        <f>D12+E12</f>
        <v>467079.00443000003</v>
      </c>
      <c r="H12" s="3563" t="s">
        <v>301</v>
      </c>
      <c r="I12" s="3563"/>
      <c r="J12" s="3563"/>
      <c r="K12" s="3563"/>
      <c r="L12" s="3563"/>
      <c r="M12" s="3563"/>
      <c r="N12" s="3563"/>
      <c r="O12" s="3563"/>
      <c r="P12" s="3565" t="s">
        <v>40</v>
      </c>
      <c r="Q12" s="3565"/>
      <c r="R12" s="3565"/>
      <c r="S12" s="3574" t="s">
        <v>41</v>
      </c>
      <c r="T12" s="3574"/>
      <c r="U12" s="3574"/>
      <c r="V12" s="3564" t="s">
        <v>52</v>
      </c>
      <c r="W12" s="3564"/>
      <c r="X12" s="3564"/>
      <c r="Y12" s="3564"/>
      <c r="Z12" s="3587" t="s">
        <v>546</v>
      </c>
      <c r="AA12" s="3587"/>
      <c r="AB12" s="3587"/>
      <c r="AC12" s="3587"/>
      <c r="AD12" s="3587"/>
      <c r="AE12" s="2425"/>
    </row>
    <row r="13" spans="1:31">
      <c r="C13" s="1483"/>
      <c r="D13" s="2767"/>
      <c r="E13" s="1336"/>
      <c r="F13" s="1413"/>
      <c r="H13" s="1471" t="s">
        <v>302</v>
      </c>
      <c r="I13" s="1471" t="s">
        <v>228</v>
      </c>
      <c r="J13" s="1471" t="s">
        <v>303</v>
      </c>
      <c r="K13" s="1471" t="s">
        <v>304</v>
      </c>
      <c r="L13" s="1471" t="s">
        <v>53</v>
      </c>
      <c r="M13" s="1471" t="s">
        <v>54</v>
      </c>
      <c r="N13" s="1471" t="s">
        <v>55</v>
      </c>
      <c r="O13" s="1471" t="s">
        <v>56</v>
      </c>
      <c r="P13" s="3223">
        <v>2016</v>
      </c>
      <c r="Q13" s="1472">
        <v>2017</v>
      </c>
      <c r="R13" s="1472" t="s">
        <v>306</v>
      </c>
      <c r="S13" s="1473">
        <v>2016</v>
      </c>
      <c r="T13" s="1473">
        <v>2017</v>
      </c>
      <c r="U13" s="1473" t="s">
        <v>306</v>
      </c>
      <c r="V13" s="1474">
        <v>2016</v>
      </c>
      <c r="W13" s="1474">
        <v>2017</v>
      </c>
      <c r="X13" s="1474" t="s">
        <v>306</v>
      </c>
      <c r="Y13" s="2016" t="s">
        <v>547</v>
      </c>
      <c r="Z13" s="2016" t="s">
        <v>548</v>
      </c>
      <c r="AA13" s="2016" t="s">
        <v>548</v>
      </c>
      <c r="AB13" s="2016" t="s">
        <v>548</v>
      </c>
      <c r="AC13" s="2016" t="s">
        <v>549</v>
      </c>
      <c r="AD13" s="3283" t="s">
        <v>1727</v>
      </c>
    </row>
    <row r="14" spans="1:31"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3224" t="s">
        <v>307</v>
      </c>
      <c r="Q14" s="1458" t="s">
        <v>307</v>
      </c>
      <c r="R14" s="1472"/>
      <c r="S14" s="1473"/>
      <c r="T14" s="1473"/>
      <c r="U14" s="1473"/>
      <c r="V14" s="1474"/>
      <c r="W14" s="1474"/>
      <c r="X14" s="1474"/>
      <c r="Y14" s="2011" t="s">
        <v>307</v>
      </c>
      <c r="Z14" s="2016" t="s">
        <v>550</v>
      </c>
      <c r="AA14" s="2016" t="s">
        <v>551</v>
      </c>
      <c r="AB14" s="2016" t="s">
        <v>306</v>
      </c>
      <c r="AC14" s="2011" t="s">
        <v>307</v>
      </c>
      <c r="AD14" s="1908" t="s">
        <v>307</v>
      </c>
    </row>
    <row r="15" spans="1:31">
      <c r="B15" s="1433" t="s">
        <v>296</v>
      </c>
      <c r="C15" s="1597" t="s">
        <v>1749</v>
      </c>
      <c r="D15" s="2771">
        <f>SUM(D16:D19)</f>
        <v>20220.79</v>
      </c>
      <c r="E15" s="1464">
        <f>SUM(E16:E19)</f>
        <v>15938.75</v>
      </c>
      <c r="F15" s="1462">
        <f>D15+E15</f>
        <v>36159.54</v>
      </c>
      <c r="H15" s="1475" t="s">
        <v>308</v>
      </c>
      <c r="I15" s="1476"/>
      <c r="J15" s="1476"/>
      <c r="K15" s="1477"/>
      <c r="L15" s="1478">
        <f>SUMPRODUCT(L16:L127,R16:R127)</f>
        <v>317845.99999999994</v>
      </c>
      <c r="M15" s="1478">
        <f>SUM(M16:M127)</f>
        <v>24772.300000000003</v>
      </c>
      <c r="N15" s="1477">
        <v>22</v>
      </c>
      <c r="O15" s="1477"/>
      <c r="P15" s="3225"/>
      <c r="Q15" s="1477"/>
      <c r="R15" s="1477"/>
      <c r="S15" s="2983">
        <v>18641.260000000002</v>
      </c>
      <c r="T15" s="1480">
        <f t="shared" ref="T15:X15" si="0">SUM(T16:T147)</f>
        <v>8785.9499999999989</v>
      </c>
      <c r="U15" s="1480">
        <f>SUM(U16:U56)</f>
        <v>27427.21</v>
      </c>
      <c r="V15" s="2987">
        <v>199252.8</v>
      </c>
      <c r="W15" s="1478">
        <f t="shared" si="0"/>
        <v>118593.2</v>
      </c>
      <c r="X15" s="1478">
        <f t="shared" si="0"/>
        <v>317845.99999999994</v>
      </c>
      <c r="Y15" s="2014"/>
      <c r="Z15" s="2014">
        <f>SUM(Z17:Z165)</f>
        <v>63569.200000000004</v>
      </c>
      <c r="AA15" s="2014">
        <f>SUM(AA17:AA165)</f>
        <v>85523.49443000005</v>
      </c>
      <c r="AB15" s="2014">
        <f>SUM(AB17:AB165)</f>
        <v>149092.69443000003</v>
      </c>
      <c r="AC15" s="2014">
        <v>0</v>
      </c>
      <c r="AD15" s="1911">
        <v>0</v>
      </c>
    </row>
    <row r="16" spans="1:31">
      <c r="B16" s="1432">
        <v>0.1</v>
      </c>
      <c r="C16" s="1423" t="s">
        <v>735</v>
      </c>
      <c r="D16" s="2772">
        <f>B16*98638</f>
        <v>9863.8000000000011</v>
      </c>
      <c r="E16" s="1448">
        <v>7775</v>
      </c>
      <c r="F16" s="1426">
        <f>SUM(D16:E16)</f>
        <v>17638.800000000003</v>
      </c>
      <c r="H16" s="1953" t="s">
        <v>896</v>
      </c>
      <c r="I16" s="2223">
        <v>0</v>
      </c>
      <c r="J16" s="1470" t="s">
        <v>580</v>
      </c>
      <c r="K16" s="1956" t="s">
        <v>991</v>
      </c>
      <c r="L16" s="1958"/>
      <c r="M16" s="1960"/>
      <c r="N16" s="1960"/>
      <c r="O16" s="1962"/>
      <c r="P16" s="3229"/>
      <c r="Q16" s="1963"/>
      <c r="R16" s="1469" t="s">
        <v>229</v>
      </c>
      <c r="S16" s="2991" t="s">
        <v>229</v>
      </c>
      <c r="T16" s="1469" t="s">
        <v>229</v>
      </c>
      <c r="U16" s="1469"/>
      <c r="V16" s="2993" t="s">
        <v>229</v>
      </c>
      <c r="W16" s="1459" t="s">
        <v>229</v>
      </c>
      <c r="X16" s="1459" t="s">
        <v>229</v>
      </c>
      <c r="Y16" s="2018"/>
      <c r="Z16" s="2017"/>
      <c r="AA16" s="2017"/>
      <c r="AB16" s="2017" t="s">
        <v>229</v>
      </c>
      <c r="AC16" s="2013"/>
      <c r="AD16" s="1910"/>
    </row>
    <row r="17" spans="2:30">
      <c r="B17" s="1432">
        <v>0.05</v>
      </c>
      <c r="C17" s="1423" t="s">
        <v>736</v>
      </c>
      <c r="D17" s="2784">
        <f>B17*98638</f>
        <v>4931.9000000000005</v>
      </c>
      <c r="E17" s="1447">
        <v>3887.5</v>
      </c>
      <c r="F17" s="1438">
        <f t="shared" ref="F17:F36" si="1">SUM(D17:E17)</f>
        <v>8819.4000000000015</v>
      </c>
      <c r="H17" s="1953" t="s">
        <v>897</v>
      </c>
      <c r="I17" s="2223">
        <v>0</v>
      </c>
      <c r="J17" s="1470" t="s">
        <v>580</v>
      </c>
      <c r="K17" s="1956" t="s">
        <v>991</v>
      </c>
      <c r="L17" s="1957"/>
      <c r="M17" s="1959"/>
      <c r="N17" s="1460">
        <v>1</v>
      </c>
      <c r="O17" s="1961"/>
      <c r="P17" s="3230">
        <v>0.5</v>
      </c>
      <c r="Q17" s="2421">
        <v>0.5</v>
      </c>
      <c r="R17" s="1469">
        <f>P17+Q17</f>
        <v>1</v>
      </c>
      <c r="S17" s="2991" t="s">
        <v>229</v>
      </c>
      <c r="T17" s="1469"/>
      <c r="U17" s="1469"/>
      <c r="V17" s="2993" t="s">
        <v>229</v>
      </c>
      <c r="W17" s="1459" t="s">
        <v>229</v>
      </c>
      <c r="X17" s="1459" t="s">
        <v>229</v>
      </c>
      <c r="Y17" s="2019">
        <v>0.2</v>
      </c>
      <c r="Z17" s="2012" t="s">
        <v>229</v>
      </c>
      <c r="AA17" s="2012" t="s">
        <v>229</v>
      </c>
      <c r="AB17" s="2012" t="s">
        <v>229</v>
      </c>
      <c r="AC17" s="2020"/>
      <c r="AD17" s="1910">
        <v>0</v>
      </c>
    </row>
    <row r="18" spans="2:30">
      <c r="B18" s="1432">
        <v>0.05</v>
      </c>
      <c r="C18" s="1423" t="s">
        <v>734</v>
      </c>
      <c r="D18" s="2784">
        <f>B18*98638</f>
        <v>4931.9000000000005</v>
      </c>
      <c r="E18" s="1447">
        <v>3887.5</v>
      </c>
      <c r="F18" s="1438">
        <f t="shared" si="1"/>
        <v>8819.4000000000015</v>
      </c>
      <c r="H18" s="2420" t="s">
        <v>1471</v>
      </c>
      <c r="I18" s="2416">
        <v>66</v>
      </c>
      <c r="J18" s="1470" t="s">
        <v>580</v>
      </c>
      <c r="K18" s="1955" t="s">
        <v>845</v>
      </c>
      <c r="L18" s="1957">
        <v>600</v>
      </c>
      <c r="M18" s="1959">
        <v>600</v>
      </c>
      <c r="N18" s="1460">
        <v>18</v>
      </c>
      <c r="O18" s="1961" t="s">
        <v>1008</v>
      </c>
      <c r="P18" s="3231">
        <v>30</v>
      </c>
      <c r="Q18" s="2422">
        <v>5</v>
      </c>
      <c r="R18" s="1469">
        <f t="shared" ref="R18:R56" si="2">P18+Q18</f>
        <v>35</v>
      </c>
      <c r="S18" s="2991">
        <v>1980</v>
      </c>
      <c r="T18" s="1469">
        <f>I18*Q18</f>
        <v>330</v>
      </c>
      <c r="U18" s="1469">
        <f t="shared" ref="U18:U56" si="3">S18+T18</f>
        <v>2310</v>
      </c>
      <c r="V18" s="2993">
        <v>18000</v>
      </c>
      <c r="W18" s="1459">
        <f>M18*Q18</f>
        <v>3000</v>
      </c>
      <c r="X18" s="1459">
        <f>V18+W18</f>
        <v>21000</v>
      </c>
      <c r="Y18" s="2019">
        <v>0.2</v>
      </c>
      <c r="Z18" s="2012">
        <v>4200</v>
      </c>
      <c r="AA18" s="2418">
        <v>5650.5143466647405</v>
      </c>
      <c r="AB18" s="2012">
        <f>Z18+AA18</f>
        <v>9850.5143466647405</v>
      </c>
      <c r="AC18" s="2013"/>
      <c r="AD18" s="1910">
        <v>0</v>
      </c>
    </row>
    <row r="19" spans="2:30">
      <c r="B19" s="1432">
        <v>5.0000000000000001E-3</v>
      </c>
      <c r="C19" s="1667" t="s">
        <v>894</v>
      </c>
      <c r="D19" s="2794">
        <f>B19*98638</f>
        <v>493.19</v>
      </c>
      <c r="E19" s="1578">
        <v>388.75</v>
      </c>
      <c r="F19" s="1438">
        <f t="shared" si="1"/>
        <v>881.94</v>
      </c>
      <c r="H19" s="2420" t="s">
        <v>1472</v>
      </c>
      <c r="I19" s="2416">
        <v>89</v>
      </c>
      <c r="J19" s="1470" t="s">
        <v>580</v>
      </c>
      <c r="K19" s="1955" t="s">
        <v>845</v>
      </c>
      <c r="L19" s="1957">
        <v>692</v>
      </c>
      <c r="M19" s="1959">
        <v>692</v>
      </c>
      <c r="N19" s="1460">
        <v>18</v>
      </c>
      <c r="O19" s="1961" t="s">
        <v>1008</v>
      </c>
      <c r="P19" s="3231">
        <v>0</v>
      </c>
      <c r="Q19" s="2422">
        <v>0</v>
      </c>
      <c r="R19" s="1469">
        <f t="shared" si="2"/>
        <v>0</v>
      </c>
      <c r="S19" s="2991">
        <v>0</v>
      </c>
      <c r="T19" s="1469">
        <f t="shared" ref="T19:T55" si="4">I19*Q19</f>
        <v>0</v>
      </c>
      <c r="U19" s="1469">
        <f t="shared" si="3"/>
        <v>0</v>
      </c>
      <c r="V19" s="2993">
        <v>0</v>
      </c>
      <c r="W19" s="1459">
        <f t="shared" ref="W19:W56" si="5">M19*Q19</f>
        <v>0</v>
      </c>
      <c r="X19" s="1459">
        <f t="shared" ref="X19:X56" si="6">V19+W19</f>
        <v>0</v>
      </c>
      <c r="Y19" s="2019">
        <v>0.2</v>
      </c>
      <c r="Z19" s="2012">
        <v>0</v>
      </c>
      <c r="AA19" s="2418">
        <v>0</v>
      </c>
      <c r="AB19" s="2012">
        <f t="shared" ref="AB19:AB56" si="7">Z19+AA19</f>
        <v>0</v>
      </c>
      <c r="AC19" s="2013"/>
      <c r="AD19" s="1910">
        <v>0</v>
      </c>
    </row>
    <row r="20" spans="2:30">
      <c r="B20" s="1449">
        <f>SUM(B16:B19)</f>
        <v>0.20500000000000002</v>
      </c>
      <c r="C20" s="1488"/>
      <c r="D20" s="2770"/>
      <c r="E20" s="1490"/>
      <c r="F20" s="1492"/>
      <c r="H20" s="2420" t="s">
        <v>1473</v>
      </c>
      <c r="I20" s="2416">
        <v>89</v>
      </c>
      <c r="J20" s="1470" t="s">
        <v>580</v>
      </c>
      <c r="K20" s="1955" t="s">
        <v>845</v>
      </c>
      <c r="L20" s="1957">
        <v>692</v>
      </c>
      <c r="M20" s="1959">
        <v>692</v>
      </c>
      <c r="N20" s="1460">
        <v>18</v>
      </c>
      <c r="O20" s="1961" t="s">
        <v>1008</v>
      </c>
      <c r="P20" s="3231">
        <v>7</v>
      </c>
      <c r="Q20" s="2422">
        <v>14</v>
      </c>
      <c r="R20" s="1469">
        <f t="shared" si="2"/>
        <v>21</v>
      </c>
      <c r="S20" s="2991">
        <v>623</v>
      </c>
      <c r="T20" s="1469">
        <f t="shared" si="4"/>
        <v>1246</v>
      </c>
      <c r="U20" s="1469">
        <f t="shared" si="3"/>
        <v>1869</v>
      </c>
      <c r="V20" s="2993">
        <v>4844</v>
      </c>
      <c r="W20" s="1459">
        <f t="shared" si="5"/>
        <v>9688</v>
      </c>
      <c r="X20" s="1459">
        <f t="shared" si="6"/>
        <v>14532</v>
      </c>
      <c r="Y20" s="2019">
        <v>0.2</v>
      </c>
      <c r="Z20" s="2012">
        <v>2906.4</v>
      </c>
      <c r="AA20" s="2418">
        <v>3910.1559278920004</v>
      </c>
      <c r="AB20" s="2012">
        <f t="shared" si="7"/>
        <v>6816.5559278920009</v>
      </c>
      <c r="AC20" s="2013"/>
      <c r="AD20" s="1910">
        <v>0</v>
      </c>
    </row>
    <row r="21" spans="2:30">
      <c r="B21" s="1652"/>
      <c r="C21" s="1597" t="s">
        <v>1469</v>
      </c>
      <c r="D21" s="2771">
        <f>SUM(D22:D25)</f>
        <v>39850.559999999998</v>
      </c>
      <c r="E21" s="1464">
        <f>SUM(E22:E25)</f>
        <v>23718.639999999999</v>
      </c>
      <c r="F21" s="1638">
        <f>D21+E21</f>
        <v>63569.2</v>
      </c>
      <c r="H21" s="2420" t="s">
        <v>1474</v>
      </c>
      <c r="I21" s="2416">
        <v>0.01</v>
      </c>
      <c r="J21" s="1470" t="s">
        <v>580</v>
      </c>
      <c r="K21" s="1955" t="s">
        <v>992</v>
      </c>
      <c r="L21" s="1957">
        <v>0.7</v>
      </c>
      <c r="M21" s="1959">
        <v>0.7</v>
      </c>
      <c r="N21" s="1460">
        <v>25</v>
      </c>
      <c r="O21" s="1961" t="s">
        <v>1008</v>
      </c>
      <c r="P21" s="3231">
        <v>0</v>
      </c>
      <c r="Q21" s="2422">
        <v>0</v>
      </c>
      <c r="R21" s="1469">
        <f t="shared" si="2"/>
        <v>0</v>
      </c>
      <c r="S21" s="2991">
        <v>0</v>
      </c>
      <c r="T21" s="1469">
        <f t="shared" si="4"/>
        <v>0</v>
      </c>
      <c r="U21" s="1469">
        <f t="shared" si="3"/>
        <v>0</v>
      </c>
      <c r="V21" s="2993">
        <v>0</v>
      </c>
      <c r="W21" s="1459">
        <f t="shared" si="5"/>
        <v>0</v>
      </c>
      <c r="X21" s="1459">
        <f t="shared" si="6"/>
        <v>0</v>
      </c>
      <c r="Y21" s="2019">
        <v>0.2</v>
      </c>
      <c r="Z21" s="2012">
        <v>0</v>
      </c>
      <c r="AA21" s="2418">
        <v>0</v>
      </c>
      <c r="AB21" s="2012">
        <f t="shared" si="7"/>
        <v>0</v>
      </c>
      <c r="AC21" s="2013"/>
      <c r="AD21" s="1910">
        <v>2E-3</v>
      </c>
    </row>
    <row r="22" spans="2:30">
      <c r="B22" s="1652"/>
      <c r="C22" s="1667" t="s">
        <v>1470</v>
      </c>
      <c r="D22" s="2772">
        <v>39850.559999999998</v>
      </c>
      <c r="E22" s="1669">
        <v>23718.639999999999</v>
      </c>
      <c r="F22" s="1426">
        <f t="shared" ref="F22:F25" si="8">SUM(D22:E22)</f>
        <v>63569.2</v>
      </c>
      <c r="H22" s="2420" t="s">
        <v>1475</v>
      </c>
      <c r="I22" s="2416">
        <v>0.05</v>
      </c>
      <c r="J22" s="1470" t="s">
        <v>580</v>
      </c>
      <c r="K22" s="1955" t="s">
        <v>992</v>
      </c>
      <c r="L22" s="1957">
        <v>0.95</v>
      </c>
      <c r="M22" s="1959">
        <v>0.95</v>
      </c>
      <c r="N22" s="1460">
        <v>30</v>
      </c>
      <c r="O22" s="1961" t="s">
        <v>1008</v>
      </c>
      <c r="P22" s="3231">
        <v>250</v>
      </c>
      <c r="Q22" s="2422">
        <v>250</v>
      </c>
      <c r="R22" s="1469">
        <f t="shared" si="2"/>
        <v>500</v>
      </c>
      <c r="S22" s="2991">
        <v>22.5</v>
      </c>
      <c r="T22" s="1469">
        <f t="shared" si="4"/>
        <v>12.5</v>
      </c>
      <c r="U22" s="1469">
        <f t="shared" si="3"/>
        <v>35</v>
      </c>
      <c r="V22" s="2993">
        <v>237.5</v>
      </c>
      <c r="W22" s="1459">
        <f t="shared" si="5"/>
        <v>237.5</v>
      </c>
      <c r="X22" s="1459">
        <f t="shared" si="6"/>
        <v>475</v>
      </c>
      <c r="Y22" s="2019">
        <v>0.2</v>
      </c>
      <c r="Z22" s="2012">
        <v>95</v>
      </c>
      <c r="AA22" s="2418">
        <v>127.80925307932152</v>
      </c>
      <c r="AB22" s="2012">
        <f t="shared" si="7"/>
        <v>222.80925307932154</v>
      </c>
      <c r="AC22" s="2013"/>
      <c r="AD22" s="1910">
        <v>0</v>
      </c>
    </row>
    <row r="23" spans="2:30">
      <c r="B23" s="1652"/>
      <c r="C23" s="2355" t="s">
        <v>1506</v>
      </c>
      <c r="D23" s="2773"/>
      <c r="E23" s="1444"/>
      <c r="F23" s="1661">
        <f t="shared" si="8"/>
        <v>0</v>
      </c>
      <c r="H23" s="2420" t="s">
        <v>1476</v>
      </c>
      <c r="I23" s="2416">
        <v>0.09</v>
      </c>
      <c r="J23" s="1470" t="s">
        <v>580</v>
      </c>
      <c r="K23" s="1955" t="s">
        <v>992</v>
      </c>
      <c r="L23" s="1957">
        <v>0.95</v>
      </c>
      <c r="M23" s="1959">
        <v>0.95</v>
      </c>
      <c r="N23" s="1460">
        <v>30</v>
      </c>
      <c r="O23" s="1961" t="s">
        <v>1008</v>
      </c>
      <c r="P23" s="3231">
        <v>5833</v>
      </c>
      <c r="Q23" s="2422">
        <v>7750</v>
      </c>
      <c r="R23" s="1469">
        <f t="shared" si="2"/>
        <v>13583</v>
      </c>
      <c r="S23" s="2991">
        <v>524.97</v>
      </c>
      <c r="T23" s="1469">
        <f t="shared" si="4"/>
        <v>697.5</v>
      </c>
      <c r="U23" s="1469">
        <f t="shared" si="3"/>
        <v>1222.47</v>
      </c>
      <c r="V23" s="2993">
        <v>5541.3499999999995</v>
      </c>
      <c r="W23" s="1459">
        <f t="shared" si="5"/>
        <v>7362.5</v>
      </c>
      <c r="X23" s="1459">
        <f t="shared" si="6"/>
        <v>12903.849999999999</v>
      </c>
      <c r="Y23" s="2019">
        <v>0.2</v>
      </c>
      <c r="Z23" s="2012">
        <v>2580.7700000000004</v>
      </c>
      <c r="AA23" s="2418">
        <v>3472.066169152848</v>
      </c>
      <c r="AB23" s="2012">
        <f t="shared" si="7"/>
        <v>6052.836169152848</v>
      </c>
      <c r="AC23" s="2013"/>
      <c r="AD23" s="1910">
        <v>3.1249629526816258E-2</v>
      </c>
    </row>
    <row r="24" spans="2:30">
      <c r="B24" s="1652"/>
      <c r="C24" s="1667"/>
      <c r="D24" s="2774"/>
      <c r="E24" s="1443"/>
      <c r="F24" s="1661">
        <f t="shared" si="8"/>
        <v>0</v>
      </c>
      <c r="H24" s="2420" t="s">
        <v>1477</v>
      </c>
      <c r="I24" s="2416">
        <v>0.06</v>
      </c>
      <c r="J24" s="1470" t="s">
        <v>580</v>
      </c>
      <c r="K24" s="1955" t="s">
        <v>992</v>
      </c>
      <c r="L24" s="1957">
        <v>0.7</v>
      </c>
      <c r="M24" s="1959">
        <v>0.7</v>
      </c>
      <c r="N24" s="1460">
        <v>30</v>
      </c>
      <c r="O24" s="1961" t="s">
        <v>1008</v>
      </c>
      <c r="P24" s="3231">
        <v>5500</v>
      </c>
      <c r="Q24" s="2422">
        <v>1000</v>
      </c>
      <c r="R24" s="1469">
        <f t="shared" si="2"/>
        <v>6500</v>
      </c>
      <c r="S24" s="2991">
        <v>330</v>
      </c>
      <c r="T24" s="1469">
        <f t="shared" si="4"/>
        <v>60</v>
      </c>
      <c r="U24" s="1469">
        <f t="shared" si="3"/>
        <v>390</v>
      </c>
      <c r="V24" s="2993">
        <v>3849.9999999999995</v>
      </c>
      <c r="W24" s="1459">
        <f t="shared" si="5"/>
        <v>700</v>
      </c>
      <c r="X24" s="1459">
        <f t="shared" si="6"/>
        <v>4550</v>
      </c>
      <c r="Y24" s="2019">
        <v>0.2</v>
      </c>
      <c r="Z24" s="2012">
        <v>909.99999999999989</v>
      </c>
      <c r="AA24" s="2418">
        <v>1224.2781084440271</v>
      </c>
      <c r="AB24" s="2012">
        <f t="shared" si="7"/>
        <v>2134.2781084440271</v>
      </c>
      <c r="AC24" s="2013"/>
      <c r="AD24" s="1910">
        <v>0</v>
      </c>
    </row>
    <row r="25" spans="2:30">
      <c r="B25" s="1652"/>
      <c r="C25" s="1667"/>
      <c r="D25" s="2775"/>
      <c r="E25" s="1444"/>
      <c r="F25" s="1661">
        <f t="shared" si="8"/>
        <v>0</v>
      </c>
      <c r="H25" s="2420" t="s">
        <v>1478</v>
      </c>
      <c r="I25" s="2416">
        <v>0.02</v>
      </c>
      <c r="J25" s="1470" t="s">
        <v>580</v>
      </c>
      <c r="K25" s="1955" t="s">
        <v>992</v>
      </c>
      <c r="L25" s="1957">
        <v>0.7</v>
      </c>
      <c r="M25" s="1959">
        <v>0.7</v>
      </c>
      <c r="N25" s="1460">
        <v>30</v>
      </c>
      <c r="O25" s="1961" t="s">
        <v>1008</v>
      </c>
      <c r="P25" s="3231">
        <v>11698</v>
      </c>
      <c r="Q25" s="2422">
        <v>12000</v>
      </c>
      <c r="R25" s="1469">
        <f t="shared" si="2"/>
        <v>23698</v>
      </c>
      <c r="S25" s="2991">
        <v>233.96</v>
      </c>
      <c r="T25" s="1469">
        <f t="shared" si="4"/>
        <v>240</v>
      </c>
      <c r="U25" s="1469">
        <f t="shared" si="3"/>
        <v>473.96000000000004</v>
      </c>
      <c r="V25" s="2993">
        <v>8188.5999999999995</v>
      </c>
      <c r="W25" s="1459">
        <f t="shared" si="5"/>
        <v>8400</v>
      </c>
      <c r="X25" s="1459">
        <f t="shared" si="6"/>
        <v>16588.599999999999</v>
      </c>
      <c r="Y25" s="2019">
        <v>0.2</v>
      </c>
      <c r="Z25" s="2012">
        <v>3317.7200000000003</v>
      </c>
      <c r="AA25" s="2418">
        <v>4463.5296329087005</v>
      </c>
      <c r="AB25" s="2012">
        <f t="shared" si="7"/>
        <v>7781.2496329087007</v>
      </c>
      <c r="AC25" s="2013"/>
      <c r="AD25" s="1910">
        <v>6.7142655073156934E-3</v>
      </c>
    </row>
    <row r="26" spans="2:30">
      <c r="B26" s="1652"/>
      <c r="C26" s="1424"/>
      <c r="D26" s="2776"/>
      <c r="E26" s="1431"/>
      <c r="F26" s="1439"/>
      <c r="H26" s="2420" t="s">
        <v>1479</v>
      </c>
      <c r="I26" s="2416">
        <v>0.2</v>
      </c>
      <c r="J26" s="1470" t="s">
        <v>580</v>
      </c>
      <c r="K26" s="1955" t="s">
        <v>993</v>
      </c>
      <c r="L26" s="1957">
        <v>2.5</v>
      </c>
      <c r="M26" s="1959">
        <v>2.5</v>
      </c>
      <c r="N26" s="1460">
        <v>30</v>
      </c>
      <c r="O26" s="1961" t="s">
        <v>1008</v>
      </c>
      <c r="P26" s="3231">
        <v>0</v>
      </c>
      <c r="Q26" s="2422">
        <v>0</v>
      </c>
      <c r="R26" s="1469">
        <f t="shared" si="2"/>
        <v>0</v>
      </c>
      <c r="S26" s="2991">
        <v>0</v>
      </c>
      <c r="T26" s="1469">
        <f t="shared" si="4"/>
        <v>0</v>
      </c>
      <c r="U26" s="1469">
        <f t="shared" si="3"/>
        <v>0</v>
      </c>
      <c r="V26" s="2993">
        <v>0</v>
      </c>
      <c r="W26" s="1459">
        <f t="shared" si="5"/>
        <v>0</v>
      </c>
      <c r="X26" s="1459">
        <f t="shared" si="6"/>
        <v>0</v>
      </c>
      <c r="Y26" s="2019">
        <v>0.2</v>
      </c>
      <c r="Z26" s="2012">
        <v>0</v>
      </c>
      <c r="AA26" s="2418">
        <v>0</v>
      </c>
      <c r="AB26" s="2012">
        <f t="shared" si="7"/>
        <v>0</v>
      </c>
      <c r="AC26" s="2013"/>
      <c r="AD26" s="1910">
        <v>0</v>
      </c>
    </row>
    <row r="27" spans="2:30">
      <c r="B27" s="1433" t="s">
        <v>296</v>
      </c>
      <c r="C27" s="1451" t="s">
        <v>44</v>
      </c>
      <c r="D27" s="2771">
        <f>SUM(D28:D31)</f>
        <v>1600</v>
      </c>
      <c r="E27" s="1464">
        <f>SUM(E28:E31)</f>
        <v>1600</v>
      </c>
      <c r="F27" s="1462">
        <f>D27+E27</f>
        <v>3200</v>
      </c>
      <c r="H27" s="2420" t="s">
        <v>1480</v>
      </c>
      <c r="I27" s="2416">
        <v>0.2</v>
      </c>
      <c r="J27" s="1470" t="s">
        <v>580</v>
      </c>
      <c r="K27" s="1955" t="s">
        <v>993</v>
      </c>
      <c r="L27" s="1957">
        <v>2.5</v>
      </c>
      <c r="M27" s="1959">
        <v>2.5</v>
      </c>
      <c r="N27" s="1460">
        <v>30</v>
      </c>
      <c r="O27" s="1961" t="s">
        <v>1008</v>
      </c>
      <c r="P27" s="3231">
        <v>8392</v>
      </c>
      <c r="Q27" s="2422">
        <v>1830</v>
      </c>
      <c r="R27" s="1469">
        <f t="shared" si="2"/>
        <v>10222</v>
      </c>
      <c r="S27" s="2991">
        <v>1678.4</v>
      </c>
      <c r="T27" s="1469">
        <f t="shared" si="4"/>
        <v>366</v>
      </c>
      <c r="U27" s="1469">
        <f t="shared" si="3"/>
        <v>2044.4</v>
      </c>
      <c r="V27" s="2993">
        <v>20980</v>
      </c>
      <c r="W27" s="1459">
        <f t="shared" si="5"/>
        <v>4575</v>
      </c>
      <c r="X27" s="1459">
        <f t="shared" si="6"/>
        <v>25555</v>
      </c>
      <c r="Y27" s="2019">
        <v>0.2</v>
      </c>
      <c r="Z27" s="2012">
        <v>5111</v>
      </c>
      <c r="AA27" s="2418">
        <v>6876.1378156674973</v>
      </c>
      <c r="AB27" s="2012">
        <f t="shared" si="7"/>
        <v>11987.137815667498</v>
      </c>
      <c r="AC27" s="2013"/>
      <c r="AD27" s="1910">
        <v>0</v>
      </c>
    </row>
    <row r="28" spans="2:30">
      <c r="B28" s="1982">
        <f>(SUM(D28:E28)/2)/((80000+(80000*1.025))/2)</f>
        <v>1.9753086419753086E-2</v>
      </c>
      <c r="C28" s="1423" t="s">
        <v>895</v>
      </c>
      <c r="D28" s="2772">
        <v>1600</v>
      </c>
      <c r="E28" s="1448">
        <v>1600</v>
      </c>
      <c r="F28" s="1426">
        <f t="shared" si="1"/>
        <v>3200</v>
      </c>
      <c r="H28" s="2420" t="s">
        <v>1481</v>
      </c>
      <c r="I28" s="2416">
        <v>0.02</v>
      </c>
      <c r="J28" s="1470" t="s">
        <v>580</v>
      </c>
      <c r="K28" s="1955" t="s">
        <v>992</v>
      </c>
      <c r="L28" s="1957">
        <v>0.7</v>
      </c>
      <c r="M28" s="1959">
        <v>0.7</v>
      </c>
      <c r="N28" s="1460">
        <v>25</v>
      </c>
      <c r="O28" s="1961" t="s">
        <v>1008</v>
      </c>
      <c r="P28" s="3231">
        <v>0</v>
      </c>
      <c r="Q28" s="2422">
        <v>2100</v>
      </c>
      <c r="R28" s="1469">
        <f t="shared" si="2"/>
        <v>2100</v>
      </c>
      <c r="S28" s="2991">
        <v>0</v>
      </c>
      <c r="T28" s="1469">
        <f t="shared" si="4"/>
        <v>42</v>
      </c>
      <c r="U28" s="1469">
        <f t="shared" si="3"/>
        <v>42</v>
      </c>
      <c r="V28" s="2993">
        <v>0</v>
      </c>
      <c r="W28" s="1459">
        <f t="shared" si="5"/>
        <v>1470</v>
      </c>
      <c r="X28" s="1459">
        <f t="shared" si="6"/>
        <v>1470</v>
      </c>
      <c r="Y28" s="2019">
        <v>0.2</v>
      </c>
      <c r="Z28" s="2012">
        <v>294</v>
      </c>
      <c r="AA28" s="2418">
        <v>395.53600426653179</v>
      </c>
      <c r="AB28" s="2012">
        <f t="shared" si="7"/>
        <v>689.53600426653179</v>
      </c>
      <c r="AC28" s="2013"/>
      <c r="AD28" s="1910">
        <v>3.0000000000000001E-3</v>
      </c>
    </row>
    <row r="29" spans="2:30">
      <c r="B29" s="1982">
        <f>(SUM(D29:E29)/2)/((80000+(80000*1.025))/2)</f>
        <v>0</v>
      </c>
      <c r="C29" s="1423" t="s">
        <v>1106</v>
      </c>
      <c r="D29" s="2773"/>
      <c r="E29" s="1444"/>
      <c r="F29" s="1438">
        <f t="shared" si="1"/>
        <v>0</v>
      </c>
      <c r="H29" s="2420" t="s">
        <v>1482</v>
      </c>
      <c r="I29" s="2416">
        <v>0.06</v>
      </c>
      <c r="J29" s="1470" t="s">
        <v>580</v>
      </c>
      <c r="K29" s="1955" t="s">
        <v>992</v>
      </c>
      <c r="L29" s="1957">
        <v>0.85</v>
      </c>
      <c r="M29" s="1959">
        <v>0.85</v>
      </c>
      <c r="N29" s="1460">
        <v>30</v>
      </c>
      <c r="O29" s="1961" t="s">
        <v>1008</v>
      </c>
      <c r="P29" s="3231">
        <v>0</v>
      </c>
      <c r="Q29" s="2422">
        <v>0</v>
      </c>
      <c r="R29" s="1469">
        <f t="shared" si="2"/>
        <v>0</v>
      </c>
      <c r="S29" s="2991">
        <v>0</v>
      </c>
      <c r="T29" s="1469">
        <f t="shared" si="4"/>
        <v>0</v>
      </c>
      <c r="U29" s="1469">
        <f t="shared" si="3"/>
        <v>0</v>
      </c>
      <c r="V29" s="2993">
        <v>0</v>
      </c>
      <c r="W29" s="1459">
        <f t="shared" si="5"/>
        <v>0</v>
      </c>
      <c r="X29" s="1459">
        <f t="shared" si="6"/>
        <v>0</v>
      </c>
      <c r="Y29" s="2019">
        <v>0.2</v>
      </c>
      <c r="Z29" s="2012">
        <v>0</v>
      </c>
      <c r="AA29" s="2418">
        <v>0</v>
      </c>
      <c r="AB29" s="2012">
        <f t="shared" si="7"/>
        <v>0</v>
      </c>
      <c r="AC29" s="2013"/>
      <c r="AD29" s="1910">
        <v>0</v>
      </c>
    </row>
    <row r="30" spans="2:30">
      <c r="B30" s="1982"/>
      <c r="C30" s="1423"/>
      <c r="D30" s="2774"/>
      <c r="E30" s="1443"/>
      <c r="F30" s="1438">
        <f t="shared" si="1"/>
        <v>0</v>
      </c>
      <c r="H30" s="2420" t="s">
        <v>1483</v>
      </c>
      <c r="I30" s="2416">
        <v>0.06</v>
      </c>
      <c r="J30" s="1470" t="s">
        <v>580</v>
      </c>
      <c r="K30" s="1955" t="s">
        <v>992</v>
      </c>
      <c r="L30" s="1957">
        <v>0.8</v>
      </c>
      <c r="M30" s="1959">
        <v>0.8</v>
      </c>
      <c r="N30" s="1460">
        <v>25</v>
      </c>
      <c r="O30" s="1961" t="s">
        <v>1008</v>
      </c>
      <c r="P30" s="3231">
        <v>0</v>
      </c>
      <c r="Q30" s="2422">
        <v>2300</v>
      </c>
      <c r="R30" s="1469">
        <f t="shared" si="2"/>
        <v>2300</v>
      </c>
      <c r="S30" s="2991">
        <v>0</v>
      </c>
      <c r="T30" s="1469">
        <f t="shared" si="4"/>
        <v>138</v>
      </c>
      <c r="U30" s="1469">
        <f t="shared" si="3"/>
        <v>138</v>
      </c>
      <c r="V30" s="2993">
        <v>0</v>
      </c>
      <c r="W30" s="1459">
        <f t="shared" si="5"/>
        <v>1840</v>
      </c>
      <c r="X30" s="1459">
        <f t="shared" si="6"/>
        <v>1840</v>
      </c>
      <c r="Y30" s="2019">
        <v>0.2</v>
      </c>
      <c r="Z30" s="2012">
        <v>368</v>
      </c>
      <c r="AA30" s="2418">
        <v>495.09268561252969</v>
      </c>
      <c r="AB30" s="2012">
        <f t="shared" si="7"/>
        <v>863.09268561252975</v>
      </c>
      <c r="AC30" s="2013"/>
      <c r="AD30" s="1910">
        <v>0</v>
      </c>
    </row>
    <row r="31" spans="2:30">
      <c r="B31" s="1982"/>
      <c r="C31" s="1423"/>
      <c r="D31" s="2775"/>
      <c r="E31" s="1444"/>
      <c r="F31" s="1438">
        <f t="shared" si="1"/>
        <v>0</v>
      </c>
      <c r="H31" s="2420" t="s">
        <v>1484</v>
      </c>
      <c r="I31" s="2416">
        <v>0.04</v>
      </c>
      <c r="J31" s="1470" t="s">
        <v>580</v>
      </c>
      <c r="K31" s="1955" t="s">
        <v>992</v>
      </c>
      <c r="L31" s="1957">
        <v>0.85</v>
      </c>
      <c r="M31" s="1959">
        <v>0.85</v>
      </c>
      <c r="N31" s="1460">
        <v>30</v>
      </c>
      <c r="O31" s="1961" t="s">
        <v>1008</v>
      </c>
      <c r="P31" s="3231">
        <v>27561</v>
      </c>
      <c r="Q31" s="2422">
        <v>16000</v>
      </c>
      <c r="R31" s="1469">
        <f t="shared" si="2"/>
        <v>43561</v>
      </c>
      <c r="S31" s="2991">
        <v>1102.44</v>
      </c>
      <c r="T31" s="1469">
        <f t="shared" si="4"/>
        <v>640</v>
      </c>
      <c r="U31" s="1469">
        <f t="shared" si="3"/>
        <v>1742.44</v>
      </c>
      <c r="V31" s="2993">
        <v>23426.85</v>
      </c>
      <c r="W31" s="1459">
        <f t="shared" si="5"/>
        <v>13600</v>
      </c>
      <c r="X31" s="1459">
        <f t="shared" si="6"/>
        <v>37026.85</v>
      </c>
      <c r="Y31" s="2019">
        <v>0.2</v>
      </c>
      <c r="Z31" s="2012">
        <v>7405.3700000000008</v>
      </c>
      <c r="AA31" s="2418">
        <v>9962.8927208001587</v>
      </c>
      <c r="AB31" s="2012">
        <f t="shared" si="7"/>
        <v>17368.262720800158</v>
      </c>
      <c r="AC31" s="2013"/>
      <c r="AD31" s="1910">
        <v>1.5838437054840622E-2</v>
      </c>
    </row>
    <row r="32" spans="2:30">
      <c r="B32" s="1449">
        <f>SUM(B28:B31)</f>
        <v>1.9753086419753086E-2</v>
      </c>
      <c r="C32" s="1424"/>
      <c r="D32" s="2776"/>
      <c r="E32" s="1431"/>
      <c r="F32" s="1439"/>
      <c r="H32" s="2420" t="s">
        <v>1485</v>
      </c>
      <c r="I32" s="2416">
        <v>0.08</v>
      </c>
      <c r="J32" s="1470" t="s">
        <v>580</v>
      </c>
      <c r="K32" s="1955" t="s">
        <v>992</v>
      </c>
      <c r="L32" s="1957">
        <v>0.85</v>
      </c>
      <c r="M32" s="1959">
        <v>0.85</v>
      </c>
      <c r="N32" s="1460">
        <v>30</v>
      </c>
      <c r="O32" s="1961" t="s">
        <v>1008</v>
      </c>
      <c r="P32" s="3231">
        <v>479</v>
      </c>
      <c r="Q32" s="2422">
        <v>479</v>
      </c>
      <c r="R32" s="1469">
        <f t="shared" si="2"/>
        <v>958</v>
      </c>
      <c r="S32" s="2991">
        <v>28.74</v>
      </c>
      <c r="T32" s="1469">
        <f t="shared" si="4"/>
        <v>38.32</v>
      </c>
      <c r="U32" s="1469">
        <f t="shared" si="3"/>
        <v>67.06</v>
      </c>
      <c r="V32" s="2993">
        <v>407.15</v>
      </c>
      <c r="W32" s="1459">
        <f t="shared" si="5"/>
        <v>407.15</v>
      </c>
      <c r="X32" s="1459">
        <f t="shared" si="6"/>
        <v>814.3</v>
      </c>
      <c r="Y32" s="2019">
        <v>0.2</v>
      </c>
      <c r="Z32" s="2012">
        <v>162.86000000000001</v>
      </c>
      <c r="AA32" s="2418">
        <v>219.10542059471896</v>
      </c>
      <c r="AB32" s="2012">
        <f t="shared" si="7"/>
        <v>381.96542059471898</v>
      </c>
      <c r="AC32" s="2013"/>
      <c r="AD32" s="1910">
        <v>0</v>
      </c>
    </row>
    <row r="33" spans="1:30">
      <c r="C33" s="1597" t="s">
        <v>1737</v>
      </c>
      <c r="D33" s="2771">
        <f>SUM(D35:D41)</f>
        <v>14554.466930000002</v>
      </c>
      <c r="E33" s="1657">
        <f>SUM(E35:E37)+SUM(E39:E41)</f>
        <v>15749.797499999997</v>
      </c>
      <c r="F33" s="1462">
        <f>D33+E33</f>
        <v>30304.264429999999</v>
      </c>
      <c r="H33" s="2420" t="s">
        <v>1486</v>
      </c>
      <c r="I33" s="2416">
        <v>0.08</v>
      </c>
      <c r="J33" s="1470" t="s">
        <v>580</v>
      </c>
      <c r="K33" s="1955" t="s">
        <v>992</v>
      </c>
      <c r="L33" s="1957">
        <v>0.8</v>
      </c>
      <c r="M33" s="1959">
        <v>0.8</v>
      </c>
      <c r="N33" s="1460">
        <v>25</v>
      </c>
      <c r="O33" s="1961" t="s">
        <v>1008</v>
      </c>
      <c r="P33" s="3231">
        <v>0</v>
      </c>
      <c r="Q33" s="2422">
        <v>35</v>
      </c>
      <c r="R33" s="1469">
        <f t="shared" si="2"/>
        <v>35</v>
      </c>
      <c r="S33" s="2991">
        <v>0</v>
      </c>
      <c r="T33" s="1469">
        <f t="shared" si="4"/>
        <v>2.8000000000000003</v>
      </c>
      <c r="U33" s="1469">
        <f t="shared" si="3"/>
        <v>2.8000000000000003</v>
      </c>
      <c r="V33" s="2993">
        <v>0</v>
      </c>
      <c r="W33" s="1459">
        <f t="shared" si="5"/>
        <v>28</v>
      </c>
      <c r="X33" s="1459">
        <f t="shared" si="6"/>
        <v>28</v>
      </c>
      <c r="Y33" s="2019">
        <v>0.2</v>
      </c>
      <c r="Z33" s="2012">
        <v>5.6000000000000005</v>
      </c>
      <c r="AA33" s="2418">
        <v>7.534019128886321</v>
      </c>
      <c r="AB33" s="2012">
        <f t="shared" si="7"/>
        <v>13.134019128886322</v>
      </c>
      <c r="AC33" s="2013"/>
      <c r="AD33" s="1910">
        <v>0</v>
      </c>
    </row>
    <row r="34" spans="1:30" ht="25.5">
      <c r="A34" s="1401" t="s">
        <v>165</v>
      </c>
      <c r="C34" s="1450" t="s">
        <v>1733</v>
      </c>
      <c r="D34" s="2777">
        <v>0.66700000000000004</v>
      </c>
      <c r="E34" s="1452">
        <v>0.68799999999999994</v>
      </c>
      <c r="F34" s="1485"/>
      <c r="H34" s="2420" t="s">
        <v>1487</v>
      </c>
      <c r="I34" s="2416">
        <v>7.0000000000000007E-2</v>
      </c>
      <c r="J34" s="1470" t="s">
        <v>580</v>
      </c>
      <c r="K34" s="1955" t="s">
        <v>992</v>
      </c>
      <c r="L34" s="1957">
        <v>0.85</v>
      </c>
      <c r="M34" s="1959">
        <v>0.85</v>
      </c>
      <c r="N34" s="1460">
        <v>30</v>
      </c>
      <c r="O34" s="1961" t="s">
        <v>1008</v>
      </c>
      <c r="P34" s="3231">
        <v>20863</v>
      </c>
      <c r="Q34" s="2422">
        <v>14260</v>
      </c>
      <c r="R34" s="1469">
        <f t="shared" si="2"/>
        <v>35123</v>
      </c>
      <c r="S34" s="2991">
        <v>1460.41</v>
      </c>
      <c r="T34" s="1469">
        <f t="shared" si="4"/>
        <v>998.2</v>
      </c>
      <c r="U34" s="1469">
        <f t="shared" si="3"/>
        <v>2458.61</v>
      </c>
      <c r="V34" s="2993">
        <v>17733.55</v>
      </c>
      <c r="W34" s="1459">
        <f t="shared" si="5"/>
        <v>12121</v>
      </c>
      <c r="X34" s="1459">
        <f t="shared" si="6"/>
        <v>29854.55</v>
      </c>
      <c r="Y34" s="2019">
        <v>0.2</v>
      </c>
      <c r="Z34" s="2012">
        <v>5970.91</v>
      </c>
      <c r="AA34" s="2418">
        <v>8033.026813724754</v>
      </c>
      <c r="AB34" s="2012">
        <f t="shared" si="7"/>
        <v>14003.936813724755</v>
      </c>
      <c r="AC34" s="2013"/>
      <c r="AD34" s="1910">
        <v>2.7619390344973307E-2</v>
      </c>
    </row>
    <row r="35" spans="1:30">
      <c r="A35" s="1357" t="s">
        <v>281</v>
      </c>
      <c r="C35" s="1667" t="s">
        <v>719</v>
      </c>
      <c r="D35" s="2778">
        <f>D15*D34</f>
        <v>13487.266930000002</v>
      </c>
      <c r="E35" s="1504">
        <f>E15*E34</f>
        <v>10965.859999999999</v>
      </c>
      <c r="F35" s="1438">
        <f t="shared" si="1"/>
        <v>24453.126929999999</v>
      </c>
      <c r="H35" s="2420" t="s">
        <v>1488</v>
      </c>
      <c r="I35" s="2416">
        <v>6.4</v>
      </c>
      <c r="J35" s="1470" t="s">
        <v>580</v>
      </c>
      <c r="K35" s="1955" t="s">
        <v>845</v>
      </c>
      <c r="L35" s="1957">
        <v>25</v>
      </c>
      <c r="M35" s="1959">
        <v>25</v>
      </c>
      <c r="N35" s="1460">
        <v>10</v>
      </c>
      <c r="O35" s="1961" t="s">
        <v>846</v>
      </c>
      <c r="P35" s="3231">
        <v>50</v>
      </c>
      <c r="Q35" s="2422">
        <v>0</v>
      </c>
      <c r="R35" s="1469">
        <f t="shared" si="2"/>
        <v>50</v>
      </c>
      <c r="S35" s="2991">
        <v>300</v>
      </c>
      <c r="T35" s="1469">
        <f t="shared" si="4"/>
        <v>0</v>
      </c>
      <c r="U35" s="1469">
        <f t="shared" si="3"/>
        <v>300</v>
      </c>
      <c r="V35" s="2993">
        <v>1250</v>
      </c>
      <c r="W35" s="1459">
        <f t="shared" si="5"/>
        <v>0</v>
      </c>
      <c r="X35" s="1459">
        <f t="shared" si="6"/>
        <v>1250</v>
      </c>
      <c r="Y35" s="2019">
        <v>0.2</v>
      </c>
      <c r="Z35" s="2012">
        <v>250</v>
      </c>
      <c r="AA35" s="2418">
        <v>336.34013968242505</v>
      </c>
      <c r="AB35" s="2012">
        <f t="shared" si="7"/>
        <v>586.34013968242505</v>
      </c>
      <c r="AC35" s="2013"/>
      <c r="AD35" s="1910">
        <v>17</v>
      </c>
    </row>
    <row r="36" spans="1:30">
      <c r="A36" s="1400" t="s">
        <v>5</v>
      </c>
      <c r="C36" s="1667" t="s">
        <v>720</v>
      </c>
      <c r="D36" s="2785">
        <f>D27*D34</f>
        <v>1067.2</v>
      </c>
      <c r="E36" s="1504">
        <f>E27*E34</f>
        <v>1100.8</v>
      </c>
      <c r="F36" s="1438">
        <f t="shared" si="1"/>
        <v>2168</v>
      </c>
      <c r="H36" s="2420" t="s">
        <v>1489</v>
      </c>
      <c r="I36" s="2416">
        <v>6.4</v>
      </c>
      <c r="J36" s="1470" t="s">
        <v>580</v>
      </c>
      <c r="K36" s="1955" t="s">
        <v>845</v>
      </c>
      <c r="L36" s="1957">
        <v>25</v>
      </c>
      <c r="M36" s="1959">
        <v>25</v>
      </c>
      <c r="N36" s="1460">
        <v>10</v>
      </c>
      <c r="O36" s="1961" t="s">
        <v>846</v>
      </c>
      <c r="P36" s="3231">
        <v>10</v>
      </c>
      <c r="Q36" s="2422">
        <v>0</v>
      </c>
      <c r="R36" s="1469">
        <f t="shared" si="2"/>
        <v>10</v>
      </c>
      <c r="S36" s="2991">
        <v>60</v>
      </c>
      <c r="T36" s="1469">
        <f t="shared" si="4"/>
        <v>0</v>
      </c>
      <c r="U36" s="1469">
        <f t="shared" si="3"/>
        <v>60</v>
      </c>
      <c r="V36" s="2993">
        <v>250</v>
      </c>
      <c r="W36" s="1459">
        <f t="shared" si="5"/>
        <v>0</v>
      </c>
      <c r="X36" s="1459">
        <f t="shared" si="6"/>
        <v>250</v>
      </c>
      <c r="Y36" s="2019">
        <v>0.2</v>
      </c>
      <c r="Z36" s="2012">
        <v>50</v>
      </c>
      <c r="AA36" s="2418">
        <v>67.268027936485012</v>
      </c>
      <c r="AB36" s="2012">
        <f t="shared" si="7"/>
        <v>117.26802793648501</v>
      </c>
      <c r="AC36" s="2013"/>
      <c r="AD36" s="1910">
        <v>17</v>
      </c>
    </row>
    <row r="37" spans="1:30">
      <c r="A37" s="1400">
        <v>18230661</v>
      </c>
      <c r="C37" s="1667"/>
      <c r="D37" s="2774"/>
      <c r="E37" s="1443"/>
      <c r="F37" s="1436"/>
      <c r="H37" s="2420" t="s">
        <v>1490</v>
      </c>
      <c r="I37" s="2416">
        <v>6.4</v>
      </c>
      <c r="J37" s="1470" t="s">
        <v>580</v>
      </c>
      <c r="K37" s="1955" t="s">
        <v>845</v>
      </c>
      <c r="L37" s="1957">
        <v>25</v>
      </c>
      <c r="M37" s="1959">
        <v>25</v>
      </c>
      <c r="N37" s="1460">
        <v>10</v>
      </c>
      <c r="O37" s="1961" t="s">
        <v>846</v>
      </c>
      <c r="P37" s="3231">
        <v>50</v>
      </c>
      <c r="Q37" s="2422">
        <v>0</v>
      </c>
      <c r="R37" s="1469">
        <f t="shared" si="2"/>
        <v>50</v>
      </c>
      <c r="S37" s="2991">
        <v>300</v>
      </c>
      <c r="T37" s="1469">
        <f t="shared" si="4"/>
        <v>0</v>
      </c>
      <c r="U37" s="1469">
        <f t="shared" si="3"/>
        <v>300</v>
      </c>
      <c r="V37" s="2993">
        <v>1250</v>
      </c>
      <c r="W37" s="1459">
        <f t="shared" si="5"/>
        <v>0</v>
      </c>
      <c r="X37" s="1459">
        <f t="shared" si="6"/>
        <v>1250</v>
      </c>
      <c r="Y37" s="2019">
        <v>0.2</v>
      </c>
      <c r="Z37" s="2012">
        <v>250</v>
      </c>
      <c r="AA37" s="2418">
        <v>336.34013968242505</v>
      </c>
      <c r="AB37" s="2012">
        <f t="shared" si="7"/>
        <v>586.34013968242505</v>
      </c>
      <c r="AC37" s="2013"/>
      <c r="AD37" s="1910">
        <v>17</v>
      </c>
    </row>
    <row r="38" spans="1:30">
      <c r="A38" s="1400" t="s">
        <v>28</v>
      </c>
      <c r="C38" s="1450" t="s">
        <v>1734</v>
      </c>
      <c r="D38" s="2777"/>
      <c r="E38" s="1452">
        <v>0.21</v>
      </c>
      <c r="F38" s="1485"/>
      <c r="H38" s="2420" t="s">
        <v>1491</v>
      </c>
      <c r="I38" s="2416">
        <v>39.4</v>
      </c>
      <c r="J38" s="1470" t="s">
        <v>580</v>
      </c>
      <c r="K38" s="1955" t="s">
        <v>845</v>
      </c>
      <c r="L38" s="1957">
        <v>350</v>
      </c>
      <c r="M38" s="1959">
        <v>350</v>
      </c>
      <c r="N38" s="1460">
        <v>18</v>
      </c>
      <c r="O38" s="1961" t="s">
        <v>1008</v>
      </c>
      <c r="P38" s="3231">
        <v>20</v>
      </c>
      <c r="Q38" s="2422">
        <v>10</v>
      </c>
      <c r="R38" s="1469">
        <f t="shared" si="2"/>
        <v>30</v>
      </c>
      <c r="S38" s="2991">
        <v>788</v>
      </c>
      <c r="T38" s="1469">
        <f t="shared" si="4"/>
        <v>394</v>
      </c>
      <c r="U38" s="1469">
        <f t="shared" si="3"/>
        <v>1182</v>
      </c>
      <c r="V38" s="2993">
        <v>7000</v>
      </c>
      <c r="W38" s="1459">
        <f t="shared" si="5"/>
        <v>3500</v>
      </c>
      <c r="X38" s="1459">
        <f t="shared" si="6"/>
        <v>10500</v>
      </c>
      <c r="Y38" s="2019">
        <v>0.2</v>
      </c>
      <c r="Z38" s="2012">
        <v>2100</v>
      </c>
      <c r="AA38" s="2418">
        <v>2825.2571733323703</v>
      </c>
      <c r="AB38" s="2012">
        <f t="shared" si="7"/>
        <v>4925.2571733323703</v>
      </c>
      <c r="AC38" s="2013"/>
      <c r="AD38" s="1910">
        <v>0</v>
      </c>
    </row>
    <row r="39" spans="1:30">
      <c r="C39" s="1667" t="s">
        <v>719</v>
      </c>
      <c r="D39" s="2778"/>
      <c r="E39" s="1641">
        <f>E15*E38</f>
        <v>3347.1374999999998</v>
      </c>
      <c r="F39" s="1661">
        <f>SUM(D39:E39)</f>
        <v>3347.1374999999998</v>
      </c>
      <c r="H39" s="2420" t="s">
        <v>1492</v>
      </c>
      <c r="I39" s="2416">
        <v>30</v>
      </c>
      <c r="J39" s="1470" t="s">
        <v>580</v>
      </c>
      <c r="K39" s="1955" t="s">
        <v>845</v>
      </c>
      <c r="L39" s="1957">
        <v>350</v>
      </c>
      <c r="M39" s="1959">
        <v>350</v>
      </c>
      <c r="N39" s="1460">
        <v>20</v>
      </c>
      <c r="O39" s="1961" t="s">
        <v>1008</v>
      </c>
      <c r="P39" s="3231">
        <v>30</v>
      </c>
      <c r="Q39" s="2422">
        <v>36</v>
      </c>
      <c r="R39" s="1469">
        <f t="shared" si="2"/>
        <v>66</v>
      </c>
      <c r="S39" s="2991">
        <v>900</v>
      </c>
      <c r="T39" s="1469">
        <f t="shared" si="4"/>
        <v>1080</v>
      </c>
      <c r="U39" s="1469">
        <f t="shared" si="3"/>
        <v>1980</v>
      </c>
      <c r="V39" s="2993">
        <v>10500</v>
      </c>
      <c r="W39" s="1459">
        <f t="shared" si="5"/>
        <v>12600</v>
      </c>
      <c r="X39" s="1459">
        <f t="shared" si="6"/>
        <v>23100</v>
      </c>
      <c r="Y39" s="2019">
        <v>0.2</v>
      </c>
      <c r="Z39" s="2012">
        <v>4620</v>
      </c>
      <c r="AA39" s="2418">
        <v>6215.5657813312146</v>
      </c>
      <c r="AB39" s="2012">
        <f t="shared" si="7"/>
        <v>10835.565781331214</v>
      </c>
      <c r="AC39" s="2013"/>
      <c r="AD39" s="1910">
        <v>11</v>
      </c>
    </row>
    <row r="40" spans="1:30">
      <c r="C40" s="1667" t="s">
        <v>720</v>
      </c>
      <c r="D40" s="2785"/>
      <c r="E40" s="1641">
        <f>E27*E38</f>
        <v>336</v>
      </c>
      <c r="F40" s="1661">
        <f t="shared" ref="F40" si="9">SUM(D40:E40)</f>
        <v>336</v>
      </c>
      <c r="H40" s="2420" t="s">
        <v>1493</v>
      </c>
      <c r="I40" s="2416">
        <v>0.01</v>
      </c>
      <c r="J40" s="1470" t="s">
        <v>580</v>
      </c>
      <c r="K40" s="1955" t="s">
        <v>992</v>
      </c>
      <c r="L40" s="1957">
        <v>0.4</v>
      </c>
      <c r="M40" s="1959">
        <v>0.4</v>
      </c>
      <c r="N40" s="1460">
        <v>25</v>
      </c>
      <c r="O40" s="1961" t="s">
        <v>1008</v>
      </c>
      <c r="P40" s="3231">
        <v>25000</v>
      </c>
      <c r="Q40" s="2422">
        <v>5000</v>
      </c>
      <c r="R40" s="1469">
        <f t="shared" si="2"/>
        <v>30000</v>
      </c>
      <c r="S40" s="2991">
        <v>250</v>
      </c>
      <c r="T40" s="1469">
        <f t="shared" si="4"/>
        <v>50</v>
      </c>
      <c r="U40" s="1469">
        <f t="shared" si="3"/>
        <v>300</v>
      </c>
      <c r="V40" s="2993">
        <v>10000</v>
      </c>
      <c r="W40" s="1459">
        <f t="shared" si="5"/>
        <v>2000</v>
      </c>
      <c r="X40" s="1459">
        <f t="shared" si="6"/>
        <v>12000</v>
      </c>
      <c r="Y40" s="2019">
        <v>0.2</v>
      </c>
      <c r="Z40" s="2012">
        <v>2400</v>
      </c>
      <c r="AA40" s="2418">
        <v>3228.8653409512808</v>
      </c>
      <c r="AB40" s="2012">
        <f t="shared" si="7"/>
        <v>5628.8653409512808</v>
      </c>
      <c r="AC40" s="2013"/>
      <c r="AD40" s="1910">
        <v>2E-3</v>
      </c>
    </row>
    <row r="41" spans="1:30">
      <c r="C41" s="1445"/>
      <c r="D41" s="2775"/>
      <c r="E41" s="1444"/>
      <c r="F41" s="1437"/>
      <c r="H41" s="2420" t="s">
        <v>1494</v>
      </c>
      <c r="I41" s="2416">
        <v>0.02</v>
      </c>
      <c r="J41" s="1470" t="s">
        <v>580</v>
      </c>
      <c r="K41" s="1955" t="s">
        <v>992</v>
      </c>
      <c r="L41" s="1957">
        <v>0.4</v>
      </c>
      <c r="M41" s="1959">
        <v>0.4</v>
      </c>
      <c r="N41" s="1460">
        <v>15</v>
      </c>
      <c r="O41" s="1961" t="s">
        <v>1008</v>
      </c>
      <c r="P41" s="3231">
        <v>37197</v>
      </c>
      <c r="Q41" s="2422">
        <v>64660</v>
      </c>
      <c r="R41" s="1469">
        <f t="shared" si="2"/>
        <v>101857</v>
      </c>
      <c r="S41" s="2991">
        <v>743.94</v>
      </c>
      <c r="T41" s="1469">
        <f t="shared" si="4"/>
        <v>1293.2</v>
      </c>
      <c r="U41" s="1469">
        <f t="shared" si="3"/>
        <v>2037.14</v>
      </c>
      <c r="V41" s="2993">
        <v>14878.800000000001</v>
      </c>
      <c r="W41" s="1459">
        <f t="shared" si="5"/>
        <v>25864</v>
      </c>
      <c r="X41" s="1459">
        <f t="shared" si="6"/>
        <v>40742.800000000003</v>
      </c>
      <c r="Y41" s="2019">
        <v>0.2</v>
      </c>
      <c r="Z41" s="2012">
        <v>8148.5600000000013</v>
      </c>
      <c r="AA41" s="2418">
        <v>10962.751234442487</v>
      </c>
      <c r="AB41" s="2012">
        <f t="shared" si="7"/>
        <v>19111.311234442488</v>
      </c>
      <c r="AC41" s="2013"/>
      <c r="AD41" s="1910">
        <v>0.01</v>
      </c>
    </row>
    <row r="42" spans="1:30">
      <c r="C42" s="1488"/>
      <c r="D42" s="2779"/>
      <c r="E42" s="1490"/>
      <c r="F42" s="1493"/>
      <c r="H42" s="2420" t="s">
        <v>1495</v>
      </c>
      <c r="I42" s="2416">
        <v>0.9</v>
      </c>
      <c r="J42" s="1470" t="s">
        <v>580</v>
      </c>
      <c r="K42" s="1955" t="s">
        <v>993</v>
      </c>
      <c r="L42" s="1957">
        <v>5.5</v>
      </c>
      <c r="M42" s="1959">
        <v>5.5</v>
      </c>
      <c r="N42" s="1460">
        <v>15</v>
      </c>
      <c r="O42" s="1961" t="s">
        <v>846</v>
      </c>
      <c r="P42" s="3231">
        <v>12</v>
      </c>
      <c r="Q42" s="2422">
        <v>0</v>
      </c>
      <c r="R42" s="1469">
        <f t="shared" si="2"/>
        <v>12</v>
      </c>
      <c r="S42" s="2991">
        <v>10.8</v>
      </c>
      <c r="T42" s="1469">
        <f t="shared" si="4"/>
        <v>0</v>
      </c>
      <c r="U42" s="1469">
        <f t="shared" si="3"/>
        <v>10.8</v>
      </c>
      <c r="V42" s="2993">
        <v>66</v>
      </c>
      <c r="W42" s="1459">
        <f t="shared" si="5"/>
        <v>0</v>
      </c>
      <c r="X42" s="1459">
        <f t="shared" si="6"/>
        <v>66</v>
      </c>
      <c r="Y42" s="2019">
        <v>0.2</v>
      </c>
      <c r="Z42" s="2012">
        <v>13.200000000000003</v>
      </c>
      <c r="AA42" s="2418">
        <v>17.758759375232042</v>
      </c>
      <c r="AB42" s="2012">
        <f t="shared" si="7"/>
        <v>30.958759375232045</v>
      </c>
      <c r="AC42" s="2013"/>
      <c r="AD42" s="1910">
        <v>0</v>
      </c>
    </row>
    <row r="43" spans="1:30">
      <c r="C43" s="1451" t="s">
        <v>46</v>
      </c>
      <c r="D43" s="2771">
        <f>SUM(D44:D47)</f>
        <v>5000</v>
      </c>
      <c r="E43" s="1464">
        <f>SUM(E44:E47)</f>
        <v>5000</v>
      </c>
      <c r="F43" s="1462">
        <f>D43+E43</f>
        <v>10000</v>
      </c>
      <c r="H43" s="2420" t="s">
        <v>1496</v>
      </c>
      <c r="I43" s="2416">
        <v>0.9</v>
      </c>
      <c r="J43" s="1470" t="s">
        <v>580</v>
      </c>
      <c r="K43" s="1955" t="s">
        <v>993</v>
      </c>
      <c r="L43" s="1957">
        <v>5.5</v>
      </c>
      <c r="M43" s="1959">
        <v>5.5</v>
      </c>
      <c r="N43" s="1460">
        <v>15</v>
      </c>
      <c r="O43" s="1961" t="s">
        <v>846</v>
      </c>
      <c r="P43" s="3231">
        <v>10</v>
      </c>
      <c r="Q43" s="2422">
        <v>10</v>
      </c>
      <c r="R43" s="1469">
        <f t="shared" si="2"/>
        <v>20</v>
      </c>
      <c r="S43" s="2991">
        <v>9</v>
      </c>
      <c r="T43" s="1469">
        <f t="shared" si="4"/>
        <v>9</v>
      </c>
      <c r="U43" s="1469">
        <f t="shared" si="3"/>
        <v>18</v>
      </c>
      <c r="V43" s="2993">
        <v>55</v>
      </c>
      <c r="W43" s="1459">
        <f t="shared" si="5"/>
        <v>55</v>
      </c>
      <c r="X43" s="1459">
        <f t="shared" si="6"/>
        <v>110</v>
      </c>
      <c r="Y43" s="2019">
        <v>0.2</v>
      </c>
      <c r="Z43" s="2012">
        <v>22</v>
      </c>
      <c r="AA43" s="2418">
        <v>29.597932292053404</v>
      </c>
      <c r="AB43" s="2012">
        <f t="shared" si="7"/>
        <v>51.5979322920534</v>
      </c>
      <c r="AC43" s="2013"/>
      <c r="AD43" s="1910">
        <v>0</v>
      </c>
    </row>
    <row r="44" spans="1:30">
      <c r="C44" s="1423" t="s">
        <v>12</v>
      </c>
      <c r="D44" s="2778">
        <v>5000</v>
      </c>
      <c r="E44" s="1520">
        <v>5000</v>
      </c>
      <c r="F44" s="1438">
        <f t="shared" ref="F44:F53" si="10">SUM(D44:E44)</f>
        <v>10000</v>
      </c>
      <c r="H44" s="2420" t="s">
        <v>1497</v>
      </c>
      <c r="I44" s="2416">
        <v>0.9</v>
      </c>
      <c r="J44" s="1470" t="s">
        <v>580</v>
      </c>
      <c r="K44" s="1955" t="s">
        <v>993</v>
      </c>
      <c r="L44" s="1957">
        <v>5.5</v>
      </c>
      <c r="M44" s="1959">
        <v>5.5</v>
      </c>
      <c r="N44" s="1460">
        <v>15</v>
      </c>
      <c r="O44" s="1961" t="s">
        <v>846</v>
      </c>
      <c r="P44" s="3231">
        <v>9</v>
      </c>
      <c r="Q44" s="2422">
        <v>5</v>
      </c>
      <c r="R44" s="1469">
        <f t="shared" si="2"/>
        <v>14</v>
      </c>
      <c r="S44" s="2991">
        <v>8.1</v>
      </c>
      <c r="T44" s="1469">
        <f t="shared" si="4"/>
        <v>4.5</v>
      </c>
      <c r="U44" s="1469">
        <f t="shared" si="3"/>
        <v>12.6</v>
      </c>
      <c r="V44" s="2993">
        <v>49.5</v>
      </c>
      <c r="W44" s="1459">
        <f t="shared" si="5"/>
        <v>27.5</v>
      </c>
      <c r="X44" s="1459">
        <f t="shared" si="6"/>
        <v>77</v>
      </c>
      <c r="Y44" s="2019">
        <v>0.2</v>
      </c>
      <c r="Z44" s="2012">
        <v>15.400000000000002</v>
      </c>
      <c r="AA44" s="2418">
        <v>20.718552604437384</v>
      </c>
      <c r="AB44" s="2012">
        <f t="shared" si="7"/>
        <v>36.118552604437383</v>
      </c>
      <c r="AC44" s="2013"/>
      <c r="AD44" s="1910">
        <v>0</v>
      </c>
    </row>
    <row r="45" spans="1:30">
      <c r="C45" s="1423"/>
      <c r="D45" s="2778"/>
      <c r="E45" s="1520"/>
      <c r="F45" s="1438">
        <f t="shared" si="10"/>
        <v>0</v>
      </c>
      <c r="H45" s="2420" t="s">
        <v>1498</v>
      </c>
      <c r="I45" s="2416">
        <v>734</v>
      </c>
      <c r="J45" s="1470" t="s">
        <v>580</v>
      </c>
      <c r="K45" s="1955" t="s">
        <v>991</v>
      </c>
      <c r="L45" s="1957">
        <v>4152</v>
      </c>
      <c r="M45" s="1959">
        <v>4152</v>
      </c>
      <c r="N45" s="1460">
        <v>24</v>
      </c>
      <c r="O45" s="1961" t="s">
        <v>1160</v>
      </c>
      <c r="P45" s="3231">
        <v>1</v>
      </c>
      <c r="Q45" s="2422">
        <v>1</v>
      </c>
      <c r="R45" s="1469">
        <f t="shared" si="2"/>
        <v>2</v>
      </c>
      <c r="S45" s="2991">
        <v>734</v>
      </c>
      <c r="T45" s="1469">
        <f t="shared" si="4"/>
        <v>734</v>
      </c>
      <c r="U45" s="1469">
        <f t="shared" si="3"/>
        <v>1468</v>
      </c>
      <c r="V45" s="2993">
        <v>4152</v>
      </c>
      <c r="W45" s="1459">
        <f t="shared" si="5"/>
        <v>4152</v>
      </c>
      <c r="X45" s="1459">
        <f t="shared" si="6"/>
        <v>8304</v>
      </c>
      <c r="Y45" s="2019">
        <v>0.2</v>
      </c>
      <c r="Z45" s="2012">
        <v>1660.8000000000002</v>
      </c>
      <c r="AA45" s="2418">
        <v>2234.3748159382862</v>
      </c>
      <c r="AB45" s="2012">
        <f t="shared" si="7"/>
        <v>3895.1748159382864</v>
      </c>
      <c r="AC45" s="2013"/>
      <c r="AD45" s="1910">
        <v>0</v>
      </c>
    </row>
    <row r="46" spans="1:30">
      <c r="C46" s="1423"/>
      <c r="D46" s="2778"/>
      <c r="E46" s="1520"/>
      <c r="F46" s="1438">
        <f t="shared" si="10"/>
        <v>0</v>
      </c>
      <c r="H46" s="2420" t="s">
        <v>1499</v>
      </c>
      <c r="I46" s="2416">
        <v>1100</v>
      </c>
      <c r="J46" s="1470" t="s">
        <v>580</v>
      </c>
      <c r="K46" s="1955" t="s">
        <v>991</v>
      </c>
      <c r="L46" s="1957">
        <v>6150</v>
      </c>
      <c r="M46" s="1959">
        <v>6150</v>
      </c>
      <c r="N46" s="1460">
        <v>15</v>
      </c>
      <c r="O46" s="1961" t="s">
        <v>997</v>
      </c>
      <c r="P46" s="3231">
        <v>2</v>
      </c>
      <c r="Q46" s="2422">
        <v>0</v>
      </c>
      <c r="R46" s="1469">
        <f t="shared" si="2"/>
        <v>2</v>
      </c>
      <c r="S46" s="2991">
        <v>2200</v>
      </c>
      <c r="T46" s="1469">
        <f t="shared" si="4"/>
        <v>0</v>
      </c>
      <c r="U46" s="1469">
        <f t="shared" si="3"/>
        <v>2200</v>
      </c>
      <c r="V46" s="2993">
        <v>12300</v>
      </c>
      <c r="W46" s="1459">
        <f t="shared" si="5"/>
        <v>0</v>
      </c>
      <c r="X46" s="1459">
        <f t="shared" si="6"/>
        <v>12300</v>
      </c>
      <c r="Y46" s="2019">
        <v>0.2</v>
      </c>
      <c r="Z46" s="2012">
        <v>2460</v>
      </c>
      <c r="AA46" s="2418">
        <v>3309.5869744750626</v>
      </c>
      <c r="AB46" s="2012">
        <f t="shared" si="7"/>
        <v>5769.5869744750626</v>
      </c>
      <c r="AC46" s="2013"/>
      <c r="AD46" s="1910">
        <v>0</v>
      </c>
    </row>
    <row r="47" spans="1:30">
      <c r="C47" s="1423"/>
      <c r="D47" s="2778"/>
      <c r="E47" s="1520"/>
      <c r="F47" s="1438">
        <f t="shared" si="10"/>
        <v>0</v>
      </c>
      <c r="H47" s="2420" t="s">
        <v>1500</v>
      </c>
      <c r="I47" s="2416">
        <v>1923</v>
      </c>
      <c r="J47" s="1470" t="s">
        <v>580</v>
      </c>
      <c r="K47" s="1955" t="s">
        <v>991</v>
      </c>
      <c r="L47" s="1957">
        <v>9000</v>
      </c>
      <c r="M47" s="1959">
        <v>9000</v>
      </c>
      <c r="N47" s="1460">
        <v>19</v>
      </c>
      <c r="O47" s="1961" t="s">
        <v>1160</v>
      </c>
      <c r="P47" s="3231">
        <v>1</v>
      </c>
      <c r="Q47" s="2422">
        <v>0</v>
      </c>
      <c r="R47" s="1469">
        <f t="shared" si="2"/>
        <v>1</v>
      </c>
      <c r="S47" s="2991">
        <v>1923</v>
      </c>
      <c r="T47" s="1469">
        <f t="shared" si="4"/>
        <v>0</v>
      </c>
      <c r="U47" s="1469">
        <f t="shared" si="3"/>
        <v>1923</v>
      </c>
      <c r="V47" s="2993">
        <v>9000</v>
      </c>
      <c r="W47" s="1459">
        <f t="shared" si="5"/>
        <v>0</v>
      </c>
      <c r="X47" s="1459">
        <f t="shared" si="6"/>
        <v>9000</v>
      </c>
      <c r="Y47" s="2019">
        <v>0.2</v>
      </c>
      <c r="Z47" s="2012">
        <v>1800</v>
      </c>
      <c r="AA47" s="2418">
        <v>2421.6490057134602</v>
      </c>
      <c r="AB47" s="2012">
        <f t="shared" si="7"/>
        <v>4221.6490057134597</v>
      </c>
      <c r="AC47" s="2013"/>
      <c r="AD47" s="1910">
        <v>0</v>
      </c>
    </row>
    <row r="48" spans="1:30">
      <c r="C48" s="1488"/>
      <c r="D48" s="2779"/>
      <c r="E48" s="1490"/>
      <c r="F48" s="1493"/>
      <c r="H48" s="2420" t="s">
        <v>1501</v>
      </c>
      <c r="I48" s="2416">
        <v>173</v>
      </c>
      <c r="J48" s="1470" t="s">
        <v>580</v>
      </c>
      <c r="K48" s="1460" t="s">
        <v>845</v>
      </c>
      <c r="L48" s="1467">
        <v>1526</v>
      </c>
      <c r="M48" s="1467">
        <v>1526</v>
      </c>
      <c r="N48" s="1460">
        <v>18</v>
      </c>
      <c r="O48" s="1463" t="s">
        <v>1008</v>
      </c>
      <c r="P48" s="3231">
        <v>5</v>
      </c>
      <c r="Q48" s="2422">
        <v>1</v>
      </c>
      <c r="R48" s="1469">
        <f t="shared" si="2"/>
        <v>6</v>
      </c>
      <c r="S48" s="2991">
        <v>865</v>
      </c>
      <c r="T48" s="1469">
        <f t="shared" si="4"/>
        <v>173</v>
      </c>
      <c r="U48" s="1469">
        <f t="shared" si="3"/>
        <v>1038</v>
      </c>
      <c r="V48" s="2993">
        <v>7630</v>
      </c>
      <c r="W48" s="1459">
        <f t="shared" si="5"/>
        <v>1526</v>
      </c>
      <c r="X48" s="1459">
        <f t="shared" si="6"/>
        <v>9156</v>
      </c>
      <c r="Y48" s="2019">
        <v>0.2</v>
      </c>
      <c r="Z48" s="2012">
        <v>1831.2000000000003</v>
      </c>
      <c r="AA48" s="2418">
        <v>2463.6242551458267</v>
      </c>
      <c r="AB48" s="2012">
        <f t="shared" si="7"/>
        <v>4294.824255145827</v>
      </c>
      <c r="AC48" s="2013"/>
      <c r="AD48" s="1910">
        <v>0</v>
      </c>
    </row>
    <row r="49" spans="1:30">
      <c r="C49" s="1597" t="s">
        <v>483</v>
      </c>
      <c r="D49" s="2771">
        <f>SUM(D50:D53)</f>
        <v>1000</v>
      </c>
      <c r="E49" s="1464">
        <f>SUM(E50:E53)</f>
        <v>1000</v>
      </c>
      <c r="F49" s="1462">
        <f>D49+E49</f>
        <v>2000</v>
      </c>
      <c r="H49" s="2420" t="s">
        <v>1502</v>
      </c>
      <c r="I49" s="2416">
        <v>129.5</v>
      </c>
      <c r="J49" s="1470" t="s">
        <v>580</v>
      </c>
      <c r="K49" s="1460" t="s">
        <v>845</v>
      </c>
      <c r="L49" s="1467">
        <v>1144</v>
      </c>
      <c r="M49" s="1467">
        <v>1144</v>
      </c>
      <c r="N49" s="1460">
        <v>18</v>
      </c>
      <c r="O49" s="1463" t="s">
        <v>1008</v>
      </c>
      <c r="P49" s="3231">
        <v>5</v>
      </c>
      <c r="Q49" s="2422">
        <v>0</v>
      </c>
      <c r="R49" s="1469">
        <f t="shared" si="2"/>
        <v>5</v>
      </c>
      <c r="S49" s="2991">
        <v>647.5</v>
      </c>
      <c r="T49" s="1469">
        <f t="shared" si="4"/>
        <v>0</v>
      </c>
      <c r="U49" s="1469">
        <f t="shared" si="3"/>
        <v>647.5</v>
      </c>
      <c r="V49" s="2993">
        <v>5720</v>
      </c>
      <c r="W49" s="1459">
        <f t="shared" si="5"/>
        <v>0</v>
      </c>
      <c r="X49" s="1459">
        <f t="shared" si="6"/>
        <v>5720</v>
      </c>
      <c r="Y49" s="2019">
        <v>0.2</v>
      </c>
      <c r="Z49" s="2012">
        <v>1144</v>
      </c>
      <c r="AA49" s="2418">
        <v>1539.0924791867769</v>
      </c>
      <c r="AB49" s="2012">
        <f t="shared" si="7"/>
        <v>2683.0924791867769</v>
      </c>
      <c r="AC49" s="2013"/>
      <c r="AD49" s="1910">
        <v>0</v>
      </c>
    </row>
    <row r="50" spans="1:30">
      <c r="C50" s="1667"/>
      <c r="D50" s="2778">
        <v>1000</v>
      </c>
      <c r="E50" s="1520">
        <v>1000</v>
      </c>
      <c r="F50" s="1438">
        <f t="shared" si="10"/>
        <v>2000</v>
      </c>
      <c r="H50" s="2420" t="s">
        <v>1503</v>
      </c>
      <c r="I50" s="2416">
        <v>1.64</v>
      </c>
      <c r="J50" s="1470" t="s">
        <v>580</v>
      </c>
      <c r="K50" s="1460" t="s">
        <v>845</v>
      </c>
      <c r="L50" s="1467">
        <v>2</v>
      </c>
      <c r="M50" s="1467">
        <v>2</v>
      </c>
      <c r="N50" s="1460">
        <v>10</v>
      </c>
      <c r="O50" s="1463" t="s">
        <v>846</v>
      </c>
      <c r="P50" s="3231">
        <v>50</v>
      </c>
      <c r="Q50" s="2422">
        <v>10</v>
      </c>
      <c r="R50" s="1469">
        <f t="shared" si="2"/>
        <v>60</v>
      </c>
      <c r="S50" s="2991">
        <v>82</v>
      </c>
      <c r="T50" s="1469">
        <f t="shared" si="4"/>
        <v>16.399999999999999</v>
      </c>
      <c r="U50" s="1469">
        <f t="shared" si="3"/>
        <v>98.4</v>
      </c>
      <c r="V50" s="2993">
        <v>100</v>
      </c>
      <c r="W50" s="1459">
        <f t="shared" si="5"/>
        <v>20</v>
      </c>
      <c r="X50" s="1459">
        <f t="shared" si="6"/>
        <v>120</v>
      </c>
      <c r="Y50" s="2019">
        <v>0.2</v>
      </c>
      <c r="Z50" s="2012">
        <v>24</v>
      </c>
      <c r="AA50" s="2418">
        <v>32.288653409512804</v>
      </c>
      <c r="AB50" s="2012">
        <f t="shared" si="7"/>
        <v>56.288653409512804</v>
      </c>
      <c r="AC50" s="2013"/>
      <c r="AD50" s="1910">
        <v>3.97</v>
      </c>
    </row>
    <row r="51" spans="1:30">
      <c r="C51" s="1423"/>
      <c r="D51" s="2778"/>
      <c r="E51" s="1520"/>
      <c r="F51" s="1438">
        <f t="shared" si="10"/>
        <v>0</v>
      </c>
      <c r="H51" s="2420" t="s">
        <v>1504</v>
      </c>
      <c r="I51" s="2416">
        <v>2</v>
      </c>
      <c r="J51" s="1470" t="s">
        <v>580</v>
      </c>
      <c r="K51" s="1460" t="s">
        <v>845</v>
      </c>
      <c r="L51" s="1467">
        <v>2</v>
      </c>
      <c r="M51" s="1467">
        <v>2</v>
      </c>
      <c r="N51" s="1460">
        <v>10</v>
      </c>
      <c r="O51" s="1463" t="s">
        <v>846</v>
      </c>
      <c r="P51" s="3231">
        <v>50</v>
      </c>
      <c r="Q51" s="2422">
        <v>10</v>
      </c>
      <c r="R51" s="1469">
        <f t="shared" si="2"/>
        <v>60</v>
      </c>
      <c r="S51" s="2991">
        <v>100</v>
      </c>
      <c r="T51" s="1469">
        <f t="shared" si="4"/>
        <v>20</v>
      </c>
      <c r="U51" s="1469">
        <f t="shared" si="3"/>
        <v>120</v>
      </c>
      <c r="V51" s="2993">
        <v>100</v>
      </c>
      <c r="W51" s="1459">
        <f t="shared" si="5"/>
        <v>20</v>
      </c>
      <c r="X51" s="1459">
        <f t="shared" si="6"/>
        <v>120</v>
      </c>
      <c r="Y51" s="2019">
        <v>0.2</v>
      </c>
      <c r="Z51" s="2012">
        <v>24</v>
      </c>
      <c r="AA51" s="2418">
        <v>32.288653409512804</v>
      </c>
      <c r="AB51" s="2012">
        <f t="shared" si="7"/>
        <v>56.288653409512804</v>
      </c>
      <c r="AC51" s="2013"/>
      <c r="AD51" s="1910">
        <v>4.8499999999999996</v>
      </c>
    </row>
    <row r="52" spans="1:30">
      <c r="C52" s="1423"/>
      <c r="D52" s="2778"/>
      <c r="E52" s="1520"/>
      <c r="F52" s="1438">
        <f t="shared" si="10"/>
        <v>0</v>
      </c>
      <c r="H52" s="2420" t="s">
        <v>1505</v>
      </c>
      <c r="I52" s="2416">
        <v>1.64</v>
      </c>
      <c r="J52" s="1470" t="s">
        <v>580</v>
      </c>
      <c r="K52" s="1460" t="s">
        <v>845</v>
      </c>
      <c r="L52" s="1467">
        <v>2</v>
      </c>
      <c r="M52" s="1467">
        <v>2</v>
      </c>
      <c r="N52" s="1460">
        <v>10</v>
      </c>
      <c r="O52" s="1463" t="s">
        <v>846</v>
      </c>
      <c r="P52" s="3231">
        <v>50</v>
      </c>
      <c r="Q52" s="2422">
        <v>10</v>
      </c>
      <c r="R52" s="1469">
        <f t="shared" si="2"/>
        <v>60</v>
      </c>
      <c r="S52" s="2991">
        <v>82</v>
      </c>
      <c r="T52" s="1469">
        <f t="shared" si="4"/>
        <v>16.399999999999999</v>
      </c>
      <c r="U52" s="1469">
        <f t="shared" si="3"/>
        <v>98.4</v>
      </c>
      <c r="V52" s="2993">
        <v>100</v>
      </c>
      <c r="W52" s="1459">
        <f t="shared" si="5"/>
        <v>20</v>
      </c>
      <c r="X52" s="1459">
        <f t="shared" si="6"/>
        <v>120</v>
      </c>
      <c r="Y52" s="2019">
        <v>0.2</v>
      </c>
      <c r="Z52" s="2012">
        <v>24</v>
      </c>
      <c r="AA52" s="2418">
        <v>32.288653409512804</v>
      </c>
      <c r="AB52" s="2012">
        <f t="shared" si="7"/>
        <v>56.288653409512804</v>
      </c>
      <c r="AC52" s="2013"/>
      <c r="AD52" s="1910">
        <v>3.97</v>
      </c>
    </row>
    <row r="53" spans="1:30">
      <c r="C53" s="1423"/>
      <c r="D53" s="2778"/>
      <c r="E53" s="1520"/>
      <c r="F53" s="1438">
        <f t="shared" si="10"/>
        <v>0</v>
      </c>
      <c r="H53" s="2420" t="s">
        <v>984</v>
      </c>
      <c r="I53" s="2416">
        <v>0.09</v>
      </c>
      <c r="J53" s="1470" t="s">
        <v>580</v>
      </c>
      <c r="K53" s="1460" t="s">
        <v>992</v>
      </c>
      <c r="L53" s="1467">
        <v>0.95</v>
      </c>
      <c r="M53" s="1467">
        <v>0.95</v>
      </c>
      <c r="N53" s="1460">
        <v>30</v>
      </c>
      <c r="O53" s="1463" t="s">
        <v>1008</v>
      </c>
      <c r="P53" s="3231">
        <v>3400</v>
      </c>
      <c r="Q53" s="2422">
        <v>0</v>
      </c>
      <c r="R53" s="1469">
        <f t="shared" si="2"/>
        <v>3400</v>
      </c>
      <c r="S53" s="2991">
        <v>306</v>
      </c>
      <c r="T53" s="1469">
        <f t="shared" si="4"/>
        <v>0</v>
      </c>
      <c r="U53" s="1469">
        <f t="shared" si="3"/>
        <v>306</v>
      </c>
      <c r="V53" s="2993">
        <v>3230</v>
      </c>
      <c r="W53" s="1459">
        <f t="shared" si="5"/>
        <v>0</v>
      </c>
      <c r="X53" s="1459">
        <f t="shared" si="6"/>
        <v>3230</v>
      </c>
      <c r="Y53" s="2019">
        <v>0.2</v>
      </c>
      <c r="Z53" s="2012">
        <v>646</v>
      </c>
      <c r="AA53" s="2418">
        <v>869.10292093938631</v>
      </c>
      <c r="AB53" s="2012">
        <f t="shared" si="7"/>
        <v>1515.1029209393864</v>
      </c>
      <c r="AC53" s="2013"/>
      <c r="AD53" s="1910">
        <v>3.1919350594928661E-2</v>
      </c>
    </row>
    <row r="54" spans="1:30">
      <c r="C54" s="1488"/>
      <c r="D54" s="2779"/>
      <c r="E54" s="1490"/>
      <c r="F54" s="1493"/>
      <c r="H54" s="2420" t="s">
        <v>985</v>
      </c>
      <c r="I54" s="2416">
        <v>0.09</v>
      </c>
      <c r="J54" s="1470" t="s">
        <v>580</v>
      </c>
      <c r="K54" s="1460" t="s">
        <v>992</v>
      </c>
      <c r="L54" s="1467">
        <v>0.95</v>
      </c>
      <c r="M54" s="1467">
        <v>0.95</v>
      </c>
      <c r="N54" s="1460">
        <v>30</v>
      </c>
      <c r="O54" s="1463" t="s">
        <v>1008</v>
      </c>
      <c r="P54" s="3231">
        <v>750</v>
      </c>
      <c r="Q54" s="2422">
        <v>325</v>
      </c>
      <c r="R54" s="1469">
        <f t="shared" si="2"/>
        <v>1075</v>
      </c>
      <c r="S54" s="2991">
        <v>67.5</v>
      </c>
      <c r="T54" s="1469">
        <f t="shared" si="4"/>
        <v>29.25</v>
      </c>
      <c r="U54" s="1469">
        <f t="shared" si="3"/>
        <v>96.75</v>
      </c>
      <c r="V54" s="2993">
        <v>712.5</v>
      </c>
      <c r="W54" s="1459">
        <f t="shared" si="5"/>
        <v>308.75</v>
      </c>
      <c r="X54" s="1459">
        <f t="shared" si="6"/>
        <v>1021.25</v>
      </c>
      <c r="Y54" s="2019">
        <v>0.2</v>
      </c>
      <c r="Z54" s="2012">
        <v>204.25</v>
      </c>
      <c r="AA54" s="2418">
        <v>274.78989412054125</v>
      </c>
      <c r="AB54" s="2012">
        <f t="shared" si="7"/>
        <v>479.03989412054125</v>
      </c>
      <c r="AC54" s="2013"/>
      <c r="AD54" s="1910">
        <v>0</v>
      </c>
    </row>
    <row r="55" spans="1:30">
      <c r="C55" s="1451" t="s">
        <v>47</v>
      </c>
      <c r="D55" s="2771">
        <f>SUM(D56:D59)</f>
        <v>1000</v>
      </c>
      <c r="E55" s="1464">
        <f>SUM(E56:E59)</f>
        <v>1000</v>
      </c>
      <c r="F55" s="1462">
        <f>D55+E55</f>
        <v>2000</v>
      </c>
      <c r="H55" s="2420" t="s">
        <v>986</v>
      </c>
      <c r="I55" s="2416">
        <v>0.02</v>
      </c>
      <c r="J55" s="1470" t="s">
        <v>580</v>
      </c>
      <c r="K55" s="1460" t="s">
        <v>992</v>
      </c>
      <c r="L55" s="1467">
        <v>0.7</v>
      </c>
      <c r="M55" s="1467">
        <v>0.7</v>
      </c>
      <c r="N55" s="1460">
        <v>30</v>
      </c>
      <c r="O55" s="1463" t="s">
        <v>1008</v>
      </c>
      <c r="P55" s="3231">
        <v>5000</v>
      </c>
      <c r="Q55" s="2422">
        <v>6244</v>
      </c>
      <c r="R55" s="1469">
        <f t="shared" si="2"/>
        <v>11244</v>
      </c>
      <c r="S55" s="2991">
        <v>100</v>
      </c>
      <c r="T55" s="1469">
        <f t="shared" si="4"/>
        <v>124.88000000000001</v>
      </c>
      <c r="U55" s="1469">
        <f t="shared" si="3"/>
        <v>224.88</v>
      </c>
      <c r="V55" s="2993">
        <v>3500</v>
      </c>
      <c r="W55" s="1459">
        <f t="shared" si="5"/>
        <v>4370.7999999999993</v>
      </c>
      <c r="X55" s="1459">
        <f t="shared" si="6"/>
        <v>7870.7999999999993</v>
      </c>
      <c r="Y55" s="2019">
        <v>0.2</v>
      </c>
      <c r="Z55" s="2012">
        <v>1574.16</v>
      </c>
      <c r="AA55" s="2418">
        <v>2117.8127771299446</v>
      </c>
      <c r="AB55" s="2012">
        <f t="shared" si="7"/>
        <v>3691.9727771299449</v>
      </c>
      <c r="AC55" s="2013"/>
      <c r="AD55" s="1910">
        <v>7.4153226467526482E-3</v>
      </c>
    </row>
    <row r="56" spans="1:30">
      <c r="C56" s="1667"/>
      <c r="D56" s="2778">
        <v>1000</v>
      </c>
      <c r="E56" s="1520">
        <v>1000</v>
      </c>
      <c r="F56" s="1438">
        <f t="shared" ref="F56:F71" si="11">SUM(D56:E56)</f>
        <v>2000</v>
      </c>
      <c r="H56" s="2420" t="s">
        <v>987</v>
      </c>
      <c r="I56" s="2416">
        <v>0.03</v>
      </c>
      <c r="J56" s="1470" t="s">
        <v>580</v>
      </c>
      <c r="K56" s="1460" t="s">
        <v>992</v>
      </c>
      <c r="L56" s="1467">
        <v>0.7</v>
      </c>
      <c r="M56" s="1467">
        <v>0.7</v>
      </c>
      <c r="N56" s="1460">
        <v>30</v>
      </c>
      <c r="O56" s="1463" t="s">
        <v>1008</v>
      </c>
      <c r="P56" s="3231">
        <v>6000</v>
      </c>
      <c r="Q56" s="2422">
        <v>1000</v>
      </c>
      <c r="R56" s="1469">
        <f t="shared" si="2"/>
        <v>7000</v>
      </c>
      <c r="S56" s="2991">
        <v>180</v>
      </c>
      <c r="T56" s="1469">
        <f t="shared" ref="T56" si="12">I56*Q56</f>
        <v>30</v>
      </c>
      <c r="U56" s="1469">
        <f t="shared" si="3"/>
        <v>210</v>
      </c>
      <c r="V56" s="2993">
        <v>4200</v>
      </c>
      <c r="W56" s="1459">
        <f t="shared" si="5"/>
        <v>700</v>
      </c>
      <c r="X56" s="1459">
        <f t="shared" si="6"/>
        <v>4900</v>
      </c>
      <c r="Y56" s="2019">
        <v>0.2</v>
      </c>
      <c r="Z56" s="2012">
        <v>979.99999999999989</v>
      </c>
      <c r="AA56" s="2418">
        <v>1318.4533475551061</v>
      </c>
      <c r="AB56" s="2012">
        <f t="shared" si="7"/>
        <v>2298.4533475551061</v>
      </c>
      <c r="AC56" s="2013"/>
      <c r="AD56" s="1910">
        <v>0</v>
      </c>
    </row>
    <row r="57" spans="1:30">
      <c r="C57" s="1423"/>
      <c r="D57" s="2778"/>
      <c r="E57" s="1520"/>
      <c r="F57" s="1438">
        <f t="shared" si="11"/>
        <v>0</v>
      </c>
      <c r="H57" s="1460"/>
      <c r="I57" s="1466"/>
      <c r="J57" s="1470" t="s">
        <v>229</v>
      </c>
      <c r="K57" s="1460"/>
      <c r="L57" s="1467"/>
      <c r="M57" s="1467"/>
      <c r="N57" s="1460"/>
      <c r="O57" s="1463"/>
      <c r="P57" s="1466"/>
      <c r="Q57" s="1466"/>
      <c r="R57" s="1469" t="s">
        <v>229</v>
      </c>
      <c r="S57" s="2991" t="s">
        <v>229</v>
      </c>
      <c r="T57" s="1469" t="s">
        <v>229</v>
      </c>
      <c r="U57" s="1469"/>
      <c r="V57" s="2993" t="s">
        <v>229</v>
      </c>
      <c r="W57" s="1459" t="s">
        <v>229</v>
      </c>
      <c r="X57" s="1459" t="s">
        <v>229</v>
      </c>
      <c r="Y57" s="2019"/>
      <c r="Z57" s="2012" t="s">
        <v>229</v>
      </c>
      <c r="AA57" s="2012" t="s">
        <v>229</v>
      </c>
      <c r="AB57" s="2012"/>
      <c r="AC57" s="2013"/>
      <c r="AD57" s="1910"/>
    </row>
    <row r="58" spans="1:30">
      <c r="C58" s="1423"/>
      <c r="D58" s="2778"/>
      <c r="E58" s="1520"/>
      <c r="F58" s="1438">
        <f t="shared" si="11"/>
        <v>0</v>
      </c>
      <c r="H58" s="1460"/>
      <c r="I58" s="1466"/>
      <c r="J58" s="1470" t="s">
        <v>229</v>
      </c>
      <c r="K58" s="1460"/>
      <c r="L58" s="1467"/>
      <c r="M58" s="1467"/>
      <c r="N58" s="1460"/>
      <c r="O58" s="1463"/>
      <c r="P58" s="1466"/>
      <c r="Q58" s="1466"/>
      <c r="R58" s="1469" t="s">
        <v>229</v>
      </c>
      <c r="S58" s="2991" t="s">
        <v>229</v>
      </c>
      <c r="T58" s="1469" t="s">
        <v>229</v>
      </c>
      <c r="U58" s="1469" t="s">
        <v>229</v>
      </c>
      <c r="V58" s="2993" t="s">
        <v>229</v>
      </c>
      <c r="W58" s="1459" t="s">
        <v>229</v>
      </c>
      <c r="X58" s="1459" t="s">
        <v>229</v>
      </c>
      <c r="Y58" s="2019"/>
      <c r="Z58" s="2012" t="s">
        <v>229</v>
      </c>
      <c r="AA58" s="2012" t="s">
        <v>229</v>
      </c>
      <c r="AB58" s="2012"/>
      <c r="AC58" s="2013"/>
      <c r="AD58" s="1910"/>
    </row>
    <row r="59" spans="1:30">
      <c r="C59" s="1423"/>
      <c r="D59" s="2778"/>
      <c r="E59" s="1520"/>
      <c r="F59" s="1438">
        <f t="shared" si="11"/>
        <v>0</v>
      </c>
      <c r="H59" s="1460"/>
      <c r="I59" s="1466"/>
      <c r="J59" s="1470" t="s">
        <v>229</v>
      </c>
      <c r="K59" s="1460"/>
      <c r="L59" s="1467"/>
      <c r="M59" s="1467"/>
      <c r="N59" s="1460"/>
      <c r="O59" s="1463"/>
      <c r="P59" s="1466"/>
      <c r="Q59" s="1466"/>
      <c r="R59" s="1469" t="s">
        <v>229</v>
      </c>
      <c r="S59" s="2991" t="s">
        <v>229</v>
      </c>
      <c r="T59" s="1469" t="s">
        <v>229</v>
      </c>
      <c r="U59" s="1469" t="s">
        <v>229</v>
      </c>
      <c r="V59" s="1459" t="s">
        <v>229</v>
      </c>
      <c r="W59" s="1459" t="s">
        <v>229</v>
      </c>
      <c r="X59" s="1459" t="s">
        <v>229</v>
      </c>
      <c r="Y59" s="2019"/>
      <c r="Z59" s="2012" t="s">
        <v>229</v>
      </c>
      <c r="AA59" s="2012" t="s">
        <v>229</v>
      </c>
      <c r="AB59" s="2012"/>
      <c r="AC59" s="2013"/>
      <c r="AD59" s="1910"/>
    </row>
    <row r="60" spans="1:30">
      <c r="C60" s="1488"/>
      <c r="D60" s="2779"/>
      <c r="E60" s="1490"/>
      <c r="F60" s="1493"/>
      <c r="H60" s="1460"/>
      <c r="I60" s="1466"/>
      <c r="J60" s="1470" t="s">
        <v>229</v>
      </c>
      <c r="K60" s="1460"/>
      <c r="L60" s="1467"/>
      <c r="M60" s="1467"/>
      <c r="N60" s="1460"/>
      <c r="O60" s="1463"/>
      <c r="P60" s="1466"/>
      <c r="Q60" s="1466"/>
      <c r="R60" s="1469" t="s">
        <v>229</v>
      </c>
      <c r="S60" s="1469" t="s">
        <v>229</v>
      </c>
      <c r="T60" s="1469" t="s">
        <v>229</v>
      </c>
      <c r="U60" s="1469" t="s">
        <v>229</v>
      </c>
      <c r="V60" s="1459" t="s">
        <v>229</v>
      </c>
      <c r="W60" s="1459" t="s">
        <v>229</v>
      </c>
      <c r="X60" s="1459" t="s">
        <v>229</v>
      </c>
      <c r="Y60" s="2019"/>
      <c r="Z60" s="2012" t="s">
        <v>229</v>
      </c>
      <c r="AA60" s="2012" t="s">
        <v>229</v>
      </c>
      <c r="AB60" s="2012"/>
      <c r="AC60" s="2013"/>
      <c r="AD60" s="1910"/>
    </row>
    <row r="61" spans="1:30">
      <c r="C61" s="1451" t="s">
        <v>48</v>
      </c>
      <c r="D61" s="2771">
        <f>SUM(D62:D65)</f>
        <v>500</v>
      </c>
      <c r="E61" s="1464">
        <f>SUM(E62:E65)</f>
        <v>500</v>
      </c>
      <c r="F61" s="1462">
        <f>D61+E61</f>
        <v>1000</v>
      </c>
      <c r="H61" s="1460"/>
      <c r="I61" s="1466"/>
      <c r="J61" s="1470" t="s">
        <v>229</v>
      </c>
      <c r="K61" s="1460"/>
      <c r="L61" s="1467"/>
      <c r="M61" s="1467"/>
      <c r="N61" s="1460"/>
      <c r="O61" s="1463"/>
      <c r="P61" s="1466"/>
      <c r="Q61" s="1466"/>
      <c r="R61" s="1469" t="s">
        <v>229</v>
      </c>
      <c r="S61" s="1469" t="s">
        <v>229</v>
      </c>
      <c r="T61" s="1469" t="s">
        <v>229</v>
      </c>
      <c r="U61" s="1469" t="s">
        <v>229</v>
      </c>
      <c r="V61" s="1459" t="s">
        <v>229</v>
      </c>
      <c r="W61" s="1459" t="s">
        <v>229</v>
      </c>
      <c r="X61" s="1459" t="s">
        <v>229</v>
      </c>
      <c r="Y61" s="2019"/>
      <c r="Z61" s="2012" t="s">
        <v>229</v>
      </c>
      <c r="AA61" s="2012" t="s">
        <v>229</v>
      </c>
      <c r="AB61" s="2012"/>
      <c r="AC61" s="2013"/>
      <c r="AD61" s="1910"/>
    </row>
    <row r="62" spans="1:30">
      <c r="C62" s="1423"/>
      <c r="D62" s="2778">
        <v>500</v>
      </c>
      <c r="E62" s="1504">
        <v>500</v>
      </c>
      <c r="F62" s="1438">
        <f t="shared" si="11"/>
        <v>1000</v>
      </c>
      <c r="H62" s="1460"/>
      <c r="I62" s="1466"/>
      <c r="J62" s="1470" t="s">
        <v>229</v>
      </c>
      <c r="K62" s="1460"/>
      <c r="L62" s="1467"/>
      <c r="M62" s="1467"/>
      <c r="N62" s="1460"/>
      <c r="O62" s="1463"/>
      <c r="P62" s="1466"/>
      <c r="Q62" s="1466"/>
      <c r="R62" s="1469" t="s">
        <v>229</v>
      </c>
      <c r="S62" s="1469" t="s">
        <v>229</v>
      </c>
      <c r="T62" s="1469" t="s">
        <v>229</v>
      </c>
      <c r="U62" s="1469" t="s">
        <v>229</v>
      </c>
      <c r="V62" s="1459" t="s">
        <v>229</v>
      </c>
      <c r="W62" s="1459" t="s">
        <v>229</v>
      </c>
      <c r="X62" s="1459" t="s">
        <v>229</v>
      </c>
      <c r="Y62" s="2019"/>
      <c r="Z62" s="2012" t="s">
        <v>229</v>
      </c>
      <c r="AA62" s="2012" t="s">
        <v>229</v>
      </c>
      <c r="AB62" s="2012"/>
      <c r="AC62" s="2013"/>
      <c r="AD62" s="1910"/>
    </row>
    <row r="63" spans="1:30">
      <c r="C63" s="1423"/>
      <c r="D63" s="2778"/>
      <c r="E63" s="1504"/>
      <c r="F63" s="1438">
        <f t="shared" si="11"/>
        <v>0</v>
      </c>
      <c r="H63" s="1460"/>
      <c r="I63" s="1466"/>
      <c r="J63" s="1470" t="s">
        <v>229</v>
      </c>
      <c r="K63" s="1460"/>
      <c r="L63" s="1467"/>
      <c r="M63" s="1467"/>
      <c r="N63" s="1460"/>
      <c r="O63" s="1463"/>
      <c r="P63" s="1466"/>
      <c r="Q63" s="1466"/>
      <c r="R63" s="1469" t="s">
        <v>229</v>
      </c>
      <c r="S63" s="1469" t="s">
        <v>229</v>
      </c>
      <c r="T63" s="1469" t="s">
        <v>229</v>
      </c>
      <c r="U63" s="1469" t="s">
        <v>229</v>
      </c>
      <c r="V63" s="1459" t="s">
        <v>229</v>
      </c>
      <c r="W63" s="1459" t="s">
        <v>229</v>
      </c>
      <c r="X63" s="1459" t="s">
        <v>229</v>
      </c>
      <c r="Y63" s="2019"/>
      <c r="Z63" s="2012" t="s">
        <v>229</v>
      </c>
      <c r="AA63" s="2012" t="s">
        <v>229</v>
      </c>
      <c r="AB63" s="2012"/>
      <c r="AC63" s="2013"/>
      <c r="AD63" s="1910"/>
    </row>
    <row r="64" spans="1:30" ht="25.5">
      <c r="A64" s="1401" t="s">
        <v>165</v>
      </c>
      <c r="C64" s="1423"/>
      <c r="D64" s="2778"/>
      <c r="E64" s="1504"/>
      <c r="F64" s="1438">
        <f t="shared" si="11"/>
        <v>0</v>
      </c>
      <c r="H64" s="1460"/>
      <c r="I64" s="1466"/>
      <c r="J64" s="1470" t="s">
        <v>229</v>
      </c>
      <c r="K64" s="1460"/>
      <c r="L64" s="1467"/>
      <c r="M64" s="1467"/>
      <c r="N64" s="1460"/>
      <c r="O64" s="1463"/>
      <c r="P64" s="1466"/>
      <c r="Q64" s="1466"/>
      <c r="R64" s="1469" t="s">
        <v>229</v>
      </c>
      <c r="S64" s="1469" t="s">
        <v>229</v>
      </c>
      <c r="T64" s="1469" t="s">
        <v>229</v>
      </c>
      <c r="U64" s="1469" t="s">
        <v>229</v>
      </c>
      <c r="V64" s="1459" t="s">
        <v>229</v>
      </c>
      <c r="W64" s="1459" t="s">
        <v>229</v>
      </c>
      <c r="X64" s="1459" t="s">
        <v>229</v>
      </c>
      <c r="Y64" s="2019"/>
      <c r="Z64" s="2012" t="s">
        <v>229</v>
      </c>
      <c r="AA64" s="2012" t="s">
        <v>229</v>
      </c>
      <c r="AB64" s="2012"/>
      <c r="AC64" s="2013"/>
      <c r="AD64" s="1910"/>
    </row>
    <row r="65" spans="1:30">
      <c r="A65" s="1357" t="s">
        <v>281</v>
      </c>
      <c r="C65" s="1423"/>
      <c r="D65" s="2778"/>
      <c r="E65" s="1504"/>
      <c r="F65" s="1438">
        <f t="shared" si="11"/>
        <v>0</v>
      </c>
      <c r="H65" s="1460"/>
      <c r="I65" s="1466"/>
      <c r="J65" s="1470" t="s">
        <v>229</v>
      </c>
      <c r="K65" s="1460"/>
      <c r="L65" s="1467"/>
      <c r="M65" s="1467"/>
      <c r="N65" s="1460"/>
      <c r="O65" s="1463"/>
      <c r="P65" s="1466"/>
      <c r="Q65" s="1466"/>
      <c r="R65" s="1469" t="s">
        <v>229</v>
      </c>
      <c r="S65" s="1469" t="s">
        <v>229</v>
      </c>
      <c r="T65" s="1469" t="s">
        <v>229</v>
      </c>
      <c r="U65" s="1469" t="s">
        <v>229</v>
      </c>
      <c r="V65" s="1459" t="s">
        <v>229</v>
      </c>
      <c r="W65" s="1459" t="s">
        <v>229</v>
      </c>
      <c r="X65" s="1459" t="s">
        <v>229</v>
      </c>
      <c r="Y65" s="2009"/>
      <c r="Z65" s="2008" t="s">
        <v>229</v>
      </c>
      <c r="AA65" s="2008" t="s">
        <v>229</v>
      </c>
      <c r="AB65" s="2008"/>
      <c r="AC65" s="2007"/>
      <c r="AD65" s="1910"/>
    </row>
    <row r="66" spans="1:30">
      <c r="A66" s="1400" t="s">
        <v>5</v>
      </c>
      <c r="C66" s="1488"/>
      <c r="D66" s="2779"/>
      <c r="E66" s="1490"/>
      <c r="F66" s="1493"/>
      <c r="Z66" s="2006"/>
      <c r="AA66" s="1784" t="s">
        <v>229</v>
      </c>
      <c r="AB66" s="1784" t="s">
        <v>229</v>
      </c>
      <c r="AC66" s="1784"/>
      <c r="AD66" s="3284"/>
    </row>
    <row r="67" spans="1:30">
      <c r="A67" s="1400">
        <v>18230661</v>
      </c>
      <c r="C67" s="1451" t="s">
        <v>49</v>
      </c>
      <c r="D67" s="2771">
        <f>SUM(D68:D71)</f>
        <v>500</v>
      </c>
      <c r="E67" s="1464">
        <f>SUM(E68:E71)</f>
        <v>500</v>
      </c>
      <c r="F67" s="1462">
        <f>D67+E67</f>
        <v>1000</v>
      </c>
      <c r="Z67" s="2006"/>
      <c r="AA67" s="1784" t="s">
        <v>229</v>
      </c>
      <c r="AB67" s="1784" t="s">
        <v>229</v>
      </c>
      <c r="AC67" s="1784"/>
      <c r="AD67" s="3284"/>
    </row>
    <row r="68" spans="1:30">
      <c r="A68" s="1400" t="s">
        <v>28</v>
      </c>
      <c r="C68" s="1423"/>
      <c r="D68" s="2778">
        <v>500</v>
      </c>
      <c r="E68" s="1520">
        <v>500</v>
      </c>
      <c r="F68" s="1438">
        <f t="shared" si="11"/>
        <v>1000</v>
      </c>
      <c r="Z68" s="2006"/>
      <c r="AA68" s="1784" t="s">
        <v>229</v>
      </c>
      <c r="AB68" s="1784" t="s">
        <v>229</v>
      </c>
      <c r="AC68" s="1784"/>
      <c r="AD68" s="3284"/>
    </row>
    <row r="69" spans="1:30">
      <c r="C69" s="1423"/>
      <c r="D69" s="2778"/>
      <c r="E69" s="1520"/>
      <c r="F69" s="1438">
        <f t="shared" si="11"/>
        <v>0</v>
      </c>
      <c r="Z69" s="2006"/>
      <c r="AA69" s="1784" t="s">
        <v>229</v>
      </c>
      <c r="AB69" s="1784" t="s">
        <v>229</v>
      </c>
      <c r="AC69" s="1784"/>
      <c r="AD69" s="3284"/>
    </row>
    <row r="70" spans="1:30">
      <c r="C70" s="1423"/>
      <c r="D70" s="2778"/>
      <c r="E70" s="1520"/>
      <c r="F70" s="1437">
        <f t="shared" si="11"/>
        <v>0</v>
      </c>
      <c r="Z70" s="2006"/>
      <c r="AA70" s="1784" t="s">
        <v>229</v>
      </c>
      <c r="AB70" s="1784" t="s">
        <v>229</v>
      </c>
      <c r="AC70" s="1784"/>
      <c r="AD70" s="3284"/>
    </row>
    <row r="71" spans="1:30">
      <c r="C71" s="1423"/>
      <c r="D71" s="2778"/>
      <c r="E71" s="1520"/>
      <c r="F71" s="1438">
        <f t="shared" si="11"/>
        <v>0</v>
      </c>
      <c r="Z71" s="2006"/>
      <c r="AA71" s="1784" t="s">
        <v>229</v>
      </c>
      <c r="AB71" s="1784" t="s">
        <v>229</v>
      </c>
      <c r="AC71" s="1784"/>
      <c r="AD71" s="3284"/>
    </row>
    <row r="72" spans="1:30">
      <c r="C72" s="1488"/>
      <c r="D72" s="2779"/>
      <c r="E72" s="1490"/>
      <c r="F72" s="1493"/>
      <c r="Z72" s="2006"/>
      <c r="AA72" s="1784" t="s">
        <v>229</v>
      </c>
      <c r="AB72" s="1784" t="s">
        <v>229</v>
      </c>
      <c r="AC72" s="1784"/>
      <c r="AD72" s="3284"/>
    </row>
    <row r="73" spans="1:30">
      <c r="C73" s="1451" t="s">
        <v>50</v>
      </c>
      <c r="D73" s="2771">
        <f>V15</f>
        <v>199252.8</v>
      </c>
      <c r="E73" s="1464">
        <f>W15</f>
        <v>118593.2</v>
      </c>
      <c r="F73" s="1462">
        <f>D73+E73</f>
        <v>317846</v>
      </c>
      <c r="Z73" s="2006"/>
      <c r="AA73" s="1784" t="s">
        <v>229</v>
      </c>
      <c r="AB73" s="1784" t="s">
        <v>229</v>
      </c>
      <c r="AC73" s="1784"/>
      <c r="AD73" s="3284"/>
    </row>
    <row r="74" spans="1:30">
      <c r="C74" s="1500" t="s">
        <v>297</v>
      </c>
      <c r="D74" s="2938">
        <f>D73/D12</f>
        <v>0.70288476131941169</v>
      </c>
      <c r="E74" s="1986">
        <f>E73/E12</f>
        <v>0.64593109859313336</v>
      </c>
      <c r="F74" s="1499"/>
      <c r="Z74" s="2006"/>
      <c r="AA74" s="1784" t="s">
        <v>229</v>
      </c>
      <c r="AB74" s="1784" t="s">
        <v>229</v>
      </c>
      <c r="AC74" s="1784"/>
      <c r="AD74" s="3284"/>
    </row>
    <row r="75" spans="1:30">
      <c r="C75" s="1501"/>
      <c r="D75" s="2782"/>
      <c r="E75" s="1497"/>
      <c r="F75" s="1498"/>
      <c r="Z75" s="2006"/>
      <c r="AA75" s="1784" t="s">
        <v>229</v>
      </c>
      <c r="AB75" s="1784" t="s">
        <v>229</v>
      </c>
      <c r="AC75" s="1784"/>
      <c r="AD75" s="3284"/>
    </row>
    <row r="76" spans="1:30">
      <c r="C76" s="1494" t="s">
        <v>51</v>
      </c>
      <c r="D76" s="2778">
        <v>0</v>
      </c>
      <c r="E76" s="1503">
        <v>0</v>
      </c>
      <c r="F76" s="1491">
        <v>0</v>
      </c>
      <c r="Z76" s="2006"/>
      <c r="AA76" s="1784" t="s">
        <v>229</v>
      </c>
      <c r="AB76" s="1784" t="s">
        <v>229</v>
      </c>
      <c r="AC76" s="1784"/>
      <c r="AD76" s="3284"/>
    </row>
    <row r="77" spans="1:30">
      <c r="D77" s="2767"/>
      <c r="Z77" s="2006"/>
      <c r="AA77" s="1784" t="s">
        <v>229</v>
      </c>
      <c r="AB77" s="1784" t="s">
        <v>229</v>
      </c>
      <c r="AC77" s="1784"/>
      <c r="AD77" s="3284"/>
    </row>
    <row r="78" spans="1:30">
      <c r="D78" s="2767"/>
      <c r="Z78" s="2006"/>
      <c r="AA78" s="1784" t="s">
        <v>229</v>
      </c>
      <c r="AB78" s="1784" t="s">
        <v>229</v>
      </c>
      <c r="AC78" s="1784"/>
      <c r="AD78" s="3284"/>
    </row>
    <row r="79" spans="1:30">
      <c r="D79" s="2767"/>
      <c r="Z79" s="2006"/>
      <c r="AA79" s="1784" t="s">
        <v>229</v>
      </c>
      <c r="AB79" s="1784" t="s">
        <v>229</v>
      </c>
      <c r="AC79" s="1784"/>
      <c r="AD79" s="3284"/>
    </row>
    <row r="80" spans="1:30">
      <c r="D80" s="2767"/>
      <c r="Z80" s="2006"/>
      <c r="AA80" s="1784" t="s">
        <v>229</v>
      </c>
      <c r="AB80" s="1784" t="s">
        <v>229</v>
      </c>
      <c r="AC80" s="1784"/>
      <c r="AD80" s="3284"/>
    </row>
    <row r="81" spans="4:30">
      <c r="D81" s="2767"/>
      <c r="Z81" s="2006"/>
      <c r="AA81" s="1784" t="s">
        <v>229</v>
      </c>
      <c r="AB81" s="1784" t="s">
        <v>229</v>
      </c>
      <c r="AC81" s="1784"/>
      <c r="AD81" s="3284"/>
    </row>
    <row r="82" spans="4:30">
      <c r="D82" s="2767"/>
      <c r="Z82" s="2006"/>
      <c r="AA82" s="1784" t="s">
        <v>229</v>
      </c>
      <c r="AB82" s="1784" t="s">
        <v>229</v>
      </c>
      <c r="AC82" s="1784"/>
      <c r="AD82" s="3284"/>
    </row>
    <row r="83" spans="4:30">
      <c r="D83" s="2767"/>
      <c r="Z83" s="2006"/>
      <c r="AA83" s="1784" t="s">
        <v>229</v>
      </c>
      <c r="AB83" s="1784" t="s">
        <v>229</v>
      </c>
      <c r="AC83" s="1784"/>
      <c r="AD83" s="3284"/>
    </row>
    <row r="84" spans="4:30">
      <c r="D84" s="2767"/>
      <c r="Z84" s="2006"/>
      <c r="AA84" s="1784" t="s">
        <v>229</v>
      </c>
      <c r="AB84" s="1784" t="s">
        <v>229</v>
      </c>
      <c r="AC84" s="1784"/>
      <c r="AD84" s="3284"/>
    </row>
    <row r="85" spans="4:30">
      <c r="D85" s="2767"/>
      <c r="Z85" s="2006"/>
      <c r="AA85" s="1784" t="s">
        <v>229</v>
      </c>
      <c r="AB85" s="1784" t="s">
        <v>229</v>
      </c>
      <c r="AC85" s="1784"/>
      <c r="AD85" s="3284"/>
    </row>
    <row r="86" spans="4:30">
      <c r="D86" s="2767"/>
      <c r="Z86" s="2006"/>
      <c r="AA86" s="1784" t="s">
        <v>229</v>
      </c>
      <c r="AB86" s="1784" t="s">
        <v>229</v>
      </c>
      <c r="AC86" s="1784"/>
      <c r="AD86" s="3284"/>
    </row>
    <row r="87" spans="4:30">
      <c r="D87" s="2767"/>
      <c r="Z87" s="2006"/>
      <c r="AA87" s="1784" t="s">
        <v>229</v>
      </c>
      <c r="AB87" s="1784" t="s">
        <v>229</v>
      </c>
      <c r="AC87" s="1784"/>
      <c r="AD87" s="3284"/>
    </row>
    <row r="88" spans="4:30">
      <c r="D88" s="2767"/>
      <c r="Z88" s="2006"/>
      <c r="AA88" s="1784" t="s">
        <v>229</v>
      </c>
      <c r="AB88" s="1784" t="s">
        <v>229</v>
      </c>
      <c r="AC88" s="1784"/>
      <c r="AD88" s="3284"/>
    </row>
    <row r="89" spans="4:30">
      <c r="D89" s="2767"/>
      <c r="Z89" s="2006"/>
      <c r="AA89" s="1784" t="s">
        <v>229</v>
      </c>
      <c r="AB89" s="1784" t="s">
        <v>229</v>
      </c>
      <c r="AC89" s="1784"/>
      <c r="AD89" s="3284"/>
    </row>
    <row r="90" spans="4:30">
      <c r="D90" s="2767"/>
      <c r="Z90" s="2006"/>
      <c r="AA90" s="1784" t="s">
        <v>229</v>
      </c>
      <c r="AB90" s="1784" t="s">
        <v>229</v>
      </c>
      <c r="AC90" s="1784"/>
      <c r="AD90" s="3284"/>
    </row>
    <row r="91" spans="4:30">
      <c r="D91" s="2767"/>
      <c r="Z91" s="2006"/>
      <c r="AA91" s="1784" t="s">
        <v>229</v>
      </c>
      <c r="AB91" s="1784" t="s">
        <v>229</v>
      </c>
      <c r="AC91" s="1784"/>
      <c r="AD91" s="3284"/>
    </row>
    <row r="92" spans="4:30">
      <c r="D92" s="2767"/>
      <c r="Z92" s="2006"/>
      <c r="AA92" s="1784" t="s">
        <v>229</v>
      </c>
      <c r="AB92" s="1784" t="s">
        <v>229</v>
      </c>
      <c r="AC92" s="1784"/>
      <c r="AD92" s="3284"/>
    </row>
    <row r="93" spans="4:30">
      <c r="D93" s="2767"/>
      <c r="Z93" s="2006"/>
      <c r="AA93" s="1784" t="s">
        <v>229</v>
      </c>
      <c r="AB93" s="1784" t="s">
        <v>229</v>
      </c>
      <c r="AC93" s="1784"/>
      <c r="AD93" s="3284"/>
    </row>
    <row r="94" spans="4:30">
      <c r="Z94" s="2006"/>
      <c r="AA94" s="1784" t="s">
        <v>229</v>
      </c>
      <c r="AB94" s="1784" t="s">
        <v>229</v>
      </c>
      <c r="AC94" s="1784"/>
      <c r="AD94" s="3284"/>
    </row>
    <row r="95" spans="4:30">
      <c r="Z95" s="2006"/>
      <c r="AA95" s="1784" t="s">
        <v>229</v>
      </c>
      <c r="AB95" s="1784" t="s">
        <v>229</v>
      </c>
      <c r="AC95" s="1784"/>
      <c r="AD95" s="3284"/>
    </row>
    <row r="96" spans="4:30">
      <c r="Z96" s="2006"/>
      <c r="AA96" s="1784" t="s">
        <v>229</v>
      </c>
      <c r="AB96" s="1784" t="s">
        <v>229</v>
      </c>
      <c r="AC96" s="1784"/>
      <c r="AD96" s="3284"/>
    </row>
    <row r="97" spans="26:30">
      <c r="Z97" s="2006"/>
      <c r="AA97" s="1784" t="s">
        <v>229</v>
      </c>
      <c r="AB97" s="1784" t="s">
        <v>229</v>
      </c>
      <c r="AC97" s="1784"/>
      <c r="AD97" s="3284"/>
    </row>
    <row r="98" spans="26:30">
      <c r="Z98" s="2006"/>
      <c r="AA98" s="1784" t="s">
        <v>229</v>
      </c>
      <c r="AB98" s="1784" t="s">
        <v>229</v>
      </c>
      <c r="AC98" s="1784"/>
      <c r="AD98" s="3284"/>
    </row>
    <row r="99" spans="26:30">
      <c r="Z99" s="2006"/>
      <c r="AA99" s="1784" t="s">
        <v>229</v>
      </c>
      <c r="AB99" s="1784" t="s">
        <v>229</v>
      </c>
      <c r="AC99" s="1784"/>
      <c r="AD99" s="3284"/>
    </row>
    <row r="100" spans="26:30">
      <c r="Z100" s="2006"/>
      <c r="AA100" s="1784" t="s">
        <v>229</v>
      </c>
      <c r="AB100" s="1784" t="s">
        <v>229</v>
      </c>
      <c r="AC100" s="1784"/>
      <c r="AD100" s="3284"/>
    </row>
    <row r="101" spans="26:30">
      <c r="Z101" s="2006"/>
      <c r="AA101" s="1784" t="s">
        <v>229</v>
      </c>
      <c r="AB101" s="1784" t="s">
        <v>229</v>
      </c>
      <c r="AC101" s="1784"/>
      <c r="AD101" s="3284"/>
    </row>
    <row r="102" spans="26:30">
      <c r="Z102" s="2006"/>
      <c r="AA102" s="1784" t="s">
        <v>229</v>
      </c>
      <c r="AB102" s="1784" t="s">
        <v>229</v>
      </c>
      <c r="AC102" s="1784"/>
      <c r="AD102" s="3284"/>
    </row>
    <row r="103" spans="26:30">
      <c r="Z103" s="2006"/>
      <c r="AA103" s="1784" t="s">
        <v>229</v>
      </c>
      <c r="AB103" s="1784" t="s">
        <v>229</v>
      </c>
      <c r="AC103" s="1784"/>
      <c r="AD103" s="3284"/>
    </row>
    <row r="104" spans="26:30">
      <c r="Z104" s="2006"/>
      <c r="AA104" s="1784" t="s">
        <v>229</v>
      </c>
      <c r="AB104" s="1784" t="s">
        <v>229</v>
      </c>
      <c r="AC104" s="1784"/>
      <c r="AD104" s="3284"/>
    </row>
    <row r="105" spans="26:30">
      <c r="Z105" s="2006"/>
      <c r="AA105" s="1784" t="s">
        <v>229</v>
      </c>
      <c r="AB105" s="1784" t="s">
        <v>229</v>
      </c>
      <c r="AC105" s="1784"/>
      <c r="AD105" s="3284"/>
    </row>
    <row r="106" spans="26:30">
      <c r="Z106" s="2006"/>
      <c r="AA106" s="1784" t="s">
        <v>229</v>
      </c>
      <c r="AB106" s="1784" t="s">
        <v>229</v>
      </c>
      <c r="AC106" s="1784"/>
      <c r="AD106" s="3284"/>
    </row>
    <row r="107" spans="26:30">
      <c r="Z107" s="2006"/>
      <c r="AA107" s="1784" t="s">
        <v>229</v>
      </c>
      <c r="AB107" s="1784" t="s">
        <v>229</v>
      </c>
      <c r="AC107" s="1784"/>
      <c r="AD107" s="3284"/>
    </row>
    <row r="108" spans="26:30">
      <c r="Z108" s="2006"/>
      <c r="AA108" s="1784" t="s">
        <v>229</v>
      </c>
      <c r="AB108" s="1784" t="s">
        <v>229</v>
      </c>
      <c r="AC108" s="1784"/>
      <c r="AD108" s="3284"/>
    </row>
    <row r="109" spans="26:30">
      <c r="Z109" s="2006"/>
      <c r="AA109" s="1784" t="s">
        <v>229</v>
      </c>
      <c r="AB109" s="1784" t="s">
        <v>229</v>
      </c>
      <c r="AC109" s="1784"/>
      <c r="AD109" s="3284"/>
    </row>
    <row r="110" spans="26:30">
      <c r="Z110" s="2006"/>
      <c r="AA110" s="1784" t="s">
        <v>229</v>
      </c>
      <c r="AB110" s="1784" t="s">
        <v>229</v>
      </c>
      <c r="AC110" s="1784"/>
      <c r="AD110" s="3284"/>
    </row>
    <row r="111" spans="26:30">
      <c r="Z111" s="2006"/>
      <c r="AA111" s="1784" t="s">
        <v>229</v>
      </c>
      <c r="AB111" s="1784" t="s">
        <v>229</v>
      </c>
      <c r="AC111" s="1784"/>
      <c r="AD111" s="3284"/>
    </row>
    <row r="112" spans="26:30">
      <c r="Z112" s="2006"/>
      <c r="AA112" s="1784" t="s">
        <v>229</v>
      </c>
      <c r="AB112" s="1784" t="s">
        <v>229</v>
      </c>
      <c r="AC112" s="1784"/>
      <c r="AD112" s="3284"/>
    </row>
    <row r="113" spans="26:30">
      <c r="Z113" s="2006"/>
      <c r="AA113" s="1784" t="s">
        <v>229</v>
      </c>
      <c r="AB113" s="1784" t="s">
        <v>229</v>
      </c>
      <c r="AC113" s="1784"/>
      <c r="AD113" s="3284"/>
    </row>
    <row r="114" spans="26:30">
      <c r="Z114" s="2006"/>
      <c r="AA114" s="1784" t="s">
        <v>229</v>
      </c>
      <c r="AB114" s="1784" t="s">
        <v>229</v>
      </c>
      <c r="AC114" s="1784"/>
      <c r="AD114" s="3284"/>
    </row>
    <row r="115" spans="26:30">
      <c r="Z115" s="2006"/>
      <c r="AA115" s="1784" t="s">
        <v>229</v>
      </c>
      <c r="AB115" s="1784" t="s">
        <v>229</v>
      </c>
      <c r="AC115" s="1784"/>
      <c r="AD115" s="3284"/>
    </row>
    <row r="116" spans="26:30">
      <c r="Z116" s="2006"/>
      <c r="AA116" s="1784" t="s">
        <v>229</v>
      </c>
      <c r="AB116" s="1784" t="s">
        <v>229</v>
      </c>
      <c r="AC116" s="1784"/>
      <c r="AD116" s="3284"/>
    </row>
    <row r="117" spans="26:30">
      <c r="Z117" s="2006"/>
      <c r="AA117" s="1784" t="s">
        <v>229</v>
      </c>
      <c r="AB117" s="1784" t="s">
        <v>229</v>
      </c>
      <c r="AC117" s="1784"/>
      <c r="AD117" s="3284"/>
    </row>
    <row r="118" spans="26:30">
      <c r="Z118" s="2006"/>
      <c r="AA118" s="1784" t="s">
        <v>229</v>
      </c>
      <c r="AB118" s="1784" t="s">
        <v>229</v>
      </c>
      <c r="AC118" s="1784"/>
      <c r="AD118" s="3284"/>
    </row>
    <row r="119" spans="26:30">
      <c r="Z119" s="2006"/>
      <c r="AA119" s="1784" t="s">
        <v>229</v>
      </c>
      <c r="AB119" s="1784" t="s">
        <v>229</v>
      </c>
      <c r="AC119" s="1784"/>
      <c r="AD119" s="3284"/>
    </row>
    <row r="120" spans="26:30">
      <c r="Z120" s="2006"/>
      <c r="AA120" s="1784" t="s">
        <v>229</v>
      </c>
      <c r="AB120" s="1784" t="s">
        <v>229</v>
      </c>
      <c r="AC120" s="1784"/>
      <c r="AD120" s="3284"/>
    </row>
    <row r="121" spans="26:30">
      <c r="Z121" s="2006"/>
      <c r="AA121" s="1784" t="s">
        <v>229</v>
      </c>
      <c r="AB121" s="1784" t="s">
        <v>229</v>
      </c>
      <c r="AC121" s="1784"/>
      <c r="AD121" s="3284"/>
    </row>
    <row r="122" spans="26:30">
      <c r="Z122" s="2006"/>
      <c r="AA122" s="1784" t="s">
        <v>229</v>
      </c>
      <c r="AB122" s="1784" t="s">
        <v>229</v>
      </c>
      <c r="AC122" s="1784"/>
      <c r="AD122" s="3284"/>
    </row>
    <row r="123" spans="26:30">
      <c r="Z123" s="2006"/>
      <c r="AA123" s="1784" t="s">
        <v>229</v>
      </c>
      <c r="AB123" s="1784" t="s">
        <v>229</v>
      </c>
      <c r="AC123" s="1784"/>
      <c r="AD123" s="3284"/>
    </row>
    <row r="124" spans="26:30">
      <c r="Z124" s="2006"/>
      <c r="AA124" s="1784" t="s">
        <v>229</v>
      </c>
      <c r="AB124" s="1784" t="s">
        <v>229</v>
      </c>
      <c r="AC124" s="1784"/>
      <c r="AD124" s="3284"/>
    </row>
    <row r="125" spans="26:30">
      <c r="Z125" s="2006"/>
      <c r="AA125" s="1784" t="s">
        <v>229</v>
      </c>
      <c r="AB125" s="1784" t="s">
        <v>229</v>
      </c>
      <c r="AC125" s="1784"/>
      <c r="AD125" s="3284"/>
    </row>
    <row r="126" spans="26:30">
      <c r="Z126" s="2006"/>
      <c r="AA126" s="1784" t="s">
        <v>229</v>
      </c>
      <c r="AB126" s="1784" t="s">
        <v>229</v>
      </c>
      <c r="AC126" s="1784"/>
      <c r="AD126" s="3284"/>
    </row>
    <row r="127" spans="26:30">
      <c r="Z127" s="2006"/>
      <c r="AA127" s="1784" t="s">
        <v>229</v>
      </c>
      <c r="AB127" s="1784" t="s">
        <v>229</v>
      </c>
      <c r="AC127" s="1784"/>
      <c r="AD127" s="3284"/>
    </row>
    <row r="128" spans="26:30">
      <c r="Z128" s="2006"/>
      <c r="AA128" s="1784" t="s">
        <v>229</v>
      </c>
      <c r="AB128" s="1784" t="s">
        <v>229</v>
      </c>
      <c r="AC128" s="1784"/>
      <c r="AD128" s="3284"/>
    </row>
    <row r="129" spans="26:30">
      <c r="Z129" s="2006"/>
      <c r="AA129" s="1784" t="s">
        <v>229</v>
      </c>
      <c r="AB129" s="1784" t="s">
        <v>229</v>
      </c>
      <c r="AC129" s="1784"/>
      <c r="AD129" s="3284"/>
    </row>
    <row r="130" spans="26:30">
      <c r="Z130" s="2006"/>
      <c r="AA130" s="1784" t="s">
        <v>229</v>
      </c>
      <c r="AB130" s="1784" t="s">
        <v>229</v>
      </c>
      <c r="AC130" s="1784"/>
      <c r="AD130" s="3284"/>
    </row>
    <row r="131" spans="26:30">
      <c r="Z131" s="2006"/>
      <c r="AA131" s="1784" t="s">
        <v>229</v>
      </c>
      <c r="AB131" s="1784" t="s">
        <v>229</v>
      </c>
      <c r="AC131" s="1784"/>
      <c r="AD131" s="3284"/>
    </row>
    <row r="132" spans="26:30">
      <c r="Z132" s="2006"/>
      <c r="AA132" s="1784" t="s">
        <v>229</v>
      </c>
      <c r="AB132" s="1784" t="s">
        <v>229</v>
      </c>
      <c r="AC132" s="1784"/>
      <c r="AD132" s="3284"/>
    </row>
    <row r="133" spans="26:30">
      <c r="Z133" s="2006"/>
      <c r="AA133" s="1784" t="s">
        <v>229</v>
      </c>
      <c r="AB133" s="1784" t="s">
        <v>229</v>
      </c>
      <c r="AC133" s="1784"/>
      <c r="AD133" s="3284"/>
    </row>
    <row r="134" spans="26:30">
      <c r="Z134" s="2006"/>
      <c r="AA134" s="1784" t="s">
        <v>229</v>
      </c>
      <c r="AB134" s="1784" t="s">
        <v>229</v>
      </c>
      <c r="AC134" s="1784"/>
      <c r="AD134" s="3284"/>
    </row>
    <row r="135" spans="26:30">
      <c r="Z135" s="2006"/>
      <c r="AA135" s="1784" t="s">
        <v>229</v>
      </c>
      <c r="AB135" s="1784" t="s">
        <v>229</v>
      </c>
      <c r="AC135" s="1784"/>
      <c r="AD135" s="3284"/>
    </row>
    <row r="136" spans="26:30">
      <c r="Z136" s="2006"/>
      <c r="AA136" s="1784" t="s">
        <v>229</v>
      </c>
      <c r="AB136" s="1784" t="s">
        <v>229</v>
      </c>
      <c r="AC136" s="1784"/>
      <c r="AD136" s="3284"/>
    </row>
    <row r="137" spans="26:30">
      <c r="Z137" s="2006"/>
      <c r="AA137" s="1784" t="s">
        <v>229</v>
      </c>
      <c r="AB137" s="1784" t="s">
        <v>229</v>
      </c>
      <c r="AC137" s="1784"/>
      <c r="AD137" s="3284"/>
    </row>
    <row r="138" spans="26:30">
      <c r="Z138" s="2006"/>
      <c r="AA138" s="1784" t="s">
        <v>229</v>
      </c>
      <c r="AB138" s="1784" t="s">
        <v>229</v>
      </c>
      <c r="AC138" s="1784"/>
      <c r="AD138" s="3284"/>
    </row>
    <row r="139" spans="26:30">
      <c r="Z139" s="2006"/>
      <c r="AA139" s="1784" t="s">
        <v>229</v>
      </c>
      <c r="AB139" s="1784" t="s">
        <v>229</v>
      </c>
      <c r="AC139" s="1784"/>
      <c r="AD139" s="3284"/>
    </row>
    <row r="140" spans="26:30">
      <c r="Z140" s="2006"/>
      <c r="AA140" s="1784" t="s">
        <v>229</v>
      </c>
      <c r="AB140" s="1784" t="s">
        <v>229</v>
      </c>
      <c r="AC140" s="1784"/>
      <c r="AD140" s="3284"/>
    </row>
    <row r="141" spans="26:30">
      <c r="Z141" s="2006"/>
      <c r="AA141" s="1784" t="s">
        <v>229</v>
      </c>
      <c r="AB141" s="1784" t="s">
        <v>229</v>
      </c>
      <c r="AC141" s="1784"/>
      <c r="AD141" s="3284"/>
    </row>
    <row r="142" spans="26:30">
      <c r="Z142" s="2006"/>
      <c r="AA142" s="1784" t="s">
        <v>229</v>
      </c>
      <c r="AB142" s="1784" t="s">
        <v>229</v>
      </c>
      <c r="AC142" s="1784"/>
      <c r="AD142" s="3284"/>
    </row>
    <row r="143" spans="26:30">
      <c r="Z143" s="2006"/>
      <c r="AA143" s="1784" t="s">
        <v>229</v>
      </c>
      <c r="AB143" s="1784" t="s">
        <v>229</v>
      </c>
      <c r="AC143" s="1784"/>
      <c r="AD143" s="3284"/>
    </row>
    <row r="144" spans="26:30">
      <c r="Z144" s="2006"/>
      <c r="AA144" s="1784" t="s">
        <v>229</v>
      </c>
      <c r="AB144" s="1784" t="s">
        <v>229</v>
      </c>
      <c r="AC144" s="1784"/>
      <c r="AD144" s="3284"/>
    </row>
    <row r="145" spans="26:30">
      <c r="Z145" s="2006"/>
      <c r="AA145" s="1784" t="s">
        <v>229</v>
      </c>
      <c r="AB145" s="1784" t="s">
        <v>229</v>
      </c>
      <c r="AC145" s="1784"/>
      <c r="AD145" s="3284"/>
    </row>
    <row r="146" spans="26:30">
      <c r="Z146" s="2006"/>
      <c r="AA146" s="1784" t="s">
        <v>229</v>
      </c>
      <c r="AB146" s="1784" t="s">
        <v>229</v>
      </c>
      <c r="AC146" s="1784"/>
      <c r="AD146" s="3284"/>
    </row>
    <row r="147" spans="26:30">
      <c r="Z147" s="2006"/>
      <c r="AA147" s="1784" t="s">
        <v>229</v>
      </c>
      <c r="AB147" s="1784" t="s">
        <v>229</v>
      </c>
      <c r="AC147" s="1784"/>
      <c r="AD147" s="3284"/>
    </row>
    <row r="148" spans="26:30">
      <c r="Z148" s="2006"/>
      <c r="AA148" s="1784" t="s">
        <v>229</v>
      </c>
      <c r="AB148" s="1784" t="s">
        <v>229</v>
      </c>
      <c r="AC148" s="1784"/>
      <c r="AD148" s="3284"/>
    </row>
    <row r="149" spans="26:30">
      <c r="Z149" s="2006"/>
      <c r="AA149" s="1784" t="s">
        <v>229</v>
      </c>
      <c r="AB149" s="1784" t="s">
        <v>229</v>
      </c>
      <c r="AC149" s="1784"/>
      <c r="AD149" s="3284"/>
    </row>
    <row r="150" spans="26:30">
      <c r="Z150" s="2006"/>
      <c r="AA150" s="1784" t="s">
        <v>229</v>
      </c>
      <c r="AB150" s="1784" t="s">
        <v>229</v>
      </c>
      <c r="AC150" s="1784"/>
      <c r="AD150" s="3284"/>
    </row>
    <row r="151" spans="26:30">
      <c r="Z151" s="2006"/>
      <c r="AA151" s="1784" t="s">
        <v>229</v>
      </c>
      <c r="AB151" s="1784" t="s">
        <v>229</v>
      </c>
      <c r="AC151" s="1784"/>
      <c r="AD151" s="3284"/>
    </row>
    <row r="152" spans="26:30">
      <c r="Z152" s="2006"/>
      <c r="AA152" s="1784" t="s">
        <v>229</v>
      </c>
      <c r="AB152" s="1784" t="s">
        <v>229</v>
      </c>
      <c r="AC152" s="1784"/>
      <c r="AD152" s="3284"/>
    </row>
    <row r="153" spans="26:30">
      <c r="Z153" s="2006"/>
      <c r="AA153" s="1784" t="s">
        <v>229</v>
      </c>
      <c r="AB153" s="1784" t="s">
        <v>229</v>
      </c>
      <c r="AC153" s="1784"/>
      <c r="AD153" s="3284"/>
    </row>
    <row r="154" spans="26:30">
      <c r="Z154" s="2006"/>
      <c r="AA154" s="1784" t="s">
        <v>229</v>
      </c>
      <c r="AB154" s="1784" t="s">
        <v>229</v>
      </c>
      <c r="AC154" s="1784"/>
      <c r="AD154" s="3284"/>
    </row>
    <row r="155" spans="26:30">
      <c r="Z155" s="2006"/>
      <c r="AA155" s="1784" t="s">
        <v>229</v>
      </c>
      <c r="AB155" s="1784" t="s">
        <v>229</v>
      </c>
      <c r="AC155" s="1784"/>
      <c r="AD155" s="3284"/>
    </row>
    <row r="156" spans="26:30">
      <c r="Z156" s="2006"/>
      <c r="AA156" s="1784" t="s">
        <v>229</v>
      </c>
      <c r="AB156" s="1784" t="s">
        <v>229</v>
      </c>
      <c r="AC156" s="1784"/>
      <c r="AD156" s="3284"/>
    </row>
    <row r="157" spans="26:30">
      <c r="Z157" s="2006"/>
      <c r="AA157" s="1784" t="s">
        <v>229</v>
      </c>
      <c r="AB157" s="1784" t="s">
        <v>229</v>
      </c>
      <c r="AC157" s="1784"/>
      <c r="AD157" s="3284"/>
    </row>
    <row r="158" spans="26:30">
      <c r="Z158" s="2006"/>
      <c r="AA158" s="1784" t="s">
        <v>229</v>
      </c>
      <c r="AB158" s="1784" t="s">
        <v>229</v>
      </c>
      <c r="AC158" s="1784"/>
      <c r="AD158" s="3284"/>
    </row>
    <row r="159" spans="26:30">
      <c r="Z159" s="2006"/>
      <c r="AA159" s="1784" t="s">
        <v>229</v>
      </c>
      <c r="AB159" s="1784" t="s">
        <v>229</v>
      </c>
      <c r="AC159" s="1784"/>
      <c r="AD159" s="3284"/>
    </row>
    <row r="160" spans="26:30">
      <c r="Z160" s="2006"/>
      <c r="AA160" s="1784" t="s">
        <v>229</v>
      </c>
      <c r="AB160" s="1784" t="s">
        <v>229</v>
      </c>
      <c r="AC160" s="1784"/>
      <c r="AD160" s="3284"/>
    </row>
    <row r="161" spans="26:30">
      <c r="Z161" s="2006"/>
      <c r="AA161" s="1784" t="s">
        <v>229</v>
      </c>
      <c r="AB161" s="1784" t="s">
        <v>229</v>
      </c>
      <c r="AC161" s="1784"/>
      <c r="AD161" s="3284"/>
    </row>
    <row r="162" spans="26:30">
      <c r="Z162" s="2006"/>
      <c r="AA162" s="1784" t="s">
        <v>229</v>
      </c>
      <c r="AB162" s="1784" t="s">
        <v>229</v>
      </c>
      <c r="AC162" s="1784"/>
      <c r="AD162" s="3284"/>
    </row>
    <row r="163" spans="26:30">
      <c r="Z163" s="2006"/>
      <c r="AA163" s="1784" t="s">
        <v>229</v>
      </c>
      <c r="AB163" s="1784" t="s">
        <v>229</v>
      </c>
      <c r="AC163" s="1784"/>
      <c r="AD163" s="3284"/>
    </row>
    <row r="164" spans="26:30">
      <c r="Z164" s="2006"/>
      <c r="AA164" s="1784" t="s">
        <v>229</v>
      </c>
      <c r="AB164" s="1784" t="s">
        <v>229</v>
      </c>
      <c r="AC164" s="1784"/>
      <c r="AD164" s="3284"/>
    </row>
    <row r="165" spans="26:30">
      <c r="Z165" s="2006"/>
      <c r="AA165" s="1784" t="s">
        <v>229</v>
      </c>
      <c r="AB165" s="1784" t="s">
        <v>229</v>
      </c>
      <c r="AC165" s="1784"/>
      <c r="AD165" s="3284"/>
    </row>
  </sheetData>
  <customSheetViews>
    <customSheetView guid="{D9EFFE19-D14B-4C6F-BDF4-FF696F73968D}" showGridLines="0">
      <pane xSplit="1" ySplit="1" topLeftCell="B2" activePane="bottomRight" state="frozen"/>
      <selection pane="bottomRight" activeCell="C22" sqref="C22:E23"/>
      <pageMargins left="0.17" right="0.23" top="0.34" bottom="0.34" header="0.3" footer="0.3"/>
      <pageSetup paperSize="17" scale="37" orientation="landscape" r:id="rId1"/>
    </customSheetView>
    <customSheetView guid="{074EB09C-6289-46D7-9513-012B68BCA7BF}" showGridLines="0">
      <pane xSplit="1" ySplit="1" topLeftCell="K2" activePane="bottomRight" state="frozen"/>
      <selection pane="bottomRight" activeCell="G7" sqref="G7"/>
      <pageMargins left="0.17" right="0.23" top="0.34" bottom="0.34" header="0.3" footer="0.3"/>
      <pageSetup paperSize="17" scale="37" orientation="landscape" r:id="rId2"/>
    </customSheetView>
  </customSheetViews>
  <mergeCells count="9">
    <mergeCell ref="Z12:AD12"/>
    <mergeCell ref="H12:O12"/>
    <mergeCell ref="S2:T2"/>
    <mergeCell ref="U2:W2"/>
    <mergeCell ref="X2:X3"/>
    <mergeCell ref="H10:P10"/>
    <mergeCell ref="P12:R12"/>
    <mergeCell ref="S12:U12"/>
    <mergeCell ref="V12:Y12"/>
  </mergeCells>
  <pageMargins left="0.17" right="0.23" top="0.34" bottom="0.34" header="0.3" footer="0.3"/>
  <pageSetup paperSize="3" scale="37" orientation="landscape"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Z113"/>
  <sheetViews>
    <sheetView topLeftCell="C3" workbookViewId="0">
      <pane xSplit="4" ySplit="1" topLeftCell="N19" activePane="bottomRight" state="frozen"/>
      <selection activeCell="C3" sqref="C3"/>
      <selection pane="topRight" activeCell="G3" sqref="G3"/>
      <selection pane="bottomLeft" activeCell="C4" sqref="C4"/>
      <selection pane="bottomRight" activeCell="O37" sqref="O37"/>
    </sheetView>
  </sheetViews>
  <sheetFormatPr defaultColWidth="9.140625" defaultRowHeight="12.75"/>
  <cols>
    <col min="1" max="1" width="4.85546875" style="2074" customWidth="1"/>
    <col min="2" max="2" width="5.85546875" style="2074" customWidth="1"/>
    <col min="3" max="3" width="12.7109375" style="3291" customWidth="1"/>
    <col min="4" max="4" width="6.28515625" style="2074" customWidth="1"/>
    <col min="5" max="5" width="6.140625" style="2074" customWidth="1"/>
    <col min="6" max="6" width="35" style="2074" customWidth="1"/>
    <col min="7" max="7" width="14.42578125" style="2074" customWidth="1"/>
    <col min="8" max="9" width="16.42578125" style="2074" customWidth="1"/>
    <col min="10" max="10" width="13.5703125" style="2074" customWidth="1"/>
    <col min="11" max="13" width="15.85546875" style="2074" customWidth="1"/>
    <col min="14" max="14" width="13.28515625" style="2074" customWidth="1"/>
    <col min="15" max="15" width="16.42578125" style="2074" customWidth="1"/>
    <col min="16" max="18" width="14.140625" style="2074" customWidth="1"/>
    <col min="19" max="22" width="12.7109375" style="2074" customWidth="1"/>
    <col min="23" max="23" width="15.140625" style="2074" customWidth="1"/>
    <col min="24" max="24" width="15.28515625" style="3416" customWidth="1"/>
    <col min="25" max="25" width="14" style="2074" customWidth="1"/>
    <col min="26" max="26" width="12.42578125" style="2074" customWidth="1"/>
    <col min="27" max="16384" width="9.140625" style="2074"/>
  </cols>
  <sheetData>
    <row r="1" spans="2:26" ht="54" customHeight="1">
      <c r="E1" s="3298"/>
      <c r="F1" s="3298" t="s">
        <v>2615</v>
      </c>
      <c r="O1" s="3307"/>
      <c r="P1" s="3307"/>
      <c r="Q1" s="3307"/>
      <c r="R1" s="3307"/>
      <c r="S1" s="3308"/>
      <c r="T1" s="3308"/>
      <c r="U1" s="3308"/>
      <c r="V1" s="3308"/>
      <c r="W1" s="3308"/>
    </row>
    <row r="2" spans="2:26" ht="17.25" customHeight="1" thickBot="1">
      <c r="E2" s="3309" t="s">
        <v>169</v>
      </c>
      <c r="F2" s="3310">
        <f ca="1">NOW()</f>
        <v>42685.401219560183</v>
      </c>
      <c r="G2" s="3307"/>
      <c r="H2" s="3307"/>
      <c r="I2" s="3307"/>
      <c r="J2" s="3307"/>
      <c r="K2" s="1678"/>
      <c r="L2" s="1678"/>
      <c r="M2" s="1678"/>
      <c r="N2" s="1678"/>
      <c r="O2" s="3311"/>
      <c r="P2" s="3311"/>
      <c r="Q2" s="3311"/>
      <c r="R2" s="3311"/>
      <c r="S2" s="3308"/>
      <c r="T2" s="3308"/>
      <c r="U2" s="3308"/>
      <c r="V2" s="3308"/>
      <c r="W2" s="3308"/>
    </row>
    <row r="3" spans="2:26" ht="76.5">
      <c r="B3" s="2074" t="s">
        <v>417</v>
      </c>
      <c r="C3" s="3424" t="s">
        <v>2616</v>
      </c>
      <c r="D3" s="3425" t="s">
        <v>170</v>
      </c>
      <c r="E3" s="3426"/>
      <c r="F3" s="3426"/>
      <c r="G3" s="3427" t="s">
        <v>564</v>
      </c>
      <c r="H3" s="3428" t="s">
        <v>2613</v>
      </c>
      <c r="I3" s="3439" t="s">
        <v>2614</v>
      </c>
      <c r="J3" s="3475" t="s">
        <v>2621</v>
      </c>
      <c r="K3" s="3427" t="s">
        <v>171</v>
      </c>
      <c r="L3" s="3428" t="s">
        <v>2613</v>
      </c>
      <c r="M3" s="3439" t="s">
        <v>2614</v>
      </c>
      <c r="N3" s="3475" t="s">
        <v>2621</v>
      </c>
      <c r="O3" s="3427" t="s">
        <v>172</v>
      </c>
      <c r="P3" s="3428" t="s">
        <v>2613</v>
      </c>
      <c r="Q3" s="3439" t="s">
        <v>2614</v>
      </c>
      <c r="R3" s="3475" t="s">
        <v>2621</v>
      </c>
      <c r="S3" s="3427" t="s">
        <v>295</v>
      </c>
      <c r="T3" s="3428" t="s">
        <v>2613</v>
      </c>
      <c r="U3" s="3439" t="s">
        <v>2614</v>
      </c>
      <c r="V3" s="3475" t="s">
        <v>2621</v>
      </c>
      <c r="W3" s="3429" t="s">
        <v>173</v>
      </c>
      <c r="X3" s="3430" t="s">
        <v>2613</v>
      </c>
      <c r="Y3" s="3439" t="s">
        <v>2614</v>
      </c>
      <c r="Z3" s="3505" t="s">
        <v>2621</v>
      </c>
    </row>
    <row r="4" spans="2:26" ht="15.75">
      <c r="C4" s="3312"/>
      <c r="D4" s="3313" t="s">
        <v>2617</v>
      </c>
      <c r="E4" s="3314"/>
      <c r="F4" s="3314"/>
      <c r="G4" s="3315"/>
      <c r="H4" s="3316"/>
      <c r="I4" s="3440"/>
      <c r="J4" s="3476"/>
      <c r="K4" s="3315"/>
      <c r="L4" s="3316"/>
      <c r="M4" s="3440"/>
      <c r="N4" s="3476"/>
      <c r="O4" s="3315"/>
      <c r="P4" s="3316"/>
      <c r="Q4" s="3440"/>
      <c r="R4" s="3476"/>
      <c r="S4" s="3315"/>
      <c r="T4" s="3316"/>
      <c r="U4" s="3440"/>
      <c r="V4" s="3476"/>
      <c r="W4" s="3317"/>
      <c r="Y4" s="3469"/>
      <c r="Z4" s="3506"/>
    </row>
    <row r="5" spans="2:26" ht="15.75">
      <c r="B5" s="3295"/>
      <c r="C5" s="3304"/>
      <c r="D5" s="3298" t="s">
        <v>68</v>
      </c>
      <c r="E5" s="3298"/>
      <c r="F5" s="3298"/>
      <c r="G5" s="3306"/>
      <c r="H5" s="3299"/>
      <c r="I5" s="3441"/>
      <c r="J5" s="3477"/>
      <c r="K5" s="3318"/>
      <c r="L5" s="3319"/>
      <c r="M5" s="3455"/>
      <c r="N5" s="3492"/>
      <c r="O5" s="3306"/>
      <c r="P5" s="3299"/>
      <c r="Q5" s="3441"/>
      <c r="R5" s="3477"/>
      <c r="S5" s="3420"/>
      <c r="T5" s="3421"/>
      <c r="U5" s="3468"/>
      <c r="V5" s="3502"/>
      <c r="W5" s="3306"/>
      <c r="Y5" s="3469"/>
      <c r="Z5" s="3506"/>
    </row>
    <row r="6" spans="2:26">
      <c r="B6" s="3293" t="s">
        <v>418</v>
      </c>
      <c r="C6" s="3305">
        <v>201</v>
      </c>
      <c r="D6" s="2074" t="s">
        <v>165</v>
      </c>
      <c r="G6" s="3288">
        <f>'2017 Sector View Elect'!T7/1000</f>
        <v>1835.72831</v>
      </c>
      <c r="H6" s="3286">
        <v>1560.3460600000001</v>
      </c>
      <c r="I6" s="3442">
        <f>G6-H6</f>
        <v>275.38224999999989</v>
      </c>
      <c r="J6" s="3478">
        <f>(G6-H6)/H6</f>
        <v>0.17648793242698987</v>
      </c>
      <c r="K6" s="3287">
        <f>'2017 Sector View Elect'!S7</f>
        <v>3735427.9275000002</v>
      </c>
      <c r="L6" s="2034">
        <v>3375337.8948999997</v>
      </c>
      <c r="M6" s="3456">
        <f>K6-L6</f>
        <v>360090.0326000005</v>
      </c>
      <c r="N6" s="3478">
        <f>(K6-L6)/L6</f>
        <v>0.10668266224370665</v>
      </c>
      <c r="O6" s="3288">
        <f>'2017 Sector View Gas'!T7</f>
        <v>8785.9499999999989</v>
      </c>
      <c r="P6" s="3286">
        <v>18641.260000000002</v>
      </c>
      <c r="Q6" s="3442">
        <f>O6-P6</f>
        <v>-9855.3100000000031</v>
      </c>
      <c r="R6" s="3478">
        <f>(O6-P6)/P6</f>
        <v>-0.52868261051023391</v>
      </c>
      <c r="S6" s="3290">
        <f>'2017 Sector View Gas'!S7</f>
        <v>183600.38750000001</v>
      </c>
      <c r="T6" s="3285">
        <v>284611.57759999996</v>
      </c>
      <c r="U6" s="3458">
        <f>S6-T6</f>
        <v>-101011.19009999995</v>
      </c>
      <c r="V6" s="3478">
        <f>(S6-T6)/T6</f>
        <v>-0.35490892869426249</v>
      </c>
      <c r="W6" s="3290">
        <f>K6+S6</f>
        <v>3919028.3150000004</v>
      </c>
      <c r="X6" s="3416">
        <v>3659949.4724999997</v>
      </c>
      <c r="Y6" s="3470">
        <f>W6-X6</f>
        <v>259078.84250000073</v>
      </c>
      <c r="Z6" s="3507">
        <f>(W6-X6)/X6</f>
        <v>7.0787546234356041E-2</v>
      </c>
    </row>
    <row r="7" spans="2:26">
      <c r="B7" s="3293" t="s">
        <v>419</v>
      </c>
      <c r="C7" s="3305">
        <v>214</v>
      </c>
      <c r="D7" s="2074" t="s">
        <v>413</v>
      </c>
      <c r="G7" s="3288">
        <f>SUM(G8:G17)</f>
        <v>96696.437629999986</v>
      </c>
      <c r="H7" s="3286">
        <v>104083.79138</v>
      </c>
      <c r="I7" s="3442">
        <f t="shared" ref="I7:I21" si="0">G7-H7</f>
        <v>-7387.3537500000093</v>
      </c>
      <c r="J7" s="3478">
        <f t="shared" ref="J7:J21" si="1">(G7-H7)/H7</f>
        <v>-7.0975063956207021E-2</v>
      </c>
      <c r="K7" s="3290">
        <f>SUM(K8:K17)</f>
        <v>27657200.25962</v>
      </c>
      <c r="L7" s="3285">
        <v>30525825.134199996</v>
      </c>
      <c r="M7" s="3456">
        <f t="shared" ref="M7:M21" si="2">K7-L7</f>
        <v>-2868624.8745799959</v>
      </c>
      <c r="N7" s="3478">
        <f t="shared" ref="N7:N21" si="3">(K7-L7)/L7</f>
        <v>-9.3973704624485177E-2</v>
      </c>
      <c r="O7" s="3288">
        <f>SUM(O8:O17)</f>
        <v>1426705</v>
      </c>
      <c r="P7" s="3286">
        <v>1444453.26</v>
      </c>
      <c r="Q7" s="3442">
        <f t="shared" ref="Q7:Q21" si="4">O7-P7</f>
        <v>-17748.260000000009</v>
      </c>
      <c r="R7" s="3478">
        <f t="shared" ref="R7:R20" si="5">(O7-P7)/P7</f>
        <v>-1.2287181933460421E-2</v>
      </c>
      <c r="S7" s="3290">
        <f>SUM(S8:S17)</f>
        <v>5789539.0175900003</v>
      </c>
      <c r="T7" s="3285">
        <v>5814038.9594800007</v>
      </c>
      <c r="U7" s="3458">
        <f t="shared" ref="U7:U21" si="6">S7-T7</f>
        <v>-24499.941890000366</v>
      </c>
      <c r="V7" s="3478">
        <f t="shared" ref="V7:V21" si="7">(S7-T7)/T7</f>
        <v>-4.213928055994934E-3</v>
      </c>
      <c r="W7" s="3290">
        <f t="shared" ref="W7:W21" si="8">K7+S7</f>
        <v>33446739.277210001</v>
      </c>
      <c r="X7" s="3416">
        <v>36339864.093679994</v>
      </c>
      <c r="Y7" s="3470">
        <f t="shared" ref="Y7:Y83" si="9">W7-X7</f>
        <v>-2893124.8164699934</v>
      </c>
      <c r="Z7" s="3507">
        <f t="shared" ref="Z7:Z21" si="10">(W7-X7)/X7</f>
        <v>-7.9612978436348861E-2</v>
      </c>
    </row>
    <row r="8" spans="2:26" s="3322" customFormat="1">
      <c r="B8" s="3320" t="s">
        <v>420</v>
      </c>
      <c r="C8" s="3321"/>
      <c r="E8" s="3322" t="s">
        <v>174</v>
      </c>
      <c r="G8" s="3323">
        <f>'2017 Sector View Elect'!T14/1000</f>
        <v>69473.421119999999</v>
      </c>
      <c r="H8" s="3324">
        <v>70775.149999999994</v>
      </c>
      <c r="I8" s="3442">
        <f t="shared" si="0"/>
        <v>-1301.7288799999951</v>
      </c>
      <c r="J8" s="3478">
        <f t="shared" si="1"/>
        <v>-1.8392456674411785E-2</v>
      </c>
      <c r="K8" s="3325">
        <f>'2017 Sector View Elect'!S14</f>
        <v>13833178.823899999</v>
      </c>
      <c r="L8" s="3326">
        <v>14419449.878599999</v>
      </c>
      <c r="M8" s="3456">
        <f t="shared" si="2"/>
        <v>-586271.05470000021</v>
      </c>
      <c r="N8" s="3478">
        <f t="shared" si="3"/>
        <v>-4.0658351021427591E-2</v>
      </c>
      <c r="O8" s="3323"/>
      <c r="P8" s="3324"/>
      <c r="Q8" s="3442">
        <f t="shared" si="4"/>
        <v>0</v>
      </c>
      <c r="R8" s="3478" t="e">
        <f t="shared" si="5"/>
        <v>#DIV/0!</v>
      </c>
      <c r="S8" s="3327"/>
      <c r="T8" s="3422"/>
      <c r="U8" s="3458">
        <f t="shared" si="6"/>
        <v>0</v>
      </c>
      <c r="V8" s="3478" t="e">
        <f t="shared" si="7"/>
        <v>#DIV/0!</v>
      </c>
      <c r="W8" s="3290">
        <f t="shared" si="8"/>
        <v>13833178.823899999</v>
      </c>
      <c r="X8" s="3417">
        <v>14419449.878599999</v>
      </c>
      <c r="Y8" s="3470">
        <f t="shared" si="9"/>
        <v>-586271.05470000021</v>
      </c>
      <c r="Z8" s="3507">
        <f t="shared" si="10"/>
        <v>-4.0658351021427591E-2</v>
      </c>
    </row>
    <row r="9" spans="2:26" s="3322" customFormat="1">
      <c r="B9" s="3320" t="s">
        <v>421</v>
      </c>
      <c r="C9" s="3321"/>
      <c r="E9" s="3322" t="s">
        <v>175</v>
      </c>
      <c r="G9" s="3323">
        <f>'2017 Sector View Elect'!T11/1000</f>
        <v>7730.7749999999996</v>
      </c>
      <c r="H9" s="3324">
        <v>7283.69</v>
      </c>
      <c r="I9" s="3442">
        <f t="shared" si="0"/>
        <v>447.08500000000004</v>
      </c>
      <c r="J9" s="3478">
        <f t="shared" si="1"/>
        <v>6.1381662316765277E-2</v>
      </c>
      <c r="K9" s="3325">
        <f>'2017 Sector View Elect'!S11</f>
        <v>3996973.72083</v>
      </c>
      <c r="L9" s="3326">
        <v>4111679.1628</v>
      </c>
      <c r="M9" s="3456">
        <f t="shared" si="2"/>
        <v>-114705.44197000004</v>
      </c>
      <c r="N9" s="3478">
        <f t="shared" si="3"/>
        <v>-2.7897468997042835E-2</v>
      </c>
      <c r="O9" s="3323">
        <f>'2017 Sector View Gas'!T11</f>
        <v>618205</v>
      </c>
      <c r="P9" s="3324">
        <v>645705</v>
      </c>
      <c r="Q9" s="3442">
        <f t="shared" si="4"/>
        <v>-27500</v>
      </c>
      <c r="R9" s="3478">
        <f t="shared" si="5"/>
        <v>-4.2589108029208386E-2</v>
      </c>
      <c r="S9" s="3327">
        <f>'2017 Sector View Gas'!S11</f>
        <v>2349234.62311</v>
      </c>
      <c r="T9" s="3422">
        <v>2423883.8075999999</v>
      </c>
      <c r="U9" s="3458">
        <f t="shared" si="6"/>
        <v>-74649.184489999898</v>
      </c>
      <c r="V9" s="3478">
        <f t="shared" si="7"/>
        <v>-3.0797344433730726E-2</v>
      </c>
      <c r="W9" s="3290">
        <f t="shared" si="8"/>
        <v>6346208.34394</v>
      </c>
      <c r="X9" s="3417">
        <v>6535562.9704</v>
      </c>
      <c r="Y9" s="3470">
        <f t="shared" si="9"/>
        <v>-189354.62645999994</v>
      </c>
      <c r="Z9" s="3507">
        <f t="shared" si="10"/>
        <v>-2.8972963357188915E-2</v>
      </c>
    </row>
    <row r="10" spans="2:26" s="3322" customFormat="1">
      <c r="B10" s="3320" t="s">
        <v>422</v>
      </c>
      <c r="C10" s="3321"/>
      <c r="E10" s="3322" t="s">
        <v>176</v>
      </c>
      <c r="G10" s="3323">
        <f>'2017 Sector View Elect'!T9/1000</f>
        <v>727.67499999999995</v>
      </c>
      <c r="H10" s="3324">
        <v>571.29999999999995</v>
      </c>
      <c r="I10" s="3442">
        <f t="shared" si="0"/>
        <v>156.375</v>
      </c>
      <c r="J10" s="3478">
        <f t="shared" si="1"/>
        <v>0.27371783651321552</v>
      </c>
      <c r="K10" s="3325">
        <f>'2017 Sector View Elect'!S9</f>
        <v>477188.26634999999</v>
      </c>
      <c r="L10" s="3326">
        <v>409536.99400000001</v>
      </c>
      <c r="M10" s="3456">
        <f t="shared" si="2"/>
        <v>67651.272349999985</v>
      </c>
      <c r="N10" s="3478">
        <f t="shared" si="3"/>
        <v>0.16518964914314915</v>
      </c>
      <c r="O10" s="3323">
        <f>'2017 Sector View Gas'!T9</f>
        <v>0</v>
      </c>
      <c r="P10" s="3324">
        <v>0</v>
      </c>
      <c r="Q10" s="3442">
        <f t="shared" si="4"/>
        <v>0</v>
      </c>
      <c r="R10" s="3478" t="e">
        <f t="shared" si="5"/>
        <v>#DIV/0!</v>
      </c>
      <c r="S10" s="3327">
        <f>'2017 Sector View Gas'!S9</f>
        <v>0</v>
      </c>
      <c r="T10" s="3422">
        <v>0</v>
      </c>
      <c r="U10" s="3458">
        <f t="shared" si="6"/>
        <v>0</v>
      </c>
      <c r="V10" s="3478" t="e">
        <f t="shared" si="7"/>
        <v>#DIV/0!</v>
      </c>
      <c r="W10" s="3290">
        <f t="shared" si="8"/>
        <v>477188.26634999999</v>
      </c>
      <c r="X10" s="3417">
        <v>409536.99400000001</v>
      </c>
      <c r="Y10" s="3470">
        <f t="shared" si="9"/>
        <v>67651.272349999985</v>
      </c>
      <c r="Z10" s="3507">
        <f t="shared" si="10"/>
        <v>0.16518964914314915</v>
      </c>
    </row>
    <row r="11" spans="2:26" s="3322" customFormat="1">
      <c r="B11" s="3320" t="s">
        <v>423</v>
      </c>
      <c r="C11" s="3321"/>
      <c r="E11" s="3322" t="s">
        <v>1560</v>
      </c>
      <c r="G11" s="3323">
        <f>'2017 Sector View Elect'!T8/1000</f>
        <v>5039.3222000000005</v>
      </c>
      <c r="H11" s="3324">
        <v>3423.2020000000002</v>
      </c>
      <c r="I11" s="3442">
        <f t="shared" si="0"/>
        <v>1616.1202000000003</v>
      </c>
      <c r="J11" s="3478">
        <f t="shared" si="1"/>
        <v>0.47210775174821706</v>
      </c>
      <c r="K11" s="3325">
        <f>'2017 Sector View Elect'!S8</f>
        <v>2843947.80584</v>
      </c>
      <c r="L11" s="3326">
        <v>2196429.5424000002</v>
      </c>
      <c r="M11" s="3456">
        <f t="shared" si="2"/>
        <v>647518.26343999989</v>
      </c>
      <c r="N11" s="3478">
        <f t="shared" si="3"/>
        <v>0.29480493270568014</v>
      </c>
      <c r="O11" s="3323">
        <f>'2017 Sector View Gas'!T8</f>
        <v>0</v>
      </c>
      <c r="P11" s="3324">
        <v>0</v>
      </c>
      <c r="Q11" s="3442">
        <f t="shared" si="4"/>
        <v>0</v>
      </c>
      <c r="R11" s="3478" t="e">
        <f t="shared" si="5"/>
        <v>#DIV/0!</v>
      </c>
      <c r="S11" s="3327">
        <f>'2017 Sector View Gas'!S8</f>
        <v>0</v>
      </c>
      <c r="T11" s="3422">
        <v>0</v>
      </c>
      <c r="U11" s="3458">
        <f t="shared" si="6"/>
        <v>0</v>
      </c>
      <c r="V11" s="3478" t="e">
        <f t="shared" si="7"/>
        <v>#DIV/0!</v>
      </c>
      <c r="W11" s="3290">
        <f t="shared" si="8"/>
        <v>2843947.80584</v>
      </c>
      <c r="X11" s="3417">
        <v>2196429.5424000002</v>
      </c>
      <c r="Y11" s="3470">
        <f t="shared" si="9"/>
        <v>647518.26343999989</v>
      </c>
      <c r="Z11" s="3507">
        <f t="shared" si="10"/>
        <v>0.29480493270568014</v>
      </c>
    </row>
    <row r="12" spans="2:26" s="3322" customFormat="1">
      <c r="B12" s="3320" t="s">
        <v>424</v>
      </c>
      <c r="C12" s="3321"/>
      <c r="E12" s="3322" t="s">
        <v>59</v>
      </c>
      <c r="G12" s="3323">
        <f>'2017 Sector View Elect'!T12/1000</f>
        <v>6721.7089999999998</v>
      </c>
      <c r="H12" s="3324">
        <v>10290.5</v>
      </c>
      <c r="I12" s="3442">
        <f t="shared" si="0"/>
        <v>-3568.7910000000002</v>
      </c>
      <c r="J12" s="3478">
        <f t="shared" si="1"/>
        <v>-0.34680443127156119</v>
      </c>
      <c r="K12" s="3325">
        <f>'2017 Sector View Elect'!S12</f>
        <v>4458254.8387000002</v>
      </c>
      <c r="L12" s="3326">
        <v>5800717.4484000001</v>
      </c>
      <c r="M12" s="3456">
        <f t="shared" si="2"/>
        <v>-1342462.6096999999</v>
      </c>
      <c r="N12" s="3478">
        <f t="shared" si="3"/>
        <v>-0.23143044315497363</v>
      </c>
      <c r="O12" s="3323">
        <f>'2017 Sector View Gas'!T13</f>
        <v>40705</v>
      </c>
      <c r="P12" s="3324">
        <v>46930</v>
      </c>
      <c r="Q12" s="3442">
        <f t="shared" si="4"/>
        <v>-6225</v>
      </c>
      <c r="R12" s="3478">
        <f t="shared" si="5"/>
        <v>-0.132644363946303</v>
      </c>
      <c r="S12" s="3327">
        <f>'2017 Sector View Gas'!S13</f>
        <v>14805</v>
      </c>
      <c r="T12" s="3422">
        <v>16650</v>
      </c>
      <c r="U12" s="3458">
        <f t="shared" si="6"/>
        <v>-1845</v>
      </c>
      <c r="V12" s="3478">
        <f t="shared" si="7"/>
        <v>-0.11081081081081082</v>
      </c>
      <c r="W12" s="3290">
        <f t="shared" si="8"/>
        <v>4473059.8387000002</v>
      </c>
      <c r="X12" s="3417">
        <v>5817367.4484000001</v>
      </c>
      <c r="Y12" s="3470">
        <f t="shared" si="9"/>
        <v>-1344307.6096999999</v>
      </c>
      <c r="Z12" s="3507">
        <f t="shared" si="10"/>
        <v>-0.23108521537001006</v>
      </c>
    </row>
    <row r="13" spans="2:26" s="3322" customFormat="1">
      <c r="B13" s="3320" t="s">
        <v>425</v>
      </c>
      <c r="C13" s="3321"/>
      <c r="E13" s="3322" t="s">
        <v>276</v>
      </c>
      <c r="G13" s="3323">
        <f>'2017 Sector View Elect'!T15/1000</f>
        <v>0</v>
      </c>
      <c r="H13" s="3324">
        <v>2865.8249999999998</v>
      </c>
      <c r="I13" s="3442">
        <f t="shared" si="0"/>
        <v>-2865.8249999999998</v>
      </c>
      <c r="J13" s="3478">
        <f t="shared" si="1"/>
        <v>-1</v>
      </c>
      <c r="K13" s="3325">
        <f>'2017 Sector View Elect'!S15</f>
        <v>0</v>
      </c>
      <c r="L13" s="3326">
        <v>1391893.8152000001</v>
      </c>
      <c r="M13" s="3456">
        <f t="shared" si="2"/>
        <v>-1391893.8152000001</v>
      </c>
      <c r="N13" s="3478">
        <f t="shared" si="3"/>
        <v>-1</v>
      </c>
      <c r="O13" s="3323">
        <f>'2017 Sector View Gas'!T14</f>
        <v>0</v>
      </c>
      <c r="P13" s="3324">
        <v>0</v>
      </c>
      <c r="Q13" s="3442">
        <f t="shared" si="4"/>
        <v>0</v>
      </c>
      <c r="R13" s="3478" t="e">
        <f t="shared" si="5"/>
        <v>#DIV/0!</v>
      </c>
      <c r="S13" s="3327">
        <f>'2017 Sector View Gas'!S14</f>
        <v>0</v>
      </c>
      <c r="T13" s="3422">
        <v>0</v>
      </c>
      <c r="U13" s="3458">
        <f t="shared" si="6"/>
        <v>0</v>
      </c>
      <c r="V13" s="3478" t="e">
        <f t="shared" si="7"/>
        <v>#DIV/0!</v>
      </c>
      <c r="W13" s="3290">
        <f t="shared" si="8"/>
        <v>0</v>
      </c>
      <c r="X13" s="3417">
        <v>1391893.8152000001</v>
      </c>
      <c r="Y13" s="3470">
        <f t="shared" si="9"/>
        <v>-1391893.8152000001</v>
      </c>
      <c r="Z13" s="3507">
        <f t="shared" si="10"/>
        <v>-1</v>
      </c>
    </row>
    <row r="14" spans="2:26" s="3322" customFormat="1">
      <c r="B14" s="3320" t="s">
        <v>307</v>
      </c>
      <c r="C14" s="3321"/>
      <c r="E14" s="3322" t="s">
        <v>324</v>
      </c>
      <c r="G14" s="3323">
        <f>'2017 Sector View Elect'!T17/1000</f>
        <v>703.2</v>
      </c>
      <c r="H14" s="3324">
        <v>848</v>
      </c>
      <c r="I14" s="3442">
        <f t="shared" si="0"/>
        <v>-144.79999999999995</v>
      </c>
      <c r="J14" s="3478">
        <f t="shared" si="1"/>
        <v>-0.17075471698113201</v>
      </c>
      <c r="K14" s="3325">
        <f>'2017 Sector View Elect'!S17</f>
        <v>158040.13750000001</v>
      </c>
      <c r="L14" s="3326">
        <v>257066.27480000001</v>
      </c>
      <c r="M14" s="3456">
        <f t="shared" si="2"/>
        <v>-99026.137300000002</v>
      </c>
      <c r="N14" s="3478">
        <f t="shared" si="3"/>
        <v>-0.38521637028055616</v>
      </c>
      <c r="O14" s="3323">
        <f>'2017 Sector View Gas'!T15</f>
        <v>170000</v>
      </c>
      <c r="P14" s="3324">
        <v>34000</v>
      </c>
      <c r="Q14" s="3442">
        <f t="shared" si="4"/>
        <v>136000</v>
      </c>
      <c r="R14" s="3478">
        <f t="shared" si="5"/>
        <v>4</v>
      </c>
      <c r="S14" s="3327">
        <f>'2017 Sector View Gas'!S15</f>
        <v>353040.13750000001</v>
      </c>
      <c r="T14" s="3422">
        <v>203557.32988</v>
      </c>
      <c r="U14" s="3458">
        <f t="shared" si="6"/>
        <v>149482.80762000001</v>
      </c>
      <c r="V14" s="3478">
        <f t="shared" si="7"/>
        <v>0.73435236995947184</v>
      </c>
      <c r="W14" s="3290">
        <f t="shared" si="8"/>
        <v>511080.27500000002</v>
      </c>
      <c r="X14" s="3417">
        <v>460623.60467999999</v>
      </c>
      <c r="Y14" s="3470">
        <f t="shared" si="9"/>
        <v>50456.670320000034</v>
      </c>
      <c r="Z14" s="3507">
        <f t="shared" si="10"/>
        <v>0.10953991460132141</v>
      </c>
    </row>
    <row r="15" spans="2:26" s="3322" customFormat="1">
      <c r="B15" s="3320" t="s">
        <v>426</v>
      </c>
      <c r="C15" s="3321"/>
      <c r="E15" s="3322" t="s">
        <v>177</v>
      </c>
      <c r="G15" s="3323">
        <f>'2017 Sector View Elect'!T13/1000</f>
        <v>4272.6099999999997</v>
      </c>
      <c r="H15" s="3324">
        <v>4804.7380000000003</v>
      </c>
      <c r="I15" s="3442">
        <f t="shared" si="0"/>
        <v>-532.12800000000061</v>
      </c>
      <c r="J15" s="3478">
        <f t="shared" si="1"/>
        <v>-0.11075067984976508</v>
      </c>
      <c r="K15" s="3325">
        <f>'2017 Sector View Elect'!S13</f>
        <v>640814.79590000003</v>
      </c>
      <c r="L15" s="3326">
        <v>656166.16200000001</v>
      </c>
      <c r="M15" s="3456">
        <f t="shared" si="2"/>
        <v>-15351.366099999985</v>
      </c>
      <c r="N15" s="3478">
        <f t="shared" si="3"/>
        <v>-2.339554672128915E-2</v>
      </c>
      <c r="O15" s="3323">
        <f>'2017 Sector View Gas'!T12</f>
        <v>187782.5</v>
      </c>
      <c r="P15" s="3324">
        <v>326630.76</v>
      </c>
      <c r="Q15" s="3442">
        <f t="shared" si="4"/>
        <v>-138848.26</v>
      </c>
      <c r="R15" s="3478">
        <f t="shared" si="5"/>
        <v>-0.42509241934225672</v>
      </c>
      <c r="S15" s="3327">
        <f>'2017 Sector View Gas'!S12</f>
        <v>330535.70918000001</v>
      </c>
      <c r="T15" s="3422">
        <v>530225.64119999995</v>
      </c>
      <c r="U15" s="3458">
        <f t="shared" si="6"/>
        <v>-199689.93201999995</v>
      </c>
      <c r="V15" s="3478">
        <f t="shared" si="7"/>
        <v>-0.37661311808320741</v>
      </c>
      <c r="W15" s="3290">
        <f t="shared" si="8"/>
        <v>971350.50508000003</v>
      </c>
      <c r="X15" s="3417">
        <v>1186391.8032</v>
      </c>
      <c r="Y15" s="3470">
        <f t="shared" si="9"/>
        <v>-215041.29811999993</v>
      </c>
      <c r="Z15" s="3507">
        <f t="shared" si="10"/>
        <v>-0.1812565608932723</v>
      </c>
    </row>
    <row r="16" spans="2:26" s="3322" customFormat="1">
      <c r="B16" s="3320" t="s">
        <v>427</v>
      </c>
      <c r="C16" s="3321"/>
      <c r="E16" s="3322" t="s">
        <v>178</v>
      </c>
      <c r="G16" s="3323">
        <f>'2017 Sector View Elect'!T10/1000</f>
        <v>2027.72531</v>
      </c>
      <c r="H16" s="3324">
        <v>3221.3863799999999</v>
      </c>
      <c r="I16" s="3442">
        <f t="shared" si="0"/>
        <v>-1193.6610699999999</v>
      </c>
      <c r="J16" s="3478">
        <f t="shared" si="1"/>
        <v>-0.37054265747531967</v>
      </c>
      <c r="K16" s="3325">
        <f>'2017 Sector View Elect'!S10</f>
        <v>1122427.3106</v>
      </c>
      <c r="L16" s="3326">
        <v>1282885.8559999999</v>
      </c>
      <c r="M16" s="3456">
        <f t="shared" si="2"/>
        <v>-160458.54539999994</v>
      </c>
      <c r="N16" s="3478">
        <f t="shared" si="3"/>
        <v>-0.12507624481908697</v>
      </c>
      <c r="O16" s="3323">
        <f>'2017 Sector View Gas'!T10</f>
        <v>410012.5</v>
      </c>
      <c r="P16" s="3324">
        <v>391187.5</v>
      </c>
      <c r="Q16" s="3442">
        <f t="shared" si="4"/>
        <v>18825</v>
      </c>
      <c r="R16" s="3478">
        <f t="shared" si="5"/>
        <v>4.8122703307237578E-2</v>
      </c>
      <c r="S16" s="3327">
        <f>'2017 Sector View Gas'!S10</f>
        <v>2698911.3328</v>
      </c>
      <c r="T16" s="3422">
        <v>2639722.1808000002</v>
      </c>
      <c r="U16" s="3458">
        <f t="shared" si="6"/>
        <v>59189.151999999769</v>
      </c>
      <c r="V16" s="3478">
        <f t="shared" si="7"/>
        <v>2.2422492954187235E-2</v>
      </c>
      <c r="W16" s="3290">
        <f t="shared" si="8"/>
        <v>3821338.6433999999</v>
      </c>
      <c r="X16" s="3417">
        <v>3922608.0367999999</v>
      </c>
      <c r="Y16" s="3470">
        <f t="shared" si="9"/>
        <v>-101269.39339999994</v>
      </c>
      <c r="Z16" s="3507">
        <f t="shared" si="10"/>
        <v>-2.5816852576127865E-2</v>
      </c>
    </row>
    <row r="17" spans="2:26" s="3322" customFormat="1">
      <c r="B17" s="3320" t="s">
        <v>428</v>
      </c>
      <c r="C17" s="3321"/>
      <c r="E17" s="3322" t="s">
        <v>182</v>
      </c>
      <c r="G17" s="3323">
        <f>'2017 Sector View Elect'!T16/1000</f>
        <v>0</v>
      </c>
      <c r="H17" s="3324">
        <v>0</v>
      </c>
      <c r="I17" s="3442">
        <f t="shared" si="0"/>
        <v>0</v>
      </c>
      <c r="J17" s="3478" t="e">
        <f t="shared" si="1"/>
        <v>#DIV/0!</v>
      </c>
      <c r="K17" s="3325">
        <f>'2017 Sector View Elect'!S16</f>
        <v>126374.56</v>
      </c>
      <c r="L17" s="3326">
        <v>0</v>
      </c>
      <c r="M17" s="3456">
        <f t="shared" si="2"/>
        <v>126374.56</v>
      </c>
      <c r="N17" s="3478" t="e">
        <f t="shared" si="3"/>
        <v>#DIV/0!</v>
      </c>
      <c r="O17" s="3323">
        <f>'2017 Sector View Gas'!T16</f>
        <v>0</v>
      </c>
      <c r="P17" s="3324">
        <v>0</v>
      </c>
      <c r="Q17" s="3442">
        <f t="shared" si="4"/>
        <v>0</v>
      </c>
      <c r="R17" s="3478" t="e">
        <f t="shared" si="5"/>
        <v>#DIV/0!</v>
      </c>
      <c r="S17" s="3327">
        <f>'2017 Sector View Gas'!S16</f>
        <v>43012.214999999997</v>
      </c>
      <c r="T17" s="3422">
        <v>0</v>
      </c>
      <c r="U17" s="3458">
        <f t="shared" si="6"/>
        <v>43012.214999999997</v>
      </c>
      <c r="V17" s="3478" t="e">
        <f t="shared" si="7"/>
        <v>#DIV/0!</v>
      </c>
      <c r="W17" s="3290">
        <f t="shared" si="8"/>
        <v>169386.77499999999</v>
      </c>
      <c r="X17" s="3417">
        <v>0</v>
      </c>
      <c r="Y17" s="3470">
        <f t="shared" si="9"/>
        <v>169386.77499999999</v>
      </c>
      <c r="Z17" s="3507" t="e">
        <f t="shared" si="10"/>
        <v>#DIV/0!</v>
      </c>
    </row>
    <row r="18" spans="2:26">
      <c r="B18" s="3293" t="s">
        <v>429</v>
      </c>
      <c r="C18" s="3305" t="s">
        <v>569</v>
      </c>
      <c r="D18" s="2074" t="s">
        <v>570</v>
      </c>
      <c r="G18" s="3288">
        <f>('2017 Sector View Elect'!T18+'2017 Sector View Elect'!T19+'2017 Sector View Elect'!T22)/1000</f>
        <v>1294.2929999999999</v>
      </c>
      <c r="H18" s="3286">
        <v>2000.0000788</v>
      </c>
      <c r="I18" s="3442">
        <f t="shared" si="0"/>
        <v>-705.70707880000009</v>
      </c>
      <c r="J18" s="3478">
        <f t="shared" si="1"/>
        <v>-0.35285352549757115</v>
      </c>
      <c r="K18" s="3287">
        <f>'2017 Sector View Elect'!S18+'2017 Sector View Elect'!S19+'2017 Sector View Elect'!S22</f>
        <v>728455.24</v>
      </c>
      <c r="L18" s="2034">
        <v>795020.27600000007</v>
      </c>
      <c r="M18" s="3456">
        <f t="shared" si="2"/>
        <v>-66565.03600000008</v>
      </c>
      <c r="N18" s="3478">
        <f t="shared" si="3"/>
        <v>-8.3727469612360023E-2</v>
      </c>
      <c r="O18" s="3288">
        <f>'2017 Sector View Gas'!T18+'2017 Sector View Gas'!T17+'2017 Sector View Gas'!T20</f>
        <v>38880</v>
      </c>
      <c r="P18" s="3286">
        <v>52630</v>
      </c>
      <c r="Q18" s="3442">
        <f t="shared" si="4"/>
        <v>-13750</v>
      </c>
      <c r="R18" s="3478">
        <f t="shared" si="5"/>
        <v>-0.26125783773513206</v>
      </c>
      <c r="S18" s="3290">
        <f>'2017 Sector View Gas'!S18+'2017 Sector View Gas'!T17+'2017 Sector View Gas'!S20</f>
        <v>249213.36</v>
      </c>
      <c r="T18" s="3285">
        <v>229125.53600000002</v>
      </c>
      <c r="U18" s="3458">
        <f t="shared" si="6"/>
        <v>20087.823999999964</v>
      </c>
      <c r="V18" s="3478">
        <f t="shared" si="7"/>
        <v>8.7671694524699167E-2</v>
      </c>
      <c r="W18" s="3290">
        <f t="shared" si="8"/>
        <v>977668.6</v>
      </c>
      <c r="X18" s="3416">
        <v>1024145.8120000002</v>
      </c>
      <c r="Y18" s="3470">
        <f t="shared" si="9"/>
        <v>-46477.212000000174</v>
      </c>
      <c r="Z18" s="3507">
        <f t="shared" si="10"/>
        <v>-4.5381440274834775E-2</v>
      </c>
    </row>
    <row r="19" spans="2:26" ht="15.75">
      <c r="B19" s="3293" t="s">
        <v>430</v>
      </c>
      <c r="C19" s="3305">
        <v>216</v>
      </c>
      <c r="D19" s="2074" t="s">
        <v>180</v>
      </c>
      <c r="G19" s="3288">
        <f>'2017 Sector View Elect'!T20/1000</f>
        <v>1949.857</v>
      </c>
      <c r="H19" s="3286">
        <v>1896.7</v>
      </c>
      <c r="I19" s="3442">
        <f t="shared" si="0"/>
        <v>53.156999999999925</v>
      </c>
      <c r="J19" s="3478">
        <f t="shared" si="1"/>
        <v>2.8026045236463289E-2</v>
      </c>
      <c r="K19" s="3287">
        <f>'2017 Sector View Elect'!S20</f>
        <v>837031.26879999996</v>
      </c>
      <c r="L19" s="2034">
        <v>836904.45200000005</v>
      </c>
      <c r="M19" s="3456">
        <f t="shared" si="2"/>
        <v>126.8167999999132</v>
      </c>
      <c r="N19" s="3478">
        <f t="shared" si="3"/>
        <v>1.5153079864356272E-4</v>
      </c>
      <c r="O19" s="3328"/>
      <c r="P19" s="3286"/>
      <c r="Q19" s="3442">
        <f t="shared" si="4"/>
        <v>0</v>
      </c>
      <c r="R19" s="3478" t="e">
        <f t="shared" si="5"/>
        <v>#DIV/0!</v>
      </c>
      <c r="S19" s="3290"/>
      <c r="T19" s="3285"/>
      <c r="U19" s="3458">
        <f t="shared" si="6"/>
        <v>0</v>
      </c>
      <c r="V19" s="3478" t="e">
        <f t="shared" si="7"/>
        <v>#DIV/0!</v>
      </c>
      <c r="W19" s="3290">
        <f t="shared" si="8"/>
        <v>837031.26879999996</v>
      </c>
      <c r="X19" s="3416">
        <v>836904.45200000005</v>
      </c>
      <c r="Y19" s="3470">
        <f t="shared" si="9"/>
        <v>126.8167999999132</v>
      </c>
      <c r="Z19" s="3507">
        <f t="shared" si="10"/>
        <v>1.5153079864356272E-4</v>
      </c>
    </row>
    <row r="20" spans="2:26">
      <c r="B20" s="3293" t="s">
        <v>431</v>
      </c>
      <c r="C20" s="3305">
        <v>217</v>
      </c>
      <c r="D20" s="2074" t="s">
        <v>181</v>
      </c>
      <c r="G20" s="3288">
        <f>'2017 Sector View Elect'!T21/1000</f>
        <v>18985.266</v>
      </c>
      <c r="H20" s="3286">
        <v>19095.964</v>
      </c>
      <c r="I20" s="3442">
        <f t="shared" si="0"/>
        <v>-110.69800000000032</v>
      </c>
      <c r="J20" s="3478">
        <f t="shared" si="1"/>
        <v>-5.7969317495571481E-3</v>
      </c>
      <c r="K20" s="3287">
        <f>'2017 Sector View Elect'!S21</f>
        <v>10074197.525</v>
      </c>
      <c r="L20" s="2034">
        <v>10151098.704</v>
      </c>
      <c r="M20" s="3456">
        <f t="shared" si="2"/>
        <v>-76901.178999999538</v>
      </c>
      <c r="N20" s="3478">
        <f t="shared" si="3"/>
        <v>-7.5756507982428483E-3</v>
      </c>
      <c r="O20" s="3288">
        <f>'2017 Sector View Gas'!T19</f>
        <v>84535.8</v>
      </c>
      <c r="P20" s="3286">
        <v>130945.8</v>
      </c>
      <c r="Q20" s="3442">
        <f t="shared" si="4"/>
        <v>-46410</v>
      </c>
      <c r="R20" s="3478">
        <f t="shared" si="5"/>
        <v>-0.35442144765238748</v>
      </c>
      <c r="S20" s="3290">
        <f>'2017 Sector View Gas'!S19</f>
        <v>608958.42500000005</v>
      </c>
      <c r="T20" s="3285">
        <v>983826.09600000002</v>
      </c>
      <c r="U20" s="3458">
        <f t="shared" si="6"/>
        <v>-374867.67099999997</v>
      </c>
      <c r="V20" s="3478">
        <f t="shared" si="7"/>
        <v>-0.38103042044129715</v>
      </c>
      <c r="W20" s="3290">
        <f t="shared" si="8"/>
        <v>10683155.950000001</v>
      </c>
      <c r="X20" s="3416">
        <v>11134924.800000001</v>
      </c>
      <c r="Y20" s="3470">
        <f t="shared" si="9"/>
        <v>-451768.84999999963</v>
      </c>
      <c r="Z20" s="3507">
        <f t="shared" si="10"/>
        <v>-4.0572240775258728E-2</v>
      </c>
    </row>
    <row r="21" spans="2:26">
      <c r="B21" s="3293" t="s">
        <v>432</v>
      </c>
      <c r="C21" s="3305"/>
      <c r="D21" s="1678" t="s">
        <v>183</v>
      </c>
      <c r="E21" s="1678"/>
      <c r="F21" s="1678"/>
      <c r="G21" s="3329">
        <f>G6+G7+SUM(G18:G20)</f>
        <v>120761.58193999999</v>
      </c>
      <c r="H21" s="3330">
        <v>128637</v>
      </c>
      <c r="I21" s="3442">
        <f t="shared" si="0"/>
        <v>-7875.4180600000109</v>
      </c>
      <c r="J21" s="3478">
        <f t="shared" si="1"/>
        <v>-6.1222028343322771E-2</v>
      </c>
      <c r="K21" s="3331">
        <f>K6+K7+SUM(K18:K20)</f>
        <v>43032312.220919997</v>
      </c>
      <c r="L21" s="3332">
        <v>45684186.461099997</v>
      </c>
      <c r="M21" s="3456">
        <f t="shared" si="2"/>
        <v>-2651874.2401800007</v>
      </c>
      <c r="N21" s="3478">
        <f t="shared" si="3"/>
        <v>-5.804796901523171E-2</v>
      </c>
      <c r="O21" s="3329">
        <f>O6+O7+SUM(O18:O20)</f>
        <v>1558906.75</v>
      </c>
      <c r="P21" s="3330">
        <v>1646670.32</v>
      </c>
      <c r="Q21" s="3442">
        <f t="shared" si="4"/>
        <v>-87763.570000000065</v>
      </c>
      <c r="R21" s="3478">
        <f>(O21-P21)/P21</f>
        <v>-5.3297596327600089E-2</v>
      </c>
      <c r="S21" s="3333">
        <f>S6+S7+SUM(S18:S20)</f>
        <v>6831311.1900900006</v>
      </c>
      <c r="T21" s="3423">
        <v>7311602.1690800013</v>
      </c>
      <c r="U21" s="3458">
        <f t="shared" si="6"/>
        <v>-480290.97899000067</v>
      </c>
      <c r="V21" s="3478">
        <f t="shared" si="7"/>
        <v>-6.5688882940198909E-2</v>
      </c>
      <c r="W21" s="3333">
        <f t="shared" si="8"/>
        <v>49863623.411009997</v>
      </c>
      <c r="X21" s="3416">
        <v>52995788.630180001</v>
      </c>
      <c r="Y21" s="3470">
        <f t="shared" si="9"/>
        <v>-3132165.2191700041</v>
      </c>
      <c r="Z21" s="3508">
        <f t="shared" si="10"/>
        <v>-5.9102153211213863E-2</v>
      </c>
    </row>
    <row r="22" spans="2:26">
      <c r="B22" s="3293"/>
      <c r="C22" s="3334"/>
      <c r="D22" s="3335"/>
      <c r="E22" s="3336"/>
      <c r="F22" s="3336"/>
      <c r="G22" s="3337"/>
      <c r="H22" s="3338"/>
      <c r="I22" s="3443"/>
      <c r="J22" s="3479"/>
      <c r="K22" s="3339"/>
      <c r="L22" s="3340"/>
      <c r="M22" s="3457"/>
      <c r="N22" s="3493"/>
      <c r="O22" s="3341"/>
      <c r="P22" s="3342"/>
      <c r="Q22" s="3464"/>
      <c r="R22" s="3499"/>
      <c r="S22" s="3339"/>
      <c r="T22" s="3340"/>
      <c r="U22" s="3457"/>
      <c r="V22" s="3493"/>
      <c r="W22" s="3343"/>
      <c r="X22" s="3418"/>
      <c r="Y22" s="3471"/>
      <c r="Z22" s="3506"/>
    </row>
    <row r="23" spans="2:26" ht="15.75">
      <c r="B23" s="3344"/>
      <c r="C23" s="3345"/>
      <c r="D23" s="3298" t="s">
        <v>147</v>
      </c>
      <c r="E23" s="3298"/>
      <c r="F23" s="3298"/>
      <c r="G23" s="3306"/>
      <c r="H23" s="3299"/>
      <c r="I23" s="3441"/>
      <c r="J23" s="3477"/>
      <c r="K23" s="3306"/>
      <c r="L23" s="3299"/>
      <c r="M23" s="3441"/>
      <c r="N23" s="3477"/>
      <c r="O23" s="3306"/>
      <c r="P23" s="3299"/>
      <c r="Q23" s="3441"/>
      <c r="R23" s="3477"/>
      <c r="S23" s="3306"/>
      <c r="T23" s="3299"/>
      <c r="U23" s="3441"/>
      <c r="V23" s="3477"/>
      <c r="W23" s="3306"/>
      <c r="Y23" s="3470"/>
      <c r="Z23" s="3506"/>
    </row>
    <row r="24" spans="2:26">
      <c r="B24" s="3293" t="s">
        <v>586</v>
      </c>
      <c r="C24" s="3305">
        <v>250</v>
      </c>
      <c r="D24" s="2074" t="s">
        <v>185</v>
      </c>
      <c r="G24" s="3288">
        <f>'2017 Sector View Elect'!T27/1000</f>
        <v>26000</v>
      </c>
      <c r="H24" s="3286">
        <f>25500000/1000</f>
        <v>25500</v>
      </c>
      <c r="I24" s="3442">
        <f>G24-H24</f>
        <v>500</v>
      </c>
      <c r="J24" s="3478">
        <f t="shared" ref="J24:J43" si="11">(G24-H24)/H24</f>
        <v>1.9607843137254902E-2</v>
      </c>
      <c r="K24" s="3290">
        <f>'2017 Sector View Elect'!S27</f>
        <v>7372060.3583306391</v>
      </c>
      <c r="L24" s="3285">
        <v>7601043</v>
      </c>
      <c r="M24" s="3458">
        <f>K24-L24</f>
        <v>-228982.64166936092</v>
      </c>
      <c r="N24" s="3478">
        <f t="shared" ref="N24:N43" si="12">(K24-L24)/L24</f>
        <v>-3.0125160674575966E-2</v>
      </c>
      <c r="O24" s="3288">
        <f>'2017 Sector View Gas'!T26</f>
        <v>425000</v>
      </c>
      <c r="P24" s="3286">
        <v>375000</v>
      </c>
      <c r="Q24" s="3442">
        <f>O24-P24</f>
        <v>50000</v>
      </c>
      <c r="R24" s="3478">
        <f>(O24-P24)/P24</f>
        <v>0.13333333333333333</v>
      </c>
      <c r="S24" s="3290">
        <f>'2017 Sector View Gas'!S26</f>
        <v>1998657</v>
      </c>
      <c r="T24" s="3285">
        <v>1801285.73</v>
      </c>
      <c r="U24" s="3458">
        <f>S24-T24</f>
        <v>197371.27000000002</v>
      </c>
      <c r="V24" s="3478">
        <f t="shared" ref="V24:V43" si="13">(S24-T24)/T24</f>
        <v>0.10957243857141977</v>
      </c>
      <c r="W24" s="3290">
        <f t="shared" ref="W24:W43" si="14">K24+S24</f>
        <v>9370717.3583306391</v>
      </c>
      <c r="X24" s="3416">
        <f>L24+T24</f>
        <v>9402328.7300000004</v>
      </c>
      <c r="Y24" s="3470">
        <f t="shared" si="9"/>
        <v>-31611.371669361368</v>
      </c>
      <c r="Z24" s="3507">
        <f t="shared" ref="Z24:Z43" si="15">(W24-X24)/X24</f>
        <v>-3.3620789675752345E-3</v>
      </c>
    </row>
    <row r="25" spans="2:26">
      <c r="B25" s="3293"/>
      <c r="C25" s="3305">
        <v>250</v>
      </c>
      <c r="D25" s="2074" t="s">
        <v>633</v>
      </c>
      <c r="G25" s="3288">
        <f>'2017 Sector View Elect'!T28/1000</f>
        <v>46000</v>
      </c>
      <c r="H25" s="3286">
        <f>40300000/1000</f>
        <v>40300</v>
      </c>
      <c r="I25" s="3442">
        <f>G25-H25</f>
        <v>5700</v>
      </c>
      <c r="J25" s="3478">
        <f t="shared" ref="J25" si="16">(G25-H25)/H25</f>
        <v>0.14143920595533499</v>
      </c>
      <c r="K25" s="3290">
        <f>'2017 Sector View Elect'!S28</f>
        <v>11552669.9376</v>
      </c>
      <c r="L25" s="3285">
        <v>10757440</v>
      </c>
      <c r="M25" s="3458">
        <f>K25-L25</f>
        <v>795229.93759999983</v>
      </c>
      <c r="N25" s="3478">
        <f t="shared" ref="N25" si="17">(K25-L25)/L25</f>
        <v>7.3923715828301137E-2</v>
      </c>
      <c r="O25" s="3288"/>
      <c r="P25" s="3286"/>
      <c r="Q25" s="3442"/>
      <c r="R25" s="3478"/>
      <c r="S25" s="3290"/>
      <c r="T25" s="3285"/>
      <c r="U25" s="3458"/>
      <c r="V25" s="3478"/>
      <c r="W25" s="3290">
        <f>K25+S25</f>
        <v>11552669.9376</v>
      </c>
      <c r="X25" s="3416">
        <f>L25+T25</f>
        <v>10757440</v>
      </c>
      <c r="Y25" s="3470">
        <f t="shared" ref="Y25" si="18">W25-X25</f>
        <v>795229.93759999983</v>
      </c>
      <c r="Z25" s="3507">
        <f t="shared" ref="Z25" si="19">(W25-X25)/X25</f>
        <v>7.3923715828301137E-2</v>
      </c>
    </row>
    <row r="26" spans="2:26">
      <c r="B26" s="3293" t="s">
        <v>565</v>
      </c>
      <c r="C26" s="3305">
        <v>251</v>
      </c>
      <c r="D26" s="2074" t="s">
        <v>137</v>
      </c>
      <c r="G26" s="3288">
        <f>'2017 Sector View Elect'!T29/1000</f>
        <v>10000</v>
      </c>
      <c r="H26" s="3286">
        <v>6981.03</v>
      </c>
      <c r="I26" s="3442">
        <f t="shared" ref="I26:I35" si="20">G26-H26</f>
        <v>3018.9700000000003</v>
      </c>
      <c r="J26" s="3478">
        <f t="shared" si="11"/>
        <v>0.43245337722370486</v>
      </c>
      <c r="K26" s="3290">
        <f>'2017 Sector View Elect'!S29</f>
        <v>2482962.52</v>
      </c>
      <c r="L26" s="3285">
        <v>2037260</v>
      </c>
      <c r="M26" s="3458">
        <f t="shared" ref="M26:M43" si="21">K26-L26</f>
        <v>445702.52</v>
      </c>
      <c r="N26" s="3478">
        <f t="shared" si="12"/>
        <v>0.21877547293914376</v>
      </c>
      <c r="O26" s="3288">
        <f>'2017 Sector View Gas'!T27</f>
        <v>100000</v>
      </c>
      <c r="P26" s="3286">
        <v>165375</v>
      </c>
      <c r="Q26" s="3442">
        <f t="shared" ref="Q26:Q43" si="22">O26-P26</f>
        <v>-65375</v>
      </c>
      <c r="R26" s="3478">
        <f t="shared" ref="R26:R35" si="23">(O26-P26)/P26</f>
        <v>-0.39531368102796677</v>
      </c>
      <c r="S26" s="3290">
        <f>'2017 Sector View Gas'!S27</f>
        <v>534927.49349999998</v>
      </c>
      <c r="T26" s="3285">
        <v>663467.35</v>
      </c>
      <c r="U26" s="3458">
        <f t="shared" ref="U26:U43" si="24">S26-T26</f>
        <v>-128539.85649999999</v>
      </c>
      <c r="V26" s="3478">
        <f t="shared" si="13"/>
        <v>-0.1937395359394852</v>
      </c>
      <c r="W26" s="3290">
        <f t="shared" si="14"/>
        <v>3017890.0134999999</v>
      </c>
      <c r="X26" s="3416">
        <v>2700727.35</v>
      </c>
      <c r="Y26" s="3470">
        <f t="shared" si="9"/>
        <v>317162.66349999979</v>
      </c>
      <c r="Z26" s="3507">
        <f t="shared" si="15"/>
        <v>0.11743601718996173</v>
      </c>
    </row>
    <row r="27" spans="2:26" s="1678" customFormat="1">
      <c r="B27" s="3344" t="s">
        <v>433</v>
      </c>
      <c r="C27" s="3515">
        <v>253</v>
      </c>
      <c r="D27" s="1678" t="s">
        <v>2628</v>
      </c>
      <c r="G27" s="3329">
        <f>SUM(G28:G30)</f>
        <v>30250</v>
      </c>
      <c r="H27" s="3330">
        <v>30250</v>
      </c>
      <c r="I27" s="3516">
        <f t="shared" si="20"/>
        <v>0</v>
      </c>
      <c r="J27" s="3486">
        <f t="shared" si="11"/>
        <v>0</v>
      </c>
      <c r="K27" s="3333">
        <f>SUM(K28:K30)</f>
        <v>2038023.0559799999</v>
      </c>
      <c r="L27" s="3423">
        <v>1942498.9368</v>
      </c>
      <c r="M27" s="3517">
        <f t="shared" si="21"/>
        <v>95524.119179999921</v>
      </c>
      <c r="N27" s="3486">
        <f t="shared" si="12"/>
        <v>4.9175892645461509E-2</v>
      </c>
      <c r="O27" s="3329">
        <f>SUM(O28:O30)</f>
        <v>550000</v>
      </c>
      <c r="P27" s="3330">
        <v>550000</v>
      </c>
      <c r="Q27" s="3516">
        <f t="shared" si="22"/>
        <v>0</v>
      </c>
      <c r="R27" s="3486">
        <f t="shared" si="23"/>
        <v>0</v>
      </c>
      <c r="S27" s="3333">
        <f>SUM(S28:S30)</f>
        <v>546323.89225999999</v>
      </c>
      <c r="T27" s="3423">
        <v>508051.02159999998</v>
      </c>
      <c r="U27" s="3517">
        <f t="shared" si="24"/>
        <v>38272.870660000015</v>
      </c>
      <c r="V27" s="3486">
        <f t="shared" si="13"/>
        <v>7.5332730440079917E-2</v>
      </c>
      <c r="W27" s="3290">
        <f t="shared" si="14"/>
        <v>2584346.9482399998</v>
      </c>
      <c r="X27" s="3518">
        <v>2450549.9583999999</v>
      </c>
      <c r="Y27" s="3473">
        <f t="shared" si="9"/>
        <v>133796.98983999994</v>
      </c>
      <c r="Z27" s="3509">
        <f t="shared" si="15"/>
        <v>5.459876032372666E-2</v>
      </c>
    </row>
    <row r="28" spans="2:26">
      <c r="B28" s="3293"/>
      <c r="C28" s="3305"/>
      <c r="E28" s="2074" t="s">
        <v>519</v>
      </c>
      <c r="G28" s="3288">
        <f>'2017 Sector View Elect'!T31/1000</f>
        <v>14250</v>
      </c>
      <c r="H28" s="3286">
        <v>14250</v>
      </c>
      <c r="I28" s="3442">
        <f>G28-H28</f>
        <v>0</v>
      </c>
      <c r="J28" s="3478">
        <f t="shared" si="11"/>
        <v>0</v>
      </c>
      <c r="K28" s="3290">
        <f>'2017 Sector View Elect'!S31</f>
        <v>1434980</v>
      </c>
      <c r="L28" s="3285">
        <v>1349300</v>
      </c>
      <c r="M28" s="3458">
        <f>K28-L28</f>
        <v>85680</v>
      </c>
      <c r="N28" s="3478">
        <f t="shared" si="12"/>
        <v>6.3499592381234718E-2</v>
      </c>
      <c r="O28" s="3288">
        <f>'2017 Sector View Gas'!T29</f>
        <v>550000</v>
      </c>
      <c r="P28" s="3286">
        <v>550000</v>
      </c>
      <c r="Q28" s="3442">
        <f>O28-P28</f>
        <v>0</v>
      </c>
      <c r="R28" s="3478">
        <f t="shared" si="23"/>
        <v>0</v>
      </c>
      <c r="S28" s="3290">
        <f>'2017 Sector View Gas'!S29</f>
        <v>522150</v>
      </c>
      <c r="T28" s="3285">
        <v>486200</v>
      </c>
      <c r="U28" s="3458">
        <f>S28-T28</f>
        <v>35950</v>
      </c>
      <c r="V28" s="3478">
        <f t="shared" si="13"/>
        <v>7.3940765117235699E-2</v>
      </c>
      <c r="W28" s="3290">
        <f t="shared" si="14"/>
        <v>1957130</v>
      </c>
      <c r="X28" s="3416">
        <f>L28+T28</f>
        <v>1835500</v>
      </c>
      <c r="Y28" s="3470">
        <f t="shared" si="9"/>
        <v>121630</v>
      </c>
      <c r="Z28" s="3507">
        <f t="shared" si="15"/>
        <v>6.626532280032689E-2</v>
      </c>
    </row>
    <row r="29" spans="2:26">
      <c r="B29" s="3293"/>
      <c r="C29" s="3305"/>
      <c r="E29" s="2074" t="s">
        <v>2629</v>
      </c>
      <c r="G29" s="3288">
        <f>'2017 Sector View Elect'!T32/1000</f>
        <v>16000</v>
      </c>
      <c r="H29" s="3286">
        <v>16000</v>
      </c>
      <c r="I29" s="3442">
        <f>G29-H29</f>
        <v>0</v>
      </c>
      <c r="J29" s="3478">
        <f t="shared" si="11"/>
        <v>0</v>
      </c>
      <c r="K29" s="3290">
        <f>'2017 Sector View Elect'!S32</f>
        <v>494086</v>
      </c>
      <c r="L29" s="3285">
        <v>494086</v>
      </c>
      <c r="M29" s="3458">
        <f>K29-L29</f>
        <v>0</v>
      </c>
      <c r="N29" s="3478">
        <f t="shared" si="12"/>
        <v>0</v>
      </c>
      <c r="O29" s="3288"/>
      <c r="P29" s="3286">
        <v>0</v>
      </c>
      <c r="Q29" s="3442">
        <f>O29-P29</f>
        <v>0</v>
      </c>
      <c r="R29" s="3478" t="e">
        <f t="shared" si="23"/>
        <v>#DIV/0!</v>
      </c>
      <c r="S29" s="3290"/>
      <c r="T29" s="3285"/>
      <c r="U29" s="3458"/>
      <c r="V29" s="3478"/>
      <c r="W29" s="3290">
        <f t="shared" si="14"/>
        <v>494086</v>
      </c>
      <c r="X29" s="3416">
        <f t="shared" ref="X29:X42" si="25">L29+T29</f>
        <v>494086</v>
      </c>
      <c r="Y29" s="3470">
        <f t="shared" si="9"/>
        <v>0</v>
      </c>
      <c r="Z29" s="3507">
        <f t="shared" si="15"/>
        <v>0</v>
      </c>
    </row>
    <row r="30" spans="2:26">
      <c r="B30" s="3293"/>
      <c r="C30" s="3305"/>
      <c r="E30" s="2074" t="s">
        <v>1533</v>
      </c>
      <c r="G30" s="3288">
        <f>'2017 Sector View Elect'!T33/1000</f>
        <v>0</v>
      </c>
      <c r="H30" s="3286">
        <v>0</v>
      </c>
      <c r="I30" s="3442"/>
      <c r="J30" s="3478" t="e">
        <f t="shared" si="11"/>
        <v>#DIV/0!</v>
      </c>
      <c r="K30" s="3290">
        <f>'2017 Sector View Elect'!S33</f>
        <v>108957.05598</v>
      </c>
      <c r="L30" s="3285">
        <v>99113</v>
      </c>
      <c r="M30" s="3458">
        <f>K30-L30</f>
        <v>9844.0559800000046</v>
      </c>
      <c r="N30" s="3478">
        <f t="shared" si="12"/>
        <v>9.9321541876444111E-2</v>
      </c>
      <c r="O30" s="3288">
        <f>'2017 Sector View Gas'!T30</f>
        <v>0</v>
      </c>
      <c r="P30" s="3286">
        <v>0</v>
      </c>
      <c r="Q30" s="3442">
        <f>O30-P30</f>
        <v>0</v>
      </c>
      <c r="R30" s="3478" t="e">
        <f t="shared" si="23"/>
        <v>#DIV/0!</v>
      </c>
      <c r="S30" s="3290">
        <f>'2017 Sector View Gas'!S30</f>
        <v>24173.892260000001</v>
      </c>
      <c r="T30" s="3285">
        <v>21851</v>
      </c>
      <c r="U30" s="3458">
        <f>S30-T30</f>
        <v>2322.8922600000005</v>
      </c>
      <c r="V30" s="3478">
        <f t="shared" si="13"/>
        <v>0.10630599331838363</v>
      </c>
      <c r="W30" s="3290">
        <f t="shared" si="14"/>
        <v>133130.94824</v>
      </c>
      <c r="X30" s="3416">
        <f t="shared" si="25"/>
        <v>120964</v>
      </c>
      <c r="Y30" s="3470">
        <f t="shared" si="9"/>
        <v>12166.948239999998</v>
      </c>
      <c r="Z30" s="3507">
        <f t="shared" si="15"/>
        <v>0.10058321682484044</v>
      </c>
    </row>
    <row r="31" spans="2:26" s="1678" customFormat="1">
      <c r="B31" s="3344" t="s">
        <v>699</v>
      </c>
      <c r="C31" s="3515" t="s">
        <v>133</v>
      </c>
      <c r="D31" s="1678" t="s">
        <v>186</v>
      </c>
      <c r="G31" s="3329">
        <f>G32+G33</f>
        <v>21474.004999999997</v>
      </c>
      <c r="H31" s="3330">
        <v>31462.657999999999</v>
      </c>
      <c r="I31" s="3516">
        <f>G31-H31</f>
        <v>-9988.6530000000021</v>
      </c>
      <c r="J31" s="3486">
        <f t="shared" si="11"/>
        <v>-0.31747645097245131</v>
      </c>
      <c r="K31" s="3333">
        <f>SUM(K32:K33)</f>
        <v>10965426.183679529</v>
      </c>
      <c r="L31" s="3423">
        <v>9935046.0064904131</v>
      </c>
      <c r="M31" s="3517">
        <f t="shared" si="21"/>
        <v>1030380.1771891154</v>
      </c>
      <c r="N31" s="3486">
        <f t="shared" si="12"/>
        <v>0.10371166640959527</v>
      </c>
      <c r="O31" s="3329"/>
      <c r="P31" s="3330"/>
      <c r="Q31" s="3516">
        <f t="shared" si="22"/>
        <v>0</v>
      </c>
      <c r="R31" s="3478" t="e">
        <f t="shared" si="23"/>
        <v>#DIV/0!</v>
      </c>
      <c r="S31" s="3333"/>
      <c r="T31" s="3423"/>
      <c r="U31" s="3517">
        <f t="shared" si="24"/>
        <v>0</v>
      </c>
      <c r="V31" s="3478" t="e">
        <f t="shared" si="13"/>
        <v>#DIV/0!</v>
      </c>
      <c r="W31" s="3290">
        <f t="shared" si="14"/>
        <v>10965426.183679529</v>
      </c>
      <c r="X31" s="3518">
        <v>9935046.0064904131</v>
      </c>
      <c r="Y31" s="3473">
        <f t="shared" si="9"/>
        <v>1030380.1771891154</v>
      </c>
      <c r="Z31" s="3509">
        <f t="shared" si="15"/>
        <v>0.10371166640959527</v>
      </c>
    </row>
    <row r="32" spans="2:26">
      <c r="B32" s="3293"/>
      <c r="C32" s="3305"/>
      <c r="E32" s="2074" t="s">
        <v>2630</v>
      </c>
      <c r="G32" s="3288">
        <f>'2017 Sector View Elect'!T35/1000</f>
        <v>4245.9759999999997</v>
      </c>
      <c r="H32" s="3286">
        <v>8492</v>
      </c>
      <c r="I32" s="3442">
        <f>G32-H32</f>
        <v>-4246.0240000000003</v>
      </c>
      <c r="J32" s="3478">
        <f t="shared" si="11"/>
        <v>-0.50000282618935477</v>
      </c>
      <c r="K32" s="3290">
        <f>'2017 Sector View Elect'!S35</f>
        <v>2522838.082323276</v>
      </c>
      <c r="L32" s="3285">
        <v>2682213</v>
      </c>
      <c r="M32" s="3458">
        <f>K32-L32</f>
        <v>-159374.91767672403</v>
      </c>
      <c r="N32" s="3478">
        <f t="shared" si="12"/>
        <v>-5.9419187691926043E-2</v>
      </c>
      <c r="O32" s="3288"/>
      <c r="P32" s="3286"/>
      <c r="Q32" s="3442"/>
      <c r="R32" s="3478"/>
      <c r="S32" s="3290"/>
      <c r="T32" s="3285"/>
      <c r="U32" s="3458"/>
      <c r="V32" s="3478"/>
      <c r="W32" s="3290">
        <f t="shared" si="14"/>
        <v>2522838.082323276</v>
      </c>
      <c r="X32" s="3416">
        <f t="shared" si="25"/>
        <v>2682213</v>
      </c>
      <c r="Y32" s="3470">
        <f t="shared" si="9"/>
        <v>-159374.91767672403</v>
      </c>
      <c r="Z32" s="3507">
        <f t="shared" si="15"/>
        <v>-5.9419187691926043E-2</v>
      </c>
    </row>
    <row r="33" spans="2:26">
      <c r="B33" s="3293"/>
      <c r="C33" s="3305"/>
      <c r="E33" s="2074" t="s">
        <v>2631</v>
      </c>
      <c r="G33" s="3288">
        <f>'2017 Sector View Elect'!T36/1000</f>
        <v>17228.028999999999</v>
      </c>
      <c r="H33" s="3286">
        <v>22971</v>
      </c>
      <c r="I33" s="3442">
        <f>G33-H33</f>
        <v>-5742.9710000000014</v>
      </c>
      <c r="J33" s="3478">
        <f t="shared" si="11"/>
        <v>-0.25000962082625927</v>
      </c>
      <c r="K33" s="3290">
        <f>'2017 Sector View Elect'!S36</f>
        <v>8442588.101356253</v>
      </c>
      <c r="L33" s="3285">
        <v>7252833</v>
      </c>
      <c r="M33" s="3458">
        <f>K33-L33</f>
        <v>1189755.101356253</v>
      </c>
      <c r="N33" s="3478">
        <f t="shared" si="12"/>
        <v>0.16404005184680981</v>
      </c>
      <c r="O33" s="3288"/>
      <c r="P33" s="3286"/>
      <c r="Q33" s="3442"/>
      <c r="R33" s="3478"/>
      <c r="S33" s="3290"/>
      <c r="T33" s="3285"/>
      <c r="U33" s="3458"/>
      <c r="V33" s="3478"/>
      <c r="W33" s="3290">
        <f t="shared" si="14"/>
        <v>8442588.101356253</v>
      </c>
      <c r="X33" s="3416">
        <f t="shared" si="25"/>
        <v>7252833</v>
      </c>
      <c r="Y33" s="3470">
        <f t="shared" si="9"/>
        <v>1189755.101356253</v>
      </c>
      <c r="Z33" s="3507">
        <f t="shared" si="15"/>
        <v>0.16404005184680981</v>
      </c>
    </row>
    <row r="34" spans="2:26">
      <c r="B34" s="3293" t="s">
        <v>434</v>
      </c>
      <c r="C34" s="3303" t="s">
        <v>250</v>
      </c>
      <c r="D34" s="3294" t="s">
        <v>187</v>
      </c>
      <c r="E34" s="3308"/>
      <c r="G34" s="3288">
        <f>'2017 Sector View Elect'!T37/1000</f>
        <v>0</v>
      </c>
      <c r="H34" s="3286">
        <v>0</v>
      </c>
      <c r="I34" s="3442">
        <f t="shared" si="20"/>
        <v>0</v>
      </c>
      <c r="J34" s="3478" t="e">
        <f t="shared" si="11"/>
        <v>#DIV/0!</v>
      </c>
      <c r="K34" s="3287">
        <f>'2017 Sector View Elect'!S37</f>
        <v>0</v>
      </c>
      <c r="L34" s="2034">
        <v>0</v>
      </c>
      <c r="M34" s="3458">
        <f>K34-L34</f>
        <v>0</v>
      </c>
      <c r="N34" s="3478" t="e">
        <f t="shared" si="12"/>
        <v>#DIV/0!</v>
      </c>
      <c r="O34" s="3288">
        <f>'2017 Sector View Gas'!T31</f>
        <v>0</v>
      </c>
      <c r="P34" s="3286">
        <v>0</v>
      </c>
      <c r="Q34" s="3442">
        <f t="shared" si="22"/>
        <v>0</v>
      </c>
      <c r="R34" s="3478" t="e">
        <f t="shared" ref="R34" si="26">(O34-P34)/P34</f>
        <v>#DIV/0!</v>
      </c>
      <c r="S34" s="3287">
        <f>'2017 Sector View Gas'!S31</f>
        <v>0</v>
      </c>
      <c r="T34" s="2034">
        <v>0</v>
      </c>
      <c r="U34" s="3458">
        <f t="shared" si="24"/>
        <v>0</v>
      </c>
      <c r="V34" s="3478" t="e">
        <f t="shared" si="13"/>
        <v>#DIV/0!</v>
      </c>
      <c r="W34" s="3290">
        <f t="shared" si="14"/>
        <v>0</v>
      </c>
      <c r="X34" s="3416">
        <f t="shared" si="25"/>
        <v>0</v>
      </c>
      <c r="Y34" s="3470">
        <f t="shared" si="9"/>
        <v>0</v>
      </c>
      <c r="Z34" s="3507" t="e">
        <f t="shared" si="15"/>
        <v>#DIV/0!</v>
      </c>
    </row>
    <row r="35" spans="2:26" s="1678" customFormat="1">
      <c r="B35" s="3344" t="s">
        <v>435</v>
      </c>
      <c r="C35" s="3515">
        <v>262</v>
      </c>
      <c r="D35" s="1678" t="s">
        <v>188</v>
      </c>
      <c r="G35" s="3329">
        <f>SUM(G36:G42)</f>
        <v>33031.055394967501</v>
      </c>
      <c r="H35" s="3330">
        <v>32040.134100000003</v>
      </c>
      <c r="I35" s="3516">
        <f t="shared" si="20"/>
        <v>990.9212949674984</v>
      </c>
      <c r="J35" s="3486">
        <f t="shared" si="11"/>
        <v>3.0927501485316766E-2</v>
      </c>
      <c r="K35" s="3333">
        <f>SUM(K36:K42)</f>
        <v>8135271.8461025013</v>
      </c>
      <c r="L35" s="3423">
        <v>7428158.4486100003</v>
      </c>
      <c r="M35" s="3517">
        <f t="shared" si="21"/>
        <v>707113.39749250095</v>
      </c>
      <c r="N35" s="3486">
        <f t="shared" si="12"/>
        <v>9.5193634113286865E-2</v>
      </c>
      <c r="O35" s="3329">
        <f>SUM(O36:O42)</f>
        <v>576665.1</v>
      </c>
      <c r="P35" s="3330">
        <v>688307.4</v>
      </c>
      <c r="Q35" s="3516">
        <f t="shared" si="22"/>
        <v>-111642.30000000005</v>
      </c>
      <c r="R35" s="3486">
        <f t="shared" si="23"/>
        <v>-0.16219831429968651</v>
      </c>
      <c r="S35" s="3333">
        <f>SUM(S36:S42)</f>
        <v>1695323.8787799999</v>
      </c>
      <c r="T35" s="3423">
        <v>1815622.5308999999</v>
      </c>
      <c r="U35" s="3517">
        <f t="shared" si="24"/>
        <v>-120298.65211999998</v>
      </c>
      <c r="V35" s="3486">
        <f t="shared" si="13"/>
        <v>-6.6257523286169087E-2</v>
      </c>
      <c r="W35" s="3290">
        <f t="shared" si="14"/>
        <v>9830595.7248825021</v>
      </c>
      <c r="X35" s="3518">
        <v>9243780.97951</v>
      </c>
      <c r="Y35" s="3473">
        <f t="shared" si="9"/>
        <v>586814.74537250213</v>
      </c>
      <c r="Z35" s="3509">
        <f t="shared" si="15"/>
        <v>6.348211264127207E-2</v>
      </c>
    </row>
    <row r="36" spans="2:26">
      <c r="B36" s="3293"/>
      <c r="C36" s="3305"/>
      <c r="E36" s="2074" t="s">
        <v>635</v>
      </c>
      <c r="G36" s="3288">
        <f>'2017 Sector View Elect'!T39/1000</f>
        <v>10447.837</v>
      </c>
      <c r="H36" s="3286">
        <v>10901</v>
      </c>
      <c r="I36" s="3442">
        <f t="shared" ref="I36:I43" si="27">G36-H36</f>
        <v>-453.16300000000047</v>
      </c>
      <c r="J36" s="3478">
        <f t="shared" si="11"/>
        <v>-4.1570773323548339E-2</v>
      </c>
      <c r="K36" s="3290">
        <f>'2017 Sector View Elect'!S39</f>
        <v>1221230.4915149999</v>
      </c>
      <c r="L36" s="3285">
        <v>1392564</v>
      </c>
      <c r="M36" s="3458">
        <f t="shared" ref="M36:M42" si="28">K36-L36</f>
        <v>-171333.50848500011</v>
      </c>
      <c r="N36" s="3478">
        <f t="shared" si="12"/>
        <v>-0.12303456680267486</v>
      </c>
      <c r="O36" s="3288"/>
      <c r="P36" s="3286"/>
      <c r="Q36" s="3442"/>
      <c r="R36" s="3478"/>
      <c r="S36" s="3290"/>
      <c r="T36" s="3285"/>
      <c r="U36" s="3458"/>
      <c r="V36" s="3478"/>
      <c r="W36" s="3290">
        <f t="shared" si="14"/>
        <v>1221230.4915149999</v>
      </c>
      <c r="X36" s="3416">
        <f t="shared" si="25"/>
        <v>1392564</v>
      </c>
      <c r="Y36" s="3470">
        <f t="shared" si="9"/>
        <v>-171333.50848500011</v>
      </c>
      <c r="Z36" s="3507">
        <f t="shared" si="15"/>
        <v>-0.12303456680267486</v>
      </c>
    </row>
    <row r="37" spans="2:26">
      <c r="B37" s="3293"/>
      <c r="C37" s="3305"/>
      <c r="E37" s="2074" t="s">
        <v>625</v>
      </c>
      <c r="G37" s="3288">
        <f>'2017 Sector View Elect'!T40/1000</f>
        <v>1112.6010000000001</v>
      </c>
      <c r="H37" s="3286">
        <v>1113</v>
      </c>
      <c r="I37" s="3442">
        <f t="shared" si="27"/>
        <v>-0.39899999999988722</v>
      </c>
      <c r="J37" s="3478">
        <f t="shared" si="11"/>
        <v>-3.5849056603763451E-4</v>
      </c>
      <c r="K37" s="3290">
        <f>'2017 Sector View Elect'!S40</f>
        <v>235202.57059999998</v>
      </c>
      <c r="L37" s="3285">
        <v>239463</v>
      </c>
      <c r="M37" s="3458">
        <f t="shared" si="28"/>
        <v>-4260.4294000000227</v>
      </c>
      <c r="N37" s="3478">
        <f t="shared" si="12"/>
        <v>-1.7791597866893938E-2</v>
      </c>
      <c r="O37" s="3288">
        <f>'2017 Sector View Gas'!T33</f>
        <v>225939.30000000002</v>
      </c>
      <c r="P37" s="3286">
        <v>226537</v>
      </c>
      <c r="Q37" s="3442">
        <f t="shared" ref="Q37:Q42" si="29">O37-P37</f>
        <v>-597.69999999998254</v>
      </c>
      <c r="R37" s="3478">
        <f t="shared" ref="R37:R42" si="30">(O37-P37)/P37</f>
        <v>-2.6384210967744012E-3</v>
      </c>
      <c r="S37" s="3290">
        <f>'2017 Sector View Gas'!S33</f>
        <v>431247.57549999998</v>
      </c>
      <c r="T37" s="3285">
        <v>425767</v>
      </c>
      <c r="U37" s="3458">
        <f>S37-T37</f>
        <v>5480.5754999999772</v>
      </c>
      <c r="V37" s="3478">
        <f t="shared" si="13"/>
        <v>1.287224115537366E-2</v>
      </c>
      <c r="W37" s="3290">
        <f t="shared" si="14"/>
        <v>666450.14610000001</v>
      </c>
      <c r="X37" s="3416">
        <f t="shared" si="25"/>
        <v>665230</v>
      </c>
      <c r="Y37" s="3470">
        <f t="shared" si="9"/>
        <v>1220.1461000000127</v>
      </c>
      <c r="Z37" s="3507">
        <f t="shared" si="15"/>
        <v>1.834171790207917E-3</v>
      </c>
    </row>
    <row r="38" spans="2:26">
      <c r="B38" s="3293"/>
      <c r="C38" s="3305"/>
      <c r="E38" s="2074" t="s">
        <v>621</v>
      </c>
      <c r="G38" s="3288">
        <f>'2017 Sector View Elect'!T42/1000</f>
        <v>3448.5219999999999</v>
      </c>
      <c r="H38" s="3286">
        <v>3690</v>
      </c>
      <c r="I38" s="3442">
        <f t="shared" si="27"/>
        <v>-241.47800000000007</v>
      </c>
      <c r="J38" s="3478">
        <f t="shared" si="11"/>
        <v>-6.5441192411924143E-2</v>
      </c>
      <c r="K38" s="3290">
        <f>'2017 Sector View Elect'!S42</f>
        <v>1164986.4262999999</v>
      </c>
      <c r="L38" s="3285">
        <v>852003</v>
      </c>
      <c r="M38" s="3458">
        <f t="shared" si="28"/>
        <v>312983.42629999993</v>
      </c>
      <c r="N38" s="3478">
        <f t="shared" si="12"/>
        <v>0.36735014583281977</v>
      </c>
      <c r="O38" s="3288">
        <f>'2017 Sector View Gas'!T35</f>
        <v>69010</v>
      </c>
      <c r="P38" s="3286">
        <v>27400</v>
      </c>
      <c r="Q38" s="3442">
        <f t="shared" si="29"/>
        <v>41610</v>
      </c>
      <c r="R38" s="3478">
        <f t="shared" si="30"/>
        <v>1.5186131386861315</v>
      </c>
      <c r="S38" s="3290">
        <f>'2017 Sector View Gas'!S35</f>
        <v>206944.37529999999</v>
      </c>
      <c r="T38" s="3285">
        <v>57881</v>
      </c>
      <c r="U38" s="3458">
        <f>S38-T38</f>
        <v>149063.37529999999</v>
      </c>
      <c r="V38" s="3478">
        <f t="shared" si="13"/>
        <v>2.5753420863495791</v>
      </c>
      <c r="W38" s="3290">
        <f t="shared" si="14"/>
        <v>1371930.8015999999</v>
      </c>
      <c r="X38" s="3416">
        <f t="shared" si="25"/>
        <v>909884</v>
      </c>
      <c r="Y38" s="3470">
        <f t="shared" si="9"/>
        <v>462046.80159999989</v>
      </c>
      <c r="Z38" s="3507">
        <f t="shared" si="15"/>
        <v>0.50780846965107629</v>
      </c>
    </row>
    <row r="39" spans="2:26">
      <c r="B39" s="3293"/>
      <c r="C39" s="3305"/>
      <c r="E39" s="2074" t="s">
        <v>622</v>
      </c>
      <c r="G39" s="3288">
        <f>'2017 Sector View Elect'!T43/1000</f>
        <v>0</v>
      </c>
      <c r="H39" s="3286">
        <v>0</v>
      </c>
      <c r="I39" s="3442">
        <f t="shared" si="27"/>
        <v>0</v>
      </c>
      <c r="J39" s="3478" t="e">
        <f t="shared" si="11"/>
        <v>#DIV/0!</v>
      </c>
      <c r="K39" s="3290">
        <f>'2017 Sector View Elect'!S43</f>
        <v>0</v>
      </c>
      <c r="L39" s="3285">
        <v>0</v>
      </c>
      <c r="M39" s="3458">
        <f t="shared" si="28"/>
        <v>0</v>
      </c>
      <c r="N39" s="3478" t="e">
        <f t="shared" si="12"/>
        <v>#DIV/0!</v>
      </c>
      <c r="O39" s="3288"/>
      <c r="P39" s="3286">
        <v>0</v>
      </c>
      <c r="Q39" s="3442">
        <f t="shared" si="29"/>
        <v>0</v>
      </c>
      <c r="R39" s="3478" t="e">
        <f t="shared" si="30"/>
        <v>#DIV/0!</v>
      </c>
      <c r="S39" s="3290"/>
      <c r="T39" s="3285"/>
      <c r="U39" s="3458"/>
      <c r="V39" s="3478"/>
      <c r="W39" s="3290">
        <f t="shared" si="14"/>
        <v>0</v>
      </c>
      <c r="X39" s="3416">
        <f t="shared" si="25"/>
        <v>0</v>
      </c>
      <c r="Y39" s="3470">
        <f t="shared" si="9"/>
        <v>0</v>
      </c>
      <c r="Z39" s="3507" t="e">
        <f t="shared" si="15"/>
        <v>#DIV/0!</v>
      </c>
    </row>
    <row r="40" spans="2:26">
      <c r="B40" s="3293"/>
      <c r="C40" s="3305"/>
      <c r="E40" s="2074" t="s">
        <v>2632</v>
      </c>
      <c r="G40" s="3288">
        <f>'2017 Sector View Elect'!T44/1000</f>
        <v>2880.1318429096136</v>
      </c>
      <c r="H40" s="3286">
        <v>1913</v>
      </c>
      <c r="I40" s="3442">
        <f t="shared" si="27"/>
        <v>967.13184290961362</v>
      </c>
      <c r="J40" s="3478">
        <f t="shared" si="11"/>
        <v>0.50555768055912897</v>
      </c>
      <c r="K40" s="3290">
        <f>'2017 Sector View Elect'!S44</f>
        <v>613805.83144000021</v>
      </c>
      <c r="L40" s="3285">
        <v>524566</v>
      </c>
      <c r="M40" s="3458">
        <f t="shared" si="28"/>
        <v>89239.831440000213</v>
      </c>
      <c r="N40" s="3478">
        <f t="shared" si="12"/>
        <v>0.17012126489326454</v>
      </c>
      <c r="O40" s="3288">
        <f>'2017 Sector View Gas'!T36</f>
        <v>0</v>
      </c>
      <c r="P40" s="3286">
        <v>19875</v>
      </c>
      <c r="Q40" s="3442">
        <f t="shared" si="29"/>
        <v>-19875</v>
      </c>
      <c r="R40" s="3478">
        <f t="shared" si="30"/>
        <v>-1</v>
      </c>
      <c r="S40" s="3290">
        <f>'2017 Sector View Gas'!S36</f>
        <v>36778.014360000001</v>
      </c>
      <c r="T40" s="3285">
        <v>46410</v>
      </c>
      <c r="U40" s="3458">
        <f>S40-T40</f>
        <v>-9631.985639999999</v>
      </c>
      <c r="V40" s="3478">
        <f t="shared" si="13"/>
        <v>-0.20754116871363928</v>
      </c>
      <c r="W40" s="3290">
        <f t="shared" si="14"/>
        <v>650583.84580000024</v>
      </c>
      <c r="X40" s="3416">
        <f t="shared" si="25"/>
        <v>570976</v>
      </c>
      <c r="Y40" s="3470">
        <f t="shared" si="9"/>
        <v>79607.845800000243</v>
      </c>
      <c r="Z40" s="3507">
        <f t="shared" si="15"/>
        <v>0.13942415408003181</v>
      </c>
    </row>
    <row r="41" spans="2:26">
      <c r="B41" s="3293"/>
      <c r="C41" s="3305"/>
      <c r="E41" s="2074" t="s">
        <v>2633</v>
      </c>
      <c r="G41" s="3288">
        <f>'2017 Sector View Elect'!T45/1000</f>
        <v>5099.0150000000003</v>
      </c>
      <c r="H41" s="3286">
        <v>3091</v>
      </c>
      <c r="I41" s="3442">
        <f t="shared" si="27"/>
        <v>2008.0150000000003</v>
      </c>
      <c r="J41" s="3478">
        <f t="shared" si="11"/>
        <v>0.64963280491750253</v>
      </c>
      <c r="K41" s="3290">
        <f>'2017 Sector View Elect'!S45</f>
        <v>1707132.6304874998</v>
      </c>
      <c r="L41" s="3285">
        <v>1154304</v>
      </c>
      <c r="M41" s="3458">
        <f t="shared" si="28"/>
        <v>552828.63048749976</v>
      </c>
      <c r="N41" s="3478">
        <f t="shared" si="12"/>
        <v>0.47892810774934486</v>
      </c>
      <c r="O41" s="3288">
        <f>'2017 Sector View Gas'!T37</f>
        <v>258211.20000000001</v>
      </c>
      <c r="P41" s="3286">
        <v>133170</v>
      </c>
      <c r="Q41" s="3442">
        <f t="shared" si="29"/>
        <v>125041.20000000001</v>
      </c>
      <c r="R41" s="3478">
        <f t="shared" si="30"/>
        <v>0.93895922505068719</v>
      </c>
      <c r="S41" s="3290">
        <f>'2017 Sector View Gas'!S37</f>
        <v>887091.23019999999</v>
      </c>
      <c r="T41" s="3285">
        <v>426659</v>
      </c>
      <c r="U41" s="3458">
        <f>S41-T41</f>
        <v>460432.23019999999</v>
      </c>
      <c r="V41" s="3478">
        <f t="shared" si="13"/>
        <v>1.0791574306413318</v>
      </c>
      <c r="W41" s="3290">
        <f t="shared" si="14"/>
        <v>2594223.8606874999</v>
      </c>
      <c r="X41" s="3416">
        <f t="shared" si="25"/>
        <v>1580963</v>
      </c>
      <c r="Y41" s="3470">
        <f t="shared" si="9"/>
        <v>1013260.8606874999</v>
      </c>
      <c r="Z41" s="3507">
        <f t="shared" si="15"/>
        <v>0.64091370935784064</v>
      </c>
    </row>
    <row r="42" spans="2:26">
      <c r="B42" s="3293"/>
      <c r="C42" s="3305"/>
      <c r="E42" s="2074" t="s">
        <v>2634</v>
      </c>
      <c r="G42" s="3288">
        <f>'2017 Sector View Elect'!T46/1000</f>
        <v>10042.948552057887</v>
      </c>
      <c r="H42" s="3286">
        <v>11333</v>
      </c>
      <c r="I42" s="3442">
        <f t="shared" si="27"/>
        <v>-1290.0514479421126</v>
      </c>
      <c r="J42" s="3478">
        <f t="shared" si="11"/>
        <v>-0.11383141691891932</v>
      </c>
      <c r="K42" s="3290">
        <f>'2017 Sector View Elect'!S46</f>
        <v>3192913.8957600007</v>
      </c>
      <c r="L42" s="3285">
        <v>3265259</v>
      </c>
      <c r="M42" s="3458">
        <f t="shared" si="28"/>
        <v>-72345.104239999317</v>
      </c>
      <c r="N42" s="3478">
        <f t="shared" si="12"/>
        <v>-2.2156007912388975E-2</v>
      </c>
      <c r="O42" s="3288">
        <f>'2017 Sector View Gas'!T38</f>
        <v>23504.6</v>
      </c>
      <c r="P42" s="3286">
        <v>281325</v>
      </c>
      <c r="Q42" s="3442">
        <f t="shared" si="29"/>
        <v>-257820.4</v>
      </c>
      <c r="R42" s="3478">
        <f t="shared" si="30"/>
        <v>-0.91645036879054476</v>
      </c>
      <c r="S42" s="3290">
        <f>'2017 Sector View Gas'!S38</f>
        <v>133262.68342000002</v>
      </c>
      <c r="T42" s="3285">
        <v>858907</v>
      </c>
      <c r="U42" s="3458">
        <f>S42-T42</f>
        <v>-725644.31657999998</v>
      </c>
      <c r="V42" s="3478">
        <f t="shared" si="13"/>
        <v>-0.84484620171916169</v>
      </c>
      <c r="W42" s="3290">
        <f t="shared" si="14"/>
        <v>3326176.5791800008</v>
      </c>
      <c r="X42" s="3416">
        <f t="shared" si="25"/>
        <v>4124166</v>
      </c>
      <c r="Y42" s="3470">
        <f t="shared" si="9"/>
        <v>-797989.42081999918</v>
      </c>
      <c r="Z42" s="3507">
        <f t="shared" si="15"/>
        <v>-0.19349110118748838</v>
      </c>
    </row>
    <row r="43" spans="2:26">
      <c r="B43" s="3293" t="s">
        <v>436</v>
      </c>
      <c r="C43" s="3305"/>
      <c r="D43" s="1678" t="s">
        <v>189</v>
      </c>
      <c r="E43" s="1678"/>
      <c r="F43" s="1678"/>
      <c r="G43" s="3329">
        <f>SUM(G24:G27)+G31+G34+G35</f>
        <v>166755.0603949675</v>
      </c>
      <c r="H43" s="3330">
        <v>166533.82209999999</v>
      </c>
      <c r="I43" s="3516">
        <f t="shared" si="27"/>
        <v>221.23829496750841</v>
      </c>
      <c r="J43" s="3478">
        <f t="shared" si="11"/>
        <v>1.3284886648110409E-3</v>
      </c>
      <c r="K43" s="3331">
        <f>SUM(K24:K27)+K31+K34+K35</f>
        <v>42546413.901692666</v>
      </c>
      <c r="L43" s="3332">
        <v>39701446.546973079</v>
      </c>
      <c r="M43" s="3517">
        <f t="shared" si="21"/>
        <v>2844967.3547195867</v>
      </c>
      <c r="N43" s="3478">
        <f t="shared" si="12"/>
        <v>7.1659035177812511E-2</v>
      </c>
      <c r="O43" s="3329">
        <f>SUM(O24:O27)+O34+O35</f>
        <v>1651665.1</v>
      </c>
      <c r="P43" s="3330">
        <v>1778682.4</v>
      </c>
      <c r="Q43" s="3516">
        <f t="shared" si="22"/>
        <v>-127017.29999999981</v>
      </c>
      <c r="R43" s="3478">
        <f>(O43-P43)/P43</f>
        <v>-7.1410893816681281E-2</v>
      </c>
      <c r="S43" s="3331">
        <f>SUM(S24:S27)+S34+S35</f>
        <v>4775232.2645399999</v>
      </c>
      <c r="T43" s="3332">
        <v>4788426.6325000003</v>
      </c>
      <c r="U43" s="3517">
        <f t="shared" si="24"/>
        <v>-13194.367960000411</v>
      </c>
      <c r="V43" s="3478">
        <f t="shared" si="13"/>
        <v>-2.7554704233009692E-3</v>
      </c>
      <c r="W43" s="3333">
        <f t="shared" si="14"/>
        <v>47321646.166232668</v>
      </c>
      <c r="X43" s="3518">
        <v>44489873.17947308</v>
      </c>
      <c r="Y43" s="3473">
        <f t="shared" si="9"/>
        <v>2831772.9867595881</v>
      </c>
      <c r="Z43" s="3508">
        <f t="shared" si="15"/>
        <v>6.3649832745896057E-2</v>
      </c>
    </row>
    <row r="44" spans="2:26">
      <c r="B44" s="3293"/>
      <c r="C44" s="3334"/>
      <c r="D44" s="3335"/>
      <c r="E44" s="3336"/>
      <c r="F44" s="3336"/>
      <c r="G44" s="3337"/>
      <c r="H44" s="3338"/>
      <c r="I44" s="3443"/>
      <c r="J44" s="3479"/>
      <c r="K44" s="3339"/>
      <c r="L44" s="3340"/>
      <c r="M44" s="3457"/>
      <c r="N44" s="3493"/>
      <c r="O44" s="3341"/>
      <c r="P44" s="3342"/>
      <c r="Q44" s="3464"/>
      <c r="R44" s="3499"/>
      <c r="S44" s="3339"/>
      <c r="T44" s="3340"/>
      <c r="U44" s="3457"/>
      <c r="V44" s="3493"/>
      <c r="W44" s="3343"/>
      <c r="X44" s="3418"/>
      <c r="Y44" s="3471"/>
      <c r="Z44" s="3506"/>
    </row>
    <row r="45" spans="2:26" ht="15.75">
      <c r="B45" s="3344"/>
      <c r="C45" s="3345"/>
      <c r="D45" s="3298" t="s">
        <v>67</v>
      </c>
      <c r="E45" s="3298"/>
      <c r="F45" s="3298"/>
      <c r="G45" s="3306"/>
      <c r="H45" s="3299"/>
      <c r="I45" s="3441"/>
      <c r="J45" s="3477"/>
      <c r="K45" s="3306"/>
      <c r="L45" s="3299"/>
      <c r="M45" s="3441"/>
      <c r="N45" s="3477"/>
      <c r="O45" s="3306"/>
      <c r="P45" s="3299"/>
      <c r="Q45" s="3441"/>
      <c r="R45" s="3477"/>
      <c r="S45" s="3306"/>
      <c r="T45" s="3299"/>
      <c r="U45" s="3441"/>
      <c r="V45" s="3477"/>
      <c r="W45" s="3306"/>
      <c r="Y45" s="3470"/>
      <c r="Z45" s="3506"/>
    </row>
    <row r="46" spans="2:26">
      <c r="B46" s="3293" t="s">
        <v>437</v>
      </c>
      <c r="C46" s="3305">
        <v>249</v>
      </c>
      <c r="D46" s="2074" t="s">
        <v>578</v>
      </c>
      <c r="G46" s="3288">
        <f>'2017 Sector View Elect'!T51/1000</f>
        <v>5322.6409999999996</v>
      </c>
      <c r="H46" s="3286">
        <v>0</v>
      </c>
      <c r="I46" s="3442">
        <f>G46-H46</f>
        <v>5322.6409999999996</v>
      </c>
      <c r="J46" s="3478" t="e">
        <f t="shared" ref="J46" si="31">(G46-H46)/H46</f>
        <v>#DIV/0!</v>
      </c>
      <c r="K46" s="3290">
        <f>'2017 Sector View Elect'!S51</f>
        <v>978290.65</v>
      </c>
      <c r="L46" s="3285">
        <v>0</v>
      </c>
      <c r="M46" s="3458">
        <f>K46-L46</f>
        <v>978290.65</v>
      </c>
      <c r="N46" s="3478" t="e">
        <f t="shared" ref="N46" si="32">(K46-L46)/L46</f>
        <v>#DIV/0!</v>
      </c>
      <c r="O46" s="3288">
        <f>'2017 Sector View Gas'!T44</f>
        <v>316885</v>
      </c>
      <c r="P46" s="3286">
        <v>0</v>
      </c>
      <c r="Q46" s="3442">
        <f>O46-P46</f>
        <v>316885</v>
      </c>
      <c r="R46" s="3478" t="e">
        <f>(O46-P46)/P46</f>
        <v>#DIV/0!</v>
      </c>
      <c r="S46" s="3287">
        <f>'2017 Sector View Gas'!S44</f>
        <v>190369.12</v>
      </c>
      <c r="T46" s="2034">
        <v>0</v>
      </c>
      <c r="U46" s="3456">
        <f>S46-T46</f>
        <v>190369.12</v>
      </c>
      <c r="V46" s="3478" t="e">
        <f t="shared" ref="V46" si="33">(S46-T46)/T46</f>
        <v>#DIV/0!</v>
      </c>
      <c r="W46" s="3290">
        <f t="shared" ref="W46:W48" si="34">K46+S46</f>
        <v>1168659.77</v>
      </c>
      <c r="X46" s="3416">
        <v>0</v>
      </c>
      <c r="Y46" s="3470">
        <f t="shared" si="9"/>
        <v>1168659.77</v>
      </c>
      <c r="Z46" s="3507" t="e">
        <f t="shared" ref="Z46" si="35">(W46-X46)/X46</f>
        <v>#DIV/0!</v>
      </c>
    </row>
    <row r="47" spans="2:26">
      <c r="B47" s="3293" t="s">
        <v>438</v>
      </c>
      <c r="C47" s="3305">
        <v>249</v>
      </c>
      <c r="D47" s="2074" t="s">
        <v>579</v>
      </c>
      <c r="G47" s="3288">
        <f>'2017 Sector View Elect'!T52/1000</f>
        <v>0</v>
      </c>
      <c r="H47" s="3286">
        <v>0</v>
      </c>
      <c r="I47" s="3442">
        <f t="shared" ref="I47:I48" si="36">G47-H47</f>
        <v>0</v>
      </c>
      <c r="J47" s="3480"/>
      <c r="K47" s="3290">
        <f>'2017 Sector View Elect'!S52</f>
        <v>0</v>
      </c>
      <c r="L47" s="3285">
        <v>0</v>
      </c>
      <c r="M47" s="3458">
        <f t="shared" ref="M47:M48" si="37">K47-L47</f>
        <v>0</v>
      </c>
      <c r="N47" s="3494"/>
      <c r="O47" s="3288">
        <f>'2017 Sector View Gas'!T45</f>
        <v>0</v>
      </c>
      <c r="P47" s="3286"/>
      <c r="Q47" s="3442">
        <f t="shared" ref="Q47:Q48" si="38">O47-P47</f>
        <v>0</v>
      </c>
      <c r="R47" s="3480"/>
      <c r="S47" s="3287">
        <f>'2017 Sector View Gas'!S45</f>
        <v>0</v>
      </c>
      <c r="T47" s="2034">
        <v>0</v>
      </c>
      <c r="U47" s="3456">
        <f t="shared" ref="U47:U48" si="39">S47-T47</f>
        <v>0</v>
      </c>
      <c r="V47" s="3496"/>
      <c r="W47" s="3290">
        <f t="shared" si="34"/>
        <v>0</v>
      </c>
      <c r="X47" s="3416">
        <v>0</v>
      </c>
      <c r="Y47" s="3470">
        <f t="shared" si="9"/>
        <v>0</v>
      </c>
      <c r="Z47" s="3506"/>
    </row>
    <row r="48" spans="2:26">
      <c r="B48" s="3293" t="s">
        <v>439</v>
      </c>
      <c r="C48" s="3305"/>
      <c r="D48" s="1678" t="s">
        <v>589</v>
      </c>
      <c r="E48" s="1678"/>
      <c r="F48" s="1678"/>
      <c r="G48" s="3329">
        <f>SUM(G46:G47)</f>
        <v>5322.6409999999996</v>
      </c>
      <c r="H48" s="3330"/>
      <c r="I48" s="3442">
        <f t="shared" si="36"/>
        <v>5322.6409999999996</v>
      </c>
      <c r="J48" s="3478" t="e">
        <f t="shared" ref="J48" si="40">(G48-H48)/H48</f>
        <v>#DIV/0!</v>
      </c>
      <c r="K48" s="3331">
        <f>SUM(K46:K47)</f>
        <v>978290.65</v>
      </c>
      <c r="L48" s="3332"/>
      <c r="M48" s="3458">
        <f t="shared" si="37"/>
        <v>978290.65</v>
      </c>
      <c r="N48" s="3478" t="e">
        <f t="shared" ref="N48" si="41">(K48-L48)/L48</f>
        <v>#DIV/0!</v>
      </c>
      <c r="O48" s="3329">
        <f>SUM(O46:O47)</f>
        <v>316885</v>
      </c>
      <c r="P48" s="3330"/>
      <c r="Q48" s="3516">
        <f t="shared" si="38"/>
        <v>316885</v>
      </c>
      <c r="R48" s="3478" t="e">
        <f>(O48-P48)/P48</f>
        <v>#DIV/0!</v>
      </c>
      <c r="S48" s="3331">
        <f>SUM(S46:S47)</f>
        <v>190369.12</v>
      </c>
      <c r="T48" s="3332">
        <v>0</v>
      </c>
      <c r="U48" s="3460">
        <f t="shared" si="39"/>
        <v>190369.12</v>
      </c>
      <c r="V48" s="3478" t="e">
        <f t="shared" ref="V48" si="42">(S48-T48)/T48</f>
        <v>#DIV/0!</v>
      </c>
      <c r="W48" s="3333">
        <f t="shared" si="34"/>
        <v>1168659.77</v>
      </c>
      <c r="X48" s="3416">
        <v>0</v>
      </c>
      <c r="Y48" s="3473">
        <f t="shared" si="9"/>
        <v>1168659.77</v>
      </c>
      <c r="Z48" s="3508" t="e">
        <f t="shared" ref="Z48" si="43">(W48-X48)/X48</f>
        <v>#DIV/0!</v>
      </c>
    </row>
    <row r="49" spans="2:26">
      <c r="B49" s="3293"/>
      <c r="C49" s="3334"/>
      <c r="D49" s="3335"/>
      <c r="E49" s="3336"/>
      <c r="F49" s="3336"/>
      <c r="G49" s="3337"/>
      <c r="H49" s="3338"/>
      <c r="I49" s="3443"/>
      <c r="J49" s="3479"/>
      <c r="K49" s="3339"/>
      <c r="L49" s="3340"/>
      <c r="M49" s="3457"/>
      <c r="N49" s="3493"/>
      <c r="O49" s="3341"/>
      <c r="P49" s="3342"/>
      <c r="Q49" s="3464"/>
      <c r="R49" s="3499"/>
      <c r="S49" s="3339"/>
      <c r="T49" s="3340"/>
      <c r="U49" s="3457"/>
      <c r="V49" s="3493"/>
      <c r="W49" s="3343"/>
      <c r="X49" s="3418"/>
      <c r="Y49" s="3471"/>
      <c r="Z49" s="3506"/>
    </row>
    <row r="50" spans="2:26" ht="15.75">
      <c r="B50" s="3344"/>
      <c r="C50" s="3345"/>
      <c r="D50" s="3298" t="s">
        <v>148</v>
      </c>
      <c r="E50" s="3298"/>
      <c r="F50" s="3298"/>
      <c r="G50" s="3306"/>
      <c r="H50" s="3299"/>
      <c r="I50" s="3441"/>
      <c r="J50" s="3477"/>
      <c r="K50" s="3306"/>
      <c r="L50" s="3299"/>
      <c r="M50" s="3441"/>
      <c r="N50" s="3477"/>
      <c r="O50" s="3306"/>
      <c r="P50" s="3299"/>
      <c r="Q50" s="3441"/>
      <c r="R50" s="3477"/>
      <c r="S50" s="3306"/>
      <c r="T50" s="3299"/>
      <c r="U50" s="3441"/>
      <c r="V50" s="3477"/>
      <c r="W50" s="3306"/>
      <c r="Y50" s="3470"/>
      <c r="Z50" s="3506"/>
    </row>
    <row r="51" spans="2:26" ht="15">
      <c r="B51" s="3293" t="s">
        <v>440</v>
      </c>
      <c r="C51" s="3305" t="s">
        <v>151</v>
      </c>
      <c r="D51" s="2074" t="s">
        <v>190</v>
      </c>
      <c r="G51" s="3288">
        <f>'2017 Sector View Elect'!T58/1000</f>
        <v>15592.8</v>
      </c>
      <c r="H51" s="3286">
        <v>14016</v>
      </c>
      <c r="I51" s="3442">
        <f>G51-H51</f>
        <v>1576.7999999999993</v>
      </c>
      <c r="J51" s="3478">
        <f t="shared" ref="J51" si="44">(G51-H51)/H51</f>
        <v>0.11249999999999995</v>
      </c>
      <c r="K51" s="3290">
        <f>'2017 Sector View Elect'!S58</f>
        <v>5200000</v>
      </c>
      <c r="L51" s="3285">
        <v>5200000</v>
      </c>
      <c r="M51" s="3458">
        <f>K51-L51</f>
        <v>0</v>
      </c>
      <c r="N51" s="3478">
        <f t="shared" ref="N51" si="45">(K51-L51)/L51</f>
        <v>0</v>
      </c>
      <c r="O51" s="3288"/>
      <c r="P51" s="3286"/>
      <c r="Q51" s="3442">
        <f>O51-P51</f>
        <v>0</v>
      </c>
      <c r="R51" s="3480"/>
      <c r="S51" s="3346"/>
      <c r="T51" s="3347"/>
      <c r="U51" s="3456">
        <f>S51-T51</f>
        <v>0</v>
      </c>
      <c r="V51" s="3496"/>
      <c r="W51" s="3290">
        <f t="shared" ref="W51:W54" si="46">K51+S51</f>
        <v>5200000</v>
      </c>
      <c r="X51" s="3416">
        <v>5200000</v>
      </c>
      <c r="Y51" s="3470">
        <f t="shared" si="9"/>
        <v>0</v>
      </c>
      <c r="Z51" s="3507">
        <f t="shared" ref="Z51:Z53" si="47">(W51-X51)/X51</f>
        <v>0</v>
      </c>
    </row>
    <row r="52" spans="2:26">
      <c r="B52" s="3293" t="s">
        <v>441</v>
      </c>
      <c r="C52" s="3305"/>
      <c r="D52" s="2074" t="s">
        <v>1680</v>
      </c>
      <c r="G52" s="3288"/>
      <c r="H52" s="3286"/>
      <c r="I52" s="3442">
        <f t="shared" ref="I52:I54" si="48">G52-H52</f>
        <v>0</v>
      </c>
      <c r="J52" s="3480"/>
      <c r="K52" s="3290"/>
      <c r="L52" s="3285"/>
      <c r="M52" s="3458">
        <f t="shared" ref="M52:M54" si="49">K52-L52</f>
        <v>0</v>
      </c>
      <c r="N52" s="3494"/>
      <c r="O52" s="3288">
        <f>'2017 Sector View Gas'!T51</f>
        <v>0</v>
      </c>
      <c r="P52" s="3286">
        <v>37680</v>
      </c>
      <c r="Q52" s="3442">
        <f t="shared" ref="Q52:Q54" si="50">O52-P52</f>
        <v>-37680</v>
      </c>
      <c r="R52" s="3478">
        <f>(O52-P52)/P52</f>
        <v>-1</v>
      </c>
      <c r="S52" s="3287">
        <f>'2017 Sector View Gas'!S51</f>
        <v>1389079</v>
      </c>
      <c r="T52" s="2034">
        <v>1389079</v>
      </c>
      <c r="U52" s="3456">
        <f t="shared" ref="U52:U54" si="51">S52-T52</f>
        <v>0</v>
      </c>
      <c r="V52" s="3478">
        <f t="shared" ref="V52" si="52">(S52-T52)/T52</f>
        <v>0</v>
      </c>
      <c r="W52" s="3290">
        <f t="shared" si="46"/>
        <v>1389079</v>
      </c>
      <c r="X52" s="3416">
        <v>1389079</v>
      </c>
      <c r="Y52" s="3470">
        <f t="shared" si="9"/>
        <v>0</v>
      </c>
      <c r="Z52" s="3507">
        <f t="shared" si="47"/>
        <v>0</v>
      </c>
    </row>
    <row r="53" spans="2:26" ht="15">
      <c r="B53" s="3293" t="s">
        <v>442</v>
      </c>
      <c r="C53" s="3305"/>
      <c r="D53" s="2074" t="s">
        <v>227</v>
      </c>
      <c r="G53" s="3288">
        <f>'2017 Sector View Elect'!T59/1000</f>
        <v>1500</v>
      </c>
      <c r="H53" s="3286">
        <v>1500</v>
      </c>
      <c r="I53" s="3442">
        <f t="shared" si="48"/>
        <v>0</v>
      </c>
      <c r="J53" s="3478">
        <f t="shared" ref="J53:J54" si="53">(G53-H53)/H53</f>
        <v>0</v>
      </c>
      <c r="K53" s="3287">
        <f>'2017 Sector View Elect'!S59</f>
        <v>0</v>
      </c>
      <c r="L53" s="2034">
        <v>0</v>
      </c>
      <c r="M53" s="3458">
        <f t="shared" si="49"/>
        <v>0</v>
      </c>
      <c r="N53" s="3494"/>
      <c r="O53" s="3288"/>
      <c r="P53" s="3286"/>
      <c r="Q53" s="3442">
        <f t="shared" si="50"/>
        <v>0</v>
      </c>
      <c r="R53" s="3480"/>
      <c r="S53" s="3346"/>
      <c r="T53" s="3347"/>
      <c r="U53" s="3456">
        <f t="shared" si="51"/>
        <v>0</v>
      </c>
      <c r="V53" s="3496"/>
      <c r="W53" s="3290">
        <f t="shared" si="46"/>
        <v>0</v>
      </c>
      <c r="X53" s="3416">
        <v>0</v>
      </c>
      <c r="Y53" s="3470">
        <f t="shared" si="9"/>
        <v>0</v>
      </c>
      <c r="Z53" s="3507" t="e">
        <f t="shared" si="47"/>
        <v>#DIV/0!</v>
      </c>
    </row>
    <row r="54" spans="2:26">
      <c r="B54" s="3293" t="s">
        <v>443</v>
      </c>
      <c r="C54" s="3305"/>
      <c r="D54" s="1678" t="s">
        <v>191</v>
      </c>
      <c r="E54" s="1678"/>
      <c r="F54" s="1678"/>
      <c r="G54" s="3329">
        <f>SUM(G51:G53)</f>
        <v>17092.8</v>
      </c>
      <c r="H54" s="3330">
        <v>15516</v>
      </c>
      <c r="I54" s="3442">
        <f t="shared" si="48"/>
        <v>1576.7999999999993</v>
      </c>
      <c r="J54" s="3478">
        <f t="shared" si="53"/>
        <v>0.10162412993039438</v>
      </c>
      <c r="K54" s="3331">
        <f>SUM(K51:K53)</f>
        <v>5200000</v>
      </c>
      <c r="L54" s="3332">
        <v>5200000</v>
      </c>
      <c r="M54" s="3458">
        <f t="shared" si="49"/>
        <v>0</v>
      </c>
      <c r="N54" s="3478">
        <f t="shared" ref="N54" si="54">(K54-L54)/L54</f>
        <v>0</v>
      </c>
      <c r="O54" s="3329">
        <f>SUM(O51:O53)</f>
        <v>0</v>
      </c>
      <c r="P54" s="3330">
        <v>37680</v>
      </c>
      <c r="Q54" s="3442">
        <f t="shared" si="50"/>
        <v>-37680</v>
      </c>
      <c r="R54" s="3478">
        <f>(O54-P54)/P54</f>
        <v>-1</v>
      </c>
      <c r="S54" s="3331">
        <f>SUM(S51:S53)</f>
        <v>1389079</v>
      </c>
      <c r="T54" s="3332">
        <v>1389079</v>
      </c>
      <c r="U54" s="3456">
        <f t="shared" si="51"/>
        <v>0</v>
      </c>
      <c r="V54" s="3478">
        <f t="shared" ref="V54" si="55">(S54-T54)/T54</f>
        <v>0</v>
      </c>
      <c r="W54" s="3333">
        <f t="shared" si="46"/>
        <v>6589079</v>
      </c>
      <c r="X54" s="3416">
        <v>6589079</v>
      </c>
      <c r="Y54" s="3470">
        <f t="shared" si="9"/>
        <v>0</v>
      </c>
      <c r="Z54" s="3508">
        <f t="shared" ref="Z54" si="56">(W54-X54)/X54</f>
        <v>0</v>
      </c>
    </row>
    <row r="55" spans="2:26">
      <c r="B55" s="3293"/>
      <c r="C55" s="3334"/>
      <c r="D55" s="3336"/>
      <c r="E55" s="3336"/>
      <c r="F55" s="3336"/>
      <c r="G55" s="3337"/>
      <c r="H55" s="3338"/>
      <c r="I55" s="3443"/>
      <c r="J55" s="3479"/>
      <c r="K55" s="3343"/>
      <c r="L55" s="3348"/>
      <c r="M55" s="3459"/>
      <c r="N55" s="3495"/>
      <c r="O55" s="3349"/>
      <c r="P55" s="3350"/>
      <c r="Q55" s="3447"/>
      <c r="R55" s="3484"/>
      <c r="S55" s="3343"/>
      <c r="T55" s="3348"/>
      <c r="U55" s="3459"/>
      <c r="V55" s="3495"/>
      <c r="W55" s="3343"/>
      <c r="X55" s="3418"/>
      <c r="Y55" s="3471"/>
      <c r="Z55" s="3506"/>
    </row>
    <row r="56" spans="2:26">
      <c r="B56" s="3293"/>
      <c r="C56" s="3305"/>
      <c r="G56" s="3289"/>
      <c r="H56" s="2127"/>
      <c r="I56" s="3444"/>
      <c r="J56" s="3481"/>
      <c r="K56" s="3287"/>
      <c r="L56" s="2034"/>
      <c r="M56" s="3456"/>
      <c r="N56" s="3496"/>
      <c r="O56" s="3289"/>
      <c r="P56" s="2127"/>
      <c r="Q56" s="3444"/>
      <c r="R56" s="3481"/>
      <c r="S56" s="3287"/>
      <c r="T56" s="2034"/>
      <c r="U56" s="3456"/>
      <c r="V56" s="3496"/>
      <c r="W56" s="3287"/>
      <c r="Y56" s="3470"/>
      <c r="Z56" s="3506"/>
    </row>
    <row r="57" spans="2:26" ht="15.75">
      <c r="B57" s="3351"/>
      <c r="C57" s="3304"/>
      <c r="D57" s="3298" t="s">
        <v>315</v>
      </c>
      <c r="E57" s="3298"/>
      <c r="F57" s="3298"/>
      <c r="G57" s="3306"/>
      <c r="H57" s="3299"/>
      <c r="I57" s="3441"/>
      <c r="J57" s="3477"/>
      <c r="K57" s="3306"/>
      <c r="L57" s="3299"/>
      <c r="M57" s="3441"/>
      <c r="N57" s="3477"/>
      <c r="O57" s="3306"/>
      <c r="P57" s="3299"/>
      <c r="Q57" s="3441"/>
      <c r="R57" s="3477"/>
      <c r="S57" s="3306"/>
      <c r="T57" s="3299"/>
      <c r="U57" s="3441"/>
      <c r="V57" s="3477"/>
      <c r="W57" s="3306"/>
      <c r="Y57" s="3470"/>
      <c r="Z57" s="3506"/>
    </row>
    <row r="58" spans="2:26" ht="15.75">
      <c r="B58" s="3293" t="s">
        <v>444</v>
      </c>
      <c r="C58" s="3304"/>
      <c r="D58" s="3296" t="s">
        <v>192</v>
      </c>
      <c r="E58" s="3297"/>
      <c r="F58" s="3298"/>
      <c r="G58" s="3306"/>
      <c r="H58" s="3299"/>
      <c r="I58" s="3441"/>
      <c r="J58" s="3477"/>
      <c r="K58" s="3287">
        <f>K59+K60+K61+K62</f>
        <v>1927581.7782271998</v>
      </c>
      <c r="L58" s="2034">
        <v>1919280.3953919997</v>
      </c>
      <c r="M58" s="3456">
        <f>K58-L58</f>
        <v>8301.3828352000564</v>
      </c>
      <c r="N58" s="3478">
        <f t="shared" ref="N58:N73" si="57">(K58-L58)/L58</f>
        <v>4.3252579743589554E-3</v>
      </c>
      <c r="O58" s="3289"/>
      <c r="P58" s="2127"/>
      <c r="Q58" s="3444"/>
      <c r="R58" s="3481"/>
      <c r="S58" s="3287">
        <f>S59+S60+S61+S62</f>
        <v>216606.38068839995</v>
      </c>
      <c r="T58" s="2034">
        <v>215712.09452399999</v>
      </c>
      <c r="U58" s="3456">
        <f>S58-T58</f>
        <v>894.28616439996404</v>
      </c>
      <c r="V58" s="3478">
        <f t="shared" ref="V58:V73" si="58">(S58-T58)/T58</f>
        <v>4.1457395626023482E-3</v>
      </c>
      <c r="W58" s="3290">
        <f t="shared" ref="W58:W73" si="59">K58+S58</f>
        <v>2144188.1589155998</v>
      </c>
      <c r="X58" s="3416">
        <v>2134992.4899159996</v>
      </c>
      <c r="Y58" s="3470">
        <f t="shared" si="9"/>
        <v>9195.6689996002242</v>
      </c>
      <c r="Z58" s="3507">
        <f t="shared" ref="Z58:Z73" si="60">(W58-X58)/X58</f>
        <v>4.3071200685872316E-3</v>
      </c>
    </row>
    <row r="59" spans="2:26" s="3300" customFormat="1">
      <c r="B59" s="3320" t="s">
        <v>445</v>
      </c>
      <c r="C59" s="3352"/>
      <c r="E59" s="3300" t="s">
        <v>193</v>
      </c>
      <c r="G59" s="3353"/>
      <c r="H59" s="3354"/>
      <c r="I59" s="3445"/>
      <c r="J59" s="3482"/>
      <c r="K59" s="3355">
        <f>'2017 Sector View Elect'!S66</f>
        <v>1168422.1756</v>
      </c>
      <c r="L59" s="3356">
        <v>1163118.5159999998</v>
      </c>
      <c r="M59" s="3456">
        <f t="shared" ref="M59:M73" si="61">K59-L59</f>
        <v>5303.65960000013</v>
      </c>
      <c r="N59" s="3478">
        <f t="shared" si="57"/>
        <v>4.5598617226381864E-3</v>
      </c>
      <c r="O59" s="3357"/>
      <c r="P59" s="3358"/>
      <c r="Q59" s="3465"/>
      <c r="R59" s="3500"/>
      <c r="S59" s="3355">
        <f>'2017 Sector View Gas'!S58</f>
        <v>86789.949759999989</v>
      </c>
      <c r="T59" s="3356">
        <v>86419.793600000005</v>
      </c>
      <c r="U59" s="3456">
        <f t="shared" ref="U59:U73" si="62">S59-T59</f>
        <v>370.15615999998408</v>
      </c>
      <c r="V59" s="3478">
        <f t="shared" si="58"/>
        <v>4.2832335577342095E-3</v>
      </c>
      <c r="W59" s="3290">
        <f t="shared" si="59"/>
        <v>1255212.1253599999</v>
      </c>
      <c r="X59" s="3419">
        <v>1249538.3095999998</v>
      </c>
      <c r="Y59" s="3470">
        <f t="shared" si="9"/>
        <v>5673.8157600001432</v>
      </c>
      <c r="Z59" s="3507">
        <f t="shared" si="60"/>
        <v>4.5407297370629925E-3</v>
      </c>
    </row>
    <row r="60" spans="2:26" s="3300" customFormat="1">
      <c r="B60" s="3320" t="s">
        <v>446</v>
      </c>
      <c r="C60" s="3352"/>
      <c r="E60" s="3300" t="s">
        <v>194</v>
      </c>
      <c r="G60" s="3353"/>
      <c r="H60" s="3354"/>
      <c r="I60" s="3445"/>
      <c r="J60" s="3482"/>
      <c r="K60" s="3355">
        <f>'2017 Sector View Elect'!S67</f>
        <v>649765.20375319989</v>
      </c>
      <c r="L60" s="3356">
        <v>647056.88525199995</v>
      </c>
      <c r="M60" s="3456">
        <f t="shared" si="61"/>
        <v>2708.3185011999449</v>
      </c>
      <c r="N60" s="3478">
        <f t="shared" si="57"/>
        <v>4.1855956762521353E-3</v>
      </c>
      <c r="O60" s="3357"/>
      <c r="P60" s="3358"/>
      <c r="Q60" s="3465"/>
      <c r="R60" s="3500"/>
      <c r="S60" s="3355">
        <f>'2017 Sector View Gas'!S59</f>
        <v>112789.65337199997</v>
      </c>
      <c r="T60" s="3356">
        <v>112307.47491999998</v>
      </c>
      <c r="U60" s="3456">
        <f t="shared" si="62"/>
        <v>482.17845199999283</v>
      </c>
      <c r="V60" s="3478">
        <f t="shared" si="58"/>
        <v>4.2933780885329601E-3</v>
      </c>
      <c r="W60" s="3290">
        <f t="shared" si="59"/>
        <v>762554.85712519987</v>
      </c>
      <c r="X60" s="3419">
        <v>759364.3601719999</v>
      </c>
      <c r="Y60" s="3470">
        <f t="shared" si="9"/>
        <v>3190.4969531999668</v>
      </c>
      <c r="Z60" s="3507">
        <f t="shared" si="60"/>
        <v>4.2015363382043678E-3</v>
      </c>
    </row>
    <row r="61" spans="2:26" s="3300" customFormat="1">
      <c r="B61" s="3320" t="s">
        <v>447</v>
      </c>
      <c r="C61" s="3352"/>
      <c r="E61" s="3300" t="s">
        <v>336</v>
      </c>
      <c r="G61" s="3353"/>
      <c r="H61" s="3354"/>
      <c r="I61" s="3445"/>
      <c r="J61" s="3482"/>
      <c r="K61" s="3355">
        <f>'2017 Sector View Elect'!S68</f>
        <v>100594.39887400001</v>
      </c>
      <c r="L61" s="3356">
        <v>100304.99414</v>
      </c>
      <c r="M61" s="3456">
        <f t="shared" si="61"/>
        <v>289.40473400001065</v>
      </c>
      <c r="N61" s="3478">
        <f t="shared" si="57"/>
        <v>2.8852475041878374E-3</v>
      </c>
      <c r="O61" s="3357"/>
      <c r="P61" s="3358"/>
      <c r="Q61" s="3465"/>
      <c r="R61" s="3500"/>
      <c r="S61" s="3355">
        <f>'2017 Sector View Gas'!S60</f>
        <v>16051.7775564</v>
      </c>
      <c r="T61" s="3356">
        <v>16009.826004</v>
      </c>
      <c r="U61" s="3456">
        <f t="shared" si="62"/>
        <v>41.951552399999855</v>
      </c>
      <c r="V61" s="3478">
        <f t="shared" si="58"/>
        <v>2.6203627940440078E-3</v>
      </c>
      <c r="W61" s="3290">
        <f t="shared" si="59"/>
        <v>116646.17643040001</v>
      </c>
      <c r="X61" s="3419">
        <v>116314.820144</v>
      </c>
      <c r="Y61" s="3470">
        <f t="shared" si="9"/>
        <v>331.35628640001232</v>
      </c>
      <c r="Z61" s="3507">
        <f t="shared" si="60"/>
        <v>2.8487881938843804E-3</v>
      </c>
    </row>
    <row r="62" spans="2:26" s="3300" customFormat="1">
      <c r="B62" s="3320" t="s">
        <v>448</v>
      </c>
      <c r="C62" s="3352">
        <v>202</v>
      </c>
      <c r="E62" s="3300" t="s">
        <v>195</v>
      </c>
      <c r="G62" s="3353"/>
      <c r="H62" s="3354"/>
      <c r="I62" s="3445"/>
      <c r="J62" s="3482"/>
      <c r="K62" s="3355">
        <f>'2017 Sector View Elect'!S69</f>
        <v>8800</v>
      </c>
      <c r="L62" s="3356">
        <v>8800</v>
      </c>
      <c r="M62" s="3456">
        <f t="shared" si="61"/>
        <v>0</v>
      </c>
      <c r="N62" s="3478">
        <f t="shared" si="57"/>
        <v>0</v>
      </c>
      <c r="O62" s="3357"/>
      <c r="P62" s="3358"/>
      <c r="Q62" s="3465"/>
      <c r="R62" s="3500"/>
      <c r="S62" s="3355">
        <f>'2017 Sector View Gas'!S61</f>
        <v>975</v>
      </c>
      <c r="T62" s="3356">
        <v>975</v>
      </c>
      <c r="U62" s="3456">
        <f t="shared" si="62"/>
        <v>0</v>
      </c>
      <c r="V62" s="3478">
        <f t="shared" si="58"/>
        <v>0</v>
      </c>
      <c r="W62" s="3290">
        <f t="shared" si="59"/>
        <v>9775</v>
      </c>
      <c r="X62" s="3419">
        <v>9775</v>
      </c>
      <c r="Y62" s="3470">
        <f t="shared" si="9"/>
        <v>0</v>
      </c>
      <c r="Z62" s="3507">
        <f t="shared" si="60"/>
        <v>0</v>
      </c>
    </row>
    <row r="63" spans="2:26">
      <c r="B63" s="3293" t="s">
        <v>449</v>
      </c>
      <c r="C63" s="3305"/>
      <c r="D63" s="2074" t="s">
        <v>696</v>
      </c>
      <c r="G63" s="3289"/>
      <c r="H63" s="2127"/>
      <c r="I63" s="3444"/>
      <c r="J63" s="3481"/>
      <c r="K63" s="3287">
        <f>K64+K65+K66</f>
        <v>1190832.7020399999</v>
      </c>
      <c r="L63" s="2034">
        <v>1050335.2464000001</v>
      </c>
      <c r="M63" s="3456">
        <f t="shared" si="61"/>
        <v>140497.45563999983</v>
      </c>
      <c r="N63" s="3478">
        <f t="shared" si="57"/>
        <v>0.13376439200869591</v>
      </c>
      <c r="O63" s="3289"/>
      <c r="P63" s="2127"/>
      <c r="Q63" s="3444"/>
      <c r="R63" s="3481"/>
      <c r="S63" s="3287">
        <f>S64+S65+S66</f>
        <v>193947.01576000001</v>
      </c>
      <c r="T63" s="2034">
        <v>161014.9216</v>
      </c>
      <c r="U63" s="3456">
        <f t="shared" si="62"/>
        <v>32932.094160000008</v>
      </c>
      <c r="V63" s="3478">
        <f t="shared" si="58"/>
        <v>0.2045282128684402</v>
      </c>
      <c r="W63" s="3290">
        <f t="shared" si="59"/>
        <v>1384779.7178</v>
      </c>
      <c r="X63" s="3416">
        <v>1211350.1680000001</v>
      </c>
      <c r="Y63" s="3470">
        <f t="shared" si="9"/>
        <v>173429.54979999992</v>
      </c>
      <c r="Z63" s="3507">
        <f t="shared" si="60"/>
        <v>0.14317045094098663</v>
      </c>
    </row>
    <row r="64" spans="2:26">
      <c r="B64" s="3293" t="s">
        <v>450</v>
      </c>
      <c r="C64" s="3305"/>
      <c r="E64" s="3300" t="s">
        <v>729</v>
      </c>
      <c r="G64" s="3289"/>
      <c r="H64" s="2127"/>
      <c r="I64" s="3444"/>
      <c r="J64" s="3481"/>
      <c r="K64" s="3287">
        <f>'2017 Sector View Elect'!S71</f>
        <v>588990</v>
      </c>
      <c r="L64" s="2034">
        <v>588990</v>
      </c>
      <c r="M64" s="3456">
        <f t="shared" si="61"/>
        <v>0</v>
      </c>
      <c r="N64" s="3478">
        <f t="shared" si="57"/>
        <v>0</v>
      </c>
      <c r="O64" s="3289"/>
      <c r="P64" s="2127"/>
      <c r="Q64" s="3444"/>
      <c r="R64" s="3481"/>
      <c r="S64" s="3287">
        <f>'2017 Sector View Gas'!S63</f>
        <v>88010</v>
      </c>
      <c r="T64" s="2034">
        <v>88010</v>
      </c>
      <c r="U64" s="3456">
        <f t="shared" si="62"/>
        <v>0</v>
      </c>
      <c r="V64" s="3478">
        <f t="shared" si="58"/>
        <v>0</v>
      </c>
      <c r="W64" s="3290">
        <f t="shared" si="59"/>
        <v>677000</v>
      </c>
      <c r="X64" s="3416">
        <v>677000</v>
      </c>
      <c r="Y64" s="3470">
        <f t="shared" si="9"/>
        <v>0</v>
      </c>
      <c r="Z64" s="3507">
        <f t="shared" si="60"/>
        <v>0</v>
      </c>
    </row>
    <row r="65" spans="2:26">
      <c r="B65" s="3293" t="s">
        <v>451</v>
      </c>
      <c r="C65" s="3305"/>
      <c r="E65" s="3300" t="s">
        <v>320</v>
      </c>
      <c r="G65" s="3289"/>
      <c r="H65" s="2127"/>
      <c r="I65" s="3444"/>
      <c r="J65" s="3481"/>
      <c r="K65" s="3287">
        <f>'2017 Sector View Elect'!S72</f>
        <v>459599.31199999998</v>
      </c>
      <c r="L65" s="2034">
        <v>333268.8</v>
      </c>
      <c r="M65" s="3456">
        <f t="shared" si="61"/>
        <v>126330.51199999999</v>
      </c>
      <c r="N65" s="3478">
        <f t="shared" si="57"/>
        <v>0.37906492296908678</v>
      </c>
      <c r="O65" s="3289"/>
      <c r="P65" s="2127"/>
      <c r="Q65" s="3444"/>
      <c r="R65" s="3481"/>
      <c r="S65" s="3287">
        <f>'2017 Sector View Gas'!S64</f>
        <v>83541.009999999995</v>
      </c>
      <c r="T65" s="2034">
        <v>52802.240000000005</v>
      </c>
      <c r="U65" s="3456">
        <f t="shared" si="62"/>
        <v>30738.76999999999</v>
      </c>
      <c r="V65" s="3478">
        <f t="shared" si="58"/>
        <v>0.5821489770130962</v>
      </c>
      <c r="W65" s="3290">
        <f t="shared" si="59"/>
        <v>543140.32199999993</v>
      </c>
      <c r="X65" s="3416">
        <v>386071.03999999998</v>
      </c>
      <c r="Y65" s="3470">
        <f t="shared" si="9"/>
        <v>157069.28199999995</v>
      </c>
      <c r="Z65" s="3507">
        <f t="shared" si="60"/>
        <v>0.40684036285135489</v>
      </c>
    </row>
    <row r="66" spans="2:26">
      <c r="B66" s="3293" t="s">
        <v>452</v>
      </c>
      <c r="C66" s="3305"/>
      <c r="E66" s="3300" t="s">
        <v>1530</v>
      </c>
      <c r="F66" s="3300"/>
      <c r="G66" s="3289"/>
      <c r="H66" s="2127"/>
      <c r="I66" s="3444"/>
      <c r="J66" s="3481"/>
      <c r="K66" s="3287">
        <f>'2017 Sector View Elect'!S73</f>
        <v>142243.39004</v>
      </c>
      <c r="L66" s="2034">
        <v>128076.44640000002</v>
      </c>
      <c r="M66" s="3456">
        <f t="shared" si="61"/>
        <v>14166.943639999983</v>
      </c>
      <c r="N66" s="3478">
        <f t="shared" si="57"/>
        <v>0.11061318484551567</v>
      </c>
      <c r="O66" s="3289"/>
      <c r="P66" s="2127"/>
      <c r="Q66" s="3444"/>
      <c r="R66" s="3481"/>
      <c r="S66" s="3287">
        <f>'2017 Sector View Gas'!S65</f>
        <v>22396.00576</v>
      </c>
      <c r="T66" s="2034">
        <v>20202.681600000004</v>
      </c>
      <c r="U66" s="3456">
        <f t="shared" si="62"/>
        <v>2193.3241599999965</v>
      </c>
      <c r="V66" s="3478">
        <f t="shared" si="58"/>
        <v>0.10856599155628904</v>
      </c>
      <c r="W66" s="3290">
        <f t="shared" si="59"/>
        <v>164639.3958</v>
      </c>
      <c r="X66" s="3416">
        <v>148279.12800000003</v>
      </c>
      <c r="Y66" s="3470">
        <f t="shared" si="9"/>
        <v>16360.267799999972</v>
      </c>
      <c r="Z66" s="3507">
        <f t="shared" si="60"/>
        <v>0.11033425958641981</v>
      </c>
    </row>
    <row r="67" spans="2:26">
      <c r="B67" s="3293" t="s">
        <v>453</v>
      </c>
      <c r="C67" s="3305"/>
      <c r="D67" s="2074" t="s">
        <v>1464</v>
      </c>
      <c r="F67" s="3300"/>
      <c r="G67" s="3289"/>
      <c r="H67" s="2127"/>
      <c r="I67" s="3444"/>
      <c r="J67" s="3481"/>
      <c r="K67" s="3287">
        <f>'2017 Sector View Elect'!S74</f>
        <v>546939.56099999999</v>
      </c>
      <c r="L67" s="2034">
        <v>681063.13008000003</v>
      </c>
      <c r="M67" s="3456">
        <f t="shared" si="61"/>
        <v>-134123.56908000004</v>
      </c>
      <c r="N67" s="3478">
        <f t="shared" si="57"/>
        <v>-0.19693265301888449</v>
      </c>
      <c r="O67" s="3289"/>
      <c r="P67" s="2127"/>
      <c r="Q67" s="3444"/>
      <c r="R67" s="3481"/>
      <c r="S67" s="3287">
        <f>'2017 Sector View Gas'!S66</f>
        <v>82046.411999999997</v>
      </c>
      <c r="T67" s="2034">
        <v>101768.05392000001</v>
      </c>
      <c r="U67" s="3456">
        <f t="shared" si="62"/>
        <v>-19721.641920000009</v>
      </c>
      <c r="V67" s="3478">
        <f t="shared" si="58"/>
        <v>-0.19379010564064844</v>
      </c>
      <c r="W67" s="3290">
        <f t="shared" si="59"/>
        <v>628985.973</v>
      </c>
      <c r="X67" s="3416">
        <v>782831.18400000001</v>
      </c>
      <c r="Y67" s="3470">
        <f t="shared" si="9"/>
        <v>-153845.21100000001</v>
      </c>
      <c r="Z67" s="3507">
        <f t="shared" si="60"/>
        <v>-0.19652412185971377</v>
      </c>
    </row>
    <row r="68" spans="2:26">
      <c r="B68" s="3293" t="s">
        <v>454</v>
      </c>
      <c r="C68" s="3305"/>
      <c r="D68" s="2074" t="s">
        <v>611</v>
      </c>
      <c r="F68" s="3300"/>
      <c r="G68" s="3289"/>
      <c r="H68" s="2127"/>
      <c r="I68" s="3444"/>
      <c r="J68" s="3481"/>
      <c r="K68" s="3287">
        <f>'2017 Sector View Elect'!S75</f>
        <v>700101.99799999991</v>
      </c>
      <c r="L68" s="2034">
        <v>310213.7928</v>
      </c>
      <c r="M68" s="3456">
        <f t="shared" si="61"/>
        <v>389888.20519999991</v>
      </c>
      <c r="N68" s="3478">
        <f t="shared" si="57"/>
        <v>1.2568371047620288</v>
      </c>
      <c r="O68" s="3289"/>
      <c r="P68" s="2127"/>
      <c r="Q68" s="3444"/>
      <c r="R68" s="3481"/>
      <c r="S68" s="3287">
        <f>'2017 Sector View Gas'!S67</f>
        <v>104715.976</v>
      </c>
      <c r="T68" s="2034">
        <v>46635.231200000002</v>
      </c>
      <c r="U68" s="3456">
        <f t="shared" si="62"/>
        <v>58080.744799999993</v>
      </c>
      <c r="V68" s="3478">
        <f t="shared" si="58"/>
        <v>1.2454263290968737</v>
      </c>
      <c r="W68" s="3290">
        <f t="shared" si="59"/>
        <v>804817.97399999993</v>
      </c>
      <c r="X68" s="3416">
        <v>356849.02399999998</v>
      </c>
      <c r="Y68" s="3470">
        <f t="shared" si="9"/>
        <v>447968.94999999995</v>
      </c>
      <c r="Z68" s="3507">
        <f t="shared" si="60"/>
        <v>1.2553458742260704</v>
      </c>
    </row>
    <row r="69" spans="2:26">
      <c r="B69" s="3293" t="s">
        <v>455</v>
      </c>
      <c r="C69" s="3305"/>
      <c r="D69" s="2074" t="s">
        <v>612</v>
      </c>
      <c r="F69" s="3300"/>
      <c r="G69" s="3289"/>
      <c r="H69" s="2127"/>
      <c r="I69" s="3444"/>
      <c r="J69" s="3481"/>
      <c r="K69" s="3287">
        <f>'2017 Sector View Elect'!S76</f>
        <v>1097133.6155399999</v>
      </c>
      <c r="L69" s="2034">
        <v>891012.41940000001</v>
      </c>
      <c r="M69" s="3456">
        <f t="shared" si="61"/>
        <v>206121.1961399999</v>
      </c>
      <c r="N69" s="3478">
        <f t="shared" si="57"/>
        <v>0.23133369597564096</v>
      </c>
      <c r="O69" s="3289"/>
      <c r="P69" s="2127"/>
      <c r="Q69" s="3444"/>
      <c r="R69" s="3481"/>
      <c r="S69" s="3287">
        <f>'2017 Sector View Gas'!S68</f>
        <v>164145.72165999998</v>
      </c>
      <c r="T69" s="2034">
        <v>130488.12</v>
      </c>
      <c r="U69" s="3456">
        <f t="shared" si="62"/>
        <v>33657.601659999986</v>
      </c>
      <c r="V69" s="3478">
        <f t="shared" si="58"/>
        <v>0.25793613748132771</v>
      </c>
      <c r="W69" s="3290">
        <f t="shared" si="59"/>
        <v>1261279.3372</v>
      </c>
      <c r="X69" s="3416">
        <v>1021500.5394</v>
      </c>
      <c r="Y69" s="3470">
        <f t="shared" si="9"/>
        <v>239778.79779999994</v>
      </c>
      <c r="Z69" s="3507">
        <f t="shared" si="60"/>
        <v>0.23473193459186922</v>
      </c>
    </row>
    <row r="70" spans="2:26">
      <c r="B70" s="3293" t="s">
        <v>456</v>
      </c>
      <c r="C70" s="3305"/>
      <c r="D70" s="2074" t="s">
        <v>23</v>
      </c>
      <c r="G70" s="3289"/>
      <c r="H70" s="2127"/>
      <c r="I70" s="3444"/>
      <c r="J70" s="3481"/>
      <c r="K70" s="3287">
        <f>'2017 Sector View Elect'!S77</f>
        <v>895610.74399999995</v>
      </c>
      <c r="L70" s="2034">
        <v>926485.09987999999</v>
      </c>
      <c r="M70" s="3456">
        <f t="shared" si="61"/>
        <v>-30874.355880000046</v>
      </c>
      <c r="N70" s="3478">
        <f t="shared" si="57"/>
        <v>-3.3324179616055292E-2</v>
      </c>
      <c r="O70" s="3289"/>
      <c r="P70" s="2127"/>
      <c r="Q70" s="3444"/>
      <c r="R70" s="3481"/>
      <c r="S70" s="3287">
        <f>'2017 Sector View Gas'!S69</f>
        <v>143616.64799999999</v>
      </c>
      <c r="T70" s="2034">
        <v>135757.79382799999</v>
      </c>
      <c r="U70" s="3456">
        <f t="shared" si="62"/>
        <v>7858.8541719999921</v>
      </c>
      <c r="V70" s="3478">
        <f t="shared" si="58"/>
        <v>5.7888788189625888E-2</v>
      </c>
      <c r="W70" s="3290">
        <f t="shared" si="59"/>
        <v>1039227.392</v>
      </c>
      <c r="X70" s="3416">
        <v>1062242.893708</v>
      </c>
      <c r="Y70" s="3470">
        <f t="shared" si="9"/>
        <v>-23015.501707999967</v>
      </c>
      <c r="Z70" s="3507">
        <f t="shared" si="60"/>
        <v>-2.1666891672637256E-2</v>
      </c>
    </row>
    <row r="71" spans="2:26">
      <c r="B71" s="3293" t="s">
        <v>457</v>
      </c>
      <c r="C71" s="3305"/>
      <c r="D71" s="2074" t="s">
        <v>196</v>
      </c>
      <c r="G71" s="3289"/>
      <c r="H71" s="2127"/>
      <c r="I71" s="3444"/>
      <c r="J71" s="3481"/>
      <c r="K71" s="3287">
        <f>'2017 Sector View Elect'!S78</f>
        <v>117661</v>
      </c>
      <c r="L71" s="2034">
        <v>117661</v>
      </c>
      <c r="M71" s="3456">
        <f t="shared" si="61"/>
        <v>0</v>
      </c>
      <c r="N71" s="3478">
        <f t="shared" si="57"/>
        <v>0</v>
      </c>
      <c r="O71" s="3289"/>
      <c r="P71" s="2127"/>
      <c r="Q71" s="3444"/>
      <c r="R71" s="3481"/>
      <c r="S71" s="3287">
        <f>'2017 Sector View Gas'!S70</f>
        <v>21015</v>
      </c>
      <c r="T71" s="2034">
        <v>21015</v>
      </c>
      <c r="U71" s="3456">
        <f t="shared" si="62"/>
        <v>0</v>
      </c>
      <c r="V71" s="3478">
        <f t="shared" si="58"/>
        <v>0</v>
      </c>
      <c r="W71" s="3290">
        <f t="shared" si="59"/>
        <v>138676</v>
      </c>
      <c r="X71" s="3416">
        <v>138676</v>
      </c>
      <c r="Y71" s="3470">
        <f t="shared" si="9"/>
        <v>0</v>
      </c>
      <c r="Z71" s="3507">
        <f t="shared" si="60"/>
        <v>0</v>
      </c>
    </row>
    <row r="72" spans="2:26">
      <c r="B72" s="3293" t="s">
        <v>458</v>
      </c>
      <c r="C72" s="3305"/>
      <c r="D72" s="2074" t="s">
        <v>617</v>
      </c>
      <c r="G72" s="3289"/>
      <c r="H72" s="2127"/>
      <c r="I72" s="3444"/>
      <c r="J72" s="3481"/>
      <c r="K72" s="3287">
        <f>'2017 Sector View Elect'!S79</f>
        <v>-4434.1790400000173</v>
      </c>
      <c r="L72" s="2034">
        <v>-9584.2200000000303</v>
      </c>
      <c r="M72" s="3456">
        <f t="shared" si="61"/>
        <v>5150.040960000013</v>
      </c>
      <c r="N72" s="3478">
        <f t="shared" si="57"/>
        <v>-0.53734586226109138</v>
      </c>
      <c r="O72" s="3289"/>
      <c r="P72" s="2127"/>
      <c r="Q72" s="3444"/>
      <c r="R72" s="3481"/>
      <c r="S72" s="3287">
        <f>'2017 Sector View Gas'!S71</f>
        <v>-4494.7640400000382</v>
      </c>
      <c r="T72" s="2034">
        <v>-9559.796800000011</v>
      </c>
      <c r="U72" s="3456">
        <f t="shared" si="62"/>
        <v>5065.0327599999728</v>
      </c>
      <c r="V72" s="3478">
        <f t="shared" si="58"/>
        <v>-0.529826403841551</v>
      </c>
      <c r="W72" s="3290">
        <f t="shared" si="59"/>
        <v>-8928.9430800000555</v>
      </c>
      <c r="X72" s="3416">
        <v>-19144.016800000041</v>
      </c>
      <c r="Y72" s="3470">
        <f t="shared" si="9"/>
        <v>10215.073719999986</v>
      </c>
      <c r="Z72" s="3507">
        <f t="shared" si="60"/>
        <v>-0.5335909295691782</v>
      </c>
    </row>
    <row r="73" spans="2:26">
      <c r="B73" s="3293" t="s">
        <v>459</v>
      </c>
      <c r="C73" s="3305"/>
      <c r="D73" s="1678" t="s">
        <v>197</v>
      </c>
      <c r="E73" s="1678"/>
      <c r="F73" s="1678"/>
      <c r="G73" s="3359"/>
      <c r="H73" s="3360"/>
      <c r="I73" s="3446"/>
      <c r="J73" s="3483"/>
      <c r="K73" s="3331">
        <f>K58+K63+SUM(K67:K72)</f>
        <v>6471427.2197671998</v>
      </c>
      <c r="L73" s="3332">
        <v>5886466.8639519997</v>
      </c>
      <c r="M73" s="3456">
        <f t="shared" si="61"/>
        <v>584960.35581520014</v>
      </c>
      <c r="N73" s="3478">
        <f t="shared" si="57"/>
        <v>9.9373761771670802E-2</v>
      </c>
      <c r="O73" s="3361"/>
      <c r="P73" s="3362"/>
      <c r="Q73" s="3449"/>
      <c r="R73" s="3488"/>
      <c r="S73" s="3331">
        <f>S58+S63+SUM(S67:S72)</f>
        <v>921598.39006839995</v>
      </c>
      <c r="T73" s="3332">
        <v>802831.41827199992</v>
      </c>
      <c r="U73" s="3456">
        <f t="shared" si="62"/>
        <v>118766.97179640003</v>
      </c>
      <c r="V73" s="3478">
        <f t="shared" si="58"/>
        <v>0.14793513195090441</v>
      </c>
      <c r="W73" s="3333">
        <f t="shared" si="59"/>
        <v>7393025.6098355995</v>
      </c>
      <c r="X73" s="3416">
        <v>6689298.2822239995</v>
      </c>
      <c r="Y73" s="3470">
        <f t="shared" si="9"/>
        <v>703727.32761160005</v>
      </c>
      <c r="Z73" s="3508">
        <f t="shared" si="60"/>
        <v>0.10520196557562252</v>
      </c>
    </row>
    <row r="74" spans="2:26">
      <c r="B74" s="3293"/>
      <c r="C74" s="3334"/>
      <c r="D74" s="3336"/>
      <c r="E74" s="3336"/>
      <c r="F74" s="3336"/>
      <c r="G74" s="3349"/>
      <c r="H74" s="3350"/>
      <c r="I74" s="3447"/>
      <c r="J74" s="3484"/>
      <c r="K74" s="3343"/>
      <c r="L74" s="3348"/>
      <c r="M74" s="3459"/>
      <c r="N74" s="3495"/>
      <c r="O74" s="3349"/>
      <c r="P74" s="3350"/>
      <c r="Q74" s="3447"/>
      <c r="R74" s="3484"/>
      <c r="S74" s="3343"/>
      <c r="T74" s="3348"/>
      <c r="U74" s="3459"/>
      <c r="V74" s="3495"/>
      <c r="W74" s="3343"/>
      <c r="X74" s="3418"/>
      <c r="Y74" s="3471"/>
      <c r="Z74" s="3506"/>
    </row>
    <row r="75" spans="2:26" ht="15.75">
      <c r="B75" s="3344"/>
      <c r="C75" s="3345"/>
      <c r="D75" s="3298" t="s">
        <v>314</v>
      </c>
      <c r="E75" s="3298"/>
      <c r="F75" s="3298"/>
      <c r="G75" s="3306"/>
      <c r="H75" s="3299"/>
      <c r="I75" s="3441"/>
      <c r="J75" s="3477"/>
      <c r="K75" s="3306"/>
      <c r="L75" s="3299"/>
      <c r="M75" s="3441"/>
      <c r="N75" s="3477"/>
      <c r="O75" s="3306"/>
      <c r="P75" s="3299"/>
      <c r="Q75" s="3441"/>
      <c r="R75" s="3477"/>
      <c r="S75" s="3306"/>
      <c r="T75" s="3299"/>
      <c r="U75" s="3441"/>
      <c r="V75" s="3477"/>
      <c r="W75" s="3306"/>
      <c r="Y75" s="3470"/>
      <c r="Z75" s="3506"/>
    </row>
    <row r="76" spans="2:26">
      <c r="B76" s="3293" t="s">
        <v>460</v>
      </c>
      <c r="C76" s="3305"/>
      <c r="D76" s="2074" t="s">
        <v>24</v>
      </c>
      <c r="G76" s="3289"/>
      <c r="H76" s="2127"/>
      <c r="I76" s="3444"/>
      <c r="J76" s="3481"/>
      <c r="K76" s="3287">
        <f>'2017 Sector View Elect'!S85</f>
        <v>251498.31935999999</v>
      </c>
      <c r="L76" s="2034">
        <v>176087.64</v>
      </c>
      <c r="M76" s="3456">
        <f>K76-L76</f>
        <v>75410.67935999998</v>
      </c>
      <c r="N76" s="3478">
        <f t="shared" ref="N76:N84" si="63">(K76-L76)/L76</f>
        <v>0.42825651681174198</v>
      </c>
      <c r="O76" s="3289"/>
      <c r="P76" s="2127"/>
      <c r="Q76" s="3444"/>
      <c r="R76" s="3481"/>
      <c r="S76" s="3287">
        <f>'2017 Sector View Gas'!S77</f>
        <v>37580.208639999997</v>
      </c>
      <c r="T76" s="2034">
        <v>26311.951999999997</v>
      </c>
      <c r="U76" s="3456">
        <f>S76-T76</f>
        <v>11268.25664</v>
      </c>
      <c r="V76" s="3478">
        <f t="shared" ref="V76:V84" si="64">(S76-T76)/T76</f>
        <v>0.42825620235245188</v>
      </c>
      <c r="W76" s="3290">
        <f t="shared" ref="W76:W84" si="65">K76+S76</f>
        <v>289078.52799999999</v>
      </c>
      <c r="X76" s="3416">
        <v>202399.592</v>
      </c>
      <c r="Y76" s="3470">
        <f t="shared" si="9"/>
        <v>86678.935999999987</v>
      </c>
      <c r="Z76" s="3507">
        <f t="shared" ref="Z76:Z84" si="66">(W76-X76)/X76</f>
        <v>0.42825647593202648</v>
      </c>
    </row>
    <row r="77" spans="2:26" ht="15">
      <c r="B77" s="3293" t="s">
        <v>461</v>
      </c>
      <c r="C77" s="3305"/>
      <c r="D77" s="2074" t="s">
        <v>29</v>
      </c>
      <c r="G77" s="3363"/>
      <c r="H77" s="3364"/>
      <c r="I77" s="3448"/>
      <c r="J77" s="3485"/>
      <c r="K77" s="3287">
        <f>'2017 Sector View Elect'!S86</f>
        <v>711472.98719999997</v>
      </c>
      <c r="L77" s="2034">
        <v>145549.03200000001</v>
      </c>
      <c r="M77" s="3456">
        <f t="shared" ref="M77:M82" si="67">K77-L77</f>
        <v>565923.95519999997</v>
      </c>
      <c r="N77" s="3478">
        <f t="shared" si="63"/>
        <v>3.8882014357883188</v>
      </c>
      <c r="O77" s="3289"/>
      <c r="P77" s="2127"/>
      <c r="Q77" s="3444"/>
      <c r="R77" s="3481"/>
      <c r="S77" s="3287">
        <f>'2017 Sector View Gas'!S78</f>
        <v>50277.572799999994</v>
      </c>
      <c r="T77" s="2034">
        <v>21748.703999999998</v>
      </c>
      <c r="U77" s="3456">
        <f t="shared" ref="U77:U82" si="68">S77-T77</f>
        <v>28528.868799999997</v>
      </c>
      <c r="V77" s="3478">
        <f t="shared" si="64"/>
        <v>1.3117502909598659</v>
      </c>
      <c r="W77" s="3290">
        <f t="shared" si="65"/>
        <v>761750.55999999994</v>
      </c>
      <c r="X77" s="3416">
        <v>167297.736</v>
      </c>
      <c r="Y77" s="3470">
        <f t="shared" si="9"/>
        <v>594452.82399999991</v>
      </c>
      <c r="Z77" s="3507">
        <f t="shared" si="66"/>
        <v>3.5532628128332826</v>
      </c>
    </row>
    <row r="78" spans="2:26" ht="15">
      <c r="B78" s="3293" t="s">
        <v>462</v>
      </c>
      <c r="C78" s="3305"/>
      <c r="D78" s="2074" t="s">
        <v>335</v>
      </c>
      <c r="G78" s="3363"/>
      <c r="H78" s="3364"/>
      <c r="I78" s="3448"/>
      <c r="J78" s="3485"/>
      <c r="K78" s="3287">
        <f>'2017 Sector View Elect'!S87</f>
        <v>292170.13827999996</v>
      </c>
      <c r="L78" s="2034">
        <v>290966.2758</v>
      </c>
      <c r="M78" s="3456">
        <f t="shared" si="67"/>
        <v>1203.8624799999525</v>
      </c>
      <c r="N78" s="3478">
        <f t="shared" si="63"/>
        <v>4.1374639610380322E-3</v>
      </c>
      <c r="O78" s="3289"/>
      <c r="P78" s="2127"/>
      <c r="Q78" s="3444"/>
      <c r="R78" s="3481"/>
      <c r="S78" s="3287">
        <f>'2017 Sector View Gas'!S79</f>
        <v>43657.611719999994</v>
      </c>
      <c r="T78" s="2034">
        <v>43477.72419999999</v>
      </c>
      <c r="U78" s="3456">
        <f t="shared" si="68"/>
        <v>179.88752000000386</v>
      </c>
      <c r="V78" s="3478">
        <f t="shared" si="64"/>
        <v>4.1374640303736025E-3</v>
      </c>
      <c r="W78" s="3290">
        <f t="shared" si="65"/>
        <v>335827.74999999994</v>
      </c>
      <c r="X78" s="3416">
        <v>334444</v>
      </c>
      <c r="Y78" s="3470">
        <f t="shared" si="9"/>
        <v>1383.7499999999418</v>
      </c>
      <c r="Z78" s="3507">
        <f t="shared" si="66"/>
        <v>4.1374639700516138E-3</v>
      </c>
    </row>
    <row r="79" spans="2:26">
      <c r="B79" s="3293" t="s">
        <v>463</v>
      </c>
      <c r="C79" s="3305"/>
      <c r="D79" s="2074" t="s">
        <v>25</v>
      </c>
      <c r="G79" s="3289"/>
      <c r="H79" s="2127"/>
      <c r="I79" s="3444"/>
      <c r="J79" s="3481"/>
      <c r="K79" s="3287">
        <f>'2017 Sector View Elect'!S88</f>
        <v>1777721.1084</v>
      </c>
      <c r="L79" s="2034">
        <v>1819411.2239999999</v>
      </c>
      <c r="M79" s="3456">
        <f t="shared" si="67"/>
        <v>-41690.115599999903</v>
      </c>
      <c r="N79" s="3478">
        <f t="shared" si="63"/>
        <v>-2.2914069700165764E-2</v>
      </c>
      <c r="O79" s="3289"/>
      <c r="P79" s="2127"/>
      <c r="Q79" s="3444"/>
      <c r="R79" s="3481"/>
      <c r="S79" s="3287">
        <f>'2017 Sector View Gas'!S80</f>
        <v>363107.33143999998</v>
      </c>
      <c r="T79" s="2034">
        <v>271866.03840000002</v>
      </c>
      <c r="U79" s="3456">
        <f t="shared" si="68"/>
        <v>91241.29303999996</v>
      </c>
      <c r="V79" s="3478">
        <f t="shared" si="64"/>
        <v>0.33561122079454242</v>
      </c>
      <c r="W79" s="3290">
        <f t="shared" si="65"/>
        <v>2140828.4398400001</v>
      </c>
      <c r="X79" s="3416">
        <v>2091277.2623999999</v>
      </c>
      <c r="Y79" s="3470">
        <f t="shared" si="9"/>
        <v>49551.177440000232</v>
      </c>
      <c r="Z79" s="3507">
        <f t="shared" si="66"/>
        <v>2.3694217084890081E-2</v>
      </c>
    </row>
    <row r="80" spans="2:26">
      <c r="B80" s="3293" t="s">
        <v>464</v>
      </c>
      <c r="C80" s="3305"/>
      <c r="D80" s="2074" t="s">
        <v>414</v>
      </c>
      <c r="G80" s="3289"/>
      <c r="H80" s="2127"/>
      <c r="I80" s="3444"/>
      <c r="J80" s="3481"/>
      <c r="K80" s="3287">
        <f>'2017 Sector View Elect'!S89</f>
        <v>54000</v>
      </c>
      <c r="L80" s="2034">
        <v>100000</v>
      </c>
      <c r="M80" s="3456">
        <f t="shared" si="67"/>
        <v>-46000</v>
      </c>
      <c r="N80" s="3478">
        <f t="shared" si="63"/>
        <v>-0.46</v>
      </c>
      <c r="O80" s="3289"/>
      <c r="P80" s="2127"/>
      <c r="Q80" s="3444"/>
      <c r="R80" s="3481"/>
      <c r="S80" s="3287"/>
      <c r="T80" s="2034"/>
      <c r="U80" s="3456">
        <f t="shared" si="68"/>
        <v>0</v>
      </c>
      <c r="V80" s="3478" t="e">
        <f t="shared" si="64"/>
        <v>#DIV/0!</v>
      </c>
      <c r="W80" s="3290">
        <f t="shared" si="65"/>
        <v>54000</v>
      </c>
      <c r="X80" s="3416">
        <v>100000</v>
      </c>
      <c r="Y80" s="3470">
        <f t="shared" si="9"/>
        <v>-46000</v>
      </c>
      <c r="Z80" s="3507">
        <f t="shared" si="66"/>
        <v>-0.46</v>
      </c>
    </row>
    <row r="81" spans="2:26">
      <c r="B81" s="3293" t="s">
        <v>465</v>
      </c>
      <c r="C81" s="3305"/>
      <c r="D81" s="2074" t="s">
        <v>251</v>
      </c>
      <c r="G81" s="3289"/>
      <c r="H81" s="2127"/>
      <c r="I81" s="3444"/>
      <c r="J81" s="3481"/>
      <c r="K81" s="3287">
        <f>'2017 Sector View Elect'!S90</f>
        <v>570117.91500000004</v>
      </c>
      <c r="L81" s="2034">
        <v>420919.56504000002</v>
      </c>
      <c r="M81" s="3456">
        <f t="shared" si="67"/>
        <v>149198.34996000002</v>
      </c>
      <c r="N81" s="3478">
        <f t="shared" si="63"/>
        <v>0.35445810162286395</v>
      </c>
      <c r="O81" s="3289"/>
      <c r="P81" s="2127"/>
      <c r="Q81" s="3444"/>
      <c r="R81" s="3481"/>
      <c r="S81" s="3287">
        <f>'2017 Sector View Gas'!S81</f>
        <v>85401.035999999993</v>
      </c>
      <c r="T81" s="2034">
        <v>112103.05392000001</v>
      </c>
      <c r="U81" s="3456">
        <f t="shared" si="68"/>
        <v>-26702.017920000013</v>
      </c>
      <c r="V81" s="3478">
        <f t="shared" si="64"/>
        <v>-0.23819170831024236</v>
      </c>
      <c r="W81" s="3290">
        <f t="shared" si="65"/>
        <v>655518.951</v>
      </c>
      <c r="X81" s="3416">
        <v>533022.61895999999</v>
      </c>
      <c r="Y81" s="3470">
        <f t="shared" si="9"/>
        <v>122496.33204000001</v>
      </c>
      <c r="Z81" s="3507">
        <f t="shared" si="66"/>
        <v>0.22981451008403189</v>
      </c>
    </row>
    <row r="82" spans="2:26">
      <c r="B82" s="3293" t="s">
        <v>466</v>
      </c>
      <c r="C82" s="3305"/>
      <c r="D82" s="1678" t="s">
        <v>198</v>
      </c>
      <c r="E82" s="1678"/>
      <c r="F82" s="1678"/>
      <c r="G82" s="3359"/>
      <c r="H82" s="3360"/>
      <c r="I82" s="3446"/>
      <c r="J82" s="3483"/>
      <c r="K82" s="3331">
        <f>SUM(K76:K81)</f>
        <v>3656980.4682400003</v>
      </c>
      <c r="L82" s="3332">
        <v>2952933.7368399994</v>
      </c>
      <c r="M82" s="3456">
        <f t="shared" si="67"/>
        <v>704046.73140000086</v>
      </c>
      <c r="N82" s="3478">
        <f t="shared" si="63"/>
        <v>0.23842280055813816</v>
      </c>
      <c r="O82" s="3361"/>
      <c r="P82" s="3362"/>
      <c r="Q82" s="3449"/>
      <c r="R82" s="3488"/>
      <c r="S82" s="3331">
        <f>SUM(S76:S81)</f>
        <v>580023.76059999992</v>
      </c>
      <c r="T82" s="3332">
        <v>475507.47251999995</v>
      </c>
      <c r="U82" s="3456">
        <f t="shared" si="68"/>
        <v>104516.28807999997</v>
      </c>
      <c r="V82" s="3478">
        <f t="shared" si="64"/>
        <v>0.21979946503491382</v>
      </c>
      <c r="W82" s="3333">
        <f t="shared" si="65"/>
        <v>4237004.22884</v>
      </c>
      <c r="X82" s="3416">
        <v>3428441.2093599993</v>
      </c>
      <c r="Y82" s="3470">
        <f t="shared" si="9"/>
        <v>808563.01948000072</v>
      </c>
      <c r="Z82" s="3508">
        <f t="shared" si="66"/>
        <v>0.235839838021005</v>
      </c>
    </row>
    <row r="83" spans="2:26">
      <c r="B83" s="3293"/>
      <c r="C83" s="3377"/>
      <c r="D83" s="3378"/>
      <c r="E83" s="3378"/>
      <c r="F83" s="3378"/>
      <c r="G83" s="3379"/>
      <c r="H83" s="3380"/>
      <c r="I83" s="3447"/>
      <c r="J83" s="3484"/>
      <c r="K83" s="3381"/>
      <c r="L83" s="3382"/>
      <c r="M83" s="3459"/>
      <c r="N83" s="3495"/>
      <c r="O83" s="3379"/>
      <c r="P83" s="3380"/>
      <c r="Q83" s="3447"/>
      <c r="R83" s="3484"/>
      <c r="S83" s="3381"/>
      <c r="T83" s="3382"/>
      <c r="U83" s="3459"/>
      <c r="V83" s="3503" t="e">
        <f t="shared" si="64"/>
        <v>#DIV/0!</v>
      </c>
      <c r="W83" s="3381"/>
      <c r="X83" s="3436"/>
      <c r="Y83" s="3472">
        <f t="shared" si="9"/>
        <v>0</v>
      </c>
      <c r="Z83" s="3509" t="e">
        <f t="shared" si="66"/>
        <v>#DIV/0!</v>
      </c>
    </row>
    <row r="84" spans="2:26" ht="15">
      <c r="B84" s="3293" t="s">
        <v>691</v>
      </c>
      <c r="C84" s="3383" t="s">
        <v>332</v>
      </c>
      <c r="D84" s="3384"/>
      <c r="E84" s="3385"/>
      <c r="F84" s="3385"/>
      <c r="G84" s="3386">
        <f>G21+G43+G48+G54</f>
        <v>309932.08333496749</v>
      </c>
      <c r="H84" s="3387">
        <f>H21+H43+H48+H54</f>
        <v>310686.82209999999</v>
      </c>
      <c r="I84" s="3449">
        <f>G84-H84</f>
        <v>-754.7387650324963</v>
      </c>
      <c r="J84" s="3486">
        <f t="shared" ref="J84" si="69">(G84-H84)/H84</f>
        <v>-2.4292590201639465E-3</v>
      </c>
      <c r="K84" s="3388">
        <f>K21+K43+K48+K54+K73+K82</f>
        <v>101885424.46061987</v>
      </c>
      <c r="L84" s="3389">
        <v>99425034</v>
      </c>
      <c r="M84" s="3460">
        <f>K84-L84</f>
        <v>2460390.4606198668</v>
      </c>
      <c r="N84" s="3486">
        <f t="shared" si="63"/>
        <v>2.474618676640198E-2</v>
      </c>
      <c r="O84" s="3386">
        <f>O21+O43+O48+O54</f>
        <v>3527456.85</v>
      </c>
      <c r="P84" s="3387">
        <f>P21+P43+P48+P54</f>
        <v>3463032.7199999997</v>
      </c>
      <c r="Q84" s="3449">
        <f>O84-P84</f>
        <v>64424.130000000354</v>
      </c>
      <c r="R84" s="3488"/>
      <c r="S84" s="3388">
        <f>S21+S43+S48+S54+S73+S82</f>
        <v>14687613.725298401</v>
      </c>
      <c r="T84" s="3389">
        <v>14767447</v>
      </c>
      <c r="U84" s="3460">
        <f>S84-T84</f>
        <v>-79833.274701599032</v>
      </c>
      <c r="V84" s="3486">
        <f t="shared" si="64"/>
        <v>-5.4060308935998912E-3</v>
      </c>
      <c r="W84" s="3437">
        <f t="shared" si="65"/>
        <v>116573038.18591827</v>
      </c>
      <c r="X84" s="3437">
        <v>114192480</v>
      </c>
      <c r="Y84" s="3473">
        <f t="shared" ref="Y84:Y94" si="70">W84-X84</f>
        <v>2380558.1859182715</v>
      </c>
      <c r="Z84" s="3510">
        <f t="shared" si="66"/>
        <v>2.0846891020479381E-2</v>
      </c>
    </row>
    <row r="85" spans="2:26">
      <c r="B85" s="3293"/>
      <c r="C85" s="3334"/>
      <c r="D85" s="3336"/>
      <c r="E85" s="3336"/>
      <c r="F85" s="3336"/>
      <c r="G85" s="3365"/>
      <c r="H85" s="3366"/>
      <c r="I85" s="3450"/>
      <c r="J85" s="3487"/>
      <c r="K85" s="3343"/>
      <c r="L85" s="3348"/>
      <c r="M85" s="3459"/>
      <c r="N85" s="3495"/>
      <c r="O85" s="3349"/>
      <c r="P85" s="3350"/>
      <c r="Q85" s="3447"/>
      <c r="R85" s="3484"/>
      <c r="S85" s="3343"/>
      <c r="T85" s="3348"/>
      <c r="U85" s="3459"/>
      <c r="V85" s="3495"/>
      <c r="W85" s="3343"/>
      <c r="X85" s="3418"/>
      <c r="Y85" s="3471"/>
      <c r="Z85" s="3506"/>
    </row>
    <row r="86" spans="2:26" ht="15.75">
      <c r="B86" s="3351"/>
      <c r="C86" s="3304"/>
      <c r="D86" s="3298" t="s">
        <v>158</v>
      </c>
      <c r="E86" s="3298"/>
      <c r="F86" s="3298"/>
      <c r="G86" s="3306"/>
      <c r="H86" s="3299"/>
      <c r="I86" s="3441"/>
      <c r="J86" s="3477"/>
      <c r="K86" s="3306"/>
      <c r="L86" s="3299"/>
      <c r="M86" s="3441"/>
      <c r="N86" s="3477"/>
      <c r="O86" s="3306"/>
      <c r="P86" s="3299"/>
      <c r="Q86" s="3441"/>
      <c r="R86" s="3477"/>
      <c r="S86" s="3306"/>
      <c r="T86" s="3299"/>
      <c r="U86" s="3441"/>
      <c r="V86" s="3477"/>
      <c r="W86" s="3306"/>
      <c r="Y86" s="3470"/>
      <c r="Z86" s="3506"/>
    </row>
    <row r="87" spans="2:26">
      <c r="B87" s="3293" t="s">
        <v>467</v>
      </c>
      <c r="C87" s="3305" t="s">
        <v>199</v>
      </c>
      <c r="D87" s="2074" t="s">
        <v>2</v>
      </c>
      <c r="G87" s="3289"/>
      <c r="H87" s="2127"/>
      <c r="I87" s="3444"/>
      <c r="J87" s="3481"/>
      <c r="K87" s="3287">
        <f>'2017 Sector View Elect'!S96</f>
        <v>949696.90299999993</v>
      </c>
      <c r="L87" s="2034">
        <v>959776</v>
      </c>
      <c r="M87" s="3456">
        <f>K87-L87</f>
        <v>-10079.097000000067</v>
      </c>
      <c r="N87" s="3478">
        <f t="shared" ref="N87:N88" si="71">(K87-L87)/L87</f>
        <v>-1.0501509727269766E-2</v>
      </c>
      <c r="O87" s="3289"/>
      <c r="P87" s="2127"/>
      <c r="Q87" s="3444"/>
      <c r="R87" s="3481"/>
      <c r="S87" s="3287"/>
      <c r="T87" s="2034"/>
      <c r="U87" s="3456"/>
      <c r="V87" s="3496"/>
      <c r="W87" s="3290">
        <f t="shared" ref="W87:W89" si="72">K87+S87</f>
        <v>949696.90299999993</v>
      </c>
      <c r="X87" s="3416">
        <v>959776</v>
      </c>
      <c r="Y87" s="3470">
        <f t="shared" si="70"/>
        <v>-10079.097000000067</v>
      </c>
      <c r="Z87" s="3507">
        <f t="shared" ref="Z87:Z90" si="73">(W87-X87)/X87</f>
        <v>-1.0501509727269766E-2</v>
      </c>
    </row>
    <row r="88" spans="2:26">
      <c r="B88" s="3293" t="s">
        <v>468</v>
      </c>
      <c r="C88" s="3305" t="s">
        <v>2618</v>
      </c>
      <c r="D88" s="2074" t="s">
        <v>1758</v>
      </c>
      <c r="G88" s="3289"/>
      <c r="H88" s="2127"/>
      <c r="I88" s="3444"/>
      <c r="J88" s="3481"/>
      <c r="K88" s="3287">
        <f>'2017 Sector View Elect'!S97+'2017 Sector View Elect'!S98</f>
        <v>322456.70400000003</v>
      </c>
      <c r="L88" s="2034"/>
      <c r="M88" s="3456">
        <f t="shared" ref="M88:M90" si="74">K88-L88</f>
        <v>322456.70400000003</v>
      </c>
      <c r="N88" s="3478" t="e">
        <f t="shared" si="71"/>
        <v>#DIV/0!</v>
      </c>
      <c r="O88" s="3289"/>
      <c r="P88" s="2127"/>
      <c r="Q88" s="3444"/>
      <c r="R88" s="3481"/>
      <c r="S88" s="3287"/>
      <c r="T88" s="2034"/>
      <c r="U88" s="3456"/>
      <c r="V88" s="3496"/>
      <c r="W88" s="3290">
        <f t="shared" si="72"/>
        <v>322456.70400000003</v>
      </c>
      <c r="Y88" s="3470">
        <f t="shared" si="70"/>
        <v>322456.70400000003</v>
      </c>
      <c r="Z88" s="3507" t="e">
        <f t="shared" si="73"/>
        <v>#DIV/0!</v>
      </c>
    </row>
    <row r="89" spans="2:26">
      <c r="B89" s="3293" t="s">
        <v>469</v>
      </c>
      <c r="C89" s="3305" t="s">
        <v>614</v>
      </c>
      <c r="D89" s="2074" t="s">
        <v>615</v>
      </c>
      <c r="G89" s="3289"/>
      <c r="H89" s="2127"/>
      <c r="I89" s="3444"/>
      <c r="J89" s="3481"/>
      <c r="K89" s="3287">
        <f>'2017 Sector View Elect'!S99</f>
        <v>295624.32000000001</v>
      </c>
      <c r="L89" s="2034">
        <v>0</v>
      </c>
      <c r="M89" s="3456">
        <f t="shared" si="74"/>
        <v>295624.32000000001</v>
      </c>
      <c r="N89" s="3496"/>
      <c r="O89" s="3289"/>
      <c r="P89" s="2127"/>
      <c r="Q89" s="3444"/>
      <c r="R89" s="3481"/>
      <c r="S89" s="3287"/>
      <c r="T89" s="2034"/>
      <c r="U89" s="3456"/>
      <c r="V89" s="3496"/>
      <c r="W89" s="3290">
        <f t="shared" si="72"/>
        <v>295624.32000000001</v>
      </c>
      <c r="Y89" s="3470">
        <f t="shared" si="70"/>
        <v>295624.32000000001</v>
      </c>
      <c r="Z89" s="3507" t="e">
        <f t="shared" si="73"/>
        <v>#DIV/0!</v>
      </c>
    </row>
    <row r="90" spans="2:26">
      <c r="B90" s="3293" t="s">
        <v>470</v>
      </c>
      <c r="C90" s="3305"/>
      <c r="D90" s="1678" t="s">
        <v>201</v>
      </c>
      <c r="E90" s="1678"/>
      <c r="F90" s="1678"/>
      <c r="G90" s="3361"/>
      <c r="H90" s="3362"/>
      <c r="I90" s="3449"/>
      <c r="J90" s="3488"/>
      <c r="K90" s="3331">
        <f>SUM(K87:K89)</f>
        <v>1567777.9269999999</v>
      </c>
      <c r="L90" s="3332">
        <v>959776</v>
      </c>
      <c r="M90" s="3456">
        <f t="shared" si="74"/>
        <v>608001.92699999991</v>
      </c>
      <c r="N90" s="3478">
        <f t="shared" ref="N90" si="75">(K90-L90)/L90</f>
        <v>0.63348315336078409</v>
      </c>
      <c r="O90" s="3361"/>
      <c r="P90" s="3362"/>
      <c r="Q90" s="3449"/>
      <c r="R90" s="3488"/>
      <c r="S90" s="3331">
        <f>SUM(S87:S89)</f>
        <v>0</v>
      </c>
      <c r="T90" s="3332"/>
      <c r="U90" s="3460"/>
      <c r="V90" s="3504"/>
      <c r="W90" s="3333">
        <f>SUM(W87:W89)</f>
        <v>1567777.9269999999</v>
      </c>
      <c r="X90" s="3416">
        <v>959776</v>
      </c>
      <c r="Y90" s="3470">
        <f t="shared" si="70"/>
        <v>608001.92699999991</v>
      </c>
      <c r="Z90" s="3508">
        <f t="shared" si="73"/>
        <v>0.63348315336078409</v>
      </c>
    </row>
    <row r="91" spans="2:26">
      <c r="B91" s="3291"/>
      <c r="C91" s="3377"/>
      <c r="D91" s="3390"/>
      <c r="E91" s="3390"/>
      <c r="F91" s="3390"/>
      <c r="G91" s="3391"/>
      <c r="H91" s="3392"/>
      <c r="I91" s="3451"/>
      <c r="J91" s="3489"/>
      <c r="K91" s="3393"/>
      <c r="L91" s="3394"/>
      <c r="M91" s="3461"/>
      <c r="N91" s="3497"/>
      <c r="O91" s="3391"/>
      <c r="P91" s="3392"/>
      <c r="Q91" s="3451"/>
      <c r="R91" s="3489"/>
      <c r="S91" s="3393"/>
      <c r="T91" s="3394"/>
      <c r="U91" s="3461"/>
      <c r="V91" s="3497"/>
      <c r="W91" s="3395"/>
      <c r="X91" s="3436"/>
      <c r="Y91" s="3472">
        <f t="shared" si="70"/>
        <v>0</v>
      </c>
      <c r="Z91" s="3511"/>
    </row>
    <row r="92" spans="2:26">
      <c r="C92" s="3396"/>
      <c r="D92" s="3397"/>
      <c r="E92" s="3397"/>
      <c r="F92" s="3397"/>
      <c r="G92" s="3398" t="s">
        <v>6</v>
      </c>
      <c r="H92" s="3399"/>
      <c r="I92" s="3452"/>
      <c r="J92" s="3490"/>
      <c r="K92" s="3400"/>
      <c r="L92" s="3401"/>
      <c r="M92" s="3456"/>
      <c r="N92" s="3496"/>
      <c r="O92" s="3402"/>
      <c r="P92" s="3403"/>
      <c r="Q92" s="3444"/>
      <c r="R92" s="3481"/>
      <c r="S92" s="3400"/>
      <c r="T92" s="3401"/>
      <c r="U92" s="3456"/>
      <c r="V92" s="3496"/>
      <c r="W92" s="3400"/>
      <c r="X92" s="3437"/>
      <c r="Y92" s="3473"/>
      <c r="Z92" s="3511"/>
    </row>
    <row r="93" spans="2:26">
      <c r="C93" s="3396"/>
      <c r="D93" s="3397"/>
      <c r="E93" s="3397"/>
      <c r="F93" s="3397"/>
      <c r="G93" s="3402"/>
      <c r="H93" s="3403"/>
      <c r="I93" s="3444"/>
      <c r="J93" s="3481"/>
      <c r="K93" s="3400"/>
      <c r="L93" s="3401"/>
      <c r="M93" s="3456"/>
      <c r="N93" s="3496"/>
      <c r="O93" s="3402"/>
      <c r="P93" s="3403"/>
      <c r="Q93" s="3444"/>
      <c r="R93" s="3481"/>
      <c r="S93" s="3400"/>
      <c r="T93" s="3401"/>
      <c r="U93" s="3456"/>
      <c r="V93" s="3496"/>
      <c r="W93" s="3400"/>
      <c r="X93" s="3437"/>
      <c r="Y93" s="3473"/>
      <c r="Z93" s="3511"/>
    </row>
    <row r="94" spans="2:26" ht="15">
      <c r="B94" s="3293" t="s">
        <v>692</v>
      </c>
      <c r="C94" s="3404"/>
      <c r="D94" s="3405" t="s">
        <v>312</v>
      </c>
      <c r="E94" s="3405"/>
      <c r="F94" s="3405"/>
      <c r="G94" s="3406">
        <f>G84</f>
        <v>309932.08333496749</v>
      </c>
      <c r="H94" s="3407">
        <f>H84</f>
        <v>310686.82209999999</v>
      </c>
      <c r="I94" s="3453">
        <f>G94-H94</f>
        <v>-754.7387650324963</v>
      </c>
      <c r="J94" s="3486">
        <f t="shared" ref="J94" si="76">(G94-H94)/H94</f>
        <v>-2.4292590201639465E-3</v>
      </c>
      <c r="K94" s="3408">
        <f>K84+K90</f>
        <v>103453202.38761987</v>
      </c>
      <c r="L94" s="3409">
        <v>100384810</v>
      </c>
      <c r="M94" s="3462">
        <f>K94-L94</f>
        <v>3068392.3876198679</v>
      </c>
      <c r="N94" s="3486">
        <f t="shared" ref="N94" si="77">(K94-L94)/L94</f>
        <v>3.056630169066284E-2</v>
      </c>
      <c r="O94" s="3410">
        <f>O84</f>
        <v>3527456.85</v>
      </c>
      <c r="P94" s="3411">
        <v>3463033</v>
      </c>
      <c r="Q94" s="3466">
        <f>O94-P94</f>
        <v>64423.850000000093</v>
      </c>
      <c r="R94" s="3486">
        <f t="shared" ref="R94" si="78">(O94-P94)/P94</f>
        <v>1.8603302365296576E-2</v>
      </c>
      <c r="S94" s="3408">
        <f>S84+S90</f>
        <v>14687613.725298401</v>
      </c>
      <c r="T94" s="3409">
        <v>14767447</v>
      </c>
      <c r="U94" s="3462">
        <f>S94-T94</f>
        <v>-79833.274701599032</v>
      </c>
      <c r="V94" s="3486">
        <f>(S94-T94)/T94</f>
        <v>-5.4060308935998912E-3</v>
      </c>
      <c r="W94" s="3408">
        <f>K94+S94</f>
        <v>118140816.11291827</v>
      </c>
      <c r="X94" s="3437">
        <v>115152256</v>
      </c>
      <c r="Y94" s="3473">
        <f t="shared" si="70"/>
        <v>2988560.1129182726</v>
      </c>
      <c r="Z94" s="3509">
        <f t="shared" ref="Z94" si="79">(W94-X94)/X94</f>
        <v>2.5953118216965481E-2</v>
      </c>
    </row>
    <row r="95" spans="2:26" ht="15.75" thickBot="1">
      <c r="B95" s="3293"/>
      <c r="C95" s="3412"/>
      <c r="D95" s="3435"/>
      <c r="E95" s="3435"/>
      <c r="F95" s="3435"/>
      <c r="G95" s="3413">
        <f>G94/8760</f>
        <v>35.380374809927794</v>
      </c>
      <c r="H95" s="3432"/>
      <c r="I95" s="3454"/>
      <c r="J95" s="3491"/>
      <c r="K95" s="3414"/>
      <c r="L95" s="3433"/>
      <c r="M95" s="3463"/>
      <c r="N95" s="3498"/>
      <c r="O95" s="3415"/>
      <c r="P95" s="3434"/>
      <c r="Q95" s="3467"/>
      <c r="R95" s="3501"/>
      <c r="S95" s="3414"/>
      <c r="T95" s="3433"/>
      <c r="U95" s="3463"/>
      <c r="V95" s="3498"/>
      <c r="W95" s="3414"/>
      <c r="X95" s="3438"/>
      <c r="Y95" s="3474"/>
      <c r="Z95" s="3512"/>
    </row>
    <row r="96" spans="2:26" ht="15">
      <c r="B96" s="3293"/>
      <c r="C96" s="2492"/>
      <c r="D96" s="3367"/>
      <c r="E96" s="3367"/>
      <c r="F96" s="3367"/>
      <c r="G96" s="3370"/>
      <c r="H96" s="3370"/>
      <c r="I96" s="3370"/>
      <c r="J96" s="3370"/>
      <c r="K96" s="3368"/>
      <c r="L96" s="3368"/>
      <c r="M96" s="3368"/>
      <c r="N96" s="3368"/>
      <c r="O96" s="3369"/>
      <c r="P96" s="3369"/>
      <c r="Q96" s="3369"/>
      <c r="R96" s="3369"/>
      <c r="S96" s="3368"/>
      <c r="T96" s="3368"/>
      <c r="U96" s="3368"/>
      <c r="V96" s="3368"/>
      <c r="W96" s="3371"/>
    </row>
    <row r="97" spans="2:23" ht="15" customHeight="1">
      <c r="B97" s="3293" t="s">
        <v>693</v>
      </c>
      <c r="C97" s="2090"/>
      <c r="D97" s="3535" t="s">
        <v>1676</v>
      </c>
      <c r="E97" s="3535"/>
      <c r="F97" s="3535"/>
      <c r="G97" s="3372">
        <f>G94-(G51+G48)</f>
        <v>289016.6423349675</v>
      </c>
      <c r="H97" s="3372"/>
      <c r="I97" s="3372"/>
      <c r="J97" s="3372"/>
      <c r="K97" s="3368"/>
      <c r="L97" s="3368"/>
      <c r="M97" s="3368"/>
      <c r="N97" s="3368"/>
      <c r="O97" s="3373">
        <f>O94-(O52+O48)</f>
        <v>3210571.85</v>
      </c>
      <c r="P97" s="3373"/>
      <c r="Q97" s="3373"/>
      <c r="R97" s="3373"/>
      <c r="S97" s="3368"/>
      <c r="T97" s="3368"/>
      <c r="U97" s="3368"/>
      <c r="V97" s="3368"/>
      <c r="W97" s="3368"/>
    </row>
    <row r="98" spans="2:23" ht="15" customHeight="1">
      <c r="B98" s="3293"/>
      <c r="C98" s="2090"/>
      <c r="D98" s="3535"/>
      <c r="E98" s="3535"/>
      <c r="F98" s="3535"/>
      <c r="G98" s="3370">
        <f>G97/8760</f>
        <v>32.992767389836473</v>
      </c>
      <c r="H98" s="3370"/>
      <c r="I98" s="3370"/>
      <c r="J98" s="3370"/>
      <c r="K98" s="3368"/>
      <c r="L98" s="3368"/>
      <c r="M98" s="3368"/>
      <c r="N98" s="3368"/>
      <c r="O98" s="3368"/>
      <c r="P98" s="3368"/>
      <c r="Q98" s="3368"/>
      <c r="R98" s="3368"/>
      <c r="S98" s="3368"/>
      <c r="T98" s="3368"/>
      <c r="U98" s="3368"/>
      <c r="V98" s="3368"/>
      <c r="W98" s="3368"/>
    </row>
    <row r="99" spans="2:23" ht="15" customHeight="1">
      <c r="B99" s="3293"/>
      <c r="C99" s="2090"/>
      <c r="D99" s="2482"/>
      <c r="E99" s="2482"/>
      <c r="F99" s="2482"/>
      <c r="G99" s="3374"/>
      <c r="H99" s="3374"/>
      <c r="I99" s="3374"/>
      <c r="J99" s="3374"/>
      <c r="K99" s="3368"/>
      <c r="L99" s="3368"/>
      <c r="M99" s="3368"/>
      <c r="N99" s="3368"/>
      <c r="O99" s="3369"/>
      <c r="P99" s="3369"/>
      <c r="Q99" s="3369"/>
      <c r="R99" s="3369"/>
      <c r="S99" s="3368"/>
      <c r="T99" s="3368"/>
      <c r="U99" s="3368"/>
      <c r="V99" s="3368"/>
      <c r="W99" s="3368"/>
    </row>
    <row r="100" spans="2:23">
      <c r="B100" s="3293" t="s">
        <v>471</v>
      </c>
      <c r="E100" s="3296" t="s">
        <v>202</v>
      </c>
      <c r="F100" s="3296"/>
      <c r="G100" s="3291"/>
      <c r="H100" s="3291"/>
      <c r="I100" s="3291"/>
      <c r="J100" s="3291"/>
      <c r="K100" s="3292">
        <f>(K48+K73)/K84</f>
        <v>7.3118583047633273E-2</v>
      </c>
      <c r="L100" s="3292"/>
      <c r="M100" s="3292"/>
      <c r="N100" s="3292"/>
      <c r="O100" s="2127"/>
      <c r="P100" s="2127"/>
      <c r="Q100" s="2127"/>
      <c r="R100" s="2127"/>
      <c r="S100" s="3292">
        <f>(S48+S73)/S84</f>
        <v>7.5707840011690425E-2</v>
      </c>
      <c r="T100" s="3292"/>
      <c r="U100" s="3292"/>
      <c r="V100" s="3292"/>
      <c r="W100" s="3375"/>
    </row>
    <row r="101" spans="2:23">
      <c r="B101" s="3293"/>
      <c r="F101" s="2074" t="s">
        <v>313</v>
      </c>
      <c r="G101" s="3375"/>
      <c r="H101" s="3375"/>
      <c r="I101" s="3375"/>
      <c r="J101" s="3375"/>
      <c r="K101" s="3376"/>
      <c r="L101" s="3376"/>
      <c r="M101" s="3376"/>
      <c r="N101" s="3376"/>
      <c r="O101" s="3375"/>
      <c r="P101" s="3375"/>
      <c r="Q101" s="3375"/>
      <c r="R101" s="3375"/>
      <c r="S101" s="3376"/>
      <c r="T101" s="3376"/>
      <c r="U101" s="3376"/>
      <c r="V101" s="3376"/>
      <c r="W101" s="3375"/>
    </row>
    <row r="102" spans="2:23">
      <c r="B102" s="3293"/>
      <c r="F102" s="2074" t="s">
        <v>230</v>
      </c>
      <c r="G102" s="3375"/>
      <c r="H102" s="3375"/>
      <c r="I102" s="3375"/>
      <c r="J102" s="3375"/>
      <c r="K102" s="3376"/>
      <c r="L102" s="3376"/>
      <c r="M102" s="3376"/>
      <c r="N102" s="3376"/>
      <c r="O102" s="3375"/>
      <c r="P102" s="3375"/>
      <c r="Q102" s="3375"/>
      <c r="R102" s="3375"/>
      <c r="S102" s="3376"/>
      <c r="T102" s="3376"/>
      <c r="U102" s="3376"/>
      <c r="V102" s="3376"/>
      <c r="W102" s="3375"/>
    </row>
    <row r="103" spans="2:23">
      <c r="B103" s="3293"/>
      <c r="G103" s="3375"/>
      <c r="H103" s="3375"/>
      <c r="I103" s="3375"/>
      <c r="J103" s="3375"/>
      <c r="K103" s="3376"/>
      <c r="L103" s="3376"/>
      <c r="M103" s="3376"/>
      <c r="N103" s="3376"/>
      <c r="O103" s="3375"/>
      <c r="P103" s="3375"/>
      <c r="Q103" s="3375"/>
      <c r="R103" s="3375"/>
      <c r="S103" s="3376"/>
      <c r="T103" s="3376"/>
      <c r="U103" s="3376"/>
      <c r="V103" s="3376"/>
      <c r="W103" s="3375"/>
    </row>
    <row r="104" spans="2:23">
      <c r="B104" s="3293" t="s">
        <v>1756</v>
      </c>
      <c r="E104" s="3296" t="s">
        <v>330</v>
      </c>
      <c r="F104" s="3291"/>
      <c r="G104" s="3291"/>
      <c r="H104" s="3291"/>
      <c r="I104" s="3291"/>
      <c r="J104" s="3291"/>
      <c r="K104" s="3292">
        <f>SUM(K79:K81)/(K21+K43)</f>
        <v>2.8065842204273675E-2</v>
      </c>
      <c r="L104" s="3292"/>
      <c r="M104" s="3292"/>
      <c r="N104" s="3292"/>
      <c r="O104" s="2127"/>
      <c r="P104" s="2127"/>
      <c r="Q104" s="2127"/>
      <c r="R104" s="2127"/>
      <c r="S104" s="3292">
        <f>SUM(S79:S81)/(S21+S43)</f>
        <v>3.8642716429160839E-2</v>
      </c>
      <c r="T104" s="3292"/>
      <c r="U104" s="3292"/>
      <c r="V104" s="3292"/>
      <c r="W104" s="3375"/>
    </row>
    <row r="105" spans="2:23">
      <c r="B105" s="3301"/>
      <c r="F105" s="2074" t="s">
        <v>331</v>
      </c>
    </row>
    <row r="113" spans="3:14">
      <c r="C113" s="2074"/>
      <c r="K113" s="3302"/>
      <c r="L113" s="3302"/>
      <c r="M113" s="3302"/>
      <c r="N113" s="3302"/>
    </row>
  </sheetData>
  <mergeCells count="1">
    <mergeCell ref="D97:F98"/>
  </mergeCells>
  <conditionalFormatting sqref="R6:R95 V6:V95 J6:J95 N6:N95 Z6:Z95">
    <cfRule type="cellIs" dxfId="1" priority="6" operator="greaterThan">
      <formula>0.25</formula>
    </cfRule>
  </conditionalFormatting>
  <conditionalFormatting sqref="J6:J43">
    <cfRule type="expression" dxfId="0" priority="2">
      <formula>J6&lt;-1</formula>
    </cfRule>
  </conditionalFormatting>
  <pageMargins left="0.45" right="0.2" top="0.5" bottom="0.25" header="0.3" footer="0.3"/>
  <pageSetup paperSize="17" scale="55"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60497B"/>
  </sheetPr>
  <dimension ref="A1:B4"/>
  <sheetViews>
    <sheetView showGridLines="0" workbookViewId="0">
      <selection activeCell="H17" sqref="H17"/>
    </sheetView>
  </sheetViews>
  <sheetFormatPr defaultRowHeight="12.75"/>
  <sheetData>
    <row r="1" spans="1:2">
      <c r="A1" t="s">
        <v>31</v>
      </c>
    </row>
    <row r="4" spans="1:2">
      <c r="B4" s="1652" t="s">
        <v>344</v>
      </c>
    </row>
  </sheetData>
  <customSheetViews>
    <customSheetView guid="{D9EFFE19-D14B-4C6F-BDF4-FF696F73968D}" showGridLines="0">
      <selection activeCell="D16" sqref="D16"/>
      <pageMargins left="0.7" right="0.7" top="0.75" bottom="0.75" header="0.3" footer="0.3"/>
      <pageSetup paperSize="3" orientation="landscape" r:id="rId1"/>
    </customSheetView>
    <customSheetView guid="{074EB09C-6289-46D7-9513-012B68BCA7BF}" showGridLines="0">
      <selection activeCell="H17" sqref="H17"/>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6.42578125" style="849" customWidth="1"/>
    <col min="2" max="2" width="16.42578125" style="1413" customWidth="1"/>
    <col min="3" max="3" width="27.42578125" customWidth="1"/>
    <col min="4" max="4" width="22.7109375" customWidth="1"/>
    <col min="5" max="5" width="15.7109375" style="9" customWidth="1"/>
    <col min="6" max="6" width="15.710937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1.42578125" bestFit="1" customWidth="1"/>
    <col min="254" max="254" width="14.855468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5.5703125" bestFit="1" customWidth="1"/>
    <col min="265" max="265" width="16.140625" customWidth="1"/>
    <col min="266" max="266" width="16.7109375" bestFit="1" customWidth="1"/>
    <col min="267" max="267" width="15.5703125" bestFit="1" customWidth="1"/>
    <col min="268" max="268" width="20.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1.42578125" bestFit="1" customWidth="1"/>
    <col min="510" max="510" width="14.855468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5.5703125" bestFit="1" customWidth="1"/>
    <col min="521" max="521" width="16.140625" customWidth="1"/>
    <col min="522" max="522" width="16.7109375" bestFit="1" customWidth="1"/>
    <col min="523" max="523" width="15.5703125" bestFit="1" customWidth="1"/>
    <col min="524" max="524" width="20.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1.42578125" bestFit="1" customWidth="1"/>
    <col min="766" max="766" width="14.855468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5.5703125" bestFit="1" customWidth="1"/>
    <col min="777" max="777" width="16.140625" customWidth="1"/>
    <col min="778" max="778" width="16.7109375" bestFit="1" customWidth="1"/>
    <col min="779" max="779" width="15.5703125" bestFit="1" customWidth="1"/>
    <col min="780" max="780" width="20.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1.42578125" bestFit="1" customWidth="1"/>
    <col min="1022" max="1022" width="14.855468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5.5703125" bestFit="1" customWidth="1"/>
    <col min="1033" max="1033" width="16.140625" customWidth="1"/>
    <col min="1034" max="1034" width="16.7109375" bestFit="1" customWidth="1"/>
    <col min="1035" max="1035" width="15.5703125" bestFit="1" customWidth="1"/>
    <col min="1036" max="1036" width="20.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1.42578125" bestFit="1" customWidth="1"/>
    <col min="1278" max="1278" width="14.855468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5.5703125" bestFit="1" customWidth="1"/>
    <col min="1289" max="1289" width="16.140625" customWidth="1"/>
    <col min="1290" max="1290" width="16.7109375" bestFit="1" customWidth="1"/>
    <col min="1291" max="1291" width="15.5703125" bestFit="1" customWidth="1"/>
    <col min="1292" max="1292" width="20.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1.42578125" bestFit="1" customWidth="1"/>
    <col min="1534" max="1534" width="14.855468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5.5703125" bestFit="1" customWidth="1"/>
    <col min="1545" max="1545" width="16.140625" customWidth="1"/>
    <col min="1546" max="1546" width="16.7109375" bestFit="1" customWidth="1"/>
    <col min="1547" max="1547" width="15.5703125" bestFit="1" customWidth="1"/>
    <col min="1548" max="1548" width="20.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1.42578125" bestFit="1" customWidth="1"/>
    <col min="1790" max="1790" width="14.855468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5.5703125" bestFit="1" customWidth="1"/>
    <col min="1801" max="1801" width="16.140625" customWidth="1"/>
    <col min="1802" max="1802" width="16.7109375" bestFit="1" customWidth="1"/>
    <col min="1803" max="1803" width="15.5703125" bestFit="1" customWidth="1"/>
    <col min="1804" max="1804" width="20.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1.42578125" bestFit="1" customWidth="1"/>
    <col min="2046" max="2046" width="14.855468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5.5703125" bestFit="1" customWidth="1"/>
    <col min="2057" max="2057" width="16.140625" customWidth="1"/>
    <col min="2058" max="2058" width="16.7109375" bestFit="1" customWidth="1"/>
    <col min="2059" max="2059" width="15.5703125" bestFit="1" customWidth="1"/>
    <col min="2060" max="2060" width="20.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1.42578125" bestFit="1" customWidth="1"/>
    <col min="2302" max="2302" width="14.855468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5.5703125" bestFit="1" customWidth="1"/>
    <col min="2313" max="2313" width="16.140625" customWidth="1"/>
    <col min="2314" max="2314" width="16.7109375" bestFit="1" customWidth="1"/>
    <col min="2315" max="2315" width="15.5703125" bestFit="1" customWidth="1"/>
    <col min="2316" max="2316" width="20.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1.42578125" bestFit="1" customWidth="1"/>
    <col min="2558" max="2558" width="14.855468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5.5703125" bestFit="1" customWidth="1"/>
    <col min="2569" max="2569" width="16.140625" customWidth="1"/>
    <col min="2570" max="2570" width="16.7109375" bestFit="1" customWidth="1"/>
    <col min="2571" max="2571" width="15.5703125" bestFit="1" customWidth="1"/>
    <col min="2572" max="2572" width="20.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1.42578125" bestFit="1" customWidth="1"/>
    <col min="2814" max="2814" width="14.855468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5.5703125" bestFit="1" customWidth="1"/>
    <col min="2825" max="2825" width="16.140625" customWidth="1"/>
    <col min="2826" max="2826" width="16.7109375" bestFit="1" customWidth="1"/>
    <col min="2827" max="2827" width="15.5703125" bestFit="1" customWidth="1"/>
    <col min="2828" max="2828" width="20.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1.42578125" bestFit="1" customWidth="1"/>
    <col min="3070" max="3070" width="14.855468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5.5703125" bestFit="1" customWidth="1"/>
    <col min="3081" max="3081" width="16.140625" customWidth="1"/>
    <col min="3082" max="3082" width="16.7109375" bestFit="1" customWidth="1"/>
    <col min="3083" max="3083" width="15.5703125" bestFit="1" customWidth="1"/>
    <col min="3084" max="3084" width="20.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1.42578125" bestFit="1" customWidth="1"/>
    <col min="3326" max="3326" width="14.855468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5.5703125" bestFit="1" customWidth="1"/>
    <col min="3337" max="3337" width="16.140625" customWidth="1"/>
    <col min="3338" max="3338" width="16.7109375" bestFit="1" customWidth="1"/>
    <col min="3339" max="3339" width="15.5703125" bestFit="1" customWidth="1"/>
    <col min="3340" max="3340" width="20.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1.42578125" bestFit="1" customWidth="1"/>
    <col min="3582" max="3582" width="14.855468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5.5703125" bestFit="1" customWidth="1"/>
    <col min="3593" max="3593" width="16.140625" customWidth="1"/>
    <col min="3594" max="3594" width="16.7109375" bestFit="1" customWidth="1"/>
    <col min="3595" max="3595" width="15.5703125" bestFit="1" customWidth="1"/>
    <col min="3596" max="3596" width="20.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1.42578125" bestFit="1" customWidth="1"/>
    <col min="3838" max="3838" width="14.855468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5.5703125" bestFit="1" customWidth="1"/>
    <col min="3849" max="3849" width="16.140625" customWidth="1"/>
    <col min="3850" max="3850" width="16.7109375" bestFit="1" customWidth="1"/>
    <col min="3851" max="3851" width="15.5703125" bestFit="1" customWidth="1"/>
    <col min="3852" max="3852" width="20.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1.42578125" bestFit="1" customWidth="1"/>
    <col min="4094" max="4094" width="14.855468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5.5703125" bestFit="1" customWidth="1"/>
    <col min="4105" max="4105" width="16.140625" customWidth="1"/>
    <col min="4106" max="4106" width="16.7109375" bestFit="1" customWidth="1"/>
    <col min="4107" max="4107" width="15.5703125" bestFit="1" customWidth="1"/>
    <col min="4108" max="4108" width="20.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1.42578125" bestFit="1" customWidth="1"/>
    <col min="4350" max="4350" width="14.855468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5.5703125" bestFit="1" customWidth="1"/>
    <col min="4361" max="4361" width="16.140625" customWidth="1"/>
    <col min="4362" max="4362" width="16.7109375" bestFit="1" customWidth="1"/>
    <col min="4363" max="4363" width="15.5703125" bestFit="1" customWidth="1"/>
    <col min="4364" max="4364" width="20.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1.42578125" bestFit="1" customWidth="1"/>
    <col min="4606" max="4606" width="14.855468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5.5703125" bestFit="1" customWidth="1"/>
    <col min="4617" max="4617" width="16.140625" customWidth="1"/>
    <col min="4618" max="4618" width="16.7109375" bestFit="1" customWidth="1"/>
    <col min="4619" max="4619" width="15.5703125" bestFit="1" customWidth="1"/>
    <col min="4620" max="4620" width="20.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1.42578125" bestFit="1" customWidth="1"/>
    <col min="4862" max="4862" width="14.855468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5.5703125" bestFit="1" customWidth="1"/>
    <col min="4873" max="4873" width="16.140625" customWidth="1"/>
    <col min="4874" max="4874" width="16.7109375" bestFit="1" customWidth="1"/>
    <col min="4875" max="4875" width="15.5703125" bestFit="1" customWidth="1"/>
    <col min="4876" max="4876" width="20.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1.42578125" bestFit="1" customWidth="1"/>
    <col min="5118" max="5118" width="14.855468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5.5703125" bestFit="1" customWidth="1"/>
    <col min="5129" max="5129" width="16.140625" customWidth="1"/>
    <col min="5130" max="5130" width="16.7109375" bestFit="1" customWidth="1"/>
    <col min="5131" max="5131" width="15.5703125" bestFit="1" customWidth="1"/>
    <col min="5132" max="5132" width="20.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1.42578125" bestFit="1" customWidth="1"/>
    <col min="5374" max="5374" width="14.855468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5.5703125" bestFit="1" customWidth="1"/>
    <col min="5385" max="5385" width="16.140625" customWidth="1"/>
    <col min="5386" max="5386" width="16.7109375" bestFit="1" customWidth="1"/>
    <col min="5387" max="5387" width="15.5703125" bestFit="1" customWidth="1"/>
    <col min="5388" max="5388" width="20.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1.42578125" bestFit="1" customWidth="1"/>
    <col min="5630" max="5630" width="14.855468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5.5703125" bestFit="1" customWidth="1"/>
    <col min="5641" max="5641" width="16.140625" customWidth="1"/>
    <col min="5642" max="5642" width="16.7109375" bestFit="1" customWidth="1"/>
    <col min="5643" max="5643" width="15.5703125" bestFit="1" customWidth="1"/>
    <col min="5644" max="5644" width="20.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1.42578125" bestFit="1" customWidth="1"/>
    <col min="5886" max="5886" width="14.855468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5.5703125" bestFit="1" customWidth="1"/>
    <col min="5897" max="5897" width="16.140625" customWidth="1"/>
    <col min="5898" max="5898" width="16.7109375" bestFit="1" customWidth="1"/>
    <col min="5899" max="5899" width="15.5703125" bestFit="1" customWidth="1"/>
    <col min="5900" max="5900" width="20.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1.42578125" bestFit="1" customWidth="1"/>
    <col min="6142" max="6142" width="14.855468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5.5703125" bestFit="1" customWidth="1"/>
    <col min="6153" max="6153" width="16.140625" customWidth="1"/>
    <col min="6154" max="6154" width="16.7109375" bestFit="1" customWidth="1"/>
    <col min="6155" max="6155" width="15.5703125" bestFit="1" customWidth="1"/>
    <col min="6156" max="6156" width="20.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1.42578125" bestFit="1" customWidth="1"/>
    <col min="6398" max="6398" width="14.855468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5.5703125" bestFit="1" customWidth="1"/>
    <col min="6409" max="6409" width="16.140625" customWidth="1"/>
    <col min="6410" max="6410" width="16.7109375" bestFit="1" customWidth="1"/>
    <col min="6411" max="6411" width="15.5703125" bestFit="1" customWidth="1"/>
    <col min="6412" max="6412" width="20.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1.42578125" bestFit="1" customWidth="1"/>
    <col min="6654" max="6654" width="14.855468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5.5703125" bestFit="1" customWidth="1"/>
    <col min="6665" max="6665" width="16.140625" customWidth="1"/>
    <col min="6666" max="6666" width="16.7109375" bestFit="1" customWidth="1"/>
    <col min="6667" max="6667" width="15.5703125" bestFit="1" customWidth="1"/>
    <col min="6668" max="6668" width="20.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1.42578125" bestFit="1" customWidth="1"/>
    <col min="6910" max="6910" width="14.855468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5.5703125" bestFit="1" customWidth="1"/>
    <col min="6921" max="6921" width="16.140625" customWidth="1"/>
    <col min="6922" max="6922" width="16.7109375" bestFit="1" customWidth="1"/>
    <col min="6923" max="6923" width="15.5703125" bestFit="1" customWidth="1"/>
    <col min="6924" max="6924" width="20.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1.42578125" bestFit="1" customWidth="1"/>
    <col min="7166" max="7166" width="14.855468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5.5703125" bestFit="1" customWidth="1"/>
    <col min="7177" max="7177" width="16.140625" customWidth="1"/>
    <col min="7178" max="7178" width="16.7109375" bestFit="1" customWidth="1"/>
    <col min="7179" max="7179" width="15.5703125" bestFit="1" customWidth="1"/>
    <col min="7180" max="7180" width="20.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1.42578125" bestFit="1" customWidth="1"/>
    <col min="7422" max="7422" width="14.855468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5.5703125" bestFit="1" customWidth="1"/>
    <col min="7433" max="7433" width="16.140625" customWidth="1"/>
    <col min="7434" max="7434" width="16.7109375" bestFit="1" customWidth="1"/>
    <col min="7435" max="7435" width="15.5703125" bestFit="1" customWidth="1"/>
    <col min="7436" max="7436" width="20.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1.42578125" bestFit="1" customWidth="1"/>
    <col min="7678" max="7678" width="14.855468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5.5703125" bestFit="1" customWidth="1"/>
    <col min="7689" max="7689" width="16.140625" customWidth="1"/>
    <col min="7690" max="7690" width="16.7109375" bestFit="1" customWidth="1"/>
    <col min="7691" max="7691" width="15.5703125" bestFit="1" customWidth="1"/>
    <col min="7692" max="7692" width="20.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1.42578125" bestFit="1" customWidth="1"/>
    <col min="7934" max="7934" width="14.855468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5.5703125" bestFit="1" customWidth="1"/>
    <col min="7945" max="7945" width="16.140625" customWidth="1"/>
    <col min="7946" max="7946" width="16.7109375" bestFit="1" customWidth="1"/>
    <col min="7947" max="7947" width="15.5703125" bestFit="1" customWidth="1"/>
    <col min="7948" max="7948" width="20.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1.42578125" bestFit="1" customWidth="1"/>
    <col min="8190" max="8190" width="14.855468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5.5703125" bestFit="1" customWidth="1"/>
    <col min="8201" max="8201" width="16.140625" customWidth="1"/>
    <col min="8202" max="8202" width="16.7109375" bestFit="1" customWidth="1"/>
    <col min="8203" max="8203" width="15.5703125" bestFit="1" customWidth="1"/>
    <col min="8204" max="8204" width="20.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1.42578125" bestFit="1" customWidth="1"/>
    <col min="8446" max="8446" width="14.855468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5.5703125" bestFit="1" customWidth="1"/>
    <col min="8457" max="8457" width="16.140625" customWidth="1"/>
    <col min="8458" max="8458" width="16.7109375" bestFit="1" customWidth="1"/>
    <col min="8459" max="8459" width="15.5703125" bestFit="1" customWidth="1"/>
    <col min="8460" max="8460" width="20.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1.42578125" bestFit="1" customWidth="1"/>
    <col min="8702" max="8702" width="14.855468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5.5703125" bestFit="1" customWidth="1"/>
    <col min="8713" max="8713" width="16.140625" customWidth="1"/>
    <col min="8714" max="8714" width="16.7109375" bestFit="1" customWidth="1"/>
    <col min="8715" max="8715" width="15.5703125" bestFit="1" customWidth="1"/>
    <col min="8716" max="8716" width="20.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1.42578125" bestFit="1" customWidth="1"/>
    <col min="8958" max="8958" width="14.855468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5.5703125" bestFit="1" customWidth="1"/>
    <col min="8969" max="8969" width="16.140625" customWidth="1"/>
    <col min="8970" max="8970" width="16.7109375" bestFit="1" customWidth="1"/>
    <col min="8971" max="8971" width="15.5703125" bestFit="1" customWidth="1"/>
    <col min="8972" max="8972" width="20.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1.42578125" bestFit="1" customWidth="1"/>
    <col min="9214" max="9214" width="14.855468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5.5703125" bestFit="1" customWidth="1"/>
    <col min="9225" max="9225" width="16.140625" customWidth="1"/>
    <col min="9226" max="9226" width="16.7109375" bestFit="1" customWidth="1"/>
    <col min="9227" max="9227" width="15.5703125" bestFit="1" customWidth="1"/>
    <col min="9228" max="9228" width="20.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1.42578125" bestFit="1" customWidth="1"/>
    <col min="9470" max="9470" width="14.855468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5.5703125" bestFit="1" customWidth="1"/>
    <col min="9481" max="9481" width="16.140625" customWidth="1"/>
    <col min="9482" max="9482" width="16.7109375" bestFit="1" customWidth="1"/>
    <col min="9483" max="9483" width="15.5703125" bestFit="1" customWidth="1"/>
    <col min="9484" max="9484" width="20.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1.42578125" bestFit="1" customWidth="1"/>
    <col min="9726" max="9726" width="14.855468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5.5703125" bestFit="1" customWidth="1"/>
    <col min="9737" max="9737" width="16.140625" customWidth="1"/>
    <col min="9738" max="9738" width="16.7109375" bestFit="1" customWidth="1"/>
    <col min="9739" max="9739" width="15.5703125" bestFit="1" customWidth="1"/>
    <col min="9740" max="9740" width="20.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1.42578125" bestFit="1" customWidth="1"/>
    <col min="9982" max="9982" width="14.855468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5.5703125" bestFit="1" customWidth="1"/>
    <col min="9993" max="9993" width="16.140625" customWidth="1"/>
    <col min="9994" max="9994" width="16.7109375" bestFit="1" customWidth="1"/>
    <col min="9995" max="9995" width="15.5703125" bestFit="1" customWidth="1"/>
    <col min="9996" max="9996" width="20.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1.42578125" bestFit="1" customWidth="1"/>
    <col min="10238" max="10238" width="14.855468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5.5703125" bestFit="1" customWidth="1"/>
    <col min="10249" max="10249" width="16.140625" customWidth="1"/>
    <col min="10250" max="10250" width="16.7109375" bestFit="1" customWidth="1"/>
    <col min="10251" max="10251" width="15.5703125" bestFit="1" customWidth="1"/>
    <col min="10252" max="10252" width="20.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1.42578125" bestFit="1" customWidth="1"/>
    <col min="10494" max="10494" width="14.855468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5.5703125" bestFit="1" customWidth="1"/>
    <col min="10505" max="10505" width="16.140625" customWidth="1"/>
    <col min="10506" max="10506" width="16.7109375" bestFit="1" customWidth="1"/>
    <col min="10507" max="10507" width="15.5703125" bestFit="1" customWidth="1"/>
    <col min="10508" max="10508" width="20.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1.42578125" bestFit="1" customWidth="1"/>
    <col min="10750" max="10750" width="14.855468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5.5703125" bestFit="1" customWidth="1"/>
    <col min="10761" max="10761" width="16.140625" customWidth="1"/>
    <col min="10762" max="10762" width="16.7109375" bestFit="1" customWidth="1"/>
    <col min="10763" max="10763" width="15.5703125" bestFit="1" customWidth="1"/>
    <col min="10764" max="10764" width="20.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1.42578125" bestFit="1" customWidth="1"/>
    <col min="11006" max="11006" width="14.855468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5.5703125" bestFit="1" customWidth="1"/>
    <col min="11017" max="11017" width="16.140625" customWidth="1"/>
    <col min="11018" max="11018" width="16.7109375" bestFit="1" customWidth="1"/>
    <col min="11019" max="11019" width="15.5703125" bestFit="1" customWidth="1"/>
    <col min="11020" max="11020" width="20.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1.42578125" bestFit="1" customWidth="1"/>
    <col min="11262" max="11262" width="14.855468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5.5703125" bestFit="1" customWidth="1"/>
    <col min="11273" max="11273" width="16.140625" customWidth="1"/>
    <col min="11274" max="11274" width="16.7109375" bestFit="1" customWidth="1"/>
    <col min="11275" max="11275" width="15.5703125" bestFit="1" customWidth="1"/>
    <col min="11276" max="11276" width="20.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1.42578125" bestFit="1" customWidth="1"/>
    <col min="11518" max="11518" width="14.855468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5.5703125" bestFit="1" customWidth="1"/>
    <col min="11529" max="11529" width="16.140625" customWidth="1"/>
    <col min="11530" max="11530" width="16.7109375" bestFit="1" customWidth="1"/>
    <col min="11531" max="11531" width="15.5703125" bestFit="1" customWidth="1"/>
    <col min="11532" max="11532" width="20.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1.42578125" bestFit="1" customWidth="1"/>
    <col min="11774" max="11774" width="14.855468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5.5703125" bestFit="1" customWidth="1"/>
    <col min="11785" max="11785" width="16.140625" customWidth="1"/>
    <col min="11786" max="11786" width="16.7109375" bestFit="1" customWidth="1"/>
    <col min="11787" max="11787" width="15.5703125" bestFit="1" customWidth="1"/>
    <col min="11788" max="11788" width="20.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1.42578125" bestFit="1" customWidth="1"/>
    <col min="12030" max="12030" width="14.855468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5.5703125" bestFit="1" customWidth="1"/>
    <col min="12041" max="12041" width="16.140625" customWidth="1"/>
    <col min="12042" max="12042" width="16.7109375" bestFit="1" customWidth="1"/>
    <col min="12043" max="12043" width="15.5703125" bestFit="1" customWidth="1"/>
    <col min="12044" max="12044" width="20.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1.42578125" bestFit="1" customWidth="1"/>
    <col min="12286" max="12286" width="14.855468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5.5703125" bestFit="1" customWidth="1"/>
    <col min="12297" max="12297" width="16.140625" customWidth="1"/>
    <col min="12298" max="12298" width="16.7109375" bestFit="1" customWidth="1"/>
    <col min="12299" max="12299" width="15.5703125" bestFit="1" customWidth="1"/>
    <col min="12300" max="12300" width="20.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1.42578125" bestFit="1" customWidth="1"/>
    <col min="12542" max="12542" width="14.855468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5.5703125" bestFit="1" customWidth="1"/>
    <col min="12553" max="12553" width="16.140625" customWidth="1"/>
    <col min="12554" max="12554" width="16.7109375" bestFit="1" customWidth="1"/>
    <col min="12555" max="12555" width="15.5703125" bestFit="1" customWidth="1"/>
    <col min="12556" max="12556" width="20.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1.42578125" bestFit="1" customWidth="1"/>
    <col min="12798" max="12798" width="14.855468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5.5703125" bestFit="1" customWidth="1"/>
    <col min="12809" max="12809" width="16.140625" customWidth="1"/>
    <col min="12810" max="12810" width="16.7109375" bestFit="1" customWidth="1"/>
    <col min="12811" max="12811" width="15.5703125" bestFit="1" customWidth="1"/>
    <col min="12812" max="12812" width="20.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1.42578125" bestFit="1" customWidth="1"/>
    <col min="13054" max="13054" width="14.855468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5.5703125" bestFit="1" customWidth="1"/>
    <col min="13065" max="13065" width="16.140625" customWidth="1"/>
    <col min="13066" max="13066" width="16.7109375" bestFit="1" customWidth="1"/>
    <col min="13067" max="13067" width="15.5703125" bestFit="1" customWidth="1"/>
    <col min="13068" max="13068" width="20.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1.42578125" bestFit="1" customWidth="1"/>
    <col min="13310" max="13310" width="14.855468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5.5703125" bestFit="1" customWidth="1"/>
    <col min="13321" max="13321" width="16.140625" customWidth="1"/>
    <col min="13322" max="13322" width="16.7109375" bestFit="1" customWidth="1"/>
    <col min="13323" max="13323" width="15.5703125" bestFit="1" customWidth="1"/>
    <col min="13324" max="13324" width="20.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1.42578125" bestFit="1" customWidth="1"/>
    <col min="13566" max="13566" width="14.855468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5.5703125" bestFit="1" customWidth="1"/>
    <col min="13577" max="13577" width="16.140625" customWidth="1"/>
    <col min="13578" max="13578" width="16.7109375" bestFit="1" customWidth="1"/>
    <col min="13579" max="13579" width="15.5703125" bestFit="1" customWidth="1"/>
    <col min="13580" max="13580" width="20.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1.42578125" bestFit="1" customWidth="1"/>
    <col min="13822" max="13822" width="14.855468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5.5703125" bestFit="1" customWidth="1"/>
    <col min="13833" max="13833" width="16.140625" customWidth="1"/>
    <col min="13834" max="13834" width="16.7109375" bestFit="1" customWidth="1"/>
    <col min="13835" max="13835" width="15.5703125" bestFit="1" customWidth="1"/>
    <col min="13836" max="13836" width="20.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1.42578125" bestFit="1" customWidth="1"/>
    <col min="14078" max="14078" width="14.855468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5.5703125" bestFit="1" customWidth="1"/>
    <col min="14089" max="14089" width="16.140625" customWidth="1"/>
    <col min="14090" max="14090" width="16.7109375" bestFit="1" customWidth="1"/>
    <col min="14091" max="14091" width="15.5703125" bestFit="1" customWidth="1"/>
    <col min="14092" max="14092" width="20.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1.42578125" bestFit="1" customWidth="1"/>
    <col min="14334" max="14334" width="14.855468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5.5703125" bestFit="1" customWidth="1"/>
    <col min="14345" max="14345" width="16.140625" customWidth="1"/>
    <col min="14346" max="14346" width="16.7109375" bestFit="1" customWidth="1"/>
    <col min="14347" max="14347" width="15.5703125" bestFit="1" customWidth="1"/>
    <col min="14348" max="14348" width="20.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1.42578125" bestFit="1" customWidth="1"/>
    <col min="14590" max="14590" width="14.855468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5.5703125" bestFit="1" customWidth="1"/>
    <col min="14601" max="14601" width="16.140625" customWidth="1"/>
    <col min="14602" max="14602" width="16.7109375" bestFit="1" customWidth="1"/>
    <col min="14603" max="14603" width="15.5703125" bestFit="1" customWidth="1"/>
    <col min="14604" max="14604" width="20.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1.42578125" bestFit="1" customWidth="1"/>
    <col min="14846" max="14846" width="14.855468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5.5703125" bestFit="1" customWidth="1"/>
    <col min="14857" max="14857" width="16.140625" customWidth="1"/>
    <col min="14858" max="14858" width="16.7109375" bestFit="1" customWidth="1"/>
    <col min="14859" max="14859" width="15.5703125" bestFit="1" customWidth="1"/>
    <col min="14860" max="14860" width="20.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1.42578125" bestFit="1" customWidth="1"/>
    <col min="15102" max="15102" width="14.855468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5.5703125" bestFit="1" customWidth="1"/>
    <col min="15113" max="15113" width="16.140625" customWidth="1"/>
    <col min="15114" max="15114" width="16.7109375" bestFit="1" customWidth="1"/>
    <col min="15115" max="15115" width="15.5703125" bestFit="1" customWidth="1"/>
    <col min="15116" max="15116" width="20.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1.42578125" bestFit="1" customWidth="1"/>
    <col min="15358" max="15358" width="14.855468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5.5703125" bestFit="1" customWidth="1"/>
    <col min="15369" max="15369" width="16.140625" customWidth="1"/>
    <col min="15370" max="15370" width="16.7109375" bestFit="1" customWidth="1"/>
    <col min="15371" max="15371" width="15.5703125" bestFit="1" customWidth="1"/>
    <col min="15372" max="15372" width="20.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1.42578125" bestFit="1" customWidth="1"/>
    <col min="15614" max="15614" width="14.855468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5.5703125" bestFit="1" customWidth="1"/>
    <col min="15625" max="15625" width="16.140625" customWidth="1"/>
    <col min="15626" max="15626" width="16.7109375" bestFit="1" customWidth="1"/>
    <col min="15627" max="15627" width="15.5703125" bestFit="1" customWidth="1"/>
    <col min="15628" max="15628" width="20.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1.42578125" bestFit="1" customWidth="1"/>
    <col min="15870" max="15870" width="14.855468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5.5703125" bestFit="1" customWidth="1"/>
    <col min="15881" max="15881" width="16.140625" customWidth="1"/>
    <col min="15882" max="15882" width="16.7109375" bestFit="1" customWidth="1"/>
    <col min="15883" max="15883" width="15.5703125" bestFit="1" customWidth="1"/>
    <col min="15884" max="15884" width="20.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1.42578125" bestFit="1" customWidth="1"/>
    <col min="16126" max="16126" width="14.855468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5.5703125" bestFit="1" customWidth="1"/>
    <col min="16137" max="16137" width="16.140625" customWidth="1"/>
    <col min="16138" max="16138" width="16.7109375" bestFit="1" customWidth="1"/>
    <col min="16139" max="16139" width="15.5703125" bestFit="1" customWidth="1"/>
    <col min="16140" max="16140" width="20.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44.25" customHeight="1" thickBot="1">
      <c r="C1" s="1401" t="s">
        <v>1560</v>
      </c>
      <c r="D1" s="1361" t="s">
        <v>275</v>
      </c>
      <c r="E1" s="1401" t="s">
        <v>5</v>
      </c>
      <c r="F1" s="1401">
        <v>18230635</v>
      </c>
      <c r="G1" s="1401" t="s">
        <v>28</v>
      </c>
      <c r="J1" s="1361"/>
      <c r="K1" s="1361"/>
      <c r="L1" s="1361"/>
      <c r="M1" s="1401" t="s">
        <v>1560</v>
      </c>
      <c r="N1" s="1361" t="s">
        <v>275</v>
      </c>
      <c r="O1" s="1401" t="s">
        <v>5</v>
      </c>
      <c r="P1" s="1401">
        <v>18230635</v>
      </c>
      <c r="Q1" s="1401" t="s">
        <v>28</v>
      </c>
      <c r="V1" s="1401" t="s">
        <v>1560</v>
      </c>
      <c r="W1" s="1361" t="s">
        <v>275</v>
      </c>
      <c r="X1" s="1401" t="s">
        <v>5</v>
      </c>
      <c r="Y1" s="1401">
        <v>18230635</v>
      </c>
      <c r="Z1" s="1401" t="s">
        <v>28</v>
      </c>
    </row>
    <row r="2" spans="1:27" ht="16.5" thickBot="1">
      <c r="C2" s="44"/>
      <c r="D2" s="45"/>
      <c r="G2" s="1652"/>
      <c r="I2" s="1178" t="s">
        <v>627</v>
      </c>
      <c r="S2" s="3575"/>
      <c r="T2" s="3575"/>
      <c r="U2" s="3576" t="s">
        <v>33</v>
      </c>
      <c r="V2" s="3577"/>
      <c r="W2" s="3578"/>
      <c r="X2" s="3579" t="s">
        <v>34</v>
      </c>
    </row>
    <row r="3" spans="1:27" ht="26.25" thickBot="1">
      <c r="A3" s="1400" t="s">
        <v>1560</v>
      </c>
      <c r="B3" s="1400"/>
      <c r="G3" s="1652"/>
      <c r="I3" s="1179" t="s">
        <v>1747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7" ht="16.5" thickBot="1">
      <c r="A4" s="1357" t="s">
        <v>275</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6" t="e">
        <f>Q4/S4</f>
        <v>#DIV/0!</v>
      </c>
      <c r="V4" s="1186" t="e">
        <f>(L4+(J4*1.63))/S4</f>
        <v>#DIV/0!</v>
      </c>
      <c r="W4" s="1186" t="e">
        <f>N4/S4</f>
        <v>#DIV/0!</v>
      </c>
      <c r="X4" s="48" t="e">
        <f>S4/T4</f>
        <v>#DIV/0!</v>
      </c>
    </row>
    <row r="5" spans="1:27" ht="16.5" thickBot="1">
      <c r="A5" s="1400" t="s">
        <v>5</v>
      </c>
      <c r="B5" s="1400"/>
      <c r="C5" s="44"/>
      <c r="G5" s="1652"/>
      <c r="H5" s="2946" t="s">
        <v>1726</v>
      </c>
      <c r="I5" s="2947">
        <f>D15</f>
        <v>0</v>
      </c>
      <c r="J5" s="2948">
        <f>D21</f>
        <v>0</v>
      </c>
      <c r="K5" s="2948">
        <f>D27</f>
        <v>0</v>
      </c>
      <c r="L5" s="2948">
        <f>D37</f>
        <v>0</v>
      </c>
      <c r="M5" s="2948">
        <f>D43</f>
        <v>0</v>
      </c>
      <c r="N5" s="2948">
        <f>D49</f>
        <v>0</v>
      </c>
      <c r="O5" s="2948">
        <f>D55</f>
        <v>0</v>
      </c>
      <c r="P5" s="2948">
        <f>D61</f>
        <v>0</v>
      </c>
      <c r="Q5" s="2948">
        <f>D67</f>
        <v>0</v>
      </c>
      <c r="R5" s="2948">
        <f>D68</f>
        <v>0</v>
      </c>
      <c r="S5" s="2949">
        <f>SUM(I5:R5)</f>
        <v>0</v>
      </c>
      <c r="T5" s="2950">
        <f>T15</f>
        <v>0</v>
      </c>
      <c r="U5" s="2954" t="e">
        <f>Q5/S5</f>
        <v>#DIV/0!</v>
      </c>
      <c r="V5" s="2954" t="e">
        <f>(L5+(J5*1.63))/S5</f>
        <v>#DIV/0!</v>
      </c>
      <c r="W5" s="2954" t="e">
        <f>N5/S5</f>
        <v>#DIV/0!</v>
      </c>
      <c r="X5" s="2953" t="e">
        <f>S5/T5</f>
        <v>#DIV/0!</v>
      </c>
    </row>
    <row r="6" spans="1:27" ht="16.5" thickBot="1">
      <c r="A6" s="1400">
        <v>18230635</v>
      </c>
      <c r="B6" s="1400"/>
      <c r="D6" s="44"/>
      <c r="G6" s="1652"/>
      <c r="H6" s="1202" t="s">
        <v>1725</v>
      </c>
      <c r="I6" s="2627">
        <f>E15</f>
        <v>0</v>
      </c>
      <c r="J6" s="2628">
        <f>E21</f>
        <v>0</v>
      </c>
      <c r="K6" s="2629">
        <f>E27</f>
        <v>0</v>
      </c>
      <c r="L6" s="2628">
        <f>E37</f>
        <v>0</v>
      </c>
      <c r="M6" s="2628">
        <f>E43</f>
        <v>0</v>
      </c>
      <c r="N6" s="2628">
        <f>E49</f>
        <v>0</v>
      </c>
      <c r="O6" s="2628">
        <f>E55</f>
        <v>0</v>
      </c>
      <c r="P6" s="2628">
        <f>E61</f>
        <v>0</v>
      </c>
      <c r="Q6" s="2628">
        <f>E67</f>
        <v>0</v>
      </c>
      <c r="R6" s="2628">
        <f>E68</f>
        <v>0</v>
      </c>
      <c r="S6" s="2624">
        <f>SUM(I6:R6)</f>
        <v>0</v>
      </c>
      <c r="T6" s="2625">
        <f>U15</f>
        <v>0</v>
      </c>
      <c r="U6" s="2631" t="e">
        <f>Q6/S6</f>
        <v>#DIV/0!</v>
      </c>
      <c r="V6" s="2631" t="e">
        <f>(L6+(J6*1.63))/S6</f>
        <v>#DIV/0!</v>
      </c>
      <c r="W6" s="2631" t="e">
        <f>N6/S6</f>
        <v>#DIV/0!</v>
      </c>
      <c r="X6" s="2626" t="e">
        <f>S6/T6</f>
        <v>#DIV/0!</v>
      </c>
    </row>
    <row r="7" spans="1:27" ht="15.75">
      <c r="A7" s="1400"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400" t="s">
        <v>1560</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400">
        <v>18230635</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400"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400" t="s">
        <v>1560</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400" t="s">
        <v>5</v>
      </c>
      <c r="C66" s="1488"/>
      <c r="D66" s="2779"/>
      <c r="E66" s="1490"/>
      <c r="F66" s="1493"/>
    </row>
    <row r="67" spans="1:27">
      <c r="A67" s="1400">
        <v>18230635</v>
      </c>
      <c r="C67" s="1451" t="s">
        <v>50</v>
      </c>
      <c r="D67" s="2771">
        <f>W15</f>
        <v>0</v>
      </c>
      <c r="E67" s="1464">
        <f>X15*1.15</f>
        <v>0</v>
      </c>
      <c r="F67" s="1462">
        <f>D67+E67</f>
        <v>0</v>
      </c>
    </row>
    <row r="68" spans="1:27">
      <c r="A68" s="1400"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D2" activePane="bottomRight" state="frozen"/>
      <selection pane="bottomRight" activeCell="I30" sqref="I30"/>
      <pageMargins left="0.17" right="0.17" top="0.34" bottom="0.3" header="0.3" footer="0.3"/>
      <pageSetup paperSize="17" scale="43" orientation="landscape" r:id="rId1"/>
    </customSheetView>
    <customSheetView guid="{074EB09C-6289-46D7-9513-012B68BCA7BF}" showGridLines="0" fitToPage="1">
      <pane xSplit="1" ySplit="1" topLeftCell="B2" activePane="bottomRight" state="frozen"/>
      <selection pane="bottomRight" activeCell="E29" sqref="E29"/>
      <pageMargins left="0.17" right="0.17" top="0.34" bottom="0.3" header="0.3" footer="0.3"/>
      <pageSetup paperSize="17"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17" top="0.34" bottom="0.3" header="0.3" footer="0.3"/>
  <pageSetup paperSize="17" scale="50" orientation="landscape" r:id="rId3"/>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7109375" style="849" customWidth="1"/>
    <col min="2" max="2" width="15.7109375" style="1413" customWidth="1"/>
    <col min="3" max="3" width="28.28515625" customWidth="1"/>
    <col min="4" max="4" width="21" customWidth="1"/>
    <col min="5" max="5" width="15.85546875" style="9" customWidth="1"/>
    <col min="6" max="6" width="15.85546875" customWidth="1"/>
    <col min="7" max="7" width="17.71093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2.42578125" bestFit="1" customWidth="1"/>
    <col min="254" max="254" width="17.71093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9.7109375" bestFit="1" customWidth="1"/>
    <col min="265" max="265" width="16.140625" customWidth="1"/>
    <col min="266" max="266" width="16.7109375" bestFit="1" customWidth="1"/>
    <col min="267" max="267" width="15.5703125" bestFit="1" customWidth="1"/>
    <col min="268" max="268" width="20.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2.42578125" bestFit="1" customWidth="1"/>
    <col min="510" max="510" width="17.71093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9.7109375" bestFit="1" customWidth="1"/>
    <col min="521" max="521" width="16.140625" customWidth="1"/>
    <col min="522" max="522" width="16.7109375" bestFit="1" customWidth="1"/>
    <col min="523" max="523" width="15.5703125" bestFit="1" customWidth="1"/>
    <col min="524" max="524" width="20.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2.42578125" bestFit="1" customWidth="1"/>
    <col min="766" max="766" width="17.71093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9.7109375" bestFit="1" customWidth="1"/>
    <col min="777" max="777" width="16.140625" customWidth="1"/>
    <col min="778" max="778" width="16.7109375" bestFit="1" customWidth="1"/>
    <col min="779" max="779" width="15.5703125" bestFit="1" customWidth="1"/>
    <col min="780" max="780" width="20.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2.42578125" bestFit="1" customWidth="1"/>
    <col min="1022" max="1022" width="17.71093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9.7109375" bestFit="1" customWidth="1"/>
    <col min="1033" max="1033" width="16.140625" customWidth="1"/>
    <col min="1034" max="1034" width="16.7109375" bestFit="1" customWidth="1"/>
    <col min="1035" max="1035" width="15.5703125" bestFit="1" customWidth="1"/>
    <col min="1036" max="1036" width="20.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2.42578125" bestFit="1" customWidth="1"/>
    <col min="1278" max="1278" width="17.71093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9.7109375" bestFit="1" customWidth="1"/>
    <col min="1289" max="1289" width="16.140625" customWidth="1"/>
    <col min="1290" max="1290" width="16.7109375" bestFit="1" customWidth="1"/>
    <col min="1291" max="1291" width="15.5703125" bestFit="1" customWidth="1"/>
    <col min="1292" max="1292" width="20.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2.42578125" bestFit="1" customWidth="1"/>
    <col min="1534" max="1534" width="17.71093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9.7109375" bestFit="1" customWidth="1"/>
    <col min="1545" max="1545" width="16.140625" customWidth="1"/>
    <col min="1546" max="1546" width="16.7109375" bestFit="1" customWidth="1"/>
    <col min="1547" max="1547" width="15.5703125" bestFit="1" customWidth="1"/>
    <col min="1548" max="1548" width="20.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2.42578125" bestFit="1" customWidth="1"/>
    <col min="1790" max="1790" width="17.71093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9.7109375" bestFit="1" customWidth="1"/>
    <col min="1801" max="1801" width="16.140625" customWidth="1"/>
    <col min="1802" max="1802" width="16.7109375" bestFit="1" customWidth="1"/>
    <col min="1803" max="1803" width="15.5703125" bestFit="1" customWidth="1"/>
    <col min="1804" max="1804" width="20.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2.42578125" bestFit="1" customWidth="1"/>
    <col min="2046" max="2046" width="17.71093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9.7109375" bestFit="1" customWidth="1"/>
    <col min="2057" max="2057" width="16.140625" customWidth="1"/>
    <col min="2058" max="2058" width="16.7109375" bestFit="1" customWidth="1"/>
    <col min="2059" max="2059" width="15.5703125" bestFit="1" customWidth="1"/>
    <col min="2060" max="2060" width="20.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2.42578125" bestFit="1" customWidth="1"/>
    <col min="2302" max="2302" width="17.71093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9.7109375" bestFit="1" customWidth="1"/>
    <col min="2313" max="2313" width="16.140625" customWidth="1"/>
    <col min="2314" max="2314" width="16.7109375" bestFit="1" customWidth="1"/>
    <col min="2315" max="2315" width="15.5703125" bestFit="1" customWidth="1"/>
    <col min="2316" max="2316" width="20.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2.42578125" bestFit="1" customWidth="1"/>
    <col min="2558" max="2558" width="17.71093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9.7109375" bestFit="1" customWidth="1"/>
    <col min="2569" max="2569" width="16.140625" customWidth="1"/>
    <col min="2570" max="2570" width="16.7109375" bestFit="1" customWidth="1"/>
    <col min="2571" max="2571" width="15.5703125" bestFit="1" customWidth="1"/>
    <col min="2572" max="2572" width="20.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2.42578125" bestFit="1" customWidth="1"/>
    <col min="2814" max="2814" width="17.71093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9.7109375" bestFit="1" customWidth="1"/>
    <col min="2825" max="2825" width="16.140625" customWidth="1"/>
    <col min="2826" max="2826" width="16.7109375" bestFit="1" customWidth="1"/>
    <col min="2827" max="2827" width="15.5703125" bestFit="1" customWidth="1"/>
    <col min="2828" max="2828" width="20.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2.42578125" bestFit="1" customWidth="1"/>
    <col min="3070" max="3070" width="17.71093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9.7109375" bestFit="1" customWidth="1"/>
    <col min="3081" max="3081" width="16.140625" customWidth="1"/>
    <col min="3082" max="3082" width="16.7109375" bestFit="1" customWidth="1"/>
    <col min="3083" max="3083" width="15.5703125" bestFit="1" customWidth="1"/>
    <col min="3084" max="3084" width="20.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2.42578125" bestFit="1" customWidth="1"/>
    <col min="3326" max="3326" width="17.71093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9.7109375" bestFit="1" customWidth="1"/>
    <col min="3337" max="3337" width="16.140625" customWidth="1"/>
    <col min="3338" max="3338" width="16.7109375" bestFit="1" customWidth="1"/>
    <col min="3339" max="3339" width="15.5703125" bestFit="1" customWidth="1"/>
    <col min="3340" max="3340" width="20.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2.42578125" bestFit="1" customWidth="1"/>
    <col min="3582" max="3582" width="17.71093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9.7109375" bestFit="1" customWidth="1"/>
    <col min="3593" max="3593" width="16.140625" customWidth="1"/>
    <col min="3594" max="3594" width="16.7109375" bestFit="1" customWidth="1"/>
    <col min="3595" max="3595" width="15.5703125" bestFit="1" customWidth="1"/>
    <col min="3596" max="3596" width="20.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2.42578125" bestFit="1" customWidth="1"/>
    <col min="3838" max="3838" width="17.71093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9.7109375" bestFit="1" customWidth="1"/>
    <col min="3849" max="3849" width="16.140625" customWidth="1"/>
    <col min="3850" max="3850" width="16.7109375" bestFit="1" customWidth="1"/>
    <col min="3851" max="3851" width="15.5703125" bestFit="1" customWidth="1"/>
    <col min="3852" max="3852" width="20.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2.42578125" bestFit="1" customWidth="1"/>
    <col min="4094" max="4094" width="17.71093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9.7109375" bestFit="1" customWidth="1"/>
    <col min="4105" max="4105" width="16.140625" customWidth="1"/>
    <col min="4106" max="4106" width="16.7109375" bestFit="1" customWidth="1"/>
    <col min="4107" max="4107" width="15.5703125" bestFit="1" customWidth="1"/>
    <col min="4108" max="4108" width="20.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2.42578125" bestFit="1" customWidth="1"/>
    <col min="4350" max="4350" width="17.71093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9.7109375" bestFit="1" customWidth="1"/>
    <col min="4361" max="4361" width="16.140625" customWidth="1"/>
    <col min="4362" max="4362" width="16.7109375" bestFit="1" customWidth="1"/>
    <col min="4363" max="4363" width="15.5703125" bestFit="1" customWidth="1"/>
    <col min="4364" max="4364" width="20.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2.42578125" bestFit="1" customWidth="1"/>
    <col min="4606" max="4606" width="17.71093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9.7109375" bestFit="1" customWidth="1"/>
    <col min="4617" max="4617" width="16.140625" customWidth="1"/>
    <col min="4618" max="4618" width="16.7109375" bestFit="1" customWidth="1"/>
    <col min="4619" max="4619" width="15.5703125" bestFit="1" customWidth="1"/>
    <col min="4620" max="4620" width="20.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2.42578125" bestFit="1" customWidth="1"/>
    <col min="4862" max="4862" width="17.71093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9.7109375" bestFit="1" customWidth="1"/>
    <col min="4873" max="4873" width="16.140625" customWidth="1"/>
    <col min="4874" max="4874" width="16.7109375" bestFit="1" customWidth="1"/>
    <col min="4875" max="4875" width="15.5703125" bestFit="1" customWidth="1"/>
    <col min="4876" max="4876" width="20.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2.42578125" bestFit="1" customWidth="1"/>
    <col min="5118" max="5118" width="17.71093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9.7109375" bestFit="1" customWidth="1"/>
    <col min="5129" max="5129" width="16.140625" customWidth="1"/>
    <col min="5130" max="5130" width="16.7109375" bestFit="1" customWidth="1"/>
    <col min="5131" max="5131" width="15.5703125" bestFit="1" customWidth="1"/>
    <col min="5132" max="5132" width="20.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2.42578125" bestFit="1" customWidth="1"/>
    <col min="5374" max="5374" width="17.71093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9.7109375" bestFit="1" customWidth="1"/>
    <col min="5385" max="5385" width="16.140625" customWidth="1"/>
    <col min="5386" max="5386" width="16.7109375" bestFit="1" customWidth="1"/>
    <col min="5387" max="5387" width="15.5703125" bestFit="1" customWidth="1"/>
    <col min="5388" max="5388" width="20.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2.42578125" bestFit="1" customWidth="1"/>
    <col min="5630" max="5630" width="17.71093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9.7109375" bestFit="1" customWidth="1"/>
    <col min="5641" max="5641" width="16.140625" customWidth="1"/>
    <col min="5642" max="5642" width="16.7109375" bestFit="1" customWidth="1"/>
    <col min="5643" max="5643" width="15.5703125" bestFit="1" customWidth="1"/>
    <col min="5644" max="5644" width="20.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2.42578125" bestFit="1" customWidth="1"/>
    <col min="5886" max="5886" width="17.71093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9.7109375" bestFit="1" customWidth="1"/>
    <col min="5897" max="5897" width="16.140625" customWidth="1"/>
    <col min="5898" max="5898" width="16.7109375" bestFit="1" customWidth="1"/>
    <col min="5899" max="5899" width="15.5703125" bestFit="1" customWidth="1"/>
    <col min="5900" max="5900" width="20.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2.42578125" bestFit="1" customWidth="1"/>
    <col min="6142" max="6142" width="17.71093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9.7109375" bestFit="1" customWidth="1"/>
    <col min="6153" max="6153" width="16.140625" customWidth="1"/>
    <col min="6154" max="6154" width="16.7109375" bestFit="1" customWidth="1"/>
    <col min="6155" max="6155" width="15.5703125" bestFit="1" customWidth="1"/>
    <col min="6156" max="6156" width="20.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2.42578125" bestFit="1" customWidth="1"/>
    <col min="6398" max="6398" width="17.71093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9.7109375" bestFit="1" customWidth="1"/>
    <col min="6409" max="6409" width="16.140625" customWidth="1"/>
    <col min="6410" max="6410" width="16.7109375" bestFit="1" customWidth="1"/>
    <col min="6411" max="6411" width="15.5703125" bestFit="1" customWidth="1"/>
    <col min="6412" max="6412" width="20.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2.42578125" bestFit="1" customWidth="1"/>
    <col min="6654" max="6654" width="17.71093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9.7109375" bestFit="1" customWidth="1"/>
    <col min="6665" max="6665" width="16.140625" customWidth="1"/>
    <col min="6666" max="6666" width="16.7109375" bestFit="1" customWidth="1"/>
    <col min="6667" max="6667" width="15.5703125" bestFit="1" customWidth="1"/>
    <col min="6668" max="6668" width="20.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2.42578125" bestFit="1" customWidth="1"/>
    <col min="6910" max="6910" width="17.71093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9.7109375" bestFit="1" customWidth="1"/>
    <col min="6921" max="6921" width="16.140625" customWidth="1"/>
    <col min="6922" max="6922" width="16.7109375" bestFit="1" customWidth="1"/>
    <col min="6923" max="6923" width="15.5703125" bestFit="1" customWidth="1"/>
    <col min="6924" max="6924" width="20.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2.42578125" bestFit="1" customWidth="1"/>
    <col min="7166" max="7166" width="17.71093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9.7109375" bestFit="1" customWidth="1"/>
    <col min="7177" max="7177" width="16.140625" customWidth="1"/>
    <col min="7178" max="7178" width="16.7109375" bestFit="1" customWidth="1"/>
    <col min="7179" max="7179" width="15.5703125" bestFit="1" customWidth="1"/>
    <col min="7180" max="7180" width="20.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2.42578125" bestFit="1" customWidth="1"/>
    <col min="7422" max="7422" width="17.71093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9.7109375" bestFit="1" customWidth="1"/>
    <col min="7433" max="7433" width="16.140625" customWidth="1"/>
    <col min="7434" max="7434" width="16.7109375" bestFit="1" customWidth="1"/>
    <col min="7435" max="7435" width="15.5703125" bestFit="1" customWidth="1"/>
    <col min="7436" max="7436" width="20.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2.42578125" bestFit="1" customWidth="1"/>
    <col min="7678" max="7678" width="17.71093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9.7109375" bestFit="1" customWidth="1"/>
    <col min="7689" max="7689" width="16.140625" customWidth="1"/>
    <col min="7690" max="7690" width="16.7109375" bestFit="1" customWidth="1"/>
    <col min="7691" max="7691" width="15.5703125" bestFit="1" customWidth="1"/>
    <col min="7692" max="7692" width="20.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2.42578125" bestFit="1" customWidth="1"/>
    <col min="7934" max="7934" width="17.71093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9.7109375" bestFit="1" customWidth="1"/>
    <col min="7945" max="7945" width="16.140625" customWidth="1"/>
    <col min="7946" max="7946" width="16.7109375" bestFit="1" customWidth="1"/>
    <col min="7947" max="7947" width="15.5703125" bestFit="1" customWidth="1"/>
    <col min="7948" max="7948" width="20.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2.42578125" bestFit="1" customWidth="1"/>
    <col min="8190" max="8190" width="17.71093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9.7109375" bestFit="1" customWidth="1"/>
    <col min="8201" max="8201" width="16.140625" customWidth="1"/>
    <col min="8202" max="8202" width="16.7109375" bestFit="1" customWidth="1"/>
    <col min="8203" max="8203" width="15.5703125" bestFit="1" customWidth="1"/>
    <col min="8204" max="8204" width="20.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2.42578125" bestFit="1" customWidth="1"/>
    <col min="8446" max="8446" width="17.71093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9.7109375" bestFit="1" customWidth="1"/>
    <col min="8457" max="8457" width="16.140625" customWidth="1"/>
    <col min="8458" max="8458" width="16.7109375" bestFit="1" customWidth="1"/>
    <col min="8459" max="8459" width="15.5703125" bestFit="1" customWidth="1"/>
    <col min="8460" max="8460" width="20.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2.42578125" bestFit="1" customWidth="1"/>
    <col min="8702" max="8702" width="17.71093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9.7109375" bestFit="1" customWidth="1"/>
    <col min="8713" max="8713" width="16.140625" customWidth="1"/>
    <col min="8714" max="8714" width="16.7109375" bestFit="1" customWidth="1"/>
    <col min="8715" max="8715" width="15.5703125" bestFit="1" customWidth="1"/>
    <col min="8716" max="8716" width="20.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2.42578125" bestFit="1" customWidth="1"/>
    <col min="8958" max="8958" width="17.71093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9.7109375" bestFit="1" customWidth="1"/>
    <col min="8969" max="8969" width="16.140625" customWidth="1"/>
    <col min="8970" max="8970" width="16.7109375" bestFit="1" customWidth="1"/>
    <col min="8971" max="8971" width="15.5703125" bestFit="1" customWidth="1"/>
    <col min="8972" max="8972" width="20.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2.42578125" bestFit="1" customWidth="1"/>
    <col min="9214" max="9214" width="17.71093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9.7109375" bestFit="1" customWidth="1"/>
    <col min="9225" max="9225" width="16.140625" customWidth="1"/>
    <col min="9226" max="9226" width="16.7109375" bestFit="1" customWidth="1"/>
    <col min="9227" max="9227" width="15.5703125" bestFit="1" customWidth="1"/>
    <col min="9228" max="9228" width="20.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2.42578125" bestFit="1" customWidth="1"/>
    <col min="9470" max="9470" width="17.71093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9.7109375" bestFit="1" customWidth="1"/>
    <col min="9481" max="9481" width="16.140625" customWidth="1"/>
    <col min="9482" max="9482" width="16.7109375" bestFit="1" customWidth="1"/>
    <col min="9483" max="9483" width="15.5703125" bestFit="1" customWidth="1"/>
    <col min="9484" max="9484" width="20.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2.42578125" bestFit="1" customWidth="1"/>
    <col min="9726" max="9726" width="17.71093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9.7109375" bestFit="1" customWidth="1"/>
    <col min="9737" max="9737" width="16.140625" customWidth="1"/>
    <col min="9738" max="9738" width="16.7109375" bestFit="1" customWidth="1"/>
    <col min="9739" max="9739" width="15.5703125" bestFit="1" customWidth="1"/>
    <col min="9740" max="9740" width="20.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2.42578125" bestFit="1" customWidth="1"/>
    <col min="9982" max="9982" width="17.71093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9.7109375" bestFit="1" customWidth="1"/>
    <col min="9993" max="9993" width="16.140625" customWidth="1"/>
    <col min="9994" max="9994" width="16.7109375" bestFit="1" customWidth="1"/>
    <col min="9995" max="9995" width="15.5703125" bestFit="1" customWidth="1"/>
    <col min="9996" max="9996" width="20.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2.42578125" bestFit="1" customWidth="1"/>
    <col min="10238" max="10238" width="17.71093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9.7109375" bestFit="1" customWidth="1"/>
    <col min="10249" max="10249" width="16.140625" customWidth="1"/>
    <col min="10250" max="10250" width="16.7109375" bestFit="1" customWidth="1"/>
    <col min="10251" max="10251" width="15.5703125" bestFit="1" customWidth="1"/>
    <col min="10252" max="10252" width="20.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2.42578125" bestFit="1" customWidth="1"/>
    <col min="10494" max="10494" width="17.71093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9.7109375" bestFit="1" customWidth="1"/>
    <col min="10505" max="10505" width="16.140625" customWidth="1"/>
    <col min="10506" max="10506" width="16.7109375" bestFit="1" customWidth="1"/>
    <col min="10507" max="10507" width="15.5703125" bestFit="1" customWidth="1"/>
    <col min="10508" max="10508" width="20.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2.42578125" bestFit="1" customWidth="1"/>
    <col min="10750" max="10750" width="17.71093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9.7109375" bestFit="1" customWidth="1"/>
    <col min="10761" max="10761" width="16.140625" customWidth="1"/>
    <col min="10762" max="10762" width="16.7109375" bestFit="1" customWidth="1"/>
    <col min="10763" max="10763" width="15.5703125" bestFit="1" customWidth="1"/>
    <col min="10764" max="10764" width="20.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2.42578125" bestFit="1" customWidth="1"/>
    <col min="11006" max="11006" width="17.71093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9.7109375" bestFit="1" customWidth="1"/>
    <col min="11017" max="11017" width="16.140625" customWidth="1"/>
    <col min="11018" max="11018" width="16.7109375" bestFit="1" customWidth="1"/>
    <col min="11019" max="11019" width="15.5703125" bestFit="1" customWidth="1"/>
    <col min="11020" max="11020" width="20.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2.42578125" bestFit="1" customWidth="1"/>
    <col min="11262" max="11262" width="17.71093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9.7109375" bestFit="1" customWidth="1"/>
    <col min="11273" max="11273" width="16.140625" customWidth="1"/>
    <col min="11274" max="11274" width="16.7109375" bestFit="1" customWidth="1"/>
    <col min="11275" max="11275" width="15.5703125" bestFit="1" customWidth="1"/>
    <col min="11276" max="11276" width="20.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2.42578125" bestFit="1" customWidth="1"/>
    <col min="11518" max="11518" width="17.71093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9.7109375" bestFit="1" customWidth="1"/>
    <col min="11529" max="11529" width="16.140625" customWidth="1"/>
    <col min="11530" max="11530" width="16.7109375" bestFit="1" customWidth="1"/>
    <col min="11531" max="11531" width="15.5703125" bestFit="1" customWidth="1"/>
    <col min="11532" max="11532" width="20.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2.42578125" bestFit="1" customWidth="1"/>
    <col min="11774" max="11774" width="17.71093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9.7109375" bestFit="1" customWidth="1"/>
    <col min="11785" max="11785" width="16.140625" customWidth="1"/>
    <col min="11786" max="11786" width="16.7109375" bestFit="1" customWidth="1"/>
    <col min="11787" max="11787" width="15.5703125" bestFit="1" customWidth="1"/>
    <col min="11788" max="11788" width="20.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2.42578125" bestFit="1" customWidth="1"/>
    <col min="12030" max="12030" width="17.71093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9.7109375" bestFit="1" customWidth="1"/>
    <col min="12041" max="12041" width="16.140625" customWidth="1"/>
    <col min="12042" max="12042" width="16.7109375" bestFit="1" customWidth="1"/>
    <col min="12043" max="12043" width="15.5703125" bestFit="1" customWidth="1"/>
    <col min="12044" max="12044" width="20.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2.42578125" bestFit="1" customWidth="1"/>
    <col min="12286" max="12286" width="17.71093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9.7109375" bestFit="1" customWidth="1"/>
    <col min="12297" max="12297" width="16.140625" customWidth="1"/>
    <col min="12298" max="12298" width="16.7109375" bestFit="1" customWidth="1"/>
    <col min="12299" max="12299" width="15.5703125" bestFit="1" customWidth="1"/>
    <col min="12300" max="12300" width="20.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2.42578125" bestFit="1" customWidth="1"/>
    <col min="12542" max="12542" width="17.71093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9.7109375" bestFit="1" customWidth="1"/>
    <col min="12553" max="12553" width="16.140625" customWidth="1"/>
    <col min="12554" max="12554" width="16.7109375" bestFit="1" customWidth="1"/>
    <col min="12555" max="12555" width="15.5703125" bestFit="1" customWidth="1"/>
    <col min="12556" max="12556" width="20.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2.42578125" bestFit="1" customWidth="1"/>
    <col min="12798" max="12798" width="17.71093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9.7109375" bestFit="1" customWidth="1"/>
    <col min="12809" max="12809" width="16.140625" customWidth="1"/>
    <col min="12810" max="12810" width="16.7109375" bestFit="1" customWidth="1"/>
    <col min="12811" max="12811" width="15.5703125" bestFit="1" customWidth="1"/>
    <col min="12812" max="12812" width="20.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2.42578125" bestFit="1" customWidth="1"/>
    <col min="13054" max="13054" width="17.71093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9.7109375" bestFit="1" customWidth="1"/>
    <col min="13065" max="13065" width="16.140625" customWidth="1"/>
    <col min="13066" max="13066" width="16.7109375" bestFit="1" customWidth="1"/>
    <col min="13067" max="13067" width="15.5703125" bestFit="1" customWidth="1"/>
    <col min="13068" max="13068" width="20.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2.42578125" bestFit="1" customWidth="1"/>
    <col min="13310" max="13310" width="17.71093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9.7109375" bestFit="1" customWidth="1"/>
    <col min="13321" max="13321" width="16.140625" customWidth="1"/>
    <col min="13322" max="13322" width="16.7109375" bestFit="1" customWidth="1"/>
    <col min="13323" max="13323" width="15.5703125" bestFit="1" customWidth="1"/>
    <col min="13324" max="13324" width="20.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2.42578125" bestFit="1" customWidth="1"/>
    <col min="13566" max="13566" width="17.71093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9.7109375" bestFit="1" customWidth="1"/>
    <col min="13577" max="13577" width="16.140625" customWidth="1"/>
    <col min="13578" max="13578" width="16.7109375" bestFit="1" customWidth="1"/>
    <col min="13579" max="13579" width="15.5703125" bestFit="1" customWidth="1"/>
    <col min="13580" max="13580" width="20.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2.42578125" bestFit="1" customWidth="1"/>
    <col min="13822" max="13822" width="17.71093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9.7109375" bestFit="1" customWidth="1"/>
    <col min="13833" max="13833" width="16.140625" customWidth="1"/>
    <col min="13834" max="13834" width="16.7109375" bestFit="1" customWidth="1"/>
    <col min="13835" max="13835" width="15.5703125" bestFit="1" customWidth="1"/>
    <col min="13836" max="13836" width="20.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2.42578125" bestFit="1" customWidth="1"/>
    <col min="14078" max="14078" width="17.71093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9.7109375" bestFit="1" customWidth="1"/>
    <col min="14089" max="14089" width="16.140625" customWidth="1"/>
    <col min="14090" max="14090" width="16.7109375" bestFit="1" customWidth="1"/>
    <col min="14091" max="14091" width="15.5703125" bestFit="1" customWidth="1"/>
    <col min="14092" max="14092" width="20.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2.42578125" bestFit="1" customWidth="1"/>
    <col min="14334" max="14334" width="17.71093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9.7109375" bestFit="1" customWidth="1"/>
    <col min="14345" max="14345" width="16.140625" customWidth="1"/>
    <col min="14346" max="14346" width="16.7109375" bestFit="1" customWidth="1"/>
    <col min="14347" max="14347" width="15.5703125" bestFit="1" customWidth="1"/>
    <col min="14348" max="14348" width="20.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2.42578125" bestFit="1" customWidth="1"/>
    <col min="14590" max="14590" width="17.71093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9.7109375" bestFit="1" customWidth="1"/>
    <col min="14601" max="14601" width="16.140625" customWidth="1"/>
    <col min="14602" max="14602" width="16.7109375" bestFit="1" customWidth="1"/>
    <col min="14603" max="14603" width="15.5703125" bestFit="1" customWidth="1"/>
    <col min="14604" max="14604" width="20.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2.42578125" bestFit="1" customWidth="1"/>
    <col min="14846" max="14846" width="17.71093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9.7109375" bestFit="1" customWidth="1"/>
    <col min="14857" max="14857" width="16.140625" customWidth="1"/>
    <col min="14858" max="14858" width="16.7109375" bestFit="1" customWidth="1"/>
    <col min="14859" max="14859" width="15.5703125" bestFit="1" customWidth="1"/>
    <col min="14860" max="14860" width="20.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2.42578125" bestFit="1" customWidth="1"/>
    <col min="15102" max="15102" width="17.71093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9.7109375" bestFit="1" customWidth="1"/>
    <col min="15113" max="15113" width="16.140625" customWidth="1"/>
    <col min="15114" max="15114" width="16.7109375" bestFit="1" customWidth="1"/>
    <col min="15115" max="15115" width="15.5703125" bestFit="1" customWidth="1"/>
    <col min="15116" max="15116" width="20.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2.42578125" bestFit="1" customWidth="1"/>
    <col min="15358" max="15358" width="17.71093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9.7109375" bestFit="1" customWidth="1"/>
    <col min="15369" max="15369" width="16.140625" customWidth="1"/>
    <col min="15370" max="15370" width="16.7109375" bestFit="1" customWidth="1"/>
    <col min="15371" max="15371" width="15.5703125" bestFit="1" customWidth="1"/>
    <col min="15372" max="15372" width="20.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2.42578125" bestFit="1" customWidth="1"/>
    <col min="15614" max="15614" width="17.71093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9.7109375" bestFit="1" customWidth="1"/>
    <col min="15625" max="15625" width="16.140625" customWidth="1"/>
    <col min="15626" max="15626" width="16.7109375" bestFit="1" customWidth="1"/>
    <col min="15627" max="15627" width="15.5703125" bestFit="1" customWidth="1"/>
    <col min="15628" max="15628" width="20.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2.42578125" bestFit="1" customWidth="1"/>
    <col min="15870" max="15870" width="17.71093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9.7109375" bestFit="1" customWidth="1"/>
    <col min="15881" max="15881" width="16.140625" customWidth="1"/>
    <col min="15882" max="15882" width="16.7109375" bestFit="1" customWidth="1"/>
    <col min="15883" max="15883" width="15.5703125" bestFit="1" customWidth="1"/>
    <col min="15884" max="15884" width="20.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2.42578125" bestFit="1" customWidth="1"/>
    <col min="16126" max="16126" width="17.71093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9.7109375" bestFit="1" customWidth="1"/>
    <col min="16137" max="16137" width="16.140625" customWidth="1"/>
    <col min="16138" max="16138" width="16.7109375" bestFit="1" customWidth="1"/>
    <col min="16139" max="16139" width="15.5703125" bestFit="1" customWidth="1"/>
    <col min="16140" max="16140" width="20.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42" customHeight="1" thickBot="1">
      <c r="C1" s="1401" t="s">
        <v>280</v>
      </c>
      <c r="D1" s="1361" t="s">
        <v>275</v>
      </c>
      <c r="E1" s="1401" t="s">
        <v>5</v>
      </c>
      <c r="F1" s="1401">
        <v>18230636</v>
      </c>
      <c r="G1" s="1401" t="s">
        <v>28</v>
      </c>
      <c r="J1" s="1361"/>
      <c r="K1" s="1361"/>
      <c r="L1" s="1361"/>
      <c r="M1" s="1401" t="s">
        <v>280</v>
      </c>
      <c r="N1" s="1361" t="s">
        <v>275</v>
      </c>
      <c r="O1" s="1401" t="s">
        <v>5</v>
      </c>
      <c r="P1" s="1401">
        <v>18230636</v>
      </c>
      <c r="Q1" s="1401" t="s">
        <v>28</v>
      </c>
      <c r="V1" s="1401" t="s">
        <v>280</v>
      </c>
      <c r="W1" s="1361" t="s">
        <v>275</v>
      </c>
      <c r="X1" s="1401" t="s">
        <v>5</v>
      </c>
      <c r="Y1" s="1401">
        <v>18230636</v>
      </c>
      <c r="Z1" s="1401" t="s">
        <v>28</v>
      </c>
    </row>
    <row r="2" spans="1:27" ht="16.5" thickBot="1">
      <c r="C2" s="44"/>
      <c r="D2" s="45"/>
      <c r="G2" s="1652"/>
      <c r="I2" s="1178" t="s">
        <v>627</v>
      </c>
      <c r="S2" s="3575"/>
      <c r="T2" s="3575"/>
      <c r="U2" s="3576" t="s">
        <v>33</v>
      </c>
      <c r="V2" s="3577"/>
      <c r="W2" s="3578"/>
      <c r="X2" s="3579" t="s">
        <v>34</v>
      </c>
    </row>
    <row r="3" spans="1:27" ht="26.25" thickBot="1">
      <c r="A3" s="1400" t="s">
        <v>280</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275</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7" ht="16.5" thickBot="1">
      <c r="A5" s="1400" t="s">
        <v>5</v>
      </c>
      <c r="B5" s="1400"/>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400">
        <v>18230636</v>
      </c>
      <c r="B6" s="1400"/>
      <c r="D6" s="44"/>
      <c r="G6" s="1652"/>
      <c r="H6" s="1202"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1400"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400"/>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400" t="s">
        <v>280</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400">
        <v>18230636</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400"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400" t="s">
        <v>280</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400" t="s">
        <v>5</v>
      </c>
      <c r="C66" s="1488"/>
      <c r="D66" s="2779"/>
      <c r="E66" s="1490"/>
      <c r="F66" s="1493"/>
    </row>
    <row r="67" spans="1:27">
      <c r="A67" s="1400">
        <v>18230636</v>
      </c>
      <c r="C67" s="1451" t="s">
        <v>50</v>
      </c>
      <c r="D67" s="2771">
        <f>W15</f>
        <v>0</v>
      </c>
      <c r="E67" s="1464">
        <f>X15*1.15</f>
        <v>0</v>
      </c>
      <c r="F67" s="1462">
        <f>D67+E67</f>
        <v>0</v>
      </c>
    </row>
    <row r="68" spans="1:27">
      <c r="A68" s="1400"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I30" sqref="I30"/>
      <pageMargins left="0.2" right="0.18" top="0.38" bottom="0.33" header="0.3" footer="0.3"/>
      <pageSetup paperSize="17" scale="43" orientation="landscape" r:id="rId1"/>
    </customSheetView>
    <customSheetView guid="{074EB09C-6289-46D7-9513-012B68BCA7BF}" showGridLines="0" fitToPage="1">
      <pane xSplit="1" ySplit="1" topLeftCell="B2" activePane="bottomRight" state="frozen"/>
      <selection pane="bottomRight" activeCell="E29" sqref="E29"/>
      <pageMargins left="0.2" right="0.18" top="0.38" bottom="0.33" header="0.3" footer="0.3"/>
      <pageSetup paperSize="17"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18" top="0.38" bottom="0.33" header="0.3" footer="0.3"/>
  <pageSetup paperSize="17" scale="49" orientation="landscape" r:id="rId3"/>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A995C1"/>
  </sheetPr>
  <dimension ref="A1:AA70"/>
  <sheetViews>
    <sheetView showGridLines="0" workbookViewId="0">
      <pane xSplit="1" ySplit="1" topLeftCell="F11" activePane="bottomRight" state="frozen"/>
      <selection pane="topRight" activeCell="B1" sqref="B1"/>
      <selection pane="bottomLeft" activeCell="A2" sqref="A2"/>
      <selection pane="bottomRight"/>
    </sheetView>
  </sheetViews>
  <sheetFormatPr defaultRowHeight="12.75"/>
  <cols>
    <col min="1" max="1" width="19" style="849" customWidth="1"/>
    <col min="2" max="2" width="15.7109375" style="1413" customWidth="1"/>
    <col min="3" max="3" width="28.28515625" customWidth="1"/>
    <col min="4" max="4" width="21.140625" customWidth="1"/>
    <col min="5" max="5" width="15.28515625" style="9" customWidth="1"/>
    <col min="6" max="6" width="15.28515625" customWidth="1"/>
    <col min="7" max="7" width="16.42578125" customWidth="1"/>
    <col min="8" max="8" width="41.5703125" customWidth="1"/>
    <col min="9" max="9" width="15.42578125" bestFit="1" customWidth="1"/>
    <col min="10" max="10" width="14.28515625" bestFit="1" customWidth="1"/>
    <col min="11" max="11" width="15.28515625" customWidth="1"/>
    <col min="12" max="12" width="15.85546875" customWidth="1"/>
    <col min="13" max="13" width="17.140625" bestFit="1" customWidth="1"/>
    <col min="14" max="14" width="12.7109375" customWidth="1"/>
    <col min="15" max="15" width="13.7109375" customWidth="1"/>
    <col min="16" max="16" width="14" bestFit="1" customWidth="1"/>
    <col min="17" max="19" width="19.28515625" bestFit="1" customWidth="1"/>
    <col min="20" max="20" width="20.5703125" bestFit="1" customWidth="1"/>
    <col min="21" max="21" width="20.7109375" bestFit="1" customWidth="1"/>
    <col min="22" max="22" width="16.42578125" bestFit="1" customWidth="1"/>
    <col min="23" max="25" width="17" customWidth="1"/>
    <col min="26" max="26" width="12.5703125" style="1907" bestFit="1" customWidth="1"/>
    <col min="249" max="249" width="24.140625" bestFit="1" customWidth="1"/>
    <col min="250" max="250" width="43.85546875" customWidth="1"/>
    <col min="251" max="251" width="19.85546875" bestFit="1" customWidth="1"/>
    <col min="252" max="252" width="17.140625" bestFit="1" customWidth="1"/>
    <col min="253" max="253" width="18.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140625" bestFit="1" customWidth="1"/>
    <col min="260" max="260" width="12.7109375" customWidth="1"/>
    <col min="261" max="261" width="13.7109375" customWidth="1"/>
    <col min="262" max="262" width="14" bestFit="1" customWidth="1"/>
    <col min="263" max="265" width="19.28515625" bestFit="1" customWidth="1"/>
    <col min="266" max="266" width="20.5703125" bestFit="1" customWidth="1"/>
    <col min="267" max="267" width="20.710937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140625" bestFit="1" customWidth="1"/>
    <col min="506" max="506" width="43.85546875" customWidth="1"/>
    <col min="507" max="507" width="19.85546875" bestFit="1" customWidth="1"/>
    <col min="508" max="508" width="17.140625" bestFit="1" customWidth="1"/>
    <col min="509" max="509" width="18.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140625" bestFit="1" customWidth="1"/>
    <col min="516" max="516" width="12.7109375" customWidth="1"/>
    <col min="517" max="517" width="13.7109375" customWidth="1"/>
    <col min="518" max="518" width="14" bestFit="1" customWidth="1"/>
    <col min="519" max="521" width="19.28515625" bestFit="1" customWidth="1"/>
    <col min="522" max="522" width="20.5703125" bestFit="1" customWidth="1"/>
    <col min="523" max="523" width="20.710937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140625" bestFit="1" customWidth="1"/>
    <col min="762" max="762" width="43.85546875" customWidth="1"/>
    <col min="763" max="763" width="19.85546875" bestFit="1" customWidth="1"/>
    <col min="764" max="764" width="17.140625" bestFit="1" customWidth="1"/>
    <col min="765" max="765" width="18.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140625" bestFit="1" customWidth="1"/>
    <col min="772" max="772" width="12.7109375" customWidth="1"/>
    <col min="773" max="773" width="13.7109375" customWidth="1"/>
    <col min="774" max="774" width="14" bestFit="1" customWidth="1"/>
    <col min="775" max="777" width="19.28515625" bestFit="1" customWidth="1"/>
    <col min="778" max="778" width="20.5703125" bestFit="1" customWidth="1"/>
    <col min="779" max="779" width="20.710937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140625" bestFit="1" customWidth="1"/>
    <col min="1018" max="1018" width="43.85546875" customWidth="1"/>
    <col min="1019" max="1019" width="19.85546875" bestFit="1" customWidth="1"/>
    <col min="1020" max="1020" width="17.140625" bestFit="1" customWidth="1"/>
    <col min="1021" max="1021" width="18.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140625" bestFit="1" customWidth="1"/>
    <col min="1028" max="1028" width="12.7109375" customWidth="1"/>
    <col min="1029" max="1029" width="13.7109375" customWidth="1"/>
    <col min="1030" max="1030" width="14" bestFit="1" customWidth="1"/>
    <col min="1031" max="1033" width="19.28515625" bestFit="1" customWidth="1"/>
    <col min="1034" max="1034" width="20.5703125" bestFit="1" customWidth="1"/>
    <col min="1035" max="1035" width="20.710937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140625" bestFit="1" customWidth="1"/>
    <col min="1274" max="1274" width="43.85546875" customWidth="1"/>
    <col min="1275" max="1275" width="19.85546875" bestFit="1" customWidth="1"/>
    <col min="1276" max="1276" width="17.140625" bestFit="1" customWidth="1"/>
    <col min="1277" max="1277" width="18.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140625" bestFit="1" customWidth="1"/>
    <col min="1284" max="1284" width="12.7109375" customWidth="1"/>
    <col min="1285" max="1285" width="13.7109375" customWidth="1"/>
    <col min="1286" max="1286" width="14" bestFit="1" customWidth="1"/>
    <col min="1287" max="1289" width="19.28515625" bestFit="1" customWidth="1"/>
    <col min="1290" max="1290" width="20.5703125" bestFit="1" customWidth="1"/>
    <col min="1291" max="1291" width="20.710937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140625" bestFit="1" customWidth="1"/>
    <col min="1530" max="1530" width="43.85546875" customWidth="1"/>
    <col min="1531" max="1531" width="19.85546875" bestFit="1" customWidth="1"/>
    <col min="1532" max="1532" width="17.140625" bestFit="1" customWidth="1"/>
    <col min="1533" max="1533" width="18.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140625" bestFit="1" customWidth="1"/>
    <col min="1540" max="1540" width="12.7109375" customWidth="1"/>
    <col min="1541" max="1541" width="13.7109375" customWidth="1"/>
    <col min="1542" max="1542" width="14" bestFit="1" customWidth="1"/>
    <col min="1543" max="1545" width="19.28515625" bestFit="1" customWidth="1"/>
    <col min="1546" max="1546" width="20.5703125" bestFit="1" customWidth="1"/>
    <col min="1547" max="1547" width="20.710937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140625" bestFit="1" customWidth="1"/>
    <col min="1786" max="1786" width="43.85546875" customWidth="1"/>
    <col min="1787" max="1787" width="19.85546875" bestFit="1" customWidth="1"/>
    <col min="1788" max="1788" width="17.140625" bestFit="1" customWidth="1"/>
    <col min="1789" max="1789" width="18.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140625" bestFit="1" customWidth="1"/>
    <col min="1796" max="1796" width="12.7109375" customWidth="1"/>
    <col min="1797" max="1797" width="13.7109375" customWidth="1"/>
    <col min="1798" max="1798" width="14" bestFit="1" customWidth="1"/>
    <col min="1799" max="1801" width="19.28515625" bestFit="1" customWidth="1"/>
    <col min="1802" max="1802" width="20.5703125" bestFit="1" customWidth="1"/>
    <col min="1803" max="1803" width="20.710937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140625" bestFit="1" customWidth="1"/>
    <col min="2042" max="2042" width="43.85546875" customWidth="1"/>
    <col min="2043" max="2043" width="19.85546875" bestFit="1" customWidth="1"/>
    <col min="2044" max="2044" width="17.140625" bestFit="1" customWidth="1"/>
    <col min="2045" max="2045" width="18.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140625" bestFit="1" customWidth="1"/>
    <col min="2052" max="2052" width="12.7109375" customWidth="1"/>
    <col min="2053" max="2053" width="13.7109375" customWidth="1"/>
    <col min="2054" max="2054" width="14" bestFit="1" customWidth="1"/>
    <col min="2055" max="2057" width="19.28515625" bestFit="1" customWidth="1"/>
    <col min="2058" max="2058" width="20.5703125" bestFit="1" customWidth="1"/>
    <col min="2059" max="2059" width="20.710937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140625" bestFit="1" customWidth="1"/>
    <col min="2298" max="2298" width="43.85546875" customWidth="1"/>
    <col min="2299" max="2299" width="19.85546875" bestFit="1" customWidth="1"/>
    <col min="2300" max="2300" width="17.140625" bestFit="1" customWidth="1"/>
    <col min="2301" max="2301" width="18.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140625" bestFit="1" customWidth="1"/>
    <col min="2308" max="2308" width="12.7109375" customWidth="1"/>
    <col min="2309" max="2309" width="13.7109375" customWidth="1"/>
    <col min="2310" max="2310" width="14" bestFit="1" customWidth="1"/>
    <col min="2311" max="2313" width="19.28515625" bestFit="1" customWidth="1"/>
    <col min="2314" max="2314" width="20.5703125" bestFit="1" customWidth="1"/>
    <col min="2315" max="2315" width="20.710937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140625" bestFit="1" customWidth="1"/>
    <col min="2554" max="2554" width="43.85546875" customWidth="1"/>
    <col min="2555" max="2555" width="19.85546875" bestFit="1" customWidth="1"/>
    <col min="2556" max="2556" width="17.140625" bestFit="1" customWidth="1"/>
    <col min="2557" max="2557" width="18.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140625" bestFit="1" customWidth="1"/>
    <col min="2564" max="2564" width="12.7109375" customWidth="1"/>
    <col min="2565" max="2565" width="13.7109375" customWidth="1"/>
    <col min="2566" max="2566" width="14" bestFit="1" customWidth="1"/>
    <col min="2567" max="2569" width="19.28515625" bestFit="1" customWidth="1"/>
    <col min="2570" max="2570" width="20.5703125" bestFit="1" customWidth="1"/>
    <col min="2571" max="2571" width="20.710937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140625" bestFit="1" customWidth="1"/>
    <col min="2810" max="2810" width="43.85546875" customWidth="1"/>
    <col min="2811" max="2811" width="19.85546875" bestFit="1" customWidth="1"/>
    <col min="2812" max="2812" width="17.140625" bestFit="1" customWidth="1"/>
    <col min="2813" max="2813" width="18.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140625" bestFit="1" customWidth="1"/>
    <col min="2820" max="2820" width="12.7109375" customWidth="1"/>
    <col min="2821" max="2821" width="13.7109375" customWidth="1"/>
    <col min="2822" max="2822" width="14" bestFit="1" customWidth="1"/>
    <col min="2823" max="2825" width="19.28515625" bestFit="1" customWidth="1"/>
    <col min="2826" max="2826" width="20.5703125" bestFit="1" customWidth="1"/>
    <col min="2827" max="2827" width="20.710937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140625" bestFit="1" customWidth="1"/>
    <col min="3066" max="3066" width="43.85546875" customWidth="1"/>
    <col min="3067" max="3067" width="19.85546875" bestFit="1" customWidth="1"/>
    <col min="3068" max="3068" width="17.140625" bestFit="1" customWidth="1"/>
    <col min="3069" max="3069" width="18.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140625" bestFit="1" customWidth="1"/>
    <col min="3076" max="3076" width="12.7109375" customWidth="1"/>
    <col min="3077" max="3077" width="13.7109375" customWidth="1"/>
    <col min="3078" max="3078" width="14" bestFit="1" customWidth="1"/>
    <col min="3079" max="3081" width="19.28515625" bestFit="1" customWidth="1"/>
    <col min="3082" max="3082" width="20.5703125" bestFit="1" customWidth="1"/>
    <col min="3083" max="3083" width="20.710937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140625" bestFit="1" customWidth="1"/>
    <col min="3322" max="3322" width="43.85546875" customWidth="1"/>
    <col min="3323" max="3323" width="19.85546875" bestFit="1" customWidth="1"/>
    <col min="3324" max="3324" width="17.140625" bestFit="1" customWidth="1"/>
    <col min="3325" max="3325" width="18.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140625" bestFit="1" customWidth="1"/>
    <col min="3332" max="3332" width="12.7109375" customWidth="1"/>
    <col min="3333" max="3333" width="13.7109375" customWidth="1"/>
    <col min="3334" max="3334" width="14" bestFit="1" customWidth="1"/>
    <col min="3335" max="3337" width="19.28515625" bestFit="1" customWidth="1"/>
    <col min="3338" max="3338" width="20.5703125" bestFit="1" customWidth="1"/>
    <col min="3339" max="3339" width="20.710937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140625" bestFit="1" customWidth="1"/>
    <col min="3578" max="3578" width="43.85546875" customWidth="1"/>
    <col min="3579" max="3579" width="19.85546875" bestFit="1" customWidth="1"/>
    <col min="3580" max="3580" width="17.140625" bestFit="1" customWidth="1"/>
    <col min="3581" max="3581" width="18.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140625" bestFit="1" customWidth="1"/>
    <col min="3588" max="3588" width="12.7109375" customWidth="1"/>
    <col min="3589" max="3589" width="13.7109375" customWidth="1"/>
    <col min="3590" max="3590" width="14" bestFit="1" customWidth="1"/>
    <col min="3591" max="3593" width="19.28515625" bestFit="1" customWidth="1"/>
    <col min="3594" max="3594" width="20.5703125" bestFit="1" customWidth="1"/>
    <col min="3595" max="3595" width="20.710937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140625" bestFit="1" customWidth="1"/>
    <col min="3834" max="3834" width="43.85546875" customWidth="1"/>
    <col min="3835" max="3835" width="19.85546875" bestFit="1" customWidth="1"/>
    <col min="3836" max="3836" width="17.140625" bestFit="1" customWidth="1"/>
    <col min="3837" max="3837" width="18.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140625" bestFit="1" customWidth="1"/>
    <col min="3844" max="3844" width="12.7109375" customWidth="1"/>
    <col min="3845" max="3845" width="13.7109375" customWidth="1"/>
    <col min="3846" max="3846" width="14" bestFit="1" customWidth="1"/>
    <col min="3847" max="3849" width="19.28515625" bestFit="1" customWidth="1"/>
    <col min="3850" max="3850" width="20.5703125" bestFit="1" customWidth="1"/>
    <col min="3851" max="3851" width="20.710937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140625" bestFit="1" customWidth="1"/>
    <col min="4090" max="4090" width="43.85546875" customWidth="1"/>
    <col min="4091" max="4091" width="19.85546875" bestFit="1" customWidth="1"/>
    <col min="4092" max="4092" width="17.140625" bestFit="1" customWidth="1"/>
    <col min="4093" max="4093" width="18.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140625" bestFit="1" customWidth="1"/>
    <col min="4100" max="4100" width="12.7109375" customWidth="1"/>
    <col min="4101" max="4101" width="13.7109375" customWidth="1"/>
    <col min="4102" max="4102" width="14" bestFit="1" customWidth="1"/>
    <col min="4103" max="4105" width="19.28515625" bestFit="1" customWidth="1"/>
    <col min="4106" max="4106" width="20.5703125" bestFit="1" customWidth="1"/>
    <col min="4107" max="4107" width="20.710937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140625" bestFit="1" customWidth="1"/>
    <col min="4346" max="4346" width="43.85546875" customWidth="1"/>
    <col min="4347" max="4347" width="19.85546875" bestFit="1" customWidth="1"/>
    <col min="4348" max="4348" width="17.140625" bestFit="1" customWidth="1"/>
    <col min="4349" max="4349" width="18.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140625" bestFit="1" customWidth="1"/>
    <col min="4356" max="4356" width="12.7109375" customWidth="1"/>
    <col min="4357" max="4357" width="13.7109375" customWidth="1"/>
    <col min="4358" max="4358" width="14" bestFit="1" customWidth="1"/>
    <col min="4359" max="4361" width="19.28515625" bestFit="1" customWidth="1"/>
    <col min="4362" max="4362" width="20.5703125" bestFit="1" customWidth="1"/>
    <col min="4363" max="4363" width="20.710937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140625" bestFit="1" customWidth="1"/>
    <col min="4602" max="4602" width="43.85546875" customWidth="1"/>
    <col min="4603" max="4603" width="19.85546875" bestFit="1" customWidth="1"/>
    <col min="4604" max="4604" width="17.140625" bestFit="1" customWidth="1"/>
    <col min="4605" max="4605" width="18.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140625" bestFit="1" customWidth="1"/>
    <col min="4612" max="4612" width="12.7109375" customWidth="1"/>
    <col min="4613" max="4613" width="13.7109375" customWidth="1"/>
    <col min="4614" max="4614" width="14" bestFit="1" customWidth="1"/>
    <col min="4615" max="4617" width="19.28515625" bestFit="1" customWidth="1"/>
    <col min="4618" max="4618" width="20.5703125" bestFit="1" customWidth="1"/>
    <col min="4619" max="4619" width="20.710937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140625" bestFit="1" customWidth="1"/>
    <col min="4858" max="4858" width="43.85546875" customWidth="1"/>
    <col min="4859" max="4859" width="19.85546875" bestFit="1" customWidth="1"/>
    <col min="4860" max="4860" width="17.140625" bestFit="1" customWidth="1"/>
    <col min="4861" max="4861" width="18.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140625" bestFit="1" customWidth="1"/>
    <col min="4868" max="4868" width="12.7109375" customWidth="1"/>
    <col min="4869" max="4869" width="13.7109375" customWidth="1"/>
    <col min="4870" max="4870" width="14" bestFit="1" customWidth="1"/>
    <col min="4871" max="4873" width="19.28515625" bestFit="1" customWidth="1"/>
    <col min="4874" max="4874" width="20.5703125" bestFit="1" customWidth="1"/>
    <col min="4875" max="4875" width="20.710937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140625" bestFit="1" customWidth="1"/>
    <col min="5114" max="5114" width="43.85546875" customWidth="1"/>
    <col min="5115" max="5115" width="19.85546875" bestFit="1" customWidth="1"/>
    <col min="5116" max="5116" width="17.140625" bestFit="1" customWidth="1"/>
    <col min="5117" max="5117" width="18.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140625" bestFit="1" customWidth="1"/>
    <col min="5124" max="5124" width="12.7109375" customWidth="1"/>
    <col min="5125" max="5125" width="13.7109375" customWidth="1"/>
    <col min="5126" max="5126" width="14" bestFit="1" customWidth="1"/>
    <col min="5127" max="5129" width="19.28515625" bestFit="1" customWidth="1"/>
    <col min="5130" max="5130" width="20.5703125" bestFit="1" customWidth="1"/>
    <col min="5131" max="5131" width="20.710937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140625" bestFit="1" customWidth="1"/>
    <col min="5370" max="5370" width="43.85546875" customWidth="1"/>
    <col min="5371" max="5371" width="19.85546875" bestFit="1" customWidth="1"/>
    <col min="5372" max="5372" width="17.140625" bestFit="1" customWidth="1"/>
    <col min="5373" max="5373" width="18.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140625" bestFit="1" customWidth="1"/>
    <col min="5380" max="5380" width="12.7109375" customWidth="1"/>
    <col min="5381" max="5381" width="13.7109375" customWidth="1"/>
    <col min="5382" max="5382" width="14" bestFit="1" customWidth="1"/>
    <col min="5383" max="5385" width="19.28515625" bestFit="1" customWidth="1"/>
    <col min="5386" max="5386" width="20.5703125" bestFit="1" customWidth="1"/>
    <col min="5387" max="5387" width="20.710937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140625" bestFit="1" customWidth="1"/>
    <col min="5626" max="5626" width="43.85546875" customWidth="1"/>
    <col min="5627" max="5627" width="19.85546875" bestFit="1" customWidth="1"/>
    <col min="5628" max="5628" width="17.140625" bestFit="1" customWidth="1"/>
    <col min="5629" max="5629" width="18.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140625" bestFit="1" customWidth="1"/>
    <col min="5636" max="5636" width="12.7109375" customWidth="1"/>
    <col min="5637" max="5637" width="13.7109375" customWidth="1"/>
    <col min="5638" max="5638" width="14" bestFit="1" customWidth="1"/>
    <col min="5639" max="5641" width="19.28515625" bestFit="1" customWidth="1"/>
    <col min="5642" max="5642" width="20.5703125" bestFit="1" customWidth="1"/>
    <col min="5643" max="5643" width="20.710937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140625" bestFit="1" customWidth="1"/>
    <col min="5882" max="5882" width="43.85546875" customWidth="1"/>
    <col min="5883" max="5883" width="19.85546875" bestFit="1" customWidth="1"/>
    <col min="5884" max="5884" width="17.140625" bestFit="1" customWidth="1"/>
    <col min="5885" max="5885" width="18.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140625" bestFit="1" customWidth="1"/>
    <col min="5892" max="5892" width="12.7109375" customWidth="1"/>
    <col min="5893" max="5893" width="13.7109375" customWidth="1"/>
    <col min="5894" max="5894" width="14" bestFit="1" customWidth="1"/>
    <col min="5895" max="5897" width="19.28515625" bestFit="1" customWidth="1"/>
    <col min="5898" max="5898" width="20.5703125" bestFit="1" customWidth="1"/>
    <col min="5899" max="5899" width="20.710937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140625" bestFit="1" customWidth="1"/>
    <col min="6138" max="6138" width="43.85546875" customWidth="1"/>
    <col min="6139" max="6139" width="19.85546875" bestFit="1" customWidth="1"/>
    <col min="6140" max="6140" width="17.140625" bestFit="1" customWidth="1"/>
    <col min="6141" max="6141" width="18.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140625" bestFit="1" customWidth="1"/>
    <col min="6148" max="6148" width="12.7109375" customWidth="1"/>
    <col min="6149" max="6149" width="13.7109375" customWidth="1"/>
    <col min="6150" max="6150" width="14" bestFit="1" customWidth="1"/>
    <col min="6151" max="6153" width="19.28515625" bestFit="1" customWidth="1"/>
    <col min="6154" max="6154" width="20.5703125" bestFit="1" customWidth="1"/>
    <col min="6155" max="6155" width="20.710937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140625" bestFit="1" customWidth="1"/>
    <col min="6394" max="6394" width="43.85546875" customWidth="1"/>
    <col min="6395" max="6395" width="19.85546875" bestFit="1" customWidth="1"/>
    <col min="6396" max="6396" width="17.140625" bestFit="1" customWidth="1"/>
    <col min="6397" max="6397" width="18.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140625" bestFit="1" customWidth="1"/>
    <col min="6404" max="6404" width="12.7109375" customWidth="1"/>
    <col min="6405" max="6405" width="13.7109375" customWidth="1"/>
    <col min="6406" max="6406" width="14" bestFit="1" customWidth="1"/>
    <col min="6407" max="6409" width="19.28515625" bestFit="1" customWidth="1"/>
    <col min="6410" max="6410" width="20.5703125" bestFit="1" customWidth="1"/>
    <col min="6411" max="6411" width="20.710937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140625" bestFit="1" customWidth="1"/>
    <col min="6650" max="6650" width="43.85546875" customWidth="1"/>
    <col min="6651" max="6651" width="19.85546875" bestFit="1" customWidth="1"/>
    <col min="6652" max="6652" width="17.140625" bestFit="1" customWidth="1"/>
    <col min="6653" max="6653" width="18.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140625" bestFit="1" customWidth="1"/>
    <col min="6660" max="6660" width="12.7109375" customWidth="1"/>
    <col min="6661" max="6661" width="13.7109375" customWidth="1"/>
    <col min="6662" max="6662" width="14" bestFit="1" customWidth="1"/>
    <col min="6663" max="6665" width="19.28515625" bestFit="1" customWidth="1"/>
    <col min="6666" max="6666" width="20.5703125" bestFit="1" customWidth="1"/>
    <col min="6667" max="6667" width="20.710937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140625" bestFit="1" customWidth="1"/>
    <col min="6906" max="6906" width="43.85546875" customWidth="1"/>
    <col min="6907" max="6907" width="19.85546875" bestFit="1" customWidth="1"/>
    <col min="6908" max="6908" width="17.140625" bestFit="1" customWidth="1"/>
    <col min="6909" max="6909" width="18.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140625" bestFit="1" customWidth="1"/>
    <col min="6916" max="6916" width="12.7109375" customWidth="1"/>
    <col min="6917" max="6917" width="13.7109375" customWidth="1"/>
    <col min="6918" max="6918" width="14" bestFit="1" customWidth="1"/>
    <col min="6919" max="6921" width="19.28515625" bestFit="1" customWidth="1"/>
    <col min="6922" max="6922" width="20.5703125" bestFit="1" customWidth="1"/>
    <col min="6923" max="6923" width="20.710937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140625" bestFit="1" customWidth="1"/>
    <col min="7162" max="7162" width="43.85546875" customWidth="1"/>
    <col min="7163" max="7163" width="19.85546875" bestFit="1" customWidth="1"/>
    <col min="7164" max="7164" width="17.140625" bestFit="1" customWidth="1"/>
    <col min="7165" max="7165" width="18.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140625" bestFit="1" customWidth="1"/>
    <col min="7172" max="7172" width="12.7109375" customWidth="1"/>
    <col min="7173" max="7173" width="13.7109375" customWidth="1"/>
    <col min="7174" max="7174" width="14" bestFit="1" customWidth="1"/>
    <col min="7175" max="7177" width="19.28515625" bestFit="1" customWidth="1"/>
    <col min="7178" max="7178" width="20.5703125" bestFit="1" customWidth="1"/>
    <col min="7179" max="7179" width="20.710937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140625" bestFit="1" customWidth="1"/>
    <col min="7418" max="7418" width="43.85546875" customWidth="1"/>
    <col min="7419" max="7419" width="19.85546875" bestFit="1" customWidth="1"/>
    <col min="7420" max="7420" width="17.140625" bestFit="1" customWidth="1"/>
    <col min="7421" max="7421" width="18.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140625" bestFit="1" customWidth="1"/>
    <col min="7428" max="7428" width="12.7109375" customWidth="1"/>
    <col min="7429" max="7429" width="13.7109375" customWidth="1"/>
    <col min="7430" max="7430" width="14" bestFit="1" customWidth="1"/>
    <col min="7431" max="7433" width="19.28515625" bestFit="1" customWidth="1"/>
    <col min="7434" max="7434" width="20.5703125" bestFit="1" customWidth="1"/>
    <col min="7435" max="7435" width="20.710937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140625" bestFit="1" customWidth="1"/>
    <col min="7674" max="7674" width="43.85546875" customWidth="1"/>
    <col min="7675" max="7675" width="19.85546875" bestFit="1" customWidth="1"/>
    <col min="7676" max="7676" width="17.140625" bestFit="1" customWidth="1"/>
    <col min="7677" max="7677" width="18.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140625" bestFit="1" customWidth="1"/>
    <col min="7684" max="7684" width="12.7109375" customWidth="1"/>
    <col min="7685" max="7685" width="13.7109375" customWidth="1"/>
    <col min="7686" max="7686" width="14" bestFit="1" customWidth="1"/>
    <col min="7687" max="7689" width="19.28515625" bestFit="1" customWidth="1"/>
    <col min="7690" max="7690" width="20.5703125" bestFit="1" customWidth="1"/>
    <col min="7691" max="7691" width="20.710937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140625" bestFit="1" customWidth="1"/>
    <col min="7930" max="7930" width="43.85546875" customWidth="1"/>
    <col min="7931" max="7931" width="19.85546875" bestFit="1" customWidth="1"/>
    <col min="7932" max="7932" width="17.140625" bestFit="1" customWidth="1"/>
    <col min="7933" max="7933" width="18.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140625" bestFit="1" customWidth="1"/>
    <col min="7940" max="7940" width="12.7109375" customWidth="1"/>
    <col min="7941" max="7941" width="13.7109375" customWidth="1"/>
    <col min="7942" max="7942" width="14" bestFit="1" customWidth="1"/>
    <col min="7943" max="7945" width="19.28515625" bestFit="1" customWidth="1"/>
    <col min="7946" max="7946" width="20.5703125" bestFit="1" customWidth="1"/>
    <col min="7947" max="7947" width="20.710937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140625" bestFit="1" customWidth="1"/>
    <col min="8186" max="8186" width="43.85546875" customWidth="1"/>
    <col min="8187" max="8187" width="19.85546875" bestFit="1" customWidth="1"/>
    <col min="8188" max="8188" width="17.140625" bestFit="1" customWidth="1"/>
    <col min="8189" max="8189" width="18.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140625" bestFit="1" customWidth="1"/>
    <col min="8196" max="8196" width="12.7109375" customWidth="1"/>
    <col min="8197" max="8197" width="13.7109375" customWidth="1"/>
    <col min="8198" max="8198" width="14" bestFit="1" customWidth="1"/>
    <col min="8199" max="8201" width="19.28515625" bestFit="1" customWidth="1"/>
    <col min="8202" max="8202" width="20.5703125" bestFit="1" customWidth="1"/>
    <col min="8203" max="8203" width="20.710937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140625" bestFit="1" customWidth="1"/>
    <col min="8442" max="8442" width="43.85546875" customWidth="1"/>
    <col min="8443" max="8443" width="19.85546875" bestFit="1" customWidth="1"/>
    <col min="8444" max="8444" width="17.140625" bestFit="1" customWidth="1"/>
    <col min="8445" max="8445" width="18.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140625" bestFit="1" customWidth="1"/>
    <col min="8452" max="8452" width="12.7109375" customWidth="1"/>
    <col min="8453" max="8453" width="13.7109375" customWidth="1"/>
    <col min="8454" max="8454" width="14" bestFit="1" customWidth="1"/>
    <col min="8455" max="8457" width="19.28515625" bestFit="1" customWidth="1"/>
    <col min="8458" max="8458" width="20.5703125" bestFit="1" customWidth="1"/>
    <col min="8459" max="8459" width="20.710937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140625" bestFit="1" customWidth="1"/>
    <col min="8698" max="8698" width="43.85546875" customWidth="1"/>
    <col min="8699" max="8699" width="19.85546875" bestFit="1" customWidth="1"/>
    <col min="8700" max="8700" width="17.140625" bestFit="1" customWidth="1"/>
    <col min="8701" max="8701" width="18.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140625" bestFit="1" customWidth="1"/>
    <col min="8708" max="8708" width="12.7109375" customWidth="1"/>
    <col min="8709" max="8709" width="13.7109375" customWidth="1"/>
    <col min="8710" max="8710" width="14" bestFit="1" customWidth="1"/>
    <col min="8711" max="8713" width="19.28515625" bestFit="1" customWidth="1"/>
    <col min="8714" max="8714" width="20.5703125" bestFit="1" customWidth="1"/>
    <col min="8715" max="8715" width="20.710937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140625" bestFit="1" customWidth="1"/>
    <col min="8954" max="8954" width="43.85546875" customWidth="1"/>
    <col min="8955" max="8955" width="19.85546875" bestFit="1" customWidth="1"/>
    <col min="8956" max="8956" width="17.140625" bestFit="1" customWidth="1"/>
    <col min="8957" max="8957" width="18.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140625" bestFit="1" customWidth="1"/>
    <col min="8964" max="8964" width="12.7109375" customWidth="1"/>
    <col min="8965" max="8965" width="13.7109375" customWidth="1"/>
    <col min="8966" max="8966" width="14" bestFit="1" customWidth="1"/>
    <col min="8967" max="8969" width="19.28515625" bestFit="1" customWidth="1"/>
    <col min="8970" max="8970" width="20.5703125" bestFit="1" customWidth="1"/>
    <col min="8971" max="8971" width="20.710937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140625" bestFit="1" customWidth="1"/>
    <col min="9210" max="9210" width="43.85546875" customWidth="1"/>
    <col min="9211" max="9211" width="19.85546875" bestFit="1" customWidth="1"/>
    <col min="9212" max="9212" width="17.140625" bestFit="1" customWidth="1"/>
    <col min="9213" max="9213" width="18.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140625" bestFit="1" customWidth="1"/>
    <col min="9220" max="9220" width="12.7109375" customWidth="1"/>
    <col min="9221" max="9221" width="13.7109375" customWidth="1"/>
    <col min="9222" max="9222" width="14" bestFit="1" customWidth="1"/>
    <col min="9223" max="9225" width="19.28515625" bestFit="1" customWidth="1"/>
    <col min="9226" max="9226" width="20.5703125" bestFit="1" customWidth="1"/>
    <col min="9227" max="9227" width="20.710937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140625" bestFit="1" customWidth="1"/>
    <col min="9466" max="9466" width="43.85546875" customWidth="1"/>
    <col min="9467" max="9467" width="19.85546875" bestFit="1" customWidth="1"/>
    <col min="9468" max="9468" width="17.140625" bestFit="1" customWidth="1"/>
    <col min="9469" max="9469" width="18.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140625" bestFit="1" customWidth="1"/>
    <col min="9476" max="9476" width="12.7109375" customWidth="1"/>
    <col min="9477" max="9477" width="13.7109375" customWidth="1"/>
    <col min="9478" max="9478" width="14" bestFit="1" customWidth="1"/>
    <col min="9479" max="9481" width="19.28515625" bestFit="1" customWidth="1"/>
    <col min="9482" max="9482" width="20.5703125" bestFit="1" customWidth="1"/>
    <col min="9483" max="9483" width="20.710937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140625" bestFit="1" customWidth="1"/>
    <col min="9722" max="9722" width="43.85546875" customWidth="1"/>
    <col min="9723" max="9723" width="19.85546875" bestFit="1" customWidth="1"/>
    <col min="9724" max="9724" width="17.140625" bestFit="1" customWidth="1"/>
    <col min="9725" max="9725" width="18.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140625" bestFit="1" customWidth="1"/>
    <col min="9732" max="9732" width="12.7109375" customWidth="1"/>
    <col min="9733" max="9733" width="13.7109375" customWidth="1"/>
    <col min="9734" max="9734" width="14" bestFit="1" customWidth="1"/>
    <col min="9735" max="9737" width="19.28515625" bestFit="1" customWidth="1"/>
    <col min="9738" max="9738" width="20.5703125" bestFit="1" customWidth="1"/>
    <col min="9739" max="9739" width="20.710937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140625" bestFit="1" customWidth="1"/>
    <col min="9978" max="9978" width="43.85546875" customWidth="1"/>
    <col min="9979" max="9979" width="19.85546875" bestFit="1" customWidth="1"/>
    <col min="9980" max="9980" width="17.140625" bestFit="1" customWidth="1"/>
    <col min="9981" max="9981" width="18.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140625" bestFit="1" customWidth="1"/>
    <col min="9988" max="9988" width="12.7109375" customWidth="1"/>
    <col min="9989" max="9989" width="13.7109375" customWidth="1"/>
    <col min="9990" max="9990" width="14" bestFit="1" customWidth="1"/>
    <col min="9991" max="9993" width="19.28515625" bestFit="1" customWidth="1"/>
    <col min="9994" max="9994" width="20.5703125" bestFit="1" customWidth="1"/>
    <col min="9995" max="9995" width="20.710937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140625" bestFit="1" customWidth="1"/>
    <col min="10234" max="10234" width="43.85546875" customWidth="1"/>
    <col min="10235" max="10235" width="19.85546875" bestFit="1" customWidth="1"/>
    <col min="10236" max="10236" width="17.140625" bestFit="1" customWidth="1"/>
    <col min="10237" max="10237" width="18.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140625" bestFit="1" customWidth="1"/>
    <col min="10244" max="10244" width="12.7109375" customWidth="1"/>
    <col min="10245" max="10245" width="13.7109375" customWidth="1"/>
    <col min="10246" max="10246" width="14" bestFit="1" customWidth="1"/>
    <col min="10247" max="10249" width="19.28515625" bestFit="1" customWidth="1"/>
    <col min="10250" max="10250" width="20.5703125" bestFit="1" customWidth="1"/>
    <col min="10251" max="10251" width="20.710937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140625" bestFit="1" customWidth="1"/>
    <col min="10490" max="10490" width="43.85546875" customWidth="1"/>
    <col min="10491" max="10491" width="19.85546875" bestFit="1" customWidth="1"/>
    <col min="10492" max="10492" width="17.140625" bestFit="1" customWidth="1"/>
    <col min="10493" max="10493" width="18.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140625" bestFit="1" customWidth="1"/>
    <col min="10500" max="10500" width="12.7109375" customWidth="1"/>
    <col min="10501" max="10501" width="13.7109375" customWidth="1"/>
    <col min="10502" max="10502" width="14" bestFit="1" customWidth="1"/>
    <col min="10503" max="10505" width="19.28515625" bestFit="1" customWidth="1"/>
    <col min="10506" max="10506" width="20.5703125" bestFit="1" customWidth="1"/>
    <col min="10507" max="10507" width="20.710937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140625" bestFit="1" customWidth="1"/>
    <col min="10746" max="10746" width="43.85546875" customWidth="1"/>
    <col min="10747" max="10747" width="19.85546875" bestFit="1" customWidth="1"/>
    <col min="10748" max="10748" width="17.140625" bestFit="1" customWidth="1"/>
    <col min="10749" max="10749" width="18.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140625" bestFit="1" customWidth="1"/>
    <col min="10756" max="10756" width="12.7109375" customWidth="1"/>
    <col min="10757" max="10757" width="13.7109375" customWidth="1"/>
    <col min="10758" max="10758" width="14" bestFit="1" customWidth="1"/>
    <col min="10759" max="10761" width="19.28515625" bestFit="1" customWidth="1"/>
    <col min="10762" max="10762" width="20.5703125" bestFit="1" customWidth="1"/>
    <col min="10763" max="10763" width="20.710937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140625" bestFit="1" customWidth="1"/>
    <col min="11002" max="11002" width="43.85546875" customWidth="1"/>
    <col min="11003" max="11003" width="19.85546875" bestFit="1" customWidth="1"/>
    <col min="11004" max="11004" width="17.140625" bestFit="1" customWidth="1"/>
    <col min="11005" max="11005" width="18.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140625" bestFit="1" customWidth="1"/>
    <col min="11012" max="11012" width="12.7109375" customWidth="1"/>
    <col min="11013" max="11013" width="13.7109375" customWidth="1"/>
    <col min="11014" max="11014" width="14" bestFit="1" customWidth="1"/>
    <col min="11015" max="11017" width="19.28515625" bestFit="1" customWidth="1"/>
    <col min="11018" max="11018" width="20.5703125" bestFit="1" customWidth="1"/>
    <col min="11019" max="11019" width="20.710937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140625" bestFit="1" customWidth="1"/>
    <col min="11258" max="11258" width="43.85546875" customWidth="1"/>
    <col min="11259" max="11259" width="19.85546875" bestFit="1" customWidth="1"/>
    <col min="11260" max="11260" width="17.140625" bestFit="1" customWidth="1"/>
    <col min="11261" max="11261" width="18.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140625" bestFit="1" customWidth="1"/>
    <col min="11268" max="11268" width="12.7109375" customWidth="1"/>
    <col min="11269" max="11269" width="13.7109375" customWidth="1"/>
    <col min="11270" max="11270" width="14" bestFit="1" customWidth="1"/>
    <col min="11271" max="11273" width="19.28515625" bestFit="1" customWidth="1"/>
    <col min="11274" max="11274" width="20.5703125" bestFit="1" customWidth="1"/>
    <col min="11275" max="11275" width="20.710937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140625" bestFit="1" customWidth="1"/>
    <col min="11514" max="11514" width="43.85546875" customWidth="1"/>
    <col min="11515" max="11515" width="19.85546875" bestFit="1" customWidth="1"/>
    <col min="11516" max="11516" width="17.140625" bestFit="1" customWidth="1"/>
    <col min="11517" max="11517" width="18.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140625" bestFit="1" customWidth="1"/>
    <col min="11524" max="11524" width="12.7109375" customWidth="1"/>
    <col min="11525" max="11525" width="13.7109375" customWidth="1"/>
    <col min="11526" max="11526" width="14" bestFit="1" customWidth="1"/>
    <col min="11527" max="11529" width="19.28515625" bestFit="1" customWidth="1"/>
    <col min="11530" max="11530" width="20.5703125" bestFit="1" customWidth="1"/>
    <col min="11531" max="11531" width="20.710937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140625" bestFit="1" customWidth="1"/>
    <col min="11770" max="11770" width="43.85546875" customWidth="1"/>
    <col min="11771" max="11771" width="19.85546875" bestFit="1" customWidth="1"/>
    <col min="11772" max="11772" width="17.140625" bestFit="1" customWidth="1"/>
    <col min="11773" max="11773" width="18.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140625" bestFit="1" customWidth="1"/>
    <col min="11780" max="11780" width="12.7109375" customWidth="1"/>
    <col min="11781" max="11781" width="13.7109375" customWidth="1"/>
    <col min="11782" max="11782" width="14" bestFit="1" customWidth="1"/>
    <col min="11783" max="11785" width="19.28515625" bestFit="1" customWidth="1"/>
    <col min="11786" max="11786" width="20.5703125" bestFit="1" customWidth="1"/>
    <col min="11787" max="11787" width="20.710937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140625" bestFit="1" customWidth="1"/>
    <col min="12026" max="12026" width="43.85546875" customWidth="1"/>
    <col min="12027" max="12027" width="19.85546875" bestFit="1" customWidth="1"/>
    <col min="12028" max="12028" width="17.140625" bestFit="1" customWidth="1"/>
    <col min="12029" max="12029" width="18.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140625" bestFit="1" customWidth="1"/>
    <col min="12036" max="12036" width="12.7109375" customWidth="1"/>
    <col min="12037" max="12037" width="13.7109375" customWidth="1"/>
    <col min="12038" max="12038" width="14" bestFit="1" customWidth="1"/>
    <col min="12039" max="12041" width="19.28515625" bestFit="1" customWidth="1"/>
    <col min="12042" max="12042" width="20.5703125" bestFit="1" customWidth="1"/>
    <col min="12043" max="12043" width="20.710937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140625" bestFit="1" customWidth="1"/>
    <col min="12282" max="12282" width="43.85546875" customWidth="1"/>
    <col min="12283" max="12283" width="19.85546875" bestFit="1" customWidth="1"/>
    <col min="12284" max="12284" width="17.140625" bestFit="1" customWidth="1"/>
    <col min="12285" max="12285" width="18.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140625" bestFit="1" customWidth="1"/>
    <col min="12292" max="12292" width="12.7109375" customWidth="1"/>
    <col min="12293" max="12293" width="13.7109375" customWidth="1"/>
    <col min="12294" max="12294" width="14" bestFit="1" customWidth="1"/>
    <col min="12295" max="12297" width="19.28515625" bestFit="1" customWidth="1"/>
    <col min="12298" max="12298" width="20.5703125" bestFit="1" customWidth="1"/>
    <col min="12299" max="12299" width="20.710937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140625" bestFit="1" customWidth="1"/>
    <col min="12538" max="12538" width="43.85546875" customWidth="1"/>
    <col min="12539" max="12539" width="19.85546875" bestFit="1" customWidth="1"/>
    <col min="12540" max="12540" width="17.140625" bestFit="1" customWidth="1"/>
    <col min="12541" max="12541" width="18.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140625" bestFit="1" customWidth="1"/>
    <col min="12548" max="12548" width="12.7109375" customWidth="1"/>
    <col min="12549" max="12549" width="13.7109375" customWidth="1"/>
    <col min="12550" max="12550" width="14" bestFit="1" customWidth="1"/>
    <col min="12551" max="12553" width="19.28515625" bestFit="1" customWidth="1"/>
    <col min="12554" max="12554" width="20.5703125" bestFit="1" customWidth="1"/>
    <col min="12555" max="12555" width="20.710937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140625" bestFit="1" customWidth="1"/>
    <col min="12794" max="12794" width="43.85546875" customWidth="1"/>
    <col min="12795" max="12795" width="19.85546875" bestFit="1" customWidth="1"/>
    <col min="12796" max="12796" width="17.140625" bestFit="1" customWidth="1"/>
    <col min="12797" max="12797" width="18.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140625" bestFit="1" customWidth="1"/>
    <col min="12804" max="12804" width="12.7109375" customWidth="1"/>
    <col min="12805" max="12805" width="13.7109375" customWidth="1"/>
    <col min="12806" max="12806" width="14" bestFit="1" customWidth="1"/>
    <col min="12807" max="12809" width="19.28515625" bestFit="1" customWidth="1"/>
    <col min="12810" max="12810" width="20.5703125" bestFit="1" customWidth="1"/>
    <col min="12811" max="12811" width="20.710937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140625" bestFit="1" customWidth="1"/>
    <col min="13050" max="13050" width="43.85546875" customWidth="1"/>
    <col min="13051" max="13051" width="19.85546875" bestFit="1" customWidth="1"/>
    <col min="13052" max="13052" width="17.140625" bestFit="1" customWidth="1"/>
    <col min="13053" max="13053" width="18.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140625" bestFit="1" customWidth="1"/>
    <col min="13060" max="13060" width="12.7109375" customWidth="1"/>
    <col min="13061" max="13061" width="13.7109375" customWidth="1"/>
    <col min="13062" max="13062" width="14" bestFit="1" customWidth="1"/>
    <col min="13063" max="13065" width="19.28515625" bestFit="1" customWidth="1"/>
    <col min="13066" max="13066" width="20.5703125" bestFit="1" customWidth="1"/>
    <col min="13067" max="13067" width="20.710937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140625" bestFit="1" customWidth="1"/>
    <col min="13306" max="13306" width="43.85546875" customWidth="1"/>
    <col min="13307" max="13307" width="19.85546875" bestFit="1" customWidth="1"/>
    <col min="13308" max="13308" width="17.140625" bestFit="1" customWidth="1"/>
    <col min="13309" max="13309" width="18.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140625" bestFit="1" customWidth="1"/>
    <col min="13316" max="13316" width="12.7109375" customWidth="1"/>
    <col min="13317" max="13317" width="13.7109375" customWidth="1"/>
    <col min="13318" max="13318" width="14" bestFit="1" customWidth="1"/>
    <col min="13319" max="13321" width="19.28515625" bestFit="1" customWidth="1"/>
    <col min="13322" max="13322" width="20.5703125" bestFit="1" customWidth="1"/>
    <col min="13323" max="13323" width="20.710937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140625" bestFit="1" customWidth="1"/>
    <col min="13562" max="13562" width="43.85546875" customWidth="1"/>
    <col min="13563" max="13563" width="19.85546875" bestFit="1" customWidth="1"/>
    <col min="13564" max="13564" width="17.140625" bestFit="1" customWidth="1"/>
    <col min="13565" max="13565" width="18.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140625" bestFit="1" customWidth="1"/>
    <col min="13572" max="13572" width="12.7109375" customWidth="1"/>
    <col min="13573" max="13573" width="13.7109375" customWidth="1"/>
    <col min="13574" max="13574" width="14" bestFit="1" customWidth="1"/>
    <col min="13575" max="13577" width="19.28515625" bestFit="1" customWidth="1"/>
    <col min="13578" max="13578" width="20.5703125" bestFit="1" customWidth="1"/>
    <col min="13579" max="13579" width="20.710937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140625" bestFit="1" customWidth="1"/>
    <col min="13818" max="13818" width="43.85546875" customWidth="1"/>
    <col min="13819" max="13819" width="19.85546875" bestFit="1" customWidth="1"/>
    <col min="13820" max="13820" width="17.140625" bestFit="1" customWidth="1"/>
    <col min="13821" max="13821" width="18.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140625" bestFit="1" customWidth="1"/>
    <col min="13828" max="13828" width="12.7109375" customWidth="1"/>
    <col min="13829" max="13829" width="13.7109375" customWidth="1"/>
    <col min="13830" max="13830" width="14" bestFit="1" customWidth="1"/>
    <col min="13831" max="13833" width="19.28515625" bestFit="1" customWidth="1"/>
    <col min="13834" max="13834" width="20.5703125" bestFit="1" customWidth="1"/>
    <col min="13835" max="13835" width="20.710937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140625" bestFit="1" customWidth="1"/>
    <col min="14074" max="14074" width="43.85546875" customWidth="1"/>
    <col min="14075" max="14075" width="19.85546875" bestFit="1" customWidth="1"/>
    <col min="14076" max="14076" width="17.140625" bestFit="1" customWidth="1"/>
    <col min="14077" max="14077" width="18.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140625" bestFit="1" customWidth="1"/>
    <col min="14084" max="14084" width="12.7109375" customWidth="1"/>
    <col min="14085" max="14085" width="13.7109375" customWidth="1"/>
    <col min="14086" max="14086" width="14" bestFit="1" customWidth="1"/>
    <col min="14087" max="14089" width="19.28515625" bestFit="1" customWidth="1"/>
    <col min="14090" max="14090" width="20.5703125" bestFit="1" customWidth="1"/>
    <col min="14091" max="14091" width="20.710937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140625" bestFit="1" customWidth="1"/>
    <col min="14330" max="14330" width="43.85546875" customWidth="1"/>
    <col min="14331" max="14331" width="19.85546875" bestFit="1" customWidth="1"/>
    <col min="14332" max="14332" width="17.140625" bestFit="1" customWidth="1"/>
    <col min="14333" max="14333" width="18.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140625" bestFit="1" customWidth="1"/>
    <col min="14340" max="14340" width="12.7109375" customWidth="1"/>
    <col min="14341" max="14341" width="13.7109375" customWidth="1"/>
    <col min="14342" max="14342" width="14" bestFit="1" customWidth="1"/>
    <col min="14343" max="14345" width="19.28515625" bestFit="1" customWidth="1"/>
    <col min="14346" max="14346" width="20.5703125" bestFit="1" customWidth="1"/>
    <col min="14347" max="14347" width="20.710937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140625" bestFit="1" customWidth="1"/>
    <col min="14586" max="14586" width="43.85546875" customWidth="1"/>
    <col min="14587" max="14587" width="19.85546875" bestFit="1" customWidth="1"/>
    <col min="14588" max="14588" width="17.140625" bestFit="1" customWidth="1"/>
    <col min="14589" max="14589" width="18.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140625" bestFit="1" customWidth="1"/>
    <col min="14596" max="14596" width="12.7109375" customWidth="1"/>
    <col min="14597" max="14597" width="13.7109375" customWidth="1"/>
    <col min="14598" max="14598" width="14" bestFit="1" customWidth="1"/>
    <col min="14599" max="14601" width="19.28515625" bestFit="1" customWidth="1"/>
    <col min="14602" max="14602" width="20.5703125" bestFit="1" customWidth="1"/>
    <col min="14603" max="14603" width="20.710937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140625" bestFit="1" customWidth="1"/>
    <col min="14842" max="14842" width="43.85546875" customWidth="1"/>
    <col min="14843" max="14843" width="19.85546875" bestFit="1" customWidth="1"/>
    <col min="14844" max="14844" width="17.140625" bestFit="1" customWidth="1"/>
    <col min="14845" max="14845" width="18.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140625" bestFit="1" customWidth="1"/>
    <col min="14852" max="14852" width="12.7109375" customWidth="1"/>
    <col min="14853" max="14853" width="13.7109375" customWidth="1"/>
    <col min="14854" max="14854" width="14" bestFit="1" customWidth="1"/>
    <col min="14855" max="14857" width="19.28515625" bestFit="1" customWidth="1"/>
    <col min="14858" max="14858" width="20.5703125" bestFit="1" customWidth="1"/>
    <col min="14859" max="14859" width="20.710937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140625" bestFit="1" customWidth="1"/>
    <col min="15098" max="15098" width="43.85546875" customWidth="1"/>
    <col min="15099" max="15099" width="19.85546875" bestFit="1" customWidth="1"/>
    <col min="15100" max="15100" width="17.140625" bestFit="1" customWidth="1"/>
    <col min="15101" max="15101" width="18.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140625" bestFit="1" customWidth="1"/>
    <col min="15108" max="15108" width="12.7109375" customWidth="1"/>
    <col min="15109" max="15109" width="13.7109375" customWidth="1"/>
    <col min="15110" max="15110" width="14" bestFit="1" customWidth="1"/>
    <col min="15111" max="15113" width="19.28515625" bestFit="1" customWidth="1"/>
    <col min="15114" max="15114" width="20.5703125" bestFit="1" customWidth="1"/>
    <col min="15115" max="15115" width="20.710937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140625" bestFit="1" customWidth="1"/>
    <col min="15354" max="15354" width="43.85546875" customWidth="1"/>
    <col min="15355" max="15355" width="19.85546875" bestFit="1" customWidth="1"/>
    <col min="15356" max="15356" width="17.140625" bestFit="1" customWidth="1"/>
    <col min="15357" max="15357" width="18.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140625" bestFit="1" customWidth="1"/>
    <col min="15364" max="15364" width="12.7109375" customWidth="1"/>
    <col min="15365" max="15365" width="13.7109375" customWidth="1"/>
    <col min="15366" max="15366" width="14" bestFit="1" customWidth="1"/>
    <col min="15367" max="15369" width="19.28515625" bestFit="1" customWidth="1"/>
    <col min="15370" max="15370" width="20.5703125" bestFit="1" customWidth="1"/>
    <col min="15371" max="15371" width="20.710937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140625" bestFit="1" customWidth="1"/>
    <col min="15610" max="15610" width="43.85546875" customWidth="1"/>
    <col min="15611" max="15611" width="19.85546875" bestFit="1" customWidth="1"/>
    <col min="15612" max="15612" width="17.140625" bestFit="1" customWidth="1"/>
    <col min="15613" max="15613" width="18.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140625" bestFit="1" customWidth="1"/>
    <col min="15620" max="15620" width="12.7109375" customWidth="1"/>
    <col min="15621" max="15621" width="13.7109375" customWidth="1"/>
    <col min="15622" max="15622" width="14" bestFit="1" customWidth="1"/>
    <col min="15623" max="15625" width="19.28515625" bestFit="1" customWidth="1"/>
    <col min="15626" max="15626" width="20.5703125" bestFit="1" customWidth="1"/>
    <col min="15627" max="15627" width="20.710937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140625" bestFit="1" customWidth="1"/>
    <col min="15866" max="15866" width="43.85546875" customWidth="1"/>
    <col min="15867" max="15867" width="19.85546875" bestFit="1" customWidth="1"/>
    <col min="15868" max="15868" width="17.140625" bestFit="1" customWidth="1"/>
    <col min="15869" max="15869" width="18.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140625" bestFit="1" customWidth="1"/>
    <col min="15876" max="15876" width="12.7109375" customWidth="1"/>
    <col min="15877" max="15877" width="13.7109375" customWidth="1"/>
    <col min="15878" max="15878" width="14" bestFit="1" customWidth="1"/>
    <col min="15879" max="15881" width="19.28515625" bestFit="1" customWidth="1"/>
    <col min="15882" max="15882" width="20.5703125" bestFit="1" customWidth="1"/>
    <col min="15883" max="15883" width="20.710937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140625" bestFit="1" customWidth="1"/>
    <col min="16122" max="16122" width="43.85546875" customWidth="1"/>
    <col min="16123" max="16123" width="19.85546875" bestFit="1" customWidth="1"/>
    <col min="16124" max="16124" width="17.140625" bestFit="1" customWidth="1"/>
    <col min="16125" max="16125" width="18.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140625" bestFit="1" customWidth="1"/>
    <col min="16132" max="16132" width="12.7109375" customWidth="1"/>
    <col min="16133" max="16133" width="13.7109375" customWidth="1"/>
    <col min="16134" max="16134" width="14" bestFit="1" customWidth="1"/>
    <col min="16135" max="16137" width="19.28515625" bestFit="1" customWidth="1"/>
    <col min="16138" max="16138" width="20.5703125" bestFit="1" customWidth="1"/>
    <col min="16139" max="16139" width="20.710937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5.5" customHeight="1" thickBot="1">
      <c r="C1" s="1401" t="s">
        <v>279</v>
      </c>
      <c r="D1" s="1361" t="s">
        <v>275</v>
      </c>
      <c r="E1" s="1401" t="s">
        <v>5</v>
      </c>
      <c r="F1" s="1401">
        <v>18230637</v>
      </c>
      <c r="G1" s="1401" t="s">
        <v>28</v>
      </c>
      <c r="J1" s="1361"/>
      <c r="K1" s="1361"/>
      <c r="L1" s="1361"/>
      <c r="M1" s="1401" t="s">
        <v>279</v>
      </c>
      <c r="N1" s="1361" t="s">
        <v>275</v>
      </c>
      <c r="O1" s="1401" t="s">
        <v>5</v>
      </c>
      <c r="P1" s="1401">
        <v>18230637</v>
      </c>
      <c r="Q1" s="1401" t="s">
        <v>28</v>
      </c>
      <c r="V1" s="1401" t="s">
        <v>279</v>
      </c>
      <c r="W1" s="1361" t="s">
        <v>275</v>
      </c>
      <c r="X1" s="1401" t="s">
        <v>5</v>
      </c>
      <c r="Y1" s="1401">
        <v>18230637</v>
      </c>
      <c r="Z1" s="1934" t="s">
        <v>28</v>
      </c>
    </row>
    <row r="2" spans="1:27" ht="16.5" thickBot="1">
      <c r="C2" s="44"/>
      <c r="D2" s="45"/>
      <c r="G2" s="1652"/>
      <c r="I2" s="1178" t="s">
        <v>627</v>
      </c>
      <c r="S2" s="3575"/>
      <c r="T2" s="3575"/>
      <c r="U2" s="3576" t="s">
        <v>33</v>
      </c>
      <c r="V2" s="3577"/>
      <c r="W2" s="3578"/>
      <c r="X2" s="3579" t="s">
        <v>34</v>
      </c>
      <c r="Z2"/>
      <c r="AA2" s="1907"/>
    </row>
    <row r="3" spans="1:27" ht="26.25" thickBot="1">
      <c r="A3" s="1400" t="s">
        <v>279</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c r="AA3" s="1907"/>
    </row>
    <row r="4" spans="1:27" ht="16.5" thickBot="1">
      <c r="A4" s="1357" t="s">
        <v>275</v>
      </c>
      <c r="B4" s="1400"/>
      <c r="C4" s="44"/>
      <c r="G4" s="1652"/>
      <c r="H4" s="2946" t="s">
        <v>1726</v>
      </c>
      <c r="I4" s="2959">
        <f>D15</f>
        <v>30815.22</v>
      </c>
      <c r="J4" s="2960">
        <f>D20</f>
        <v>12006</v>
      </c>
      <c r="K4" s="2960">
        <f>D26</f>
        <v>28561.753740000004</v>
      </c>
      <c r="L4" s="2960">
        <f>D36</f>
        <v>41178.94</v>
      </c>
      <c r="M4" s="2960">
        <f>D42</f>
        <v>2500</v>
      </c>
      <c r="N4" s="2960">
        <f>D48</f>
        <v>280000</v>
      </c>
      <c r="O4" s="2960">
        <f>D54</f>
        <v>0</v>
      </c>
      <c r="P4" s="2960">
        <f>D60</f>
        <v>15000</v>
      </c>
      <c r="Q4" s="2960">
        <f>D66</f>
        <v>2227305</v>
      </c>
      <c r="R4" s="2960">
        <f>D69</f>
        <v>0</v>
      </c>
      <c r="S4" s="2961">
        <f>SUM(I4:R4)</f>
        <v>2637366.9137399998</v>
      </c>
      <c r="T4" s="2963">
        <f>T15</f>
        <v>391187.5</v>
      </c>
      <c r="U4" s="2954">
        <f>Q4/S4</f>
        <v>0.84451844314733637</v>
      </c>
      <c r="V4" s="2954">
        <f>(L4+(J4*1.63))/S4</f>
        <v>2.3033852318202246E-2</v>
      </c>
      <c r="W4" s="2954">
        <f>N4/S4</f>
        <v>0.10616649452196901</v>
      </c>
      <c r="X4" s="2953">
        <f>S4/T4</f>
        <v>6.7419508898929532</v>
      </c>
      <c r="Z4"/>
      <c r="AA4" s="1907"/>
    </row>
    <row r="5" spans="1:27" ht="16.5" thickBot="1">
      <c r="A5" s="1400" t="s">
        <v>5</v>
      </c>
      <c r="C5" s="45"/>
      <c r="G5" s="1652"/>
      <c r="H5" s="3205" t="s">
        <v>1753</v>
      </c>
      <c r="I5" s="2617">
        <v>31585.660000000003</v>
      </c>
      <c r="J5" s="2618">
        <v>12306.15</v>
      </c>
      <c r="K5" s="2618">
        <v>29846.430800000006</v>
      </c>
      <c r="L5" s="2618">
        <v>41178.94</v>
      </c>
      <c r="M5" s="2618">
        <v>2500</v>
      </c>
      <c r="N5" s="2618">
        <v>280000</v>
      </c>
      <c r="O5" s="2618">
        <v>0</v>
      </c>
      <c r="P5" s="2618">
        <v>15000</v>
      </c>
      <c r="Q5" s="2618">
        <v>2227305</v>
      </c>
      <c r="R5" s="2618">
        <v>0</v>
      </c>
      <c r="S5" s="2619">
        <v>2639722.1808000002</v>
      </c>
      <c r="T5" s="2620">
        <v>391187.5</v>
      </c>
      <c r="U5" s="1187">
        <f>Q5/S5</f>
        <v>0.8437649295824714</v>
      </c>
      <c r="V5" s="1187">
        <f>(L5+(J5*1.63))/S5</f>
        <v>2.31986399725751E-2</v>
      </c>
      <c r="W5" s="1187">
        <f>N5/S5</f>
        <v>0.10607176847494708</v>
      </c>
      <c r="X5" s="48">
        <f>S5/T5</f>
        <v>6.7479717035948239</v>
      </c>
      <c r="Z5"/>
      <c r="AA5" s="1907"/>
    </row>
    <row r="6" spans="1:27" ht="16.5" thickBot="1">
      <c r="A6" s="1400">
        <v>18230637</v>
      </c>
      <c r="B6" s="1400"/>
      <c r="D6" s="44"/>
      <c r="G6" s="1652"/>
      <c r="H6" s="3206" t="s">
        <v>1754</v>
      </c>
      <c r="I6" s="2621">
        <f>E15</f>
        <v>27192.45</v>
      </c>
      <c r="J6" s="2622">
        <f>E20</f>
        <v>12306.15</v>
      </c>
      <c r="K6" s="2623">
        <f>E26</f>
        <v>35469.7428</v>
      </c>
      <c r="L6" s="2622">
        <f>E36</f>
        <v>41178.94</v>
      </c>
      <c r="M6" s="2622">
        <f>E42</f>
        <v>2500</v>
      </c>
      <c r="N6" s="2622">
        <f>E48</f>
        <v>327523.05</v>
      </c>
      <c r="O6" s="2622">
        <f>E54</f>
        <v>0</v>
      </c>
      <c r="P6" s="2622">
        <f>E60</f>
        <v>15000</v>
      </c>
      <c r="Q6" s="2622">
        <f>E66</f>
        <v>2237741</v>
      </c>
      <c r="R6" s="2622">
        <f>E69</f>
        <v>0</v>
      </c>
      <c r="S6" s="2624">
        <f>SUM(I6:R6)</f>
        <v>2698911.3328</v>
      </c>
      <c r="T6" s="2641">
        <f>U15</f>
        <v>410012.5</v>
      </c>
      <c r="U6" s="2631">
        <f>Q6/S6</f>
        <v>0.82912727543310716</v>
      </c>
      <c r="V6" s="2631">
        <f>(L6+(J6*1.63))/S6</f>
        <v>2.2689876379328233E-2</v>
      </c>
      <c r="W6" s="2631">
        <f>N6/S6</f>
        <v>0.12135376439366366</v>
      </c>
      <c r="X6" s="2605">
        <f>S6/T6</f>
        <v>6.5825098815280025</v>
      </c>
      <c r="Z6"/>
      <c r="AA6" s="1907"/>
    </row>
    <row r="7" spans="1:27" ht="15.75">
      <c r="A7" s="1400" t="s">
        <v>28</v>
      </c>
      <c r="B7" s="1400"/>
      <c r="C7" s="1413"/>
      <c r="D7" s="1190"/>
      <c r="E7" s="1414"/>
      <c r="F7" s="1413"/>
      <c r="G7" s="1202"/>
      <c r="H7" s="2607"/>
      <c r="I7" s="2607"/>
      <c r="J7" s="2607"/>
      <c r="K7" s="2607"/>
      <c r="L7" s="2607"/>
      <c r="M7" s="2607"/>
      <c r="N7" s="2607"/>
      <c r="O7" s="2607"/>
      <c r="P7" s="2607"/>
      <c r="Q7" s="2607"/>
      <c r="R7" s="2607"/>
      <c r="S7" s="2639"/>
      <c r="T7" s="2630"/>
      <c r="U7" s="2630"/>
      <c r="V7" s="2630"/>
      <c r="W7" s="2645"/>
    </row>
    <row r="8" spans="1:27" ht="15.75">
      <c r="B8" s="1400"/>
      <c r="C8" s="1413"/>
      <c r="D8" s="1190"/>
      <c r="E8" s="1414"/>
      <c r="F8" s="1413"/>
    </row>
    <row r="9" spans="1:27"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7">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B12" s="1357"/>
      <c r="C12" s="1434" t="s">
        <v>298</v>
      </c>
      <c r="D12" s="2766">
        <f>D15+D20+D26+D36+D42+D48+D54+D60+D66</f>
        <v>2637366.9137399998</v>
      </c>
      <c r="E12" s="1484">
        <f>E15+E20+E26+E36+E42+E48+E54+E60+E66</f>
        <v>2698911.3328</v>
      </c>
      <c r="F12" s="1462">
        <f>D12+E12</f>
        <v>5336278.2465399997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908" t="s">
        <v>307</v>
      </c>
    </row>
    <row r="15" spans="1:27">
      <c r="B15" s="1433" t="s">
        <v>296</v>
      </c>
      <c r="C15" s="1597" t="s">
        <v>1749</v>
      </c>
      <c r="D15" s="2771">
        <f>SUM(D16:D18)</f>
        <v>30815.22</v>
      </c>
      <c r="E15" s="1464">
        <f>SUM(E16:E18)</f>
        <v>27192.45</v>
      </c>
      <c r="F15" s="1462">
        <f>D15+E15</f>
        <v>58007.67</v>
      </c>
      <c r="H15" s="1475" t="s">
        <v>308</v>
      </c>
      <c r="I15" s="1476"/>
      <c r="J15" s="1476"/>
      <c r="K15" s="1477"/>
      <c r="L15" s="1478">
        <f>SUMPRODUCT(L16:L179,S16:S179)</f>
        <v>16532305</v>
      </c>
      <c r="M15" s="1478">
        <f>SUM(M16:M179)</f>
        <v>2664.2300000000009</v>
      </c>
      <c r="N15" s="1479"/>
      <c r="O15" s="1477">
        <v>25</v>
      </c>
      <c r="P15" s="1477"/>
      <c r="Q15" s="3265"/>
      <c r="R15" s="1477"/>
      <c r="S15" s="1477"/>
      <c r="T15" s="2983">
        <v>391187.5</v>
      </c>
      <c r="U15" s="1480">
        <f t="shared" ref="U15:Y15" si="0">SUM(U16:U67)</f>
        <v>410012.5</v>
      </c>
      <c r="V15" s="1480">
        <f t="shared" si="0"/>
        <v>801200</v>
      </c>
      <c r="W15" s="2987">
        <v>2227305</v>
      </c>
      <c r="X15" s="1478">
        <f>SUM(X16:X67)</f>
        <v>2237741</v>
      </c>
      <c r="Y15" s="1478">
        <f t="shared" si="0"/>
        <v>4465046</v>
      </c>
      <c r="Z15" s="1911">
        <v>0</v>
      </c>
    </row>
    <row r="16" spans="1:27">
      <c r="B16" s="1432">
        <v>0.05</v>
      </c>
      <c r="C16" s="1667" t="s">
        <v>734</v>
      </c>
      <c r="D16" s="2772">
        <v>4531.6500000000005</v>
      </c>
      <c r="E16" s="1448">
        <v>4644.95</v>
      </c>
      <c r="F16" s="1426">
        <f>SUM(D16:E16)</f>
        <v>9176.6</v>
      </c>
      <c r="H16" s="1964" t="s">
        <v>1439</v>
      </c>
      <c r="I16" s="1982">
        <v>0.02</v>
      </c>
      <c r="J16" s="1470" t="s">
        <v>71</v>
      </c>
      <c r="K16" s="1965" t="s">
        <v>845</v>
      </c>
      <c r="L16" s="1966">
        <v>0.66</v>
      </c>
      <c r="M16" s="1967">
        <v>0.66</v>
      </c>
      <c r="N16" s="1461">
        <v>6.2406390414378428E-3</v>
      </c>
      <c r="O16" s="1460">
        <v>15</v>
      </c>
      <c r="P16" s="1463" t="s">
        <v>1008</v>
      </c>
      <c r="Q16" s="3267">
        <v>125000</v>
      </c>
      <c r="R16" s="1968">
        <v>125000</v>
      </c>
      <c r="S16" s="1469">
        <f>SUM(Q16:R16)</f>
        <v>250000</v>
      </c>
      <c r="T16" s="2991">
        <v>2500</v>
      </c>
      <c r="U16" s="1469">
        <f>R16*I16</f>
        <v>2500</v>
      </c>
      <c r="V16" s="1469">
        <f>SUM(T16:U16)</f>
        <v>5000</v>
      </c>
      <c r="W16" s="2993">
        <v>82500</v>
      </c>
      <c r="X16" s="1459">
        <f>R16*M16</f>
        <v>82500</v>
      </c>
      <c r="Y16" s="1459">
        <f>SUM(W16:X16)</f>
        <v>165000</v>
      </c>
      <c r="Z16" s="1910">
        <v>0.01</v>
      </c>
    </row>
    <row r="17" spans="2:26" s="1652" customFormat="1">
      <c r="B17" s="1982">
        <v>0.19</v>
      </c>
      <c r="C17" s="1667" t="s">
        <v>735</v>
      </c>
      <c r="D17" s="2772">
        <v>17220.27</v>
      </c>
      <c r="E17" s="1669">
        <v>14772.5</v>
      </c>
      <c r="F17" s="1426">
        <f t="shared" ref="F17:F18" si="1">SUM(D17:E17)</f>
        <v>31992.77</v>
      </c>
      <c r="H17" s="1964" t="s">
        <v>1440</v>
      </c>
      <c r="I17" s="1982">
        <v>0.1</v>
      </c>
      <c r="J17" s="1470" t="s">
        <v>71</v>
      </c>
      <c r="K17" s="1965" t="s">
        <v>992</v>
      </c>
      <c r="L17" s="2013">
        <v>1.1200000000000001</v>
      </c>
      <c r="M17" s="2013">
        <v>0.27500000000000002</v>
      </c>
      <c r="N17" s="1461">
        <v>0.13729405891163254</v>
      </c>
      <c r="O17" s="1460">
        <v>30</v>
      </c>
      <c r="P17" s="1463" t="s">
        <v>1008</v>
      </c>
      <c r="Q17" s="3267">
        <v>550000</v>
      </c>
      <c r="R17" s="1983">
        <v>550000</v>
      </c>
      <c r="S17" s="1469">
        <f t="shared" ref="S17:S19" si="2">SUM(Q17:R17)</f>
        <v>1100000</v>
      </c>
      <c r="T17" s="2991">
        <v>55000</v>
      </c>
      <c r="U17" s="1469">
        <f t="shared" ref="U17:U19" si="3">R17*I17</f>
        <v>55000</v>
      </c>
      <c r="V17" s="1469">
        <f t="shared" ref="V17:V19" si="4">SUM(T17:U17)</f>
        <v>110000</v>
      </c>
      <c r="W17" s="2993">
        <v>151250</v>
      </c>
      <c r="X17" s="1459">
        <f t="shared" ref="X17:X19" si="5">R17*M17</f>
        <v>151250</v>
      </c>
      <c r="Y17" s="1459">
        <f t="shared" ref="Y17:Y19" si="6">SUM(W17:X17)</f>
        <v>302500</v>
      </c>
      <c r="Z17" s="1910">
        <v>0.03</v>
      </c>
    </row>
    <row r="18" spans="2:26" s="1652" customFormat="1">
      <c r="B18" s="1982">
        <v>0.1</v>
      </c>
      <c r="C18" s="1667" t="s">
        <v>737</v>
      </c>
      <c r="D18" s="2772">
        <v>9063.3000000000011</v>
      </c>
      <c r="E18" s="1669">
        <v>7775</v>
      </c>
      <c r="F18" s="1426">
        <f t="shared" si="1"/>
        <v>16838.300000000003</v>
      </c>
      <c r="H18" s="1964" t="s">
        <v>1441</v>
      </c>
      <c r="I18" s="1982">
        <v>0.03</v>
      </c>
      <c r="J18" s="1470" t="s">
        <v>71</v>
      </c>
      <c r="K18" s="1965" t="s">
        <v>992</v>
      </c>
      <c r="L18" s="2013">
        <v>0.98</v>
      </c>
      <c r="M18" s="2013">
        <v>0.27500000000000002</v>
      </c>
      <c r="N18" s="1461">
        <v>5.2421367948077884E-2</v>
      </c>
      <c r="O18" s="1460">
        <v>30</v>
      </c>
      <c r="P18" s="1463" t="s">
        <v>1008</v>
      </c>
      <c r="Q18" s="3267">
        <v>700000</v>
      </c>
      <c r="R18" s="1983">
        <v>700000</v>
      </c>
      <c r="S18" s="1469">
        <f t="shared" si="2"/>
        <v>1400000</v>
      </c>
      <c r="T18" s="2991">
        <v>21000</v>
      </c>
      <c r="U18" s="1469">
        <f t="shared" si="3"/>
        <v>21000</v>
      </c>
      <c r="V18" s="1469">
        <f t="shared" si="4"/>
        <v>42000</v>
      </c>
      <c r="W18" s="2993">
        <v>192500.00000000003</v>
      </c>
      <c r="X18" s="1459">
        <f t="shared" si="5"/>
        <v>192500.00000000003</v>
      </c>
      <c r="Y18" s="1459">
        <f t="shared" si="6"/>
        <v>385000.00000000006</v>
      </c>
      <c r="Z18" s="1910">
        <v>0.01</v>
      </c>
    </row>
    <row r="19" spans="2:26">
      <c r="B19" s="2204">
        <f>SUM(B16:B18)</f>
        <v>0.33999999999999997</v>
      </c>
      <c r="C19" s="1488"/>
      <c r="D19" s="2770"/>
      <c r="E19" s="1490"/>
      <c r="F19" s="1492"/>
      <c r="H19" s="1964" t="s">
        <v>1442</v>
      </c>
      <c r="I19" s="1982">
        <v>0</v>
      </c>
      <c r="J19" s="1470" t="s">
        <v>71</v>
      </c>
      <c r="K19" s="1965" t="s">
        <v>893</v>
      </c>
      <c r="L19" s="1966">
        <v>38.299999999999997</v>
      </c>
      <c r="M19" s="1967">
        <v>38.299999999999997</v>
      </c>
      <c r="N19" s="1461">
        <v>0</v>
      </c>
      <c r="O19" s="1460">
        <v>5</v>
      </c>
      <c r="P19" s="1463" t="s">
        <v>1008</v>
      </c>
      <c r="Q19" s="3267">
        <v>2850</v>
      </c>
      <c r="R19" s="1968">
        <v>3250</v>
      </c>
      <c r="S19" s="1469">
        <f t="shared" si="2"/>
        <v>6100</v>
      </c>
      <c r="T19" s="2991">
        <v>0</v>
      </c>
      <c r="U19" s="1469">
        <f t="shared" si="3"/>
        <v>0</v>
      </c>
      <c r="V19" s="1469">
        <f t="shared" si="4"/>
        <v>0</v>
      </c>
      <c r="W19" s="2993">
        <v>109154.99999999999</v>
      </c>
      <c r="X19" s="1459">
        <f t="shared" si="5"/>
        <v>124474.99999999999</v>
      </c>
      <c r="Y19" s="1459">
        <f t="shared" si="6"/>
        <v>233629.99999999997</v>
      </c>
      <c r="Z19" s="1910">
        <v>7.66</v>
      </c>
    </row>
    <row r="20" spans="2:26">
      <c r="B20" s="1433" t="s">
        <v>296</v>
      </c>
      <c r="C20" s="1451" t="s">
        <v>44</v>
      </c>
      <c r="D20" s="2771">
        <f>SUM(D21:D24)</f>
        <v>12006</v>
      </c>
      <c r="E20" s="1464">
        <f>SUM(E21:E24)</f>
        <v>12306.15</v>
      </c>
      <c r="F20" s="1638">
        <f>D20+E20</f>
        <v>24312.15</v>
      </c>
      <c r="H20" s="1964" t="s">
        <v>1443</v>
      </c>
      <c r="I20" s="1982">
        <v>0.04</v>
      </c>
      <c r="J20" s="1470" t="s">
        <v>71</v>
      </c>
      <c r="K20" s="1965" t="s">
        <v>992</v>
      </c>
      <c r="L20" s="1966">
        <v>1.32</v>
      </c>
      <c r="M20" s="1967">
        <v>0.11</v>
      </c>
      <c r="N20" s="1461">
        <v>0.10983524712930604</v>
      </c>
      <c r="O20" s="1460">
        <v>30</v>
      </c>
      <c r="P20" s="1463" t="s">
        <v>1008</v>
      </c>
      <c r="Q20" s="3267">
        <v>1100000</v>
      </c>
      <c r="R20" s="1968">
        <v>1100000</v>
      </c>
      <c r="S20" s="1469">
        <f t="shared" ref="S20:S33" si="7">SUM(Q20:R20)</f>
        <v>2200000</v>
      </c>
      <c r="T20" s="2991">
        <v>44000</v>
      </c>
      <c r="U20" s="1469">
        <f t="shared" ref="U20:U33" si="8">R20*I20</f>
        <v>44000</v>
      </c>
      <c r="V20" s="1469">
        <f t="shared" ref="V20:V33" si="9">SUM(T20:U20)</f>
        <v>88000</v>
      </c>
      <c r="W20" s="2993">
        <v>121000</v>
      </c>
      <c r="X20" s="1459">
        <f t="shared" ref="X20:X33" si="10">R20*M20</f>
        <v>121000</v>
      </c>
      <c r="Y20" s="1459">
        <f t="shared" ref="Y20:Y33" si="11">SUM(W20:X20)</f>
        <v>242000</v>
      </c>
      <c r="Z20" s="1910">
        <v>0.01</v>
      </c>
    </row>
    <row r="21" spans="2:26">
      <c r="B21" s="1982">
        <f>(SUM(D21:E21)/2)/((80000+(80000*1.025))/2)</f>
        <v>0.15007500000000001</v>
      </c>
      <c r="C21" s="1423" t="s">
        <v>1195</v>
      </c>
      <c r="D21" s="2772">
        <v>12006</v>
      </c>
      <c r="E21" s="1448">
        <v>12306.15</v>
      </c>
      <c r="F21" s="1426">
        <f t="shared" ref="F21:F24" si="12">SUM(D21:E21)</f>
        <v>24312.15</v>
      </c>
      <c r="H21" s="1964" t="s">
        <v>1074</v>
      </c>
      <c r="I21" s="1982">
        <v>0</v>
      </c>
      <c r="J21" s="1470" t="s">
        <v>71</v>
      </c>
      <c r="K21" s="1965" t="s">
        <v>893</v>
      </c>
      <c r="L21" s="1966">
        <v>600</v>
      </c>
      <c r="M21" s="1967">
        <v>400</v>
      </c>
      <c r="N21" s="1461">
        <v>0</v>
      </c>
      <c r="O21" s="1460">
        <v>1</v>
      </c>
      <c r="P21" s="1463" t="s">
        <v>1008</v>
      </c>
      <c r="Q21" s="3267">
        <v>150</v>
      </c>
      <c r="R21" s="1968">
        <v>150</v>
      </c>
      <c r="S21" s="1469">
        <f t="shared" si="7"/>
        <v>300</v>
      </c>
      <c r="T21" s="2991">
        <v>0</v>
      </c>
      <c r="U21" s="1469">
        <f t="shared" si="8"/>
        <v>0</v>
      </c>
      <c r="V21" s="1469">
        <f t="shared" si="9"/>
        <v>0</v>
      </c>
      <c r="W21" s="2993">
        <v>60000</v>
      </c>
      <c r="X21" s="1459">
        <f t="shared" si="10"/>
        <v>60000</v>
      </c>
      <c r="Y21" s="1459">
        <f t="shared" si="11"/>
        <v>120000</v>
      </c>
      <c r="Z21" s="1910">
        <v>0</v>
      </c>
    </row>
    <row r="22" spans="2:26">
      <c r="B22" s="1982"/>
      <c r="C22" s="1423"/>
      <c r="D22" s="2773"/>
      <c r="E22" s="1444"/>
      <c r="F22" s="1426">
        <f t="shared" si="12"/>
        <v>0</v>
      </c>
      <c r="H22" s="1964" t="s">
        <v>2624</v>
      </c>
      <c r="I22" s="1982">
        <v>0</v>
      </c>
      <c r="J22" s="1470" t="s">
        <v>71</v>
      </c>
      <c r="K22" s="1965" t="s">
        <v>893</v>
      </c>
      <c r="L22" s="1966">
        <v>165</v>
      </c>
      <c r="M22" s="1967">
        <v>165</v>
      </c>
      <c r="N22" s="1461">
        <v>0</v>
      </c>
      <c r="O22" s="1460">
        <v>1</v>
      </c>
      <c r="P22" s="1463" t="s">
        <v>1008</v>
      </c>
      <c r="Q22" s="3267">
        <v>1500</v>
      </c>
      <c r="R22" s="1968">
        <v>0</v>
      </c>
      <c r="S22" s="1469">
        <f t="shared" si="7"/>
        <v>1500</v>
      </c>
      <c r="T22" s="2991">
        <v>0</v>
      </c>
      <c r="U22" s="1469">
        <f t="shared" si="8"/>
        <v>0</v>
      </c>
      <c r="V22" s="1469">
        <f t="shared" si="9"/>
        <v>0</v>
      </c>
      <c r="W22" s="2993">
        <v>247500</v>
      </c>
      <c r="X22" s="1459">
        <f t="shared" si="10"/>
        <v>0</v>
      </c>
      <c r="Y22" s="1459">
        <f t="shared" si="11"/>
        <v>247500</v>
      </c>
      <c r="Z22" s="1910">
        <v>0</v>
      </c>
    </row>
    <row r="23" spans="2:26">
      <c r="B23" s="1982"/>
      <c r="C23" s="1423"/>
      <c r="D23" s="2774"/>
      <c r="E23" s="1443"/>
      <c r="F23" s="1426">
        <f t="shared" si="12"/>
        <v>0</v>
      </c>
      <c r="H23" s="1964" t="s">
        <v>1444</v>
      </c>
      <c r="I23" s="1982">
        <v>75</v>
      </c>
      <c r="J23" s="1470" t="s">
        <v>71</v>
      </c>
      <c r="K23" s="1965" t="s">
        <v>845</v>
      </c>
      <c r="L23" s="1966">
        <v>1000</v>
      </c>
      <c r="M23" s="1967">
        <v>400</v>
      </c>
      <c r="N23" s="1461">
        <v>0.24338492261607589</v>
      </c>
      <c r="O23" s="1460">
        <v>20</v>
      </c>
      <c r="P23" s="1463" t="s">
        <v>1008</v>
      </c>
      <c r="Q23" s="3267">
        <v>1300</v>
      </c>
      <c r="R23" s="1968">
        <v>1300</v>
      </c>
      <c r="S23" s="1469">
        <f t="shared" si="7"/>
        <v>2600</v>
      </c>
      <c r="T23" s="2991">
        <v>97500</v>
      </c>
      <c r="U23" s="1469">
        <f t="shared" si="8"/>
        <v>97500</v>
      </c>
      <c r="V23" s="1469">
        <f t="shared" si="9"/>
        <v>195000</v>
      </c>
      <c r="W23" s="2993">
        <v>520000</v>
      </c>
      <c r="X23" s="1459">
        <f t="shared" si="10"/>
        <v>520000</v>
      </c>
      <c r="Y23" s="1459">
        <f t="shared" si="11"/>
        <v>1040000</v>
      </c>
      <c r="Z23" s="1910">
        <v>11</v>
      </c>
    </row>
    <row r="24" spans="2:26">
      <c r="B24" s="1982"/>
      <c r="C24" s="1423"/>
      <c r="D24" s="2775"/>
      <c r="E24" s="1444"/>
      <c r="F24" s="1426">
        <f t="shared" si="12"/>
        <v>0</v>
      </c>
      <c r="H24" s="1964" t="s">
        <v>2625</v>
      </c>
      <c r="I24" s="1982">
        <v>11</v>
      </c>
      <c r="J24" s="1470" t="s">
        <v>71</v>
      </c>
      <c r="K24" s="1965" t="s">
        <v>845</v>
      </c>
      <c r="L24" s="1966">
        <v>3.95</v>
      </c>
      <c r="M24" s="1967">
        <v>3.95</v>
      </c>
      <c r="N24" s="1461">
        <v>6.7398901647528708E-2</v>
      </c>
      <c r="O24" s="1460">
        <v>10</v>
      </c>
      <c r="P24" s="1463" t="s">
        <v>846</v>
      </c>
      <c r="Q24" s="3267">
        <v>2000</v>
      </c>
      <c r="R24" s="1968">
        <v>2000</v>
      </c>
      <c r="S24" s="1469">
        <f t="shared" si="7"/>
        <v>4000</v>
      </c>
      <c r="T24" s="2991">
        <v>32000</v>
      </c>
      <c r="U24" s="1469">
        <f>R24*I24</f>
        <v>22000</v>
      </c>
      <c r="V24" s="1469">
        <f t="shared" si="9"/>
        <v>54000</v>
      </c>
      <c r="W24" s="2993">
        <v>30000</v>
      </c>
      <c r="X24" s="1459">
        <f t="shared" si="10"/>
        <v>7900</v>
      </c>
      <c r="Y24" s="1459">
        <f t="shared" si="11"/>
        <v>37900</v>
      </c>
      <c r="Z24" s="1910">
        <v>20.53</v>
      </c>
    </row>
    <row r="25" spans="2:26">
      <c r="B25" s="1449">
        <f>SUM(B21:B24)</f>
        <v>0.15007500000000001</v>
      </c>
      <c r="C25" s="1424"/>
      <c r="D25" s="2776"/>
      <c r="E25" s="1431"/>
      <c r="F25" s="1439"/>
      <c r="H25" s="1964" t="s">
        <v>1445</v>
      </c>
      <c r="I25" s="1982">
        <v>0.09</v>
      </c>
      <c r="J25" s="1470" t="s">
        <v>71</v>
      </c>
      <c r="K25" s="1965" t="s">
        <v>992</v>
      </c>
      <c r="L25" s="1966">
        <v>1.39</v>
      </c>
      <c r="M25" s="1967">
        <v>0.33</v>
      </c>
      <c r="N25" s="1461">
        <v>8.9865202196704949E-2</v>
      </c>
      <c r="O25" s="1460">
        <v>30</v>
      </c>
      <c r="P25" s="1463" t="s">
        <v>1008</v>
      </c>
      <c r="Q25" s="3267">
        <v>400000</v>
      </c>
      <c r="R25" s="1968">
        <v>400000</v>
      </c>
      <c r="S25" s="1469">
        <f t="shared" si="7"/>
        <v>800000</v>
      </c>
      <c r="T25" s="2991">
        <v>36000</v>
      </c>
      <c r="U25" s="1469">
        <f t="shared" si="8"/>
        <v>36000</v>
      </c>
      <c r="V25" s="1469">
        <f t="shared" si="9"/>
        <v>72000</v>
      </c>
      <c r="W25" s="2993">
        <v>132000</v>
      </c>
      <c r="X25" s="1459">
        <f t="shared" si="10"/>
        <v>132000</v>
      </c>
      <c r="Y25" s="1459">
        <f t="shared" si="11"/>
        <v>264000</v>
      </c>
      <c r="Z25" s="1910">
        <v>0.03</v>
      </c>
    </row>
    <row r="26" spans="2:26">
      <c r="C26" s="1597" t="s">
        <v>1737</v>
      </c>
      <c r="D26" s="2771">
        <f>SUM(D28:D34)</f>
        <v>28561.753740000004</v>
      </c>
      <c r="E26" s="1657">
        <f>SUM(E28:E30)+SUM(E32:E34)</f>
        <v>35469.7428</v>
      </c>
      <c r="F26" s="1638">
        <f>D26+E26</f>
        <v>64031.496540000007</v>
      </c>
      <c r="H26" s="1964" t="s">
        <v>1446</v>
      </c>
      <c r="I26" s="1982">
        <v>0.23</v>
      </c>
      <c r="J26" s="1470" t="s">
        <v>71</v>
      </c>
      <c r="K26" s="1965" t="s">
        <v>992</v>
      </c>
      <c r="L26" s="1966">
        <v>18.510000000000002</v>
      </c>
      <c r="M26" s="1967">
        <v>2.78</v>
      </c>
      <c r="N26" s="1461">
        <v>0</v>
      </c>
      <c r="O26" s="1460">
        <v>30</v>
      </c>
      <c r="P26" s="1463" t="s">
        <v>1008</v>
      </c>
      <c r="Q26" s="3267">
        <v>0</v>
      </c>
      <c r="R26" s="1968">
        <v>0</v>
      </c>
      <c r="S26" s="1469">
        <f t="shared" si="7"/>
        <v>0</v>
      </c>
      <c r="T26" s="2991">
        <v>0</v>
      </c>
      <c r="U26" s="1469">
        <f t="shared" si="8"/>
        <v>0</v>
      </c>
      <c r="V26" s="1469">
        <f t="shared" si="9"/>
        <v>0</v>
      </c>
      <c r="W26" s="2993">
        <v>0</v>
      </c>
      <c r="X26" s="1459">
        <f t="shared" si="10"/>
        <v>0</v>
      </c>
      <c r="Y26" s="1459">
        <f t="shared" si="11"/>
        <v>0</v>
      </c>
      <c r="Z26" s="1910">
        <v>0.08</v>
      </c>
    </row>
    <row r="27" spans="2:26">
      <c r="C27" s="1450" t="s">
        <v>1733</v>
      </c>
      <c r="D27" s="2777">
        <v>0.66700000000000004</v>
      </c>
      <c r="E27" s="1452">
        <v>0.68799999999999994</v>
      </c>
      <c r="F27" s="1485"/>
      <c r="H27" s="1964" t="s">
        <v>1447</v>
      </c>
      <c r="I27" s="1982">
        <v>0.64</v>
      </c>
      <c r="J27" s="1470" t="s">
        <v>71</v>
      </c>
      <c r="K27" s="1965" t="s">
        <v>992</v>
      </c>
      <c r="L27" s="1966">
        <v>20.5</v>
      </c>
      <c r="M27" s="1967">
        <v>2.78</v>
      </c>
      <c r="N27" s="1461">
        <v>0.18372441337993012</v>
      </c>
      <c r="O27" s="1460">
        <v>30</v>
      </c>
      <c r="P27" s="1463" t="s">
        <v>1008</v>
      </c>
      <c r="Q27" s="3267">
        <v>115000</v>
      </c>
      <c r="R27" s="1968">
        <v>115000</v>
      </c>
      <c r="S27" s="1469">
        <f t="shared" si="7"/>
        <v>230000</v>
      </c>
      <c r="T27" s="2991">
        <v>73600</v>
      </c>
      <c r="U27" s="1469">
        <f t="shared" si="8"/>
        <v>73600</v>
      </c>
      <c r="V27" s="1469">
        <f t="shared" si="9"/>
        <v>147200</v>
      </c>
      <c r="W27" s="2993">
        <v>319700</v>
      </c>
      <c r="X27" s="1459">
        <f t="shared" si="10"/>
        <v>319700</v>
      </c>
      <c r="Y27" s="1459">
        <f t="shared" si="11"/>
        <v>639400</v>
      </c>
      <c r="Z27" s="1910">
        <v>0.23</v>
      </c>
    </row>
    <row r="28" spans="2:26">
      <c r="C28" s="1667" t="s">
        <v>719</v>
      </c>
      <c r="D28" s="2778">
        <f>D15*D27</f>
        <v>20553.751740000003</v>
      </c>
      <c r="E28" s="1504">
        <f>E15*E27</f>
        <v>18708.405599999998</v>
      </c>
      <c r="F28" s="1426">
        <f t="shared" ref="F28:F34" si="13">SUM(D28:E28)</f>
        <v>39262.157340000005</v>
      </c>
      <c r="H28" s="1964" t="s">
        <v>1797</v>
      </c>
      <c r="I28" s="1982">
        <v>0.01</v>
      </c>
      <c r="J28" s="1470" t="s">
        <v>71</v>
      </c>
      <c r="K28" s="1965" t="s">
        <v>992</v>
      </c>
      <c r="L28" s="1966">
        <v>0.2</v>
      </c>
      <c r="M28" s="1967">
        <v>0.09</v>
      </c>
      <c r="N28" s="1461">
        <v>2.7458811782326509E-2</v>
      </c>
      <c r="O28" s="1460">
        <v>30</v>
      </c>
      <c r="P28" s="1463" t="s">
        <v>1008</v>
      </c>
      <c r="Q28" s="3267">
        <v>1760000</v>
      </c>
      <c r="R28" s="1968">
        <v>440000</v>
      </c>
      <c r="S28" s="1469">
        <f t="shared" si="7"/>
        <v>2200000</v>
      </c>
      <c r="T28" s="2991">
        <v>17600</v>
      </c>
      <c r="U28" s="1469">
        <f t="shared" si="8"/>
        <v>4400</v>
      </c>
      <c r="V28" s="1469">
        <f t="shared" si="9"/>
        <v>22000</v>
      </c>
      <c r="W28" s="2993">
        <v>158400</v>
      </c>
      <c r="X28" s="1459">
        <f t="shared" si="10"/>
        <v>39600</v>
      </c>
      <c r="Y28" s="1459">
        <f t="shared" si="11"/>
        <v>198000</v>
      </c>
      <c r="Z28" s="1910">
        <v>0</v>
      </c>
    </row>
    <row r="29" spans="2:26">
      <c r="C29" s="1667" t="s">
        <v>720</v>
      </c>
      <c r="D29" s="2785">
        <f>D20*D27</f>
        <v>8008.0020000000004</v>
      </c>
      <c r="E29" s="1504">
        <f>E20*E27</f>
        <v>8466.6311999999998</v>
      </c>
      <c r="F29" s="1426">
        <f t="shared" si="13"/>
        <v>16474.6332</v>
      </c>
      <c r="H29" s="1964" t="s">
        <v>1018</v>
      </c>
      <c r="I29" s="1982">
        <v>2.15</v>
      </c>
      <c r="J29" s="1470" t="s">
        <v>71</v>
      </c>
      <c r="K29" s="1965" t="s">
        <v>845</v>
      </c>
      <c r="L29" s="1966">
        <v>2</v>
      </c>
      <c r="M29" s="1967">
        <v>2</v>
      </c>
      <c r="N29" s="1461">
        <v>9.3921617573639541E-3</v>
      </c>
      <c r="O29" s="1460">
        <v>10</v>
      </c>
      <c r="P29" s="1463" t="s">
        <v>846</v>
      </c>
      <c r="Q29" s="3267">
        <v>1750</v>
      </c>
      <c r="R29" s="1968">
        <v>1750</v>
      </c>
      <c r="S29" s="1469">
        <f t="shared" si="7"/>
        <v>3500</v>
      </c>
      <c r="T29" s="2991">
        <v>3762.5</v>
      </c>
      <c r="U29" s="1469">
        <f t="shared" si="8"/>
        <v>3762.5</v>
      </c>
      <c r="V29" s="1469">
        <f t="shared" si="9"/>
        <v>7525</v>
      </c>
      <c r="W29" s="2993">
        <v>3500</v>
      </c>
      <c r="X29" s="1459">
        <f t="shared" si="10"/>
        <v>3500</v>
      </c>
      <c r="Y29" s="1459">
        <f t="shared" si="11"/>
        <v>7000</v>
      </c>
      <c r="Z29" s="1910">
        <v>2.36</v>
      </c>
    </row>
    <row r="30" spans="2:26">
      <c r="C30" s="1667"/>
      <c r="D30" s="2774"/>
      <c r="E30" s="1443"/>
      <c r="F30" s="1426">
        <f t="shared" si="13"/>
        <v>0</v>
      </c>
      <c r="H30" s="1460" t="s">
        <v>1019</v>
      </c>
      <c r="I30" s="2205">
        <v>1.26</v>
      </c>
      <c r="J30" s="1470" t="s">
        <v>71</v>
      </c>
      <c r="K30" s="1460" t="s">
        <v>845</v>
      </c>
      <c r="L30" s="1467">
        <v>2</v>
      </c>
      <c r="M30" s="1467">
        <v>2</v>
      </c>
      <c r="N30" s="1461">
        <v>3.9316025961058411E-3</v>
      </c>
      <c r="O30" s="1460">
        <v>10</v>
      </c>
      <c r="P30" s="1463" t="s">
        <v>846</v>
      </c>
      <c r="Q30" s="3266">
        <v>1250</v>
      </c>
      <c r="R30" s="1466">
        <v>1250</v>
      </c>
      <c r="S30" s="1469">
        <f t="shared" si="7"/>
        <v>2500</v>
      </c>
      <c r="T30" s="2991">
        <v>1575</v>
      </c>
      <c r="U30" s="1469">
        <f t="shared" si="8"/>
        <v>1575</v>
      </c>
      <c r="V30" s="1469">
        <f t="shared" si="9"/>
        <v>3150</v>
      </c>
      <c r="W30" s="2993">
        <v>2500</v>
      </c>
      <c r="X30" s="1459">
        <f t="shared" si="10"/>
        <v>2500</v>
      </c>
      <c r="Y30" s="1459">
        <f t="shared" si="11"/>
        <v>5000</v>
      </c>
      <c r="Z30" s="1910">
        <v>2.36</v>
      </c>
    </row>
    <row r="31" spans="2:26">
      <c r="C31" s="1450" t="s">
        <v>1734</v>
      </c>
      <c r="D31" s="2777"/>
      <c r="E31" s="1452">
        <v>0.21</v>
      </c>
      <c r="F31" s="1485"/>
      <c r="H31" s="1460" t="s">
        <v>2626</v>
      </c>
      <c r="I31" s="2205">
        <v>75</v>
      </c>
      <c r="J31" s="1470" t="s">
        <v>71</v>
      </c>
      <c r="K31" s="1460" t="s">
        <v>893</v>
      </c>
      <c r="L31" s="1467">
        <v>1000</v>
      </c>
      <c r="M31" s="1467">
        <v>800</v>
      </c>
      <c r="N31" s="1461">
        <v>0</v>
      </c>
      <c r="O31" s="1460">
        <v>20</v>
      </c>
      <c r="P31" s="1463" t="s">
        <v>1008</v>
      </c>
      <c r="Q31" s="3266">
        <v>0</v>
      </c>
      <c r="R31" s="1466">
        <v>0</v>
      </c>
      <c r="S31" s="1469">
        <f t="shared" si="7"/>
        <v>0</v>
      </c>
      <c r="T31" s="2991">
        <v>0</v>
      </c>
      <c r="U31" s="1469">
        <f t="shared" si="8"/>
        <v>0</v>
      </c>
      <c r="V31" s="1469">
        <f t="shared" si="9"/>
        <v>0</v>
      </c>
      <c r="W31" s="2993">
        <v>0</v>
      </c>
      <c r="X31" s="1459">
        <f t="shared" si="10"/>
        <v>0</v>
      </c>
      <c r="Y31" s="1459">
        <f t="shared" si="11"/>
        <v>0</v>
      </c>
      <c r="Z31" s="1910">
        <v>11</v>
      </c>
    </row>
    <row r="32" spans="2:26">
      <c r="C32" s="1667" t="s">
        <v>719</v>
      </c>
      <c r="D32" s="2778"/>
      <c r="E32" s="1641">
        <f>E15*E31</f>
        <v>5710.4144999999999</v>
      </c>
      <c r="F32" s="1661">
        <f>SUM(D32:E32)</f>
        <v>5710.4144999999999</v>
      </c>
      <c r="H32" s="1460" t="s">
        <v>1020</v>
      </c>
      <c r="I32" s="2205">
        <v>0</v>
      </c>
      <c r="J32" s="1470" t="s">
        <v>71</v>
      </c>
      <c r="K32" s="1460" t="s">
        <v>893</v>
      </c>
      <c r="L32" s="1467">
        <v>265</v>
      </c>
      <c r="M32" s="1467">
        <v>265</v>
      </c>
      <c r="N32" s="1461">
        <v>0</v>
      </c>
      <c r="O32" s="1460">
        <v>1</v>
      </c>
      <c r="P32" s="1463" t="s">
        <v>1008</v>
      </c>
      <c r="Q32" s="3266">
        <v>0</v>
      </c>
      <c r="R32" s="1466">
        <v>0</v>
      </c>
      <c r="S32" s="1469">
        <f t="shared" si="7"/>
        <v>0</v>
      </c>
      <c r="T32" s="2991">
        <v>0</v>
      </c>
      <c r="U32" s="1469">
        <f t="shared" si="8"/>
        <v>0</v>
      </c>
      <c r="V32" s="1469">
        <f t="shared" si="9"/>
        <v>0</v>
      </c>
      <c r="W32" s="2993">
        <v>0</v>
      </c>
      <c r="X32" s="1459">
        <f t="shared" si="10"/>
        <v>0</v>
      </c>
      <c r="Y32" s="1459">
        <f t="shared" si="11"/>
        <v>0</v>
      </c>
      <c r="Z32" s="1910">
        <v>0</v>
      </c>
    </row>
    <row r="33" spans="1:26">
      <c r="C33" s="1667" t="s">
        <v>720</v>
      </c>
      <c r="D33" s="2785"/>
      <c r="E33" s="1641">
        <f>E20*E31</f>
        <v>2584.2914999999998</v>
      </c>
      <c r="F33" s="1661">
        <f t="shared" ref="F33" si="14">SUM(D33:E33)</f>
        <v>2584.2914999999998</v>
      </c>
      <c r="H33" s="1460" t="s">
        <v>1448</v>
      </c>
      <c r="I33" s="2205">
        <v>0.19</v>
      </c>
      <c r="J33" s="1470" t="s">
        <v>71</v>
      </c>
      <c r="K33" s="1460" t="s">
        <v>992</v>
      </c>
      <c r="L33" s="1467">
        <v>8.94</v>
      </c>
      <c r="M33" s="1467">
        <v>2.78</v>
      </c>
      <c r="N33" s="1461">
        <v>8.3000499251123308E-3</v>
      </c>
      <c r="O33" s="1460">
        <v>20</v>
      </c>
      <c r="P33" s="1463" t="s">
        <v>1008</v>
      </c>
      <c r="Q33" s="3266">
        <v>35000</v>
      </c>
      <c r="R33" s="1466">
        <v>0</v>
      </c>
      <c r="S33" s="1469">
        <f t="shared" si="7"/>
        <v>35000</v>
      </c>
      <c r="T33" s="2991">
        <v>6650</v>
      </c>
      <c r="U33" s="1469">
        <f t="shared" si="8"/>
        <v>0</v>
      </c>
      <c r="V33" s="1469">
        <f t="shared" si="9"/>
        <v>6650</v>
      </c>
      <c r="W33" s="2993">
        <v>97300</v>
      </c>
      <c r="X33" s="1459">
        <f t="shared" si="10"/>
        <v>0</v>
      </c>
      <c r="Y33" s="1459">
        <f t="shared" si="11"/>
        <v>97300</v>
      </c>
      <c r="Z33" s="1910">
        <v>7.0000000000000007E-2</v>
      </c>
    </row>
    <row r="34" spans="1:26">
      <c r="C34" s="1445"/>
      <c r="D34" s="2775"/>
      <c r="E34" s="1444"/>
      <c r="F34" s="1426">
        <f t="shared" si="13"/>
        <v>0</v>
      </c>
      <c r="H34" s="1460" t="s">
        <v>1770</v>
      </c>
      <c r="I34" s="2205">
        <v>0.01</v>
      </c>
      <c r="J34" s="1470" t="s">
        <v>71</v>
      </c>
      <c r="K34" s="1460" t="s">
        <v>992</v>
      </c>
      <c r="L34" s="1467">
        <v>0.2</v>
      </c>
      <c r="M34" s="1467">
        <v>0.09</v>
      </c>
      <c r="N34" s="1461">
        <v>5.4917623564653024E-3</v>
      </c>
      <c r="O34" s="1460">
        <v>30</v>
      </c>
      <c r="P34" s="1463" t="s">
        <v>1008</v>
      </c>
      <c r="Q34" s="3266">
        <v>0</v>
      </c>
      <c r="R34" s="1466">
        <v>440000</v>
      </c>
      <c r="S34" s="1469">
        <f t="shared" ref="S34:S40" si="15">SUM(Q34:R34)</f>
        <v>440000</v>
      </c>
      <c r="T34" s="2991" t="s">
        <v>229</v>
      </c>
      <c r="U34" s="1469">
        <f t="shared" ref="U34:U40" si="16">R34*I34</f>
        <v>4400</v>
      </c>
      <c r="V34" s="1469">
        <f t="shared" ref="V34:V40" si="17">SUM(T34:U34)</f>
        <v>4400</v>
      </c>
      <c r="W34" s="2993" t="s">
        <v>229</v>
      </c>
      <c r="X34" s="1459">
        <f t="shared" ref="X34:X40" si="18">R34*M34</f>
        <v>39600</v>
      </c>
      <c r="Y34" s="1459">
        <f t="shared" ref="Y34:Y40" si="19">SUM(W34:X34)</f>
        <v>39600</v>
      </c>
      <c r="Z34" s="1910">
        <v>0</v>
      </c>
    </row>
    <row r="35" spans="1:26">
      <c r="C35" s="1488"/>
      <c r="D35" s="2779"/>
      <c r="E35" s="1490"/>
      <c r="F35" s="1493"/>
      <c r="H35" s="1460" t="s">
        <v>1771</v>
      </c>
      <c r="I35" s="2205">
        <v>42.5</v>
      </c>
      <c r="J35" s="1470" t="s">
        <v>71</v>
      </c>
      <c r="K35" s="1460" t="s">
        <v>893</v>
      </c>
      <c r="L35" s="1467">
        <v>608.58000000000004</v>
      </c>
      <c r="M35" s="1467">
        <v>300</v>
      </c>
      <c r="N35" s="1461">
        <v>2.9174987518721916E-2</v>
      </c>
      <c r="O35" s="1460">
        <v>20</v>
      </c>
      <c r="P35" s="1463" t="s">
        <v>1008</v>
      </c>
      <c r="Q35" s="3266">
        <v>0</v>
      </c>
      <c r="R35" s="1466">
        <v>550</v>
      </c>
      <c r="S35" s="1469">
        <f t="shared" si="15"/>
        <v>550</v>
      </c>
      <c r="T35" s="2991" t="s">
        <v>229</v>
      </c>
      <c r="U35" s="1469">
        <f t="shared" si="16"/>
        <v>23375</v>
      </c>
      <c r="V35" s="1469">
        <f t="shared" si="17"/>
        <v>23375</v>
      </c>
      <c r="W35" s="2993" t="s">
        <v>229</v>
      </c>
      <c r="X35" s="1459">
        <f t="shared" si="18"/>
        <v>165000</v>
      </c>
      <c r="Y35" s="1459">
        <f t="shared" si="19"/>
        <v>165000</v>
      </c>
      <c r="Z35" s="1910">
        <v>7.08</v>
      </c>
    </row>
    <row r="36" spans="1:26" ht="25.5">
      <c r="A36" s="1400" t="s">
        <v>279</v>
      </c>
      <c r="C36" s="1597" t="s">
        <v>46</v>
      </c>
      <c r="D36" s="2771">
        <f>SUM(D37:D40)</f>
        <v>41178.94</v>
      </c>
      <c r="E36" s="1464">
        <f>SUM(E37:E40)</f>
        <v>41178.94</v>
      </c>
      <c r="F36" s="1638">
        <f>D36+E36</f>
        <v>82357.88</v>
      </c>
      <c r="H36" s="1460" t="s">
        <v>1772</v>
      </c>
      <c r="I36" s="2205">
        <v>11</v>
      </c>
      <c r="J36" s="1470" t="s">
        <v>71</v>
      </c>
      <c r="K36" s="1460" t="s">
        <v>845</v>
      </c>
      <c r="L36" s="1467">
        <v>9.48</v>
      </c>
      <c r="M36" s="1467">
        <v>9.48</v>
      </c>
      <c r="N36" s="1461">
        <v>1.6475287069395907E-2</v>
      </c>
      <c r="O36" s="1460">
        <v>10</v>
      </c>
      <c r="P36" s="1463" t="s">
        <v>846</v>
      </c>
      <c r="Q36" s="3266">
        <v>0</v>
      </c>
      <c r="R36" s="1466">
        <v>1200</v>
      </c>
      <c r="S36" s="1469">
        <f t="shared" si="15"/>
        <v>1200</v>
      </c>
      <c r="T36" s="2991" t="s">
        <v>229</v>
      </c>
      <c r="U36" s="1469">
        <f t="shared" si="16"/>
        <v>13200</v>
      </c>
      <c r="V36" s="1469">
        <f t="shared" si="17"/>
        <v>13200</v>
      </c>
      <c r="W36" s="2993" t="s">
        <v>229</v>
      </c>
      <c r="X36" s="1459">
        <f t="shared" si="18"/>
        <v>11376</v>
      </c>
      <c r="Y36" s="1459">
        <f t="shared" si="19"/>
        <v>11376</v>
      </c>
      <c r="Z36" s="1910">
        <v>20.53</v>
      </c>
    </row>
    <row r="37" spans="1:26">
      <c r="A37" s="1357" t="s">
        <v>275</v>
      </c>
      <c r="C37" s="1667" t="s">
        <v>1000</v>
      </c>
      <c r="D37" s="2778">
        <v>20928.939999999999</v>
      </c>
      <c r="E37" s="1520">
        <v>20928.939999999999</v>
      </c>
      <c r="F37" s="1426">
        <f t="shared" ref="F37:F40" si="20">SUM(D37:E37)</f>
        <v>41857.879999999997</v>
      </c>
      <c r="H37" s="1460" t="s">
        <v>1773</v>
      </c>
      <c r="I37" s="2205">
        <v>0</v>
      </c>
      <c r="J37" s="1470" t="s">
        <v>71</v>
      </c>
      <c r="K37" s="1460" t="s">
        <v>893</v>
      </c>
      <c r="L37" s="1467">
        <v>121</v>
      </c>
      <c r="M37" s="1467">
        <v>121</v>
      </c>
      <c r="N37" s="1461">
        <v>0</v>
      </c>
      <c r="O37" s="1460">
        <v>1</v>
      </c>
      <c r="P37" s="1463" t="s">
        <v>1008</v>
      </c>
      <c r="Q37" s="1466">
        <v>0</v>
      </c>
      <c r="R37" s="1466">
        <v>650</v>
      </c>
      <c r="S37" s="1469">
        <f t="shared" si="15"/>
        <v>650</v>
      </c>
      <c r="T37" s="1469" t="s">
        <v>229</v>
      </c>
      <c r="U37" s="1469">
        <f t="shared" si="16"/>
        <v>0</v>
      </c>
      <c r="V37" s="1469">
        <f t="shared" si="17"/>
        <v>0</v>
      </c>
      <c r="W37" s="2993" t="s">
        <v>229</v>
      </c>
      <c r="X37" s="1459">
        <f t="shared" si="18"/>
        <v>78650</v>
      </c>
      <c r="Y37" s="1459">
        <f t="shared" si="19"/>
        <v>78650</v>
      </c>
      <c r="Z37" s="1910">
        <v>0</v>
      </c>
    </row>
    <row r="38" spans="1:26">
      <c r="A38" s="1400" t="s">
        <v>5</v>
      </c>
      <c r="C38" s="1667" t="s">
        <v>1059</v>
      </c>
      <c r="D38" s="2778">
        <v>20250</v>
      </c>
      <c r="E38" s="1520">
        <v>20250</v>
      </c>
      <c r="F38" s="1426">
        <f t="shared" si="20"/>
        <v>40500</v>
      </c>
      <c r="H38" s="1460" t="s">
        <v>1774</v>
      </c>
      <c r="I38" s="2205">
        <v>0.4</v>
      </c>
      <c r="J38" s="1470" t="s">
        <v>71</v>
      </c>
      <c r="K38" s="1460" t="s">
        <v>992</v>
      </c>
      <c r="L38" s="1467">
        <v>17.809999999999999</v>
      </c>
      <c r="M38" s="1467">
        <v>2.78</v>
      </c>
      <c r="N38" s="1461">
        <v>8.9865202196704949E-3</v>
      </c>
      <c r="O38" s="1460">
        <v>30</v>
      </c>
      <c r="P38" s="1463" t="s">
        <v>1008</v>
      </c>
      <c r="Q38" s="1466">
        <v>0</v>
      </c>
      <c r="R38" s="1466">
        <v>18000</v>
      </c>
      <c r="S38" s="1469">
        <f t="shared" si="15"/>
        <v>18000</v>
      </c>
      <c r="T38" s="1469" t="s">
        <v>229</v>
      </c>
      <c r="U38" s="1469">
        <f t="shared" si="16"/>
        <v>7200</v>
      </c>
      <c r="V38" s="1469">
        <f t="shared" si="17"/>
        <v>7200</v>
      </c>
      <c r="W38" s="2993" t="s">
        <v>229</v>
      </c>
      <c r="X38" s="1459">
        <f t="shared" si="18"/>
        <v>50040</v>
      </c>
      <c r="Y38" s="1459">
        <f t="shared" si="19"/>
        <v>50040</v>
      </c>
      <c r="Z38" s="1910">
        <v>0</v>
      </c>
    </row>
    <row r="39" spans="1:26">
      <c r="A39" s="1400">
        <v>18230637</v>
      </c>
      <c r="C39" s="1667"/>
      <c r="D39" s="2778"/>
      <c r="E39" s="1520"/>
      <c r="F39" s="1426">
        <f t="shared" si="20"/>
        <v>0</v>
      </c>
      <c r="H39" s="1460" t="s">
        <v>1775</v>
      </c>
      <c r="I39" s="2205">
        <v>0</v>
      </c>
      <c r="J39" s="1470" t="s">
        <v>71</v>
      </c>
      <c r="K39" s="1460" t="s">
        <v>893</v>
      </c>
      <c r="L39" s="1467">
        <v>144</v>
      </c>
      <c r="M39" s="1467">
        <v>144</v>
      </c>
      <c r="N39" s="1461">
        <v>0</v>
      </c>
      <c r="O39" s="1460">
        <v>1</v>
      </c>
      <c r="P39" s="1463" t="s">
        <v>1008</v>
      </c>
      <c r="Q39" s="1466">
        <v>0</v>
      </c>
      <c r="R39" s="1466">
        <v>850</v>
      </c>
      <c r="S39" s="1469">
        <f t="shared" si="15"/>
        <v>850</v>
      </c>
      <c r="T39" s="1469" t="s">
        <v>229</v>
      </c>
      <c r="U39" s="1469">
        <f t="shared" si="16"/>
        <v>0</v>
      </c>
      <c r="V39" s="1469">
        <f t="shared" si="17"/>
        <v>0</v>
      </c>
      <c r="W39" s="2993" t="s">
        <v>229</v>
      </c>
      <c r="X39" s="1459">
        <f t="shared" si="18"/>
        <v>122400</v>
      </c>
      <c r="Y39" s="1459">
        <f t="shared" si="19"/>
        <v>122400</v>
      </c>
      <c r="Z39" s="1910">
        <v>0</v>
      </c>
    </row>
    <row r="40" spans="1:26">
      <c r="A40" s="1400" t="s">
        <v>28</v>
      </c>
      <c r="C40" s="1667"/>
      <c r="D40" s="2778"/>
      <c r="E40" s="1520"/>
      <c r="F40" s="1426">
        <f t="shared" si="20"/>
        <v>0</v>
      </c>
      <c r="H40" s="1460" t="s">
        <v>2627</v>
      </c>
      <c r="I40" s="2205">
        <v>0.02</v>
      </c>
      <c r="J40" s="1470" t="s">
        <v>71</v>
      </c>
      <c r="K40" s="1460" t="s">
        <v>992</v>
      </c>
      <c r="L40" s="1467">
        <v>1.39</v>
      </c>
      <c r="M40" s="1467">
        <v>0.55000000000000004</v>
      </c>
      <c r="N40" s="1461">
        <v>6.2406390414378437E-4</v>
      </c>
      <c r="O40" s="1460">
        <v>25</v>
      </c>
      <c r="P40" s="1463" t="s">
        <v>1008</v>
      </c>
      <c r="Q40" s="1466">
        <v>0</v>
      </c>
      <c r="R40" s="1466">
        <v>25000</v>
      </c>
      <c r="S40" s="1469">
        <f t="shared" si="15"/>
        <v>25000</v>
      </c>
      <c r="T40" s="1469" t="s">
        <v>229</v>
      </c>
      <c r="U40" s="1469">
        <f t="shared" si="16"/>
        <v>500</v>
      </c>
      <c r="V40" s="1469">
        <f t="shared" si="17"/>
        <v>500</v>
      </c>
      <c r="W40" s="2993" t="s">
        <v>229</v>
      </c>
      <c r="X40" s="1459">
        <f t="shared" si="18"/>
        <v>13750.000000000002</v>
      </c>
      <c r="Y40" s="1459">
        <f t="shared" si="19"/>
        <v>13750.000000000002</v>
      </c>
      <c r="Z40" s="1910"/>
    </row>
    <row r="41" spans="1:26">
      <c r="C41" s="1488"/>
      <c r="D41" s="2779"/>
      <c r="E41" s="1490"/>
      <c r="F41" s="1493"/>
      <c r="H41" s="1460"/>
      <c r="I41" s="2205"/>
      <c r="J41" s="1470" t="s">
        <v>229</v>
      </c>
      <c r="K41" s="1460"/>
      <c r="L41" s="1467"/>
      <c r="M41" s="1467"/>
      <c r="N41" s="1461"/>
      <c r="O41" s="1460"/>
      <c r="P41" s="1463"/>
      <c r="Q41" s="1466"/>
      <c r="R41" s="1466"/>
      <c r="S41" s="1469" t="s">
        <v>229</v>
      </c>
      <c r="T41" s="1469" t="s">
        <v>229</v>
      </c>
      <c r="U41" s="1469" t="s">
        <v>229</v>
      </c>
      <c r="V41" s="1469" t="s">
        <v>229</v>
      </c>
      <c r="W41" s="2993" t="s">
        <v>229</v>
      </c>
      <c r="X41" s="1459" t="s">
        <v>229</v>
      </c>
      <c r="Y41" s="1459" t="s">
        <v>229</v>
      </c>
      <c r="Z41" s="1910"/>
    </row>
    <row r="42" spans="1:26">
      <c r="C42" s="1597" t="s">
        <v>483</v>
      </c>
      <c r="D42" s="2771">
        <f>SUM(D43:D46)</f>
        <v>2500</v>
      </c>
      <c r="E42" s="1464">
        <f>SUM(E43:E46)</f>
        <v>2500</v>
      </c>
      <c r="F42" s="1638">
        <f>D42+E42</f>
        <v>5000</v>
      </c>
      <c r="H42" s="1460"/>
      <c r="I42" s="2205"/>
      <c r="J42" s="1470" t="s">
        <v>229</v>
      </c>
      <c r="K42" s="1460"/>
      <c r="L42" s="1467"/>
      <c r="M42" s="1467"/>
      <c r="N42" s="1461"/>
      <c r="O42" s="1460"/>
      <c r="P42" s="1463"/>
      <c r="Q42" s="1466"/>
      <c r="R42" s="1466"/>
      <c r="S42" s="1469" t="s">
        <v>229</v>
      </c>
      <c r="T42" s="1469" t="s">
        <v>229</v>
      </c>
      <c r="U42" s="1469" t="s">
        <v>229</v>
      </c>
      <c r="V42" s="1469" t="s">
        <v>229</v>
      </c>
      <c r="W42" s="2993" t="s">
        <v>229</v>
      </c>
      <c r="X42" s="1459" t="s">
        <v>229</v>
      </c>
      <c r="Y42" s="1459" t="s">
        <v>229</v>
      </c>
      <c r="Z42" s="1910"/>
    </row>
    <row r="43" spans="1:26">
      <c r="C43" s="1667" t="s">
        <v>1011</v>
      </c>
      <c r="D43" s="2778">
        <v>2500</v>
      </c>
      <c r="E43" s="1520">
        <v>2500</v>
      </c>
      <c r="F43" s="1426">
        <f t="shared" ref="F43:F46" si="21">SUM(D43:E43)</f>
        <v>5000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667" t="s">
        <v>1060</v>
      </c>
      <c r="D44" s="2778"/>
      <c r="E44" s="1520"/>
      <c r="F44" s="1426">
        <f t="shared" si="21"/>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667"/>
      <c r="D45" s="2778"/>
      <c r="E45" s="1520"/>
      <c r="F45" s="1426">
        <f t="shared" si="21"/>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667"/>
      <c r="D46" s="2778"/>
      <c r="E46" s="1520"/>
      <c r="F46" s="1426">
        <f t="shared" si="21"/>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88"/>
      <c r="D47" s="2779"/>
      <c r="E47" s="1490"/>
      <c r="F47" s="1493"/>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597" t="s">
        <v>47</v>
      </c>
      <c r="D48" s="2771">
        <f>SUM(D49:D52)</f>
        <v>280000</v>
      </c>
      <c r="E48" s="1464">
        <f>SUM(E49:E52)</f>
        <v>327523.05</v>
      </c>
      <c r="F48" s="1638">
        <f>D48+E48</f>
        <v>607523.05000000005</v>
      </c>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3:26">
      <c r="C49" s="1667" t="s">
        <v>546</v>
      </c>
      <c r="D49" s="2778">
        <v>280000</v>
      </c>
      <c r="E49" s="1520">
        <v>264840</v>
      </c>
      <c r="F49" s="1426">
        <f t="shared" ref="F49:F52" si="22">SUM(D49:E49)</f>
        <v>544840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3:26">
      <c r="C50" s="1667" t="s">
        <v>1776</v>
      </c>
      <c r="D50" s="2778"/>
      <c r="E50" s="1520">
        <v>4320</v>
      </c>
      <c r="F50" s="1426">
        <f t="shared" si="22"/>
        <v>4320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3:26">
      <c r="C51" s="1667" t="s">
        <v>1777</v>
      </c>
      <c r="D51" s="2778"/>
      <c r="E51" s="1520">
        <v>54750</v>
      </c>
      <c r="F51" s="1426">
        <f t="shared" si="22"/>
        <v>54750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3:26">
      <c r="C52" s="1667" t="s">
        <v>1778</v>
      </c>
      <c r="D52" s="2778"/>
      <c r="E52" s="1520">
        <v>3613.05</v>
      </c>
      <c r="F52" s="1426">
        <f t="shared" si="22"/>
        <v>3613.05</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3:26">
      <c r="C53" s="1488"/>
      <c r="D53" s="2779"/>
      <c r="E53" s="1490"/>
      <c r="F53" s="1493"/>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3:26">
      <c r="C54" s="1451" t="s">
        <v>48</v>
      </c>
      <c r="D54" s="2771">
        <f>SUM(D55:D58)</f>
        <v>0</v>
      </c>
      <c r="E54" s="1464">
        <f>SUM(E55:E58)</f>
        <v>0</v>
      </c>
      <c r="F54" s="1638">
        <f>D54+E54</f>
        <v>0</v>
      </c>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3:26">
      <c r="C55" s="1423"/>
      <c r="D55" s="2778"/>
      <c r="E55" s="1504"/>
      <c r="F55" s="1426">
        <f t="shared" ref="F55:F58" si="23">SUM(D55:E55)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3:26">
      <c r="C56" s="1423"/>
      <c r="D56" s="2778"/>
      <c r="E56" s="1504"/>
      <c r="F56" s="1426">
        <f t="shared" si="2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3:26">
      <c r="C57" s="1423"/>
      <c r="D57" s="2778"/>
      <c r="E57" s="1504"/>
      <c r="F57" s="1426">
        <f t="shared" si="2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3:26">
      <c r="C58" s="1423"/>
      <c r="D58" s="2778"/>
      <c r="E58" s="1504"/>
      <c r="F58" s="1426">
        <f t="shared" si="2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3:26">
      <c r="C59" s="1488"/>
      <c r="D59" s="2779"/>
      <c r="E59" s="1490"/>
      <c r="F59" s="1493"/>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3:26">
      <c r="C60" s="1451" t="s">
        <v>49</v>
      </c>
      <c r="D60" s="2771">
        <f>SUM(D61:D64)</f>
        <v>15000</v>
      </c>
      <c r="E60" s="1464">
        <f>SUM(E61:E64)</f>
        <v>15000</v>
      </c>
      <c r="F60" s="1638">
        <f>D60+E60</f>
        <v>30000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3:26">
      <c r="C61" s="1423"/>
      <c r="D61" s="2778">
        <v>15000</v>
      </c>
      <c r="E61" s="1520">
        <v>15000</v>
      </c>
      <c r="F61" s="1426">
        <f t="shared" ref="F61:F64" si="24">SUM(D61:E61)</f>
        <v>30000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3:26">
      <c r="C62" s="1423"/>
      <c r="D62" s="2778"/>
      <c r="E62" s="1520"/>
      <c r="F62" s="1426">
        <f t="shared" si="24"/>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3:26">
      <c r="C63" s="1423"/>
      <c r="D63" s="2778"/>
      <c r="E63" s="1520"/>
      <c r="F63" s="1426">
        <f t="shared" si="2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3:26">
      <c r="C64" s="1423"/>
      <c r="D64" s="2778"/>
      <c r="E64" s="1520"/>
      <c r="F64" s="1426">
        <f t="shared" si="2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C65" s="1488"/>
      <c r="D65" s="2779"/>
      <c r="E65" s="1490"/>
      <c r="F65" s="1493"/>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ht="25.5">
      <c r="A66" s="1400" t="s">
        <v>279</v>
      </c>
      <c r="C66" s="1451" t="s">
        <v>50</v>
      </c>
      <c r="D66" s="2771">
        <f>W15</f>
        <v>2227305</v>
      </c>
      <c r="E66" s="1464">
        <f>X15</f>
        <v>2237741</v>
      </c>
      <c r="F66" s="1462">
        <f>D66+E66</f>
        <v>4465046</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910"/>
    </row>
    <row r="67" spans="1:26">
      <c r="A67" s="1357" t="s">
        <v>275</v>
      </c>
      <c r="C67" s="1500" t="s">
        <v>297</v>
      </c>
      <c r="D67" s="2938">
        <f>D66/D12</f>
        <v>0.84451844314733637</v>
      </c>
      <c r="E67" s="1986">
        <f>E66/E12</f>
        <v>0.82912727543310716</v>
      </c>
      <c r="F67" s="1499"/>
      <c r="H67" s="1460"/>
      <c r="I67" s="1466"/>
      <c r="J67" s="1470" t="s">
        <v>229</v>
      </c>
      <c r="K67" s="1460"/>
      <c r="L67" s="1467"/>
      <c r="M67" s="1467"/>
      <c r="N67" s="1461"/>
      <c r="O67" s="1460"/>
      <c r="P67" s="1463"/>
      <c r="Q67" s="1466"/>
      <c r="R67" s="1466"/>
      <c r="S67" s="1469" t="s">
        <v>229</v>
      </c>
      <c r="T67" s="1469" t="s">
        <v>229</v>
      </c>
      <c r="U67" s="1469" t="s">
        <v>229</v>
      </c>
      <c r="V67" s="1469" t="s">
        <v>229</v>
      </c>
      <c r="W67" s="1459" t="s">
        <v>229</v>
      </c>
      <c r="X67" s="1459" t="s">
        <v>229</v>
      </c>
      <c r="Y67" s="1459" t="s">
        <v>229</v>
      </c>
      <c r="Z67" s="1910"/>
    </row>
    <row r="68" spans="1:26">
      <c r="A68" s="1400" t="s">
        <v>5</v>
      </c>
      <c r="C68" s="1501"/>
      <c r="D68" s="2782"/>
      <c r="E68" s="1497"/>
      <c r="F68" s="1498"/>
    </row>
    <row r="69" spans="1:26">
      <c r="A69" s="1400">
        <v>18230637</v>
      </c>
      <c r="C69" s="1494" t="s">
        <v>51</v>
      </c>
      <c r="D69" s="2778">
        <v>0</v>
      </c>
      <c r="E69" s="1503">
        <v>0</v>
      </c>
      <c r="F69" s="1491">
        <v>0</v>
      </c>
    </row>
    <row r="70" spans="1:26">
      <c r="A70" s="1400" t="s">
        <v>28</v>
      </c>
    </row>
  </sheetData>
  <customSheetViews>
    <customSheetView guid="{D9EFFE19-D14B-4C6F-BDF4-FF696F73968D}" showGridLines="0">
      <pane xSplit="1" ySplit="1" topLeftCell="H2" activePane="bottomRight" state="frozen"/>
      <selection pane="bottomRight" activeCell="M16" sqref="M16:M39"/>
      <pageMargins left="0.2" right="0.23" top="0.35" bottom="0.34"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2" right="0.23" top="0.35" bottom="0.34"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 right="0.23" top="0.35" bottom="0.34" header="0.3" footer="0.3"/>
  <pageSetup paperSize="3" scale="43" orientation="landscape" r:id="rId3"/>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T6" sqref="T6"/>
    </sheetView>
  </sheetViews>
  <sheetFormatPr defaultRowHeight="12.75"/>
  <cols>
    <col min="1" max="1" width="17.85546875" style="849" customWidth="1"/>
    <col min="2" max="2" width="15.7109375" style="1413" customWidth="1"/>
    <col min="3" max="3" width="26.28515625" customWidth="1"/>
    <col min="4" max="4" width="19.85546875" customWidth="1"/>
    <col min="5" max="5" width="15.7109375" style="9" customWidth="1"/>
    <col min="6" max="6" width="15.7109375" customWidth="1"/>
    <col min="7" max="7" width="15.5703125" customWidth="1"/>
    <col min="8" max="8" width="39.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7.7109375" bestFit="1" customWidth="1"/>
    <col min="18" max="18" width="17.28515625" bestFit="1" customWidth="1"/>
    <col min="19" max="19" width="17.7109375" bestFit="1" customWidth="1"/>
    <col min="20" max="21" width="20.5703125" bestFit="1" customWidth="1"/>
    <col min="22" max="22" width="16.42578125" bestFit="1" customWidth="1"/>
    <col min="23" max="24" width="16.42578125" customWidth="1"/>
    <col min="25" max="25" width="15.7109375" bestFit="1" customWidth="1"/>
    <col min="26" max="26" width="12.5703125" bestFit="1" customWidth="1"/>
    <col min="249" max="249" width="24" bestFit="1" customWidth="1"/>
    <col min="250" max="250" width="43.85546875" customWidth="1"/>
    <col min="251" max="251" width="19.7109375" bestFit="1" customWidth="1"/>
    <col min="252" max="252" width="17.140625" customWidth="1"/>
    <col min="253" max="253" width="19.4257812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7.7109375" bestFit="1" customWidth="1"/>
    <col min="264" max="264" width="17.28515625" bestFit="1" customWidth="1"/>
    <col min="265" max="265" width="17.7109375" bestFit="1" customWidth="1"/>
    <col min="266" max="267" width="20.5703125" bestFit="1" customWidth="1"/>
    <col min="268" max="268" width="16.42578125" bestFit="1" customWidth="1"/>
    <col min="269" max="269" width="14.28515625" customWidth="1"/>
    <col min="270" max="270" width="12.85546875" bestFit="1" customWidth="1"/>
    <col min="271" max="271" width="15.710937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7.140625" customWidth="1"/>
    <col min="509" max="509" width="19.4257812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7.7109375" bestFit="1" customWidth="1"/>
    <col min="520" max="520" width="17.28515625" bestFit="1" customWidth="1"/>
    <col min="521" max="521" width="17.7109375" bestFit="1" customWidth="1"/>
    <col min="522" max="523" width="20.5703125" bestFit="1" customWidth="1"/>
    <col min="524" max="524" width="16.42578125" bestFit="1" customWidth="1"/>
    <col min="525" max="525" width="14.28515625" customWidth="1"/>
    <col min="526" max="526" width="12.85546875" bestFit="1" customWidth="1"/>
    <col min="527" max="527" width="15.710937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7.140625" customWidth="1"/>
    <col min="765" max="765" width="19.4257812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7.7109375" bestFit="1" customWidth="1"/>
    <col min="776" max="776" width="17.28515625" bestFit="1" customWidth="1"/>
    <col min="777" max="777" width="17.7109375" bestFit="1" customWidth="1"/>
    <col min="778" max="779" width="20.5703125" bestFit="1" customWidth="1"/>
    <col min="780" max="780" width="16.42578125" bestFit="1" customWidth="1"/>
    <col min="781" max="781" width="14.28515625" customWidth="1"/>
    <col min="782" max="782" width="12.85546875" bestFit="1" customWidth="1"/>
    <col min="783" max="783" width="15.710937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7.140625" customWidth="1"/>
    <col min="1021" max="1021" width="19.4257812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7.7109375" bestFit="1" customWidth="1"/>
    <col min="1032" max="1032" width="17.28515625" bestFit="1" customWidth="1"/>
    <col min="1033" max="1033" width="17.7109375" bestFit="1" customWidth="1"/>
    <col min="1034" max="1035" width="20.5703125" bestFit="1" customWidth="1"/>
    <col min="1036" max="1036" width="16.42578125" bestFit="1" customWidth="1"/>
    <col min="1037" max="1037" width="14.28515625" customWidth="1"/>
    <col min="1038" max="1038" width="12.85546875" bestFit="1" customWidth="1"/>
    <col min="1039" max="1039" width="15.710937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7.140625" customWidth="1"/>
    <col min="1277" max="1277" width="19.4257812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7.7109375" bestFit="1" customWidth="1"/>
    <col min="1288" max="1288" width="17.28515625" bestFit="1" customWidth="1"/>
    <col min="1289" max="1289" width="17.7109375" bestFit="1" customWidth="1"/>
    <col min="1290" max="1291" width="20.5703125" bestFit="1" customWidth="1"/>
    <col min="1292" max="1292" width="16.42578125" bestFit="1" customWidth="1"/>
    <col min="1293" max="1293" width="14.28515625" customWidth="1"/>
    <col min="1294" max="1294" width="12.85546875" bestFit="1" customWidth="1"/>
    <col min="1295" max="1295" width="15.710937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7.140625" customWidth="1"/>
    <col min="1533" max="1533" width="19.4257812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7.7109375" bestFit="1" customWidth="1"/>
    <col min="1544" max="1544" width="17.28515625" bestFit="1" customWidth="1"/>
    <col min="1545" max="1545" width="17.7109375" bestFit="1" customWidth="1"/>
    <col min="1546" max="1547" width="20.5703125" bestFit="1" customWidth="1"/>
    <col min="1548" max="1548" width="16.42578125" bestFit="1" customWidth="1"/>
    <col min="1549" max="1549" width="14.28515625" customWidth="1"/>
    <col min="1550" max="1550" width="12.85546875" bestFit="1" customWidth="1"/>
    <col min="1551" max="1551" width="15.710937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7.140625" customWidth="1"/>
    <col min="1789" max="1789" width="19.4257812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7.7109375" bestFit="1" customWidth="1"/>
    <col min="1800" max="1800" width="17.28515625" bestFit="1" customWidth="1"/>
    <col min="1801" max="1801" width="17.7109375" bestFit="1" customWidth="1"/>
    <col min="1802" max="1803" width="20.5703125" bestFit="1" customWidth="1"/>
    <col min="1804" max="1804" width="16.42578125" bestFit="1" customWidth="1"/>
    <col min="1805" max="1805" width="14.28515625" customWidth="1"/>
    <col min="1806" max="1806" width="12.85546875" bestFit="1" customWidth="1"/>
    <col min="1807" max="1807" width="15.710937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7.140625" customWidth="1"/>
    <col min="2045" max="2045" width="19.4257812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7.7109375" bestFit="1" customWidth="1"/>
    <col min="2056" max="2056" width="17.28515625" bestFit="1" customWidth="1"/>
    <col min="2057" max="2057" width="17.7109375" bestFit="1" customWidth="1"/>
    <col min="2058" max="2059" width="20.5703125" bestFit="1" customWidth="1"/>
    <col min="2060" max="2060" width="16.42578125" bestFit="1" customWidth="1"/>
    <col min="2061" max="2061" width="14.28515625" customWidth="1"/>
    <col min="2062" max="2062" width="12.85546875" bestFit="1" customWidth="1"/>
    <col min="2063" max="2063" width="15.710937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7.140625" customWidth="1"/>
    <col min="2301" max="2301" width="19.4257812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7.7109375" bestFit="1" customWidth="1"/>
    <col min="2312" max="2312" width="17.28515625" bestFit="1" customWidth="1"/>
    <col min="2313" max="2313" width="17.7109375" bestFit="1" customWidth="1"/>
    <col min="2314" max="2315" width="20.5703125" bestFit="1" customWidth="1"/>
    <col min="2316" max="2316" width="16.42578125" bestFit="1" customWidth="1"/>
    <col min="2317" max="2317" width="14.28515625" customWidth="1"/>
    <col min="2318" max="2318" width="12.85546875" bestFit="1" customWidth="1"/>
    <col min="2319" max="2319" width="15.710937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7.140625" customWidth="1"/>
    <col min="2557" max="2557" width="19.4257812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7.7109375" bestFit="1" customWidth="1"/>
    <col min="2568" max="2568" width="17.28515625" bestFit="1" customWidth="1"/>
    <col min="2569" max="2569" width="17.7109375" bestFit="1" customWidth="1"/>
    <col min="2570" max="2571" width="20.5703125" bestFit="1" customWidth="1"/>
    <col min="2572" max="2572" width="16.42578125" bestFit="1" customWidth="1"/>
    <col min="2573" max="2573" width="14.28515625" customWidth="1"/>
    <col min="2574" max="2574" width="12.85546875" bestFit="1" customWidth="1"/>
    <col min="2575" max="2575" width="15.710937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7.140625" customWidth="1"/>
    <col min="2813" max="2813" width="19.4257812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7.7109375" bestFit="1" customWidth="1"/>
    <col min="2824" max="2824" width="17.28515625" bestFit="1" customWidth="1"/>
    <col min="2825" max="2825" width="17.7109375" bestFit="1" customWidth="1"/>
    <col min="2826" max="2827" width="20.5703125" bestFit="1" customWidth="1"/>
    <col min="2828" max="2828" width="16.42578125" bestFit="1" customWidth="1"/>
    <col min="2829" max="2829" width="14.28515625" customWidth="1"/>
    <col min="2830" max="2830" width="12.85546875" bestFit="1" customWidth="1"/>
    <col min="2831" max="2831" width="15.710937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7.140625" customWidth="1"/>
    <col min="3069" max="3069" width="19.4257812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7.7109375" bestFit="1" customWidth="1"/>
    <col min="3080" max="3080" width="17.28515625" bestFit="1" customWidth="1"/>
    <col min="3081" max="3081" width="17.7109375" bestFit="1" customWidth="1"/>
    <col min="3082" max="3083" width="20.5703125" bestFit="1" customWidth="1"/>
    <col min="3084" max="3084" width="16.42578125" bestFit="1" customWidth="1"/>
    <col min="3085" max="3085" width="14.28515625" customWidth="1"/>
    <col min="3086" max="3086" width="12.85546875" bestFit="1" customWidth="1"/>
    <col min="3087" max="3087" width="15.710937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7.140625" customWidth="1"/>
    <col min="3325" max="3325" width="19.4257812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7.7109375" bestFit="1" customWidth="1"/>
    <col min="3336" max="3336" width="17.28515625" bestFit="1" customWidth="1"/>
    <col min="3337" max="3337" width="17.7109375" bestFit="1" customWidth="1"/>
    <col min="3338" max="3339" width="20.5703125" bestFit="1" customWidth="1"/>
    <col min="3340" max="3340" width="16.42578125" bestFit="1" customWidth="1"/>
    <col min="3341" max="3341" width="14.28515625" customWidth="1"/>
    <col min="3342" max="3342" width="12.85546875" bestFit="1" customWidth="1"/>
    <col min="3343" max="3343" width="15.710937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7.140625" customWidth="1"/>
    <col min="3581" max="3581" width="19.4257812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7.7109375" bestFit="1" customWidth="1"/>
    <col min="3592" max="3592" width="17.28515625" bestFit="1" customWidth="1"/>
    <col min="3593" max="3593" width="17.7109375" bestFit="1" customWidth="1"/>
    <col min="3594" max="3595" width="20.5703125" bestFit="1" customWidth="1"/>
    <col min="3596" max="3596" width="16.42578125" bestFit="1" customWidth="1"/>
    <col min="3597" max="3597" width="14.28515625" customWidth="1"/>
    <col min="3598" max="3598" width="12.85546875" bestFit="1" customWidth="1"/>
    <col min="3599" max="3599" width="15.710937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7.140625" customWidth="1"/>
    <col min="3837" max="3837" width="19.4257812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7.7109375" bestFit="1" customWidth="1"/>
    <col min="3848" max="3848" width="17.28515625" bestFit="1" customWidth="1"/>
    <col min="3849" max="3849" width="17.7109375" bestFit="1" customWidth="1"/>
    <col min="3850" max="3851" width="20.5703125" bestFit="1" customWidth="1"/>
    <col min="3852" max="3852" width="16.42578125" bestFit="1" customWidth="1"/>
    <col min="3853" max="3853" width="14.28515625" customWidth="1"/>
    <col min="3854" max="3854" width="12.85546875" bestFit="1" customWidth="1"/>
    <col min="3855" max="3855" width="15.710937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7.140625" customWidth="1"/>
    <col min="4093" max="4093" width="19.4257812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7.7109375" bestFit="1" customWidth="1"/>
    <col min="4104" max="4104" width="17.28515625" bestFit="1" customWidth="1"/>
    <col min="4105" max="4105" width="17.7109375" bestFit="1" customWidth="1"/>
    <col min="4106" max="4107" width="20.5703125" bestFit="1" customWidth="1"/>
    <col min="4108" max="4108" width="16.42578125" bestFit="1" customWidth="1"/>
    <col min="4109" max="4109" width="14.28515625" customWidth="1"/>
    <col min="4110" max="4110" width="12.85546875" bestFit="1" customWidth="1"/>
    <col min="4111" max="4111" width="15.710937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7.140625" customWidth="1"/>
    <col min="4349" max="4349" width="19.4257812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7.7109375" bestFit="1" customWidth="1"/>
    <col min="4360" max="4360" width="17.28515625" bestFit="1" customWidth="1"/>
    <col min="4361" max="4361" width="17.7109375" bestFit="1" customWidth="1"/>
    <col min="4362" max="4363" width="20.5703125" bestFit="1" customWidth="1"/>
    <col min="4364" max="4364" width="16.42578125" bestFit="1" customWidth="1"/>
    <col min="4365" max="4365" width="14.28515625" customWidth="1"/>
    <col min="4366" max="4366" width="12.85546875" bestFit="1" customWidth="1"/>
    <col min="4367" max="4367" width="15.710937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7.140625" customWidth="1"/>
    <col min="4605" max="4605" width="19.4257812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7.7109375" bestFit="1" customWidth="1"/>
    <col min="4616" max="4616" width="17.28515625" bestFit="1" customWidth="1"/>
    <col min="4617" max="4617" width="17.7109375" bestFit="1" customWidth="1"/>
    <col min="4618" max="4619" width="20.5703125" bestFit="1" customWidth="1"/>
    <col min="4620" max="4620" width="16.42578125" bestFit="1" customWidth="1"/>
    <col min="4621" max="4621" width="14.28515625" customWidth="1"/>
    <col min="4622" max="4622" width="12.85546875" bestFit="1" customWidth="1"/>
    <col min="4623" max="4623" width="15.710937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7.140625" customWidth="1"/>
    <col min="4861" max="4861" width="19.4257812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7.7109375" bestFit="1" customWidth="1"/>
    <col min="4872" max="4872" width="17.28515625" bestFit="1" customWidth="1"/>
    <col min="4873" max="4873" width="17.7109375" bestFit="1" customWidth="1"/>
    <col min="4874" max="4875" width="20.5703125" bestFit="1" customWidth="1"/>
    <col min="4876" max="4876" width="16.42578125" bestFit="1" customWidth="1"/>
    <col min="4877" max="4877" width="14.28515625" customWidth="1"/>
    <col min="4878" max="4878" width="12.85546875" bestFit="1" customWidth="1"/>
    <col min="4879" max="4879" width="15.710937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7.140625" customWidth="1"/>
    <col min="5117" max="5117" width="19.4257812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7.7109375" bestFit="1" customWidth="1"/>
    <col min="5128" max="5128" width="17.28515625" bestFit="1" customWidth="1"/>
    <col min="5129" max="5129" width="17.7109375" bestFit="1" customWidth="1"/>
    <col min="5130" max="5131" width="20.5703125" bestFit="1" customWidth="1"/>
    <col min="5132" max="5132" width="16.42578125" bestFit="1" customWidth="1"/>
    <col min="5133" max="5133" width="14.28515625" customWidth="1"/>
    <col min="5134" max="5134" width="12.85546875" bestFit="1" customWidth="1"/>
    <col min="5135" max="5135" width="15.710937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7.140625" customWidth="1"/>
    <col min="5373" max="5373" width="19.4257812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7.7109375" bestFit="1" customWidth="1"/>
    <col min="5384" max="5384" width="17.28515625" bestFit="1" customWidth="1"/>
    <col min="5385" max="5385" width="17.7109375" bestFit="1" customWidth="1"/>
    <col min="5386" max="5387" width="20.5703125" bestFit="1" customWidth="1"/>
    <col min="5388" max="5388" width="16.42578125" bestFit="1" customWidth="1"/>
    <col min="5389" max="5389" width="14.28515625" customWidth="1"/>
    <col min="5390" max="5390" width="12.85546875" bestFit="1" customWidth="1"/>
    <col min="5391" max="5391" width="15.710937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7.140625" customWidth="1"/>
    <col min="5629" max="5629" width="19.4257812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7.7109375" bestFit="1" customWidth="1"/>
    <col min="5640" max="5640" width="17.28515625" bestFit="1" customWidth="1"/>
    <col min="5641" max="5641" width="17.7109375" bestFit="1" customWidth="1"/>
    <col min="5642" max="5643" width="20.5703125" bestFit="1" customWidth="1"/>
    <col min="5644" max="5644" width="16.42578125" bestFit="1" customWidth="1"/>
    <col min="5645" max="5645" width="14.28515625" customWidth="1"/>
    <col min="5646" max="5646" width="12.85546875" bestFit="1" customWidth="1"/>
    <col min="5647" max="5647" width="15.710937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7.140625" customWidth="1"/>
    <col min="5885" max="5885" width="19.4257812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7.7109375" bestFit="1" customWidth="1"/>
    <col min="5896" max="5896" width="17.28515625" bestFit="1" customWidth="1"/>
    <col min="5897" max="5897" width="17.7109375" bestFit="1" customWidth="1"/>
    <col min="5898" max="5899" width="20.5703125" bestFit="1" customWidth="1"/>
    <col min="5900" max="5900" width="16.42578125" bestFit="1" customWidth="1"/>
    <col min="5901" max="5901" width="14.28515625" customWidth="1"/>
    <col min="5902" max="5902" width="12.85546875" bestFit="1" customWidth="1"/>
    <col min="5903" max="5903" width="15.710937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7.140625" customWidth="1"/>
    <col min="6141" max="6141" width="19.4257812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7.7109375" bestFit="1" customWidth="1"/>
    <col min="6152" max="6152" width="17.28515625" bestFit="1" customWidth="1"/>
    <col min="6153" max="6153" width="17.7109375" bestFit="1" customWidth="1"/>
    <col min="6154" max="6155" width="20.5703125" bestFit="1" customWidth="1"/>
    <col min="6156" max="6156" width="16.42578125" bestFit="1" customWidth="1"/>
    <col min="6157" max="6157" width="14.28515625" customWidth="1"/>
    <col min="6158" max="6158" width="12.85546875" bestFit="1" customWidth="1"/>
    <col min="6159" max="6159" width="15.710937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7.140625" customWidth="1"/>
    <col min="6397" max="6397" width="19.4257812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7.7109375" bestFit="1" customWidth="1"/>
    <col min="6408" max="6408" width="17.28515625" bestFit="1" customWidth="1"/>
    <col min="6409" max="6409" width="17.7109375" bestFit="1" customWidth="1"/>
    <col min="6410" max="6411" width="20.5703125" bestFit="1" customWidth="1"/>
    <col min="6412" max="6412" width="16.42578125" bestFit="1" customWidth="1"/>
    <col min="6413" max="6413" width="14.28515625" customWidth="1"/>
    <col min="6414" max="6414" width="12.85546875" bestFit="1" customWidth="1"/>
    <col min="6415" max="6415" width="15.710937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7.140625" customWidth="1"/>
    <col min="6653" max="6653" width="19.4257812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7.7109375" bestFit="1" customWidth="1"/>
    <col min="6664" max="6664" width="17.28515625" bestFit="1" customWidth="1"/>
    <col min="6665" max="6665" width="17.7109375" bestFit="1" customWidth="1"/>
    <col min="6666" max="6667" width="20.5703125" bestFit="1" customWidth="1"/>
    <col min="6668" max="6668" width="16.42578125" bestFit="1" customWidth="1"/>
    <col min="6669" max="6669" width="14.28515625" customWidth="1"/>
    <col min="6670" max="6670" width="12.85546875" bestFit="1" customWidth="1"/>
    <col min="6671" max="6671" width="15.710937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7.140625" customWidth="1"/>
    <col min="6909" max="6909" width="19.4257812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7.7109375" bestFit="1" customWidth="1"/>
    <col min="6920" max="6920" width="17.28515625" bestFit="1" customWidth="1"/>
    <col min="6921" max="6921" width="17.7109375" bestFit="1" customWidth="1"/>
    <col min="6922" max="6923" width="20.5703125" bestFit="1" customWidth="1"/>
    <col min="6924" max="6924" width="16.42578125" bestFit="1" customWidth="1"/>
    <col min="6925" max="6925" width="14.28515625" customWidth="1"/>
    <col min="6926" max="6926" width="12.85546875" bestFit="1" customWidth="1"/>
    <col min="6927" max="6927" width="15.710937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7.140625" customWidth="1"/>
    <col min="7165" max="7165" width="19.4257812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7.7109375" bestFit="1" customWidth="1"/>
    <col min="7176" max="7176" width="17.28515625" bestFit="1" customWidth="1"/>
    <col min="7177" max="7177" width="17.7109375" bestFit="1" customWidth="1"/>
    <col min="7178" max="7179" width="20.5703125" bestFit="1" customWidth="1"/>
    <col min="7180" max="7180" width="16.42578125" bestFit="1" customWidth="1"/>
    <col min="7181" max="7181" width="14.28515625" customWidth="1"/>
    <col min="7182" max="7182" width="12.85546875" bestFit="1" customWidth="1"/>
    <col min="7183" max="7183" width="15.710937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7.140625" customWidth="1"/>
    <col min="7421" max="7421" width="19.4257812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7.7109375" bestFit="1" customWidth="1"/>
    <col min="7432" max="7432" width="17.28515625" bestFit="1" customWidth="1"/>
    <col min="7433" max="7433" width="17.7109375" bestFit="1" customWidth="1"/>
    <col min="7434" max="7435" width="20.5703125" bestFit="1" customWidth="1"/>
    <col min="7436" max="7436" width="16.42578125" bestFit="1" customWidth="1"/>
    <col min="7437" max="7437" width="14.28515625" customWidth="1"/>
    <col min="7438" max="7438" width="12.85546875" bestFit="1" customWidth="1"/>
    <col min="7439" max="7439" width="15.710937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7.140625" customWidth="1"/>
    <col min="7677" max="7677" width="19.4257812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7.7109375" bestFit="1" customWidth="1"/>
    <col min="7688" max="7688" width="17.28515625" bestFit="1" customWidth="1"/>
    <col min="7689" max="7689" width="17.7109375" bestFit="1" customWidth="1"/>
    <col min="7690" max="7691" width="20.5703125" bestFit="1" customWidth="1"/>
    <col min="7692" max="7692" width="16.42578125" bestFit="1" customWidth="1"/>
    <col min="7693" max="7693" width="14.28515625" customWidth="1"/>
    <col min="7694" max="7694" width="12.85546875" bestFit="1" customWidth="1"/>
    <col min="7695" max="7695" width="15.710937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7.140625" customWidth="1"/>
    <col min="7933" max="7933" width="19.4257812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7.7109375" bestFit="1" customWidth="1"/>
    <col min="7944" max="7944" width="17.28515625" bestFit="1" customWidth="1"/>
    <col min="7945" max="7945" width="17.7109375" bestFit="1" customWidth="1"/>
    <col min="7946" max="7947" width="20.5703125" bestFit="1" customWidth="1"/>
    <col min="7948" max="7948" width="16.42578125" bestFit="1" customWidth="1"/>
    <col min="7949" max="7949" width="14.28515625" customWidth="1"/>
    <col min="7950" max="7950" width="12.85546875" bestFit="1" customWidth="1"/>
    <col min="7951" max="7951" width="15.710937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7.140625" customWidth="1"/>
    <col min="8189" max="8189" width="19.4257812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7.7109375" bestFit="1" customWidth="1"/>
    <col min="8200" max="8200" width="17.28515625" bestFit="1" customWidth="1"/>
    <col min="8201" max="8201" width="17.7109375" bestFit="1" customWidth="1"/>
    <col min="8202" max="8203" width="20.5703125" bestFit="1" customWidth="1"/>
    <col min="8204" max="8204" width="16.42578125" bestFit="1" customWidth="1"/>
    <col min="8205" max="8205" width="14.28515625" customWidth="1"/>
    <col min="8206" max="8206" width="12.85546875" bestFit="1" customWidth="1"/>
    <col min="8207" max="8207" width="15.710937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7.140625" customWidth="1"/>
    <col min="8445" max="8445" width="19.4257812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7.7109375" bestFit="1" customWidth="1"/>
    <col min="8456" max="8456" width="17.28515625" bestFit="1" customWidth="1"/>
    <col min="8457" max="8457" width="17.7109375" bestFit="1" customWidth="1"/>
    <col min="8458" max="8459" width="20.5703125" bestFit="1" customWidth="1"/>
    <col min="8460" max="8460" width="16.42578125" bestFit="1" customWidth="1"/>
    <col min="8461" max="8461" width="14.28515625" customWidth="1"/>
    <col min="8462" max="8462" width="12.85546875" bestFit="1" customWidth="1"/>
    <col min="8463" max="8463" width="15.710937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7.140625" customWidth="1"/>
    <col min="8701" max="8701" width="19.4257812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7.7109375" bestFit="1" customWidth="1"/>
    <col min="8712" max="8712" width="17.28515625" bestFit="1" customWidth="1"/>
    <col min="8713" max="8713" width="17.7109375" bestFit="1" customWidth="1"/>
    <col min="8714" max="8715" width="20.5703125" bestFit="1" customWidth="1"/>
    <col min="8716" max="8716" width="16.42578125" bestFit="1" customWidth="1"/>
    <col min="8717" max="8717" width="14.28515625" customWidth="1"/>
    <col min="8718" max="8718" width="12.85546875" bestFit="1" customWidth="1"/>
    <col min="8719" max="8719" width="15.710937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7.140625" customWidth="1"/>
    <col min="8957" max="8957" width="19.4257812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7.7109375" bestFit="1" customWidth="1"/>
    <col min="8968" max="8968" width="17.28515625" bestFit="1" customWidth="1"/>
    <col min="8969" max="8969" width="17.7109375" bestFit="1" customWidth="1"/>
    <col min="8970" max="8971" width="20.5703125" bestFit="1" customWidth="1"/>
    <col min="8972" max="8972" width="16.42578125" bestFit="1" customWidth="1"/>
    <col min="8973" max="8973" width="14.28515625" customWidth="1"/>
    <col min="8974" max="8974" width="12.85546875" bestFit="1" customWidth="1"/>
    <col min="8975" max="8975" width="15.710937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7.140625" customWidth="1"/>
    <col min="9213" max="9213" width="19.4257812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7.7109375" bestFit="1" customWidth="1"/>
    <col min="9224" max="9224" width="17.28515625" bestFit="1" customWidth="1"/>
    <col min="9225" max="9225" width="17.7109375" bestFit="1" customWidth="1"/>
    <col min="9226" max="9227" width="20.5703125" bestFit="1" customWidth="1"/>
    <col min="9228" max="9228" width="16.42578125" bestFit="1" customWidth="1"/>
    <col min="9229" max="9229" width="14.28515625" customWidth="1"/>
    <col min="9230" max="9230" width="12.85546875" bestFit="1" customWidth="1"/>
    <col min="9231" max="9231" width="15.710937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7.140625" customWidth="1"/>
    <col min="9469" max="9469" width="19.4257812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7.7109375" bestFit="1" customWidth="1"/>
    <col min="9480" max="9480" width="17.28515625" bestFit="1" customWidth="1"/>
    <col min="9481" max="9481" width="17.7109375" bestFit="1" customWidth="1"/>
    <col min="9482" max="9483" width="20.5703125" bestFit="1" customWidth="1"/>
    <col min="9484" max="9484" width="16.42578125" bestFit="1" customWidth="1"/>
    <col min="9485" max="9485" width="14.28515625" customWidth="1"/>
    <col min="9486" max="9486" width="12.85546875" bestFit="1" customWidth="1"/>
    <col min="9487" max="9487" width="15.710937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7.140625" customWidth="1"/>
    <col min="9725" max="9725" width="19.4257812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7.7109375" bestFit="1" customWidth="1"/>
    <col min="9736" max="9736" width="17.28515625" bestFit="1" customWidth="1"/>
    <col min="9737" max="9737" width="17.7109375" bestFit="1" customWidth="1"/>
    <col min="9738" max="9739" width="20.5703125" bestFit="1" customWidth="1"/>
    <col min="9740" max="9740" width="16.42578125" bestFit="1" customWidth="1"/>
    <col min="9741" max="9741" width="14.28515625" customWidth="1"/>
    <col min="9742" max="9742" width="12.85546875" bestFit="1" customWidth="1"/>
    <col min="9743" max="9743" width="15.710937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7.140625" customWidth="1"/>
    <col min="9981" max="9981" width="19.4257812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7.7109375" bestFit="1" customWidth="1"/>
    <col min="9992" max="9992" width="17.28515625" bestFit="1" customWidth="1"/>
    <col min="9993" max="9993" width="17.7109375" bestFit="1" customWidth="1"/>
    <col min="9994" max="9995" width="20.5703125" bestFit="1" customWidth="1"/>
    <col min="9996" max="9996" width="16.42578125" bestFit="1" customWidth="1"/>
    <col min="9997" max="9997" width="14.28515625" customWidth="1"/>
    <col min="9998" max="9998" width="12.85546875" bestFit="1" customWidth="1"/>
    <col min="9999" max="9999" width="15.710937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7.140625" customWidth="1"/>
    <col min="10237" max="10237" width="19.4257812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7.7109375" bestFit="1" customWidth="1"/>
    <col min="10248" max="10248" width="17.28515625" bestFit="1" customWidth="1"/>
    <col min="10249" max="10249" width="17.7109375" bestFit="1" customWidth="1"/>
    <col min="10250" max="10251" width="20.5703125" bestFit="1" customWidth="1"/>
    <col min="10252" max="10252" width="16.42578125" bestFit="1" customWidth="1"/>
    <col min="10253" max="10253" width="14.28515625" customWidth="1"/>
    <col min="10254" max="10254" width="12.85546875" bestFit="1" customWidth="1"/>
    <col min="10255" max="10255" width="15.710937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7.140625" customWidth="1"/>
    <col min="10493" max="10493" width="19.4257812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7.7109375" bestFit="1" customWidth="1"/>
    <col min="10504" max="10504" width="17.28515625" bestFit="1" customWidth="1"/>
    <col min="10505" max="10505" width="17.7109375" bestFit="1" customWidth="1"/>
    <col min="10506" max="10507" width="20.5703125" bestFit="1" customWidth="1"/>
    <col min="10508" max="10508" width="16.42578125" bestFit="1" customWidth="1"/>
    <col min="10509" max="10509" width="14.28515625" customWidth="1"/>
    <col min="10510" max="10510" width="12.85546875" bestFit="1" customWidth="1"/>
    <col min="10511" max="10511" width="15.710937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7.140625" customWidth="1"/>
    <col min="10749" max="10749" width="19.4257812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7.7109375" bestFit="1" customWidth="1"/>
    <col min="10760" max="10760" width="17.28515625" bestFit="1" customWidth="1"/>
    <col min="10761" max="10761" width="17.7109375" bestFit="1" customWidth="1"/>
    <col min="10762" max="10763" width="20.5703125" bestFit="1" customWidth="1"/>
    <col min="10764" max="10764" width="16.42578125" bestFit="1" customWidth="1"/>
    <col min="10765" max="10765" width="14.28515625" customWidth="1"/>
    <col min="10766" max="10766" width="12.85546875" bestFit="1" customWidth="1"/>
    <col min="10767" max="10767" width="15.710937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7.140625" customWidth="1"/>
    <col min="11005" max="11005" width="19.4257812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7.7109375" bestFit="1" customWidth="1"/>
    <col min="11016" max="11016" width="17.28515625" bestFit="1" customWidth="1"/>
    <col min="11017" max="11017" width="17.7109375" bestFit="1" customWidth="1"/>
    <col min="11018" max="11019" width="20.5703125" bestFit="1" customWidth="1"/>
    <col min="11020" max="11020" width="16.42578125" bestFit="1" customWidth="1"/>
    <col min="11021" max="11021" width="14.28515625" customWidth="1"/>
    <col min="11022" max="11022" width="12.85546875" bestFit="1" customWidth="1"/>
    <col min="11023" max="11023" width="15.710937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7.140625" customWidth="1"/>
    <col min="11261" max="11261" width="19.4257812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7.7109375" bestFit="1" customWidth="1"/>
    <col min="11272" max="11272" width="17.28515625" bestFit="1" customWidth="1"/>
    <col min="11273" max="11273" width="17.7109375" bestFit="1" customWidth="1"/>
    <col min="11274" max="11275" width="20.5703125" bestFit="1" customWidth="1"/>
    <col min="11276" max="11276" width="16.42578125" bestFit="1" customWidth="1"/>
    <col min="11277" max="11277" width="14.28515625" customWidth="1"/>
    <col min="11278" max="11278" width="12.85546875" bestFit="1" customWidth="1"/>
    <col min="11279" max="11279" width="15.710937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7.140625" customWidth="1"/>
    <col min="11517" max="11517" width="19.4257812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7.7109375" bestFit="1" customWidth="1"/>
    <col min="11528" max="11528" width="17.28515625" bestFit="1" customWidth="1"/>
    <col min="11529" max="11529" width="17.7109375" bestFit="1" customWidth="1"/>
    <col min="11530" max="11531" width="20.5703125" bestFit="1" customWidth="1"/>
    <col min="11532" max="11532" width="16.42578125" bestFit="1" customWidth="1"/>
    <col min="11533" max="11533" width="14.28515625" customWidth="1"/>
    <col min="11534" max="11534" width="12.85546875" bestFit="1" customWidth="1"/>
    <col min="11535" max="11535" width="15.710937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7.140625" customWidth="1"/>
    <col min="11773" max="11773" width="19.4257812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7.7109375" bestFit="1" customWidth="1"/>
    <col min="11784" max="11784" width="17.28515625" bestFit="1" customWidth="1"/>
    <col min="11785" max="11785" width="17.7109375" bestFit="1" customWidth="1"/>
    <col min="11786" max="11787" width="20.5703125" bestFit="1" customWidth="1"/>
    <col min="11788" max="11788" width="16.42578125" bestFit="1" customWidth="1"/>
    <col min="11789" max="11789" width="14.28515625" customWidth="1"/>
    <col min="11790" max="11790" width="12.85546875" bestFit="1" customWidth="1"/>
    <col min="11791" max="11791" width="15.710937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7.140625" customWidth="1"/>
    <col min="12029" max="12029" width="19.4257812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7.7109375" bestFit="1" customWidth="1"/>
    <col min="12040" max="12040" width="17.28515625" bestFit="1" customWidth="1"/>
    <col min="12041" max="12041" width="17.7109375" bestFit="1" customWidth="1"/>
    <col min="12042" max="12043" width="20.5703125" bestFit="1" customWidth="1"/>
    <col min="12044" max="12044" width="16.42578125" bestFit="1" customWidth="1"/>
    <col min="12045" max="12045" width="14.28515625" customWidth="1"/>
    <col min="12046" max="12046" width="12.85546875" bestFit="1" customWidth="1"/>
    <col min="12047" max="12047" width="15.710937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7.140625" customWidth="1"/>
    <col min="12285" max="12285" width="19.4257812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7.7109375" bestFit="1" customWidth="1"/>
    <col min="12296" max="12296" width="17.28515625" bestFit="1" customWidth="1"/>
    <col min="12297" max="12297" width="17.7109375" bestFit="1" customWidth="1"/>
    <col min="12298" max="12299" width="20.5703125" bestFit="1" customWidth="1"/>
    <col min="12300" max="12300" width="16.42578125" bestFit="1" customWidth="1"/>
    <col min="12301" max="12301" width="14.28515625" customWidth="1"/>
    <col min="12302" max="12302" width="12.85546875" bestFit="1" customWidth="1"/>
    <col min="12303" max="12303" width="15.710937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7.140625" customWidth="1"/>
    <col min="12541" max="12541" width="19.4257812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7.7109375" bestFit="1" customWidth="1"/>
    <col min="12552" max="12552" width="17.28515625" bestFit="1" customWidth="1"/>
    <col min="12553" max="12553" width="17.7109375" bestFit="1" customWidth="1"/>
    <col min="12554" max="12555" width="20.5703125" bestFit="1" customWidth="1"/>
    <col min="12556" max="12556" width="16.42578125" bestFit="1" customWidth="1"/>
    <col min="12557" max="12557" width="14.28515625" customWidth="1"/>
    <col min="12558" max="12558" width="12.85546875" bestFit="1" customWidth="1"/>
    <col min="12559" max="12559" width="15.710937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7.140625" customWidth="1"/>
    <col min="12797" max="12797" width="19.4257812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7.7109375" bestFit="1" customWidth="1"/>
    <col min="12808" max="12808" width="17.28515625" bestFit="1" customWidth="1"/>
    <col min="12809" max="12809" width="17.7109375" bestFit="1" customWidth="1"/>
    <col min="12810" max="12811" width="20.5703125" bestFit="1" customWidth="1"/>
    <col min="12812" max="12812" width="16.42578125" bestFit="1" customWidth="1"/>
    <col min="12813" max="12813" width="14.28515625" customWidth="1"/>
    <col min="12814" max="12814" width="12.85546875" bestFit="1" customWidth="1"/>
    <col min="12815" max="12815" width="15.710937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7.140625" customWidth="1"/>
    <col min="13053" max="13053" width="19.4257812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7.7109375" bestFit="1" customWidth="1"/>
    <col min="13064" max="13064" width="17.28515625" bestFit="1" customWidth="1"/>
    <col min="13065" max="13065" width="17.7109375" bestFit="1" customWidth="1"/>
    <col min="13066" max="13067" width="20.5703125" bestFit="1" customWidth="1"/>
    <col min="13068" max="13068" width="16.42578125" bestFit="1" customWidth="1"/>
    <col min="13069" max="13069" width="14.28515625" customWidth="1"/>
    <col min="13070" max="13070" width="12.85546875" bestFit="1" customWidth="1"/>
    <col min="13071" max="13071" width="15.710937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7.140625" customWidth="1"/>
    <col min="13309" max="13309" width="19.4257812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7.7109375" bestFit="1" customWidth="1"/>
    <col min="13320" max="13320" width="17.28515625" bestFit="1" customWidth="1"/>
    <col min="13321" max="13321" width="17.7109375" bestFit="1" customWidth="1"/>
    <col min="13322" max="13323" width="20.5703125" bestFit="1" customWidth="1"/>
    <col min="13324" max="13324" width="16.42578125" bestFit="1" customWidth="1"/>
    <col min="13325" max="13325" width="14.28515625" customWidth="1"/>
    <col min="13326" max="13326" width="12.85546875" bestFit="1" customWidth="1"/>
    <col min="13327" max="13327" width="15.710937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7.140625" customWidth="1"/>
    <col min="13565" max="13565" width="19.4257812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7.7109375" bestFit="1" customWidth="1"/>
    <col min="13576" max="13576" width="17.28515625" bestFit="1" customWidth="1"/>
    <col min="13577" max="13577" width="17.7109375" bestFit="1" customWidth="1"/>
    <col min="13578" max="13579" width="20.5703125" bestFit="1" customWidth="1"/>
    <col min="13580" max="13580" width="16.42578125" bestFit="1" customWidth="1"/>
    <col min="13581" max="13581" width="14.28515625" customWidth="1"/>
    <col min="13582" max="13582" width="12.85546875" bestFit="1" customWidth="1"/>
    <col min="13583" max="13583" width="15.710937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7.140625" customWidth="1"/>
    <col min="13821" max="13821" width="19.4257812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7.7109375" bestFit="1" customWidth="1"/>
    <col min="13832" max="13832" width="17.28515625" bestFit="1" customWidth="1"/>
    <col min="13833" max="13833" width="17.7109375" bestFit="1" customWidth="1"/>
    <col min="13834" max="13835" width="20.5703125" bestFit="1" customWidth="1"/>
    <col min="13836" max="13836" width="16.42578125" bestFit="1" customWidth="1"/>
    <col min="13837" max="13837" width="14.28515625" customWidth="1"/>
    <col min="13838" max="13838" width="12.85546875" bestFit="1" customWidth="1"/>
    <col min="13839" max="13839" width="15.710937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7.140625" customWidth="1"/>
    <col min="14077" max="14077" width="19.4257812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7.7109375" bestFit="1" customWidth="1"/>
    <col min="14088" max="14088" width="17.28515625" bestFit="1" customWidth="1"/>
    <col min="14089" max="14089" width="17.7109375" bestFit="1" customWidth="1"/>
    <col min="14090" max="14091" width="20.5703125" bestFit="1" customWidth="1"/>
    <col min="14092" max="14092" width="16.42578125" bestFit="1" customWidth="1"/>
    <col min="14093" max="14093" width="14.28515625" customWidth="1"/>
    <col min="14094" max="14094" width="12.85546875" bestFit="1" customWidth="1"/>
    <col min="14095" max="14095" width="15.710937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7.140625" customWidth="1"/>
    <col min="14333" max="14333" width="19.4257812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7.7109375" bestFit="1" customWidth="1"/>
    <col min="14344" max="14344" width="17.28515625" bestFit="1" customWidth="1"/>
    <col min="14345" max="14345" width="17.7109375" bestFit="1" customWidth="1"/>
    <col min="14346" max="14347" width="20.5703125" bestFit="1" customWidth="1"/>
    <col min="14348" max="14348" width="16.42578125" bestFit="1" customWidth="1"/>
    <col min="14349" max="14349" width="14.28515625" customWidth="1"/>
    <col min="14350" max="14350" width="12.85546875" bestFit="1" customWidth="1"/>
    <col min="14351" max="14351" width="15.710937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7.140625" customWidth="1"/>
    <col min="14589" max="14589" width="19.4257812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7.7109375" bestFit="1" customWidth="1"/>
    <col min="14600" max="14600" width="17.28515625" bestFit="1" customWidth="1"/>
    <col min="14601" max="14601" width="17.7109375" bestFit="1" customWidth="1"/>
    <col min="14602" max="14603" width="20.5703125" bestFit="1" customWidth="1"/>
    <col min="14604" max="14604" width="16.42578125" bestFit="1" customWidth="1"/>
    <col min="14605" max="14605" width="14.28515625" customWidth="1"/>
    <col min="14606" max="14606" width="12.85546875" bestFit="1" customWidth="1"/>
    <col min="14607" max="14607" width="15.710937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7.140625" customWidth="1"/>
    <col min="14845" max="14845" width="19.4257812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7.7109375" bestFit="1" customWidth="1"/>
    <col min="14856" max="14856" width="17.28515625" bestFit="1" customWidth="1"/>
    <col min="14857" max="14857" width="17.7109375" bestFit="1" customWidth="1"/>
    <col min="14858" max="14859" width="20.5703125" bestFit="1" customWidth="1"/>
    <col min="14860" max="14860" width="16.42578125" bestFit="1" customWidth="1"/>
    <col min="14861" max="14861" width="14.28515625" customWidth="1"/>
    <col min="14862" max="14862" width="12.85546875" bestFit="1" customWidth="1"/>
    <col min="14863" max="14863" width="15.710937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7.140625" customWidth="1"/>
    <col min="15101" max="15101" width="19.4257812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7.7109375" bestFit="1" customWidth="1"/>
    <col min="15112" max="15112" width="17.28515625" bestFit="1" customWidth="1"/>
    <col min="15113" max="15113" width="17.7109375" bestFit="1" customWidth="1"/>
    <col min="15114" max="15115" width="20.5703125" bestFit="1" customWidth="1"/>
    <col min="15116" max="15116" width="16.42578125" bestFit="1" customWidth="1"/>
    <col min="15117" max="15117" width="14.28515625" customWidth="1"/>
    <col min="15118" max="15118" width="12.85546875" bestFit="1" customWidth="1"/>
    <col min="15119" max="15119" width="15.710937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7.140625" customWidth="1"/>
    <col min="15357" max="15357" width="19.4257812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7.7109375" bestFit="1" customWidth="1"/>
    <col min="15368" max="15368" width="17.28515625" bestFit="1" customWidth="1"/>
    <col min="15369" max="15369" width="17.7109375" bestFit="1" customWidth="1"/>
    <col min="15370" max="15371" width="20.5703125" bestFit="1" customWidth="1"/>
    <col min="15372" max="15372" width="16.42578125" bestFit="1" customWidth="1"/>
    <col min="15373" max="15373" width="14.28515625" customWidth="1"/>
    <col min="15374" max="15374" width="12.85546875" bestFit="1" customWidth="1"/>
    <col min="15375" max="15375" width="15.710937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7.140625" customWidth="1"/>
    <col min="15613" max="15613" width="19.4257812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7.7109375" bestFit="1" customWidth="1"/>
    <col min="15624" max="15624" width="17.28515625" bestFit="1" customWidth="1"/>
    <col min="15625" max="15625" width="17.7109375" bestFit="1" customWidth="1"/>
    <col min="15626" max="15627" width="20.5703125" bestFit="1" customWidth="1"/>
    <col min="15628" max="15628" width="16.42578125" bestFit="1" customWidth="1"/>
    <col min="15629" max="15629" width="14.28515625" customWidth="1"/>
    <col min="15630" max="15630" width="12.85546875" bestFit="1" customWidth="1"/>
    <col min="15631" max="15631" width="15.710937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7.140625" customWidth="1"/>
    <col min="15869" max="15869" width="19.4257812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7.7109375" bestFit="1" customWidth="1"/>
    <col min="15880" max="15880" width="17.28515625" bestFit="1" customWidth="1"/>
    <col min="15881" max="15881" width="17.7109375" bestFit="1" customWidth="1"/>
    <col min="15882" max="15883" width="20.5703125" bestFit="1" customWidth="1"/>
    <col min="15884" max="15884" width="16.42578125" bestFit="1" customWidth="1"/>
    <col min="15885" max="15885" width="14.28515625" customWidth="1"/>
    <col min="15886" max="15886" width="12.85546875" bestFit="1" customWidth="1"/>
    <col min="15887" max="15887" width="15.710937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7.140625" customWidth="1"/>
    <col min="16125" max="16125" width="19.4257812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7.7109375" bestFit="1" customWidth="1"/>
    <col min="16136" max="16136" width="17.28515625" bestFit="1" customWidth="1"/>
    <col min="16137" max="16137" width="17.7109375" bestFit="1" customWidth="1"/>
    <col min="16138" max="16139" width="20.5703125" bestFit="1" customWidth="1"/>
    <col min="16140" max="16140" width="16.42578125" bestFit="1" customWidth="1"/>
    <col min="16141" max="16141" width="14.28515625" customWidth="1"/>
    <col min="16142" max="16142" width="12.85546875" bestFit="1" customWidth="1"/>
    <col min="16143" max="16143" width="15.710937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401" t="s">
        <v>278</v>
      </c>
      <c r="D1" s="1361" t="s">
        <v>275</v>
      </c>
      <c r="E1" s="1401" t="s">
        <v>5</v>
      </c>
      <c r="F1" s="1401">
        <v>18230638</v>
      </c>
      <c r="G1" s="1401" t="s">
        <v>28</v>
      </c>
      <c r="J1" s="1361"/>
      <c r="K1" s="1361"/>
      <c r="L1" s="1361"/>
      <c r="M1" s="1401" t="s">
        <v>278</v>
      </c>
      <c r="N1" s="1361" t="s">
        <v>275</v>
      </c>
      <c r="O1" s="1401" t="s">
        <v>5</v>
      </c>
      <c r="P1" s="1401">
        <v>18230638</v>
      </c>
      <c r="Q1" s="1401" t="s">
        <v>28</v>
      </c>
      <c r="V1" s="1401" t="s">
        <v>278</v>
      </c>
      <c r="W1" s="1361" t="s">
        <v>275</v>
      </c>
      <c r="X1" s="1401" t="s">
        <v>5</v>
      </c>
      <c r="Y1" s="1401">
        <v>18230638</v>
      </c>
      <c r="Z1" s="1401" t="s">
        <v>28</v>
      </c>
    </row>
    <row r="2" spans="1:26" ht="16.5" thickBot="1">
      <c r="C2" s="44"/>
      <c r="D2" s="45"/>
      <c r="G2" s="1652"/>
      <c r="I2" s="1178" t="s">
        <v>627</v>
      </c>
      <c r="S2" s="3575"/>
      <c r="T2" s="3575"/>
      <c r="U2" s="3576" t="s">
        <v>33</v>
      </c>
      <c r="V2" s="3577"/>
      <c r="W2" s="3578"/>
      <c r="X2" s="3579" t="s">
        <v>34</v>
      </c>
    </row>
    <row r="3" spans="1:26" ht="26.25" thickBot="1">
      <c r="A3" s="1400" t="s">
        <v>278</v>
      </c>
      <c r="B3" s="1400"/>
      <c r="E3" s="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400"/>
      <c r="C4" s="44"/>
      <c r="G4" s="1652"/>
      <c r="H4" s="2946" t="s">
        <v>1726</v>
      </c>
      <c r="I4" s="2959">
        <f>D15</f>
        <v>43503.840000000004</v>
      </c>
      <c r="J4" s="2960">
        <f>D21</f>
        <v>14007</v>
      </c>
      <c r="K4" s="2960">
        <f>D27</f>
        <v>38359.730280000003</v>
      </c>
      <c r="L4" s="2960">
        <f>D37</f>
        <v>225000</v>
      </c>
      <c r="M4" s="2960">
        <f>D43</f>
        <v>5400</v>
      </c>
      <c r="N4" s="2960">
        <f>D49</f>
        <v>18000</v>
      </c>
      <c r="O4" s="2960">
        <f>D55</f>
        <v>17200</v>
      </c>
      <c r="P4" s="2960">
        <f>D61</f>
        <v>4000</v>
      </c>
      <c r="Q4" s="2960">
        <f>D67</f>
        <v>2055250</v>
      </c>
      <c r="R4" s="2960">
        <f>D70</f>
        <v>0</v>
      </c>
      <c r="S4" s="2961">
        <f>SUM(I4:R4)</f>
        <v>2420720.5702800001</v>
      </c>
      <c r="T4" s="2963">
        <f>T15</f>
        <v>645705</v>
      </c>
      <c r="U4" s="2954">
        <f>Q4/S4</f>
        <v>0.84902405723031182</v>
      </c>
      <c r="V4" s="2954">
        <f>(L4+(J4*1.63))/S4</f>
        <v>0.10237918950361702</v>
      </c>
      <c r="W4" s="2954">
        <f>N4/S4</f>
        <v>7.4358024717896187E-3</v>
      </c>
      <c r="X4" s="2953">
        <f>S4/T4</f>
        <v>3.7489574500429765</v>
      </c>
    </row>
    <row r="5" spans="1:26" ht="16.5" thickBot="1">
      <c r="A5" s="1400" t="s">
        <v>5</v>
      </c>
      <c r="C5" s="45"/>
      <c r="G5" s="1652"/>
      <c r="H5" s="3205" t="s">
        <v>1753</v>
      </c>
      <c r="I5" s="2617">
        <v>44591.520000000004</v>
      </c>
      <c r="J5" s="2618">
        <v>14357.174999999999</v>
      </c>
      <c r="K5" s="2618">
        <v>40085.112600000008</v>
      </c>
      <c r="L5" s="2618">
        <v>225000</v>
      </c>
      <c r="M5" s="2618">
        <v>5400</v>
      </c>
      <c r="N5" s="2618">
        <v>18000</v>
      </c>
      <c r="O5" s="2618">
        <v>17200</v>
      </c>
      <c r="P5" s="2618">
        <v>4000</v>
      </c>
      <c r="Q5" s="2618">
        <v>2055250</v>
      </c>
      <c r="R5" s="2618">
        <v>0</v>
      </c>
      <c r="S5" s="2619">
        <v>2423883.8075999999</v>
      </c>
      <c r="T5" s="2646">
        <v>645705</v>
      </c>
      <c r="U5" s="1187">
        <f>Q5/S5</f>
        <v>0.84791605668383851</v>
      </c>
      <c r="V5" s="1187">
        <f>(L5+(J5*1.63))/S5</f>
        <v>0.10248106549956887</v>
      </c>
      <c r="W5" s="1187">
        <f>N5/S5</f>
        <v>7.4260985380411601E-3</v>
      </c>
      <c r="X5" s="48">
        <f>S5/T5</f>
        <v>3.7538563393500128</v>
      </c>
    </row>
    <row r="6" spans="1:26" ht="16.5" thickBot="1">
      <c r="A6" s="1400">
        <v>18230638</v>
      </c>
      <c r="B6" s="1400"/>
      <c r="D6" s="44"/>
      <c r="G6" s="1652"/>
      <c r="H6" s="3206" t="s">
        <v>1754</v>
      </c>
      <c r="I6" s="2621">
        <f>E15</f>
        <v>44591.520000000004</v>
      </c>
      <c r="J6" s="2622">
        <f>E21</f>
        <v>14357.174999999999</v>
      </c>
      <c r="K6" s="2623">
        <f>E27</f>
        <v>52935.928110000001</v>
      </c>
      <c r="L6" s="2622">
        <f>E37</f>
        <v>225000</v>
      </c>
      <c r="M6" s="2622">
        <f>E43</f>
        <v>5400</v>
      </c>
      <c r="N6" s="2622">
        <f>E49</f>
        <v>18000</v>
      </c>
      <c r="O6" s="2622">
        <f>E55</f>
        <v>17200</v>
      </c>
      <c r="P6" s="2622">
        <f>E61</f>
        <v>4000</v>
      </c>
      <c r="Q6" s="2622">
        <f>E67</f>
        <v>1967750</v>
      </c>
      <c r="R6" s="2622">
        <f>E70</f>
        <v>0</v>
      </c>
      <c r="S6" s="2624">
        <f>SUM(I6:R6)</f>
        <v>2349234.62311</v>
      </c>
      <c r="T6" s="2646">
        <f>U15</f>
        <v>618205</v>
      </c>
      <c r="U6" s="2631">
        <f>Q6/S6</f>
        <v>0.83761322970586172</v>
      </c>
      <c r="V6" s="2631">
        <f>(L6+(J6*1.63))/S6</f>
        <v>0.10573749969730838</v>
      </c>
      <c r="W6" s="2631">
        <f>N6/S6</f>
        <v>7.6620699452194189E-3</v>
      </c>
      <c r="X6" s="2605">
        <f>S6/T6</f>
        <v>3.8000899751862245</v>
      </c>
    </row>
    <row r="7" spans="1:26" ht="15.75">
      <c r="A7" s="1400" t="s">
        <v>28</v>
      </c>
      <c r="B7" s="1400"/>
      <c r="C7" s="1413"/>
      <c r="D7" s="1190"/>
      <c r="E7" s="1414"/>
      <c r="F7" s="1413"/>
      <c r="G7" s="2606"/>
      <c r="H7" s="2607"/>
      <c r="I7" s="2607"/>
      <c r="J7" s="2607"/>
      <c r="K7" s="2607"/>
      <c r="L7" s="2607"/>
      <c r="M7" s="2607"/>
      <c r="N7" s="2607"/>
      <c r="O7" s="2607"/>
      <c r="P7" s="2607"/>
      <c r="Q7" s="2607"/>
      <c r="R7" s="2607"/>
      <c r="S7" s="2639"/>
      <c r="T7" s="2630"/>
      <c r="U7" s="2630"/>
      <c r="V7" s="2630"/>
      <c r="W7" s="2645"/>
    </row>
    <row r="8" spans="1:26" ht="15.75">
      <c r="B8" s="1400"/>
      <c r="C8" s="1413"/>
      <c r="D8" s="1190"/>
      <c r="E8" s="1414"/>
      <c r="F8" s="1413"/>
    </row>
    <row r="9" spans="1:26" ht="20.25" customHeight="1">
      <c r="A9" s="1357"/>
      <c r="B9" s="1400"/>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6">
      <c r="A11" s="1357"/>
      <c r="B11" s="1400"/>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B12" s="1357"/>
      <c r="C12" s="1434" t="s">
        <v>298</v>
      </c>
      <c r="D12" s="2766">
        <f>D15+D21+D27+D37+D43+D49+D55+D61+D67</f>
        <v>2420720.5702800001</v>
      </c>
      <c r="E12" s="1484">
        <f>E15+E21+E27+E37+E43+E49+E55+E61+E67</f>
        <v>2349234.62311</v>
      </c>
      <c r="F12" s="1462">
        <f>D12+E12</f>
        <v>4769955.1933900006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SUM(D16:D19)</f>
        <v>43503.840000000004</v>
      </c>
      <c r="E15" s="1464">
        <f>SUM(E16:E19)</f>
        <v>44591.520000000004</v>
      </c>
      <c r="F15" s="1462">
        <f>D15+E15</f>
        <v>88095.360000000015</v>
      </c>
      <c r="H15" s="1475" t="s">
        <v>308</v>
      </c>
      <c r="I15" s="1476"/>
      <c r="J15" s="1476"/>
      <c r="K15" s="1477"/>
      <c r="L15" s="1478">
        <f>SUMPRODUCT(L16:L179,S16:S179)</f>
        <v>7466520</v>
      </c>
      <c r="M15" s="1478">
        <f>SUM(M16:M179)</f>
        <v>1700</v>
      </c>
      <c r="N15" s="1479"/>
      <c r="O15" s="1477">
        <v>18</v>
      </c>
      <c r="P15" s="1477"/>
      <c r="Q15" s="1477"/>
      <c r="R15" s="1477"/>
      <c r="S15" s="1477"/>
      <c r="T15" s="2983">
        <v>645705</v>
      </c>
      <c r="U15" s="1480">
        <f>SUM(U16:U65)</f>
        <v>618205</v>
      </c>
      <c r="V15" s="1480">
        <f t="shared" ref="V15:Y15" si="0">SUM(V16:V65)</f>
        <v>1263910</v>
      </c>
      <c r="W15" s="2987">
        <v>2055250</v>
      </c>
      <c r="X15" s="1478">
        <f t="shared" si="0"/>
        <v>1967750</v>
      </c>
      <c r="Y15" s="1478">
        <f t="shared" si="0"/>
        <v>4023000</v>
      </c>
      <c r="Z15" s="1481">
        <v>0</v>
      </c>
    </row>
    <row r="16" spans="1:26">
      <c r="B16" s="1432">
        <v>0.1</v>
      </c>
      <c r="C16" s="1667" t="s">
        <v>734</v>
      </c>
      <c r="D16" s="2772">
        <v>9063.3000000000011</v>
      </c>
      <c r="E16" s="1448">
        <v>9289.9</v>
      </c>
      <c r="F16" s="1426">
        <f>SUM(D16:E16)</f>
        <v>18353.2</v>
      </c>
      <c r="H16" s="1969" t="s">
        <v>1003</v>
      </c>
      <c r="I16" s="2205">
        <v>110</v>
      </c>
      <c r="J16" s="1470" t="s">
        <v>71</v>
      </c>
      <c r="K16" s="1460" t="s">
        <v>845</v>
      </c>
      <c r="L16" s="1467">
        <v>603</v>
      </c>
      <c r="M16" s="1467">
        <v>350</v>
      </c>
      <c r="N16" s="1461">
        <v>0.83687101535277919</v>
      </c>
      <c r="O16" s="1460">
        <v>18</v>
      </c>
      <c r="P16" s="1463" t="s">
        <v>1008</v>
      </c>
      <c r="Q16" s="1466">
        <v>5000</v>
      </c>
      <c r="R16" s="1466">
        <v>4750</v>
      </c>
      <c r="S16" s="1469">
        <f>SUM(Q16:R16)</f>
        <v>9750</v>
      </c>
      <c r="T16" s="2991">
        <v>550000</v>
      </c>
      <c r="U16" s="1469">
        <f>R16*I16</f>
        <v>522500</v>
      </c>
      <c r="V16" s="1469">
        <f>SUM(T16:U16)</f>
        <v>1072500</v>
      </c>
      <c r="W16" s="2993">
        <v>1750000</v>
      </c>
      <c r="X16" s="1459">
        <f>R16*M16</f>
        <v>1662500</v>
      </c>
      <c r="Y16" s="1459">
        <f>SUM(W16:X16)</f>
        <v>3412500</v>
      </c>
      <c r="Z16" s="1482">
        <v>0</v>
      </c>
    </row>
    <row r="17" spans="2:26">
      <c r="B17" s="1432">
        <v>0.25</v>
      </c>
      <c r="C17" s="1423" t="s">
        <v>735</v>
      </c>
      <c r="D17" s="2784">
        <v>22658.25</v>
      </c>
      <c r="E17" s="1447">
        <v>23224.75</v>
      </c>
      <c r="F17" s="1426">
        <f t="shared" ref="F17:F19" si="1">SUM(D17:E17)</f>
        <v>45883</v>
      </c>
      <c r="H17" s="1969" t="s">
        <v>1004</v>
      </c>
      <c r="I17" s="2205">
        <v>119</v>
      </c>
      <c r="J17" s="1470" t="s">
        <v>71</v>
      </c>
      <c r="K17" s="1460" t="s">
        <v>845</v>
      </c>
      <c r="L17" s="1467">
        <v>1393</v>
      </c>
      <c r="M17" s="1467">
        <v>350</v>
      </c>
      <c r="N17" s="1461">
        <v>9.0534228024527937E-3</v>
      </c>
      <c r="O17" s="1460">
        <v>20</v>
      </c>
      <c r="P17" s="1463" t="s">
        <v>1008</v>
      </c>
      <c r="Q17" s="1466">
        <v>55</v>
      </c>
      <c r="R17" s="1466">
        <v>55</v>
      </c>
      <c r="S17" s="1469">
        <f>SUM(Q17:R17)</f>
        <v>110</v>
      </c>
      <c r="T17" s="2991">
        <v>6545</v>
      </c>
      <c r="U17" s="1469">
        <f>R17*I17</f>
        <v>6545</v>
      </c>
      <c r="V17" s="1469">
        <f>SUM(T17:U17)</f>
        <v>13090</v>
      </c>
      <c r="W17" s="2993">
        <v>19250</v>
      </c>
      <c r="X17" s="1459">
        <f>R17*M17</f>
        <v>19250</v>
      </c>
      <c r="Y17" s="1459">
        <f>SUM(W17:X17)</f>
        <v>38500</v>
      </c>
      <c r="Z17" s="1482">
        <v>0</v>
      </c>
    </row>
    <row r="18" spans="2:26">
      <c r="B18" s="1432">
        <v>0.13</v>
      </c>
      <c r="C18" s="1423" t="s">
        <v>737</v>
      </c>
      <c r="D18" s="2784">
        <v>11782.29</v>
      </c>
      <c r="E18" s="1447">
        <v>12076.87</v>
      </c>
      <c r="F18" s="1426">
        <f t="shared" si="1"/>
        <v>23859.160000000003</v>
      </c>
      <c r="H18" s="1969" t="s">
        <v>1005</v>
      </c>
      <c r="I18" s="2205">
        <v>72</v>
      </c>
      <c r="J18" s="1470" t="s">
        <v>71</v>
      </c>
      <c r="K18" s="1460" t="s">
        <v>893</v>
      </c>
      <c r="L18" s="1467">
        <v>562</v>
      </c>
      <c r="M18" s="1467">
        <v>200</v>
      </c>
      <c r="N18" s="1461">
        <v>0.10407632263660017</v>
      </c>
      <c r="O18" s="1460">
        <v>20</v>
      </c>
      <c r="P18" s="1463" t="s">
        <v>1008</v>
      </c>
      <c r="Q18" s="1466">
        <v>950</v>
      </c>
      <c r="R18" s="1466">
        <v>950</v>
      </c>
      <c r="S18" s="1469">
        <f>SUM(Q18:R18)</f>
        <v>1900</v>
      </c>
      <c r="T18" s="2991">
        <v>68400</v>
      </c>
      <c r="U18" s="1469">
        <f>R18*I18</f>
        <v>68400</v>
      </c>
      <c r="V18" s="1469">
        <f>SUM(T18:U18)</f>
        <v>136800</v>
      </c>
      <c r="W18" s="2993">
        <v>190000</v>
      </c>
      <c r="X18" s="1459">
        <f>R18*M18</f>
        <v>190000</v>
      </c>
      <c r="Y18" s="1459">
        <f>SUM(W18:X18)</f>
        <v>380000</v>
      </c>
      <c r="Z18" s="1482">
        <v>0</v>
      </c>
    </row>
    <row r="19" spans="2:26">
      <c r="B19" s="1432"/>
      <c r="C19" s="1423"/>
      <c r="D19" s="2786"/>
      <c r="E19" s="1446"/>
      <c r="F19" s="1426">
        <f t="shared" si="1"/>
        <v>0</v>
      </c>
      <c r="H19" s="1969" t="s">
        <v>1006</v>
      </c>
      <c r="I19" s="2205">
        <v>173</v>
      </c>
      <c r="J19" s="1470" t="s">
        <v>71</v>
      </c>
      <c r="K19" s="1460" t="s">
        <v>893</v>
      </c>
      <c r="L19" s="1467">
        <v>1526</v>
      </c>
      <c r="M19" s="1467">
        <v>800</v>
      </c>
      <c r="N19" s="1461">
        <v>2.63233973920056E-2</v>
      </c>
      <c r="O19" s="1460">
        <v>18</v>
      </c>
      <c r="P19" s="1463" t="s">
        <v>1008</v>
      </c>
      <c r="Q19" s="1466">
        <v>120</v>
      </c>
      <c r="R19" s="1466">
        <v>120</v>
      </c>
      <c r="S19" s="1469">
        <f>SUM(Q19:R19)</f>
        <v>240</v>
      </c>
      <c r="T19" s="2991">
        <v>20760</v>
      </c>
      <c r="U19" s="1469">
        <f>R19*I19</f>
        <v>20760</v>
      </c>
      <c r="V19" s="1469">
        <f>SUM(T19:U19)</f>
        <v>41520</v>
      </c>
      <c r="W19" s="2993">
        <v>96000</v>
      </c>
      <c r="X19" s="1459">
        <f>R19*M19</f>
        <v>96000</v>
      </c>
      <c r="Y19" s="1459">
        <f>SUM(W19:X19)</f>
        <v>192000</v>
      </c>
      <c r="Z19" s="1482">
        <v>0</v>
      </c>
    </row>
    <row r="20" spans="2:26">
      <c r="B20" s="2204">
        <f>SUM(B16:B19)</f>
        <v>0.48</v>
      </c>
      <c r="C20" s="1488"/>
      <c r="D20" s="2770"/>
      <c r="E20" s="1490"/>
      <c r="F20" s="1492"/>
      <c r="H20" s="1460"/>
      <c r="I20" s="2205"/>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71">
        <f>SUM(D22:D25)</f>
        <v>14007</v>
      </c>
      <c r="E21" s="1464">
        <f>SUM(E22:E25)</f>
        <v>14357.174999999999</v>
      </c>
      <c r="F21" s="1638">
        <f>D21+E21</f>
        <v>28364.174999999999</v>
      </c>
      <c r="H21" s="1460"/>
      <c r="I21" s="2205"/>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0.17508750000000001</v>
      </c>
      <c r="C22" s="2426" t="s">
        <v>8</v>
      </c>
      <c r="D22" s="2940">
        <f>80040*0.175</f>
        <v>14007</v>
      </c>
      <c r="E22" s="2427">
        <f>(80040*0.175)*1.025</f>
        <v>14357.174999999999</v>
      </c>
      <c r="F22" s="1426">
        <f t="shared" ref="F22:F25" si="2">SUM(D22:E22)</f>
        <v>28364.174999999999</v>
      </c>
      <c r="H22" s="1460"/>
      <c r="I22" s="2205"/>
      <c r="J22" s="1470"/>
      <c r="K22" s="1460"/>
      <c r="L22" s="1467"/>
      <c r="M22" s="1467"/>
      <c r="N22" s="1461"/>
      <c r="O22" s="1460"/>
      <c r="P22" s="1463"/>
      <c r="Q22" s="1466"/>
      <c r="R22" s="1466"/>
      <c r="S22" s="1469"/>
      <c r="T22" s="1469"/>
      <c r="U22" s="1469"/>
      <c r="V22" s="1469"/>
      <c r="W22" s="1459"/>
      <c r="X22" s="1459"/>
      <c r="Y22" s="1459"/>
      <c r="Z22" s="1482"/>
    </row>
    <row r="23" spans="2:26">
      <c r="B23" s="1982"/>
      <c r="C23" s="2426"/>
      <c r="D23" s="2940"/>
      <c r="E23" s="2427"/>
      <c r="F23" s="1426">
        <f t="shared" si="2"/>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2"/>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2204">
        <f>SUM(B22:B25)</f>
        <v>0.17508750000000001</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71">
        <f>SUM(D29:D35)</f>
        <v>38359.730280000003</v>
      </c>
      <c r="E27" s="1657">
        <f>SUM(E29:E31)+SUM(E33:E35)</f>
        <v>52935.928110000001</v>
      </c>
      <c r="F27" s="1638">
        <f>D27+E27</f>
        <v>91295.658389999997</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29017.061280000005</v>
      </c>
      <c r="E29" s="1504">
        <f>E15*E28</f>
        <v>30678.965759999999</v>
      </c>
      <c r="F29" s="1426">
        <f t="shared" ref="F29:F35" si="3">SUM(D29:E29)</f>
        <v>59696.027040000001</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9342.6689999999999</v>
      </c>
      <c r="E30" s="1504">
        <f>E21*E28</f>
        <v>9877.736399999998</v>
      </c>
      <c r="F30" s="1426">
        <f t="shared" si="3"/>
        <v>19220.405399999996</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9364.2192000000014</v>
      </c>
      <c r="F33" s="1661">
        <f>SUM(D33:E33)</f>
        <v>9364.2192000000014</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25.5">
      <c r="A34" s="1400" t="s">
        <v>278</v>
      </c>
      <c r="C34" s="1667" t="s">
        <v>720</v>
      </c>
      <c r="D34" s="2785"/>
      <c r="E34" s="1641">
        <f>E21*E32</f>
        <v>3015.0067499999996</v>
      </c>
      <c r="F34" s="1661">
        <f t="shared" ref="F34" si="4">SUM(D34:E34)</f>
        <v>3015.0067499999996</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400"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400">
        <v>18230638</v>
      </c>
      <c r="C37" s="1597" t="s">
        <v>46</v>
      </c>
      <c r="D37" s="2771">
        <f>SUM(D38:D41)</f>
        <v>225000</v>
      </c>
      <c r="E37" s="1464">
        <f>SUM(E38:E41)</f>
        <v>225000</v>
      </c>
      <c r="F37" s="1638">
        <f>D37+E37</f>
        <v>450000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400" t="s">
        <v>28</v>
      </c>
      <c r="C38" s="1667" t="s">
        <v>1000</v>
      </c>
      <c r="D38" s="2778">
        <v>225000</v>
      </c>
      <c r="E38" s="1520">
        <v>225000</v>
      </c>
      <c r="F38" s="1426">
        <f t="shared" ref="F38:F41" si="5">SUM(D38:E38)</f>
        <v>450000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667"/>
      <c r="D39" s="2778"/>
      <c r="E39" s="1520"/>
      <c r="F39" s="1426">
        <f t="shared" si="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667"/>
      <c r="D40" s="2778"/>
      <c r="E40" s="1520"/>
      <c r="F40" s="1426">
        <f t="shared" si="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667"/>
      <c r="D41" s="2778"/>
      <c r="E41" s="1520"/>
      <c r="F41" s="1426">
        <f t="shared" si="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5400</v>
      </c>
      <c r="E43" s="1464">
        <f>SUM(E44:E47)</f>
        <v>5400</v>
      </c>
      <c r="F43" s="1638">
        <f>D43+E43</f>
        <v>10800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1001</v>
      </c>
      <c r="D44" s="2778">
        <v>5400</v>
      </c>
      <c r="E44" s="1520">
        <v>5400</v>
      </c>
      <c r="F44" s="1426">
        <f t="shared" ref="F44:F47" si="6">SUM(D44:E44)</f>
        <v>10800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c r="D45" s="2778"/>
      <c r="E45" s="1520"/>
      <c r="F45" s="1426">
        <f t="shared" si="6"/>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667"/>
      <c r="D46" s="2778"/>
      <c r="E46" s="1520"/>
      <c r="F46" s="1426">
        <f t="shared" si="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667"/>
      <c r="D47" s="2778"/>
      <c r="E47" s="1520"/>
      <c r="F47" s="1426">
        <f t="shared" si="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597" t="s">
        <v>47</v>
      </c>
      <c r="D49" s="2771">
        <f>SUM(D50:D53)</f>
        <v>18000</v>
      </c>
      <c r="E49" s="1464">
        <f>SUM(E50:E53)</f>
        <v>18000</v>
      </c>
      <c r="F49" s="1638">
        <f>D49+E49</f>
        <v>36000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13</v>
      </c>
      <c r="D50" s="2778">
        <v>18000</v>
      </c>
      <c r="E50" s="1520">
        <v>18000</v>
      </c>
      <c r="F50" s="1426">
        <f t="shared" ref="F50:F53" si="7">SUM(D50:E50)</f>
        <v>36000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667"/>
      <c r="D51" s="2778"/>
      <c r="E51" s="1520"/>
      <c r="F51" s="1426">
        <f t="shared" si="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667"/>
      <c r="D52" s="2778"/>
      <c r="E52" s="1520"/>
      <c r="F52" s="1426">
        <f t="shared" si="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667"/>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17200</v>
      </c>
      <c r="E55" s="1464">
        <f>SUM(E56:E59)</f>
        <v>17200</v>
      </c>
      <c r="F55" s="1638">
        <f>D55+E55</f>
        <v>34400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t="s">
        <v>12</v>
      </c>
      <c r="D56" s="2778">
        <v>17200</v>
      </c>
      <c r="E56" s="1504">
        <v>17200</v>
      </c>
      <c r="F56" s="1426">
        <f t="shared" ref="F56:F59" si="8">SUM(D56:E56)</f>
        <v>34400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4000</v>
      </c>
      <c r="E61" s="1464">
        <f>SUM(E62:E65)</f>
        <v>4000</v>
      </c>
      <c r="F61" s="1638">
        <f>D61+E61</f>
        <v>8000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t="s">
        <v>1002</v>
      </c>
      <c r="D62" s="2778">
        <v>4000</v>
      </c>
      <c r="E62" s="1520">
        <v>4000</v>
      </c>
      <c r="F62" s="1426">
        <f t="shared" ref="F62:F65" si="9">SUM(D62:E62)</f>
        <v>8000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400" t="s">
        <v>278</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400" t="s">
        <v>5</v>
      </c>
      <c r="C66" s="1488"/>
      <c r="D66" s="2779"/>
      <c r="E66" s="1490"/>
      <c r="F66" s="1493"/>
    </row>
    <row r="67" spans="1:26">
      <c r="A67" s="1400">
        <v>18230638</v>
      </c>
      <c r="C67" s="1451" t="s">
        <v>50</v>
      </c>
      <c r="D67" s="2771">
        <f>W15</f>
        <v>2055250</v>
      </c>
      <c r="E67" s="1464">
        <f>X15</f>
        <v>1967750</v>
      </c>
      <c r="F67" s="1462">
        <f>D67+E67</f>
        <v>4023000</v>
      </c>
    </row>
    <row r="68" spans="1:26">
      <c r="A68" s="1400" t="s">
        <v>28</v>
      </c>
      <c r="C68" s="1500" t="s">
        <v>297</v>
      </c>
      <c r="D68" s="2938">
        <f>D67/D12</f>
        <v>0.84902405723031182</v>
      </c>
      <c r="E68" s="1986">
        <f>E67/E12</f>
        <v>0.83761322970586172</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Q2" activePane="bottomRight" state="frozen"/>
      <selection pane="bottomRight" activeCell="V25" sqref="V25"/>
      <pageMargins left="0.17" right="0.23" top="0.35" bottom="0.31"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17" right="0.23" top="0.35" bottom="0.31" header="0.3" footer="0.3"/>
      <pageSetup paperSize="17" scale="46"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17" right="0.23" top="0.35" bottom="0.31" header="0.3" footer="0.3"/>
  <pageSetup paperSize="3" scale="46"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A995C1"/>
  </sheetPr>
  <dimension ref="A1:Z70"/>
  <sheetViews>
    <sheetView showGridLines="0" workbookViewId="0">
      <pane xSplit="1" ySplit="1" topLeftCell="G5" activePane="bottomRight" state="frozen"/>
      <selection pane="topRight" activeCell="B1" sqref="B1"/>
      <selection pane="bottomLeft" activeCell="A2" sqref="A2"/>
      <selection pane="bottomRight" activeCell="H9" sqref="H9"/>
    </sheetView>
  </sheetViews>
  <sheetFormatPr defaultRowHeight="12.75"/>
  <cols>
    <col min="1" max="1" width="17.85546875" style="849" customWidth="1"/>
    <col min="2" max="2" width="15.42578125" style="1413" customWidth="1"/>
    <col min="3" max="3" width="28.7109375" customWidth="1"/>
    <col min="4" max="4" width="20.5703125" customWidth="1"/>
    <col min="5" max="5" width="15.140625" style="9" customWidth="1"/>
    <col min="6" max="6" width="15.140625" customWidth="1"/>
    <col min="7" max="7" width="17.140625" customWidth="1"/>
    <col min="8" max="8" width="43" customWidth="1"/>
    <col min="9" max="9" width="15.28515625" bestFit="1" customWidth="1"/>
    <col min="10" max="10" width="14.140625" bestFit="1" customWidth="1"/>
    <col min="11" max="11" width="15.28515625" customWidth="1"/>
    <col min="12" max="12" width="17.7109375" customWidth="1"/>
    <col min="13" max="13" width="17" bestFit="1" customWidth="1"/>
    <col min="14" max="14" width="12.7109375" customWidth="1"/>
    <col min="15" max="15" width="13.7109375" customWidth="1"/>
    <col min="16" max="16" width="13.85546875" bestFit="1" customWidth="1"/>
    <col min="17" max="17" width="19.7109375" bestFit="1" customWidth="1"/>
    <col min="18" max="18" width="16.140625" customWidth="1"/>
    <col min="19" max="19" width="16.7109375" bestFit="1" customWidth="1"/>
    <col min="20" max="20" width="15.5703125" bestFit="1" customWidth="1"/>
    <col min="21" max="21" width="18.140625" customWidth="1"/>
    <col min="22" max="22" width="16.42578125" bestFit="1" customWidth="1"/>
    <col min="23" max="23" width="14.28515625" customWidth="1"/>
    <col min="24" max="25" width="14.42578125" customWidth="1"/>
    <col min="26" max="26" width="12.5703125" style="1907" bestFit="1" customWidth="1"/>
    <col min="249" max="249" width="24" bestFit="1" customWidth="1"/>
    <col min="250" max="250" width="43.85546875" customWidth="1"/>
    <col min="251" max="251" width="19.7109375" bestFit="1" customWidth="1"/>
    <col min="252" max="252" width="12.42578125" bestFit="1" customWidth="1"/>
    <col min="253" max="253" width="16.28515625" bestFit="1" customWidth="1"/>
    <col min="254" max="254" width="13.42578125" customWidth="1"/>
    <col min="255" max="255" width="15.28515625" bestFit="1" customWidth="1"/>
    <col min="256" max="256" width="14.140625" bestFit="1" customWidth="1"/>
    <col min="257" max="257" width="15.28515625" customWidth="1"/>
    <col min="258" max="258" width="17.71093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16.140625" customWidth="1"/>
    <col min="265" max="265" width="16.7109375" bestFit="1" customWidth="1"/>
    <col min="266" max="266" width="15.57031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2.42578125" bestFit="1" customWidth="1"/>
    <col min="509" max="509" width="16.28515625" bestFit="1" customWidth="1"/>
    <col min="510" max="510" width="13.42578125" customWidth="1"/>
    <col min="511" max="511" width="15.28515625" bestFit="1" customWidth="1"/>
    <col min="512" max="512" width="14.140625" bestFit="1" customWidth="1"/>
    <col min="513" max="513" width="15.28515625" customWidth="1"/>
    <col min="514" max="514" width="17.71093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16.140625" customWidth="1"/>
    <col min="521" max="521" width="16.7109375" bestFit="1" customWidth="1"/>
    <col min="522" max="522" width="15.57031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2.42578125" bestFit="1" customWidth="1"/>
    <col min="765" max="765" width="16.28515625" bestFit="1" customWidth="1"/>
    <col min="766" max="766" width="13.42578125" customWidth="1"/>
    <col min="767" max="767" width="15.28515625" bestFit="1" customWidth="1"/>
    <col min="768" max="768" width="14.140625" bestFit="1" customWidth="1"/>
    <col min="769" max="769" width="15.28515625" customWidth="1"/>
    <col min="770" max="770" width="17.71093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16.140625" customWidth="1"/>
    <col min="777" max="777" width="16.7109375" bestFit="1" customWidth="1"/>
    <col min="778" max="778" width="15.57031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2.42578125" bestFit="1" customWidth="1"/>
    <col min="1021" max="1021" width="16.28515625" bestFit="1" customWidth="1"/>
    <col min="1022" max="1022" width="13.42578125" customWidth="1"/>
    <col min="1023" max="1023" width="15.28515625" bestFit="1" customWidth="1"/>
    <col min="1024" max="1024" width="14.140625" bestFit="1" customWidth="1"/>
    <col min="1025" max="1025" width="15.28515625" customWidth="1"/>
    <col min="1026" max="1026" width="17.71093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16.140625" customWidth="1"/>
    <col min="1033" max="1033" width="16.7109375" bestFit="1" customWidth="1"/>
    <col min="1034" max="1034" width="15.57031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2.42578125" bestFit="1" customWidth="1"/>
    <col min="1277" max="1277" width="16.28515625" bestFit="1" customWidth="1"/>
    <col min="1278" max="1278" width="13.42578125" customWidth="1"/>
    <col min="1279" max="1279" width="15.28515625" bestFit="1" customWidth="1"/>
    <col min="1280" max="1280" width="14.140625" bestFit="1" customWidth="1"/>
    <col min="1281" max="1281" width="15.28515625" customWidth="1"/>
    <col min="1282" max="1282" width="17.71093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16.140625" customWidth="1"/>
    <col min="1289" max="1289" width="16.7109375" bestFit="1" customWidth="1"/>
    <col min="1290" max="1290" width="15.57031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2.42578125" bestFit="1" customWidth="1"/>
    <col min="1533" max="1533" width="16.28515625" bestFit="1" customWidth="1"/>
    <col min="1534" max="1534" width="13.42578125" customWidth="1"/>
    <col min="1535" max="1535" width="15.28515625" bestFit="1" customWidth="1"/>
    <col min="1536" max="1536" width="14.140625" bestFit="1" customWidth="1"/>
    <col min="1537" max="1537" width="15.28515625" customWidth="1"/>
    <col min="1538" max="1538" width="17.71093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16.140625" customWidth="1"/>
    <col min="1545" max="1545" width="16.7109375" bestFit="1" customWidth="1"/>
    <col min="1546" max="1546" width="15.57031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2.42578125" bestFit="1" customWidth="1"/>
    <col min="1789" max="1789" width="16.28515625" bestFit="1" customWidth="1"/>
    <col min="1790" max="1790" width="13.42578125" customWidth="1"/>
    <col min="1791" max="1791" width="15.28515625" bestFit="1" customWidth="1"/>
    <col min="1792" max="1792" width="14.140625" bestFit="1" customWidth="1"/>
    <col min="1793" max="1793" width="15.28515625" customWidth="1"/>
    <col min="1794" max="1794" width="17.71093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16.140625" customWidth="1"/>
    <col min="1801" max="1801" width="16.7109375" bestFit="1" customWidth="1"/>
    <col min="1802" max="1802" width="15.57031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2.42578125" bestFit="1" customWidth="1"/>
    <col min="2045" max="2045" width="16.28515625" bestFit="1" customWidth="1"/>
    <col min="2046" max="2046" width="13.42578125" customWidth="1"/>
    <col min="2047" max="2047" width="15.28515625" bestFit="1" customWidth="1"/>
    <col min="2048" max="2048" width="14.140625" bestFit="1" customWidth="1"/>
    <col min="2049" max="2049" width="15.28515625" customWidth="1"/>
    <col min="2050" max="2050" width="17.71093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16.140625" customWidth="1"/>
    <col min="2057" max="2057" width="16.7109375" bestFit="1" customWidth="1"/>
    <col min="2058" max="2058" width="15.57031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2.42578125" bestFit="1" customWidth="1"/>
    <col min="2301" max="2301" width="16.28515625" bestFit="1" customWidth="1"/>
    <col min="2302" max="2302" width="13.42578125" customWidth="1"/>
    <col min="2303" max="2303" width="15.28515625" bestFit="1" customWidth="1"/>
    <col min="2304" max="2304" width="14.140625" bestFit="1" customWidth="1"/>
    <col min="2305" max="2305" width="15.28515625" customWidth="1"/>
    <col min="2306" max="2306" width="17.71093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16.140625" customWidth="1"/>
    <col min="2313" max="2313" width="16.7109375" bestFit="1" customWidth="1"/>
    <col min="2314" max="2314" width="15.57031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2.42578125" bestFit="1" customWidth="1"/>
    <col min="2557" max="2557" width="16.28515625" bestFit="1" customWidth="1"/>
    <col min="2558" max="2558" width="13.42578125" customWidth="1"/>
    <col min="2559" max="2559" width="15.28515625" bestFit="1" customWidth="1"/>
    <col min="2560" max="2560" width="14.140625" bestFit="1" customWidth="1"/>
    <col min="2561" max="2561" width="15.28515625" customWidth="1"/>
    <col min="2562" max="2562" width="17.71093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16.140625" customWidth="1"/>
    <col min="2569" max="2569" width="16.7109375" bestFit="1" customWidth="1"/>
    <col min="2570" max="2570" width="15.57031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2.42578125" bestFit="1" customWidth="1"/>
    <col min="2813" max="2813" width="16.28515625" bestFit="1" customWidth="1"/>
    <col min="2814" max="2814" width="13.42578125" customWidth="1"/>
    <col min="2815" max="2815" width="15.28515625" bestFit="1" customWidth="1"/>
    <col min="2816" max="2816" width="14.140625" bestFit="1" customWidth="1"/>
    <col min="2817" max="2817" width="15.28515625" customWidth="1"/>
    <col min="2818" max="2818" width="17.71093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16.140625" customWidth="1"/>
    <col min="2825" max="2825" width="16.7109375" bestFit="1" customWidth="1"/>
    <col min="2826" max="2826" width="15.57031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2.42578125" bestFit="1" customWidth="1"/>
    <col min="3069" max="3069" width="16.28515625" bestFit="1" customWidth="1"/>
    <col min="3070" max="3070" width="13.42578125" customWidth="1"/>
    <col min="3071" max="3071" width="15.28515625" bestFit="1" customWidth="1"/>
    <col min="3072" max="3072" width="14.140625" bestFit="1" customWidth="1"/>
    <col min="3073" max="3073" width="15.28515625" customWidth="1"/>
    <col min="3074" max="3074" width="17.71093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16.140625" customWidth="1"/>
    <col min="3081" max="3081" width="16.7109375" bestFit="1" customWidth="1"/>
    <col min="3082" max="3082" width="15.57031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2.42578125" bestFit="1" customWidth="1"/>
    <col min="3325" max="3325" width="16.28515625" bestFit="1" customWidth="1"/>
    <col min="3326" max="3326" width="13.42578125" customWidth="1"/>
    <col min="3327" max="3327" width="15.28515625" bestFit="1" customWidth="1"/>
    <col min="3328" max="3328" width="14.140625" bestFit="1" customWidth="1"/>
    <col min="3329" max="3329" width="15.28515625" customWidth="1"/>
    <col min="3330" max="3330" width="17.71093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16.140625" customWidth="1"/>
    <col min="3337" max="3337" width="16.7109375" bestFit="1" customWidth="1"/>
    <col min="3338" max="3338" width="15.57031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2.42578125" bestFit="1" customWidth="1"/>
    <col min="3581" max="3581" width="16.28515625" bestFit="1" customWidth="1"/>
    <col min="3582" max="3582" width="13.42578125" customWidth="1"/>
    <col min="3583" max="3583" width="15.28515625" bestFit="1" customWidth="1"/>
    <col min="3584" max="3584" width="14.140625" bestFit="1" customWidth="1"/>
    <col min="3585" max="3585" width="15.28515625" customWidth="1"/>
    <col min="3586" max="3586" width="17.71093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16.140625" customWidth="1"/>
    <col min="3593" max="3593" width="16.7109375" bestFit="1" customWidth="1"/>
    <col min="3594" max="3594" width="15.57031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2.42578125" bestFit="1" customWidth="1"/>
    <col min="3837" max="3837" width="16.28515625" bestFit="1" customWidth="1"/>
    <col min="3838" max="3838" width="13.42578125" customWidth="1"/>
    <col min="3839" max="3839" width="15.28515625" bestFit="1" customWidth="1"/>
    <col min="3840" max="3840" width="14.140625" bestFit="1" customWidth="1"/>
    <col min="3841" max="3841" width="15.28515625" customWidth="1"/>
    <col min="3842" max="3842" width="17.71093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16.140625" customWidth="1"/>
    <col min="3849" max="3849" width="16.7109375" bestFit="1" customWidth="1"/>
    <col min="3850" max="3850" width="15.57031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2.42578125" bestFit="1" customWidth="1"/>
    <col min="4093" max="4093" width="16.28515625" bestFit="1" customWidth="1"/>
    <col min="4094" max="4094" width="13.42578125" customWidth="1"/>
    <col min="4095" max="4095" width="15.28515625" bestFit="1" customWidth="1"/>
    <col min="4096" max="4096" width="14.140625" bestFit="1" customWidth="1"/>
    <col min="4097" max="4097" width="15.28515625" customWidth="1"/>
    <col min="4098" max="4098" width="17.71093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16.140625" customWidth="1"/>
    <col min="4105" max="4105" width="16.7109375" bestFit="1" customWidth="1"/>
    <col min="4106" max="4106" width="15.57031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2.42578125" bestFit="1" customWidth="1"/>
    <col min="4349" max="4349" width="16.28515625" bestFit="1" customWidth="1"/>
    <col min="4350" max="4350" width="13.42578125" customWidth="1"/>
    <col min="4351" max="4351" width="15.28515625" bestFit="1" customWidth="1"/>
    <col min="4352" max="4352" width="14.140625" bestFit="1" customWidth="1"/>
    <col min="4353" max="4353" width="15.28515625" customWidth="1"/>
    <col min="4354" max="4354" width="17.71093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16.140625" customWidth="1"/>
    <col min="4361" max="4361" width="16.7109375" bestFit="1" customWidth="1"/>
    <col min="4362" max="4362" width="15.57031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2.42578125" bestFit="1" customWidth="1"/>
    <col min="4605" max="4605" width="16.28515625" bestFit="1" customWidth="1"/>
    <col min="4606" max="4606" width="13.42578125" customWidth="1"/>
    <col min="4607" max="4607" width="15.28515625" bestFit="1" customWidth="1"/>
    <col min="4608" max="4608" width="14.140625" bestFit="1" customWidth="1"/>
    <col min="4609" max="4609" width="15.28515625" customWidth="1"/>
    <col min="4610" max="4610" width="17.71093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16.140625" customWidth="1"/>
    <col min="4617" max="4617" width="16.7109375" bestFit="1" customWidth="1"/>
    <col min="4618" max="4618" width="15.57031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2.42578125" bestFit="1" customWidth="1"/>
    <col min="4861" max="4861" width="16.28515625" bestFit="1" customWidth="1"/>
    <col min="4862" max="4862" width="13.42578125" customWidth="1"/>
    <col min="4863" max="4863" width="15.28515625" bestFit="1" customWidth="1"/>
    <col min="4864" max="4864" width="14.140625" bestFit="1" customWidth="1"/>
    <col min="4865" max="4865" width="15.28515625" customWidth="1"/>
    <col min="4866" max="4866" width="17.71093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16.140625" customWidth="1"/>
    <col min="4873" max="4873" width="16.7109375" bestFit="1" customWidth="1"/>
    <col min="4874" max="4874" width="15.57031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2.42578125" bestFit="1" customWidth="1"/>
    <col min="5117" max="5117" width="16.28515625" bestFit="1" customWidth="1"/>
    <col min="5118" max="5118" width="13.42578125" customWidth="1"/>
    <col min="5119" max="5119" width="15.28515625" bestFit="1" customWidth="1"/>
    <col min="5120" max="5120" width="14.140625" bestFit="1" customWidth="1"/>
    <col min="5121" max="5121" width="15.28515625" customWidth="1"/>
    <col min="5122" max="5122" width="17.71093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16.140625" customWidth="1"/>
    <col min="5129" max="5129" width="16.7109375" bestFit="1" customWidth="1"/>
    <col min="5130" max="5130" width="15.57031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2.42578125" bestFit="1" customWidth="1"/>
    <col min="5373" max="5373" width="16.28515625" bestFit="1" customWidth="1"/>
    <col min="5374" max="5374" width="13.42578125" customWidth="1"/>
    <col min="5375" max="5375" width="15.28515625" bestFit="1" customWidth="1"/>
    <col min="5376" max="5376" width="14.140625" bestFit="1" customWidth="1"/>
    <col min="5377" max="5377" width="15.28515625" customWidth="1"/>
    <col min="5378" max="5378" width="17.71093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16.140625" customWidth="1"/>
    <col min="5385" max="5385" width="16.7109375" bestFit="1" customWidth="1"/>
    <col min="5386" max="5386" width="15.57031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2.42578125" bestFit="1" customWidth="1"/>
    <col min="5629" max="5629" width="16.28515625" bestFit="1" customWidth="1"/>
    <col min="5630" max="5630" width="13.42578125" customWidth="1"/>
    <col min="5631" max="5631" width="15.28515625" bestFit="1" customWidth="1"/>
    <col min="5632" max="5632" width="14.140625" bestFit="1" customWidth="1"/>
    <col min="5633" max="5633" width="15.28515625" customWidth="1"/>
    <col min="5634" max="5634" width="17.71093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16.140625" customWidth="1"/>
    <col min="5641" max="5641" width="16.7109375" bestFit="1" customWidth="1"/>
    <col min="5642" max="5642" width="15.57031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2.42578125" bestFit="1" customWidth="1"/>
    <col min="5885" max="5885" width="16.28515625" bestFit="1" customWidth="1"/>
    <col min="5886" max="5886" width="13.42578125" customWidth="1"/>
    <col min="5887" max="5887" width="15.28515625" bestFit="1" customWidth="1"/>
    <col min="5888" max="5888" width="14.140625" bestFit="1" customWidth="1"/>
    <col min="5889" max="5889" width="15.28515625" customWidth="1"/>
    <col min="5890" max="5890" width="17.71093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16.140625" customWidth="1"/>
    <col min="5897" max="5897" width="16.7109375" bestFit="1" customWidth="1"/>
    <col min="5898" max="5898" width="15.57031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2.42578125" bestFit="1" customWidth="1"/>
    <col min="6141" max="6141" width="16.28515625" bestFit="1" customWidth="1"/>
    <col min="6142" max="6142" width="13.42578125" customWidth="1"/>
    <col min="6143" max="6143" width="15.28515625" bestFit="1" customWidth="1"/>
    <col min="6144" max="6144" width="14.140625" bestFit="1" customWidth="1"/>
    <col min="6145" max="6145" width="15.28515625" customWidth="1"/>
    <col min="6146" max="6146" width="17.71093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16.140625" customWidth="1"/>
    <col min="6153" max="6153" width="16.7109375" bestFit="1" customWidth="1"/>
    <col min="6154" max="6154" width="15.57031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2.42578125" bestFit="1" customWidth="1"/>
    <col min="6397" max="6397" width="16.28515625" bestFit="1" customWidth="1"/>
    <col min="6398" max="6398" width="13.42578125" customWidth="1"/>
    <col min="6399" max="6399" width="15.28515625" bestFit="1" customWidth="1"/>
    <col min="6400" max="6400" width="14.140625" bestFit="1" customWidth="1"/>
    <col min="6401" max="6401" width="15.28515625" customWidth="1"/>
    <col min="6402" max="6402" width="17.71093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16.140625" customWidth="1"/>
    <col min="6409" max="6409" width="16.7109375" bestFit="1" customWidth="1"/>
    <col min="6410" max="6410" width="15.57031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2.42578125" bestFit="1" customWidth="1"/>
    <col min="6653" max="6653" width="16.28515625" bestFit="1" customWidth="1"/>
    <col min="6654" max="6654" width="13.42578125" customWidth="1"/>
    <col min="6655" max="6655" width="15.28515625" bestFit="1" customWidth="1"/>
    <col min="6656" max="6656" width="14.140625" bestFit="1" customWidth="1"/>
    <col min="6657" max="6657" width="15.28515625" customWidth="1"/>
    <col min="6658" max="6658" width="17.71093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16.140625" customWidth="1"/>
    <col min="6665" max="6665" width="16.7109375" bestFit="1" customWidth="1"/>
    <col min="6666" max="6666" width="15.57031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2.42578125" bestFit="1" customWidth="1"/>
    <col min="6909" max="6909" width="16.28515625" bestFit="1" customWidth="1"/>
    <col min="6910" max="6910" width="13.42578125" customWidth="1"/>
    <col min="6911" max="6911" width="15.28515625" bestFit="1" customWidth="1"/>
    <col min="6912" max="6912" width="14.140625" bestFit="1" customWidth="1"/>
    <col min="6913" max="6913" width="15.28515625" customWidth="1"/>
    <col min="6914" max="6914" width="17.71093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16.140625" customWidth="1"/>
    <col min="6921" max="6921" width="16.7109375" bestFit="1" customWidth="1"/>
    <col min="6922" max="6922" width="15.57031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2.42578125" bestFit="1" customWidth="1"/>
    <col min="7165" max="7165" width="16.28515625" bestFit="1" customWidth="1"/>
    <col min="7166" max="7166" width="13.42578125" customWidth="1"/>
    <col min="7167" max="7167" width="15.28515625" bestFit="1" customWidth="1"/>
    <col min="7168" max="7168" width="14.140625" bestFit="1" customWidth="1"/>
    <col min="7169" max="7169" width="15.28515625" customWidth="1"/>
    <col min="7170" max="7170" width="17.71093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16.140625" customWidth="1"/>
    <col min="7177" max="7177" width="16.7109375" bestFit="1" customWidth="1"/>
    <col min="7178" max="7178" width="15.57031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2.42578125" bestFit="1" customWidth="1"/>
    <col min="7421" max="7421" width="16.28515625" bestFit="1" customWidth="1"/>
    <col min="7422" max="7422" width="13.42578125" customWidth="1"/>
    <col min="7423" max="7423" width="15.28515625" bestFit="1" customWidth="1"/>
    <col min="7424" max="7424" width="14.140625" bestFit="1" customWidth="1"/>
    <col min="7425" max="7425" width="15.28515625" customWidth="1"/>
    <col min="7426" max="7426" width="17.71093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16.140625" customWidth="1"/>
    <col min="7433" max="7433" width="16.7109375" bestFit="1" customWidth="1"/>
    <col min="7434" max="7434" width="15.57031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2.42578125" bestFit="1" customWidth="1"/>
    <col min="7677" max="7677" width="16.28515625" bestFit="1" customWidth="1"/>
    <col min="7678" max="7678" width="13.42578125" customWidth="1"/>
    <col min="7679" max="7679" width="15.28515625" bestFit="1" customWidth="1"/>
    <col min="7680" max="7680" width="14.140625" bestFit="1" customWidth="1"/>
    <col min="7681" max="7681" width="15.28515625" customWidth="1"/>
    <col min="7682" max="7682" width="17.71093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16.140625" customWidth="1"/>
    <col min="7689" max="7689" width="16.7109375" bestFit="1" customWidth="1"/>
    <col min="7690" max="7690" width="15.57031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2.42578125" bestFit="1" customWidth="1"/>
    <col min="7933" max="7933" width="16.28515625" bestFit="1" customWidth="1"/>
    <col min="7934" max="7934" width="13.42578125" customWidth="1"/>
    <col min="7935" max="7935" width="15.28515625" bestFit="1" customWidth="1"/>
    <col min="7936" max="7936" width="14.140625" bestFit="1" customWidth="1"/>
    <col min="7937" max="7937" width="15.28515625" customWidth="1"/>
    <col min="7938" max="7938" width="17.71093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16.140625" customWidth="1"/>
    <col min="7945" max="7945" width="16.7109375" bestFit="1" customWidth="1"/>
    <col min="7946" max="7946" width="15.57031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2.42578125" bestFit="1" customWidth="1"/>
    <col min="8189" max="8189" width="16.28515625" bestFit="1" customWidth="1"/>
    <col min="8190" max="8190" width="13.42578125" customWidth="1"/>
    <col min="8191" max="8191" width="15.28515625" bestFit="1" customWidth="1"/>
    <col min="8192" max="8192" width="14.140625" bestFit="1" customWidth="1"/>
    <col min="8193" max="8193" width="15.28515625" customWidth="1"/>
    <col min="8194" max="8194" width="17.71093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16.140625" customWidth="1"/>
    <col min="8201" max="8201" width="16.7109375" bestFit="1" customWidth="1"/>
    <col min="8202" max="8202" width="15.57031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2.42578125" bestFit="1" customWidth="1"/>
    <col min="8445" max="8445" width="16.28515625" bestFit="1" customWidth="1"/>
    <col min="8446" max="8446" width="13.42578125" customWidth="1"/>
    <col min="8447" max="8447" width="15.28515625" bestFit="1" customWidth="1"/>
    <col min="8448" max="8448" width="14.140625" bestFit="1" customWidth="1"/>
    <col min="8449" max="8449" width="15.28515625" customWidth="1"/>
    <col min="8450" max="8450" width="17.71093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16.140625" customWidth="1"/>
    <col min="8457" max="8457" width="16.7109375" bestFit="1" customWidth="1"/>
    <col min="8458" max="8458" width="15.57031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2.42578125" bestFit="1" customWidth="1"/>
    <col min="8701" max="8701" width="16.28515625" bestFit="1" customWidth="1"/>
    <col min="8702" max="8702" width="13.42578125" customWidth="1"/>
    <col min="8703" max="8703" width="15.28515625" bestFit="1" customWidth="1"/>
    <col min="8704" max="8704" width="14.140625" bestFit="1" customWidth="1"/>
    <col min="8705" max="8705" width="15.28515625" customWidth="1"/>
    <col min="8706" max="8706" width="17.71093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16.140625" customWidth="1"/>
    <col min="8713" max="8713" width="16.7109375" bestFit="1" customWidth="1"/>
    <col min="8714" max="8714" width="15.57031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2.42578125" bestFit="1" customWidth="1"/>
    <col min="8957" max="8957" width="16.28515625" bestFit="1" customWidth="1"/>
    <col min="8958" max="8958" width="13.42578125" customWidth="1"/>
    <col min="8959" max="8959" width="15.28515625" bestFit="1" customWidth="1"/>
    <col min="8960" max="8960" width="14.140625" bestFit="1" customWidth="1"/>
    <col min="8961" max="8961" width="15.28515625" customWidth="1"/>
    <col min="8962" max="8962" width="17.71093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16.140625" customWidth="1"/>
    <col min="8969" max="8969" width="16.7109375" bestFit="1" customWidth="1"/>
    <col min="8970" max="8970" width="15.57031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2.42578125" bestFit="1" customWidth="1"/>
    <col min="9213" max="9213" width="16.28515625" bestFit="1" customWidth="1"/>
    <col min="9214" max="9214" width="13.42578125" customWidth="1"/>
    <col min="9215" max="9215" width="15.28515625" bestFit="1" customWidth="1"/>
    <col min="9216" max="9216" width="14.140625" bestFit="1" customWidth="1"/>
    <col min="9217" max="9217" width="15.28515625" customWidth="1"/>
    <col min="9218" max="9218" width="17.71093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16.140625" customWidth="1"/>
    <col min="9225" max="9225" width="16.7109375" bestFit="1" customWidth="1"/>
    <col min="9226" max="9226" width="15.57031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2.42578125" bestFit="1" customWidth="1"/>
    <col min="9469" max="9469" width="16.28515625" bestFit="1" customWidth="1"/>
    <col min="9470" max="9470" width="13.42578125" customWidth="1"/>
    <col min="9471" max="9471" width="15.28515625" bestFit="1" customWidth="1"/>
    <col min="9472" max="9472" width="14.140625" bestFit="1" customWidth="1"/>
    <col min="9473" max="9473" width="15.28515625" customWidth="1"/>
    <col min="9474" max="9474" width="17.71093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16.140625" customWidth="1"/>
    <col min="9481" max="9481" width="16.7109375" bestFit="1" customWidth="1"/>
    <col min="9482" max="9482" width="15.57031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2.42578125" bestFit="1" customWidth="1"/>
    <col min="9725" max="9725" width="16.28515625" bestFit="1" customWidth="1"/>
    <col min="9726" max="9726" width="13.42578125" customWidth="1"/>
    <col min="9727" max="9727" width="15.28515625" bestFit="1" customWidth="1"/>
    <col min="9728" max="9728" width="14.140625" bestFit="1" customWidth="1"/>
    <col min="9729" max="9729" width="15.28515625" customWidth="1"/>
    <col min="9730" max="9730" width="17.71093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16.140625" customWidth="1"/>
    <col min="9737" max="9737" width="16.7109375" bestFit="1" customWidth="1"/>
    <col min="9738" max="9738" width="15.57031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2.42578125" bestFit="1" customWidth="1"/>
    <col min="9981" max="9981" width="16.28515625" bestFit="1" customWidth="1"/>
    <col min="9982" max="9982" width="13.42578125" customWidth="1"/>
    <col min="9983" max="9983" width="15.28515625" bestFit="1" customWidth="1"/>
    <col min="9984" max="9984" width="14.140625" bestFit="1" customWidth="1"/>
    <col min="9985" max="9985" width="15.28515625" customWidth="1"/>
    <col min="9986" max="9986" width="17.71093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16.140625" customWidth="1"/>
    <col min="9993" max="9993" width="16.7109375" bestFit="1" customWidth="1"/>
    <col min="9994" max="9994" width="15.57031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2.42578125" bestFit="1" customWidth="1"/>
    <col min="10237" max="10237" width="16.28515625" bestFit="1" customWidth="1"/>
    <col min="10238" max="10238" width="13.42578125" customWidth="1"/>
    <col min="10239" max="10239" width="15.28515625" bestFit="1" customWidth="1"/>
    <col min="10240" max="10240" width="14.140625" bestFit="1" customWidth="1"/>
    <col min="10241" max="10241" width="15.28515625" customWidth="1"/>
    <col min="10242" max="10242" width="17.71093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16.140625" customWidth="1"/>
    <col min="10249" max="10249" width="16.7109375" bestFit="1" customWidth="1"/>
    <col min="10250" max="10250" width="15.57031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2.42578125" bestFit="1" customWidth="1"/>
    <col min="10493" max="10493" width="16.28515625" bestFit="1" customWidth="1"/>
    <col min="10494" max="10494" width="13.42578125" customWidth="1"/>
    <col min="10495" max="10495" width="15.28515625" bestFit="1" customWidth="1"/>
    <col min="10496" max="10496" width="14.140625" bestFit="1" customWidth="1"/>
    <col min="10497" max="10497" width="15.28515625" customWidth="1"/>
    <col min="10498" max="10498" width="17.71093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16.140625" customWidth="1"/>
    <col min="10505" max="10505" width="16.7109375" bestFit="1" customWidth="1"/>
    <col min="10506" max="10506" width="15.57031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2.42578125" bestFit="1" customWidth="1"/>
    <col min="10749" max="10749" width="16.28515625" bestFit="1" customWidth="1"/>
    <col min="10750" max="10750" width="13.42578125" customWidth="1"/>
    <col min="10751" max="10751" width="15.28515625" bestFit="1" customWidth="1"/>
    <col min="10752" max="10752" width="14.140625" bestFit="1" customWidth="1"/>
    <col min="10753" max="10753" width="15.28515625" customWidth="1"/>
    <col min="10754" max="10754" width="17.71093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16.140625" customWidth="1"/>
    <col min="10761" max="10761" width="16.7109375" bestFit="1" customWidth="1"/>
    <col min="10762" max="10762" width="15.57031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2.42578125" bestFit="1" customWidth="1"/>
    <col min="11005" max="11005" width="16.28515625" bestFit="1" customWidth="1"/>
    <col min="11006" max="11006" width="13.42578125" customWidth="1"/>
    <col min="11007" max="11007" width="15.28515625" bestFit="1" customWidth="1"/>
    <col min="11008" max="11008" width="14.140625" bestFit="1" customWidth="1"/>
    <col min="11009" max="11009" width="15.28515625" customWidth="1"/>
    <col min="11010" max="11010" width="17.71093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16.140625" customWidth="1"/>
    <col min="11017" max="11017" width="16.7109375" bestFit="1" customWidth="1"/>
    <col min="11018" max="11018" width="15.57031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2.42578125" bestFit="1" customWidth="1"/>
    <col min="11261" max="11261" width="16.28515625" bestFit="1" customWidth="1"/>
    <col min="11262" max="11262" width="13.42578125" customWidth="1"/>
    <col min="11263" max="11263" width="15.28515625" bestFit="1" customWidth="1"/>
    <col min="11264" max="11264" width="14.140625" bestFit="1" customWidth="1"/>
    <col min="11265" max="11265" width="15.28515625" customWidth="1"/>
    <col min="11266" max="11266" width="17.71093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16.140625" customWidth="1"/>
    <col min="11273" max="11273" width="16.7109375" bestFit="1" customWidth="1"/>
    <col min="11274" max="11274" width="15.57031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2.42578125" bestFit="1" customWidth="1"/>
    <col min="11517" max="11517" width="16.28515625" bestFit="1" customWidth="1"/>
    <col min="11518" max="11518" width="13.42578125" customWidth="1"/>
    <col min="11519" max="11519" width="15.28515625" bestFit="1" customWidth="1"/>
    <col min="11520" max="11520" width="14.140625" bestFit="1" customWidth="1"/>
    <col min="11521" max="11521" width="15.28515625" customWidth="1"/>
    <col min="11522" max="11522" width="17.71093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16.140625" customWidth="1"/>
    <col min="11529" max="11529" width="16.7109375" bestFit="1" customWidth="1"/>
    <col min="11530" max="11530" width="15.57031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2.42578125" bestFit="1" customWidth="1"/>
    <col min="11773" max="11773" width="16.28515625" bestFit="1" customWidth="1"/>
    <col min="11774" max="11774" width="13.42578125" customWidth="1"/>
    <col min="11775" max="11775" width="15.28515625" bestFit="1" customWidth="1"/>
    <col min="11776" max="11776" width="14.140625" bestFit="1" customWidth="1"/>
    <col min="11777" max="11777" width="15.28515625" customWidth="1"/>
    <col min="11778" max="11778" width="17.71093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16.140625" customWidth="1"/>
    <col min="11785" max="11785" width="16.7109375" bestFit="1" customWidth="1"/>
    <col min="11786" max="11786" width="15.57031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2.42578125" bestFit="1" customWidth="1"/>
    <col min="12029" max="12029" width="16.28515625" bestFit="1" customWidth="1"/>
    <col min="12030" max="12030" width="13.42578125" customWidth="1"/>
    <col min="12031" max="12031" width="15.28515625" bestFit="1" customWidth="1"/>
    <col min="12032" max="12032" width="14.140625" bestFit="1" customWidth="1"/>
    <col min="12033" max="12033" width="15.28515625" customWidth="1"/>
    <col min="12034" max="12034" width="17.71093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16.140625" customWidth="1"/>
    <col min="12041" max="12041" width="16.7109375" bestFit="1" customWidth="1"/>
    <col min="12042" max="12042" width="15.57031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2.42578125" bestFit="1" customWidth="1"/>
    <col min="12285" max="12285" width="16.28515625" bestFit="1" customWidth="1"/>
    <col min="12286" max="12286" width="13.42578125" customWidth="1"/>
    <col min="12287" max="12287" width="15.28515625" bestFit="1" customWidth="1"/>
    <col min="12288" max="12288" width="14.140625" bestFit="1" customWidth="1"/>
    <col min="12289" max="12289" width="15.28515625" customWidth="1"/>
    <col min="12290" max="12290" width="17.71093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16.140625" customWidth="1"/>
    <col min="12297" max="12297" width="16.7109375" bestFit="1" customWidth="1"/>
    <col min="12298" max="12298" width="15.57031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2.42578125" bestFit="1" customWidth="1"/>
    <col min="12541" max="12541" width="16.28515625" bestFit="1" customWidth="1"/>
    <col min="12542" max="12542" width="13.42578125" customWidth="1"/>
    <col min="12543" max="12543" width="15.28515625" bestFit="1" customWidth="1"/>
    <col min="12544" max="12544" width="14.140625" bestFit="1" customWidth="1"/>
    <col min="12545" max="12545" width="15.28515625" customWidth="1"/>
    <col min="12546" max="12546" width="17.71093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16.140625" customWidth="1"/>
    <col min="12553" max="12553" width="16.7109375" bestFit="1" customWidth="1"/>
    <col min="12554" max="12554" width="15.57031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2.42578125" bestFit="1" customWidth="1"/>
    <col min="12797" max="12797" width="16.28515625" bestFit="1" customWidth="1"/>
    <col min="12798" max="12798" width="13.42578125" customWidth="1"/>
    <col min="12799" max="12799" width="15.28515625" bestFit="1" customWidth="1"/>
    <col min="12800" max="12800" width="14.140625" bestFit="1" customWidth="1"/>
    <col min="12801" max="12801" width="15.28515625" customWidth="1"/>
    <col min="12802" max="12802" width="17.71093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16.140625" customWidth="1"/>
    <col min="12809" max="12809" width="16.7109375" bestFit="1" customWidth="1"/>
    <col min="12810" max="12810" width="15.57031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2.42578125" bestFit="1" customWidth="1"/>
    <col min="13053" max="13053" width="16.28515625" bestFit="1" customWidth="1"/>
    <col min="13054" max="13054" width="13.42578125" customWidth="1"/>
    <col min="13055" max="13055" width="15.28515625" bestFit="1" customWidth="1"/>
    <col min="13056" max="13056" width="14.140625" bestFit="1" customWidth="1"/>
    <col min="13057" max="13057" width="15.28515625" customWidth="1"/>
    <col min="13058" max="13058" width="17.71093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16.140625" customWidth="1"/>
    <col min="13065" max="13065" width="16.7109375" bestFit="1" customWidth="1"/>
    <col min="13066" max="13066" width="15.57031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2.42578125" bestFit="1" customWidth="1"/>
    <col min="13309" max="13309" width="16.28515625" bestFit="1" customWidth="1"/>
    <col min="13310" max="13310" width="13.42578125" customWidth="1"/>
    <col min="13311" max="13311" width="15.28515625" bestFit="1" customWidth="1"/>
    <col min="13312" max="13312" width="14.140625" bestFit="1" customWidth="1"/>
    <col min="13313" max="13313" width="15.28515625" customWidth="1"/>
    <col min="13314" max="13314" width="17.71093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16.140625" customWidth="1"/>
    <col min="13321" max="13321" width="16.7109375" bestFit="1" customWidth="1"/>
    <col min="13322" max="13322" width="15.57031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2.42578125" bestFit="1" customWidth="1"/>
    <col min="13565" max="13565" width="16.28515625" bestFit="1" customWidth="1"/>
    <col min="13566" max="13566" width="13.42578125" customWidth="1"/>
    <col min="13567" max="13567" width="15.28515625" bestFit="1" customWidth="1"/>
    <col min="13568" max="13568" width="14.140625" bestFit="1" customWidth="1"/>
    <col min="13569" max="13569" width="15.28515625" customWidth="1"/>
    <col min="13570" max="13570" width="17.71093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16.140625" customWidth="1"/>
    <col min="13577" max="13577" width="16.7109375" bestFit="1" customWidth="1"/>
    <col min="13578" max="13578" width="15.57031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2.42578125" bestFit="1" customWidth="1"/>
    <col min="13821" max="13821" width="16.28515625" bestFit="1" customWidth="1"/>
    <col min="13822" max="13822" width="13.42578125" customWidth="1"/>
    <col min="13823" max="13823" width="15.28515625" bestFit="1" customWidth="1"/>
    <col min="13824" max="13824" width="14.140625" bestFit="1" customWidth="1"/>
    <col min="13825" max="13825" width="15.28515625" customWidth="1"/>
    <col min="13826" max="13826" width="17.71093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16.140625" customWidth="1"/>
    <col min="13833" max="13833" width="16.7109375" bestFit="1" customWidth="1"/>
    <col min="13834" max="13834" width="15.57031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2.42578125" bestFit="1" customWidth="1"/>
    <col min="14077" max="14077" width="16.28515625" bestFit="1" customWidth="1"/>
    <col min="14078" max="14078" width="13.42578125" customWidth="1"/>
    <col min="14079" max="14079" width="15.28515625" bestFit="1" customWidth="1"/>
    <col min="14080" max="14080" width="14.140625" bestFit="1" customWidth="1"/>
    <col min="14081" max="14081" width="15.28515625" customWidth="1"/>
    <col min="14082" max="14082" width="17.71093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16.140625" customWidth="1"/>
    <col min="14089" max="14089" width="16.7109375" bestFit="1" customWidth="1"/>
    <col min="14090" max="14090" width="15.57031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2.42578125" bestFit="1" customWidth="1"/>
    <col min="14333" max="14333" width="16.28515625" bestFit="1" customWidth="1"/>
    <col min="14334" max="14334" width="13.42578125" customWidth="1"/>
    <col min="14335" max="14335" width="15.28515625" bestFit="1" customWidth="1"/>
    <col min="14336" max="14336" width="14.140625" bestFit="1" customWidth="1"/>
    <col min="14337" max="14337" width="15.28515625" customWidth="1"/>
    <col min="14338" max="14338" width="17.71093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16.140625" customWidth="1"/>
    <col min="14345" max="14345" width="16.7109375" bestFit="1" customWidth="1"/>
    <col min="14346" max="14346" width="15.57031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2.42578125" bestFit="1" customWidth="1"/>
    <col min="14589" max="14589" width="16.28515625" bestFit="1" customWidth="1"/>
    <col min="14590" max="14590" width="13.42578125" customWidth="1"/>
    <col min="14591" max="14591" width="15.28515625" bestFit="1" customWidth="1"/>
    <col min="14592" max="14592" width="14.140625" bestFit="1" customWidth="1"/>
    <col min="14593" max="14593" width="15.28515625" customWidth="1"/>
    <col min="14594" max="14594" width="17.71093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16.140625" customWidth="1"/>
    <col min="14601" max="14601" width="16.7109375" bestFit="1" customWidth="1"/>
    <col min="14602" max="14602" width="15.57031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2.42578125" bestFit="1" customWidth="1"/>
    <col min="14845" max="14845" width="16.28515625" bestFit="1" customWidth="1"/>
    <col min="14846" max="14846" width="13.42578125" customWidth="1"/>
    <col min="14847" max="14847" width="15.28515625" bestFit="1" customWidth="1"/>
    <col min="14848" max="14848" width="14.140625" bestFit="1" customWidth="1"/>
    <col min="14849" max="14849" width="15.28515625" customWidth="1"/>
    <col min="14850" max="14850" width="17.71093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16.140625" customWidth="1"/>
    <col min="14857" max="14857" width="16.7109375" bestFit="1" customWidth="1"/>
    <col min="14858" max="14858" width="15.57031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2.42578125" bestFit="1" customWidth="1"/>
    <col min="15101" max="15101" width="16.28515625" bestFit="1" customWidth="1"/>
    <col min="15102" max="15102" width="13.42578125" customWidth="1"/>
    <col min="15103" max="15103" width="15.28515625" bestFit="1" customWidth="1"/>
    <col min="15104" max="15104" width="14.140625" bestFit="1" customWidth="1"/>
    <col min="15105" max="15105" width="15.28515625" customWidth="1"/>
    <col min="15106" max="15106" width="17.71093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16.140625" customWidth="1"/>
    <col min="15113" max="15113" width="16.7109375" bestFit="1" customWidth="1"/>
    <col min="15114" max="15114" width="15.57031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2.42578125" bestFit="1" customWidth="1"/>
    <col min="15357" max="15357" width="16.28515625" bestFit="1" customWidth="1"/>
    <col min="15358" max="15358" width="13.42578125" customWidth="1"/>
    <col min="15359" max="15359" width="15.28515625" bestFit="1" customWidth="1"/>
    <col min="15360" max="15360" width="14.140625" bestFit="1" customWidth="1"/>
    <col min="15361" max="15361" width="15.28515625" customWidth="1"/>
    <col min="15362" max="15362" width="17.71093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16.140625" customWidth="1"/>
    <col min="15369" max="15369" width="16.7109375" bestFit="1" customWidth="1"/>
    <col min="15370" max="15370" width="15.57031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2.42578125" bestFit="1" customWidth="1"/>
    <col min="15613" max="15613" width="16.28515625" bestFit="1" customWidth="1"/>
    <col min="15614" max="15614" width="13.42578125" customWidth="1"/>
    <col min="15615" max="15615" width="15.28515625" bestFit="1" customWidth="1"/>
    <col min="15616" max="15616" width="14.140625" bestFit="1" customWidth="1"/>
    <col min="15617" max="15617" width="15.28515625" customWidth="1"/>
    <col min="15618" max="15618" width="17.71093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16.140625" customWidth="1"/>
    <col min="15625" max="15625" width="16.7109375" bestFit="1" customWidth="1"/>
    <col min="15626" max="15626" width="15.57031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2.42578125" bestFit="1" customWidth="1"/>
    <col min="15869" max="15869" width="16.28515625" bestFit="1" customWidth="1"/>
    <col min="15870" max="15870" width="13.42578125" customWidth="1"/>
    <col min="15871" max="15871" width="15.28515625" bestFit="1" customWidth="1"/>
    <col min="15872" max="15872" width="14.140625" bestFit="1" customWidth="1"/>
    <col min="15873" max="15873" width="15.28515625" customWidth="1"/>
    <col min="15874" max="15874" width="17.71093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16.140625" customWidth="1"/>
    <col min="15881" max="15881" width="16.7109375" bestFit="1" customWidth="1"/>
    <col min="15882" max="15882" width="15.57031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2.42578125" bestFit="1" customWidth="1"/>
    <col min="16125" max="16125" width="16.28515625" bestFit="1" customWidth="1"/>
    <col min="16126" max="16126" width="13.42578125" customWidth="1"/>
    <col min="16127" max="16127" width="15.28515625" bestFit="1" customWidth="1"/>
    <col min="16128" max="16128" width="14.140625" bestFit="1" customWidth="1"/>
    <col min="16129" max="16129" width="15.28515625" customWidth="1"/>
    <col min="16130" max="16130" width="17.71093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16.140625" customWidth="1"/>
    <col min="16137" max="16137" width="16.7109375" bestFit="1" customWidth="1"/>
    <col min="16138" max="16138" width="15.57031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1.75" customHeight="1" thickBot="1">
      <c r="C1" s="1401" t="s">
        <v>277</v>
      </c>
      <c r="D1" s="1361" t="s">
        <v>275</v>
      </c>
      <c r="E1" s="1401" t="s">
        <v>5</v>
      </c>
      <c r="F1" s="1401">
        <v>18230700</v>
      </c>
      <c r="G1" s="1401" t="s">
        <v>28</v>
      </c>
      <c r="J1" s="1361"/>
      <c r="K1" s="1361"/>
      <c r="L1" s="1361"/>
      <c r="M1" s="1401" t="s">
        <v>277</v>
      </c>
      <c r="N1" s="1361" t="s">
        <v>275</v>
      </c>
      <c r="O1" s="1401" t="s">
        <v>5</v>
      </c>
      <c r="P1" s="1401">
        <v>18230700</v>
      </c>
      <c r="Q1" s="1401" t="s">
        <v>28</v>
      </c>
      <c r="V1" s="1401" t="s">
        <v>277</v>
      </c>
      <c r="W1" s="1361" t="s">
        <v>275</v>
      </c>
      <c r="X1" s="1401" t="s">
        <v>5</v>
      </c>
      <c r="Y1" s="1401">
        <v>18230700</v>
      </c>
      <c r="Z1" s="1934" t="s">
        <v>28</v>
      </c>
    </row>
    <row r="2" spans="1:26" ht="16.5" thickBot="1">
      <c r="C2" s="44"/>
      <c r="D2" s="45"/>
      <c r="G2" s="1652"/>
      <c r="I2" s="1178" t="s">
        <v>627</v>
      </c>
      <c r="S2" s="3575"/>
      <c r="T2" s="3575"/>
      <c r="U2" s="3576" t="s">
        <v>33</v>
      </c>
      <c r="V2" s="3577"/>
      <c r="W2" s="3578"/>
      <c r="X2" s="3579" t="s">
        <v>34</v>
      </c>
    </row>
    <row r="3" spans="1:26" ht="26.25" thickBot="1">
      <c r="A3" s="1400" t="s">
        <v>277</v>
      </c>
      <c r="B3" s="1400"/>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400"/>
      <c r="C4" s="44"/>
      <c r="G4" s="1652"/>
      <c r="H4" s="2946" t="s">
        <v>1726</v>
      </c>
      <c r="I4" s="2959">
        <f>D15</f>
        <v>14825.279999999999</v>
      </c>
      <c r="J4" s="2960">
        <f>D21</f>
        <v>1600</v>
      </c>
      <c r="K4" s="2960">
        <f>D27</f>
        <v>10955.661760000001</v>
      </c>
      <c r="L4" s="2960">
        <f>D37</f>
        <v>103450.42</v>
      </c>
      <c r="M4" s="2960">
        <f>D43</f>
        <v>300</v>
      </c>
      <c r="N4" s="2960">
        <f>D49</f>
        <v>20000</v>
      </c>
      <c r="O4" s="2960">
        <f>D55</f>
        <v>500</v>
      </c>
      <c r="P4" s="2960">
        <f>D61</f>
        <v>300</v>
      </c>
      <c r="Q4" s="2960">
        <f>D67</f>
        <v>377391</v>
      </c>
      <c r="R4" s="2960">
        <f>D70</f>
        <v>0</v>
      </c>
      <c r="S4" s="2961">
        <f>SUM(I4:R4)</f>
        <v>529322.36176</v>
      </c>
      <c r="T4" s="2963">
        <f>T15</f>
        <v>326630.76</v>
      </c>
      <c r="U4" s="2954">
        <f>Q4/S4</f>
        <v>0.71297006751268299</v>
      </c>
      <c r="V4" s="2954">
        <f>(L4+(J4*1.63))/S4</f>
        <v>0.20036640743337411</v>
      </c>
      <c r="W4" s="2954">
        <f>N4/S4</f>
        <v>3.7784158472919757E-2</v>
      </c>
      <c r="X4" s="2953">
        <f>S4/T4</f>
        <v>1.6205527053238953</v>
      </c>
    </row>
    <row r="5" spans="1:26" ht="16.5" thickBot="1">
      <c r="A5" s="1400" t="s">
        <v>5</v>
      </c>
      <c r="C5" s="45"/>
      <c r="G5" s="1652"/>
      <c r="H5" s="3205" t="s">
        <v>1753</v>
      </c>
      <c r="I5" s="2617">
        <v>15195.839999999998</v>
      </c>
      <c r="J5" s="2618">
        <v>1640</v>
      </c>
      <c r="K5" s="2618">
        <v>11448.3712</v>
      </c>
      <c r="L5" s="2618">
        <v>103450.43</v>
      </c>
      <c r="M5" s="2618">
        <v>300</v>
      </c>
      <c r="N5" s="2618">
        <v>20000</v>
      </c>
      <c r="O5" s="2618">
        <v>500</v>
      </c>
      <c r="P5" s="2618">
        <v>300</v>
      </c>
      <c r="Q5" s="2618">
        <v>377391</v>
      </c>
      <c r="R5" s="2618">
        <v>0</v>
      </c>
      <c r="S5" s="2619">
        <v>530225.64119999995</v>
      </c>
      <c r="T5" s="2620">
        <v>326630.76</v>
      </c>
      <c r="U5" s="1187">
        <f>Q5/S5</f>
        <v>0.71175546913554288</v>
      </c>
      <c r="V5" s="1187">
        <f>(L5+(J5*1.63))/S5</f>
        <v>0.20014805349628573</v>
      </c>
      <c r="W5" s="1187">
        <f>N5/S5</f>
        <v>3.771979030424906E-2</v>
      </c>
      <c r="X5" s="48"/>
    </row>
    <row r="6" spans="1:26" ht="16.5" thickBot="1">
      <c r="A6" s="1400">
        <v>18230700</v>
      </c>
      <c r="B6" s="1400"/>
      <c r="D6" s="44"/>
      <c r="G6" s="1652"/>
      <c r="H6" s="3206" t="s">
        <v>1754</v>
      </c>
      <c r="I6" s="2621">
        <f>E15</f>
        <v>11727.41</v>
      </c>
      <c r="J6" s="2622">
        <f>E21</f>
        <v>2332.5</v>
      </c>
      <c r="K6" s="2623">
        <f>E27</f>
        <v>12625.799179999998</v>
      </c>
      <c r="L6" s="2622">
        <f>E37</f>
        <v>80346</v>
      </c>
      <c r="M6" s="2622">
        <f>E43</f>
        <v>300</v>
      </c>
      <c r="N6" s="2622">
        <f>E49</f>
        <v>24004</v>
      </c>
      <c r="O6" s="2622">
        <f>E55</f>
        <v>300</v>
      </c>
      <c r="P6" s="2622">
        <f>E61</f>
        <v>150</v>
      </c>
      <c r="Q6" s="2622">
        <f>E67</f>
        <v>198750</v>
      </c>
      <c r="R6" s="2622">
        <f>E70</f>
        <v>0</v>
      </c>
      <c r="S6" s="2624">
        <f>SUM(I6:R6)</f>
        <v>330535.70918000001</v>
      </c>
      <c r="T6" s="2641">
        <f>U15</f>
        <v>187782.5</v>
      </c>
      <c r="U6" s="2631">
        <f>Q6/S6</f>
        <v>0.60129660572245947</v>
      </c>
      <c r="V6" s="2631">
        <f>(L6+(J6*1.63))/S6</f>
        <v>0.25458058740084721</v>
      </c>
      <c r="W6" s="2631">
        <f>N6/S6</f>
        <v>7.2621503012638575E-2</v>
      </c>
      <c r="X6" s="2605">
        <f>S6/T6</f>
        <v>1.7602050733162036</v>
      </c>
    </row>
    <row r="7" spans="1:26" ht="15.75">
      <c r="A7" s="1400" t="s">
        <v>28</v>
      </c>
      <c r="B7" s="1357"/>
      <c r="C7" s="1413"/>
      <c r="D7" s="1190"/>
      <c r="E7" s="1414"/>
      <c r="F7" s="1413"/>
      <c r="G7" s="2606"/>
      <c r="H7" s="2607"/>
      <c r="I7" s="2607"/>
      <c r="J7" s="2607"/>
      <c r="K7" s="2607"/>
      <c r="L7" s="2607"/>
      <c r="M7" s="2607"/>
      <c r="N7" s="2607"/>
      <c r="O7" s="2607"/>
      <c r="P7" s="2607"/>
      <c r="Q7" s="2607"/>
      <c r="R7" s="2607"/>
      <c r="S7" s="2639"/>
      <c r="T7" s="2630"/>
      <c r="U7" s="2630"/>
      <c r="V7" s="2630"/>
      <c r="W7" s="2645"/>
    </row>
    <row r="8" spans="1:26" ht="15.75">
      <c r="B8" s="1400"/>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3277"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6">
      <c r="C12" s="1434" t="s">
        <v>298</v>
      </c>
      <c r="D12" s="2766">
        <f>D15+D21+D27+D37+D43+D49+D55+D61+D67</f>
        <v>529322.36176</v>
      </c>
      <c r="E12" s="1484">
        <f>E15+E21+E27+E37+E43+E49+E55+E61+E67</f>
        <v>330535.70918000001</v>
      </c>
      <c r="F12" s="1462">
        <f>D12+E12</f>
        <v>859858.07094000001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81"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81"/>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6">
      <c r="B15" s="1433" t="s">
        <v>296</v>
      </c>
      <c r="C15" s="1597" t="s">
        <v>1749</v>
      </c>
      <c r="D15" s="2771">
        <f>SUM(D16:D19)</f>
        <v>14825.279999999999</v>
      </c>
      <c r="E15" s="1464">
        <f>SUM(E16:E19)</f>
        <v>11727.41</v>
      </c>
      <c r="F15" s="1462">
        <f>D15+E15</f>
        <v>26552.69</v>
      </c>
      <c r="H15" s="1475" t="s">
        <v>308</v>
      </c>
      <c r="I15" s="1476"/>
      <c r="J15" s="1476"/>
      <c r="K15" s="1477"/>
      <c r="L15" s="1478">
        <f>SUMPRODUCT(L16:L179,S16:S179)</f>
        <v>2327616</v>
      </c>
      <c r="M15" s="1478">
        <f>SUM(M16:M179)</f>
        <v>120.6</v>
      </c>
      <c r="N15" s="1479"/>
      <c r="O15" s="2353">
        <f>IFERROR(ROUND(SUMPRODUCT(O16:O165,V16:V165)/V15,0),"N/A")</f>
        <v>10</v>
      </c>
      <c r="P15" s="1477"/>
      <c r="Q15" s="1477"/>
      <c r="R15" s="1477"/>
      <c r="S15" s="1477"/>
      <c r="T15" s="2983">
        <v>326630.76</v>
      </c>
      <c r="U15" s="1480">
        <f t="shared" ref="U15:Y15" si="0">SUM(U16:U65)</f>
        <v>187782.5</v>
      </c>
      <c r="V15" s="1480">
        <f t="shared" si="0"/>
        <v>514413.26</v>
      </c>
      <c r="W15" s="2987">
        <v>377391</v>
      </c>
      <c r="X15" s="1478">
        <f t="shared" si="0"/>
        <v>198750</v>
      </c>
      <c r="Y15" s="1478">
        <f t="shared" si="0"/>
        <v>576141</v>
      </c>
      <c r="Z15" s="1911">
        <v>0</v>
      </c>
    </row>
    <row r="16" spans="1:26">
      <c r="B16" s="1432">
        <v>0.09</v>
      </c>
      <c r="C16" s="1423" t="s">
        <v>736</v>
      </c>
      <c r="D16" s="2772">
        <v>9265.7999999999993</v>
      </c>
      <c r="E16" s="1448">
        <v>7775</v>
      </c>
      <c r="F16" s="1426">
        <f>SUM(D16:E16)</f>
        <v>17040.8</v>
      </c>
      <c r="H16" s="1973" t="s">
        <v>1582</v>
      </c>
      <c r="I16" s="2205">
        <v>1.75</v>
      </c>
      <c r="J16" s="1470" t="s">
        <v>71</v>
      </c>
      <c r="K16" s="1460" t="s">
        <v>845</v>
      </c>
      <c r="L16" s="1467">
        <v>30</v>
      </c>
      <c r="M16" s="1467">
        <v>10</v>
      </c>
      <c r="N16" s="1461">
        <v>0</v>
      </c>
      <c r="O16" s="1460">
        <v>10</v>
      </c>
      <c r="P16" s="1463" t="s">
        <v>846</v>
      </c>
      <c r="Q16" s="1466">
        <v>1000</v>
      </c>
      <c r="R16" s="1466">
        <v>100</v>
      </c>
      <c r="S16" s="1469">
        <f>SUM(Q16:R16)</f>
        <v>1100</v>
      </c>
      <c r="T16" s="2991">
        <v>8060.0000000000009</v>
      </c>
      <c r="U16" s="1469">
        <f>R16*I16</f>
        <v>175</v>
      </c>
      <c r="V16" s="1469">
        <f>SUM(T16:U16)</f>
        <v>8235</v>
      </c>
      <c r="W16" s="2993">
        <v>10000</v>
      </c>
      <c r="X16" s="1459">
        <f>R16*M16</f>
        <v>1000</v>
      </c>
      <c r="Y16" s="1459">
        <f>SUM(W16:X16)</f>
        <v>11000</v>
      </c>
      <c r="Z16" s="1910">
        <v>18.010000000000002</v>
      </c>
    </row>
    <row r="17" spans="2:26">
      <c r="B17" s="1432">
        <v>0.03</v>
      </c>
      <c r="C17" s="1423" t="s">
        <v>737</v>
      </c>
      <c r="D17" s="2784">
        <v>2779.74</v>
      </c>
      <c r="E17" s="1447">
        <v>1619.91</v>
      </c>
      <c r="F17" s="1426">
        <f t="shared" ref="F17:F19" si="1">SUM(D17:E17)</f>
        <v>4399.6499999999996</v>
      </c>
      <c r="H17" s="1973" t="s">
        <v>847</v>
      </c>
      <c r="I17" s="2205">
        <v>5</v>
      </c>
      <c r="J17" s="1470" t="s">
        <v>71</v>
      </c>
      <c r="K17" s="1460" t="s">
        <v>845</v>
      </c>
      <c r="L17" s="1467">
        <v>24</v>
      </c>
      <c r="M17" s="1467">
        <v>3.5</v>
      </c>
      <c r="N17" s="1461">
        <v>1.6977144688734239E-2</v>
      </c>
      <c r="O17" s="1460">
        <v>10</v>
      </c>
      <c r="P17" s="1463" t="s">
        <v>846</v>
      </c>
      <c r="Q17" s="1466">
        <v>4000</v>
      </c>
      <c r="R17" s="1466">
        <v>0</v>
      </c>
      <c r="S17" s="1469">
        <f t="shared" ref="S17:S22" si="2">SUM(Q17:R17)</f>
        <v>4000</v>
      </c>
      <c r="T17" s="2991">
        <v>20000</v>
      </c>
      <c r="U17" s="1469">
        <f t="shared" ref="U17:U22" si="3">R17*I17</f>
        <v>0</v>
      </c>
      <c r="V17" s="1469">
        <f t="shared" ref="V17:V22" si="4">SUM(T17:U17)</f>
        <v>20000</v>
      </c>
      <c r="W17" s="2993">
        <v>14000</v>
      </c>
      <c r="X17" s="1459">
        <f t="shared" ref="X17:X22" si="5">R17*M17</f>
        <v>0</v>
      </c>
      <c r="Y17" s="1459">
        <f t="shared" ref="Y17:Y22" si="6">SUM(W17:X17)</f>
        <v>14000</v>
      </c>
      <c r="Z17" s="1910">
        <v>10.26</v>
      </c>
    </row>
    <row r="18" spans="2:26">
      <c r="B18" s="1432">
        <v>0.03</v>
      </c>
      <c r="C18" s="1667" t="s">
        <v>734</v>
      </c>
      <c r="D18" s="2784">
        <v>2779.74</v>
      </c>
      <c r="E18" s="1447">
        <v>2332.5</v>
      </c>
      <c r="F18" s="1426">
        <f t="shared" si="1"/>
        <v>5112.24</v>
      </c>
      <c r="H18" s="1973" t="s">
        <v>848</v>
      </c>
      <c r="I18" s="2205">
        <v>13.8</v>
      </c>
      <c r="J18" s="1470" t="s">
        <v>71</v>
      </c>
      <c r="K18" s="1460" t="s">
        <v>845</v>
      </c>
      <c r="L18" s="1467">
        <v>24</v>
      </c>
      <c r="M18" s="1467">
        <v>10</v>
      </c>
      <c r="N18" s="1461">
        <v>8.312010039604284E-2</v>
      </c>
      <c r="O18" s="1460">
        <v>10</v>
      </c>
      <c r="P18" s="1463" t="s">
        <v>846</v>
      </c>
      <c r="Q18" s="1466">
        <v>4000</v>
      </c>
      <c r="R18" s="1466">
        <v>0</v>
      </c>
      <c r="S18" s="1469">
        <f t="shared" si="2"/>
        <v>4000</v>
      </c>
      <c r="T18" s="2991">
        <v>40800</v>
      </c>
      <c r="U18" s="1469">
        <f t="shared" si="3"/>
        <v>0</v>
      </c>
      <c r="V18" s="1469">
        <f t="shared" si="4"/>
        <v>40800</v>
      </c>
      <c r="W18" s="2993">
        <v>40000</v>
      </c>
      <c r="X18" s="1459">
        <f t="shared" si="5"/>
        <v>0</v>
      </c>
      <c r="Y18" s="1459">
        <f t="shared" si="6"/>
        <v>40000</v>
      </c>
      <c r="Z18" s="1910">
        <v>18.91</v>
      </c>
    </row>
    <row r="19" spans="2:26">
      <c r="B19" s="1432"/>
      <c r="C19" s="1423"/>
      <c r="D19" s="2786"/>
      <c r="E19" s="1446"/>
      <c r="F19" s="1426">
        <f t="shared" si="1"/>
        <v>0</v>
      </c>
      <c r="H19" s="1973" t="s">
        <v>849</v>
      </c>
      <c r="I19" s="2205">
        <v>10.39</v>
      </c>
      <c r="J19" s="1470" t="s">
        <v>71</v>
      </c>
      <c r="K19" s="1460" t="s">
        <v>845</v>
      </c>
      <c r="L19" s="1467">
        <v>24</v>
      </c>
      <c r="M19" s="1467">
        <v>10</v>
      </c>
      <c r="N19" s="1461">
        <v>6.9742110381320254E-3</v>
      </c>
      <c r="O19" s="1460">
        <v>10</v>
      </c>
      <c r="P19" s="1463" t="s">
        <v>846</v>
      </c>
      <c r="Q19" s="1466">
        <v>3000</v>
      </c>
      <c r="R19" s="1466">
        <v>0</v>
      </c>
      <c r="S19" s="1469">
        <f t="shared" si="2"/>
        <v>3000</v>
      </c>
      <c r="T19" s="2991">
        <v>23700</v>
      </c>
      <c r="U19" s="1469">
        <f t="shared" si="3"/>
        <v>0</v>
      </c>
      <c r="V19" s="1469">
        <f t="shared" si="4"/>
        <v>23700</v>
      </c>
      <c r="W19" s="2993">
        <v>30000</v>
      </c>
      <c r="X19" s="1459">
        <f t="shared" si="5"/>
        <v>0</v>
      </c>
      <c r="Y19" s="1459">
        <f t="shared" si="6"/>
        <v>30000</v>
      </c>
      <c r="Z19" s="1910">
        <v>14.89</v>
      </c>
    </row>
    <row r="20" spans="2:26">
      <c r="B20" s="2204">
        <f>SUM(B16:B19)</f>
        <v>0.15</v>
      </c>
      <c r="C20" s="1488"/>
      <c r="D20" s="2770"/>
      <c r="E20" s="1490"/>
      <c r="F20" s="1492"/>
      <c r="H20" s="1973" t="s">
        <v>850</v>
      </c>
      <c r="I20" s="2205">
        <v>7.11</v>
      </c>
      <c r="J20" s="1470" t="s">
        <v>71</v>
      </c>
      <c r="K20" s="1460" t="s">
        <v>845</v>
      </c>
      <c r="L20" s="1467">
        <v>24</v>
      </c>
      <c r="M20" s="1467">
        <v>10</v>
      </c>
      <c r="N20" s="1461">
        <v>4.5349348892546899E-3</v>
      </c>
      <c r="O20" s="1460">
        <v>10</v>
      </c>
      <c r="P20" s="1463" t="s">
        <v>846</v>
      </c>
      <c r="Q20" s="1466">
        <v>2600</v>
      </c>
      <c r="R20" s="1466">
        <v>0</v>
      </c>
      <c r="S20" s="1469">
        <f t="shared" si="2"/>
        <v>2600</v>
      </c>
      <c r="T20" s="2991">
        <v>13780</v>
      </c>
      <c r="U20" s="1469">
        <f t="shared" si="3"/>
        <v>0</v>
      </c>
      <c r="V20" s="1469">
        <f t="shared" si="4"/>
        <v>13780</v>
      </c>
      <c r="W20" s="2993">
        <v>26000</v>
      </c>
      <c r="X20" s="1459">
        <f t="shared" si="5"/>
        <v>0</v>
      </c>
      <c r="Y20" s="1459">
        <f t="shared" si="6"/>
        <v>26000</v>
      </c>
      <c r="Z20" s="1910">
        <v>10.17</v>
      </c>
    </row>
    <row r="21" spans="2:26">
      <c r="B21" s="1433" t="s">
        <v>296</v>
      </c>
      <c r="C21" s="1451" t="s">
        <v>44</v>
      </c>
      <c r="D21" s="2771">
        <f>SUM(D22:D25)</f>
        <v>1600</v>
      </c>
      <c r="E21" s="1464">
        <f>SUM(E22:E25)</f>
        <v>2332.5</v>
      </c>
      <c r="F21" s="1638">
        <f>D21+E21</f>
        <v>3932.5</v>
      </c>
      <c r="H21" s="1973" t="s">
        <v>851</v>
      </c>
      <c r="I21" s="2205">
        <v>4.9000000000000004</v>
      </c>
      <c r="J21" s="1470" t="s">
        <v>71</v>
      </c>
      <c r="K21" s="1460" t="s">
        <v>845</v>
      </c>
      <c r="L21" s="1467">
        <v>24</v>
      </c>
      <c r="M21" s="1467">
        <v>4</v>
      </c>
      <c r="N21" s="1461">
        <v>0.57145069022279449</v>
      </c>
      <c r="O21" s="1460">
        <v>10</v>
      </c>
      <c r="P21" s="1463" t="s">
        <v>846</v>
      </c>
      <c r="Q21" s="1466">
        <v>16750</v>
      </c>
      <c r="R21" s="1466">
        <v>15000</v>
      </c>
      <c r="S21" s="1469">
        <f t="shared" si="2"/>
        <v>31750</v>
      </c>
      <c r="T21" s="2991">
        <v>85425</v>
      </c>
      <c r="U21" s="1469">
        <f t="shared" si="3"/>
        <v>73500</v>
      </c>
      <c r="V21" s="1469">
        <f t="shared" si="4"/>
        <v>158925</v>
      </c>
      <c r="W21" s="2993">
        <v>67000</v>
      </c>
      <c r="X21" s="1459">
        <f t="shared" si="5"/>
        <v>60000</v>
      </c>
      <c r="Y21" s="1459">
        <f t="shared" si="6"/>
        <v>127000</v>
      </c>
      <c r="Z21" s="1910">
        <v>9.4499999999999993</v>
      </c>
    </row>
    <row r="22" spans="2:26">
      <c r="B22" s="1982">
        <f>(SUM(D22:E22)/2)/((80000+(80000*1.025))/2)</f>
        <v>1.2137345679012345E-2</v>
      </c>
      <c r="C22" s="1423" t="s">
        <v>827</v>
      </c>
      <c r="D22" s="2772">
        <v>800</v>
      </c>
      <c r="E22" s="1448">
        <v>1166.25</v>
      </c>
      <c r="F22" s="1426">
        <f t="shared" ref="F22:F25" si="7">SUM(D22:E22)</f>
        <v>1966.25</v>
      </c>
      <c r="H22" s="1973" t="s">
        <v>852</v>
      </c>
      <c r="I22" s="2205">
        <v>3.9</v>
      </c>
      <c r="J22" s="1470" t="s">
        <v>71</v>
      </c>
      <c r="K22" s="1460" t="s">
        <v>845</v>
      </c>
      <c r="L22" s="1467">
        <v>24</v>
      </c>
      <c r="M22" s="1467">
        <v>4</v>
      </c>
      <c r="N22" s="1461">
        <v>5.2968691428850828E-2</v>
      </c>
      <c r="O22" s="1460">
        <v>10</v>
      </c>
      <c r="P22" s="1463" t="s">
        <v>846</v>
      </c>
      <c r="Q22" s="1466">
        <v>4000</v>
      </c>
      <c r="R22" s="1466">
        <v>4000</v>
      </c>
      <c r="S22" s="1469">
        <f t="shared" si="2"/>
        <v>8000</v>
      </c>
      <c r="T22" s="2991">
        <v>15600</v>
      </c>
      <c r="U22" s="1469">
        <f t="shared" si="3"/>
        <v>15600</v>
      </c>
      <c r="V22" s="1469">
        <f t="shared" si="4"/>
        <v>31200</v>
      </c>
      <c r="W22" s="2993">
        <v>16000</v>
      </c>
      <c r="X22" s="1459">
        <f t="shared" si="5"/>
        <v>16000</v>
      </c>
      <c r="Y22" s="1459">
        <f t="shared" si="6"/>
        <v>32000</v>
      </c>
      <c r="Z22" s="1910">
        <v>7.44</v>
      </c>
    </row>
    <row r="23" spans="2:26">
      <c r="B23" s="1982">
        <f>(SUM(D23:E23)/2)/((80000+(80000*1.025))/2)</f>
        <v>1.2137345679012345E-2</v>
      </c>
      <c r="C23" s="1423" t="s">
        <v>828</v>
      </c>
      <c r="D23" s="2772">
        <v>800</v>
      </c>
      <c r="E23" s="1669">
        <v>1166.25</v>
      </c>
      <c r="F23" s="1426">
        <f t="shared" si="7"/>
        <v>1966.25</v>
      </c>
      <c r="H23" s="1460" t="s">
        <v>853</v>
      </c>
      <c r="I23" s="2205">
        <v>2.9</v>
      </c>
      <c r="J23" s="1470" t="s">
        <v>71</v>
      </c>
      <c r="K23" s="1460" t="s">
        <v>845</v>
      </c>
      <c r="L23" s="1467">
        <v>24</v>
      </c>
      <c r="M23" s="1467">
        <v>4</v>
      </c>
      <c r="N23" s="1461">
        <v>0.12359361333398526</v>
      </c>
      <c r="O23" s="1460">
        <v>10</v>
      </c>
      <c r="P23" s="1463" t="s">
        <v>846</v>
      </c>
      <c r="Q23" s="1466">
        <v>8000</v>
      </c>
      <c r="R23" s="1466">
        <v>6500</v>
      </c>
      <c r="S23" s="1469">
        <f t="shared" ref="S23:S37" si="8">SUM(Q23:R23)</f>
        <v>14500</v>
      </c>
      <c r="T23" s="2991">
        <v>20800</v>
      </c>
      <c r="U23" s="1469">
        <f t="shared" ref="U23:U37" si="9">R23*I23</f>
        <v>18850</v>
      </c>
      <c r="V23" s="1469">
        <f t="shared" ref="V23:V37" si="10">SUM(T23:U23)</f>
        <v>39650</v>
      </c>
      <c r="W23" s="2993">
        <v>32000</v>
      </c>
      <c r="X23" s="1459">
        <f t="shared" ref="X23:X37" si="11">R23*M23</f>
        <v>26000</v>
      </c>
      <c r="Y23" s="1459">
        <f t="shared" ref="Y23:Y37" si="12">SUM(W23:X23)</f>
        <v>58000</v>
      </c>
      <c r="Z23" s="1910">
        <v>5.08</v>
      </c>
    </row>
    <row r="24" spans="2:26">
      <c r="B24" s="1982"/>
      <c r="C24" s="1423"/>
      <c r="D24" s="2774"/>
      <c r="E24" s="1443"/>
      <c r="F24" s="1426">
        <f t="shared" si="7"/>
        <v>0</v>
      </c>
      <c r="H24" s="1460" t="s">
        <v>854</v>
      </c>
      <c r="I24" s="2205">
        <v>7.82</v>
      </c>
      <c r="J24" s="1470" t="s">
        <v>71</v>
      </c>
      <c r="K24" s="1460" t="s">
        <v>845</v>
      </c>
      <c r="L24" s="1467">
        <v>24</v>
      </c>
      <c r="M24" s="1467">
        <v>10</v>
      </c>
      <c r="N24" s="1461">
        <v>1.8029727659435763E-3</v>
      </c>
      <c r="O24" s="1460">
        <v>10</v>
      </c>
      <c r="P24" s="1463" t="s">
        <v>846</v>
      </c>
      <c r="Q24" s="1466">
        <v>3000</v>
      </c>
      <c r="R24" s="1466">
        <v>3000</v>
      </c>
      <c r="S24" s="1469">
        <f t="shared" si="8"/>
        <v>6000</v>
      </c>
      <c r="T24" s="2991">
        <v>15929.999999999998</v>
      </c>
      <c r="U24" s="1469">
        <f t="shared" si="9"/>
        <v>23460</v>
      </c>
      <c r="V24" s="1469">
        <f t="shared" si="10"/>
        <v>39390</v>
      </c>
      <c r="W24" s="2993">
        <v>30000</v>
      </c>
      <c r="X24" s="1459">
        <f t="shared" si="11"/>
        <v>30000</v>
      </c>
      <c r="Y24" s="1459">
        <f t="shared" si="12"/>
        <v>60000</v>
      </c>
      <c r="Z24" s="1910">
        <v>18.91</v>
      </c>
    </row>
    <row r="25" spans="2:26">
      <c r="B25" s="1982"/>
      <c r="C25" s="1423"/>
      <c r="D25" s="2775"/>
      <c r="E25" s="1444"/>
      <c r="F25" s="1426">
        <f t="shared" si="7"/>
        <v>0</v>
      </c>
      <c r="H25" s="1460" t="s">
        <v>855</v>
      </c>
      <c r="I25" s="2205">
        <v>6.31</v>
      </c>
      <c r="J25" s="1470" t="s">
        <v>71</v>
      </c>
      <c r="K25" s="1460" t="s">
        <v>845</v>
      </c>
      <c r="L25" s="1467">
        <v>24</v>
      </c>
      <c r="M25" s="1467">
        <v>10</v>
      </c>
      <c r="N25" s="1461">
        <v>1.3921258644762075E-3</v>
      </c>
      <c r="O25" s="1460">
        <v>10</v>
      </c>
      <c r="P25" s="1463" t="s">
        <v>846</v>
      </c>
      <c r="Q25" s="1466">
        <v>3000</v>
      </c>
      <c r="R25" s="1466">
        <v>500</v>
      </c>
      <c r="S25" s="1469">
        <f t="shared" si="8"/>
        <v>3500</v>
      </c>
      <c r="T25" s="2991">
        <v>12299.999999999998</v>
      </c>
      <c r="U25" s="1469">
        <f t="shared" si="9"/>
        <v>3155</v>
      </c>
      <c r="V25" s="1469">
        <f t="shared" si="10"/>
        <v>15454.999999999998</v>
      </c>
      <c r="W25" s="2993">
        <v>30000</v>
      </c>
      <c r="X25" s="1459">
        <f t="shared" si="11"/>
        <v>5000</v>
      </c>
      <c r="Y25" s="1459">
        <f t="shared" si="12"/>
        <v>35000</v>
      </c>
      <c r="Z25" s="1910">
        <v>14.89</v>
      </c>
    </row>
    <row r="26" spans="2:26">
      <c r="B26" s="2204">
        <f>SUM(B22:B25)</f>
        <v>2.4274691358024691E-2</v>
      </c>
      <c r="C26" s="1424"/>
      <c r="D26" s="2776"/>
      <c r="E26" s="1431"/>
      <c r="F26" s="1439"/>
      <c r="H26" s="1460" t="s">
        <v>856</v>
      </c>
      <c r="I26" s="2205">
        <v>4.5999999999999996</v>
      </c>
      <c r="J26" s="1470" t="s">
        <v>71</v>
      </c>
      <c r="K26" s="1460" t="s">
        <v>845</v>
      </c>
      <c r="L26" s="1467">
        <v>24</v>
      </c>
      <c r="M26" s="1467">
        <v>10</v>
      </c>
      <c r="N26" s="1461">
        <v>9.3034752894263632E-4</v>
      </c>
      <c r="O26" s="1460">
        <v>10</v>
      </c>
      <c r="P26" s="1463" t="s">
        <v>846</v>
      </c>
      <c r="Q26" s="1466">
        <v>3000</v>
      </c>
      <c r="R26" s="1466">
        <v>250</v>
      </c>
      <c r="S26" s="1469">
        <f t="shared" si="8"/>
        <v>3250</v>
      </c>
      <c r="T26" s="2991">
        <v>8220</v>
      </c>
      <c r="U26" s="1469">
        <f t="shared" si="9"/>
        <v>1150</v>
      </c>
      <c r="V26" s="1469">
        <f t="shared" si="10"/>
        <v>9370</v>
      </c>
      <c r="W26" s="2993">
        <v>30000</v>
      </c>
      <c r="X26" s="1459">
        <f t="shared" si="11"/>
        <v>2500</v>
      </c>
      <c r="Y26" s="1459">
        <f t="shared" si="12"/>
        <v>32500</v>
      </c>
      <c r="Z26" s="1910">
        <v>10.17</v>
      </c>
    </row>
    <row r="27" spans="2:26">
      <c r="C27" s="1597" t="s">
        <v>1737</v>
      </c>
      <c r="D27" s="2771">
        <f>SUM(D29:D35)</f>
        <v>10955.661760000001</v>
      </c>
      <c r="E27" s="1657">
        <f>SUM(E29:E31)+SUM(E33:E35)</f>
        <v>12625.799179999998</v>
      </c>
      <c r="F27" s="1638">
        <f>D27+E27</f>
        <v>23581.460939999997</v>
      </c>
      <c r="H27" s="1460" t="s">
        <v>857</v>
      </c>
      <c r="I27" s="2205">
        <v>10.86</v>
      </c>
      <c r="J27" s="1470" t="s">
        <v>71</v>
      </c>
      <c r="K27" s="1460" t="s">
        <v>845</v>
      </c>
      <c r="L27" s="1467">
        <v>40</v>
      </c>
      <c r="M27" s="1467">
        <v>10</v>
      </c>
      <c r="N27" s="1461">
        <v>0</v>
      </c>
      <c r="O27" s="1460">
        <v>10</v>
      </c>
      <c r="P27" s="1463" t="s">
        <v>846</v>
      </c>
      <c r="Q27" s="1466">
        <v>2250</v>
      </c>
      <c r="R27" s="1466">
        <v>2250</v>
      </c>
      <c r="S27" s="1469">
        <f t="shared" si="8"/>
        <v>4500</v>
      </c>
      <c r="T27" s="2991">
        <v>30757.5</v>
      </c>
      <c r="U27" s="1469">
        <f t="shared" si="9"/>
        <v>24435</v>
      </c>
      <c r="V27" s="1469">
        <f t="shared" si="10"/>
        <v>55192.5</v>
      </c>
      <c r="W27" s="2993">
        <v>22500</v>
      </c>
      <c r="X27" s="1459">
        <f t="shared" si="11"/>
        <v>22500</v>
      </c>
      <c r="Y27" s="1459">
        <f t="shared" si="12"/>
        <v>45000</v>
      </c>
      <c r="Z27" s="1910">
        <v>18.91</v>
      </c>
    </row>
    <row r="28" spans="2:26">
      <c r="C28" s="1450" t="s">
        <v>1733</v>
      </c>
      <c r="D28" s="2777">
        <v>0.66700000000000004</v>
      </c>
      <c r="E28" s="1452">
        <v>0.68799999999999994</v>
      </c>
      <c r="F28" s="1485"/>
      <c r="H28" s="1460" t="s">
        <v>1583</v>
      </c>
      <c r="I28" s="2205">
        <v>1.1000000000000001</v>
      </c>
      <c r="J28" s="1470" t="s">
        <v>229</v>
      </c>
      <c r="K28" s="1460"/>
      <c r="L28" s="1467">
        <v>15</v>
      </c>
      <c r="M28" s="1467">
        <v>3.5</v>
      </c>
      <c r="N28" s="1461" t="s">
        <v>229</v>
      </c>
      <c r="O28" s="1460"/>
      <c r="P28" s="1463"/>
      <c r="Q28" s="1466">
        <v>400</v>
      </c>
      <c r="R28" s="1466">
        <v>400</v>
      </c>
      <c r="S28" s="1469">
        <f t="shared" si="8"/>
        <v>800</v>
      </c>
      <c r="T28" s="2991">
        <v>1980</v>
      </c>
      <c r="U28" s="1469">
        <f t="shared" si="9"/>
        <v>440.00000000000006</v>
      </c>
      <c r="V28" s="1469">
        <f t="shared" si="10"/>
        <v>2420</v>
      </c>
      <c r="W28" s="2993">
        <v>1400</v>
      </c>
      <c r="X28" s="1459">
        <f t="shared" si="11"/>
        <v>1400</v>
      </c>
      <c r="Y28" s="1459">
        <f t="shared" si="12"/>
        <v>2800</v>
      </c>
      <c r="Z28" s="1910"/>
    </row>
    <row r="29" spans="2:26">
      <c r="C29" s="1667" t="s">
        <v>719</v>
      </c>
      <c r="D29" s="2778">
        <f>D15*D28</f>
        <v>9888.4617600000001</v>
      </c>
      <c r="E29" s="1504">
        <f>E15*E28</f>
        <v>8068.4580799999994</v>
      </c>
      <c r="F29" s="1426">
        <f t="shared" ref="F29:F35" si="13">SUM(D29:E29)</f>
        <v>17956.919839999999</v>
      </c>
      <c r="H29" s="1460" t="s">
        <v>1584</v>
      </c>
      <c r="I29" s="2205">
        <v>6.7</v>
      </c>
      <c r="J29" s="1470" t="s">
        <v>229</v>
      </c>
      <c r="K29" s="1460"/>
      <c r="L29" s="1467">
        <v>20</v>
      </c>
      <c r="M29" s="1467">
        <v>3.5</v>
      </c>
      <c r="N29" s="1461" t="s">
        <v>229</v>
      </c>
      <c r="O29" s="1460"/>
      <c r="P29" s="1463"/>
      <c r="Q29" s="1466">
        <v>350</v>
      </c>
      <c r="R29" s="1466">
        <v>600</v>
      </c>
      <c r="S29" s="1469">
        <f t="shared" si="8"/>
        <v>950</v>
      </c>
      <c r="T29" s="2991">
        <v>2936.5</v>
      </c>
      <c r="U29" s="1469">
        <f t="shared" si="9"/>
        <v>4020</v>
      </c>
      <c r="V29" s="1469">
        <f t="shared" si="10"/>
        <v>6956.5</v>
      </c>
      <c r="W29" s="2993">
        <v>1225</v>
      </c>
      <c r="X29" s="1459">
        <f t="shared" si="11"/>
        <v>2100</v>
      </c>
      <c r="Y29" s="1459">
        <f t="shared" si="12"/>
        <v>3325</v>
      </c>
      <c r="Z29" s="1910"/>
    </row>
    <row r="30" spans="2:26">
      <c r="C30" s="1667" t="s">
        <v>720</v>
      </c>
      <c r="D30" s="2785">
        <f>D21*D28</f>
        <v>1067.2</v>
      </c>
      <c r="E30" s="1504">
        <f>E21*E28</f>
        <v>1604.7599999999998</v>
      </c>
      <c r="F30" s="1426">
        <f t="shared" si="13"/>
        <v>2671.96</v>
      </c>
      <c r="H30" s="1460" t="s">
        <v>1814</v>
      </c>
      <c r="I30" s="2205">
        <v>0.72</v>
      </c>
      <c r="J30" s="1470" t="s">
        <v>71</v>
      </c>
      <c r="K30" s="1460" t="s">
        <v>845</v>
      </c>
      <c r="L30" s="1467">
        <v>20</v>
      </c>
      <c r="M30" s="1467">
        <v>10</v>
      </c>
      <c r="N30" s="1461">
        <v>1.2223544175888653E-3</v>
      </c>
      <c r="O30" s="1460">
        <v>10</v>
      </c>
      <c r="P30" s="1463" t="s">
        <v>846</v>
      </c>
      <c r="Q30" s="1466">
        <v>600</v>
      </c>
      <c r="R30" s="1466">
        <v>500</v>
      </c>
      <c r="S30" s="1469">
        <f t="shared" si="8"/>
        <v>1100</v>
      </c>
      <c r="T30" s="2991">
        <v>432</v>
      </c>
      <c r="U30" s="1469">
        <f t="shared" si="9"/>
        <v>360</v>
      </c>
      <c r="V30" s="1469">
        <f t="shared" si="10"/>
        <v>792</v>
      </c>
      <c r="W30" s="2993">
        <v>6000</v>
      </c>
      <c r="X30" s="1459">
        <f t="shared" si="11"/>
        <v>5000</v>
      </c>
      <c r="Y30" s="1459">
        <f t="shared" si="12"/>
        <v>11000</v>
      </c>
      <c r="Z30" s="1910">
        <v>3.97</v>
      </c>
    </row>
    <row r="31" spans="2:26">
      <c r="C31" s="1667"/>
      <c r="D31" s="2774"/>
      <c r="E31" s="1443"/>
      <c r="F31" s="1426">
        <f t="shared" si="13"/>
        <v>0</v>
      </c>
      <c r="H31" s="1460" t="s">
        <v>1815</v>
      </c>
      <c r="I31" s="2205">
        <v>0.69</v>
      </c>
      <c r="J31" s="1470" t="s">
        <v>71</v>
      </c>
      <c r="K31" s="1460" t="s">
        <v>845</v>
      </c>
      <c r="L31" s="1467">
        <v>20</v>
      </c>
      <c r="M31" s="1467">
        <v>3.5</v>
      </c>
      <c r="N31" s="1461">
        <v>2.342845967045325E-3</v>
      </c>
      <c r="O31" s="1460">
        <v>10</v>
      </c>
      <c r="P31" s="1463" t="s">
        <v>846</v>
      </c>
      <c r="Q31" s="1466">
        <v>550</v>
      </c>
      <c r="R31" s="1466">
        <v>1000</v>
      </c>
      <c r="S31" s="1469">
        <f t="shared" si="8"/>
        <v>1550</v>
      </c>
      <c r="T31" s="2991">
        <v>379.49999999999994</v>
      </c>
      <c r="U31" s="1469">
        <f t="shared" si="9"/>
        <v>690</v>
      </c>
      <c r="V31" s="1469">
        <f t="shared" si="10"/>
        <v>1069.5</v>
      </c>
      <c r="W31" s="2993">
        <v>1925</v>
      </c>
      <c r="X31" s="1459">
        <f t="shared" si="11"/>
        <v>3500</v>
      </c>
      <c r="Y31" s="1459">
        <f t="shared" si="12"/>
        <v>5425</v>
      </c>
      <c r="Z31" s="1910">
        <v>1.99</v>
      </c>
    </row>
    <row r="32" spans="2:26">
      <c r="C32" s="1450" t="s">
        <v>1734</v>
      </c>
      <c r="D32" s="2777"/>
      <c r="E32" s="1452">
        <v>0.21</v>
      </c>
      <c r="F32" s="1485"/>
      <c r="H32" s="1460" t="s">
        <v>1816</v>
      </c>
      <c r="I32" s="2205">
        <v>0.72</v>
      </c>
      <c r="J32" s="1470" t="s">
        <v>71</v>
      </c>
      <c r="K32" s="1460" t="s">
        <v>845</v>
      </c>
      <c r="L32" s="1467">
        <v>2</v>
      </c>
      <c r="M32" s="1467">
        <v>2</v>
      </c>
      <c r="N32" s="1461">
        <v>7.3341265055331913E-4</v>
      </c>
      <c r="O32" s="1460">
        <v>10</v>
      </c>
      <c r="P32" s="1463" t="s">
        <v>846</v>
      </c>
      <c r="Q32" s="1466">
        <v>3858</v>
      </c>
      <c r="R32" s="1466">
        <v>4000</v>
      </c>
      <c r="S32" s="1469">
        <f t="shared" si="8"/>
        <v>7858</v>
      </c>
      <c r="T32" s="2991">
        <v>2777.7599999999998</v>
      </c>
      <c r="U32" s="1469">
        <f t="shared" si="9"/>
        <v>2880</v>
      </c>
      <c r="V32" s="1469">
        <f t="shared" si="10"/>
        <v>5657.76</v>
      </c>
      <c r="W32" s="2993">
        <v>7716</v>
      </c>
      <c r="X32" s="1459">
        <f t="shared" si="11"/>
        <v>8000</v>
      </c>
      <c r="Y32" s="1459">
        <f t="shared" si="12"/>
        <v>15716</v>
      </c>
      <c r="Z32" s="1910">
        <v>3.97</v>
      </c>
    </row>
    <row r="33" spans="1:26">
      <c r="C33" s="1667" t="s">
        <v>719</v>
      </c>
      <c r="D33" s="2778"/>
      <c r="E33" s="1641">
        <f>E15*E32</f>
        <v>2462.7561000000001</v>
      </c>
      <c r="F33" s="1661">
        <f>SUM(D33:E33)</f>
        <v>2462.7561000000001</v>
      </c>
      <c r="H33" s="1460" t="s">
        <v>1817</v>
      </c>
      <c r="I33" s="2205">
        <v>1.23</v>
      </c>
      <c r="J33" s="1470" t="s">
        <v>71</v>
      </c>
      <c r="K33" s="1460" t="s">
        <v>845</v>
      </c>
      <c r="L33" s="1467">
        <v>2</v>
      </c>
      <c r="M33" s="1467">
        <v>2</v>
      </c>
      <c r="N33" s="1461">
        <v>2.5058265560571739E-3</v>
      </c>
      <c r="O33" s="1460">
        <v>10</v>
      </c>
      <c r="P33" s="1463" t="s">
        <v>846</v>
      </c>
      <c r="Q33" s="1466">
        <v>3000</v>
      </c>
      <c r="R33" s="1466">
        <v>6000</v>
      </c>
      <c r="S33" s="1469">
        <f t="shared" si="8"/>
        <v>9000</v>
      </c>
      <c r="T33" s="2991">
        <v>3690</v>
      </c>
      <c r="U33" s="1469">
        <f t="shared" si="9"/>
        <v>7380</v>
      </c>
      <c r="V33" s="1469">
        <f t="shared" si="10"/>
        <v>11070</v>
      </c>
      <c r="W33" s="2993">
        <v>6000</v>
      </c>
      <c r="X33" s="1459">
        <f t="shared" si="11"/>
        <v>12000</v>
      </c>
      <c r="Y33" s="1459">
        <f t="shared" si="12"/>
        <v>18000</v>
      </c>
      <c r="Z33" s="1910">
        <v>6.82</v>
      </c>
    </row>
    <row r="34" spans="1:26" ht="25.5">
      <c r="A34" s="1400" t="s">
        <v>277</v>
      </c>
      <c r="C34" s="1667" t="s">
        <v>720</v>
      </c>
      <c r="D34" s="2785"/>
      <c r="E34" s="1641">
        <f>E21*E32</f>
        <v>489.82499999999999</v>
      </c>
      <c r="F34" s="1661">
        <f t="shared" ref="F34" si="14">SUM(D34:E34)</f>
        <v>489.82499999999999</v>
      </c>
      <c r="H34" s="1460"/>
      <c r="I34" s="2205"/>
      <c r="J34" s="1470" t="s">
        <v>229</v>
      </c>
      <c r="K34" s="1460"/>
      <c r="L34" s="1467"/>
      <c r="M34" s="1467"/>
      <c r="N34" s="1461" t="s">
        <v>229</v>
      </c>
      <c r="O34" s="1460"/>
      <c r="P34" s="1463"/>
      <c r="Q34" s="1466"/>
      <c r="R34" s="1466"/>
      <c r="S34" s="1469">
        <f t="shared" si="8"/>
        <v>0</v>
      </c>
      <c r="T34" s="2991">
        <v>0</v>
      </c>
      <c r="U34" s="1469">
        <f t="shared" si="9"/>
        <v>0</v>
      </c>
      <c r="V34" s="1469">
        <f t="shared" si="10"/>
        <v>0</v>
      </c>
      <c r="W34" s="2993">
        <v>0</v>
      </c>
      <c r="X34" s="1459">
        <f t="shared" si="11"/>
        <v>0</v>
      </c>
      <c r="Y34" s="1459">
        <f t="shared" si="12"/>
        <v>0</v>
      </c>
      <c r="Z34" s="1910">
        <v>0</v>
      </c>
    </row>
    <row r="35" spans="1:26">
      <c r="A35" s="1357" t="s">
        <v>275</v>
      </c>
      <c r="C35" s="1445"/>
      <c r="D35" s="2775"/>
      <c r="E35" s="1444"/>
      <c r="F35" s="1426">
        <f t="shared" si="13"/>
        <v>0</v>
      </c>
      <c r="H35" s="1460"/>
      <c r="I35" s="2205"/>
      <c r="J35" s="1470" t="s">
        <v>229</v>
      </c>
      <c r="K35" s="1460"/>
      <c r="L35" s="1467"/>
      <c r="M35" s="1467"/>
      <c r="N35" s="1461" t="s">
        <v>229</v>
      </c>
      <c r="O35" s="1460"/>
      <c r="P35" s="1463"/>
      <c r="Q35" s="1466"/>
      <c r="R35" s="1466"/>
      <c r="S35" s="1469">
        <f t="shared" si="8"/>
        <v>0</v>
      </c>
      <c r="T35" s="2991">
        <v>0</v>
      </c>
      <c r="U35" s="1469">
        <f t="shared" si="9"/>
        <v>0</v>
      </c>
      <c r="V35" s="1469">
        <f t="shared" si="10"/>
        <v>0</v>
      </c>
      <c r="W35" s="2993">
        <v>0</v>
      </c>
      <c r="X35" s="1459">
        <f t="shared" si="11"/>
        <v>0</v>
      </c>
      <c r="Y35" s="1459">
        <f t="shared" si="12"/>
        <v>0</v>
      </c>
      <c r="Z35" s="1910">
        <v>0</v>
      </c>
    </row>
    <row r="36" spans="1:26">
      <c r="A36" s="1400" t="s">
        <v>5</v>
      </c>
      <c r="C36" s="1488"/>
      <c r="D36" s="2779"/>
      <c r="E36" s="1490"/>
      <c r="F36" s="1493"/>
      <c r="H36" s="1460" t="s">
        <v>1812</v>
      </c>
      <c r="I36" s="2205">
        <v>0.69</v>
      </c>
      <c r="J36" s="1470" t="s">
        <v>71</v>
      </c>
      <c r="K36" s="1460" t="s">
        <v>845</v>
      </c>
      <c r="L36" s="1467">
        <v>2</v>
      </c>
      <c r="M36" s="1467">
        <v>0.3</v>
      </c>
      <c r="N36" s="1461">
        <v>2.9285574588066562E-2</v>
      </c>
      <c r="O36" s="1460">
        <v>10</v>
      </c>
      <c r="P36" s="1463" t="s">
        <v>846</v>
      </c>
      <c r="Q36" s="1466">
        <v>6250</v>
      </c>
      <c r="R36" s="1466">
        <v>6250</v>
      </c>
      <c r="S36" s="1469">
        <f t="shared" si="8"/>
        <v>12500</v>
      </c>
      <c r="T36" s="2991">
        <v>4312.5</v>
      </c>
      <c r="U36" s="1469">
        <f t="shared" si="9"/>
        <v>4312.5</v>
      </c>
      <c r="V36" s="1469">
        <f t="shared" si="10"/>
        <v>8625</v>
      </c>
      <c r="W36" s="2993">
        <v>1875</v>
      </c>
      <c r="X36" s="1459">
        <f t="shared" si="11"/>
        <v>1875</v>
      </c>
      <c r="Y36" s="1459">
        <f t="shared" si="12"/>
        <v>3750</v>
      </c>
      <c r="Z36" s="1910">
        <v>3.97</v>
      </c>
    </row>
    <row r="37" spans="1:26">
      <c r="A37" s="1400">
        <v>18230700</v>
      </c>
      <c r="C37" s="1451" t="s">
        <v>46</v>
      </c>
      <c r="D37" s="2771">
        <f>SUM(D38:D41)</f>
        <v>103450.42</v>
      </c>
      <c r="E37" s="1464">
        <f>SUM(E38:E41)</f>
        <v>80346</v>
      </c>
      <c r="F37" s="1638">
        <f>D37+E37</f>
        <v>183796.41999999998</v>
      </c>
      <c r="H37" s="1460" t="s">
        <v>1813</v>
      </c>
      <c r="I37" s="2205">
        <v>1.18</v>
      </c>
      <c r="J37" s="1470" t="s">
        <v>71</v>
      </c>
      <c r="K37" s="1460" t="s">
        <v>845</v>
      </c>
      <c r="L37" s="1467">
        <v>2</v>
      </c>
      <c r="M37" s="1467">
        <v>0.3</v>
      </c>
      <c r="N37" s="1461">
        <v>0.10016515366353201</v>
      </c>
      <c r="O37" s="1460">
        <v>10</v>
      </c>
      <c r="P37" s="1463" t="s">
        <v>846</v>
      </c>
      <c r="Q37" s="1466">
        <v>12500</v>
      </c>
      <c r="R37" s="1466">
        <v>6250</v>
      </c>
      <c r="S37" s="1469">
        <f t="shared" si="8"/>
        <v>18750</v>
      </c>
      <c r="T37" s="2991">
        <v>14750</v>
      </c>
      <c r="U37" s="1469">
        <f t="shared" si="9"/>
        <v>7375</v>
      </c>
      <c r="V37" s="1469">
        <f t="shared" si="10"/>
        <v>22125</v>
      </c>
      <c r="W37" s="2993">
        <v>3750</v>
      </c>
      <c r="X37" s="1459">
        <f t="shared" si="11"/>
        <v>1875</v>
      </c>
      <c r="Y37" s="1459">
        <f t="shared" si="12"/>
        <v>5625</v>
      </c>
      <c r="Z37" s="1910">
        <v>6.82</v>
      </c>
    </row>
    <row r="38" spans="1:26">
      <c r="A38" s="1400" t="s">
        <v>28</v>
      </c>
      <c r="C38" s="1423" t="s">
        <v>829</v>
      </c>
      <c r="D38" s="2778">
        <v>83200.42</v>
      </c>
      <c r="E38" s="1520">
        <v>35403</v>
      </c>
      <c r="F38" s="1426">
        <f t="shared" ref="F38:F41" si="15">SUM(D38:E38)</f>
        <v>118603.42</v>
      </c>
      <c r="H38" s="1460"/>
      <c r="I38" s="1466"/>
      <c r="J38" s="1470" t="s">
        <v>229</v>
      </c>
      <c r="K38" s="1460"/>
      <c r="L38" s="1467"/>
      <c r="M38" s="1467"/>
      <c r="N38" s="1461"/>
      <c r="O38" s="1460"/>
      <c r="P38" s="1463"/>
      <c r="Q38" s="1466"/>
      <c r="R38" s="1466"/>
      <c r="S38" s="1469"/>
      <c r="T38" s="1469"/>
      <c r="U38" s="1469"/>
      <c r="V38" s="1469"/>
      <c r="W38" s="2993"/>
      <c r="X38" s="1459"/>
      <c r="Y38" s="1459"/>
      <c r="Z38" s="1910"/>
    </row>
    <row r="39" spans="1:26">
      <c r="C39" s="1667" t="s">
        <v>830</v>
      </c>
      <c r="D39" s="2778">
        <v>20250</v>
      </c>
      <c r="E39" s="1520">
        <v>44943</v>
      </c>
      <c r="F39" s="1426">
        <f t="shared" si="15"/>
        <v>65193</v>
      </c>
      <c r="H39" s="1460"/>
      <c r="I39" s="1466"/>
      <c r="J39" s="1470" t="s">
        <v>229</v>
      </c>
      <c r="K39" s="1460"/>
      <c r="L39" s="1467"/>
      <c r="M39" s="1467"/>
      <c r="N39" s="1461"/>
      <c r="O39" s="1460"/>
      <c r="P39" s="1463"/>
      <c r="Q39" s="1466"/>
      <c r="R39" s="1466"/>
      <c r="S39" s="1469"/>
      <c r="T39" s="1469"/>
      <c r="U39" s="1469"/>
      <c r="V39" s="1469"/>
      <c r="W39" s="1459"/>
      <c r="X39" s="1459"/>
      <c r="Y39" s="1459"/>
      <c r="Z39" s="1910"/>
    </row>
    <row r="40" spans="1:26">
      <c r="C40" s="1423"/>
      <c r="D40" s="2778"/>
      <c r="E40" s="1520"/>
      <c r="F40" s="1426">
        <f t="shared" si="15"/>
        <v>0</v>
      </c>
      <c r="H40" s="1460"/>
      <c r="I40" s="1466"/>
      <c r="J40" s="1470" t="s">
        <v>229</v>
      </c>
      <c r="K40" s="1460"/>
      <c r="L40" s="1467"/>
      <c r="M40" s="1467"/>
      <c r="N40" s="1461"/>
      <c r="O40" s="1460"/>
      <c r="P40" s="1463"/>
      <c r="Q40" s="1466"/>
      <c r="R40" s="1466"/>
      <c r="S40" s="1469"/>
      <c r="T40" s="1469"/>
      <c r="U40" s="1469"/>
      <c r="V40" s="1469"/>
      <c r="W40" s="1459"/>
      <c r="X40" s="1459"/>
      <c r="Y40" s="1459"/>
      <c r="Z40" s="1910"/>
    </row>
    <row r="41" spans="1:26">
      <c r="C41" s="1423"/>
      <c r="D41" s="2778"/>
      <c r="E41" s="1520"/>
      <c r="F41" s="1426">
        <f t="shared" si="15"/>
        <v>0</v>
      </c>
      <c r="H41" s="1460"/>
      <c r="I41" s="1466"/>
      <c r="J41" s="1470" t="s">
        <v>229</v>
      </c>
      <c r="K41" s="1460"/>
      <c r="L41" s="1467"/>
      <c r="M41" s="1467"/>
      <c r="N41" s="1461"/>
      <c r="O41" s="1460"/>
      <c r="P41" s="1463"/>
      <c r="Q41" s="1466"/>
      <c r="R41" s="1466"/>
      <c r="S41" s="1469"/>
      <c r="T41" s="1469"/>
      <c r="U41" s="1469"/>
      <c r="V41" s="1469"/>
      <c r="W41" s="1459"/>
      <c r="X41" s="1459"/>
      <c r="Y41" s="1459"/>
      <c r="Z41" s="1910"/>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300</v>
      </c>
      <c r="E43" s="1464">
        <f>SUM(E44:E47)</f>
        <v>300</v>
      </c>
      <c r="F43" s="1638">
        <f>D43+E43</f>
        <v>600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423" t="s">
        <v>831</v>
      </c>
      <c r="D44" s="2778">
        <v>300</v>
      </c>
      <c r="E44" s="1520">
        <v>300</v>
      </c>
      <c r="F44" s="1426">
        <f t="shared" ref="F44:F47" si="16">SUM(D44:E44)</f>
        <v>600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20000</v>
      </c>
      <c r="E49" s="1464">
        <f>SUM(E50:E53)</f>
        <v>24004</v>
      </c>
      <c r="F49" s="1638">
        <f>D49+E49</f>
        <v>44004</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423" t="s">
        <v>832</v>
      </c>
      <c r="D50" s="2778">
        <v>10000</v>
      </c>
      <c r="E50" s="1520">
        <v>17511</v>
      </c>
      <c r="F50" s="1426">
        <f t="shared" ref="F50:F53" si="17">SUM(D50:E50)</f>
        <v>27511</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t="s">
        <v>833</v>
      </c>
      <c r="D51" s="2778">
        <v>10000</v>
      </c>
      <c r="E51" s="1520">
        <v>4493</v>
      </c>
      <c r="F51" s="1426">
        <f t="shared" si="17"/>
        <v>14493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t="s">
        <v>1811</v>
      </c>
      <c r="D52" s="2778"/>
      <c r="E52" s="1520">
        <v>2000</v>
      </c>
      <c r="F52" s="1426">
        <f t="shared" si="17"/>
        <v>2000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500</v>
      </c>
      <c r="E55" s="1464">
        <f>SUM(E56:E59)</f>
        <v>300</v>
      </c>
      <c r="F55" s="1638">
        <f>D55+E55</f>
        <v>800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423" t="s">
        <v>834</v>
      </c>
      <c r="D56" s="2778">
        <v>500</v>
      </c>
      <c r="E56" s="1504">
        <v>300</v>
      </c>
      <c r="F56" s="1426">
        <f t="shared" ref="F56:F59" si="18">SUM(D56:E56)</f>
        <v>800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771">
        <f>SUM(D62:D65)</f>
        <v>300</v>
      </c>
      <c r="E61" s="1464">
        <f>SUM(E62:E65)</f>
        <v>150</v>
      </c>
      <c r="F61" s="1638">
        <f>D61+E61</f>
        <v>450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835</v>
      </c>
      <c r="D62" s="2778">
        <v>300</v>
      </c>
      <c r="E62" s="1520">
        <v>150</v>
      </c>
      <c r="F62" s="1426">
        <f t="shared" ref="F62:F65" si="19">SUM(D62:E62)</f>
        <v>450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ht="25.5">
      <c r="A64" s="1400" t="s">
        <v>277</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400" t="s">
        <v>5</v>
      </c>
      <c r="C66" s="1488"/>
      <c r="D66" s="2779"/>
      <c r="E66" s="1490"/>
      <c r="F66" s="1493"/>
    </row>
    <row r="67" spans="1:26">
      <c r="A67" s="1400">
        <v>18230700</v>
      </c>
      <c r="C67" s="1451" t="s">
        <v>50</v>
      </c>
      <c r="D67" s="2771">
        <f>W15</f>
        <v>377391</v>
      </c>
      <c r="E67" s="1464">
        <f>X15</f>
        <v>198750</v>
      </c>
      <c r="F67" s="1462">
        <f>D67+E67</f>
        <v>576141</v>
      </c>
    </row>
    <row r="68" spans="1:26">
      <c r="A68" s="1400" t="s">
        <v>28</v>
      </c>
      <c r="C68" s="1500" t="s">
        <v>297</v>
      </c>
      <c r="D68" s="2938">
        <f>D67/D12</f>
        <v>0.71297006751268299</v>
      </c>
      <c r="E68" s="1986">
        <f>E67/E12</f>
        <v>0.60129660572245947</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5" activePane="bottomRight" state="frozen"/>
      <selection pane="bottomRight" activeCell="C7" sqref="C7"/>
      <pageMargins left="0.2" right="0.21" top="0.35" bottom="0.34" header="0.3" footer="0.3"/>
      <pageSetup paperSize="17" scale="48" orientation="landscape" r:id="rId1"/>
    </customSheetView>
    <customSheetView guid="{074EB09C-6289-46D7-9513-012B68BCA7BF}" showGridLines="0">
      <pane xSplit="1" ySplit="1" topLeftCell="B2" activePane="bottomRight" state="frozen"/>
      <selection pane="bottomRight" activeCell="H4" sqref="H4:H6"/>
      <pageMargins left="0.2" right="0.21" top="0.35" bottom="0.34" header="0.3" footer="0.3"/>
      <pageSetup paperSize="17" scale="48"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21" top="0.35" bottom="0.34" header="0.3" footer="0.3"/>
  <pageSetup paperSize="3" scale="45"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U16" sqref="U16"/>
    </sheetView>
  </sheetViews>
  <sheetFormatPr defaultRowHeight="12.75"/>
  <cols>
    <col min="1" max="1" width="18.28515625" style="970" customWidth="1"/>
    <col min="2" max="2" width="15.85546875" style="1413" customWidth="1"/>
    <col min="3" max="3" width="29" style="970" customWidth="1"/>
    <col min="4" max="4" width="22.140625" style="970" customWidth="1"/>
    <col min="5" max="5" width="12.5703125" style="971" customWidth="1"/>
    <col min="6" max="6" width="12.5703125" style="970" customWidth="1"/>
    <col min="7" max="7" width="16.28515625" style="970" bestFit="1" customWidth="1"/>
    <col min="8" max="8" width="40.42578125" style="970" customWidth="1"/>
    <col min="9" max="9" width="15.28515625" style="970" bestFit="1" customWidth="1"/>
    <col min="10" max="10" width="14.140625" style="970" bestFit="1" customWidth="1"/>
    <col min="11" max="11" width="15.28515625" style="970" customWidth="1"/>
    <col min="12" max="12" width="17.7109375" style="970" customWidth="1"/>
    <col min="13" max="13" width="17" style="970" bestFit="1" customWidth="1"/>
    <col min="14" max="14" width="12.7109375" style="970" customWidth="1"/>
    <col min="15" max="15" width="13.7109375" style="970" customWidth="1"/>
    <col min="16" max="16" width="13.85546875" style="970" bestFit="1" customWidth="1"/>
    <col min="17" max="17" width="19.7109375" style="970" bestFit="1" customWidth="1"/>
    <col min="18" max="18" width="16.140625" style="970" customWidth="1"/>
    <col min="19" max="19" width="16.7109375" style="970" bestFit="1" customWidth="1"/>
    <col min="20" max="20" width="15.5703125" style="970" bestFit="1" customWidth="1"/>
    <col min="21" max="21" width="20.5703125" style="970" bestFit="1" customWidth="1"/>
    <col min="22" max="22" width="16.42578125" style="970" bestFit="1" customWidth="1"/>
    <col min="23" max="23" width="14.28515625" style="970" customWidth="1"/>
    <col min="24" max="24" width="12.85546875" style="970" bestFit="1" customWidth="1"/>
    <col min="25" max="25" width="11.28515625" style="970" bestFit="1" customWidth="1"/>
    <col min="26" max="26" width="12.5703125" style="970" bestFit="1" customWidth="1"/>
    <col min="27" max="248" width="9.140625" style="970"/>
    <col min="249" max="249" width="24" style="970" bestFit="1" customWidth="1"/>
    <col min="250" max="250" width="43.85546875" style="970" customWidth="1"/>
    <col min="251" max="251" width="19.7109375" style="970" bestFit="1" customWidth="1"/>
    <col min="252" max="252" width="12.42578125" style="970" bestFit="1" customWidth="1"/>
    <col min="253" max="253" width="16.28515625" style="970" bestFit="1" customWidth="1"/>
    <col min="254" max="254" width="13.42578125" style="970" customWidth="1"/>
    <col min="255" max="255" width="15.28515625" style="970" bestFit="1" customWidth="1"/>
    <col min="256" max="256" width="14.140625" style="970" bestFit="1" customWidth="1"/>
    <col min="257" max="257" width="15.28515625" style="970" customWidth="1"/>
    <col min="258" max="258" width="17.7109375" style="970" customWidth="1"/>
    <col min="259" max="259" width="17" style="970" bestFit="1" customWidth="1"/>
    <col min="260" max="260" width="12.7109375" style="970" customWidth="1"/>
    <col min="261" max="261" width="13.7109375" style="970" customWidth="1"/>
    <col min="262" max="262" width="13.85546875" style="970" bestFit="1" customWidth="1"/>
    <col min="263" max="263" width="19.7109375" style="970" bestFit="1" customWidth="1"/>
    <col min="264" max="264" width="16.140625" style="970" customWidth="1"/>
    <col min="265" max="265" width="16.7109375" style="970" bestFit="1" customWidth="1"/>
    <col min="266" max="266" width="15.5703125" style="970" bestFit="1" customWidth="1"/>
    <col min="267" max="267" width="20.5703125" style="970" bestFit="1" customWidth="1"/>
    <col min="268" max="268" width="16.42578125" style="970" bestFit="1" customWidth="1"/>
    <col min="269" max="269" width="14.28515625" style="970" customWidth="1"/>
    <col min="270" max="270" width="12.85546875" style="970" bestFit="1" customWidth="1"/>
    <col min="271" max="271" width="11.28515625" style="970" bestFit="1" customWidth="1"/>
    <col min="272" max="272" width="12.5703125" style="970" bestFit="1" customWidth="1"/>
    <col min="273" max="273" width="14" style="970" bestFit="1" customWidth="1"/>
    <col min="274" max="274" width="6" style="970" bestFit="1" customWidth="1"/>
    <col min="275" max="275" width="15" style="970" customWidth="1"/>
    <col min="276" max="276" width="14.85546875" style="970" bestFit="1" customWidth="1"/>
    <col min="277" max="277" width="16.140625" style="970" bestFit="1" customWidth="1"/>
    <col min="278" max="504" width="9.140625" style="970"/>
    <col min="505" max="505" width="24" style="970" bestFit="1" customWidth="1"/>
    <col min="506" max="506" width="43.85546875" style="970" customWidth="1"/>
    <col min="507" max="507" width="19.7109375" style="970" bestFit="1" customWidth="1"/>
    <col min="508" max="508" width="12.42578125" style="970" bestFit="1" customWidth="1"/>
    <col min="509" max="509" width="16.28515625" style="970" bestFit="1" customWidth="1"/>
    <col min="510" max="510" width="13.42578125" style="970" customWidth="1"/>
    <col min="511" max="511" width="15.28515625" style="970" bestFit="1" customWidth="1"/>
    <col min="512" max="512" width="14.140625" style="970" bestFit="1" customWidth="1"/>
    <col min="513" max="513" width="15.28515625" style="970" customWidth="1"/>
    <col min="514" max="514" width="17.7109375" style="970" customWidth="1"/>
    <col min="515" max="515" width="17" style="970" bestFit="1" customWidth="1"/>
    <col min="516" max="516" width="12.7109375" style="970" customWidth="1"/>
    <col min="517" max="517" width="13.7109375" style="970" customWidth="1"/>
    <col min="518" max="518" width="13.85546875" style="970" bestFit="1" customWidth="1"/>
    <col min="519" max="519" width="19.7109375" style="970" bestFit="1" customWidth="1"/>
    <col min="520" max="520" width="16.140625" style="970" customWidth="1"/>
    <col min="521" max="521" width="16.7109375" style="970" bestFit="1" customWidth="1"/>
    <col min="522" max="522" width="15.5703125" style="970" bestFit="1" customWidth="1"/>
    <col min="523" max="523" width="20.5703125" style="970" bestFit="1" customWidth="1"/>
    <col min="524" max="524" width="16.42578125" style="970" bestFit="1" customWidth="1"/>
    <col min="525" max="525" width="14.28515625" style="970" customWidth="1"/>
    <col min="526" max="526" width="12.85546875" style="970" bestFit="1" customWidth="1"/>
    <col min="527" max="527" width="11.28515625" style="970" bestFit="1" customWidth="1"/>
    <col min="528" max="528" width="12.5703125" style="970" bestFit="1" customWidth="1"/>
    <col min="529" max="529" width="14" style="970" bestFit="1" customWidth="1"/>
    <col min="530" max="530" width="6" style="970" bestFit="1" customWidth="1"/>
    <col min="531" max="531" width="15" style="970" customWidth="1"/>
    <col min="532" max="532" width="14.85546875" style="970" bestFit="1" customWidth="1"/>
    <col min="533" max="533" width="16.140625" style="970" bestFit="1" customWidth="1"/>
    <col min="534" max="760" width="9.140625" style="970"/>
    <col min="761" max="761" width="24" style="970" bestFit="1" customWidth="1"/>
    <col min="762" max="762" width="43.85546875" style="970" customWidth="1"/>
    <col min="763" max="763" width="19.7109375" style="970" bestFit="1" customWidth="1"/>
    <col min="764" max="764" width="12.42578125" style="970" bestFit="1" customWidth="1"/>
    <col min="765" max="765" width="16.28515625" style="970" bestFit="1" customWidth="1"/>
    <col min="766" max="766" width="13.42578125" style="970" customWidth="1"/>
    <col min="767" max="767" width="15.28515625" style="970" bestFit="1" customWidth="1"/>
    <col min="768" max="768" width="14.140625" style="970" bestFit="1" customWidth="1"/>
    <col min="769" max="769" width="15.28515625" style="970" customWidth="1"/>
    <col min="770" max="770" width="17.7109375" style="970" customWidth="1"/>
    <col min="771" max="771" width="17" style="970" bestFit="1" customWidth="1"/>
    <col min="772" max="772" width="12.7109375" style="970" customWidth="1"/>
    <col min="773" max="773" width="13.7109375" style="970" customWidth="1"/>
    <col min="774" max="774" width="13.85546875" style="970" bestFit="1" customWidth="1"/>
    <col min="775" max="775" width="19.7109375" style="970" bestFit="1" customWidth="1"/>
    <col min="776" max="776" width="16.140625" style="970" customWidth="1"/>
    <col min="777" max="777" width="16.7109375" style="970" bestFit="1" customWidth="1"/>
    <col min="778" max="778" width="15.5703125" style="970" bestFit="1" customWidth="1"/>
    <col min="779" max="779" width="20.5703125" style="970" bestFit="1" customWidth="1"/>
    <col min="780" max="780" width="16.42578125" style="970" bestFit="1" customWidth="1"/>
    <col min="781" max="781" width="14.28515625" style="970" customWidth="1"/>
    <col min="782" max="782" width="12.85546875" style="970" bestFit="1" customWidth="1"/>
    <col min="783" max="783" width="11.28515625" style="970" bestFit="1" customWidth="1"/>
    <col min="784" max="784" width="12.5703125" style="970" bestFit="1" customWidth="1"/>
    <col min="785" max="785" width="14" style="970" bestFit="1" customWidth="1"/>
    <col min="786" max="786" width="6" style="970" bestFit="1" customWidth="1"/>
    <col min="787" max="787" width="15" style="970" customWidth="1"/>
    <col min="788" max="788" width="14.85546875" style="970" bestFit="1" customWidth="1"/>
    <col min="789" max="789" width="16.140625" style="970" bestFit="1" customWidth="1"/>
    <col min="790" max="1016" width="9.140625" style="970"/>
    <col min="1017" max="1017" width="24" style="970" bestFit="1" customWidth="1"/>
    <col min="1018" max="1018" width="43.85546875" style="970" customWidth="1"/>
    <col min="1019" max="1019" width="19.7109375" style="970" bestFit="1" customWidth="1"/>
    <col min="1020" max="1020" width="12.42578125" style="970" bestFit="1" customWidth="1"/>
    <col min="1021" max="1021" width="16.28515625" style="970" bestFit="1" customWidth="1"/>
    <col min="1022" max="1022" width="13.42578125" style="970" customWidth="1"/>
    <col min="1023" max="1023" width="15.28515625" style="970" bestFit="1" customWidth="1"/>
    <col min="1024" max="1024" width="14.140625" style="970" bestFit="1" customWidth="1"/>
    <col min="1025" max="1025" width="15.28515625" style="970" customWidth="1"/>
    <col min="1026" max="1026" width="17.7109375" style="970" customWidth="1"/>
    <col min="1027" max="1027" width="17" style="970" bestFit="1" customWidth="1"/>
    <col min="1028" max="1028" width="12.7109375" style="970" customWidth="1"/>
    <col min="1029" max="1029" width="13.7109375" style="970" customWidth="1"/>
    <col min="1030" max="1030" width="13.85546875" style="970" bestFit="1" customWidth="1"/>
    <col min="1031" max="1031" width="19.7109375" style="970" bestFit="1" customWidth="1"/>
    <col min="1032" max="1032" width="16.140625" style="970" customWidth="1"/>
    <col min="1033" max="1033" width="16.7109375" style="970" bestFit="1" customWidth="1"/>
    <col min="1034" max="1034" width="15.5703125" style="970" bestFit="1" customWidth="1"/>
    <col min="1035" max="1035" width="20.5703125" style="970" bestFit="1" customWidth="1"/>
    <col min="1036" max="1036" width="16.42578125" style="970" bestFit="1" customWidth="1"/>
    <col min="1037" max="1037" width="14.28515625" style="970" customWidth="1"/>
    <col min="1038" max="1038" width="12.85546875" style="970" bestFit="1" customWidth="1"/>
    <col min="1039" max="1039" width="11.28515625" style="970" bestFit="1" customWidth="1"/>
    <col min="1040" max="1040" width="12.5703125" style="970" bestFit="1" customWidth="1"/>
    <col min="1041" max="1041" width="14" style="970" bestFit="1" customWidth="1"/>
    <col min="1042" max="1042" width="6" style="970" bestFit="1" customWidth="1"/>
    <col min="1043" max="1043" width="15" style="970" customWidth="1"/>
    <col min="1044" max="1044" width="14.85546875" style="970" bestFit="1" customWidth="1"/>
    <col min="1045" max="1045" width="16.140625" style="970" bestFit="1" customWidth="1"/>
    <col min="1046" max="1272" width="9.140625" style="970"/>
    <col min="1273" max="1273" width="24" style="970" bestFit="1" customWidth="1"/>
    <col min="1274" max="1274" width="43.85546875" style="970" customWidth="1"/>
    <col min="1275" max="1275" width="19.7109375" style="970" bestFit="1" customWidth="1"/>
    <col min="1276" max="1276" width="12.42578125" style="970" bestFit="1" customWidth="1"/>
    <col min="1277" max="1277" width="16.28515625" style="970" bestFit="1" customWidth="1"/>
    <col min="1278" max="1278" width="13.42578125" style="970" customWidth="1"/>
    <col min="1279" max="1279" width="15.28515625" style="970" bestFit="1" customWidth="1"/>
    <col min="1280" max="1280" width="14.140625" style="970" bestFit="1" customWidth="1"/>
    <col min="1281" max="1281" width="15.28515625" style="970" customWidth="1"/>
    <col min="1282" max="1282" width="17.7109375" style="970" customWidth="1"/>
    <col min="1283" max="1283" width="17" style="970" bestFit="1" customWidth="1"/>
    <col min="1284" max="1284" width="12.7109375" style="970" customWidth="1"/>
    <col min="1285" max="1285" width="13.7109375" style="970" customWidth="1"/>
    <col min="1286" max="1286" width="13.85546875" style="970" bestFit="1" customWidth="1"/>
    <col min="1287" max="1287" width="19.7109375" style="970" bestFit="1" customWidth="1"/>
    <col min="1288" max="1288" width="16.140625" style="970" customWidth="1"/>
    <col min="1289" max="1289" width="16.7109375" style="970" bestFit="1" customWidth="1"/>
    <col min="1290" max="1290" width="15.5703125" style="970" bestFit="1" customWidth="1"/>
    <col min="1291" max="1291" width="20.5703125" style="970" bestFit="1" customWidth="1"/>
    <col min="1292" max="1292" width="16.42578125" style="970" bestFit="1" customWidth="1"/>
    <col min="1293" max="1293" width="14.28515625" style="970" customWidth="1"/>
    <col min="1294" max="1294" width="12.85546875" style="970" bestFit="1" customWidth="1"/>
    <col min="1295" max="1295" width="11.28515625" style="970" bestFit="1" customWidth="1"/>
    <col min="1296" max="1296" width="12.5703125" style="970" bestFit="1" customWidth="1"/>
    <col min="1297" max="1297" width="14" style="970" bestFit="1" customWidth="1"/>
    <col min="1298" max="1298" width="6" style="970" bestFit="1" customWidth="1"/>
    <col min="1299" max="1299" width="15" style="970" customWidth="1"/>
    <col min="1300" max="1300" width="14.85546875" style="970" bestFit="1" customWidth="1"/>
    <col min="1301" max="1301" width="16.140625" style="970" bestFit="1" customWidth="1"/>
    <col min="1302" max="1528" width="9.140625" style="970"/>
    <col min="1529" max="1529" width="24" style="970" bestFit="1" customWidth="1"/>
    <col min="1530" max="1530" width="43.85546875" style="970" customWidth="1"/>
    <col min="1531" max="1531" width="19.7109375" style="970" bestFit="1" customWidth="1"/>
    <col min="1532" max="1532" width="12.42578125" style="970" bestFit="1" customWidth="1"/>
    <col min="1533" max="1533" width="16.28515625" style="970" bestFit="1" customWidth="1"/>
    <col min="1534" max="1534" width="13.42578125" style="970" customWidth="1"/>
    <col min="1535" max="1535" width="15.28515625" style="970" bestFit="1" customWidth="1"/>
    <col min="1536" max="1536" width="14.140625" style="970" bestFit="1" customWidth="1"/>
    <col min="1537" max="1537" width="15.28515625" style="970" customWidth="1"/>
    <col min="1538" max="1538" width="17.7109375" style="970" customWidth="1"/>
    <col min="1539" max="1539" width="17" style="970" bestFit="1" customWidth="1"/>
    <col min="1540" max="1540" width="12.7109375" style="970" customWidth="1"/>
    <col min="1541" max="1541" width="13.7109375" style="970" customWidth="1"/>
    <col min="1542" max="1542" width="13.85546875" style="970" bestFit="1" customWidth="1"/>
    <col min="1543" max="1543" width="19.7109375" style="970" bestFit="1" customWidth="1"/>
    <col min="1544" max="1544" width="16.140625" style="970" customWidth="1"/>
    <col min="1545" max="1545" width="16.7109375" style="970" bestFit="1" customWidth="1"/>
    <col min="1546" max="1546" width="15.5703125" style="970" bestFit="1" customWidth="1"/>
    <col min="1547" max="1547" width="20.5703125" style="970" bestFit="1" customWidth="1"/>
    <col min="1548" max="1548" width="16.42578125" style="970" bestFit="1" customWidth="1"/>
    <col min="1549" max="1549" width="14.28515625" style="970" customWidth="1"/>
    <col min="1550" max="1550" width="12.85546875" style="970" bestFit="1" customWidth="1"/>
    <col min="1551" max="1551" width="11.28515625" style="970" bestFit="1" customWidth="1"/>
    <col min="1552" max="1552" width="12.5703125" style="970" bestFit="1" customWidth="1"/>
    <col min="1553" max="1553" width="14" style="970" bestFit="1" customWidth="1"/>
    <col min="1554" max="1554" width="6" style="970" bestFit="1" customWidth="1"/>
    <col min="1555" max="1555" width="15" style="970" customWidth="1"/>
    <col min="1556" max="1556" width="14.85546875" style="970" bestFit="1" customWidth="1"/>
    <col min="1557" max="1557" width="16.140625" style="970" bestFit="1" customWidth="1"/>
    <col min="1558" max="1784" width="9.140625" style="970"/>
    <col min="1785" max="1785" width="24" style="970" bestFit="1" customWidth="1"/>
    <col min="1786" max="1786" width="43.85546875" style="970" customWidth="1"/>
    <col min="1787" max="1787" width="19.7109375" style="970" bestFit="1" customWidth="1"/>
    <col min="1788" max="1788" width="12.42578125" style="970" bestFit="1" customWidth="1"/>
    <col min="1789" max="1789" width="16.28515625" style="970" bestFit="1" customWidth="1"/>
    <col min="1790" max="1790" width="13.42578125" style="970" customWidth="1"/>
    <col min="1791" max="1791" width="15.28515625" style="970" bestFit="1" customWidth="1"/>
    <col min="1792" max="1792" width="14.140625" style="970" bestFit="1" customWidth="1"/>
    <col min="1793" max="1793" width="15.28515625" style="970" customWidth="1"/>
    <col min="1794" max="1794" width="17.7109375" style="970" customWidth="1"/>
    <col min="1795" max="1795" width="17" style="970" bestFit="1" customWidth="1"/>
    <col min="1796" max="1796" width="12.7109375" style="970" customWidth="1"/>
    <col min="1797" max="1797" width="13.7109375" style="970" customWidth="1"/>
    <col min="1798" max="1798" width="13.85546875" style="970" bestFit="1" customWidth="1"/>
    <col min="1799" max="1799" width="19.7109375" style="970" bestFit="1" customWidth="1"/>
    <col min="1800" max="1800" width="16.140625" style="970" customWidth="1"/>
    <col min="1801" max="1801" width="16.7109375" style="970" bestFit="1" customWidth="1"/>
    <col min="1802" max="1802" width="15.5703125" style="970" bestFit="1" customWidth="1"/>
    <col min="1803" max="1803" width="20.5703125" style="970" bestFit="1" customWidth="1"/>
    <col min="1804" max="1804" width="16.42578125" style="970" bestFit="1" customWidth="1"/>
    <col min="1805" max="1805" width="14.28515625" style="970" customWidth="1"/>
    <col min="1806" max="1806" width="12.85546875" style="970" bestFit="1" customWidth="1"/>
    <col min="1807" max="1807" width="11.28515625" style="970" bestFit="1" customWidth="1"/>
    <col min="1808" max="1808" width="12.5703125" style="970" bestFit="1" customWidth="1"/>
    <col min="1809" max="1809" width="14" style="970" bestFit="1" customWidth="1"/>
    <col min="1810" max="1810" width="6" style="970" bestFit="1" customWidth="1"/>
    <col min="1811" max="1811" width="15" style="970" customWidth="1"/>
    <col min="1812" max="1812" width="14.85546875" style="970" bestFit="1" customWidth="1"/>
    <col min="1813" max="1813" width="16.140625" style="970" bestFit="1" customWidth="1"/>
    <col min="1814" max="2040" width="9.140625" style="970"/>
    <col min="2041" max="2041" width="24" style="970" bestFit="1" customWidth="1"/>
    <col min="2042" max="2042" width="43.85546875" style="970" customWidth="1"/>
    <col min="2043" max="2043" width="19.7109375" style="970" bestFit="1" customWidth="1"/>
    <col min="2044" max="2044" width="12.42578125" style="970" bestFit="1" customWidth="1"/>
    <col min="2045" max="2045" width="16.28515625" style="970" bestFit="1" customWidth="1"/>
    <col min="2046" max="2046" width="13.42578125" style="970" customWidth="1"/>
    <col min="2047" max="2047" width="15.28515625" style="970" bestFit="1" customWidth="1"/>
    <col min="2048" max="2048" width="14.140625" style="970" bestFit="1" customWidth="1"/>
    <col min="2049" max="2049" width="15.28515625" style="970" customWidth="1"/>
    <col min="2050" max="2050" width="17.7109375" style="970" customWidth="1"/>
    <col min="2051" max="2051" width="17" style="970" bestFit="1" customWidth="1"/>
    <col min="2052" max="2052" width="12.7109375" style="970" customWidth="1"/>
    <col min="2053" max="2053" width="13.7109375" style="970" customWidth="1"/>
    <col min="2054" max="2054" width="13.85546875" style="970" bestFit="1" customWidth="1"/>
    <col min="2055" max="2055" width="19.7109375" style="970" bestFit="1" customWidth="1"/>
    <col min="2056" max="2056" width="16.140625" style="970" customWidth="1"/>
    <col min="2057" max="2057" width="16.7109375" style="970" bestFit="1" customWidth="1"/>
    <col min="2058" max="2058" width="15.5703125" style="970" bestFit="1" customWidth="1"/>
    <col min="2059" max="2059" width="20.5703125" style="970" bestFit="1" customWidth="1"/>
    <col min="2060" max="2060" width="16.42578125" style="970" bestFit="1" customWidth="1"/>
    <col min="2061" max="2061" width="14.28515625" style="970" customWidth="1"/>
    <col min="2062" max="2062" width="12.85546875" style="970" bestFit="1" customWidth="1"/>
    <col min="2063" max="2063" width="11.28515625" style="970" bestFit="1" customWidth="1"/>
    <col min="2064" max="2064" width="12.5703125" style="970" bestFit="1" customWidth="1"/>
    <col min="2065" max="2065" width="14" style="970" bestFit="1" customWidth="1"/>
    <col min="2066" max="2066" width="6" style="970" bestFit="1" customWidth="1"/>
    <col min="2067" max="2067" width="15" style="970" customWidth="1"/>
    <col min="2068" max="2068" width="14.85546875" style="970" bestFit="1" customWidth="1"/>
    <col min="2069" max="2069" width="16.140625" style="970" bestFit="1" customWidth="1"/>
    <col min="2070" max="2296" width="9.140625" style="970"/>
    <col min="2297" max="2297" width="24" style="970" bestFit="1" customWidth="1"/>
    <col min="2298" max="2298" width="43.85546875" style="970" customWidth="1"/>
    <col min="2299" max="2299" width="19.7109375" style="970" bestFit="1" customWidth="1"/>
    <col min="2300" max="2300" width="12.42578125" style="970" bestFit="1" customWidth="1"/>
    <col min="2301" max="2301" width="16.28515625" style="970" bestFit="1" customWidth="1"/>
    <col min="2302" max="2302" width="13.42578125" style="970" customWidth="1"/>
    <col min="2303" max="2303" width="15.28515625" style="970" bestFit="1" customWidth="1"/>
    <col min="2304" max="2304" width="14.140625" style="970" bestFit="1" customWidth="1"/>
    <col min="2305" max="2305" width="15.28515625" style="970" customWidth="1"/>
    <col min="2306" max="2306" width="17.7109375" style="970" customWidth="1"/>
    <col min="2307" max="2307" width="17" style="970" bestFit="1" customWidth="1"/>
    <col min="2308" max="2308" width="12.7109375" style="970" customWidth="1"/>
    <col min="2309" max="2309" width="13.7109375" style="970" customWidth="1"/>
    <col min="2310" max="2310" width="13.85546875" style="970" bestFit="1" customWidth="1"/>
    <col min="2311" max="2311" width="19.7109375" style="970" bestFit="1" customWidth="1"/>
    <col min="2312" max="2312" width="16.140625" style="970" customWidth="1"/>
    <col min="2313" max="2313" width="16.7109375" style="970" bestFit="1" customWidth="1"/>
    <col min="2314" max="2314" width="15.5703125" style="970" bestFit="1" customWidth="1"/>
    <col min="2315" max="2315" width="20.5703125" style="970" bestFit="1" customWidth="1"/>
    <col min="2316" max="2316" width="16.42578125" style="970" bestFit="1" customWidth="1"/>
    <col min="2317" max="2317" width="14.28515625" style="970" customWidth="1"/>
    <col min="2318" max="2318" width="12.85546875" style="970" bestFit="1" customWidth="1"/>
    <col min="2319" max="2319" width="11.28515625" style="970" bestFit="1" customWidth="1"/>
    <col min="2320" max="2320" width="12.5703125" style="970" bestFit="1" customWidth="1"/>
    <col min="2321" max="2321" width="14" style="970" bestFit="1" customWidth="1"/>
    <col min="2322" max="2322" width="6" style="970" bestFit="1" customWidth="1"/>
    <col min="2323" max="2323" width="15" style="970" customWidth="1"/>
    <col min="2324" max="2324" width="14.85546875" style="970" bestFit="1" customWidth="1"/>
    <col min="2325" max="2325" width="16.140625" style="970" bestFit="1" customWidth="1"/>
    <col min="2326" max="2552" width="9.140625" style="970"/>
    <col min="2553" max="2553" width="24" style="970" bestFit="1" customWidth="1"/>
    <col min="2554" max="2554" width="43.85546875" style="970" customWidth="1"/>
    <col min="2555" max="2555" width="19.7109375" style="970" bestFit="1" customWidth="1"/>
    <col min="2556" max="2556" width="12.42578125" style="970" bestFit="1" customWidth="1"/>
    <col min="2557" max="2557" width="16.28515625" style="970" bestFit="1" customWidth="1"/>
    <col min="2558" max="2558" width="13.42578125" style="970" customWidth="1"/>
    <col min="2559" max="2559" width="15.28515625" style="970" bestFit="1" customWidth="1"/>
    <col min="2560" max="2560" width="14.140625" style="970" bestFit="1" customWidth="1"/>
    <col min="2561" max="2561" width="15.28515625" style="970" customWidth="1"/>
    <col min="2562" max="2562" width="17.7109375" style="970" customWidth="1"/>
    <col min="2563" max="2563" width="17" style="970" bestFit="1" customWidth="1"/>
    <col min="2564" max="2564" width="12.7109375" style="970" customWidth="1"/>
    <col min="2565" max="2565" width="13.7109375" style="970" customWidth="1"/>
    <col min="2566" max="2566" width="13.85546875" style="970" bestFit="1" customWidth="1"/>
    <col min="2567" max="2567" width="19.7109375" style="970" bestFit="1" customWidth="1"/>
    <col min="2568" max="2568" width="16.140625" style="970" customWidth="1"/>
    <col min="2569" max="2569" width="16.7109375" style="970" bestFit="1" customWidth="1"/>
    <col min="2570" max="2570" width="15.5703125" style="970" bestFit="1" customWidth="1"/>
    <col min="2571" max="2571" width="20.5703125" style="970" bestFit="1" customWidth="1"/>
    <col min="2572" max="2572" width="16.42578125" style="970" bestFit="1" customWidth="1"/>
    <col min="2573" max="2573" width="14.28515625" style="970" customWidth="1"/>
    <col min="2574" max="2574" width="12.85546875" style="970" bestFit="1" customWidth="1"/>
    <col min="2575" max="2575" width="11.28515625" style="970" bestFit="1" customWidth="1"/>
    <col min="2576" max="2576" width="12.5703125" style="970" bestFit="1" customWidth="1"/>
    <col min="2577" max="2577" width="14" style="970" bestFit="1" customWidth="1"/>
    <col min="2578" max="2578" width="6" style="970" bestFit="1" customWidth="1"/>
    <col min="2579" max="2579" width="15" style="970" customWidth="1"/>
    <col min="2580" max="2580" width="14.85546875" style="970" bestFit="1" customWidth="1"/>
    <col min="2581" max="2581" width="16.140625" style="970" bestFit="1" customWidth="1"/>
    <col min="2582" max="2808" width="9.140625" style="970"/>
    <col min="2809" max="2809" width="24" style="970" bestFit="1" customWidth="1"/>
    <col min="2810" max="2810" width="43.85546875" style="970" customWidth="1"/>
    <col min="2811" max="2811" width="19.7109375" style="970" bestFit="1" customWidth="1"/>
    <col min="2812" max="2812" width="12.42578125" style="970" bestFit="1" customWidth="1"/>
    <col min="2813" max="2813" width="16.28515625" style="970" bestFit="1" customWidth="1"/>
    <col min="2814" max="2814" width="13.42578125" style="970" customWidth="1"/>
    <col min="2815" max="2815" width="15.28515625" style="970" bestFit="1" customWidth="1"/>
    <col min="2816" max="2816" width="14.140625" style="970" bestFit="1" customWidth="1"/>
    <col min="2817" max="2817" width="15.28515625" style="970" customWidth="1"/>
    <col min="2818" max="2818" width="17.7109375" style="970" customWidth="1"/>
    <col min="2819" max="2819" width="17" style="970" bestFit="1" customWidth="1"/>
    <col min="2820" max="2820" width="12.7109375" style="970" customWidth="1"/>
    <col min="2821" max="2821" width="13.7109375" style="970" customWidth="1"/>
    <col min="2822" max="2822" width="13.85546875" style="970" bestFit="1" customWidth="1"/>
    <col min="2823" max="2823" width="19.7109375" style="970" bestFit="1" customWidth="1"/>
    <col min="2824" max="2824" width="16.140625" style="970" customWidth="1"/>
    <col min="2825" max="2825" width="16.7109375" style="970" bestFit="1" customWidth="1"/>
    <col min="2826" max="2826" width="15.5703125" style="970" bestFit="1" customWidth="1"/>
    <col min="2827" max="2827" width="20.5703125" style="970" bestFit="1" customWidth="1"/>
    <col min="2828" max="2828" width="16.42578125" style="970" bestFit="1" customWidth="1"/>
    <col min="2829" max="2829" width="14.28515625" style="970" customWidth="1"/>
    <col min="2830" max="2830" width="12.85546875" style="970" bestFit="1" customWidth="1"/>
    <col min="2831" max="2831" width="11.28515625" style="970" bestFit="1" customWidth="1"/>
    <col min="2832" max="2832" width="12.5703125" style="970" bestFit="1" customWidth="1"/>
    <col min="2833" max="2833" width="14" style="970" bestFit="1" customWidth="1"/>
    <col min="2834" max="2834" width="6" style="970" bestFit="1" customWidth="1"/>
    <col min="2835" max="2835" width="15" style="970" customWidth="1"/>
    <col min="2836" max="2836" width="14.85546875" style="970" bestFit="1" customWidth="1"/>
    <col min="2837" max="2837" width="16.140625" style="970" bestFit="1" customWidth="1"/>
    <col min="2838" max="3064" width="9.140625" style="970"/>
    <col min="3065" max="3065" width="24" style="970" bestFit="1" customWidth="1"/>
    <col min="3066" max="3066" width="43.85546875" style="970" customWidth="1"/>
    <col min="3067" max="3067" width="19.7109375" style="970" bestFit="1" customWidth="1"/>
    <col min="3068" max="3068" width="12.42578125" style="970" bestFit="1" customWidth="1"/>
    <col min="3069" max="3069" width="16.28515625" style="970" bestFit="1" customWidth="1"/>
    <col min="3070" max="3070" width="13.42578125" style="970" customWidth="1"/>
    <col min="3071" max="3071" width="15.28515625" style="970" bestFit="1" customWidth="1"/>
    <col min="3072" max="3072" width="14.140625" style="970" bestFit="1" customWidth="1"/>
    <col min="3073" max="3073" width="15.28515625" style="970" customWidth="1"/>
    <col min="3074" max="3074" width="17.7109375" style="970" customWidth="1"/>
    <col min="3075" max="3075" width="17" style="970" bestFit="1" customWidth="1"/>
    <col min="3076" max="3076" width="12.7109375" style="970" customWidth="1"/>
    <col min="3077" max="3077" width="13.7109375" style="970" customWidth="1"/>
    <col min="3078" max="3078" width="13.85546875" style="970" bestFit="1" customWidth="1"/>
    <col min="3079" max="3079" width="19.7109375" style="970" bestFit="1" customWidth="1"/>
    <col min="3080" max="3080" width="16.140625" style="970" customWidth="1"/>
    <col min="3081" max="3081" width="16.7109375" style="970" bestFit="1" customWidth="1"/>
    <col min="3082" max="3082" width="15.5703125" style="970" bestFit="1" customWidth="1"/>
    <col min="3083" max="3083" width="20.5703125" style="970" bestFit="1" customWidth="1"/>
    <col min="3084" max="3084" width="16.42578125" style="970" bestFit="1" customWidth="1"/>
    <col min="3085" max="3085" width="14.28515625" style="970" customWidth="1"/>
    <col min="3086" max="3086" width="12.85546875" style="970" bestFit="1" customWidth="1"/>
    <col min="3087" max="3087" width="11.28515625" style="970" bestFit="1" customWidth="1"/>
    <col min="3088" max="3088" width="12.5703125" style="970" bestFit="1" customWidth="1"/>
    <col min="3089" max="3089" width="14" style="970" bestFit="1" customWidth="1"/>
    <col min="3090" max="3090" width="6" style="970" bestFit="1" customWidth="1"/>
    <col min="3091" max="3091" width="15" style="970" customWidth="1"/>
    <col min="3092" max="3092" width="14.85546875" style="970" bestFit="1" customWidth="1"/>
    <col min="3093" max="3093" width="16.140625" style="970" bestFit="1" customWidth="1"/>
    <col min="3094" max="3320" width="9.140625" style="970"/>
    <col min="3321" max="3321" width="24" style="970" bestFit="1" customWidth="1"/>
    <col min="3322" max="3322" width="43.85546875" style="970" customWidth="1"/>
    <col min="3323" max="3323" width="19.7109375" style="970" bestFit="1" customWidth="1"/>
    <col min="3324" max="3324" width="12.42578125" style="970" bestFit="1" customWidth="1"/>
    <col min="3325" max="3325" width="16.28515625" style="970" bestFit="1" customWidth="1"/>
    <col min="3326" max="3326" width="13.42578125" style="970" customWidth="1"/>
    <col min="3327" max="3327" width="15.28515625" style="970" bestFit="1" customWidth="1"/>
    <col min="3328" max="3328" width="14.140625" style="970" bestFit="1" customWidth="1"/>
    <col min="3329" max="3329" width="15.28515625" style="970" customWidth="1"/>
    <col min="3330" max="3330" width="17.7109375" style="970" customWidth="1"/>
    <col min="3331" max="3331" width="17" style="970" bestFit="1" customWidth="1"/>
    <col min="3332" max="3332" width="12.7109375" style="970" customWidth="1"/>
    <col min="3333" max="3333" width="13.7109375" style="970" customWidth="1"/>
    <col min="3334" max="3334" width="13.85546875" style="970" bestFit="1" customWidth="1"/>
    <col min="3335" max="3335" width="19.7109375" style="970" bestFit="1" customWidth="1"/>
    <col min="3336" max="3336" width="16.140625" style="970" customWidth="1"/>
    <col min="3337" max="3337" width="16.7109375" style="970" bestFit="1" customWidth="1"/>
    <col min="3338" max="3338" width="15.5703125" style="970" bestFit="1" customWidth="1"/>
    <col min="3339" max="3339" width="20.5703125" style="970" bestFit="1" customWidth="1"/>
    <col min="3340" max="3340" width="16.42578125" style="970" bestFit="1" customWidth="1"/>
    <col min="3341" max="3341" width="14.28515625" style="970" customWidth="1"/>
    <col min="3342" max="3342" width="12.85546875" style="970" bestFit="1" customWidth="1"/>
    <col min="3343" max="3343" width="11.28515625" style="970" bestFit="1" customWidth="1"/>
    <col min="3344" max="3344" width="12.5703125" style="970" bestFit="1" customWidth="1"/>
    <col min="3345" max="3345" width="14" style="970" bestFit="1" customWidth="1"/>
    <col min="3346" max="3346" width="6" style="970" bestFit="1" customWidth="1"/>
    <col min="3347" max="3347" width="15" style="970" customWidth="1"/>
    <col min="3348" max="3348" width="14.85546875" style="970" bestFit="1" customWidth="1"/>
    <col min="3349" max="3349" width="16.140625" style="970" bestFit="1" customWidth="1"/>
    <col min="3350" max="3576" width="9.140625" style="970"/>
    <col min="3577" max="3577" width="24" style="970" bestFit="1" customWidth="1"/>
    <col min="3578" max="3578" width="43.85546875" style="970" customWidth="1"/>
    <col min="3579" max="3579" width="19.7109375" style="970" bestFit="1" customWidth="1"/>
    <col min="3580" max="3580" width="12.42578125" style="970" bestFit="1" customWidth="1"/>
    <col min="3581" max="3581" width="16.28515625" style="970" bestFit="1" customWidth="1"/>
    <col min="3582" max="3582" width="13.42578125" style="970" customWidth="1"/>
    <col min="3583" max="3583" width="15.28515625" style="970" bestFit="1" customWidth="1"/>
    <col min="3584" max="3584" width="14.140625" style="970" bestFit="1" customWidth="1"/>
    <col min="3585" max="3585" width="15.28515625" style="970" customWidth="1"/>
    <col min="3586" max="3586" width="17.7109375" style="970" customWidth="1"/>
    <col min="3587" max="3587" width="17" style="970" bestFit="1" customWidth="1"/>
    <col min="3588" max="3588" width="12.7109375" style="970" customWidth="1"/>
    <col min="3589" max="3589" width="13.7109375" style="970" customWidth="1"/>
    <col min="3590" max="3590" width="13.85546875" style="970" bestFit="1" customWidth="1"/>
    <col min="3591" max="3591" width="19.7109375" style="970" bestFit="1" customWidth="1"/>
    <col min="3592" max="3592" width="16.140625" style="970" customWidth="1"/>
    <col min="3593" max="3593" width="16.7109375" style="970" bestFit="1" customWidth="1"/>
    <col min="3594" max="3594" width="15.5703125" style="970" bestFit="1" customWidth="1"/>
    <col min="3595" max="3595" width="20.5703125" style="970" bestFit="1" customWidth="1"/>
    <col min="3596" max="3596" width="16.42578125" style="970" bestFit="1" customWidth="1"/>
    <col min="3597" max="3597" width="14.28515625" style="970" customWidth="1"/>
    <col min="3598" max="3598" width="12.85546875" style="970" bestFit="1" customWidth="1"/>
    <col min="3599" max="3599" width="11.28515625" style="970" bestFit="1" customWidth="1"/>
    <col min="3600" max="3600" width="12.5703125" style="970" bestFit="1" customWidth="1"/>
    <col min="3601" max="3601" width="14" style="970" bestFit="1" customWidth="1"/>
    <col min="3602" max="3602" width="6" style="970" bestFit="1" customWidth="1"/>
    <col min="3603" max="3603" width="15" style="970" customWidth="1"/>
    <col min="3604" max="3604" width="14.85546875" style="970" bestFit="1" customWidth="1"/>
    <col min="3605" max="3605" width="16.140625" style="970" bestFit="1" customWidth="1"/>
    <col min="3606" max="3832" width="9.140625" style="970"/>
    <col min="3833" max="3833" width="24" style="970" bestFit="1" customWidth="1"/>
    <col min="3834" max="3834" width="43.85546875" style="970" customWidth="1"/>
    <col min="3835" max="3835" width="19.7109375" style="970" bestFit="1" customWidth="1"/>
    <col min="3836" max="3836" width="12.42578125" style="970" bestFit="1" customWidth="1"/>
    <col min="3837" max="3837" width="16.28515625" style="970" bestFit="1" customWidth="1"/>
    <col min="3838" max="3838" width="13.42578125" style="970" customWidth="1"/>
    <col min="3839" max="3839" width="15.28515625" style="970" bestFit="1" customWidth="1"/>
    <col min="3840" max="3840" width="14.140625" style="970" bestFit="1" customWidth="1"/>
    <col min="3841" max="3841" width="15.28515625" style="970" customWidth="1"/>
    <col min="3842" max="3842" width="17.7109375" style="970" customWidth="1"/>
    <col min="3843" max="3843" width="17" style="970" bestFit="1" customWidth="1"/>
    <col min="3844" max="3844" width="12.7109375" style="970" customWidth="1"/>
    <col min="3845" max="3845" width="13.7109375" style="970" customWidth="1"/>
    <col min="3846" max="3846" width="13.85546875" style="970" bestFit="1" customWidth="1"/>
    <col min="3847" max="3847" width="19.7109375" style="970" bestFit="1" customWidth="1"/>
    <col min="3848" max="3848" width="16.140625" style="970" customWidth="1"/>
    <col min="3849" max="3849" width="16.7109375" style="970" bestFit="1" customWidth="1"/>
    <col min="3850" max="3850" width="15.5703125" style="970" bestFit="1" customWidth="1"/>
    <col min="3851" max="3851" width="20.5703125" style="970" bestFit="1" customWidth="1"/>
    <col min="3852" max="3852" width="16.42578125" style="970" bestFit="1" customWidth="1"/>
    <col min="3853" max="3853" width="14.28515625" style="970" customWidth="1"/>
    <col min="3854" max="3854" width="12.85546875" style="970" bestFit="1" customWidth="1"/>
    <col min="3855" max="3855" width="11.28515625" style="970" bestFit="1" customWidth="1"/>
    <col min="3856" max="3856" width="12.5703125" style="970" bestFit="1" customWidth="1"/>
    <col min="3857" max="3857" width="14" style="970" bestFit="1" customWidth="1"/>
    <col min="3858" max="3858" width="6" style="970" bestFit="1" customWidth="1"/>
    <col min="3859" max="3859" width="15" style="970" customWidth="1"/>
    <col min="3860" max="3860" width="14.85546875" style="970" bestFit="1" customWidth="1"/>
    <col min="3861" max="3861" width="16.140625" style="970" bestFit="1" customWidth="1"/>
    <col min="3862" max="4088" width="9.140625" style="970"/>
    <col min="4089" max="4089" width="24" style="970" bestFit="1" customWidth="1"/>
    <col min="4090" max="4090" width="43.85546875" style="970" customWidth="1"/>
    <col min="4091" max="4091" width="19.7109375" style="970" bestFit="1" customWidth="1"/>
    <col min="4092" max="4092" width="12.42578125" style="970" bestFit="1" customWidth="1"/>
    <col min="4093" max="4093" width="16.28515625" style="970" bestFit="1" customWidth="1"/>
    <col min="4094" max="4094" width="13.42578125" style="970" customWidth="1"/>
    <col min="4095" max="4095" width="15.28515625" style="970" bestFit="1" customWidth="1"/>
    <col min="4096" max="4096" width="14.140625" style="970" bestFit="1" customWidth="1"/>
    <col min="4097" max="4097" width="15.28515625" style="970" customWidth="1"/>
    <col min="4098" max="4098" width="17.7109375" style="970" customWidth="1"/>
    <col min="4099" max="4099" width="17" style="970" bestFit="1" customWidth="1"/>
    <col min="4100" max="4100" width="12.7109375" style="970" customWidth="1"/>
    <col min="4101" max="4101" width="13.7109375" style="970" customWidth="1"/>
    <col min="4102" max="4102" width="13.85546875" style="970" bestFit="1" customWidth="1"/>
    <col min="4103" max="4103" width="19.7109375" style="970" bestFit="1" customWidth="1"/>
    <col min="4104" max="4104" width="16.140625" style="970" customWidth="1"/>
    <col min="4105" max="4105" width="16.7109375" style="970" bestFit="1" customWidth="1"/>
    <col min="4106" max="4106" width="15.5703125" style="970" bestFit="1" customWidth="1"/>
    <col min="4107" max="4107" width="20.5703125" style="970" bestFit="1" customWidth="1"/>
    <col min="4108" max="4108" width="16.42578125" style="970" bestFit="1" customWidth="1"/>
    <col min="4109" max="4109" width="14.28515625" style="970" customWidth="1"/>
    <col min="4110" max="4110" width="12.85546875" style="970" bestFit="1" customWidth="1"/>
    <col min="4111" max="4111" width="11.28515625" style="970" bestFit="1" customWidth="1"/>
    <col min="4112" max="4112" width="12.5703125" style="970" bestFit="1" customWidth="1"/>
    <col min="4113" max="4113" width="14" style="970" bestFit="1" customWidth="1"/>
    <col min="4114" max="4114" width="6" style="970" bestFit="1" customWidth="1"/>
    <col min="4115" max="4115" width="15" style="970" customWidth="1"/>
    <col min="4116" max="4116" width="14.85546875" style="970" bestFit="1" customWidth="1"/>
    <col min="4117" max="4117" width="16.140625" style="970" bestFit="1" customWidth="1"/>
    <col min="4118" max="4344" width="9.140625" style="970"/>
    <col min="4345" max="4345" width="24" style="970" bestFit="1" customWidth="1"/>
    <col min="4346" max="4346" width="43.85546875" style="970" customWidth="1"/>
    <col min="4347" max="4347" width="19.7109375" style="970" bestFit="1" customWidth="1"/>
    <col min="4348" max="4348" width="12.42578125" style="970" bestFit="1" customWidth="1"/>
    <col min="4349" max="4349" width="16.28515625" style="970" bestFit="1" customWidth="1"/>
    <col min="4350" max="4350" width="13.42578125" style="970" customWidth="1"/>
    <col min="4351" max="4351" width="15.28515625" style="970" bestFit="1" customWidth="1"/>
    <col min="4352" max="4352" width="14.140625" style="970" bestFit="1" customWidth="1"/>
    <col min="4353" max="4353" width="15.28515625" style="970" customWidth="1"/>
    <col min="4354" max="4354" width="17.7109375" style="970" customWidth="1"/>
    <col min="4355" max="4355" width="17" style="970" bestFit="1" customWidth="1"/>
    <col min="4356" max="4356" width="12.7109375" style="970" customWidth="1"/>
    <col min="4357" max="4357" width="13.7109375" style="970" customWidth="1"/>
    <col min="4358" max="4358" width="13.85546875" style="970" bestFit="1" customWidth="1"/>
    <col min="4359" max="4359" width="19.7109375" style="970" bestFit="1" customWidth="1"/>
    <col min="4360" max="4360" width="16.140625" style="970" customWidth="1"/>
    <col min="4361" max="4361" width="16.7109375" style="970" bestFit="1" customWidth="1"/>
    <col min="4362" max="4362" width="15.5703125" style="970" bestFit="1" customWidth="1"/>
    <col min="4363" max="4363" width="20.5703125" style="970" bestFit="1" customWidth="1"/>
    <col min="4364" max="4364" width="16.42578125" style="970" bestFit="1" customWidth="1"/>
    <col min="4365" max="4365" width="14.28515625" style="970" customWidth="1"/>
    <col min="4366" max="4366" width="12.85546875" style="970" bestFit="1" customWidth="1"/>
    <col min="4367" max="4367" width="11.28515625" style="970" bestFit="1" customWidth="1"/>
    <col min="4368" max="4368" width="12.5703125" style="970" bestFit="1" customWidth="1"/>
    <col min="4369" max="4369" width="14" style="970" bestFit="1" customWidth="1"/>
    <col min="4370" max="4370" width="6" style="970" bestFit="1" customWidth="1"/>
    <col min="4371" max="4371" width="15" style="970" customWidth="1"/>
    <col min="4372" max="4372" width="14.85546875" style="970" bestFit="1" customWidth="1"/>
    <col min="4373" max="4373" width="16.140625" style="970" bestFit="1" customWidth="1"/>
    <col min="4374" max="4600" width="9.140625" style="970"/>
    <col min="4601" max="4601" width="24" style="970" bestFit="1" customWidth="1"/>
    <col min="4602" max="4602" width="43.85546875" style="970" customWidth="1"/>
    <col min="4603" max="4603" width="19.7109375" style="970" bestFit="1" customWidth="1"/>
    <col min="4604" max="4604" width="12.42578125" style="970" bestFit="1" customWidth="1"/>
    <col min="4605" max="4605" width="16.28515625" style="970" bestFit="1" customWidth="1"/>
    <col min="4606" max="4606" width="13.42578125" style="970" customWidth="1"/>
    <col min="4607" max="4607" width="15.28515625" style="970" bestFit="1" customWidth="1"/>
    <col min="4608" max="4608" width="14.140625" style="970" bestFit="1" customWidth="1"/>
    <col min="4609" max="4609" width="15.28515625" style="970" customWidth="1"/>
    <col min="4610" max="4610" width="17.7109375" style="970" customWidth="1"/>
    <col min="4611" max="4611" width="17" style="970" bestFit="1" customWidth="1"/>
    <col min="4612" max="4612" width="12.7109375" style="970" customWidth="1"/>
    <col min="4613" max="4613" width="13.7109375" style="970" customWidth="1"/>
    <col min="4614" max="4614" width="13.85546875" style="970" bestFit="1" customWidth="1"/>
    <col min="4615" max="4615" width="19.7109375" style="970" bestFit="1" customWidth="1"/>
    <col min="4616" max="4616" width="16.140625" style="970" customWidth="1"/>
    <col min="4617" max="4617" width="16.7109375" style="970" bestFit="1" customWidth="1"/>
    <col min="4618" max="4618" width="15.5703125" style="970" bestFit="1" customWidth="1"/>
    <col min="4619" max="4619" width="20.5703125" style="970" bestFit="1" customWidth="1"/>
    <col min="4620" max="4620" width="16.42578125" style="970" bestFit="1" customWidth="1"/>
    <col min="4621" max="4621" width="14.28515625" style="970" customWidth="1"/>
    <col min="4622" max="4622" width="12.85546875" style="970" bestFit="1" customWidth="1"/>
    <col min="4623" max="4623" width="11.28515625" style="970" bestFit="1" customWidth="1"/>
    <col min="4624" max="4624" width="12.5703125" style="970" bestFit="1" customWidth="1"/>
    <col min="4625" max="4625" width="14" style="970" bestFit="1" customWidth="1"/>
    <col min="4626" max="4626" width="6" style="970" bestFit="1" customWidth="1"/>
    <col min="4627" max="4627" width="15" style="970" customWidth="1"/>
    <col min="4628" max="4628" width="14.85546875" style="970" bestFit="1" customWidth="1"/>
    <col min="4629" max="4629" width="16.140625" style="970" bestFit="1" customWidth="1"/>
    <col min="4630" max="4856" width="9.140625" style="970"/>
    <col min="4857" max="4857" width="24" style="970" bestFit="1" customWidth="1"/>
    <col min="4858" max="4858" width="43.85546875" style="970" customWidth="1"/>
    <col min="4859" max="4859" width="19.7109375" style="970" bestFit="1" customWidth="1"/>
    <col min="4860" max="4860" width="12.42578125" style="970" bestFit="1" customWidth="1"/>
    <col min="4861" max="4861" width="16.28515625" style="970" bestFit="1" customWidth="1"/>
    <col min="4862" max="4862" width="13.42578125" style="970" customWidth="1"/>
    <col min="4863" max="4863" width="15.28515625" style="970" bestFit="1" customWidth="1"/>
    <col min="4864" max="4864" width="14.140625" style="970" bestFit="1" customWidth="1"/>
    <col min="4865" max="4865" width="15.28515625" style="970" customWidth="1"/>
    <col min="4866" max="4866" width="17.7109375" style="970" customWidth="1"/>
    <col min="4867" max="4867" width="17" style="970" bestFit="1" customWidth="1"/>
    <col min="4868" max="4868" width="12.7109375" style="970" customWidth="1"/>
    <col min="4869" max="4869" width="13.7109375" style="970" customWidth="1"/>
    <col min="4870" max="4870" width="13.85546875" style="970" bestFit="1" customWidth="1"/>
    <col min="4871" max="4871" width="19.7109375" style="970" bestFit="1" customWidth="1"/>
    <col min="4872" max="4872" width="16.140625" style="970" customWidth="1"/>
    <col min="4873" max="4873" width="16.7109375" style="970" bestFit="1" customWidth="1"/>
    <col min="4874" max="4874" width="15.5703125" style="970" bestFit="1" customWidth="1"/>
    <col min="4875" max="4875" width="20.5703125" style="970" bestFit="1" customWidth="1"/>
    <col min="4876" max="4876" width="16.42578125" style="970" bestFit="1" customWidth="1"/>
    <col min="4877" max="4877" width="14.28515625" style="970" customWidth="1"/>
    <col min="4878" max="4878" width="12.85546875" style="970" bestFit="1" customWidth="1"/>
    <col min="4879" max="4879" width="11.28515625" style="970" bestFit="1" customWidth="1"/>
    <col min="4880" max="4880" width="12.5703125" style="970" bestFit="1" customWidth="1"/>
    <col min="4881" max="4881" width="14" style="970" bestFit="1" customWidth="1"/>
    <col min="4882" max="4882" width="6" style="970" bestFit="1" customWidth="1"/>
    <col min="4883" max="4883" width="15" style="970" customWidth="1"/>
    <col min="4884" max="4884" width="14.85546875" style="970" bestFit="1" customWidth="1"/>
    <col min="4885" max="4885" width="16.140625" style="970" bestFit="1" customWidth="1"/>
    <col min="4886" max="5112" width="9.140625" style="970"/>
    <col min="5113" max="5113" width="24" style="970" bestFit="1" customWidth="1"/>
    <col min="5114" max="5114" width="43.85546875" style="970" customWidth="1"/>
    <col min="5115" max="5115" width="19.7109375" style="970" bestFit="1" customWidth="1"/>
    <col min="5116" max="5116" width="12.42578125" style="970" bestFit="1" customWidth="1"/>
    <col min="5117" max="5117" width="16.28515625" style="970" bestFit="1" customWidth="1"/>
    <col min="5118" max="5118" width="13.42578125" style="970" customWidth="1"/>
    <col min="5119" max="5119" width="15.28515625" style="970" bestFit="1" customWidth="1"/>
    <col min="5120" max="5120" width="14.140625" style="970" bestFit="1" customWidth="1"/>
    <col min="5121" max="5121" width="15.28515625" style="970" customWidth="1"/>
    <col min="5122" max="5122" width="17.7109375" style="970" customWidth="1"/>
    <col min="5123" max="5123" width="17" style="970" bestFit="1" customWidth="1"/>
    <col min="5124" max="5124" width="12.7109375" style="970" customWidth="1"/>
    <col min="5125" max="5125" width="13.7109375" style="970" customWidth="1"/>
    <col min="5126" max="5126" width="13.85546875" style="970" bestFit="1" customWidth="1"/>
    <col min="5127" max="5127" width="19.7109375" style="970" bestFit="1" customWidth="1"/>
    <col min="5128" max="5128" width="16.140625" style="970" customWidth="1"/>
    <col min="5129" max="5129" width="16.7109375" style="970" bestFit="1" customWidth="1"/>
    <col min="5130" max="5130" width="15.5703125" style="970" bestFit="1" customWidth="1"/>
    <col min="5131" max="5131" width="20.5703125" style="970" bestFit="1" customWidth="1"/>
    <col min="5132" max="5132" width="16.42578125" style="970" bestFit="1" customWidth="1"/>
    <col min="5133" max="5133" width="14.28515625" style="970" customWidth="1"/>
    <col min="5134" max="5134" width="12.85546875" style="970" bestFit="1" customWidth="1"/>
    <col min="5135" max="5135" width="11.28515625" style="970" bestFit="1" customWidth="1"/>
    <col min="5136" max="5136" width="12.5703125" style="970" bestFit="1" customWidth="1"/>
    <col min="5137" max="5137" width="14" style="970" bestFit="1" customWidth="1"/>
    <col min="5138" max="5138" width="6" style="970" bestFit="1" customWidth="1"/>
    <col min="5139" max="5139" width="15" style="970" customWidth="1"/>
    <col min="5140" max="5140" width="14.85546875" style="970" bestFit="1" customWidth="1"/>
    <col min="5141" max="5141" width="16.140625" style="970" bestFit="1" customWidth="1"/>
    <col min="5142" max="5368" width="9.140625" style="970"/>
    <col min="5369" max="5369" width="24" style="970" bestFit="1" customWidth="1"/>
    <col min="5370" max="5370" width="43.85546875" style="970" customWidth="1"/>
    <col min="5371" max="5371" width="19.7109375" style="970" bestFit="1" customWidth="1"/>
    <col min="5372" max="5372" width="12.42578125" style="970" bestFit="1" customWidth="1"/>
    <col min="5373" max="5373" width="16.28515625" style="970" bestFit="1" customWidth="1"/>
    <col min="5374" max="5374" width="13.42578125" style="970" customWidth="1"/>
    <col min="5375" max="5375" width="15.28515625" style="970" bestFit="1" customWidth="1"/>
    <col min="5376" max="5376" width="14.140625" style="970" bestFit="1" customWidth="1"/>
    <col min="5377" max="5377" width="15.28515625" style="970" customWidth="1"/>
    <col min="5378" max="5378" width="17.7109375" style="970" customWidth="1"/>
    <col min="5379" max="5379" width="17" style="970" bestFit="1" customWidth="1"/>
    <col min="5380" max="5380" width="12.7109375" style="970" customWidth="1"/>
    <col min="5381" max="5381" width="13.7109375" style="970" customWidth="1"/>
    <col min="5382" max="5382" width="13.85546875" style="970" bestFit="1" customWidth="1"/>
    <col min="5383" max="5383" width="19.7109375" style="970" bestFit="1" customWidth="1"/>
    <col min="5384" max="5384" width="16.140625" style="970" customWidth="1"/>
    <col min="5385" max="5385" width="16.7109375" style="970" bestFit="1" customWidth="1"/>
    <col min="5386" max="5386" width="15.5703125" style="970" bestFit="1" customWidth="1"/>
    <col min="5387" max="5387" width="20.5703125" style="970" bestFit="1" customWidth="1"/>
    <col min="5388" max="5388" width="16.42578125" style="970" bestFit="1" customWidth="1"/>
    <col min="5389" max="5389" width="14.28515625" style="970" customWidth="1"/>
    <col min="5390" max="5390" width="12.85546875" style="970" bestFit="1" customWidth="1"/>
    <col min="5391" max="5391" width="11.28515625" style="970" bestFit="1" customWidth="1"/>
    <col min="5392" max="5392" width="12.5703125" style="970" bestFit="1" customWidth="1"/>
    <col min="5393" max="5393" width="14" style="970" bestFit="1" customWidth="1"/>
    <col min="5394" max="5394" width="6" style="970" bestFit="1" customWidth="1"/>
    <col min="5395" max="5395" width="15" style="970" customWidth="1"/>
    <col min="5396" max="5396" width="14.85546875" style="970" bestFit="1" customWidth="1"/>
    <col min="5397" max="5397" width="16.140625" style="970" bestFit="1" customWidth="1"/>
    <col min="5398" max="5624" width="9.140625" style="970"/>
    <col min="5625" max="5625" width="24" style="970" bestFit="1" customWidth="1"/>
    <col min="5626" max="5626" width="43.85546875" style="970" customWidth="1"/>
    <col min="5627" max="5627" width="19.7109375" style="970" bestFit="1" customWidth="1"/>
    <col min="5628" max="5628" width="12.42578125" style="970" bestFit="1" customWidth="1"/>
    <col min="5629" max="5629" width="16.28515625" style="970" bestFit="1" customWidth="1"/>
    <col min="5630" max="5630" width="13.42578125" style="970" customWidth="1"/>
    <col min="5631" max="5631" width="15.28515625" style="970" bestFit="1" customWidth="1"/>
    <col min="5632" max="5632" width="14.140625" style="970" bestFit="1" customWidth="1"/>
    <col min="5633" max="5633" width="15.28515625" style="970" customWidth="1"/>
    <col min="5634" max="5634" width="17.7109375" style="970" customWidth="1"/>
    <col min="5635" max="5635" width="17" style="970" bestFit="1" customWidth="1"/>
    <col min="5636" max="5636" width="12.7109375" style="970" customWidth="1"/>
    <col min="5637" max="5637" width="13.7109375" style="970" customWidth="1"/>
    <col min="5638" max="5638" width="13.85546875" style="970" bestFit="1" customWidth="1"/>
    <col min="5639" max="5639" width="19.7109375" style="970" bestFit="1" customWidth="1"/>
    <col min="5640" max="5640" width="16.140625" style="970" customWidth="1"/>
    <col min="5641" max="5641" width="16.7109375" style="970" bestFit="1" customWidth="1"/>
    <col min="5642" max="5642" width="15.5703125" style="970" bestFit="1" customWidth="1"/>
    <col min="5643" max="5643" width="20.5703125" style="970" bestFit="1" customWidth="1"/>
    <col min="5644" max="5644" width="16.42578125" style="970" bestFit="1" customWidth="1"/>
    <col min="5645" max="5645" width="14.28515625" style="970" customWidth="1"/>
    <col min="5646" max="5646" width="12.85546875" style="970" bestFit="1" customWidth="1"/>
    <col min="5647" max="5647" width="11.28515625" style="970" bestFit="1" customWidth="1"/>
    <col min="5648" max="5648" width="12.5703125" style="970" bestFit="1" customWidth="1"/>
    <col min="5649" max="5649" width="14" style="970" bestFit="1" customWidth="1"/>
    <col min="5650" max="5650" width="6" style="970" bestFit="1" customWidth="1"/>
    <col min="5651" max="5651" width="15" style="970" customWidth="1"/>
    <col min="5652" max="5652" width="14.85546875" style="970" bestFit="1" customWidth="1"/>
    <col min="5653" max="5653" width="16.140625" style="970" bestFit="1" customWidth="1"/>
    <col min="5654" max="5880" width="9.140625" style="970"/>
    <col min="5881" max="5881" width="24" style="970" bestFit="1" customWidth="1"/>
    <col min="5882" max="5882" width="43.85546875" style="970" customWidth="1"/>
    <col min="5883" max="5883" width="19.7109375" style="970" bestFit="1" customWidth="1"/>
    <col min="5884" max="5884" width="12.42578125" style="970" bestFit="1" customWidth="1"/>
    <col min="5885" max="5885" width="16.28515625" style="970" bestFit="1" customWidth="1"/>
    <col min="5886" max="5886" width="13.42578125" style="970" customWidth="1"/>
    <col min="5887" max="5887" width="15.28515625" style="970" bestFit="1" customWidth="1"/>
    <col min="5888" max="5888" width="14.140625" style="970" bestFit="1" customWidth="1"/>
    <col min="5889" max="5889" width="15.28515625" style="970" customWidth="1"/>
    <col min="5890" max="5890" width="17.7109375" style="970" customWidth="1"/>
    <col min="5891" max="5891" width="17" style="970" bestFit="1" customWidth="1"/>
    <col min="5892" max="5892" width="12.7109375" style="970" customWidth="1"/>
    <col min="5893" max="5893" width="13.7109375" style="970" customWidth="1"/>
    <col min="5894" max="5894" width="13.85546875" style="970" bestFit="1" customWidth="1"/>
    <col min="5895" max="5895" width="19.7109375" style="970" bestFit="1" customWidth="1"/>
    <col min="5896" max="5896" width="16.140625" style="970" customWidth="1"/>
    <col min="5897" max="5897" width="16.7109375" style="970" bestFit="1" customWidth="1"/>
    <col min="5898" max="5898" width="15.5703125" style="970" bestFit="1" customWidth="1"/>
    <col min="5899" max="5899" width="20.5703125" style="970" bestFit="1" customWidth="1"/>
    <col min="5900" max="5900" width="16.42578125" style="970" bestFit="1" customWidth="1"/>
    <col min="5901" max="5901" width="14.28515625" style="970" customWidth="1"/>
    <col min="5902" max="5902" width="12.85546875" style="970" bestFit="1" customWidth="1"/>
    <col min="5903" max="5903" width="11.28515625" style="970" bestFit="1" customWidth="1"/>
    <col min="5904" max="5904" width="12.5703125" style="970" bestFit="1" customWidth="1"/>
    <col min="5905" max="5905" width="14" style="970" bestFit="1" customWidth="1"/>
    <col min="5906" max="5906" width="6" style="970" bestFit="1" customWidth="1"/>
    <col min="5907" max="5907" width="15" style="970" customWidth="1"/>
    <col min="5908" max="5908" width="14.85546875" style="970" bestFit="1" customWidth="1"/>
    <col min="5909" max="5909" width="16.140625" style="970" bestFit="1" customWidth="1"/>
    <col min="5910" max="6136" width="9.140625" style="970"/>
    <col min="6137" max="6137" width="24" style="970" bestFit="1" customWidth="1"/>
    <col min="6138" max="6138" width="43.85546875" style="970" customWidth="1"/>
    <col min="6139" max="6139" width="19.7109375" style="970" bestFit="1" customWidth="1"/>
    <col min="6140" max="6140" width="12.42578125" style="970" bestFit="1" customWidth="1"/>
    <col min="6141" max="6141" width="16.28515625" style="970" bestFit="1" customWidth="1"/>
    <col min="6142" max="6142" width="13.42578125" style="970" customWidth="1"/>
    <col min="6143" max="6143" width="15.28515625" style="970" bestFit="1" customWidth="1"/>
    <col min="6144" max="6144" width="14.140625" style="970" bestFit="1" customWidth="1"/>
    <col min="6145" max="6145" width="15.28515625" style="970" customWidth="1"/>
    <col min="6146" max="6146" width="17.7109375" style="970" customWidth="1"/>
    <col min="6147" max="6147" width="17" style="970" bestFit="1" customWidth="1"/>
    <col min="6148" max="6148" width="12.7109375" style="970" customWidth="1"/>
    <col min="6149" max="6149" width="13.7109375" style="970" customWidth="1"/>
    <col min="6150" max="6150" width="13.85546875" style="970" bestFit="1" customWidth="1"/>
    <col min="6151" max="6151" width="19.7109375" style="970" bestFit="1" customWidth="1"/>
    <col min="6152" max="6152" width="16.140625" style="970" customWidth="1"/>
    <col min="6153" max="6153" width="16.7109375" style="970" bestFit="1" customWidth="1"/>
    <col min="6154" max="6154" width="15.5703125" style="970" bestFit="1" customWidth="1"/>
    <col min="6155" max="6155" width="20.5703125" style="970" bestFit="1" customWidth="1"/>
    <col min="6156" max="6156" width="16.42578125" style="970" bestFit="1" customWidth="1"/>
    <col min="6157" max="6157" width="14.28515625" style="970" customWidth="1"/>
    <col min="6158" max="6158" width="12.85546875" style="970" bestFit="1" customWidth="1"/>
    <col min="6159" max="6159" width="11.28515625" style="970" bestFit="1" customWidth="1"/>
    <col min="6160" max="6160" width="12.5703125" style="970" bestFit="1" customWidth="1"/>
    <col min="6161" max="6161" width="14" style="970" bestFit="1" customWidth="1"/>
    <col min="6162" max="6162" width="6" style="970" bestFit="1" customWidth="1"/>
    <col min="6163" max="6163" width="15" style="970" customWidth="1"/>
    <col min="6164" max="6164" width="14.85546875" style="970" bestFit="1" customWidth="1"/>
    <col min="6165" max="6165" width="16.140625" style="970" bestFit="1" customWidth="1"/>
    <col min="6166" max="6392" width="9.140625" style="970"/>
    <col min="6393" max="6393" width="24" style="970" bestFit="1" customWidth="1"/>
    <col min="6394" max="6394" width="43.85546875" style="970" customWidth="1"/>
    <col min="6395" max="6395" width="19.7109375" style="970" bestFit="1" customWidth="1"/>
    <col min="6396" max="6396" width="12.42578125" style="970" bestFit="1" customWidth="1"/>
    <col min="6397" max="6397" width="16.28515625" style="970" bestFit="1" customWidth="1"/>
    <col min="6398" max="6398" width="13.42578125" style="970" customWidth="1"/>
    <col min="6399" max="6399" width="15.28515625" style="970" bestFit="1" customWidth="1"/>
    <col min="6400" max="6400" width="14.140625" style="970" bestFit="1" customWidth="1"/>
    <col min="6401" max="6401" width="15.28515625" style="970" customWidth="1"/>
    <col min="6402" max="6402" width="17.7109375" style="970" customWidth="1"/>
    <col min="6403" max="6403" width="17" style="970" bestFit="1" customWidth="1"/>
    <col min="6404" max="6404" width="12.7109375" style="970" customWidth="1"/>
    <col min="6405" max="6405" width="13.7109375" style="970" customWidth="1"/>
    <col min="6406" max="6406" width="13.85546875" style="970" bestFit="1" customWidth="1"/>
    <col min="6407" max="6407" width="19.7109375" style="970" bestFit="1" customWidth="1"/>
    <col min="6408" max="6408" width="16.140625" style="970" customWidth="1"/>
    <col min="6409" max="6409" width="16.7109375" style="970" bestFit="1" customWidth="1"/>
    <col min="6410" max="6410" width="15.5703125" style="970" bestFit="1" customWidth="1"/>
    <col min="6411" max="6411" width="20.5703125" style="970" bestFit="1" customWidth="1"/>
    <col min="6412" max="6412" width="16.42578125" style="970" bestFit="1" customWidth="1"/>
    <col min="6413" max="6413" width="14.28515625" style="970" customWidth="1"/>
    <col min="6414" max="6414" width="12.85546875" style="970" bestFit="1" customWidth="1"/>
    <col min="6415" max="6415" width="11.28515625" style="970" bestFit="1" customWidth="1"/>
    <col min="6416" max="6416" width="12.5703125" style="970" bestFit="1" customWidth="1"/>
    <col min="6417" max="6417" width="14" style="970" bestFit="1" customWidth="1"/>
    <col min="6418" max="6418" width="6" style="970" bestFit="1" customWidth="1"/>
    <col min="6419" max="6419" width="15" style="970" customWidth="1"/>
    <col min="6420" max="6420" width="14.85546875" style="970" bestFit="1" customWidth="1"/>
    <col min="6421" max="6421" width="16.140625" style="970" bestFit="1" customWidth="1"/>
    <col min="6422" max="6648" width="9.140625" style="970"/>
    <col min="6649" max="6649" width="24" style="970" bestFit="1" customWidth="1"/>
    <col min="6650" max="6650" width="43.85546875" style="970" customWidth="1"/>
    <col min="6651" max="6651" width="19.7109375" style="970" bestFit="1" customWidth="1"/>
    <col min="6652" max="6652" width="12.42578125" style="970" bestFit="1" customWidth="1"/>
    <col min="6653" max="6653" width="16.28515625" style="970" bestFit="1" customWidth="1"/>
    <col min="6654" max="6654" width="13.42578125" style="970" customWidth="1"/>
    <col min="6655" max="6655" width="15.28515625" style="970" bestFit="1" customWidth="1"/>
    <col min="6656" max="6656" width="14.140625" style="970" bestFit="1" customWidth="1"/>
    <col min="6657" max="6657" width="15.28515625" style="970" customWidth="1"/>
    <col min="6658" max="6658" width="17.7109375" style="970" customWidth="1"/>
    <col min="6659" max="6659" width="17" style="970" bestFit="1" customWidth="1"/>
    <col min="6660" max="6660" width="12.7109375" style="970" customWidth="1"/>
    <col min="6661" max="6661" width="13.7109375" style="970" customWidth="1"/>
    <col min="6662" max="6662" width="13.85546875" style="970" bestFit="1" customWidth="1"/>
    <col min="6663" max="6663" width="19.7109375" style="970" bestFit="1" customWidth="1"/>
    <col min="6664" max="6664" width="16.140625" style="970" customWidth="1"/>
    <col min="6665" max="6665" width="16.7109375" style="970" bestFit="1" customWidth="1"/>
    <col min="6666" max="6666" width="15.5703125" style="970" bestFit="1" customWidth="1"/>
    <col min="6667" max="6667" width="20.5703125" style="970" bestFit="1" customWidth="1"/>
    <col min="6668" max="6668" width="16.42578125" style="970" bestFit="1" customWidth="1"/>
    <col min="6669" max="6669" width="14.28515625" style="970" customWidth="1"/>
    <col min="6670" max="6670" width="12.85546875" style="970" bestFit="1" customWidth="1"/>
    <col min="6671" max="6671" width="11.28515625" style="970" bestFit="1" customWidth="1"/>
    <col min="6672" max="6672" width="12.5703125" style="970" bestFit="1" customWidth="1"/>
    <col min="6673" max="6673" width="14" style="970" bestFit="1" customWidth="1"/>
    <col min="6674" max="6674" width="6" style="970" bestFit="1" customWidth="1"/>
    <col min="6675" max="6675" width="15" style="970" customWidth="1"/>
    <col min="6676" max="6676" width="14.85546875" style="970" bestFit="1" customWidth="1"/>
    <col min="6677" max="6677" width="16.140625" style="970" bestFit="1" customWidth="1"/>
    <col min="6678" max="6904" width="9.140625" style="970"/>
    <col min="6905" max="6905" width="24" style="970" bestFit="1" customWidth="1"/>
    <col min="6906" max="6906" width="43.85546875" style="970" customWidth="1"/>
    <col min="6907" max="6907" width="19.7109375" style="970" bestFit="1" customWidth="1"/>
    <col min="6908" max="6908" width="12.42578125" style="970" bestFit="1" customWidth="1"/>
    <col min="6909" max="6909" width="16.28515625" style="970" bestFit="1" customWidth="1"/>
    <col min="6910" max="6910" width="13.42578125" style="970" customWidth="1"/>
    <col min="6911" max="6911" width="15.28515625" style="970" bestFit="1" customWidth="1"/>
    <col min="6912" max="6912" width="14.140625" style="970" bestFit="1" customWidth="1"/>
    <col min="6913" max="6913" width="15.28515625" style="970" customWidth="1"/>
    <col min="6914" max="6914" width="17.7109375" style="970" customWidth="1"/>
    <col min="6915" max="6915" width="17" style="970" bestFit="1" customWidth="1"/>
    <col min="6916" max="6916" width="12.7109375" style="970" customWidth="1"/>
    <col min="6917" max="6917" width="13.7109375" style="970" customWidth="1"/>
    <col min="6918" max="6918" width="13.85546875" style="970" bestFit="1" customWidth="1"/>
    <col min="6919" max="6919" width="19.7109375" style="970" bestFit="1" customWidth="1"/>
    <col min="6920" max="6920" width="16.140625" style="970" customWidth="1"/>
    <col min="6921" max="6921" width="16.7109375" style="970" bestFit="1" customWidth="1"/>
    <col min="6922" max="6922" width="15.5703125" style="970" bestFit="1" customWidth="1"/>
    <col min="6923" max="6923" width="20.5703125" style="970" bestFit="1" customWidth="1"/>
    <col min="6924" max="6924" width="16.42578125" style="970" bestFit="1" customWidth="1"/>
    <col min="6925" max="6925" width="14.28515625" style="970" customWidth="1"/>
    <col min="6926" max="6926" width="12.85546875" style="970" bestFit="1" customWidth="1"/>
    <col min="6927" max="6927" width="11.28515625" style="970" bestFit="1" customWidth="1"/>
    <col min="6928" max="6928" width="12.5703125" style="970" bestFit="1" customWidth="1"/>
    <col min="6929" max="6929" width="14" style="970" bestFit="1" customWidth="1"/>
    <col min="6930" max="6930" width="6" style="970" bestFit="1" customWidth="1"/>
    <col min="6931" max="6931" width="15" style="970" customWidth="1"/>
    <col min="6932" max="6932" width="14.85546875" style="970" bestFit="1" customWidth="1"/>
    <col min="6933" max="6933" width="16.140625" style="970" bestFit="1" customWidth="1"/>
    <col min="6934" max="7160" width="9.140625" style="970"/>
    <col min="7161" max="7161" width="24" style="970" bestFit="1" customWidth="1"/>
    <col min="7162" max="7162" width="43.85546875" style="970" customWidth="1"/>
    <col min="7163" max="7163" width="19.7109375" style="970" bestFit="1" customWidth="1"/>
    <col min="7164" max="7164" width="12.42578125" style="970" bestFit="1" customWidth="1"/>
    <col min="7165" max="7165" width="16.28515625" style="970" bestFit="1" customWidth="1"/>
    <col min="7166" max="7166" width="13.42578125" style="970" customWidth="1"/>
    <col min="7167" max="7167" width="15.28515625" style="970" bestFit="1" customWidth="1"/>
    <col min="7168" max="7168" width="14.140625" style="970" bestFit="1" customWidth="1"/>
    <col min="7169" max="7169" width="15.28515625" style="970" customWidth="1"/>
    <col min="7170" max="7170" width="17.7109375" style="970" customWidth="1"/>
    <col min="7171" max="7171" width="17" style="970" bestFit="1" customWidth="1"/>
    <col min="7172" max="7172" width="12.7109375" style="970" customWidth="1"/>
    <col min="7173" max="7173" width="13.7109375" style="970" customWidth="1"/>
    <col min="7174" max="7174" width="13.85546875" style="970" bestFit="1" customWidth="1"/>
    <col min="7175" max="7175" width="19.7109375" style="970" bestFit="1" customWidth="1"/>
    <col min="7176" max="7176" width="16.140625" style="970" customWidth="1"/>
    <col min="7177" max="7177" width="16.7109375" style="970" bestFit="1" customWidth="1"/>
    <col min="7178" max="7178" width="15.5703125" style="970" bestFit="1" customWidth="1"/>
    <col min="7179" max="7179" width="20.5703125" style="970" bestFit="1" customWidth="1"/>
    <col min="7180" max="7180" width="16.42578125" style="970" bestFit="1" customWidth="1"/>
    <col min="7181" max="7181" width="14.28515625" style="970" customWidth="1"/>
    <col min="7182" max="7182" width="12.85546875" style="970" bestFit="1" customWidth="1"/>
    <col min="7183" max="7183" width="11.28515625" style="970" bestFit="1" customWidth="1"/>
    <col min="7184" max="7184" width="12.5703125" style="970" bestFit="1" customWidth="1"/>
    <col min="7185" max="7185" width="14" style="970" bestFit="1" customWidth="1"/>
    <col min="7186" max="7186" width="6" style="970" bestFit="1" customWidth="1"/>
    <col min="7187" max="7187" width="15" style="970" customWidth="1"/>
    <col min="7188" max="7188" width="14.85546875" style="970" bestFit="1" customWidth="1"/>
    <col min="7189" max="7189" width="16.140625" style="970" bestFit="1" customWidth="1"/>
    <col min="7190" max="7416" width="9.140625" style="970"/>
    <col min="7417" max="7417" width="24" style="970" bestFit="1" customWidth="1"/>
    <col min="7418" max="7418" width="43.85546875" style="970" customWidth="1"/>
    <col min="7419" max="7419" width="19.7109375" style="970" bestFit="1" customWidth="1"/>
    <col min="7420" max="7420" width="12.42578125" style="970" bestFit="1" customWidth="1"/>
    <col min="7421" max="7421" width="16.28515625" style="970" bestFit="1" customWidth="1"/>
    <col min="7422" max="7422" width="13.42578125" style="970" customWidth="1"/>
    <col min="7423" max="7423" width="15.28515625" style="970" bestFit="1" customWidth="1"/>
    <col min="7424" max="7424" width="14.140625" style="970" bestFit="1" customWidth="1"/>
    <col min="7425" max="7425" width="15.28515625" style="970" customWidth="1"/>
    <col min="7426" max="7426" width="17.7109375" style="970" customWidth="1"/>
    <col min="7427" max="7427" width="17" style="970" bestFit="1" customWidth="1"/>
    <col min="7428" max="7428" width="12.7109375" style="970" customWidth="1"/>
    <col min="7429" max="7429" width="13.7109375" style="970" customWidth="1"/>
    <col min="7430" max="7430" width="13.85546875" style="970" bestFit="1" customWidth="1"/>
    <col min="7431" max="7431" width="19.7109375" style="970" bestFit="1" customWidth="1"/>
    <col min="7432" max="7432" width="16.140625" style="970" customWidth="1"/>
    <col min="7433" max="7433" width="16.7109375" style="970" bestFit="1" customWidth="1"/>
    <col min="7434" max="7434" width="15.5703125" style="970" bestFit="1" customWidth="1"/>
    <col min="7435" max="7435" width="20.5703125" style="970" bestFit="1" customWidth="1"/>
    <col min="7436" max="7436" width="16.42578125" style="970" bestFit="1" customWidth="1"/>
    <col min="7437" max="7437" width="14.28515625" style="970" customWidth="1"/>
    <col min="7438" max="7438" width="12.85546875" style="970" bestFit="1" customWidth="1"/>
    <col min="7439" max="7439" width="11.28515625" style="970" bestFit="1" customWidth="1"/>
    <col min="7440" max="7440" width="12.5703125" style="970" bestFit="1" customWidth="1"/>
    <col min="7441" max="7441" width="14" style="970" bestFit="1" customWidth="1"/>
    <col min="7442" max="7442" width="6" style="970" bestFit="1" customWidth="1"/>
    <col min="7443" max="7443" width="15" style="970" customWidth="1"/>
    <col min="7444" max="7444" width="14.85546875" style="970" bestFit="1" customWidth="1"/>
    <col min="7445" max="7445" width="16.140625" style="970" bestFit="1" customWidth="1"/>
    <col min="7446" max="7672" width="9.140625" style="970"/>
    <col min="7673" max="7673" width="24" style="970" bestFit="1" customWidth="1"/>
    <col min="7674" max="7674" width="43.85546875" style="970" customWidth="1"/>
    <col min="7675" max="7675" width="19.7109375" style="970" bestFit="1" customWidth="1"/>
    <col min="7676" max="7676" width="12.42578125" style="970" bestFit="1" customWidth="1"/>
    <col min="7677" max="7677" width="16.28515625" style="970" bestFit="1" customWidth="1"/>
    <col min="7678" max="7678" width="13.42578125" style="970" customWidth="1"/>
    <col min="7679" max="7679" width="15.28515625" style="970" bestFit="1" customWidth="1"/>
    <col min="7680" max="7680" width="14.140625" style="970" bestFit="1" customWidth="1"/>
    <col min="7681" max="7681" width="15.28515625" style="970" customWidth="1"/>
    <col min="7682" max="7682" width="17.7109375" style="970" customWidth="1"/>
    <col min="7683" max="7683" width="17" style="970" bestFit="1" customWidth="1"/>
    <col min="7684" max="7684" width="12.7109375" style="970" customWidth="1"/>
    <col min="7685" max="7685" width="13.7109375" style="970" customWidth="1"/>
    <col min="7686" max="7686" width="13.85546875" style="970" bestFit="1" customWidth="1"/>
    <col min="7687" max="7687" width="19.7109375" style="970" bestFit="1" customWidth="1"/>
    <col min="7688" max="7688" width="16.140625" style="970" customWidth="1"/>
    <col min="7689" max="7689" width="16.7109375" style="970" bestFit="1" customWidth="1"/>
    <col min="7690" max="7690" width="15.5703125" style="970" bestFit="1" customWidth="1"/>
    <col min="7691" max="7691" width="20.5703125" style="970" bestFit="1" customWidth="1"/>
    <col min="7692" max="7692" width="16.42578125" style="970" bestFit="1" customWidth="1"/>
    <col min="7693" max="7693" width="14.28515625" style="970" customWidth="1"/>
    <col min="7694" max="7694" width="12.85546875" style="970" bestFit="1" customWidth="1"/>
    <col min="7695" max="7695" width="11.28515625" style="970" bestFit="1" customWidth="1"/>
    <col min="7696" max="7696" width="12.5703125" style="970" bestFit="1" customWidth="1"/>
    <col min="7697" max="7697" width="14" style="970" bestFit="1" customWidth="1"/>
    <col min="7698" max="7698" width="6" style="970" bestFit="1" customWidth="1"/>
    <col min="7699" max="7699" width="15" style="970" customWidth="1"/>
    <col min="7700" max="7700" width="14.85546875" style="970" bestFit="1" customWidth="1"/>
    <col min="7701" max="7701" width="16.140625" style="970" bestFit="1" customWidth="1"/>
    <col min="7702" max="7928" width="9.140625" style="970"/>
    <col min="7929" max="7929" width="24" style="970" bestFit="1" customWidth="1"/>
    <col min="7930" max="7930" width="43.85546875" style="970" customWidth="1"/>
    <col min="7931" max="7931" width="19.7109375" style="970" bestFit="1" customWidth="1"/>
    <col min="7932" max="7932" width="12.42578125" style="970" bestFit="1" customWidth="1"/>
    <col min="7933" max="7933" width="16.28515625" style="970" bestFit="1" customWidth="1"/>
    <col min="7934" max="7934" width="13.42578125" style="970" customWidth="1"/>
    <col min="7935" max="7935" width="15.28515625" style="970" bestFit="1" customWidth="1"/>
    <col min="7936" max="7936" width="14.140625" style="970" bestFit="1" customWidth="1"/>
    <col min="7937" max="7937" width="15.28515625" style="970" customWidth="1"/>
    <col min="7938" max="7938" width="17.7109375" style="970" customWidth="1"/>
    <col min="7939" max="7939" width="17" style="970" bestFit="1" customWidth="1"/>
    <col min="7940" max="7940" width="12.7109375" style="970" customWidth="1"/>
    <col min="7941" max="7941" width="13.7109375" style="970" customWidth="1"/>
    <col min="7942" max="7942" width="13.85546875" style="970" bestFit="1" customWidth="1"/>
    <col min="7943" max="7943" width="19.7109375" style="970" bestFit="1" customWidth="1"/>
    <col min="7944" max="7944" width="16.140625" style="970" customWidth="1"/>
    <col min="7945" max="7945" width="16.7109375" style="970" bestFit="1" customWidth="1"/>
    <col min="7946" max="7946" width="15.5703125" style="970" bestFit="1" customWidth="1"/>
    <col min="7947" max="7947" width="20.5703125" style="970" bestFit="1" customWidth="1"/>
    <col min="7948" max="7948" width="16.42578125" style="970" bestFit="1" customWidth="1"/>
    <col min="7949" max="7949" width="14.28515625" style="970" customWidth="1"/>
    <col min="7950" max="7950" width="12.85546875" style="970" bestFit="1" customWidth="1"/>
    <col min="7951" max="7951" width="11.28515625" style="970" bestFit="1" customWidth="1"/>
    <col min="7952" max="7952" width="12.5703125" style="970" bestFit="1" customWidth="1"/>
    <col min="7953" max="7953" width="14" style="970" bestFit="1" customWidth="1"/>
    <col min="7954" max="7954" width="6" style="970" bestFit="1" customWidth="1"/>
    <col min="7955" max="7955" width="15" style="970" customWidth="1"/>
    <col min="7956" max="7956" width="14.85546875" style="970" bestFit="1" customWidth="1"/>
    <col min="7957" max="7957" width="16.140625" style="970" bestFit="1" customWidth="1"/>
    <col min="7958" max="8184" width="9.140625" style="970"/>
    <col min="8185" max="8185" width="24" style="970" bestFit="1" customWidth="1"/>
    <col min="8186" max="8186" width="43.85546875" style="970" customWidth="1"/>
    <col min="8187" max="8187" width="19.7109375" style="970" bestFit="1" customWidth="1"/>
    <col min="8188" max="8188" width="12.42578125" style="970" bestFit="1" customWidth="1"/>
    <col min="8189" max="8189" width="16.28515625" style="970" bestFit="1" customWidth="1"/>
    <col min="8190" max="8190" width="13.42578125" style="970" customWidth="1"/>
    <col min="8191" max="8191" width="15.28515625" style="970" bestFit="1" customWidth="1"/>
    <col min="8192" max="8192" width="14.140625" style="970" bestFit="1" customWidth="1"/>
    <col min="8193" max="8193" width="15.28515625" style="970" customWidth="1"/>
    <col min="8194" max="8194" width="17.7109375" style="970" customWidth="1"/>
    <col min="8195" max="8195" width="17" style="970" bestFit="1" customWidth="1"/>
    <col min="8196" max="8196" width="12.7109375" style="970" customWidth="1"/>
    <col min="8197" max="8197" width="13.7109375" style="970" customWidth="1"/>
    <col min="8198" max="8198" width="13.85546875" style="970" bestFit="1" customWidth="1"/>
    <col min="8199" max="8199" width="19.7109375" style="970" bestFit="1" customWidth="1"/>
    <col min="8200" max="8200" width="16.140625" style="970" customWidth="1"/>
    <col min="8201" max="8201" width="16.7109375" style="970" bestFit="1" customWidth="1"/>
    <col min="8202" max="8202" width="15.5703125" style="970" bestFit="1" customWidth="1"/>
    <col min="8203" max="8203" width="20.5703125" style="970" bestFit="1" customWidth="1"/>
    <col min="8204" max="8204" width="16.42578125" style="970" bestFit="1" customWidth="1"/>
    <col min="8205" max="8205" width="14.28515625" style="970" customWidth="1"/>
    <col min="8206" max="8206" width="12.85546875" style="970" bestFit="1" customWidth="1"/>
    <col min="8207" max="8207" width="11.28515625" style="970" bestFit="1" customWidth="1"/>
    <col min="8208" max="8208" width="12.5703125" style="970" bestFit="1" customWidth="1"/>
    <col min="8209" max="8209" width="14" style="970" bestFit="1" customWidth="1"/>
    <col min="8210" max="8210" width="6" style="970" bestFit="1" customWidth="1"/>
    <col min="8211" max="8211" width="15" style="970" customWidth="1"/>
    <col min="8212" max="8212" width="14.85546875" style="970" bestFit="1" customWidth="1"/>
    <col min="8213" max="8213" width="16.140625" style="970" bestFit="1" customWidth="1"/>
    <col min="8214" max="8440" width="9.140625" style="970"/>
    <col min="8441" max="8441" width="24" style="970" bestFit="1" customWidth="1"/>
    <col min="8442" max="8442" width="43.85546875" style="970" customWidth="1"/>
    <col min="8443" max="8443" width="19.7109375" style="970" bestFit="1" customWidth="1"/>
    <col min="8444" max="8444" width="12.42578125" style="970" bestFit="1" customWidth="1"/>
    <col min="8445" max="8445" width="16.28515625" style="970" bestFit="1" customWidth="1"/>
    <col min="8446" max="8446" width="13.42578125" style="970" customWidth="1"/>
    <col min="8447" max="8447" width="15.28515625" style="970" bestFit="1" customWidth="1"/>
    <col min="8448" max="8448" width="14.140625" style="970" bestFit="1" customWidth="1"/>
    <col min="8449" max="8449" width="15.28515625" style="970" customWidth="1"/>
    <col min="8450" max="8450" width="17.7109375" style="970" customWidth="1"/>
    <col min="8451" max="8451" width="17" style="970" bestFit="1" customWidth="1"/>
    <col min="8452" max="8452" width="12.7109375" style="970" customWidth="1"/>
    <col min="8453" max="8453" width="13.7109375" style="970" customWidth="1"/>
    <col min="8454" max="8454" width="13.85546875" style="970" bestFit="1" customWidth="1"/>
    <col min="8455" max="8455" width="19.7109375" style="970" bestFit="1" customWidth="1"/>
    <col min="8456" max="8456" width="16.140625" style="970" customWidth="1"/>
    <col min="8457" max="8457" width="16.7109375" style="970" bestFit="1" customWidth="1"/>
    <col min="8458" max="8458" width="15.5703125" style="970" bestFit="1" customWidth="1"/>
    <col min="8459" max="8459" width="20.5703125" style="970" bestFit="1" customWidth="1"/>
    <col min="8460" max="8460" width="16.42578125" style="970" bestFit="1" customWidth="1"/>
    <col min="8461" max="8461" width="14.28515625" style="970" customWidth="1"/>
    <col min="8462" max="8462" width="12.85546875" style="970" bestFit="1" customWidth="1"/>
    <col min="8463" max="8463" width="11.28515625" style="970" bestFit="1" customWidth="1"/>
    <col min="8464" max="8464" width="12.5703125" style="970" bestFit="1" customWidth="1"/>
    <col min="8465" max="8465" width="14" style="970" bestFit="1" customWidth="1"/>
    <col min="8466" max="8466" width="6" style="970" bestFit="1" customWidth="1"/>
    <col min="8467" max="8467" width="15" style="970" customWidth="1"/>
    <col min="8468" max="8468" width="14.85546875" style="970" bestFit="1" customWidth="1"/>
    <col min="8469" max="8469" width="16.140625" style="970" bestFit="1" customWidth="1"/>
    <col min="8470" max="8696" width="9.140625" style="970"/>
    <col min="8697" max="8697" width="24" style="970" bestFit="1" customWidth="1"/>
    <col min="8698" max="8698" width="43.85546875" style="970" customWidth="1"/>
    <col min="8699" max="8699" width="19.7109375" style="970" bestFit="1" customWidth="1"/>
    <col min="8700" max="8700" width="12.42578125" style="970" bestFit="1" customWidth="1"/>
    <col min="8701" max="8701" width="16.28515625" style="970" bestFit="1" customWidth="1"/>
    <col min="8702" max="8702" width="13.42578125" style="970" customWidth="1"/>
    <col min="8703" max="8703" width="15.28515625" style="970" bestFit="1" customWidth="1"/>
    <col min="8704" max="8704" width="14.140625" style="970" bestFit="1" customWidth="1"/>
    <col min="8705" max="8705" width="15.28515625" style="970" customWidth="1"/>
    <col min="8706" max="8706" width="17.7109375" style="970" customWidth="1"/>
    <col min="8707" max="8707" width="17" style="970" bestFit="1" customWidth="1"/>
    <col min="8708" max="8708" width="12.7109375" style="970" customWidth="1"/>
    <col min="8709" max="8709" width="13.7109375" style="970" customWidth="1"/>
    <col min="8710" max="8710" width="13.85546875" style="970" bestFit="1" customWidth="1"/>
    <col min="8711" max="8711" width="19.7109375" style="970" bestFit="1" customWidth="1"/>
    <col min="8712" max="8712" width="16.140625" style="970" customWidth="1"/>
    <col min="8713" max="8713" width="16.7109375" style="970" bestFit="1" customWidth="1"/>
    <col min="8714" max="8714" width="15.5703125" style="970" bestFit="1" customWidth="1"/>
    <col min="8715" max="8715" width="20.5703125" style="970" bestFit="1" customWidth="1"/>
    <col min="8716" max="8716" width="16.42578125" style="970" bestFit="1" customWidth="1"/>
    <col min="8717" max="8717" width="14.28515625" style="970" customWidth="1"/>
    <col min="8718" max="8718" width="12.85546875" style="970" bestFit="1" customWidth="1"/>
    <col min="8719" max="8719" width="11.28515625" style="970" bestFit="1" customWidth="1"/>
    <col min="8720" max="8720" width="12.5703125" style="970" bestFit="1" customWidth="1"/>
    <col min="8721" max="8721" width="14" style="970" bestFit="1" customWidth="1"/>
    <col min="8722" max="8722" width="6" style="970" bestFit="1" customWidth="1"/>
    <col min="8723" max="8723" width="15" style="970" customWidth="1"/>
    <col min="8724" max="8724" width="14.85546875" style="970" bestFit="1" customWidth="1"/>
    <col min="8725" max="8725" width="16.140625" style="970" bestFit="1" customWidth="1"/>
    <col min="8726" max="8952" width="9.140625" style="970"/>
    <col min="8953" max="8953" width="24" style="970" bestFit="1" customWidth="1"/>
    <col min="8954" max="8954" width="43.85546875" style="970" customWidth="1"/>
    <col min="8955" max="8955" width="19.7109375" style="970" bestFit="1" customWidth="1"/>
    <col min="8956" max="8956" width="12.42578125" style="970" bestFit="1" customWidth="1"/>
    <col min="8957" max="8957" width="16.28515625" style="970" bestFit="1" customWidth="1"/>
    <col min="8958" max="8958" width="13.42578125" style="970" customWidth="1"/>
    <col min="8959" max="8959" width="15.28515625" style="970" bestFit="1" customWidth="1"/>
    <col min="8960" max="8960" width="14.140625" style="970" bestFit="1" customWidth="1"/>
    <col min="8961" max="8961" width="15.28515625" style="970" customWidth="1"/>
    <col min="8962" max="8962" width="17.7109375" style="970" customWidth="1"/>
    <col min="8963" max="8963" width="17" style="970" bestFit="1" customWidth="1"/>
    <col min="8964" max="8964" width="12.7109375" style="970" customWidth="1"/>
    <col min="8965" max="8965" width="13.7109375" style="970" customWidth="1"/>
    <col min="8966" max="8966" width="13.85546875" style="970" bestFit="1" customWidth="1"/>
    <col min="8967" max="8967" width="19.7109375" style="970" bestFit="1" customWidth="1"/>
    <col min="8968" max="8968" width="16.140625" style="970" customWidth="1"/>
    <col min="8969" max="8969" width="16.7109375" style="970" bestFit="1" customWidth="1"/>
    <col min="8970" max="8970" width="15.5703125" style="970" bestFit="1" customWidth="1"/>
    <col min="8971" max="8971" width="20.5703125" style="970" bestFit="1" customWidth="1"/>
    <col min="8972" max="8972" width="16.42578125" style="970" bestFit="1" customWidth="1"/>
    <col min="8973" max="8973" width="14.28515625" style="970" customWidth="1"/>
    <col min="8974" max="8974" width="12.85546875" style="970" bestFit="1" customWidth="1"/>
    <col min="8975" max="8975" width="11.28515625" style="970" bestFit="1" customWidth="1"/>
    <col min="8976" max="8976" width="12.5703125" style="970" bestFit="1" customWidth="1"/>
    <col min="8977" max="8977" width="14" style="970" bestFit="1" customWidth="1"/>
    <col min="8978" max="8978" width="6" style="970" bestFit="1" customWidth="1"/>
    <col min="8979" max="8979" width="15" style="970" customWidth="1"/>
    <col min="8980" max="8980" width="14.85546875" style="970" bestFit="1" customWidth="1"/>
    <col min="8981" max="8981" width="16.140625" style="970" bestFit="1" customWidth="1"/>
    <col min="8982" max="9208" width="9.140625" style="970"/>
    <col min="9209" max="9209" width="24" style="970" bestFit="1" customWidth="1"/>
    <col min="9210" max="9210" width="43.85546875" style="970" customWidth="1"/>
    <col min="9211" max="9211" width="19.7109375" style="970" bestFit="1" customWidth="1"/>
    <col min="9212" max="9212" width="12.42578125" style="970" bestFit="1" customWidth="1"/>
    <col min="9213" max="9213" width="16.28515625" style="970" bestFit="1" customWidth="1"/>
    <col min="9214" max="9214" width="13.42578125" style="970" customWidth="1"/>
    <col min="9215" max="9215" width="15.28515625" style="970" bestFit="1" customWidth="1"/>
    <col min="9216" max="9216" width="14.140625" style="970" bestFit="1" customWidth="1"/>
    <col min="9217" max="9217" width="15.28515625" style="970" customWidth="1"/>
    <col min="9218" max="9218" width="17.7109375" style="970" customWidth="1"/>
    <col min="9219" max="9219" width="17" style="970" bestFit="1" customWidth="1"/>
    <col min="9220" max="9220" width="12.7109375" style="970" customWidth="1"/>
    <col min="9221" max="9221" width="13.7109375" style="970" customWidth="1"/>
    <col min="9222" max="9222" width="13.85546875" style="970" bestFit="1" customWidth="1"/>
    <col min="9223" max="9223" width="19.7109375" style="970" bestFit="1" customWidth="1"/>
    <col min="9224" max="9224" width="16.140625" style="970" customWidth="1"/>
    <col min="9225" max="9225" width="16.7109375" style="970" bestFit="1" customWidth="1"/>
    <col min="9226" max="9226" width="15.5703125" style="970" bestFit="1" customWidth="1"/>
    <col min="9227" max="9227" width="20.5703125" style="970" bestFit="1" customWidth="1"/>
    <col min="9228" max="9228" width="16.42578125" style="970" bestFit="1" customWidth="1"/>
    <col min="9229" max="9229" width="14.28515625" style="970" customWidth="1"/>
    <col min="9230" max="9230" width="12.85546875" style="970" bestFit="1" customWidth="1"/>
    <col min="9231" max="9231" width="11.28515625" style="970" bestFit="1" customWidth="1"/>
    <col min="9232" max="9232" width="12.5703125" style="970" bestFit="1" customWidth="1"/>
    <col min="9233" max="9233" width="14" style="970" bestFit="1" customWidth="1"/>
    <col min="9234" max="9234" width="6" style="970" bestFit="1" customWidth="1"/>
    <col min="9235" max="9235" width="15" style="970" customWidth="1"/>
    <col min="9236" max="9236" width="14.85546875" style="970" bestFit="1" customWidth="1"/>
    <col min="9237" max="9237" width="16.140625" style="970" bestFit="1" customWidth="1"/>
    <col min="9238" max="9464" width="9.140625" style="970"/>
    <col min="9465" max="9465" width="24" style="970" bestFit="1" customWidth="1"/>
    <col min="9466" max="9466" width="43.85546875" style="970" customWidth="1"/>
    <col min="9467" max="9467" width="19.7109375" style="970" bestFit="1" customWidth="1"/>
    <col min="9468" max="9468" width="12.42578125" style="970" bestFit="1" customWidth="1"/>
    <col min="9469" max="9469" width="16.28515625" style="970" bestFit="1" customWidth="1"/>
    <col min="9470" max="9470" width="13.42578125" style="970" customWidth="1"/>
    <col min="9471" max="9471" width="15.28515625" style="970" bestFit="1" customWidth="1"/>
    <col min="9472" max="9472" width="14.140625" style="970" bestFit="1" customWidth="1"/>
    <col min="9473" max="9473" width="15.28515625" style="970" customWidth="1"/>
    <col min="9474" max="9474" width="17.7109375" style="970" customWidth="1"/>
    <col min="9475" max="9475" width="17" style="970" bestFit="1" customWidth="1"/>
    <col min="9476" max="9476" width="12.7109375" style="970" customWidth="1"/>
    <col min="9477" max="9477" width="13.7109375" style="970" customWidth="1"/>
    <col min="9478" max="9478" width="13.85546875" style="970" bestFit="1" customWidth="1"/>
    <col min="9479" max="9479" width="19.7109375" style="970" bestFit="1" customWidth="1"/>
    <col min="9480" max="9480" width="16.140625" style="970" customWidth="1"/>
    <col min="9481" max="9481" width="16.7109375" style="970" bestFit="1" customWidth="1"/>
    <col min="9482" max="9482" width="15.5703125" style="970" bestFit="1" customWidth="1"/>
    <col min="9483" max="9483" width="20.5703125" style="970" bestFit="1" customWidth="1"/>
    <col min="9484" max="9484" width="16.42578125" style="970" bestFit="1" customWidth="1"/>
    <col min="9485" max="9485" width="14.28515625" style="970" customWidth="1"/>
    <col min="9486" max="9486" width="12.85546875" style="970" bestFit="1" customWidth="1"/>
    <col min="9487" max="9487" width="11.28515625" style="970" bestFit="1" customWidth="1"/>
    <col min="9488" max="9488" width="12.5703125" style="970" bestFit="1" customWidth="1"/>
    <col min="9489" max="9489" width="14" style="970" bestFit="1" customWidth="1"/>
    <col min="9490" max="9490" width="6" style="970" bestFit="1" customWidth="1"/>
    <col min="9491" max="9491" width="15" style="970" customWidth="1"/>
    <col min="9492" max="9492" width="14.85546875" style="970" bestFit="1" customWidth="1"/>
    <col min="9493" max="9493" width="16.140625" style="970" bestFit="1" customWidth="1"/>
    <col min="9494" max="9720" width="9.140625" style="970"/>
    <col min="9721" max="9721" width="24" style="970" bestFit="1" customWidth="1"/>
    <col min="9722" max="9722" width="43.85546875" style="970" customWidth="1"/>
    <col min="9723" max="9723" width="19.7109375" style="970" bestFit="1" customWidth="1"/>
    <col min="9724" max="9724" width="12.42578125" style="970" bestFit="1" customWidth="1"/>
    <col min="9725" max="9725" width="16.28515625" style="970" bestFit="1" customWidth="1"/>
    <col min="9726" max="9726" width="13.42578125" style="970" customWidth="1"/>
    <col min="9727" max="9727" width="15.28515625" style="970" bestFit="1" customWidth="1"/>
    <col min="9728" max="9728" width="14.140625" style="970" bestFit="1" customWidth="1"/>
    <col min="9729" max="9729" width="15.28515625" style="970" customWidth="1"/>
    <col min="9730" max="9730" width="17.7109375" style="970" customWidth="1"/>
    <col min="9731" max="9731" width="17" style="970" bestFit="1" customWidth="1"/>
    <col min="9732" max="9732" width="12.7109375" style="970" customWidth="1"/>
    <col min="9733" max="9733" width="13.7109375" style="970" customWidth="1"/>
    <col min="9734" max="9734" width="13.85546875" style="970" bestFit="1" customWidth="1"/>
    <col min="9735" max="9735" width="19.7109375" style="970" bestFit="1" customWidth="1"/>
    <col min="9736" max="9736" width="16.140625" style="970" customWidth="1"/>
    <col min="9737" max="9737" width="16.7109375" style="970" bestFit="1" customWidth="1"/>
    <col min="9738" max="9738" width="15.5703125" style="970" bestFit="1" customWidth="1"/>
    <col min="9739" max="9739" width="20.5703125" style="970" bestFit="1" customWidth="1"/>
    <col min="9740" max="9740" width="16.42578125" style="970" bestFit="1" customWidth="1"/>
    <col min="9741" max="9741" width="14.28515625" style="970" customWidth="1"/>
    <col min="9742" max="9742" width="12.85546875" style="970" bestFit="1" customWidth="1"/>
    <col min="9743" max="9743" width="11.28515625" style="970" bestFit="1" customWidth="1"/>
    <col min="9744" max="9744" width="12.5703125" style="970" bestFit="1" customWidth="1"/>
    <col min="9745" max="9745" width="14" style="970" bestFit="1" customWidth="1"/>
    <col min="9746" max="9746" width="6" style="970" bestFit="1" customWidth="1"/>
    <col min="9747" max="9747" width="15" style="970" customWidth="1"/>
    <col min="9748" max="9748" width="14.85546875" style="970" bestFit="1" customWidth="1"/>
    <col min="9749" max="9749" width="16.140625" style="970" bestFit="1" customWidth="1"/>
    <col min="9750" max="9976" width="9.140625" style="970"/>
    <col min="9977" max="9977" width="24" style="970" bestFit="1" customWidth="1"/>
    <col min="9978" max="9978" width="43.85546875" style="970" customWidth="1"/>
    <col min="9979" max="9979" width="19.7109375" style="970" bestFit="1" customWidth="1"/>
    <col min="9980" max="9980" width="12.42578125" style="970" bestFit="1" customWidth="1"/>
    <col min="9981" max="9981" width="16.28515625" style="970" bestFit="1" customWidth="1"/>
    <col min="9982" max="9982" width="13.42578125" style="970" customWidth="1"/>
    <col min="9983" max="9983" width="15.28515625" style="970" bestFit="1" customWidth="1"/>
    <col min="9984" max="9984" width="14.140625" style="970" bestFit="1" customWidth="1"/>
    <col min="9985" max="9985" width="15.28515625" style="970" customWidth="1"/>
    <col min="9986" max="9986" width="17.7109375" style="970" customWidth="1"/>
    <col min="9987" max="9987" width="17" style="970" bestFit="1" customWidth="1"/>
    <col min="9988" max="9988" width="12.7109375" style="970" customWidth="1"/>
    <col min="9989" max="9989" width="13.7109375" style="970" customWidth="1"/>
    <col min="9990" max="9990" width="13.85546875" style="970" bestFit="1" customWidth="1"/>
    <col min="9991" max="9991" width="19.7109375" style="970" bestFit="1" customWidth="1"/>
    <col min="9992" max="9992" width="16.140625" style="970" customWidth="1"/>
    <col min="9993" max="9993" width="16.7109375" style="970" bestFit="1" customWidth="1"/>
    <col min="9994" max="9994" width="15.5703125" style="970" bestFit="1" customWidth="1"/>
    <col min="9995" max="9995" width="20.5703125" style="970" bestFit="1" customWidth="1"/>
    <col min="9996" max="9996" width="16.42578125" style="970" bestFit="1" customWidth="1"/>
    <col min="9997" max="9997" width="14.28515625" style="970" customWidth="1"/>
    <col min="9998" max="9998" width="12.85546875" style="970" bestFit="1" customWidth="1"/>
    <col min="9999" max="9999" width="11.28515625" style="970" bestFit="1" customWidth="1"/>
    <col min="10000" max="10000" width="12.5703125" style="970" bestFit="1" customWidth="1"/>
    <col min="10001" max="10001" width="14" style="970" bestFit="1" customWidth="1"/>
    <col min="10002" max="10002" width="6" style="970" bestFit="1" customWidth="1"/>
    <col min="10003" max="10003" width="15" style="970" customWidth="1"/>
    <col min="10004" max="10004" width="14.85546875" style="970" bestFit="1" customWidth="1"/>
    <col min="10005" max="10005" width="16.140625" style="970" bestFit="1" customWidth="1"/>
    <col min="10006" max="10232" width="9.140625" style="970"/>
    <col min="10233" max="10233" width="24" style="970" bestFit="1" customWidth="1"/>
    <col min="10234" max="10234" width="43.85546875" style="970" customWidth="1"/>
    <col min="10235" max="10235" width="19.7109375" style="970" bestFit="1" customWidth="1"/>
    <col min="10236" max="10236" width="12.42578125" style="970" bestFit="1" customWidth="1"/>
    <col min="10237" max="10237" width="16.28515625" style="970" bestFit="1" customWidth="1"/>
    <col min="10238" max="10238" width="13.42578125" style="970" customWidth="1"/>
    <col min="10239" max="10239" width="15.28515625" style="970" bestFit="1" customWidth="1"/>
    <col min="10240" max="10240" width="14.140625" style="970" bestFit="1" customWidth="1"/>
    <col min="10241" max="10241" width="15.28515625" style="970" customWidth="1"/>
    <col min="10242" max="10242" width="17.7109375" style="970" customWidth="1"/>
    <col min="10243" max="10243" width="17" style="970" bestFit="1" customWidth="1"/>
    <col min="10244" max="10244" width="12.7109375" style="970" customWidth="1"/>
    <col min="10245" max="10245" width="13.7109375" style="970" customWidth="1"/>
    <col min="10246" max="10246" width="13.85546875" style="970" bestFit="1" customWidth="1"/>
    <col min="10247" max="10247" width="19.7109375" style="970" bestFit="1" customWidth="1"/>
    <col min="10248" max="10248" width="16.140625" style="970" customWidth="1"/>
    <col min="10249" max="10249" width="16.7109375" style="970" bestFit="1" customWidth="1"/>
    <col min="10250" max="10250" width="15.5703125" style="970" bestFit="1" customWidth="1"/>
    <col min="10251" max="10251" width="20.5703125" style="970" bestFit="1" customWidth="1"/>
    <col min="10252" max="10252" width="16.42578125" style="970" bestFit="1" customWidth="1"/>
    <col min="10253" max="10253" width="14.28515625" style="970" customWidth="1"/>
    <col min="10254" max="10254" width="12.85546875" style="970" bestFit="1" customWidth="1"/>
    <col min="10255" max="10255" width="11.28515625" style="970" bestFit="1" customWidth="1"/>
    <col min="10256" max="10256" width="12.5703125" style="970" bestFit="1" customWidth="1"/>
    <col min="10257" max="10257" width="14" style="970" bestFit="1" customWidth="1"/>
    <col min="10258" max="10258" width="6" style="970" bestFit="1" customWidth="1"/>
    <col min="10259" max="10259" width="15" style="970" customWidth="1"/>
    <col min="10260" max="10260" width="14.85546875" style="970" bestFit="1" customWidth="1"/>
    <col min="10261" max="10261" width="16.140625" style="970" bestFit="1" customWidth="1"/>
    <col min="10262" max="10488" width="9.140625" style="970"/>
    <col min="10489" max="10489" width="24" style="970" bestFit="1" customWidth="1"/>
    <col min="10490" max="10490" width="43.85546875" style="970" customWidth="1"/>
    <col min="10491" max="10491" width="19.7109375" style="970" bestFit="1" customWidth="1"/>
    <col min="10492" max="10492" width="12.42578125" style="970" bestFit="1" customWidth="1"/>
    <col min="10493" max="10493" width="16.28515625" style="970" bestFit="1" customWidth="1"/>
    <col min="10494" max="10494" width="13.42578125" style="970" customWidth="1"/>
    <col min="10495" max="10495" width="15.28515625" style="970" bestFit="1" customWidth="1"/>
    <col min="10496" max="10496" width="14.140625" style="970" bestFit="1" customWidth="1"/>
    <col min="10497" max="10497" width="15.28515625" style="970" customWidth="1"/>
    <col min="10498" max="10498" width="17.7109375" style="970" customWidth="1"/>
    <col min="10499" max="10499" width="17" style="970" bestFit="1" customWidth="1"/>
    <col min="10500" max="10500" width="12.7109375" style="970" customWidth="1"/>
    <col min="10501" max="10501" width="13.7109375" style="970" customWidth="1"/>
    <col min="10502" max="10502" width="13.85546875" style="970" bestFit="1" customWidth="1"/>
    <col min="10503" max="10503" width="19.7109375" style="970" bestFit="1" customWidth="1"/>
    <col min="10504" max="10504" width="16.140625" style="970" customWidth="1"/>
    <col min="10505" max="10505" width="16.7109375" style="970" bestFit="1" customWidth="1"/>
    <col min="10506" max="10506" width="15.5703125" style="970" bestFit="1" customWidth="1"/>
    <col min="10507" max="10507" width="20.5703125" style="970" bestFit="1" customWidth="1"/>
    <col min="10508" max="10508" width="16.42578125" style="970" bestFit="1" customWidth="1"/>
    <col min="10509" max="10509" width="14.28515625" style="970" customWidth="1"/>
    <col min="10510" max="10510" width="12.85546875" style="970" bestFit="1" customWidth="1"/>
    <col min="10511" max="10511" width="11.28515625" style="970" bestFit="1" customWidth="1"/>
    <col min="10512" max="10512" width="12.5703125" style="970" bestFit="1" customWidth="1"/>
    <col min="10513" max="10513" width="14" style="970" bestFit="1" customWidth="1"/>
    <col min="10514" max="10514" width="6" style="970" bestFit="1" customWidth="1"/>
    <col min="10515" max="10515" width="15" style="970" customWidth="1"/>
    <col min="10516" max="10516" width="14.85546875" style="970" bestFit="1" customWidth="1"/>
    <col min="10517" max="10517" width="16.140625" style="970" bestFit="1" customWidth="1"/>
    <col min="10518" max="10744" width="9.140625" style="970"/>
    <col min="10745" max="10745" width="24" style="970" bestFit="1" customWidth="1"/>
    <col min="10746" max="10746" width="43.85546875" style="970" customWidth="1"/>
    <col min="10747" max="10747" width="19.7109375" style="970" bestFit="1" customWidth="1"/>
    <col min="10748" max="10748" width="12.42578125" style="970" bestFit="1" customWidth="1"/>
    <col min="10749" max="10749" width="16.28515625" style="970" bestFit="1" customWidth="1"/>
    <col min="10750" max="10750" width="13.42578125" style="970" customWidth="1"/>
    <col min="10751" max="10751" width="15.28515625" style="970" bestFit="1" customWidth="1"/>
    <col min="10752" max="10752" width="14.140625" style="970" bestFit="1" customWidth="1"/>
    <col min="10753" max="10753" width="15.28515625" style="970" customWidth="1"/>
    <col min="10754" max="10754" width="17.7109375" style="970" customWidth="1"/>
    <col min="10755" max="10755" width="17" style="970" bestFit="1" customWidth="1"/>
    <col min="10756" max="10756" width="12.7109375" style="970" customWidth="1"/>
    <col min="10757" max="10757" width="13.7109375" style="970" customWidth="1"/>
    <col min="10758" max="10758" width="13.85546875" style="970" bestFit="1" customWidth="1"/>
    <col min="10759" max="10759" width="19.7109375" style="970" bestFit="1" customWidth="1"/>
    <col min="10760" max="10760" width="16.140625" style="970" customWidth="1"/>
    <col min="10761" max="10761" width="16.7109375" style="970" bestFit="1" customWidth="1"/>
    <col min="10762" max="10762" width="15.5703125" style="970" bestFit="1" customWidth="1"/>
    <col min="10763" max="10763" width="20.5703125" style="970" bestFit="1" customWidth="1"/>
    <col min="10764" max="10764" width="16.42578125" style="970" bestFit="1" customWidth="1"/>
    <col min="10765" max="10765" width="14.28515625" style="970" customWidth="1"/>
    <col min="10766" max="10766" width="12.85546875" style="970" bestFit="1" customWidth="1"/>
    <col min="10767" max="10767" width="11.28515625" style="970" bestFit="1" customWidth="1"/>
    <col min="10768" max="10768" width="12.5703125" style="970" bestFit="1" customWidth="1"/>
    <col min="10769" max="10769" width="14" style="970" bestFit="1" customWidth="1"/>
    <col min="10770" max="10770" width="6" style="970" bestFit="1" customWidth="1"/>
    <col min="10771" max="10771" width="15" style="970" customWidth="1"/>
    <col min="10772" max="10772" width="14.85546875" style="970" bestFit="1" customWidth="1"/>
    <col min="10773" max="10773" width="16.140625" style="970" bestFit="1" customWidth="1"/>
    <col min="10774" max="11000" width="9.140625" style="970"/>
    <col min="11001" max="11001" width="24" style="970" bestFit="1" customWidth="1"/>
    <col min="11002" max="11002" width="43.85546875" style="970" customWidth="1"/>
    <col min="11003" max="11003" width="19.7109375" style="970" bestFit="1" customWidth="1"/>
    <col min="11004" max="11004" width="12.42578125" style="970" bestFit="1" customWidth="1"/>
    <col min="11005" max="11005" width="16.28515625" style="970" bestFit="1" customWidth="1"/>
    <col min="11006" max="11006" width="13.42578125" style="970" customWidth="1"/>
    <col min="11007" max="11007" width="15.28515625" style="970" bestFit="1" customWidth="1"/>
    <col min="11008" max="11008" width="14.140625" style="970" bestFit="1" customWidth="1"/>
    <col min="11009" max="11009" width="15.28515625" style="970" customWidth="1"/>
    <col min="11010" max="11010" width="17.7109375" style="970" customWidth="1"/>
    <col min="11011" max="11011" width="17" style="970" bestFit="1" customWidth="1"/>
    <col min="11012" max="11012" width="12.7109375" style="970" customWidth="1"/>
    <col min="11013" max="11013" width="13.7109375" style="970" customWidth="1"/>
    <col min="11014" max="11014" width="13.85546875" style="970" bestFit="1" customWidth="1"/>
    <col min="11015" max="11015" width="19.7109375" style="970" bestFit="1" customWidth="1"/>
    <col min="11016" max="11016" width="16.140625" style="970" customWidth="1"/>
    <col min="11017" max="11017" width="16.7109375" style="970" bestFit="1" customWidth="1"/>
    <col min="11018" max="11018" width="15.5703125" style="970" bestFit="1" customWidth="1"/>
    <col min="11019" max="11019" width="20.5703125" style="970" bestFit="1" customWidth="1"/>
    <col min="11020" max="11020" width="16.42578125" style="970" bestFit="1" customWidth="1"/>
    <col min="11021" max="11021" width="14.28515625" style="970" customWidth="1"/>
    <col min="11022" max="11022" width="12.85546875" style="970" bestFit="1" customWidth="1"/>
    <col min="11023" max="11023" width="11.28515625" style="970" bestFit="1" customWidth="1"/>
    <col min="11024" max="11024" width="12.5703125" style="970" bestFit="1" customWidth="1"/>
    <col min="11025" max="11025" width="14" style="970" bestFit="1" customWidth="1"/>
    <col min="11026" max="11026" width="6" style="970" bestFit="1" customWidth="1"/>
    <col min="11027" max="11027" width="15" style="970" customWidth="1"/>
    <col min="11028" max="11028" width="14.85546875" style="970" bestFit="1" customWidth="1"/>
    <col min="11029" max="11029" width="16.140625" style="970" bestFit="1" customWidth="1"/>
    <col min="11030" max="11256" width="9.140625" style="970"/>
    <col min="11257" max="11257" width="24" style="970" bestFit="1" customWidth="1"/>
    <col min="11258" max="11258" width="43.85546875" style="970" customWidth="1"/>
    <col min="11259" max="11259" width="19.7109375" style="970" bestFit="1" customWidth="1"/>
    <col min="11260" max="11260" width="12.42578125" style="970" bestFit="1" customWidth="1"/>
    <col min="11261" max="11261" width="16.28515625" style="970" bestFit="1" customWidth="1"/>
    <col min="11262" max="11262" width="13.42578125" style="970" customWidth="1"/>
    <col min="11263" max="11263" width="15.28515625" style="970" bestFit="1" customWidth="1"/>
    <col min="11264" max="11264" width="14.140625" style="970" bestFit="1" customWidth="1"/>
    <col min="11265" max="11265" width="15.28515625" style="970" customWidth="1"/>
    <col min="11266" max="11266" width="17.7109375" style="970" customWidth="1"/>
    <col min="11267" max="11267" width="17" style="970" bestFit="1" customWidth="1"/>
    <col min="11268" max="11268" width="12.7109375" style="970" customWidth="1"/>
    <col min="11269" max="11269" width="13.7109375" style="970" customWidth="1"/>
    <col min="11270" max="11270" width="13.85546875" style="970" bestFit="1" customWidth="1"/>
    <col min="11271" max="11271" width="19.7109375" style="970" bestFit="1" customWidth="1"/>
    <col min="11272" max="11272" width="16.140625" style="970" customWidth="1"/>
    <col min="11273" max="11273" width="16.7109375" style="970" bestFit="1" customWidth="1"/>
    <col min="11274" max="11274" width="15.5703125" style="970" bestFit="1" customWidth="1"/>
    <col min="11275" max="11275" width="20.5703125" style="970" bestFit="1" customWidth="1"/>
    <col min="11276" max="11276" width="16.42578125" style="970" bestFit="1" customWidth="1"/>
    <col min="11277" max="11277" width="14.28515625" style="970" customWidth="1"/>
    <col min="11278" max="11278" width="12.85546875" style="970" bestFit="1" customWidth="1"/>
    <col min="11279" max="11279" width="11.28515625" style="970" bestFit="1" customWidth="1"/>
    <col min="11280" max="11280" width="12.5703125" style="970" bestFit="1" customWidth="1"/>
    <col min="11281" max="11281" width="14" style="970" bestFit="1" customWidth="1"/>
    <col min="11282" max="11282" width="6" style="970" bestFit="1" customWidth="1"/>
    <col min="11283" max="11283" width="15" style="970" customWidth="1"/>
    <col min="11284" max="11284" width="14.85546875" style="970" bestFit="1" customWidth="1"/>
    <col min="11285" max="11285" width="16.140625" style="970" bestFit="1" customWidth="1"/>
    <col min="11286" max="11512" width="9.140625" style="970"/>
    <col min="11513" max="11513" width="24" style="970" bestFit="1" customWidth="1"/>
    <col min="11514" max="11514" width="43.85546875" style="970" customWidth="1"/>
    <col min="11515" max="11515" width="19.7109375" style="970" bestFit="1" customWidth="1"/>
    <col min="11516" max="11516" width="12.42578125" style="970" bestFit="1" customWidth="1"/>
    <col min="11517" max="11517" width="16.28515625" style="970" bestFit="1" customWidth="1"/>
    <col min="11518" max="11518" width="13.42578125" style="970" customWidth="1"/>
    <col min="11519" max="11519" width="15.28515625" style="970" bestFit="1" customWidth="1"/>
    <col min="11520" max="11520" width="14.140625" style="970" bestFit="1" customWidth="1"/>
    <col min="11521" max="11521" width="15.28515625" style="970" customWidth="1"/>
    <col min="11522" max="11522" width="17.7109375" style="970" customWidth="1"/>
    <col min="11523" max="11523" width="17" style="970" bestFit="1" customWidth="1"/>
    <col min="11524" max="11524" width="12.7109375" style="970" customWidth="1"/>
    <col min="11525" max="11525" width="13.7109375" style="970" customWidth="1"/>
    <col min="11526" max="11526" width="13.85546875" style="970" bestFit="1" customWidth="1"/>
    <col min="11527" max="11527" width="19.7109375" style="970" bestFit="1" customWidth="1"/>
    <col min="11528" max="11528" width="16.140625" style="970" customWidth="1"/>
    <col min="11529" max="11529" width="16.7109375" style="970" bestFit="1" customWidth="1"/>
    <col min="11530" max="11530" width="15.5703125" style="970" bestFit="1" customWidth="1"/>
    <col min="11531" max="11531" width="20.5703125" style="970" bestFit="1" customWidth="1"/>
    <col min="11532" max="11532" width="16.42578125" style="970" bestFit="1" customWidth="1"/>
    <col min="11533" max="11533" width="14.28515625" style="970" customWidth="1"/>
    <col min="11534" max="11534" width="12.85546875" style="970" bestFit="1" customWidth="1"/>
    <col min="11535" max="11535" width="11.28515625" style="970" bestFit="1" customWidth="1"/>
    <col min="11536" max="11536" width="12.5703125" style="970" bestFit="1" customWidth="1"/>
    <col min="11537" max="11537" width="14" style="970" bestFit="1" customWidth="1"/>
    <col min="11538" max="11538" width="6" style="970" bestFit="1" customWidth="1"/>
    <col min="11539" max="11539" width="15" style="970" customWidth="1"/>
    <col min="11540" max="11540" width="14.85546875" style="970" bestFit="1" customWidth="1"/>
    <col min="11541" max="11541" width="16.140625" style="970" bestFit="1" customWidth="1"/>
    <col min="11542" max="11768" width="9.140625" style="970"/>
    <col min="11769" max="11769" width="24" style="970" bestFit="1" customWidth="1"/>
    <col min="11770" max="11770" width="43.85546875" style="970" customWidth="1"/>
    <col min="11771" max="11771" width="19.7109375" style="970" bestFit="1" customWidth="1"/>
    <col min="11772" max="11772" width="12.42578125" style="970" bestFit="1" customWidth="1"/>
    <col min="11773" max="11773" width="16.28515625" style="970" bestFit="1" customWidth="1"/>
    <col min="11774" max="11774" width="13.42578125" style="970" customWidth="1"/>
    <col min="11775" max="11775" width="15.28515625" style="970" bestFit="1" customWidth="1"/>
    <col min="11776" max="11776" width="14.140625" style="970" bestFit="1" customWidth="1"/>
    <col min="11777" max="11777" width="15.28515625" style="970" customWidth="1"/>
    <col min="11778" max="11778" width="17.7109375" style="970" customWidth="1"/>
    <col min="11779" max="11779" width="17" style="970" bestFit="1" customWidth="1"/>
    <col min="11780" max="11780" width="12.7109375" style="970" customWidth="1"/>
    <col min="11781" max="11781" width="13.7109375" style="970" customWidth="1"/>
    <col min="11782" max="11782" width="13.85546875" style="970" bestFit="1" customWidth="1"/>
    <col min="11783" max="11783" width="19.7109375" style="970" bestFit="1" customWidth="1"/>
    <col min="11784" max="11784" width="16.140625" style="970" customWidth="1"/>
    <col min="11785" max="11785" width="16.7109375" style="970" bestFit="1" customWidth="1"/>
    <col min="11786" max="11786" width="15.5703125" style="970" bestFit="1" customWidth="1"/>
    <col min="11787" max="11787" width="20.5703125" style="970" bestFit="1" customWidth="1"/>
    <col min="11788" max="11788" width="16.42578125" style="970" bestFit="1" customWidth="1"/>
    <col min="11789" max="11789" width="14.28515625" style="970" customWidth="1"/>
    <col min="11790" max="11790" width="12.85546875" style="970" bestFit="1" customWidth="1"/>
    <col min="11791" max="11791" width="11.28515625" style="970" bestFit="1" customWidth="1"/>
    <col min="11792" max="11792" width="12.5703125" style="970" bestFit="1" customWidth="1"/>
    <col min="11793" max="11793" width="14" style="970" bestFit="1" customWidth="1"/>
    <col min="11794" max="11794" width="6" style="970" bestFit="1" customWidth="1"/>
    <col min="11795" max="11795" width="15" style="970" customWidth="1"/>
    <col min="11796" max="11796" width="14.85546875" style="970" bestFit="1" customWidth="1"/>
    <col min="11797" max="11797" width="16.140625" style="970" bestFit="1" customWidth="1"/>
    <col min="11798" max="12024" width="9.140625" style="970"/>
    <col min="12025" max="12025" width="24" style="970" bestFit="1" customWidth="1"/>
    <col min="12026" max="12026" width="43.85546875" style="970" customWidth="1"/>
    <col min="12027" max="12027" width="19.7109375" style="970" bestFit="1" customWidth="1"/>
    <col min="12028" max="12028" width="12.42578125" style="970" bestFit="1" customWidth="1"/>
    <col min="12029" max="12029" width="16.28515625" style="970" bestFit="1" customWidth="1"/>
    <col min="12030" max="12030" width="13.42578125" style="970" customWidth="1"/>
    <col min="12031" max="12031" width="15.28515625" style="970" bestFit="1" customWidth="1"/>
    <col min="12032" max="12032" width="14.140625" style="970" bestFit="1" customWidth="1"/>
    <col min="12033" max="12033" width="15.28515625" style="970" customWidth="1"/>
    <col min="12034" max="12034" width="17.7109375" style="970" customWidth="1"/>
    <col min="12035" max="12035" width="17" style="970" bestFit="1" customWidth="1"/>
    <col min="12036" max="12036" width="12.7109375" style="970" customWidth="1"/>
    <col min="12037" max="12037" width="13.7109375" style="970" customWidth="1"/>
    <col min="12038" max="12038" width="13.85546875" style="970" bestFit="1" customWidth="1"/>
    <col min="12039" max="12039" width="19.7109375" style="970" bestFit="1" customWidth="1"/>
    <col min="12040" max="12040" width="16.140625" style="970" customWidth="1"/>
    <col min="12041" max="12041" width="16.7109375" style="970" bestFit="1" customWidth="1"/>
    <col min="12042" max="12042" width="15.5703125" style="970" bestFit="1" customWidth="1"/>
    <col min="12043" max="12043" width="20.5703125" style="970" bestFit="1" customWidth="1"/>
    <col min="12044" max="12044" width="16.42578125" style="970" bestFit="1" customWidth="1"/>
    <col min="12045" max="12045" width="14.28515625" style="970" customWidth="1"/>
    <col min="12046" max="12046" width="12.85546875" style="970" bestFit="1" customWidth="1"/>
    <col min="12047" max="12047" width="11.28515625" style="970" bestFit="1" customWidth="1"/>
    <col min="12048" max="12048" width="12.5703125" style="970" bestFit="1" customWidth="1"/>
    <col min="12049" max="12049" width="14" style="970" bestFit="1" customWidth="1"/>
    <col min="12050" max="12050" width="6" style="970" bestFit="1" customWidth="1"/>
    <col min="12051" max="12051" width="15" style="970" customWidth="1"/>
    <col min="12052" max="12052" width="14.85546875" style="970" bestFit="1" customWidth="1"/>
    <col min="12053" max="12053" width="16.140625" style="970" bestFit="1" customWidth="1"/>
    <col min="12054" max="12280" width="9.140625" style="970"/>
    <col min="12281" max="12281" width="24" style="970" bestFit="1" customWidth="1"/>
    <col min="12282" max="12282" width="43.85546875" style="970" customWidth="1"/>
    <col min="12283" max="12283" width="19.7109375" style="970" bestFit="1" customWidth="1"/>
    <col min="12284" max="12284" width="12.42578125" style="970" bestFit="1" customWidth="1"/>
    <col min="12285" max="12285" width="16.28515625" style="970" bestFit="1" customWidth="1"/>
    <col min="12286" max="12286" width="13.42578125" style="970" customWidth="1"/>
    <col min="12287" max="12287" width="15.28515625" style="970" bestFit="1" customWidth="1"/>
    <col min="12288" max="12288" width="14.140625" style="970" bestFit="1" customWidth="1"/>
    <col min="12289" max="12289" width="15.28515625" style="970" customWidth="1"/>
    <col min="12290" max="12290" width="17.7109375" style="970" customWidth="1"/>
    <col min="12291" max="12291" width="17" style="970" bestFit="1" customWidth="1"/>
    <col min="12292" max="12292" width="12.7109375" style="970" customWidth="1"/>
    <col min="12293" max="12293" width="13.7109375" style="970" customWidth="1"/>
    <col min="12294" max="12294" width="13.85546875" style="970" bestFit="1" customWidth="1"/>
    <col min="12295" max="12295" width="19.7109375" style="970" bestFit="1" customWidth="1"/>
    <col min="12296" max="12296" width="16.140625" style="970" customWidth="1"/>
    <col min="12297" max="12297" width="16.7109375" style="970" bestFit="1" customWidth="1"/>
    <col min="12298" max="12298" width="15.5703125" style="970" bestFit="1" customWidth="1"/>
    <col min="12299" max="12299" width="20.5703125" style="970" bestFit="1" customWidth="1"/>
    <col min="12300" max="12300" width="16.42578125" style="970" bestFit="1" customWidth="1"/>
    <col min="12301" max="12301" width="14.28515625" style="970" customWidth="1"/>
    <col min="12302" max="12302" width="12.85546875" style="970" bestFit="1" customWidth="1"/>
    <col min="12303" max="12303" width="11.28515625" style="970" bestFit="1" customWidth="1"/>
    <col min="12304" max="12304" width="12.5703125" style="970" bestFit="1" customWidth="1"/>
    <col min="12305" max="12305" width="14" style="970" bestFit="1" customWidth="1"/>
    <col min="12306" max="12306" width="6" style="970" bestFit="1" customWidth="1"/>
    <col min="12307" max="12307" width="15" style="970" customWidth="1"/>
    <col min="12308" max="12308" width="14.85546875" style="970" bestFit="1" customWidth="1"/>
    <col min="12309" max="12309" width="16.140625" style="970" bestFit="1" customWidth="1"/>
    <col min="12310" max="12536" width="9.140625" style="970"/>
    <col min="12537" max="12537" width="24" style="970" bestFit="1" customWidth="1"/>
    <col min="12538" max="12538" width="43.85546875" style="970" customWidth="1"/>
    <col min="12539" max="12539" width="19.7109375" style="970" bestFit="1" customWidth="1"/>
    <col min="12540" max="12540" width="12.42578125" style="970" bestFit="1" customWidth="1"/>
    <col min="12541" max="12541" width="16.28515625" style="970" bestFit="1" customWidth="1"/>
    <col min="12542" max="12542" width="13.42578125" style="970" customWidth="1"/>
    <col min="12543" max="12543" width="15.28515625" style="970" bestFit="1" customWidth="1"/>
    <col min="12544" max="12544" width="14.140625" style="970" bestFit="1" customWidth="1"/>
    <col min="12545" max="12545" width="15.28515625" style="970" customWidth="1"/>
    <col min="12546" max="12546" width="17.7109375" style="970" customWidth="1"/>
    <col min="12547" max="12547" width="17" style="970" bestFit="1" customWidth="1"/>
    <col min="12548" max="12548" width="12.7109375" style="970" customWidth="1"/>
    <col min="12549" max="12549" width="13.7109375" style="970" customWidth="1"/>
    <col min="12550" max="12550" width="13.85546875" style="970" bestFit="1" customWidth="1"/>
    <col min="12551" max="12551" width="19.7109375" style="970" bestFit="1" customWidth="1"/>
    <col min="12552" max="12552" width="16.140625" style="970" customWidth="1"/>
    <col min="12553" max="12553" width="16.7109375" style="970" bestFit="1" customWidth="1"/>
    <col min="12554" max="12554" width="15.5703125" style="970" bestFit="1" customWidth="1"/>
    <col min="12555" max="12555" width="20.5703125" style="970" bestFit="1" customWidth="1"/>
    <col min="12556" max="12556" width="16.42578125" style="970" bestFit="1" customWidth="1"/>
    <col min="12557" max="12557" width="14.28515625" style="970" customWidth="1"/>
    <col min="12558" max="12558" width="12.85546875" style="970" bestFit="1" customWidth="1"/>
    <col min="12559" max="12559" width="11.28515625" style="970" bestFit="1" customWidth="1"/>
    <col min="12560" max="12560" width="12.5703125" style="970" bestFit="1" customWidth="1"/>
    <col min="12561" max="12561" width="14" style="970" bestFit="1" customWidth="1"/>
    <col min="12562" max="12562" width="6" style="970" bestFit="1" customWidth="1"/>
    <col min="12563" max="12563" width="15" style="970" customWidth="1"/>
    <col min="12564" max="12564" width="14.85546875" style="970" bestFit="1" customWidth="1"/>
    <col min="12565" max="12565" width="16.140625" style="970" bestFit="1" customWidth="1"/>
    <col min="12566" max="12792" width="9.140625" style="970"/>
    <col min="12793" max="12793" width="24" style="970" bestFit="1" customWidth="1"/>
    <col min="12794" max="12794" width="43.85546875" style="970" customWidth="1"/>
    <col min="12795" max="12795" width="19.7109375" style="970" bestFit="1" customWidth="1"/>
    <col min="12796" max="12796" width="12.42578125" style="970" bestFit="1" customWidth="1"/>
    <col min="12797" max="12797" width="16.28515625" style="970" bestFit="1" customWidth="1"/>
    <col min="12798" max="12798" width="13.42578125" style="970" customWidth="1"/>
    <col min="12799" max="12799" width="15.28515625" style="970" bestFit="1" customWidth="1"/>
    <col min="12800" max="12800" width="14.140625" style="970" bestFit="1" customWidth="1"/>
    <col min="12801" max="12801" width="15.28515625" style="970" customWidth="1"/>
    <col min="12802" max="12802" width="17.7109375" style="970" customWidth="1"/>
    <col min="12803" max="12803" width="17" style="970" bestFit="1" customWidth="1"/>
    <col min="12804" max="12804" width="12.7109375" style="970" customWidth="1"/>
    <col min="12805" max="12805" width="13.7109375" style="970" customWidth="1"/>
    <col min="12806" max="12806" width="13.85546875" style="970" bestFit="1" customWidth="1"/>
    <col min="12807" max="12807" width="19.7109375" style="970" bestFit="1" customWidth="1"/>
    <col min="12808" max="12808" width="16.140625" style="970" customWidth="1"/>
    <col min="12809" max="12809" width="16.7109375" style="970" bestFit="1" customWidth="1"/>
    <col min="12810" max="12810" width="15.5703125" style="970" bestFit="1" customWidth="1"/>
    <col min="12811" max="12811" width="20.5703125" style="970" bestFit="1" customWidth="1"/>
    <col min="12812" max="12812" width="16.42578125" style="970" bestFit="1" customWidth="1"/>
    <col min="12813" max="12813" width="14.28515625" style="970" customWidth="1"/>
    <col min="12814" max="12814" width="12.85546875" style="970" bestFit="1" customWidth="1"/>
    <col min="12815" max="12815" width="11.28515625" style="970" bestFit="1" customWidth="1"/>
    <col min="12816" max="12816" width="12.5703125" style="970" bestFit="1" customWidth="1"/>
    <col min="12817" max="12817" width="14" style="970" bestFit="1" customWidth="1"/>
    <col min="12818" max="12818" width="6" style="970" bestFit="1" customWidth="1"/>
    <col min="12819" max="12819" width="15" style="970" customWidth="1"/>
    <col min="12820" max="12820" width="14.85546875" style="970" bestFit="1" customWidth="1"/>
    <col min="12821" max="12821" width="16.140625" style="970" bestFit="1" customWidth="1"/>
    <col min="12822" max="13048" width="9.140625" style="970"/>
    <col min="13049" max="13049" width="24" style="970" bestFit="1" customWidth="1"/>
    <col min="13050" max="13050" width="43.85546875" style="970" customWidth="1"/>
    <col min="13051" max="13051" width="19.7109375" style="970" bestFit="1" customWidth="1"/>
    <col min="13052" max="13052" width="12.42578125" style="970" bestFit="1" customWidth="1"/>
    <col min="13053" max="13053" width="16.28515625" style="970" bestFit="1" customWidth="1"/>
    <col min="13054" max="13054" width="13.42578125" style="970" customWidth="1"/>
    <col min="13055" max="13055" width="15.28515625" style="970" bestFit="1" customWidth="1"/>
    <col min="13056" max="13056" width="14.140625" style="970" bestFit="1" customWidth="1"/>
    <col min="13057" max="13057" width="15.28515625" style="970" customWidth="1"/>
    <col min="13058" max="13058" width="17.7109375" style="970" customWidth="1"/>
    <col min="13059" max="13059" width="17" style="970" bestFit="1" customWidth="1"/>
    <col min="13060" max="13060" width="12.7109375" style="970" customWidth="1"/>
    <col min="13061" max="13061" width="13.7109375" style="970" customWidth="1"/>
    <col min="13062" max="13062" width="13.85546875" style="970" bestFit="1" customWidth="1"/>
    <col min="13063" max="13063" width="19.7109375" style="970" bestFit="1" customWidth="1"/>
    <col min="13064" max="13064" width="16.140625" style="970" customWidth="1"/>
    <col min="13065" max="13065" width="16.7109375" style="970" bestFit="1" customWidth="1"/>
    <col min="13066" max="13066" width="15.5703125" style="970" bestFit="1" customWidth="1"/>
    <col min="13067" max="13067" width="20.5703125" style="970" bestFit="1" customWidth="1"/>
    <col min="13068" max="13068" width="16.42578125" style="970" bestFit="1" customWidth="1"/>
    <col min="13069" max="13069" width="14.28515625" style="970" customWidth="1"/>
    <col min="13070" max="13070" width="12.85546875" style="970" bestFit="1" customWidth="1"/>
    <col min="13071" max="13071" width="11.28515625" style="970" bestFit="1" customWidth="1"/>
    <col min="13072" max="13072" width="12.5703125" style="970" bestFit="1" customWidth="1"/>
    <col min="13073" max="13073" width="14" style="970" bestFit="1" customWidth="1"/>
    <col min="13074" max="13074" width="6" style="970" bestFit="1" customWidth="1"/>
    <col min="13075" max="13075" width="15" style="970" customWidth="1"/>
    <col min="13076" max="13076" width="14.85546875" style="970" bestFit="1" customWidth="1"/>
    <col min="13077" max="13077" width="16.140625" style="970" bestFit="1" customWidth="1"/>
    <col min="13078" max="13304" width="9.140625" style="970"/>
    <col min="13305" max="13305" width="24" style="970" bestFit="1" customWidth="1"/>
    <col min="13306" max="13306" width="43.85546875" style="970" customWidth="1"/>
    <col min="13307" max="13307" width="19.7109375" style="970" bestFit="1" customWidth="1"/>
    <col min="13308" max="13308" width="12.42578125" style="970" bestFit="1" customWidth="1"/>
    <col min="13309" max="13309" width="16.28515625" style="970" bestFit="1" customWidth="1"/>
    <col min="13310" max="13310" width="13.42578125" style="970" customWidth="1"/>
    <col min="13311" max="13311" width="15.28515625" style="970" bestFit="1" customWidth="1"/>
    <col min="13312" max="13312" width="14.140625" style="970" bestFit="1" customWidth="1"/>
    <col min="13313" max="13313" width="15.28515625" style="970" customWidth="1"/>
    <col min="13314" max="13314" width="17.7109375" style="970" customWidth="1"/>
    <col min="13315" max="13315" width="17" style="970" bestFit="1" customWidth="1"/>
    <col min="13316" max="13316" width="12.7109375" style="970" customWidth="1"/>
    <col min="13317" max="13317" width="13.7109375" style="970" customWidth="1"/>
    <col min="13318" max="13318" width="13.85546875" style="970" bestFit="1" customWidth="1"/>
    <col min="13319" max="13319" width="19.7109375" style="970" bestFit="1" customWidth="1"/>
    <col min="13320" max="13320" width="16.140625" style="970" customWidth="1"/>
    <col min="13321" max="13321" width="16.7109375" style="970" bestFit="1" customWidth="1"/>
    <col min="13322" max="13322" width="15.5703125" style="970" bestFit="1" customWidth="1"/>
    <col min="13323" max="13323" width="20.5703125" style="970" bestFit="1" customWidth="1"/>
    <col min="13324" max="13324" width="16.42578125" style="970" bestFit="1" customWidth="1"/>
    <col min="13325" max="13325" width="14.28515625" style="970" customWidth="1"/>
    <col min="13326" max="13326" width="12.85546875" style="970" bestFit="1" customWidth="1"/>
    <col min="13327" max="13327" width="11.28515625" style="970" bestFit="1" customWidth="1"/>
    <col min="13328" max="13328" width="12.5703125" style="970" bestFit="1" customWidth="1"/>
    <col min="13329" max="13329" width="14" style="970" bestFit="1" customWidth="1"/>
    <col min="13330" max="13330" width="6" style="970" bestFit="1" customWidth="1"/>
    <col min="13331" max="13331" width="15" style="970" customWidth="1"/>
    <col min="13332" max="13332" width="14.85546875" style="970" bestFit="1" customWidth="1"/>
    <col min="13333" max="13333" width="16.140625" style="970" bestFit="1" customWidth="1"/>
    <col min="13334" max="13560" width="9.140625" style="970"/>
    <col min="13561" max="13561" width="24" style="970" bestFit="1" customWidth="1"/>
    <col min="13562" max="13562" width="43.85546875" style="970" customWidth="1"/>
    <col min="13563" max="13563" width="19.7109375" style="970" bestFit="1" customWidth="1"/>
    <col min="13564" max="13564" width="12.42578125" style="970" bestFit="1" customWidth="1"/>
    <col min="13565" max="13565" width="16.28515625" style="970" bestFit="1" customWidth="1"/>
    <col min="13566" max="13566" width="13.42578125" style="970" customWidth="1"/>
    <col min="13567" max="13567" width="15.28515625" style="970" bestFit="1" customWidth="1"/>
    <col min="13568" max="13568" width="14.140625" style="970" bestFit="1" customWidth="1"/>
    <col min="13569" max="13569" width="15.28515625" style="970" customWidth="1"/>
    <col min="13570" max="13570" width="17.7109375" style="970" customWidth="1"/>
    <col min="13571" max="13571" width="17" style="970" bestFit="1" customWidth="1"/>
    <col min="13572" max="13572" width="12.7109375" style="970" customWidth="1"/>
    <col min="13573" max="13573" width="13.7109375" style="970" customWidth="1"/>
    <col min="13574" max="13574" width="13.85546875" style="970" bestFit="1" customWidth="1"/>
    <col min="13575" max="13575" width="19.7109375" style="970" bestFit="1" customWidth="1"/>
    <col min="13576" max="13576" width="16.140625" style="970" customWidth="1"/>
    <col min="13577" max="13577" width="16.7109375" style="970" bestFit="1" customWidth="1"/>
    <col min="13578" max="13578" width="15.5703125" style="970" bestFit="1" customWidth="1"/>
    <col min="13579" max="13579" width="20.5703125" style="970" bestFit="1" customWidth="1"/>
    <col min="13580" max="13580" width="16.42578125" style="970" bestFit="1" customWidth="1"/>
    <col min="13581" max="13581" width="14.28515625" style="970" customWidth="1"/>
    <col min="13582" max="13582" width="12.85546875" style="970" bestFit="1" customWidth="1"/>
    <col min="13583" max="13583" width="11.28515625" style="970" bestFit="1" customWidth="1"/>
    <col min="13584" max="13584" width="12.5703125" style="970" bestFit="1" customWidth="1"/>
    <col min="13585" max="13585" width="14" style="970" bestFit="1" customWidth="1"/>
    <col min="13586" max="13586" width="6" style="970" bestFit="1" customWidth="1"/>
    <col min="13587" max="13587" width="15" style="970" customWidth="1"/>
    <col min="13588" max="13588" width="14.85546875" style="970" bestFit="1" customWidth="1"/>
    <col min="13589" max="13589" width="16.140625" style="970" bestFit="1" customWidth="1"/>
    <col min="13590" max="13816" width="9.140625" style="970"/>
    <col min="13817" max="13817" width="24" style="970" bestFit="1" customWidth="1"/>
    <col min="13818" max="13818" width="43.85546875" style="970" customWidth="1"/>
    <col min="13819" max="13819" width="19.7109375" style="970" bestFit="1" customWidth="1"/>
    <col min="13820" max="13820" width="12.42578125" style="970" bestFit="1" customWidth="1"/>
    <col min="13821" max="13821" width="16.28515625" style="970" bestFit="1" customWidth="1"/>
    <col min="13822" max="13822" width="13.42578125" style="970" customWidth="1"/>
    <col min="13823" max="13823" width="15.28515625" style="970" bestFit="1" customWidth="1"/>
    <col min="13824" max="13824" width="14.140625" style="970" bestFit="1" customWidth="1"/>
    <col min="13825" max="13825" width="15.28515625" style="970" customWidth="1"/>
    <col min="13826" max="13826" width="17.7109375" style="970" customWidth="1"/>
    <col min="13827" max="13827" width="17" style="970" bestFit="1" customWidth="1"/>
    <col min="13828" max="13828" width="12.7109375" style="970" customWidth="1"/>
    <col min="13829" max="13829" width="13.7109375" style="970" customWidth="1"/>
    <col min="13830" max="13830" width="13.85546875" style="970" bestFit="1" customWidth="1"/>
    <col min="13831" max="13831" width="19.7109375" style="970" bestFit="1" customWidth="1"/>
    <col min="13832" max="13832" width="16.140625" style="970" customWidth="1"/>
    <col min="13833" max="13833" width="16.7109375" style="970" bestFit="1" customWidth="1"/>
    <col min="13834" max="13834" width="15.5703125" style="970" bestFit="1" customWidth="1"/>
    <col min="13835" max="13835" width="20.5703125" style="970" bestFit="1" customWidth="1"/>
    <col min="13836" max="13836" width="16.42578125" style="970" bestFit="1" customWidth="1"/>
    <col min="13837" max="13837" width="14.28515625" style="970" customWidth="1"/>
    <col min="13838" max="13838" width="12.85546875" style="970" bestFit="1" customWidth="1"/>
    <col min="13839" max="13839" width="11.28515625" style="970" bestFit="1" customWidth="1"/>
    <col min="13840" max="13840" width="12.5703125" style="970" bestFit="1" customWidth="1"/>
    <col min="13841" max="13841" width="14" style="970" bestFit="1" customWidth="1"/>
    <col min="13842" max="13842" width="6" style="970" bestFit="1" customWidth="1"/>
    <col min="13843" max="13843" width="15" style="970" customWidth="1"/>
    <col min="13844" max="13844" width="14.85546875" style="970" bestFit="1" customWidth="1"/>
    <col min="13845" max="13845" width="16.140625" style="970" bestFit="1" customWidth="1"/>
    <col min="13846" max="14072" width="9.140625" style="970"/>
    <col min="14073" max="14073" width="24" style="970" bestFit="1" customWidth="1"/>
    <col min="14074" max="14074" width="43.85546875" style="970" customWidth="1"/>
    <col min="14075" max="14075" width="19.7109375" style="970" bestFit="1" customWidth="1"/>
    <col min="14076" max="14076" width="12.42578125" style="970" bestFit="1" customWidth="1"/>
    <col min="14077" max="14077" width="16.28515625" style="970" bestFit="1" customWidth="1"/>
    <col min="14078" max="14078" width="13.42578125" style="970" customWidth="1"/>
    <col min="14079" max="14079" width="15.28515625" style="970" bestFit="1" customWidth="1"/>
    <col min="14080" max="14080" width="14.140625" style="970" bestFit="1" customWidth="1"/>
    <col min="14081" max="14081" width="15.28515625" style="970" customWidth="1"/>
    <col min="14082" max="14082" width="17.7109375" style="970" customWidth="1"/>
    <col min="14083" max="14083" width="17" style="970" bestFit="1" customWidth="1"/>
    <col min="14084" max="14084" width="12.7109375" style="970" customWidth="1"/>
    <col min="14085" max="14085" width="13.7109375" style="970" customWidth="1"/>
    <col min="14086" max="14086" width="13.85546875" style="970" bestFit="1" customWidth="1"/>
    <col min="14087" max="14087" width="19.7109375" style="970" bestFit="1" customWidth="1"/>
    <col min="14088" max="14088" width="16.140625" style="970" customWidth="1"/>
    <col min="14089" max="14089" width="16.7109375" style="970" bestFit="1" customWidth="1"/>
    <col min="14090" max="14090" width="15.5703125" style="970" bestFit="1" customWidth="1"/>
    <col min="14091" max="14091" width="20.5703125" style="970" bestFit="1" customWidth="1"/>
    <col min="14092" max="14092" width="16.42578125" style="970" bestFit="1" customWidth="1"/>
    <col min="14093" max="14093" width="14.28515625" style="970" customWidth="1"/>
    <col min="14094" max="14094" width="12.85546875" style="970" bestFit="1" customWidth="1"/>
    <col min="14095" max="14095" width="11.28515625" style="970" bestFit="1" customWidth="1"/>
    <col min="14096" max="14096" width="12.5703125" style="970" bestFit="1" customWidth="1"/>
    <col min="14097" max="14097" width="14" style="970" bestFit="1" customWidth="1"/>
    <col min="14098" max="14098" width="6" style="970" bestFit="1" customWidth="1"/>
    <col min="14099" max="14099" width="15" style="970" customWidth="1"/>
    <col min="14100" max="14100" width="14.85546875" style="970" bestFit="1" customWidth="1"/>
    <col min="14101" max="14101" width="16.140625" style="970" bestFit="1" customWidth="1"/>
    <col min="14102" max="14328" width="9.140625" style="970"/>
    <col min="14329" max="14329" width="24" style="970" bestFit="1" customWidth="1"/>
    <col min="14330" max="14330" width="43.85546875" style="970" customWidth="1"/>
    <col min="14331" max="14331" width="19.7109375" style="970" bestFit="1" customWidth="1"/>
    <col min="14332" max="14332" width="12.42578125" style="970" bestFit="1" customWidth="1"/>
    <col min="14333" max="14333" width="16.28515625" style="970" bestFit="1" customWidth="1"/>
    <col min="14334" max="14334" width="13.42578125" style="970" customWidth="1"/>
    <col min="14335" max="14335" width="15.28515625" style="970" bestFit="1" customWidth="1"/>
    <col min="14336" max="14336" width="14.140625" style="970" bestFit="1" customWidth="1"/>
    <col min="14337" max="14337" width="15.28515625" style="970" customWidth="1"/>
    <col min="14338" max="14338" width="17.7109375" style="970" customWidth="1"/>
    <col min="14339" max="14339" width="17" style="970" bestFit="1" customWidth="1"/>
    <col min="14340" max="14340" width="12.7109375" style="970" customWidth="1"/>
    <col min="14341" max="14341" width="13.7109375" style="970" customWidth="1"/>
    <col min="14342" max="14342" width="13.85546875" style="970" bestFit="1" customWidth="1"/>
    <col min="14343" max="14343" width="19.7109375" style="970" bestFit="1" customWidth="1"/>
    <col min="14344" max="14344" width="16.140625" style="970" customWidth="1"/>
    <col min="14345" max="14345" width="16.7109375" style="970" bestFit="1" customWidth="1"/>
    <col min="14346" max="14346" width="15.5703125" style="970" bestFit="1" customWidth="1"/>
    <col min="14347" max="14347" width="20.5703125" style="970" bestFit="1" customWidth="1"/>
    <col min="14348" max="14348" width="16.42578125" style="970" bestFit="1" customWidth="1"/>
    <col min="14349" max="14349" width="14.28515625" style="970" customWidth="1"/>
    <col min="14350" max="14350" width="12.85546875" style="970" bestFit="1" customWidth="1"/>
    <col min="14351" max="14351" width="11.28515625" style="970" bestFit="1" customWidth="1"/>
    <col min="14352" max="14352" width="12.5703125" style="970" bestFit="1" customWidth="1"/>
    <col min="14353" max="14353" width="14" style="970" bestFit="1" customWidth="1"/>
    <col min="14354" max="14354" width="6" style="970" bestFit="1" customWidth="1"/>
    <col min="14355" max="14355" width="15" style="970" customWidth="1"/>
    <col min="14356" max="14356" width="14.85546875" style="970" bestFit="1" customWidth="1"/>
    <col min="14357" max="14357" width="16.140625" style="970" bestFit="1" customWidth="1"/>
    <col min="14358" max="14584" width="9.140625" style="970"/>
    <col min="14585" max="14585" width="24" style="970" bestFit="1" customWidth="1"/>
    <col min="14586" max="14586" width="43.85546875" style="970" customWidth="1"/>
    <col min="14587" max="14587" width="19.7109375" style="970" bestFit="1" customWidth="1"/>
    <col min="14588" max="14588" width="12.42578125" style="970" bestFit="1" customWidth="1"/>
    <col min="14589" max="14589" width="16.28515625" style="970" bestFit="1" customWidth="1"/>
    <col min="14590" max="14590" width="13.42578125" style="970" customWidth="1"/>
    <col min="14591" max="14591" width="15.28515625" style="970" bestFit="1" customWidth="1"/>
    <col min="14592" max="14592" width="14.140625" style="970" bestFit="1" customWidth="1"/>
    <col min="14593" max="14593" width="15.28515625" style="970" customWidth="1"/>
    <col min="14594" max="14594" width="17.7109375" style="970" customWidth="1"/>
    <col min="14595" max="14595" width="17" style="970" bestFit="1" customWidth="1"/>
    <col min="14596" max="14596" width="12.7109375" style="970" customWidth="1"/>
    <col min="14597" max="14597" width="13.7109375" style="970" customWidth="1"/>
    <col min="14598" max="14598" width="13.85546875" style="970" bestFit="1" customWidth="1"/>
    <col min="14599" max="14599" width="19.7109375" style="970" bestFit="1" customWidth="1"/>
    <col min="14600" max="14600" width="16.140625" style="970" customWidth="1"/>
    <col min="14601" max="14601" width="16.7109375" style="970" bestFit="1" customWidth="1"/>
    <col min="14602" max="14602" width="15.5703125" style="970" bestFit="1" customWidth="1"/>
    <col min="14603" max="14603" width="20.5703125" style="970" bestFit="1" customWidth="1"/>
    <col min="14604" max="14604" width="16.42578125" style="970" bestFit="1" customWidth="1"/>
    <col min="14605" max="14605" width="14.28515625" style="970" customWidth="1"/>
    <col min="14606" max="14606" width="12.85546875" style="970" bestFit="1" customWidth="1"/>
    <col min="14607" max="14607" width="11.28515625" style="970" bestFit="1" customWidth="1"/>
    <col min="14608" max="14608" width="12.5703125" style="970" bestFit="1" customWidth="1"/>
    <col min="14609" max="14609" width="14" style="970" bestFit="1" customWidth="1"/>
    <col min="14610" max="14610" width="6" style="970" bestFit="1" customWidth="1"/>
    <col min="14611" max="14611" width="15" style="970" customWidth="1"/>
    <col min="14612" max="14612" width="14.85546875" style="970" bestFit="1" customWidth="1"/>
    <col min="14613" max="14613" width="16.140625" style="970" bestFit="1" customWidth="1"/>
    <col min="14614" max="14840" width="9.140625" style="970"/>
    <col min="14841" max="14841" width="24" style="970" bestFit="1" customWidth="1"/>
    <col min="14842" max="14842" width="43.85546875" style="970" customWidth="1"/>
    <col min="14843" max="14843" width="19.7109375" style="970" bestFit="1" customWidth="1"/>
    <col min="14844" max="14844" width="12.42578125" style="970" bestFit="1" customWidth="1"/>
    <col min="14845" max="14845" width="16.28515625" style="970" bestFit="1" customWidth="1"/>
    <col min="14846" max="14846" width="13.42578125" style="970" customWidth="1"/>
    <col min="14847" max="14847" width="15.28515625" style="970" bestFit="1" customWidth="1"/>
    <col min="14848" max="14848" width="14.140625" style="970" bestFit="1" customWidth="1"/>
    <col min="14849" max="14849" width="15.28515625" style="970" customWidth="1"/>
    <col min="14850" max="14850" width="17.7109375" style="970" customWidth="1"/>
    <col min="14851" max="14851" width="17" style="970" bestFit="1" customWidth="1"/>
    <col min="14852" max="14852" width="12.7109375" style="970" customWidth="1"/>
    <col min="14853" max="14853" width="13.7109375" style="970" customWidth="1"/>
    <col min="14854" max="14854" width="13.85546875" style="970" bestFit="1" customWidth="1"/>
    <col min="14855" max="14855" width="19.7109375" style="970" bestFit="1" customWidth="1"/>
    <col min="14856" max="14856" width="16.140625" style="970" customWidth="1"/>
    <col min="14857" max="14857" width="16.7109375" style="970" bestFit="1" customWidth="1"/>
    <col min="14858" max="14858" width="15.5703125" style="970" bestFit="1" customWidth="1"/>
    <col min="14859" max="14859" width="20.5703125" style="970" bestFit="1" customWidth="1"/>
    <col min="14860" max="14860" width="16.42578125" style="970" bestFit="1" customWidth="1"/>
    <col min="14861" max="14861" width="14.28515625" style="970" customWidth="1"/>
    <col min="14862" max="14862" width="12.85546875" style="970" bestFit="1" customWidth="1"/>
    <col min="14863" max="14863" width="11.28515625" style="970" bestFit="1" customWidth="1"/>
    <col min="14864" max="14864" width="12.5703125" style="970" bestFit="1" customWidth="1"/>
    <col min="14865" max="14865" width="14" style="970" bestFit="1" customWidth="1"/>
    <col min="14866" max="14866" width="6" style="970" bestFit="1" customWidth="1"/>
    <col min="14867" max="14867" width="15" style="970" customWidth="1"/>
    <col min="14868" max="14868" width="14.85546875" style="970" bestFit="1" customWidth="1"/>
    <col min="14869" max="14869" width="16.140625" style="970" bestFit="1" customWidth="1"/>
    <col min="14870" max="15096" width="9.140625" style="970"/>
    <col min="15097" max="15097" width="24" style="970" bestFit="1" customWidth="1"/>
    <col min="15098" max="15098" width="43.85546875" style="970" customWidth="1"/>
    <col min="15099" max="15099" width="19.7109375" style="970" bestFit="1" customWidth="1"/>
    <col min="15100" max="15100" width="12.42578125" style="970" bestFit="1" customWidth="1"/>
    <col min="15101" max="15101" width="16.28515625" style="970" bestFit="1" customWidth="1"/>
    <col min="15102" max="15102" width="13.42578125" style="970" customWidth="1"/>
    <col min="15103" max="15103" width="15.28515625" style="970" bestFit="1" customWidth="1"/>
    <col min="15104" max="15104" width="14.140625" style="970" bestFit="1" customWidth="1"/>
    <col min="15105" max="15105" width="15.28515625" style="970" customWidth="1"/>
    <col min="15106" max="15106" width="17.7109375" style="970" customWidth="1"/>
    <col min="15107" max="15107" width="17" style="970" bestFit="1" customWidth="1"/>
    <col min="15108" max="15108" width="12.7109375" style="970" customWidth="1"/>
    <col min="15109" max="15109" width="13.7109375" style="970" customWidth="1"/>
    <col min="15110" max="15110" width="13.85546875" style="970" bestFit="1" customWidth="1"/>
    <col min="15111" max="15111" width="19.7109375" style="970" bestFit="1" customWidth="1"/>
    <col min="15112" max="15112" width="16.140625" style="970" customWidth="1"/>
    <col min="15113" max="15113" width="16.7109375" style="970" bestFit="1" customWidth="1"/>
    <col min="15114" max="15114" width="15.5703125" style="970" bestFit="1" customWidth="1"/>
    <col min="15115" max="15115" width="20.5703125" style="970" bestFit="1" customWidth="1"/>
    <col min="15116" max="15116" width="16.42578125" style="970" bestFit="1" customWidth="1"/>
    <col min="15117" max="15117" width="14.28515625" style="970" customWidth="1"/>
    <col min="15118" max="15118" width="12.85546875" style="970" bestFit="1" customWidth="1"/>
    <col min="15119" max="15119" width="11.28515625" style="970" bestFit="1" customWidth="1"/>
    <col min="15120" max="15120" width="12.5703125" style="970" bestFit="1" customWidth="1"/>
    <col min="15121" max="15121" width="14" style="970" bestFit="1" customWidth="1"/>
    <col min="15122" max="15122" width="6" style="970" bestFit="1" customWidth="1"/>
    <col min="15123" max="15123" width="15" style="970" customWidth="1"/>
    <col min="15124" max="15124" width="14.85546875" style="970" bestFit="1" customWidth="1"/>
    <col min="15125" max="15125" width="16.140625" style="970" bestFit="1" customWidth="1"/>
    <col min="15126" max="15352" width="9.140625" style="970"/>
    <col min="15353" max="15353" width="24" style="970" bestFit="1" customWidth="1"/>
    <col min="15354" max="15354" width="43.85546875" style="970" customWidth="1"/>
    <col min="15355" max="15355" width="19.7109375" style="970" bestFit="1" customWidth="1"/>
    <col min="15356" max="15356" width="12.42578125" style="970" bestFit="1" customWidth="1"/>
    <col min="15357" max="15357" width="16.28515625" style="970" bestFit="1" customWidth="1"/>
    <col min="15358" max="15358" width="13.42578125" style="970" customWidth="1"/>
    <col min="15359" max="15359" width="15.28515625" style="970" bestFit="1" customWidth="1"/>
    <col min="15360" max="15360" width="14.140625" style="970" bestFit="1" customWidth="1"/>
    <col min="15361" max="15361" width="15.28515625" style="970" customWidth="1"/>
    <col min="15362" max="15362" width="17.7109375" style="970" customWidth="1"/>
    <col min="15363" max="15363" width="17" style="970" bestFit="1" customWidth="1"/>
    <col min="15364" max="15364" width="12.7109375" style="970" customWidth="1"/>
    <col min="15365" max="15365" width="13.7109375" style="970" customWidth="1"/>
    <col min="15366" max="15366" width="13.85546875" style="970" bestFit="1" customWidth="1"/>
    <col min="15367" max="15367" width="19.7109375" style="970" bestFit="1" customWidth="1"/>
    <col min="15368" max="15368" width="16.140625" style="970" customWidth="1"/>
    <col min="15369" max="15369" width="16.7109375" style="970" bestFit="1" customWidth="1"/>
    <col min="15370" max="15370" width="15.5703125" style="970" bestFit="1" customWidth="1"/>
    <col min="15371" max="15371" width="20.5703125" style="970" bestFit="1" customWidth="1"/>
    <col min="15372" max="15372" width="16.42578125" style="970" bestFit="1" customWidth="1"/>
    <col min="15373" max="15373" width="14.28515625" style="970" customWidth="1"/>
    <col min="15374" max="15374" width="12.85546875" style="970" bestFit="1" customWidth="1"/>
    <col min="15375" max="15375" width="11.28515625" style="970" bestFit="1" customWidth="1"/>
    <col min="15376" max="15376" width="12.5703125" style="970" bestFit="1" customWidth="1"/>
    <col min="15377" max="15377" width="14" style="970" bestFit="1" customWidth="1"/>
    <col min="15378" max="15378" width="6" style="970" bestFit="1" customWidth="1"/>
    <col min="15379" max="15379" width="15" style="970" customWidth="1"/>
    <col min="15380" max="15380" width="14.85546875" style="970" bestFit="1" customWidth="1"/>
    <col min="15381" max="15381" width="16.140625" style="970" bestFit="1" customWidth="1"/>
    <col min="15382" max="15608" width="9.140625" style="970"/>
    <col min="15609" max="15609" width="24" style="970" bestFit="1" customWidth="1"/>
    <col min="15610" max="15610" width="43.85546875" style="970" customWidth="1"/>
    <col min="15611" max="15611" width="19.7109375" style="970" bestFit="1" customWidth="1"/>
    <col min="15612" max="15612" width="12.42578125" style="970" bestFit="1" customWidth="1"/>
    <col min="15613" max="15613" width="16.28515625" style="970" bestFit="1" customWidth="1"/>
    <col min="15614" max="15614" width="13.42578125" style="970" customWidth="1"/>
    <col min="15615" max="15615" width="15.28515625" style="970" bestFit="1" customWidth="1"/>
    <col min="15616" max="15616" width="14.140625" style="970" bestFit="1" customWidth="1"/>
    <col min="15617" max="15617" width="15.28515625" style="970" customWidth="1"/>
    <col min="15618" max="15618" width="17.7109375" style="970" customWidth="1"/>
    <col min="15619" max="15619" width="17" style="970" bestFit="1" customWidth="1"/>
    <col min="15620" max="15620" width="12.7109375" style="970" customWidth="1"/>
    <col min="15621" max="15621" width="13.7109375" style="970" customWidth="1"/>
    <col min="15622" max="15622" width="13.85546875" style="970" bestFit="1" customWidth="1"/>
    <col min="15623" max="15623" width="19.7109375" style="970" bestFit="1" customWidth="1"/>
    <col min="15624" max="15624" width="16.140625" style="970" customWidth="1"/>
    <col min="15625" max="15625" width="16.7109375" style="970" bestFit="1" customWidth="1"/>
    <col min="15626" max="15626" width="15.5703125" style="970" bestFit="1" customWidth="1"/>
    <col min="15627" max="15627" width="20.5703125" style="970" bestFit="1" customWidth="1"/>
    <col min="15628" max="15628" width="16.42578125" style="970" bestFit="1" customWidth="1"/>
    <col min="15629" max="15629" width="14.28515625" style="970" customWidth="1"/>
    <col min="15630" max="15630" width="12.85546875" style="970" bestFit="1" customWidth="1"/>
    <col min="15631" max="15631" width="11.28515625" style="970" bestFit="1" customWidth="1"/>
    <col min="15632" max="15632" width="12.5703125" style="970" bestFit="1" customWidth="1"/>
    <col min="15633" max="15633" width="14" style="970" bestFit="1" customWidth="1"/>
    <col min="15634" max="15634" width="6" style="970" bestFit="1" customWidth="1"/>
    <col min="15635" max="15635" width="15" style="970" customWidth="1"/>
    <col min="15636" max="15636" width="14.85546875" style="970" bestFit="1" customWidth="1"/>
    <col min="15637" max="15637" width="16.140625" style="970" bestFit="1" customWidth="1"/>
    <col min="15638" max="15864" width="9.140625" style="970"/>
    <col min="15865" max="15865" width="24" style="970" bestFit="1" customWidth="1"/>
    <col min="15866" max="15866" width="43.85546875" style="970" customWidth="1"/>
    <col min="15867" max="15867" width="19.7109375" style="970" bestFit="1" customWidth="1"/>
    <col min="15868" max="15868" width="12.42578125" style="970" bestFit="1" customWidth="1"/>
    <col min="15869" max="15869" width="16.28515625" style="970" bestFit="1" customWidth="1"/>
    <col min="15870" max="15870" width="13.42578125" style="970" customWidth="1"/>
    <col min="15871" max="15871" width="15.28515625" style="970" bestFit="1" customWidth="1"/>
    <col min="15872" max="15872" width="14.140625" style="970" bestFit="1" customWidth="1"/>
    <col min="15873" max="15873" width="15.28515625" style="970" customWidth="1"/>
    <col min="15874" max="15874" width="17.7109375" style="970" customWidth="1"/>
    <col min="15875" max="15875" width="17" style="970" bestFit="1" customWidth="1"/>
    <col min="15876" max="15876" width="12.7109375" style="970" customWidth="1"/>
    <col min="15877" max="15877" width="13.7109375" style="970" customWidth="1"/>
    <col min="15878" max="15878" width="13.85546875" style="970" bestFit="1" customWidth="1"/>
    <col min="15879" max="15879" width="19.7109375" style="970" bestFit="1" customWidth="1"/>
    <col min="15880" max="15880" width="16.140625" style="970" customWidth="1"/>
    <col min="15881" max="15881" width="16.7109375" style="970" bestFit="1" customWidth="1"/>
    <col min="15882" max="15882" width="15.5703125" style="970" bestFit="1" customWidth="1"/>
    <col min="15883" max="15883" width="20.5703125" style="970" bestFit="1" customWidth="1"/>
    <col min="15884" max="15884" width="16.42578125" style="970" bestFit="1" customWidth="1"/>
    <col min="15885" max="15885" width="14.28515625" style="970" customWidth="1"/>
    <col min="15886" max="15886" width="12.85546875" style="970" bestFit="1" customWidth="1"/>
    <col min="15887" max="15887" width="11.28515625" style="970" bestFit="1" customWidth="1"/>
    <col min="15888" max="15888" width="12.5703125" style="970" bestFit="1" customWidth="1"/>
    <col min="15889" max="15889" width="14" style="970" bestFit="1" customWidth="1"/>
    <col min="15890" max="15890" width="6" style="970" bestFit="1" customWidth="1"/>
    <col min="15891" max="15891" width="15" style="970" customWidth="1"/>
    <col min="15892" max="15892" width="14.85546875" style="970" bestFit="1" customWidth="1"/>
    <col min="15893" max="15893" width="16.140625" style="970" bestFit="1" customWidth="1"/>
    <col min="15894" max="16120" width="9.140625" style="970"/>
    <col min="16121" max="16121" width="24" style="970" bestFit="1" customWidth="1"/>
    <col min="16122" max="16122" width="43.85546875" style="970" customWidth="1"/>
    <col min="16123" max="16123" width="19.7109375" style="970" bestFit="1" customWidth="1"/>
    <col min="16124" max="16124" width="12.42578125" style="970" bestFit="1" customWidth="1"/>
    <col min="16125" max="16125" width="16.28515625" style="970" bestFit="1" customWidth="1"/>
    <col min="16126" max="16126" width="13.42578125" style="970" customWidth="1"/>
    <col min="16127" max="16127" width="15.28515625" style="970" bestFit="1" customWidth="1"/>
    <col min="16128" max="16128" width="14.140625" style="970" bestFit="1" customWidth="1"/>
    <col min="16129" max="16129" width="15.28515625" style="970" customWidth="1"/>
    <col min="16130" max="16130" width="17.7109375" style="970" customWidth="1"/>
    <col min="16131" max="16131" width="17" style="970" bestFit="1" customWidth="1"/>
    <col min="16132" max="16132" width="12.7109375" style="970" customWidth="1"/>
    <col min="16133" max="16133" width="13.7109375" style="970" customWidth="1"/>
    <col min="16134" max="16134" width="13.85546875" style="970" bestFit="1" customWidth="1"/>
    <col min="16135" max="16135" width="19.7109375" style="970" bestFit="1" customWidth="1"/>
    <col min="16136" max="16136" width="16.140625" style="970" customWidth="1"/>
    <col min="16137" max="16137" width="16.7109375" style="970" bestFit="1" customWidth="1"/>
    <col min="16138" max="16138" width="15.5703125" style="970" bestFit="1" customWidth="1"/>
    <col min="16139" max="16139" width="20.5703125" style="970" bestFit="1" customWidth="1"/>
    <col min="16140" max="16140" width="16.42578125" style="970" bestFit="1" customWidth="1"/>
    <col min="16141" max="16141" width="14.28515625" style="970" customWidth="1"/>
    <col min="16142" max="16142" width="12.85546875" style="970" bestFit="1" customWidth="1"/>
    <col min="16143" max="16143" width="11.28515625" style="970" bestFit="1" customWidth="1"/>
    <col min="16144" max="16144" width="12.5703125" style="970" bestFit="1" customWidth="1"/>
    <col min="16145" max="16145" width="14" style="970" bestFit="1" customWidth="1"/>
    <col min="16146" max="16146" width="6" style="970" bestFit="1" customWidth="1"/>
    <col min="16147" max="16147" width="15" style="970" customWidth="1"/>
    <col min="16148" max="16148" width="14.85546875" style="970" bestFit="1" customWidth="1"/>
    <col min="16149" max="16149" width="16.140625" style="970" bestFit="1" customWidth="1"/>
    <col min="16150" max="16384" width="9.140625" style="970"/>
  </cols>
  <sheetData>
    <row r="1" spans="1:26" ht="54" customHeight="1" thickBot="1">
      <c r="C1" s="1357" t="s">
        <v>245</v>
      </c>
      <c r="D1" s="1357" t="s">
        <v>275</v>
      </c>
      <c r="E1" s="1357" t="s">
        <v>5</v>
      </c>
      <c r="F1" s="2221">
        <v>18230434</v>
      </c>
      <c r="G1" s="1357" t="s">
        <v>28</v>
      </c>
      <c r="J1" s="972"/>
      <c r="M1" s="1357" t="s">
        <v>245</v>
      </c>
      <c r="N1" s="1357" t="s">
        <v>275</v>
      </c>
      <c r="O1" s="1357" t="s">
        <v>5</v>
      </c>
      <c r="P1" s="3195">
        <v>18230434</v>
      </c>
      <c r="Q1" s="1357" t="s">
        <v>28</v>
      </c>
      <c r="V1" s="1357" t="s">
        <v>245</v>
      </c>
      <c r="W1" s="1357" t="s">
        <v>275</v>
      </c>
      <c r="X1" s="1357" t="s">
        <v>5</v>
      </c>
      <c r="Y1" s="1357">
        <v>18230434</v>
      </c>
      <c r="Z1" s="1357" t="s">
        <v>28</v>
      </c>
    </row>
    <row r="2" spans="1:26" ht="17.25" customHeight="1" thickBot="1">
      <c r="C2" s="972"/>
      <c r="D2" s="973"/>
      <c r="G2" s="1652"/>
      <c r="I2" s="1178" t="s">
        <v>627</v>
      </c>
      <c r="S2" s="3575"/>
      <c r="T2" s="3575"/>
      <c r="U2" s="3576" t="s">
        <v>33</v>
      </c>
      <c r="V2" s="3577"/>
      <c r="W2" s="3578"/>
      <c r="X2" s="3579" t="s">
        <v>34</v>
      </c>
    </row>
    <row r="3" spans="1:26" ht="39" thickBot="1">
      <c r="A3" s="1357" t="s">
        <v>245</v>
      </c>
      <c r="B3" s="1357"/>
      <c r="D3" s="1383" t="s">
        <v>246</v>
      </c>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972"/>
      <c r="D4" s="1385"/>
      <c r="G4" s="1652"/>
      <c r="H4" s="2946" t="s">
        <v>1726</v>
      </c>
      <c r="I4" s="2959">
        <f>D15</f>
        <v>0</v>
      </c>
      <c r="J4" s="2960">
        <f>D21</f>
        <v>0</v>
      </c>
      <c r="K4" s="2960">
        <f>D27</f>
        <v>0</v>
      </c>
      <c r="L4" s="2960">
        <f>D37</f>
        <v>0</v>
      </c>
      <c r="M4" s="2960">
        <f>D43</f>
        <v>0</v>
      </c>
      <c r="N4" s="2960">
        <f>D49</f>
        <v>0</v>
      </c>
      <c r="O4" s="2960">
        <f>D55</f>
        <v>0</v>
      </c>
      <c r="P4" s="2960">
        <f>D61</f>
        <v>0</v>
      </c>
      <c r="Q4" s="2960">
        <f>D67</f>
        <v>16650</v>
      </c>
      <c r="R4" s="2960">
        <f>D68</f>
        <v>0</v>
      </c>
      <c r="S4" s="2961">
        <f>SUM(I4:R4)</f>
        <v>16650</v>
      </c>
      <c r="T4" s="2963">
        <f>T15</f>
        <v>46930</v>
      </c>
      <c r="U4" s="2954">
        <f>Q4/S4</f>
        <v>1</v>
      </c>
      <c r="V4" s="2954">
        <f>(L4+(J4*1.63))/S4</f>
        <v>0</v>
      </c>
      <c r="W4" s="2954">
        <f>N4/S4</f>
        <v>0</v>
      </c>
      <c r="X4" s="2953">
        <f>S4/T4</f>
        <v>0.35478372043468998</v>
      </c>
    </row>
    <row r="5" spans="1:26" ht="16.5" thickBot="1">
      <c r="A5" s="1357" t="s">
        <v>5</v>
      </c>
      <c r="B5" s="970"/>
      <c r="C5" s="973"/>
      <c r="D5" s="1385"/>
      <c r="G5" s="1652"/>
      <c r="H5" s="3205" t="s">
        <v>1753</v>
      </c>
      <c r="I5" s="2617">
        <v>0</v>
      </c>
      <c r="J5" s="2618">
        <v>0</v>
      </c>
      <c r="K5" s="2618">
        <v>0</v>
      </c>
      <c r="L5" s="2618">
        <v>0</v>
      </c>
      <c r="M5" s="2618">
        <v>0</v>
      </c>
      <c r="N5" s="2618">
        <v>0</v>
      </c>
      <c r="O5" s="2618">
        <v>0</v>
      </c>
      <c r="P5" s="2618">
        <v>0</v>
      </c>
      <c r="Q5" s="2618">
        <v>0</v>
      </c>
      <c r="R5" s="2618">
        <v>0</v>
      </c>
      <c r="S5" s="2619">
        <v>0</v>
      </c>
      <c r="T5" s="2620" t="s">
        <v>629</v>
      </c>
      <c r="U5" s="1187" t="e">
        <f>Q5/S5</f>
        <v>#DIV/0!</v>
      </c>
      <c r="V5" s="1187" t="e">
        <f>(L5+(J5*1.63))/S5</f>
        <v>#DIV/0!</v>
      </c>
      <c r="W5" s="1187" t="e">
        <f>N5/S5</f>
        <v>#DIV/0!</v>
      </c>
      <c r="X5" s="965" t="e">
        <f>S5/T5</f>
        <v>#VALUE!</v>
      </c>
    </row>
    <row r="6" spans="1:26" ht="16.5" thickBot="1">
      <c r="A6" s="1357">
        <v>18230434</v>
      </c>
      <c r="B6" s="1357"/>
      <c r="C6" s="1190"/>
      <c r="D6" s="1385"/>
      <c r="E6" s="1414"/>
      <c r="F6" s="1413"/>
      <c r="G6" s="1652"/>
      <c r="H6" s="3206" t="s">
        <v>1754</v>
      </c>
      <c r="I6" s="2621">
        <f>E15</f>
        <v>0</v>
      </c>
      <c r="J6" s="2622">
        <f>E21</f>
        <v>0</v>
      </c>
      <c r="K6" s="2623">
        <f>E27</f>
        <v>0</v>
      </c>
      <c r="L6" s="2622">
        <f>E37</f>
        <v>0</v>
      </c>
      <c r="M6" s="2622">
        <f>E43</f>
        <v>0</v>
      </c>
      <c r="N6" s="2622">
        <f>E49</f>
        <v>0</v>
      </c>
      <c r="O6" s="2622">
        <f>E55</f>
        <v>0</v>
      </c>
      <c r="P6" s="2622">
        <f>E61</f>
        <v>0</v>
      </c>
      <c r="Q6" s="2622">
        <f>E67</f>
        <v>14805</v>
      </c>
      <c r="R6" s="2622">
        <f>E68</f>
        <v>0</v>
      </c>
      <c r="S6" s="2624">
        <f>SUM(I6:R6)</f>
        <v>14805</v>
      </c>
      <c r="T6" s="2641">
        <f>U15</f>
        <v>40705</v>
      </c>
      <c r="U6" s="2631">
        <f>Q6/S6</f>
        <v>1</v>
      </c>
      <c r="V6" s="2631">
        <f>(L6+(J6*1.63))/S6</f>
        <v>0</v>
      </c>
      <c r="W6" s="2631">
        <f>N6/S6</f>
        <v>0</v>
      </c>
      <c r="X6" s="2626">
        <f>S6/T6</f>
        <v>0.36371453138435084</v>
      </c>
    </row>
    <row r="7" spans="1:26" ht="15.75">
      <c r="A7" s="1357" t="s">
        <v>28</v>
      </c>
      <c r="B7" s="1357"/>
      <c r="C7" s="1190"/>
      <c r="D7" s="1385"/>
      <c r="E7" s="1414"/>
      <c r="F7" s="1413"/>
      <c r="G7" s="2606"/>
      <c r="H7" s="2607"/>
      <c r="I7" s="2607"/>
      <c r="J7" s="2607"/>
      <c r="K7" s="2607"/>
      <c r="L7" s="2607"/>
      <c r="M7" s="2607"/>
      <c r="N7" s="2607"/>
      <c r="O7" s="2607"/>
      <c r="P7" s="2607"/>
      <c r="Q7" s="2607"/>
      <c r="R7" s="2607"/>
      <c r="S7" s="2639"/>
      <c r="T7" s="2630"/>
      <c r="U7" s="2630"/>
      <c r="V7" s="2630"/>
      <c r="W7" s="2610"/>
    </row>
    <row r="8" spans="1:26" ht="15.75">
      <c r="B8" s="1357"/>
      <c r="C8" s="1190"/>
      <c r="D8" s="1385"/>
      <c r="E8" s="1414"/>
      <c r="F8" s="1413"/>
    </row>
    <row r="9" spans="1:26" ht="15.75">
      <c r="A9" s="1357"/>
      <c r="B9" s="1357"/>
      <c r="C9" s="1190"/>
      <c r="D9" s="1385"/>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C12" s="1434" t="s">
        <v>298</v>
      </c>
      <c r="D12" s="2766">
        <f>D15+D21+D27+D37+D43+D49+D55+D61+D67</f>
        <v>16650</v>
      </c>
      <c r="E12" s="1484">
        <f>E15+E21+E27+E37+E43+E49+E55+E61+E67</f>
        <v>14805</v>
      </c>
      <c r="F12" s="1462">
        <f>D12+E12</f>
        <v>31455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458" t="s">
        <v>307</v>
      </c>
    </row>
    <row r="15" spans="1:26">
      <c r="B15" s="1433" t="s">
        <v>296</v>
      </c>
      <c r="C15" s="1597" t="s">
        <v>1749</v>
      </c>
      <c r="D15" s="2771">
        <f>SUM(D16:D19)</f>
        <v>0</v>
      </c>
      <c r="E15" s="1464">
        <f>SUM(E16:E19)</f>
        <v>0</v>
      </c>
      <c r="F15" s="1462">
        <f>D15+E15</f>
        <v>0</v>
      </c>
      <c r="H15" s="1475" t="s">
        <v>308</v>
      </c>
      <c r="I15" s="1476"/>
      <c r="J15" s="1476"/>
      <c r="K15" s="1477"/>
      <c r="L15" s="1478">
        <f>SUMPRODUCT(L16:L179,S16:S179)</f>
        <v>31455</v>
      </c>
      <c r="M15" s="1478">
        <f>SUM(M16:M179)</f>
        <v>4.5299999999999994</v>
      </c>
      <c r="N15" s="1479">
        <f>SUM(N16:N21)</f>
        <v>0.74308210189992585</v>
      </c>
      <c r="O15" s="2353">
        <f>IFERROR(ROUND(SUMPRODUCT(O16:O165,V16:V165)/V15,0),"N/A")</f>
        <v>12</v>
      </c>
      <c r="P15" s="1477"/>
      <c r="Q15" s="3265"/>
      <c r="R15" s="1477"/>
      <c r="S15" s="1477"/>
      <c r="T15" s="2983">
        <v>46930</v>
      </c>
      <c r="U15" s="1480">
        <f>SUM(U16:U65)</f>
        <v>40705</v>
      </c>
      <c r="V15" s="1480">
        <f>SUM(V16:V65)</f>
        <v>88923</v>
      </c>
      <c r="W15" s="2987">
        <v>16650</v>
      </c>
      <c r="X15" s="1478">
        <f t="shared" ref="X15:Y15" si="0">SUM(X16:X39)</f>
        <v>14805</v>
      </c>
      <c r="Y15" s="1478">
        <f t="shared" si="0"/>
        <v>31483</v>
      </c>
      <c r="Z15" s="1481">
        <v>0</v>
      </c>
    </row>
    <row r="16" spans="1:26">
      <c r="B16" s="1432"/>
      <c r="C16" s="1423"/>
      <c r="D16" s="2772"/>
      <c r="E16" s="1448"/>
      <c r="F16" s="1426">
        <f>SUM(D16:E16)</f>
        <v>0</v>
      </c>
      <c r="H16" s="1975" t="s">
        <v>872</v>
      </c>
      <c r="I16" s="2205">
        <v>1.2</v>
      </c>
      <c r="J16" s="1470" t="s">
        <v>559</v>
      </c>
      <c r="K16" s="1460" t="s">
        <v>845</v>
      </c>
      <c r="L16" s="1467">
        <v>0</v>
      </c>
      <c r="M16" s="1467">
        <v>0</v>
      </c>
      <c r="N16" s="1461">
        <v>8.3528270668112053E-2</v>
      </c>
      <c r="O16" s="1460">
        <v>14</v>
      </c>
      <c r="P16" s="1463" t="s">
        <v>846</v>
      </c>
      <c r="Q16" s="3266">
        <v>6000</v>
      </c>
      <c r="R16" s="1466">
        <v>100</v>
      </c>
      <c r="S16" s="1469">
        <f t="shared" ref="S16:S20" si="1">SUM(Q16:R16)</f>
        <v>6100</v>
      </c>
      <c r="T16" s="2991">
        <v>7200</v>
      </c>
      <c r="U16" s="1469">
        <f t="shared" ref="U16:U20" si="2">R16*I16</f>
        <v>120</v>
      </c>
      <c r="V16" s="1469">
        <f t="shared" ref="V16:V20" si="3">SUM(T16:U16)</f>
        <v>7320</v>
      </c>
      <c r="W16" s="2993">
        <v>0</v>
      </c>
      <c r="X16" s="1459">
        <f t="shared" ref="X16:X20" si="4">R16*M16</f>
        <v>0</v>
      </c>
      <c r="Y16" s="1459">
        <f t="shared" ref="Y16:Y20" si="5">SUM(W16:X16)</f>
        <v>0</v>
      </c>
      <c r="Z16" s="1482">
        <v>0</v>
      </c>
    </row>
    <row r="17" spans="2:26">
      <c r="B17" s="1432"/>
      <c r="C17" s="1423"/>
      <c r="D17" s="2784"/>
      <c r="E17" s="1447"/>
      <c r="F17" s="1426">
        <f t="shared" ref="F17:F19" si="6">SUM(D17:E17)</f>
        <v>0</v>
      </c>
      <c r="H17" s="1975" t="s">
        <v>873</v>
      </c>
      <c r="I17" s="2205">
        <v>1.9</v>
      </c>
      <c r="J17" s="1470" t="s">
        <v>559</v>
      </c>
      <c r="K17" s="1460" t="s">
        <v>845</v>
      </c>
      <c r="L17" s="1467">
        <v>0</v>
      </c>
      <c r="M17" s="1467">
        <v>0</v>
      </c>
      <c r="N17" s="1461">
        <v>0.1018999258287214</v>
      </c>
      <c r="O17" s="1460">
        <v>14</v>
      </c>
      <c r="P17" s="1463" t="s">
        <v>846</v>
      </c>
      <c r="Q17" s="3266">
        <v>4500</v>
      </c>
      <c r="R17" s="1466">
        <v>200</v>
      </c>
      <c r="S17" s="1469">
        <f t="shared" si="1"/>
        <v>4700</v>
      </c>
      <c r="T17" s="2991">
        <v>8550</v>
      </c>
      <c r="U17" s="1469">
        <f t="shared" si="2"/>
        <v>380</v>
      </c>
      <c r="V17" s="1469">
        <f t="shared" si="3"/>
        <v>8930</v>
      </c>
      <c r="W17" s="2993">
        <v>0</v>
      </c>
      <c r="X17" s="1459">
        <f t="shared" si="4"/>
        <v>0</v>
      </c>
      <c r="Y17" s="1459">
        <f t="shared" si="5"/>
        <v>0</v>
      </c>
      <c r="Z17" s="1482">
        <v>0</v>
      </c>
    </row>
    <row r="18" spans="2:26">
      <c r="B18" s="1432"/>
      <c r="C18" s="1423"/>
      <c r="D18" s="2784"/>
      <c r="E18" s="1447"/>
      <c r="F18" s="1426">
        <f t="shared" si="6"/>
        <v>0</v>
      </c>
      <c r="H18" s="1975" t="s">
        <v>874</v>
      </c>
      <c r="I18" s="2205">
        <v>2</v>
      </c>
      <c r="J18" s="1470" t="s">
        <v>559</v>
      </c>
      <c r="K18" s="1460" t="s">
        <v>845</v>
      </c>
      <c r="L18" s="1467">
        <v>0</v>
      </c>
      <c r="M18" s="1467">
        <v>0</v>
      </c>
      <c r="N18" s="1461">
        <v>6.9606892223426711E-2</v>
      </c>
      <c r="O18" s="1460">
        <v>14</v>
      </c>
      <c r="P18" s="1463" t="s">
        <v>846</v>
      </c>
      <c r="Q18" s="3266">
        <v>3000</v>
      </c>
      <c r="R18" s="1466">
        <v>50</v>
      </c>
      <c r="S18" s="1469">
        <f t="shared" si="1"/>
        <v>3050</v>
      </c>
      <c r="T18" s="2991">
        <v>6000</v>
      </c>
      <c r="U18" s="1469">
        <f t="shared" si="2"/>
        <v>100</v>
      </c>
      <c r="V18" s="1469">
        <f t="shared" si="3"/>
        <v>6100</v>
      </c>
      <c r="W18" s="2993">
        <v>0</v>
      </c>
      <c r="X18" s="1459">
        <f t="shared" si="4"/>
        <v>0</v>
      </c>
      <c r="Y18" s="1459">
        <f t="shared" si="5"/>
        <v>0</v>
      </c>
      <c r="Z18" s="1482">
        <v>0</v>
      </c>
    </row>
    <row r="19" spans="2:26">
      <c r="B19" s="1432"/>
      <c r="C19" s="1423"/>
      <c r="D19" s="2786"/>
      <c r="E19" s="1446"/>
      <c r="F19" s="1426">
        <f t="shared" si="6"/>
        <v>0</v>
      </c>
      <c r="H19" s="1975" t="s">
        <v>886</v>
      </c>
      <c r="I19" s="2205">
        <v>5</v>
      </c>
      <c r="J19" s="1470" t="s">
        <v>559</v>
      </c>
      <c r="K19" s="1460" t="s">
        <v>845</v>
      </c>
      <c r="L19" s="1467">
        <v>3.33</v>
      </c>
      <c r="M19" s="1467">
        <v>3.33</v>
      </c>
      <c r="N19" s="1461">
        <v>0.48496605237633367</v>
      </c>
      <c r="O19" s="1460">
        <v>10</v>
      </c>
      <c r="P19" s="1463" t="s">
        <v>846</v>
      </c>
      <c r="Q19" s="3266">
        <v>5000</v>
      </c>
      <c r="R19" s="1466">
        <v>3500</v>
      </c>
      <c r="S19" s="1469">
        <f t="shared" si="1"/>
        <v>8500</v>
      </c>
      <c r="T19" s="2991">
        <v>25000</v>
      </c>
      <c r="U19" s="1469">
        <f t="shared" si="2"/>
        <v>17500</v>
      </c>
      <c r="V19" s="1469">
        <f t="shared" si="3"/>
        <v>42500</v>
      </c>
      <c r="W19" s="2993">
        <v>16650</v>
      </c>
      <c r="X19" s="1459">
        <f t="shared" si="4"/>
        <v>11655</v>
      </c>
      <c r="Y19" s="1459">
        <f t="shared" si="5"/>
        <v>28305</v>
      </c>
      <c r="Z19" s="1482">
        <v>0</v>
      </c>
    </row>
    <row r="20" spans="2:26">
      <c r="B20" s="1449"/>
      <c r="C20" s="1488"/>
      <c r="D20" s="2770"/>
      <c r="E20" s="1490"/>
      <c r="F20" s="1492"/>
      <c r="H20" s="1975" t="s">
        <v>887</v>
      </c>
      <c r="I20" s="2205">
        <v>0.9</v>
      </c>
      <c r="J20" s="1470" t="s">
        <v>559</v>
      </c>
      <c r="K20" s="1460" t="s">
        <v>845</v>
      </c>
      <c r="L20" s="1467">
        <v>0</v>
      </c>
      <c r="M20" s="1467">
        <v>0</v>
      </c>
      <c r="N20" s="1461">
        <v>3.0809608033320023E-3</v>
      </c>
      <c r="O20" s="1460">
        <v>14</v>
      </c>
      <c r="P20" s="1463" t="s">
        <v>846</v>
      </c>
      <c r="Q20" s="3266">
        <v>2000</v>
      </c>
      <c r="R20" s="1466">
        <v>100</v>
      </c>
      <c r="S20" s="1469">
        <f t="shared" si="1"/>
        <v>2100</v>
      </c>
      <c r="T20" s="2991">
        <v>180</v>
      </c>
      <c r="U20" s="1469">
        <f t="shared" si="2"/>
        <v>90</v>
      </c>
      <c r="V20" s="1469">
        <f t="shared" si="3"/>
        <v>270</v>
      </c>
      <c r="W20" s="2993">
        <v>0</v>
      </c>
      <c r="X20" s="1459">
        <f t="shared" si="4"/>
        <v>0</v>
      </c>
      <c r="Y20" s="1459">
        <f t="shared" si="5"/>
        <v>0</v>
      </c>
      <c r="Z20" s="1482">
        <v>0</v>
      </c>
    </row>
    <row r="21" spans="2:26">
      <c r="B21" s="1433" t="s">
        <v>296</v>
      </c>
      <c r="C21" s="1451" t="s">
        <v>44</v>
      </c>
      <c r="D21" s="2771">
        <f>SUM(D22:D25)</f>
        <v>0</v>
      </c>
      <c r="E21" s="1464">
        <f>SUM(E22:E25)</f>
        <v>0</v>
      </c>
      <c r="F21" s="1638">
        <f>D21+E21</f>
        <v>0</v>
      </c>
      <c r="H21" s="1975"/>
      <c r="I21" s="2027"/>
      <c r="J21" s="1470"/>
      <c r="K21" s="1460"/>
      <c r="L21" s="1467"/>
      <c r="M21" s="1467"/>
      <c r="N21" s="1461" t="s">
        <v>229</v>
      </c>
      <c r="O21" s="1460"/>
      <c r="P21" s="1463"/>
      <c r="Q21" s="3266">
        <v>0</v>
      </c>
      <c r="R21" s="1466"/>
      <c r="S21" s="1469">
        <f t="shared" ref="S21:S27" si="7">SUM(Q21:R21)</f>
        <v>0</v>
      </c>
      <c r="T21" s="2991">
        <v>181</v>
      </c>
      <c r="U21" s="1469">
        <f t="shared" ref="U21:U27" si="8">R21*I21</f>
        <v>0</v>
      </c>
      <c r="V21" s="1469">
        <f t="shared" ref="V21:V27" si="9">SUM(T21:U21)</f>
        <v>181</v>
      </c>
      <c r="W21" s="2993">
        <v>1</v>
      </c>
      <c r="X21" s="1459">
        <f t="shared" ref="X21:X27" si="10">R21*M21</f>
        <v>0</v>
      </c>
      <c r="Y21" s="1459">
        <f t="shared" ref="Y21:Y27" si="11">SUM(W21:X21)</f>
        <v>1</v>
      </c>
      <c r="Z21" s="1482"/>
    </row>
    <row r="22" spans="2:26">
      <c r="B22" s="1982"/>
      <c r="C22" s="1423"/>
      <c r="D22" s="2772"/>
      <c r="E22" s="1448"/>
      <c r="F22" s="1426">
        <f t="shared" ref="F22:F25" si="12">SUM(D22:E22)</f>
        <v>0</v>
      </c>
      <c r="H22" s="1460" t="s">
        <v>1830</v>
      </c>
      <c r="I22" s="1466">
        <v>0.95</v>
      </c>
      <c r="J22" s="1470" t="s">
        <v>229</v>
      </c>
      <c r="K22" s="1460" t="s">
        <v>845</v>
      </c>
      <c r="L22" s="1467">
        <v>0</v>
      </c>
      <c r="M22" s="1467">
        <v>0</v>
      </c>
      <c r="N22" s="1461">
        <v>5.9622297027443372E-2</v>
      </c>
      <c r="O22" s="1460">
        <v>14</v>
      </c>
      <c r="P22" s="1463" t="s">
        <v>846</v>
      </c>
      <c r="Q22" s="3266">
        <v>0</v>
      </c>
      <c r="R22" s="1466">
        <v>5500</v>
      </c>
      <c r="S22" s="1469">
        <f t="shared" si="7"/>
        <v>5500</v>
      </c>
      <c r="T22" s="2991">
        <v>182</v>
      </c>
      <c r="U22" s="1469">
        <f t="shared" si="8"/>
        <v>5225</v>
      </c>
      <c r="V22" s="1469">
        <f t="shared" si="9"/>
        <v>5407</v>
      </c>
      <c r="W22" s="2993">
        <v>2</v>
      </c>
      <c r="X22" s="1459">
        <f t="shared" si="10"/>
        <v>0</v>
      </c>
      <c r="Y22" s="1459">
        <f t="shared" si="11"/>
        <v>2</v>
      </c>
      <c r="Z22" s="1482"/>
    </row>
    <row r="23" spans="2:26">
      <c r="B23" s="1982"/>
      <c r="C23" s="1423"/>
      <c r="D23" s="2773"/>
      <c r="E23" s="1444"/>
      <c r="F23" s="1426">
        <f t="shared" si="12"/>
        <v>0</v>
      </c>
      <c r="H23" s="1460" t="s">
        <v>1831</v>
      </c>
      <c r="I23" s="1466">
        <v>1.47</v>
      </c>
      <c r="J23" s="1470" t="s">
        <v>229</v>
      </c>
      <c r="K23" s="1460" t="s">
        <v>845</v>
      </c>
      <c r="L23" s="1467">
        <v>0</v>
      </c>
      <c r="M23" s="1467">
        <v>0</v>
      </c>
      <c r="N23" s="1461">
        <v>7.5483539681634057E-2</v>
      </c>
      <c r="O23" s="1460">
        <v>14</v>
      </c>
      <c r="P23" s="1463" t="s">
        <v>846</v>
      </c>
      <c r="Q23" s="3266">
        <v>0</v>
      </c>
      <c r="R23" s="1466">
        <v>4500</v>
      </c>
      <c r="S23" s="1469">
        <f t="shared" si="7"/>
        <v>4500</v>
      </c>
      <c r="T23" s="2991">
        <v>183</v>
      </c>
      <c r="U23" s="1469">
        <f t="shared" si="8"/>
        <v>6615</v>
      </c>
      <c r="V23" s="1469">
        <f t="shared" si="9"/>
        <v>6798</v>
      </c>
      <c r="W23" s="2993">
        <v>3</v>
      </c>
      <c r="X23" s="1459">
        <f t="shared" si="10"/>
        <v>0</v>
      </c>
      <c r="Y23" s="1459">
        <f t="shared" si="11"/>
        <v>3</v>
      </c>
      <c r="Z23" s="1482"/>
    </row>
    <row r="24" spans="2:26">
      <c r="B24" s="1982"/>
      <c r="C24" s="1423"/>
      <c r="D24" s="2774"/>
      <c r="E24" s="1443"/>
      <c r="F24" s="1426">
        <f t="shared" si="12"/>
        <v>0</v>
      </c>
      <c r="H24" s="1460" t="s">
        <v>2586</v>
      </c>
      <c r="I24" s="1466">
        <v>1.18</v>
      </c>
      <c r="J24" s="1470" t="s">
        <v>229</v>
      </c>
      <c r="K24" s="1460" t="s">
        <v>845</v>
      </c>
      <c r="L24" s="1467">
        <v>0.3</v>
      </c>
      <c r="M24" s="1467">
        <v>0.3</v>
      </c>
      <c r="N24" s="1461">
        <v>6.7324699035773372E-2</v>
      </c>
      <c r="O24" s="1460">
        <v>10</v>
      </c>
      <c r="P24" s="1463" t="s">
        <v>846</v>
      </c>
      <c r="Q24" s="3266">
        <v>0</v>
      </c>
      <c r="R24" s="1466">
        <v>5000</v>
      </c>
      <c r="S24" s="1469">
        <f t="shared" si="7"/>
        <v>5000</v>
      </c>
      <c r="T24" s="2991">
        <v>184</v>
      </c>
      <c r="U24" s="1469">
        <f t="shared" si="8"/>
        <v>5900</v>
      </c>
      <c r="V24" s="1469">
        <f t="shared" si="9"/>
        <v>6084</v>
      </c>
      <c r="W24" s="2993">
        <v>4</v>
      </c>
      <c r="X24" s="1459">
        <f t="shared" si="10"/>
        <v>1500</v>
      </c>
      <c r="Y24" s="1459">
        <f t="shared" si="11"/>
        <v>1504</v>
      </c>
      <c r="Z24" s="1482"/>
    </row>
    <row r="25" spans="2:26">
      <c r="B25" s="1982"/>
      <c r="C25" s="1423"/>
      <c r="D25" s="2775"/>
      <c r="E25" s="1444"/>
      <c r="F25" s="1426">
        <f t="shared" si="12"/>
        <v>0</v>
      </c>
      <c r="H25" s="1460" t="s">
        <v>2587</v>
      </c>
      <c r="I25" s="1466">
        <v>1.18</v>
      </c>
      <c r="J25" s="1470" t="s">
        <v>229</v>
      </c>
      <c r="K25" s="1460" t="s">
        <v>845</v>
      </c>
      <c r="L25" s="1467">
        <v>0.3</v>
      </c>
      <c r="M25" s="1467">
        <v>0.3</v>
      </c>
      <c r="N25" s="1461">
        <v>2.692987961430935E-2</v>
      </c>
      <c r="O25" s="1460">
        <v>10</v>
      </c>
      <c r="P25" s="1463" t="s">
        <v>846</v>
      </c>
      <c r="Q25" s="3266">
        <v>0</v>
      </c>
      <c r="R25" s="1466">
        <v>2000</v>
      </c>
      <c r="S25" s="1469">
        <f t="shared" si="7"/>
        <v>2000</v>
      </c>
      <c r="T25" s="2991">
        <v>185</v>
      </c>
      <c r="U25" s="1469">
        <f t="shared" si="8"/>
        <v>2360</v>
      </c>
      <c r="V25" s="1469">
        <f t="shared" si="9"/>
        <v>2545</v>
      </c>
      <c r="W25" s="2993">
        <v>5</v>
      </c>
      <c r="X25" s="1459">
        <f t="shared" si="10"/>
        <v>600</v>
      </c>
      <c r="Y25" s="1459">
        <f t="shared" si="11"/>
        <v>605</v>
      </c>
      <c r="Z25" s="1482"/>
    </row>
    <row r="26" spans="2:26">
      <c r="B26" s="1449"/>
      <c r="C26" s="1424"/>
      <c r="D26" s="2776"/>
      <c r="E26" s="1431"/>
      <c r="F26" s="1439"/>
      <c r="H26" s="1460" t="s">
        <v>2588</v>
      </c>
      <c r="I26" s="1466">
        <v>0.69</v>
      </c>
      <c r="J26" s="1470" t="s">
        <v>229</v>
      </c>
      <c r="K26" s="1460" t="s">
        <v>845</v>
      </c>
      <c r="L26" s="1467">
        <v>0.3</v>
      </c>
      <c r="M26" s="1467">
        <v>0.3</v>
      </c>
      <c r="N26" s="1461">
        <v>1.968391624351001E-2</v>
      </c>
      <c r="O26" s="1460">
        <v>10</v>
      </c>
      <c r="P26" s="1463" t="s">
        <v>846</v>
      </c>
      <c r="Q26" s="3266">
        <v>0</v>
      </c>
      <c r="R26" s="1466">
        <v>2500</v>
      </c>
      <c r="S26" s="1469">
        <f t="shared" si="7"/>
        <v>2500</v>
      </c>
      <c r="T26" s="2991">
        <v>186</v>
      </c>
      <c r="U26" s="1469">
        <f t="shared" si="8"/>
        <v>1724.9999999999998</v>
      </c>
      <c r="V26" s="1469">
        <f t="shared" si="9"/>
        <v>1910.9999999999998</v>
      </c>
      <c r="W26" s="2993">
        <v>6</v>
      </c>
      <c r="X26" s="1459">
        <f t="shared" si="10"/>
        <v>750</v>
      </c>
      <c r="Y26" s="1459">
        <f t="shared" si="11"/>
        <v>756</v>
      </c>
      <c r="Z26" s="1482"/>
    </row>
    <row r="27" spans="2:26">
      <c r="C27" s="1597" t="s">
        <v>1737</v>
      </c>
      <c r="D27" s="2771">
        <f>SUM(D29:D35)</f>
        <v>0</v>
      </c>
      <c r="E27" s="1657">
        <f>SUM(E29:E31)+SUM(E33:E35)</f>
        <v>0</v>
      </c>
      <c r="F27" s="1638">
        <f>D27+E27</f>
        <v>0</v>
      </c>
      <c r="H27" s="1460" t="s">
        <v>2589</v>
      </c>
      <c r="I27" s="1466">
        <v>0.69</v>
      </c>
      <c r="J27" s="1470" t="s">
        <v>229</v>
      </c>
      <c r="K27" s="1460" t="s">
        <v>845</v>
      </c>
      <c r="L27" s="1467">
        <v>0.3</v>
      </c>
      <c r="M27" s="1467">
        <v>0.3</v>
      </c>
      <c r="N27" s="1461">
        <v>7.8735664974040054E-3</v>
      </c>
      <c r="O27" s="1460">
        <v>10</v>
      </c>
      <c r="P27" s="1463" t="s">
        <v>846</v>
      </c>
      <c r="Q27" s="3266">
        <v>0</v>
      </c>
      <c r="R27" s="1466">
        <v>1000</v>
      </c>
      <c r="S27" s="1469">
        <f t="shared" si="7"/>
        <v>1000</v>
      </c>
      <c r="T27" s="2991">
        <v>187</v>
      </c>
      <c r="U27" s="1469">
        <f t="shared" si="8"/>
        <v>690</v>
      </c>
      <c r="V27" s="1469">
        <f t="shared" si="9"/>
        <v>877</v>
      </c>
      <c r="W27" s="2993">
        <v>7</v>
      </c>
      <c r="X27" s="1459">
        <f t="shared" si="10"/>
        <v>300</v>
      </c>
      <c r="Y27" s="1459">
        <f t="shared" si="11"/>
        <v>307</v>
      </c>
      <c r="Z27" s="1482"/>
    </row>
    <row r="28" spans="2:2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0</v>
      </c>
      <c r="E29" s="1504">
        <f>E15*E28</f>
        <v>0</v>
      </c>
      <c r="F29" s="1426">
        <f t="shared" ref="F29:F35" si="13">SUM(D29:E29)</f>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13"/>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13"/>
        <v>0</v>
      </c>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ht="38.25">
      <c r="A34" s="1357" t="s">
        <v>245</v>
      </c>
      <c r="C34" s="1667" t="s">
        <v>720</v>
      </c>
      <c r="D34" s="2785"/>
      <c r="E34" s="1641">
        <f>E21*E32</f>
        <v>0</v>
      </c>
      <c r="F34" s="1661">
        <f t="shared" ref="F34" si="14">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13"/>
        <v>0</v>
      </c>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2221">
        <v>18230434</v>
      </c>
      <c r="C37" s="1451"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28</v>
      </c>
      <c r="C38" s="1423"/>
      <c r="D38" s="2778"/>
      <c r="E38" s="1520"/>
      <c r="F38" s="1426">
        <f t="shared" ref="F38:F41" si="15">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1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1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1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423"/>
      <c r="D44" s="2778"/>
      <c r="E44" s="1520"/>
      <c r="F44" s="1426">
        <f t="shared" ref="F44:F47" si="16">SUM(D44:E44)</f>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16"/>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c r="D50" s="2778"/>
      <c r="E50" s="1520"/>
      <c r="F50" s="1426">
        <f t="shared" ref="F50:F53" si="17">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1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1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c r="E56" s="1504"/>
      <c r="F56" s="1426">
        <f t="shared" ref="F56:F59" si="18">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c r="E62" s="1520"/>
      <c r="F62" s="1426">
        <f t="shared" ref="F62:F65" si="19">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38.25">
      <c r="A64" s="1357" t="s">
        <v>245</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18230434</v>
      </c>
      <c r="C67" s="1451" t="s">
        <v>50</v>
      </c>
      <c r="D67" s="2771">
        <f>W15</f>
        <v>16650</v>
      </c>
      <c r="E67" s="1464">
        <f>X15</f>
        <v>14805</v>
      </c>
      <c r="F67" s="1462">
        <f>D67+E67</f>
        <v>31455</v>
      </c>
    </row>
    <row r="68" spans="1:26">
      <c r="A68" s="1357" t="s">
        <v>28</v>
      </c>
      <c r="C68" s="1500" t="s">
        <v>297</v>
      </c>
      <c r="D68" s="2781"/>
      <c r="E68" s="1496"/>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A6" sqref="A6"/>
      <pageMargins left="0.17" right="0.18" top="0.34" bottom="0.28000000000000003" header="0.3" footer="0.3"/>
      <pageSetup paperSize="17" scale="48" orientation="landscape" r:id="rId1"/>
    </customSheetView>
    <customSheetView guid="{074EB09C-6289-46D7-9513-012B68BCA7BF}" showGridLines="0">
      <pane xSplit="1" ySplit="1" topLeftCell="B2" activePane="bottomRight" state="frozen"/>
      <selection pane="bottomRight" activeCell="H4" sqref="H4:H6"/>
      <pageMargins left="0.17" right="0.18" top="0.34" bottom="0.28000000000000003" header="0.3" footer="0.3"/>
      <pageSetup paperSize="17" scale="48"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18" top="0.34" bottom="0.28000000000000003" header="0.3" footer="0.3"/>
  <pageSetup paperSize="3" scale="48" orientation="landscape" r:id="rId3"/>
  <drawing r:id="rId4"/>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FF0000"/>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1" width="15.85546875" style="1156" customWidth="1"/>
    <col min="2" max="2" width="15.85546875" style="1413" customWidth="1"/>
    <col min="3" max="3" width="27" style="1156" customWidth="1"/>
    <col min="4" max="4" width="19.85546875" style="1156" customWidth="1"/>
    <col min="5" max="5" width="12.5703125" style="1157" customWidth="1"/>
    <col min="6" max="6" width="12.5703125" style="1156" customWidth="1"/>
    <col min="7" max="7" width="16.28515625" style="1156" bestFit="1" customWidth="1"/>
    <col min="8" max="8" width="13.42578125" style="1156" customWidth="1"/>
    <col min="9" max="9" width="15.28515625" style="1156" bestFit="1" customWidth="1"/>
    <col min="10" max="10" width="14.140625" style="1156" bestFit="1" customWidth="1"/>
    <col min="11" max="11" width="15.28515625" style="1156" customWidth="1"/>
    <col min="12" max="12" width="17.7109375" style="1156" customWidth="1"/>
    <col min="13" max="13" width="17" style="1156" bestFit="1" customWidth="1"/>
    <col min="14" max="14" width="12.7109375" style="1156" customWidth="1"/>
    <col min="15" max="15" width="13.7109375" style="1156" customWidth="1"/>
    <col min="16" max="16" width="13.85546875" style="1156" bestFit="1" customWidth="1"/>
    <col min="17" max="17" width="19.7109375" style="1156" bestFit="1" customWidth="1"/>
    <col min="18" max="18" width="16.140625" style="1156" customWidth="1"/>
    <col min="19" max="19" width="16.7109375" style="1156" bestFit="1" customWidth="1"/>
    <col min="20" max="20" width="15.5703125" style="1156" bestFit="1" customWidth="1"/>
    <col min="21" max="21" width="20.5703125" style="1156" bestFit="1" customWidth="1"/>
    <col min="22" max="22" width="16.42578125" style="1156" bestFit="1" customWidth="1"/>
    <col min="23" max="23" width="14.28515625" style="1156" customWidth="1"/>
    <col min="24" max="24" width="12.85546875" style="1156" bestFit="1" customWidth="1"/>
    <col min="25" max="25" width="11.28515625" style="1156" bestFit="1" customWidth="1"/>
    <col min="26" max="26" width="12.5703125" style="1156" bestFit="1" customWidth="1"/>
    <col min="27" max="249" width="9.140625" style="1156"/>
    <col min="250" max="250" width="24" style="1156" bestFit="1" customWidth="1"/>
    <col min="251" max="251" width="43.85546875" style="1156" customWidth="1"/>
    <col min="252" max="252" width="19.7109375" style="1156" bestFit="1" customWidth="1"/>
    <col min="253" max="253" width="12.42578125" style="1156" bestFit="1" customWidth="1"/>
    <col min="254" max="254" width="16.28515625" style="1156" bestFit="1" customWidth="1"/>
    <col min="255" max="255" width="13.42578125" style="1156" customWidth="1"/>
    <col min="256" max="256" width="15.28515625" style="1156" bestFit="1" customWidth="1"/>
    <col min="257" max="257" width="14.140625" style="1156" bestFit="1" customWidth="1"/>
    <col min="258" max="258" width="15.28515625" style="1156" customWidth="1"/>
    <col min="259" max="259" width="17.7109375" style="1156" customWidth="1"/>
    <col min="260" max="260" width="17" style="1156" bestFit="1" customWidth="1"/>
    <col min="261" max="261" width="12.7109375" style="1156" customWidth="1"/>
    <col min="262" max="262" width="13.7109375" style="1156" customWidth="1"/>
    <col min="263" max="263" width="13.85546875" style="1156" bestFit="1" customWidth="1"/>
    <col min="264" max="264" width="19.7109375" style="1156" bestFit="1" customWidth="1"/>
    <col min="265" max="265" width="16.140625" style="1156" customWidth="1"/>
    <col min="266" max="266" width="16.7109375" style="1156" bestFit="1" customWidth="1"/>
    <col min="267" max="267" width="15.5703125" style="1156" bestFit="1" customWidth="1"/>
    <col min="268" max="268" width="20.5703125" style="1156" bestFit="1" customWidth="1"/>
    <col min="269" max="269" width="16.42578125" style="1156" bestFit="1" customWidth="1"/>
    <col min="270" max="270" width="14.28515625" style="1156" customWidth="1"/>
    <col min="271" max="271" width="12.85546875" style="1156" bestFit="1" customWidth="1"/>
    <col min="272" max="272" width="11.28515625" style="1156" bestFit="1" customWidth="1"/>
    <col min="273" max="273" width="12.5703125" style="1156" bestFit="1" customWidth="1"/>
    <col min="274" max="274" width="14" style="1156" bestFit="1" customWidth="1"/>
    <col min="275" max="275" width="6" style="1156" bestFit="1" customWidth="1"/>
    <col min="276" max="276" width="15" style="1156" customWidth="1"/>
    <col min="277" max="277" width="14.85546875" style="1156" bestFit="1" customWidth="1"/>
    <col min="278" max="278" width="16.140625" style="1156" bestFit="1" customWidth="1"/>
    <col min="279" max="505" width="9.140625" style="1156"/>
    <col min="506" max="506" width="24" style="1156" bestFit="1" customWidth="1"/>
    <col min="507" max="507" width="43.85546875" style="1156" customWidth="1"/>
    <col min="508" max="508" width="19.7109375" style="1156" bestFit="1" customWidth="1"/>
    <col min="509" max="509" width="12.42578125" style="1156" bestFit="1" customWidth="1"/>
    <col min="510" max="510" width="16.28515625" style="1156" bestFit="1" customWidth="1"/>
    <col min="511" max="511" width="13.42578125" style="1156" customWidth="1"/>
    <col min="512" max="512" width="15.28515625" style="1156" bestFit="1" customWidth="1"/>
    <col min="513" max="513" width="14.140625" style="1156" bestFit="1" customWidth="1"/>
    <col min="514" max="514" width="15.28515625" style="1156" customWidth="1"/>
    <col min="515" max="515" width="17.7109375" style="1156" customWidth="1"/>
    <col min="516" max="516" width="17" style="1156" bestFit="1" customWidth="1"/>
    <col min="517" max="517" width="12.7109375" style="1156" customWidth="1"/>
    <col min="518" max="518" width="13.7109375" style="1156" customWidth="1"/>
    <col min="519" max="519" width="13.85546875" style="1156" bestFit="1" customWidth="1"/>
    <col min="520" max="520" width="19.7109375" style="1156" bestFit="1" customWidth="1"/>
    <col min="521" max="521" width="16.140625" style="1156" customWidth="1"/>
    <col min="522" max="522" width="16.7109375" style="1156" bestFit="1" customWidth="1"/>
    <col min="523" max="523" width="15.5703125" style="1156" bestFit="1" customWidth="1"/>
    <col min="524" max="524" width="20.5703125" style="1156" bestFit="1" customWidth="1"/>
    <col min="525" max="525" width="16.42578125" style="1156" bestFit="1" customWidth="1"/>
    <col min="526" max="526" width="14.28515625" style="1156" customWidth="1"/>
    <col min="527" max="527" width="12.85546875" style="1156" bestFit="1" customWidth="1"/>
    <col min="528" max="528" width="11.28515625" style="1156" bestFit="1" customWidth="1"/>
    <col min="529" max="529" width="12.5703125" style="1156" bestFit="1" customWidth="1"/>
    <col min="530" max="530" width="14" style="1156" bestFit="1" customWidth="1"/>
    <col min="531" max="531" width="6" style="1156" bestFit="1" customWidth="1"/>
    <col min="532" max="532" width="15" style="1156" customWidth="1"/>
    <col min="533" max="533" width="14.85546875" style="1156" bestFit="1" customWidth="1"/>
    <col min="534" max="534" width="16.140625" style="1156" bestFit="1" customWidth="1"/>
    <col min="535" max="761" width="9.140625" style="1156"/>
    <col min="762" max="762" width="24" style="1156" bestFit="1" customWidth="1"/>
    <col min="763" max="763" width="43.85546875" style="1156" customWidth="1"/>
    <col min="764" max="764" width="19.7109375" style="1156" bestFit="1" customWidth="1"/>
    <col min="765" max="765" width="12.42578125" style="1156" bestFit="1" customWidth="1"/>
    <col min="766" max="766" width="16.28515625" style="1156" bestFit="1" customWidth="1"/>
    <col min="767" max="767" width="13.42578125" style="1156" customWidth="1"/>
    <col min="768" max="768" width="15.28515625" style="1156" bestFit="1" customWidth="1"/>
    <col min="769" max="769" width="14.140625" style="1156" bestFit="1" customWidth="1"/>
    <col min="770" max="770" width="15.28515625" style="1156" customWidth="1"/>
    <col min="771" max="771" width="17.7109375" style="1156" customWidth="1"/>
    <col min="772" max="772" width="17" style="1156" bestFit="1" customWidth="1"/>
    <col min="773" max="773" width="12.7109375" style="1156" customWidth="1"/>
    <col min="774" max="774" width="13.7109375" style="1156" customWidth="1"/>
    <col min="775" max="775" width="13.85546875" style="1156" bestFit="1" customWidth="1"/>
    <col min="776" max="776" width="19.7109375" style="1156" bestFit="1" customWidth="1"/>
    <col min="777" max="777" width="16.140625" style="1156" customWidth="1"/>
    <col min="778" max="778" width="16.7109375" style="1156" bestFit="1" customWidth="1"/>
    <col min="779" max="779" width="15.5703125" style="1156" bestFit="1" customWidth="1"/>
    <col min="780" max="780" width="20.5703125" style="1156" bestFit="1" customWidth="1"/>
    <col min="781" max="781" width="16.42578125" style="1156" bestFit="1" customWidth="1"/>
    <col min="782" max="782" width="14.28515625" style="1156" customWidth="1"/>
    <col min="783" max="783" width="12.85546875" style="1156" bestFit="1" customWidth="1"/>
    <col min="784" max="784" width="11.28515625" style="1156" bestFit="1" customWidth="1"/>
    <col min="785" max="785" width="12.5703125" style="1156" bestFit="1" customWidth="1"/>
    <col min="786" max="786" width="14" style="1156" bestFit="1" customWidth="1"/>
    <col min="787" max="787" width="6" style="1156" bestFit="1" customWidth="1"/>
    <col min="788" max="788" width="15" style="1156" customWidth="1"/>
    <col min="789" max="789" width="14.85546875" style="1156" bestFit="1" customWidth="1"/>
    <col min="790" max="790" width="16.140625" style="1156" bestFit="1" customWidth="1"/>
    <col min="791" max="1017" width="9.140625" style="1156"/>
    <col min="1018" max="1018" width="24" style="1156" bestFit="1" customWidth="1"/>
    <col min="1019" max="1019" width="43.85546875" style="1156" customWidth="1"/>
    <col min="1020" max="1020" width="19.7109375" style="1156" bestFit="1" customWidth="1"/>
    <col min="1021" max="1021" width="12.42578125" style="1156" bestFit="1" customWidth="1"/>
    <col min="1022" max="1022" width="16.28515625" style="1156" bestFit="1" customWidth="1"/>
    <col min="1023" max="1023" width="13.42578125" style="1156" customWidth="1"/>
    <col min="1024" max="1024" width="15.28515625" style="1156" bestFit="1" customWidth="1"/>
    <col min="1025" max="1025" width="14.140625" style="1156" bestFit="1" customWidth="1"/>
    <col min="1026" max="1026" width="15.28515625" style="1156" customWidth="1"/>
    <col min="1027" max="1027" width="17.7109375" style="1156" customWidth="1"/>
    <col min="1028" max="1028" width="17" style="1156" bestFit="1" customWidth="1"/>
    <col min="1029" max="1029" width="12.7109375" style="1156" customWidth="1"/>
    <col min="1030" max="1030" width="13.7109375" style="1156" customWidth="1"/>
    <col min="1031" max="1031" width="13.85546875" style="1156" bestFit="1" customWidth="1"/>
    <col min="1032" max="1032" width="19.7109375" style="1156" bestFit="1" customWidth="1"/>
    <col min="1033" max="1033" width="16.140625" style="1156" customWidth="1"/>
    <col min="1034" max="1034" width="16.7109375" style="1156" bestFit="1" customWidth="1"/>
    <col min="1035" max="1035" width="15.5703125" style="1156" bestFit="1" customWidth="1"/>
    <col min="1036" max="1036" width="20.5703125" style="1156" bestFit="1" customWidth="1"/>
    <col min="1037" max="1037" width="16.42578125" style="1156" bestFit="1" customWidth="1"/>
    <col min="1038" max="1038" width="14.28515625" style="1156" customWidth="1"/>
    <col min="1039" max="1039" width="12.85546875" style="1156" bestFit="1" customWidth="1"/>
    <col min="1040" max="1040" width="11.28515625" style="1156" bestFit="1" customWidth="1"/>
    <col min="1041" max="1041" width="12.5703125" style="1156" bestFit="1" customWidth="1"/>
    <col min="1042" max="1042" width="14" style="1156" bestFit="1" customWidth="1"/>
    <col min="1043" max="1043" width="6" style="1156" bestFit="1" customWidth="1"/>
    <col min="1044" max="1044" width="15" style="1156" customWidth="1"/>
    <col min="1045" max="1045" width="14.85546875" style="1156" bestFit="1" customWidth="1"/>
    <col min="1046" max="1046" width="16.140625" style="1156" bestFit="1" customWidth="1"/>
    <col min="1047" max="1273" width="9.140625" style="1156"/>
    <col min="1274" max="1274" width="24" style="1156" bestFit="1" customWidth="1"/>
    <col min="1275" max="1275" width="43.85546875" style="1156" customWidth="1"/>
    <col min="1276" max="1276" width="19.7109375" style="1156" bestFit="1" customWidth="1"/>
    <col min="1277" max="1277" width="12.42578125" style="1156" bestFit="1" customWidth="1"/>
    <col min="1278" max="1278" width="16.28515625" style="1156" bestFit="1" customWidth="1"/>
    <col min="1279" max="1279" width="13.42578125" style="1156" customWidth="1"/>
    <col min="1280" max="1280" width="15.28515625" style="1156" bestFit="1" customWidth="1"/>
    <col min="1281" max="1281" width="14.140625" style="1156" bestFit="1" customWidth="1"/>
    <col min="1282" max="1282" width="15.28515625" style="1156" customWidth="1"/>
    <col min="1283" max="1283" width="17.7109375" style="1156" customWidth="1"/>
    <col min="1284" max="1284" width="17" style="1156" bestFit="1" customWidth="1"/>
    <col min="1285" max="1285" width="12.7109375" style="1156" customWidth="1"/>
    <col min="1286" max="1286" width="13.7109375" style="1156" customWidth="1"/>
    <col min="1287" max="1287" width="13.85546875" style="1156" bestFit="1" customWidth="1"/>
    <col min="1288" max="1288" width="19.7109375" style="1156" bestFit="1" customWidth="1"/>
    <col min="1289" max="1289" width="16.140625" style="1156" customWidth="1"/>
    <col min="1290" max="1290" width="16.7109375" style="1156" bestFit="1" customWidth="1"/>
    <col min="1291" max="1291" width="15.5703125" style="1156" bestFit="1" customWidth="1"/>
    <col min="1292" max="1292" width="20.5703125" style="1156" bestFit="1" customWidth="1"/>
    <col min="1293" max="1293" width="16.42578125" style="1156" bestFit="1" customWidth="1"/>
    <col min="1294" max="1294" width="14.28515625" style="1156" customWidth="1"/>
    <col min="1295" max="1295" width="12.85546875" style="1156" bestFit="1" customWidth="1"/>
    <col min="1296" max="1296" width="11.28515625" style="1156" bestFit="1" customWidth="1"/>
    <col min="1297" max="1297" width="12.5703125" style="1156" bestFit="1" customWidth="1"/>
    <col min="1298" max="1298" width="14" style="1156" bestFit="1" customWidth="1"/>
    <col min="1299" max="1299" width="6" style="1156" bestFit="1" customWidth="1"/>
    <col min="1300" max="1300" width="15" style="1156" customWidth="1"/>
    <col min="1301" max="1301" width="14.85546875" style="1156" bestFit="1" customWidth="1"/>
    <col min="1302" max="1302" width="16.140625" style="1156" bestFit="1" customWidth="1"/>
    <col min="1303" max="1529" width="9.140625" style="1156"/>
    <col min="1530" max="1530" width="24" style="1156" bestFit="1" customWidth="1"/>
    <col min="1531" max="1531" width="43.85546875" style="1156" customWidth="1"/>
    <col min="1532" max="1532" width="19.7109375" style="1156" bestFit="1" customWidth="1"/>
    <col min="1533" max="1533" width="12.42578125" style="1156" bestFit="1" customWidth="1"/>
    <col min="1534" max="1534" width="16.28515625" style="1156" bestFit="1" customWidth="1"/>
    <col min="1535" max="1535" width="13.42578125" style="1156" customWidth="1"/>
    <col min="1536" max="1536" width="15.28515625" style="1156" bestFit="1" customWidth="1"/>
    <col min="1537" max="1537" width="14.140625" style="1156" bestFit="1" customWidth="1"/>
    <col min="1538" max="1538" width="15.28515625" style="1156" customWidth="1"/>
    <col min="1539" max="1539" width="17.7109375" style="1156" customWidth="1"/>
    <col min="1540" max="1540" width="17" style="1156" bestFit="1" customWidth="1"/>
    <col min="1541" max="1541" width="12.7109375" style="1156" customWidth="1"/>
    <col min="1542" max="1542" width="13.7109375" style="1156" customWidth="1"/>
    <col min="1543" max="1543" width="13.85546875" style="1156" bestFit="1" customWidth="1"/>
    <col min="1544" max="1544" width="19.7109375" style="1156" bestFit="1" customWidth="1"/>
    <col min="1545" max="1545" width="16.140625" style="1156" customWidth="1"/>
    <col min="1546" max="1546" width="16.7109375" style="1156" bestFit="1" customWidth="1"/>
    <col min="1547" max="1547" width="15.5703125" style="1156" bestFit="1" customWidth="1"/>
    <col min="1548" max="1548" width="20.5703125" style="1156" bestFit="1" customWidth="1"/>
    <col min="1549" max="1549" width="16.42578125" style="1156" bestFit="1" customWidth="1"/>
    <col min="1550" max="1550" width="14.28515625" style="1156" customWidth="1"/>
    <col min="1551" max="1551" width="12.85546875" style="1156" bestFit="1" customWidth="1"/>
    <col min="1552" max="1552" width="11.28515625" style="1156" bestFit="1" customWidth="1"/>
    <col min="1553" max="1553" width="12.5703125" style="1156" bestFit="1" customWidth="1"/>
    <col min="1554" max="1554" width="14" style="1156" bestFit="1" customWidth="1"/>
    <col min="1555" max="1555" width="6" style="1156" bestFit="1" customWidth="1"/>
    <col min="1556" max="1556" width="15" style="1156" customWidth="1"/>
    <col min="1557" max="1557" width="14.85546875" style="1156" bestFit="1" customWidth="1"/>
    <col min="1558" max="1558" width="16.140625" style="1156" bestFit="1" customWidth="1"/>
    <col min="1559" max="1785" width="9.140625" style="1156"/>
    <col min="1786" max="1786" width="24" style="1156" bestFit="1" customWidth="1"/>
    <col min="1787" max="1787" width="43.85546875" style="1156" customWidth="1"/>
    <col min="1788" max="1788" width="19.7109375" style="1156" bestFit="1" customWidth="1"/>
    <col min="1789" max="1789" width="12.42578125" style="1156" bestFit="1" customWidth="1"/>
    <col min="1790" max="1790" width="16.28515625" style="1156" bestFit="1" customWidth="1"/>
    <col min="1791" max="1791" width="13.42578125" style="1156" customWidth="1"/>
    <col min="1792" max="1792" width="15.28515625" style="1156" bestFit="1" customWidth="1"/>
    <col min="1793" max="1793" width="14.140625" style="1156" bestFit="1" customWidth="1"/>
    <col min="1794" max="1794" width="15.28515625" style="1156" customWidth="1"/>
    <col min="1795" max="1795" width="17.7109375" style="1156" customWidth="1"/>
    <col min="1796" max="1796" width="17" style="1156" bestFit="1" customWidth="1"/>
    <col min="1797" max="1797" width="12.7109375" style="1156" customWidth="1"/>
    <col min="1798" max="1798" width="13.7109375" style="1156" customWidth="1"/>
    <col min="1799" max="1799" width="13.85546875" style="1156" bestFit="1" customWidth="1"/>
    <col min="1800" max="1800" width="19.7109375" style="1156" bestFit="1" customWidth="1"/>
    <col min="1801" max="1801" width="16.140625" style="1156" customWidth="1"/>
    <col min="1802" max="1802" width="16.7109375" style="1156" bestFit="1" customWidth="1"/>
    <col min="1803" max="1803" width="15.5703125" style="1156" bestFit="1" customWidth="1"/>
    <col min="1804" max="1804" width="20.5703125" style="1156" bestFit="1" customWidth="1"/>
    <col min="1805" max="1805" width="16.42578125" style="1156" bestFit="1" customWidth="1"/>
    <col min="1806" max="1806" width="14.28515625" style="1156" customWidth="1"/>
    <col min="1807" max="1807" width="12.85546875" style="1156" bestFit="1" customWidth="1"/>
    <col min="1808" max="1808" width="11.28515625" style="1156" bestFit="1" customWidth="1"/>
    <col min="1809" max="1809" width="12.5703125" style="1156" bestFit="1" customWidth="1"/>
    <col min="1810" max="1810" width="14" style="1156" bestFit="1" customWidth="1"/>
    <col min="1811" max="1811" width="6" style="1156" bestFit="1" customWidth="1"/>
    <col min="1812" max="1812" width="15" style="1156" customWidth="1"/>
    <col min="1813" max="1813" width="14.85546875" style="1156" bestFit="1" customWidth="1"/>
    <col min="1814" max="1814" width="16.140625" style="1156" bestFit="1" customWidth="1"/>
    <col min="1815" max="2041" width="9.140625" style="1156"/>
    <col min="2042" max="2042" width="24" style="1156" bestFit="1" customWidth="1"/>
    <col min="2043" max="2043" width="43.85546875" style="1156" customWidth="1"/>
    <col min="2044" max="2044" width="19.7109375" style="1156" bestFit="1" customWidth="1"/>
    <col min="2045" max="2045" width="12.42578125" style="1156" bestFit="1" customWidth="1"/>
    <col min="2046" max="2046" width="16.28515625" style="1156" bestFit="1" customWidth="1"/>
    <col min="2047" max="2047" width="13.42578125" style="1156" customWidth="1"/>
    <col min="2048" max="2048" width="15.28515625" style="1156" bestFit="1" customWidth="1"/>
    <col min="2049" max="2049" width="14.140625" style="1156" bestFit="1" customWidth="1"/>
    <col min="2050" max="2050" width="15.28515625" style="1156" customWidth="1"/>
    <col min="2051" max="2051" width="17.7109375" style="1156" customWidth="1"/>
    <col min="2052" max="2052" width="17" style="1156" bestFit="1" customWidth="1"/>
    <col min="2053" max="2053" width="12.7109375" style="1156" customWidth="1"/>
    <col min="2054" max="2054" width="13.7109375" style="1156" customWidth="1"/>
    <col min="2055" max="2055" width="13.85546875" style="1156" bestFit="1" customWidth="1"/>
    <col min="2056" max="2056" width="19.7109375" style="1156" bestFit="1" customWidth="1"/>
    <col min="2057" max="2057" width="16.140625" style="1156" customWidth="1"/>
    <col min="2058" max="2058" width="16.7109375" style="1156" bestFit="1" customWidth="1"/>
    <col min="2059" max="2059" width="15.5703125" style="1156" bestFit="1" customWidth="1"/>
    <col min="2060" max="2060" width="20.5703125" style="1156" bestFit="1" customWidth="1"/>
    <col min="2061" max="2061" width="16.42578125" style="1156" bestFit="1" customWidth="1"/>
    <col min="2062" max="2062" width="14.28515625" style="1156" customWidth="1"/>
    <col min="2063" max="2063" width="12.85546875" style="1156" bestFit="1" customWidth="1"/>
    <col min="2064" max="2064" width="11.28515625" style="1156" bestFit="1" customWidth="1"/>
    <col min="2065" max="2065" width="12.5703125" style="1156" bestFit="1" customWidth="1"/>
    <col min="2066" max="2066" width="14" style="1156" bestFit="1" customWidth="1"/>
    <col min="2067" max="2067" width="6" style="1156" bestFit="1" customWidth="1"/>
    <col min="2068" max="2068" width="15" style="1156" customWidth="1"/>
    <col min="2069" max="2069" width="14.85546875" style="1156" bestFit="1" customWidth="1"/>
    <col min="2070" max="2070" width="16.140625" style="1156" bestFit="1" customWidth="1"/>
    <col min="2071" max="2297" width="9.140625" style="1156"/>
    <col min="2298" max="2298" width="24" style="1156" bestFit="1" customWidth="1"/>
    <col min="2299" max="2299" width="43.85546875" style="1156" customWidth="1"/>
    <col min="2300" max="2300" width="19.7109375" style="1156" bestFit="1" customWidth="1"/>
    <col min="2301" max="2301" width="12.42578125" style="1156" bestFit="1" customWidth="1"/>
    <col min="2302" max="2302" width="16.28515625" style="1156" bestFit="1" customWidth="1"/>
    <col min="2303" max="2303" width="13.42578125" style="1156" customWidth="1"/>
    <col min="2304" max="2304" width="15.28515625" style="1156" bestFit="1" customWidth="1"/>
    <col min="2305" max="2305" width="14.140625" style="1156" bestFit="1" customWidth="1"/>
    <col min="2306" max="2306" width="15.28515625" style="1156" customWidth="1"/>
    <col min="2307" max="2307" width="17.7109375" style="1156" customWidth="1"/>
    <col min="2308" max="2308" width="17" style="1156" bestFit="1" customWidth="1"/>
    <col min="2309" max="2309" width="12.7109375" style="1156" customWidth="1"/>
    <col min="2310" max="2310" width="13.7109375" style="1156" customWidth="1"/>
    <col min="2311" max="2311" width="13.85546875" style="1156" bestFit="1" customWidth="1"/>
    <col min="2312" max="2312" width="19.7109375" style="1156" bestFit="1" customWidth="1"/>
    <col min="2313" max="2313" width="16.140625" style="1156" customWidth="1"/>
    <col min="2314" max="2314" width="16.7109375" style="1156" bestFit="1" customWidth="1"/>
    <col min="2315" max="2315" width="15.5703125" style="1156" bestFit="1" customWidth="1"/>
    <col min="2316" max="2316" width="20.5703125" style="1156" bestFit="1" customWidth="1"/>
    <col min="2317" max="2317" width="16.42578125" style="1156" bestFit="1" customWidth="1"/>
    <col min="2318" max="2318" width="14.28515625" style="1156" customWidth="1"/>
    <col min="2319" max="2319" width="12.85546875" style="1156" bestFit="1" customWidth="1"/>
    <col min="2320" max="2320" width="11.28515625" style="1156" bestFit="1" customWidth="1"/>
    <col min="2321" max="2321" width="12.5703125" style="1156" bestFit="1" customWidth="1"/>
    <col min="2322" max="2322" width="14" style="1156" bestFit="1" customWidth="1"/>
    <col min="2323" max="2323" width="6" style="1156" bestFit="1" customWidth="1"/>
    <col min="2324" max="2324" width="15" style="1156" customWidth="1"/>
    <col min="2325" max="2325" width="14.85546875" style="1156" bestFit="1" customWidth="1"/>
    <col min="2326" max="2326" width="16.140625" style="1156" bestFit="1" customWidth="1"/>
    <col min="2327" max="2553" width="9.140625" style="1156"/>
    <col min="2554" max="2554" width="24" style="1156" bestFit="1" customWidth="1"/>
    <col min="2555" max="2555" width="43.85546875" style="1156" customWidth="1"/>
    <col min="2556" max="2556" width="19.7109375" style="1156" bestFit="1" customWidth="1"/>
    <col min="2557" max="2557" width="12.42578125" style="1156" bestFit="1" customWidth="1"/>
    <col min="2558" max="2558" width="16.28515625" style="1156" bestFit="1" customWidth="1"/>
    <col min="2559" max="2559" width="13.42578125" style="1156" customWidth="1"/>
    <col min="2560" max="2560" width="15.28515625" style="1156" bestFit="1" customWidth="1"/>
    <col min="2561" max="2561" width="14.140625" style="1156" bestFit="1" customWidth="1"/>
    <col min="2562" max="2562" width="15.28515625" style="1156" customWidth="1"/>
    <col min="2563" max="2563" width="17.7109375" style="1156" customWidth="1"/>
    <col min="2564" max="2564" width="17" style="1156" bestFit="1" customWidth="1"/>
    <col min="2565" max="2565" width="12.7109375" style="1156" customWidth="1"/>
    <col min="2566" max="2566" width="13.7109375" style="1156" customWidth="1"/>
    <col min="2567" max="2567" width="13.85546875" style="1156" bestFit="1" customWidth="1"/>
    <col min="2568" max="2568" width="19.7109375" style="1156" bestFit="1" customWidth="1"/>
    <col min="2569" max="2569" width="16.140625" style="1156" customWidth="1"/>
    <col min="2570" max="2570" width="16.7109375" style="1156" bestFit="1" customWidth="1"/>
    <col min="2571" max="2571" width="15.5703125" style="1156" bestFit="1" customWidth="1"/>
    <col min="2572" max="2572" width="20.5703125" style="1156" bestFit="1" customWidth="1"/>
    <col min="2573" max="2573" width="16.42578125" style="1156" bestFit="1" customWidth="1"/>
    <col min="2574" max="2574" width="14.28515625" style="1156" customWidth="1"/>
    <col min="2575" max="2575" width="12.85546875" style="1156" bestFit="1" customWidth="1"/>
    <col min="2576" max="2576" width="11.28515625" style="1156" bestFit="1" customWidth="1"/>
    <col min="2577" max="2577" width="12.5703125" style="1156" bestFit="1" customWidth="1"/>
    <col min="2578" max="2578" width="14" style="1156" bestFit="1" customWidth="1"/>
    <col min="2579" max="2579" width="6" style="1156" bestFit="1" customWidth="1"/>
    <col min="2580" max="2580" width="15" style="1156" customWidth="1"/>
    <col min="2581" max="2581" width="14.85546875" style="1156" bestFit="1" customWidth="1"/>
    <col min="2582" max="2582" width="16.140625" style="1156" bestFit="1" customWidth="1"/>
    <col min="2583" max="2809" width="9.140625" style="1156"/>
    <col min="2810" max="2810" width="24" style="1156" bestFit="1" customWidth="1"/>
    <col min="2811" max="2811" width="43.85546875" style="1156" customWidth="1"/>
    <col min="2812" max="2812" width="19.7109375" style="1156" bestFit="1" customWidth="1"/>
    <col min="2813" max="2813" width="12.42578125" style="1156" bestFit="1" customWidth="1"/>
    <col min="2814" max="2814" width="16.28515625" style="1156" bestFit="1" customWidth="1"/>
    <col min="2815" max="2815" width="13.42578125" style="1156" customWidth="1"/>
    <col min="2816" max="2816" width="15.28515625" style="1156" bestFit="1" customWidth="1"/>
    <col min="2817" max="2817" width="14.140625" style="1156" bestFit="1" customWidth="1"/>
    <col min="2818" max="2818" width="15.28515625" style="1156" customWidth="1"/>
    <col min="2819" max="2819" width="17.7109375" style="1156" customWidth="1"/>
    <col min="2820" max="2820" width="17" style="1156" bestFit="1" customWidth="1"/>
    <col min="2821" max="2821" width="12.7109375" style="1156" customWidth="1"/>
    <col min="2822" max="2822" width="13.7109375" style="1156" customWidth="1"/>
    <col min="2823" max="2823" width="13.85546875" style="1156" bestFit="1" customWidth="1"/>
    <col min="2824" max="2824" width="19.7109375" style="1156" bestFit="1" customWidth="1"/>
    <col min="2825" max="2825" width="16.140625" style="1156" customWidth="1"/>
    <col min="2826" max="2826" width="16.7109375" style="1156" bestFit="1" customWidth="1"/>
    <col min="2827" max="2827" width="15.5703125" style="1156" bestFit="1" customWidth="1"/>
    <col min="2828" max="2828" width="20.5703125" style="1156" bestFit="1" customWidth="1"/>
    <col min="2829" max="2829" width="16.42578125" style="1156" bestFit="1" customWidth="1"/>
    <col min="2830" max="2830" width="14.28515625" style="1156" customWidth="1"/>
    <col min="2831" max="2831" width="12.85546875" style="1156" bestFit="1" customWidth="1"/>
    <col min="2832" max="2832" width="11.28515625" style="1156" bestFit="1" customWidth="1"/>
    <col min="2833" max="2833" width="12.5703125" style="1156" bestFit="1" customWidth="1"/>
    <col min="2834" max="2834" width="14" style="1156" bestFit="1" customWidth="1"/>
    <col min="2835" max="2835" width="6" style="1156" bestFit="1" customWidth="1"/>
    <col min="2836" max="2836" width="15" style="1156" customWidth="1"/>
    <col min="2837" max="2837" width="14.85546875" style="1156" bestFit="1" customWidth="1"/>
    <col min="2838" max="2838" width="16.140625" style="1156" bestFit="1" customWidth="1"/>
    <col min="2839" max="3065" width="9.140625" style="1156"/>
    <col min="3066" max="3066" width="24" style="1156" bestFit="1" customWidth="1"/>
    <col min="3067" max="3067" width="43.85546875" style="1156" customWidth="1"/>
    <col min="3068" max="3068" width="19.7109375" style="1156" bestFit="1" customWidth="1"/>
    <col min="3069" max="3069" width="12.42578125" style="1156" bestFit="1" customWidth="1"/>
    <col min="3070" max="3070" width="16.28515625" style="1156" bestFit="1" customWidth="1"/>
    <col min="3071" max="3071" width="13.42578125" style="1156" customWidth="1"/>
    <col min="3072" max="3072" width="15.28515625" style="1156" bestFit="1" customWidth="1"/>
    <col min="3073" max="3073" width="14.140625" style="1156" bestFit="1" customWidth="1"/>
    <col min="3074" max="3074" width="15.28515625" style="1156" customWidth="1"/>
    <col min="3075" max="3075" width="17.7109375" style="1156" customWidth="1"/>
    <col min="3076" max="3076" width="17" style="1156" bestFit="1" customWidth="1"/>
    <col min="3077" max="3077" width="12.7109375" style="1156" customWidth="1"/>
    <col min="3078" max="3078" width="13.7109375" style="1156" customWidth="1"/>
    <col min="3079" max="3079" width="13.85546875" style="1156" bestFit="1" customWidth="1"/>
    <col min="3080" max="3080" width="19.7109375" style="1156" bestFit="1" customWidth="1"/>
    <col min="3081" max="3081" width="16.140625" style="1156" customWidth="1"/>
    <col min="3082" max="3082" width="16.7109375" style="1156" bestFit="1" customWidth="1"/>
    <col min="3083" max="3083" width="15.5703125" style="1156" bestFit="1" customWidth="1"/>
    <col min="3084" max="3084" width="20.5703125" style="1156" bestFit="1" customWidth="1"/>
    <col min="3085" max="3085" width="16.42578125" style="1156" bestFit="1" customWidth="1"/>
    <col min="3086" max="3086" width="14.28515625" style="1156" customWidth="1"/>
    <col min="3087" max="3087" width="12.85546875" style="1156" bestFit="1" customWidth="1"/>
    <col min="3088" max="3088" width="11.28515625" style="1156" bestFit="1" customWidth="1"/>
    <col min="3089" max="3089" width="12.5703125" style="1156" bestFit="1" customWidth="1"/>
    <col min="3090" max="3090" width="14" style="1156" bestFit="1" customWidth="1"/>
    <col min="3091" max="3091" width="6" style="1156" bestFit="1" customWidth="1"/>
    <col min="3092" max="3092" width="15" style="1156" customWidth="1"/>
    <col min="3093" max="3093" width="14.85546875" style="1156" bestFit="1" customWidth="1"/>
    <col min="3094" max="3094" width="16.140625" style="1156" bestFit="1" customWidth="1"/>
    <col min="3095" max="3321" width="9.140625" style="1156"/>
    <col min="3322" max="3322" width="24" style="1156" bestFit="1" customWidth="1"/>
    <col min="3323" max="3323" width="43.85546875" style="1156" customWidth="1"/>
    <col min="3324" max="3324" width="19.7109375" style="1156" bestFit="1" customWidth="1"/>
    <col min="3325" max="3325" width="12.42578125" style="1156" bestFit="1" customWidth="1"/>
    <col min="3326" max="3326" width="16.28515625" style="1156" bestFit="1" customWidth="1"/>
    <col min="3327" max="3327" width="13.42578125" style="1156" customWidth="1"/>
    <col min="3328" max="3328" width="15.28515625" style="1156" bestFit="1" customWidth="1"/>
    <col min="3329" max="3329" width="14.140625" style="1156" bestFit="1" customWidth="1"/>
    <col min="3330" max="3330" width="15.28515625" style="1156" customWidth="1"/>
    <col min="3331" max="3331" width="17.7109375" style="1156" customWidth="1"/>
    <col min="3332" max="3332" width="17" style="1156" bestFit="1" customWidth="1"/>
    <col min="3333" max="3333" width="12.7109375" style="1156" customWidth="1"/>
    <col min="3334" max="3334" width="13.7109375" style="1156" customWidth="1"/>
    <col min="3335" max="3335" width="13.85546875" style="1156" bestFit="1" customWidth="1"/>
    <col min="3336" max="3336" width="19.7109375" style="1156" bestFit="1" customWidth="1"/>
    <col min="3337" max="3337" width="16.140625" style="1156" customWidth="1"/>
    <col min="3338" max="3338" width="16.7109375" style="1156" bestFit="1" customWidth="1"/>
    <col min="3339" max="3339" width="15.5703125" style="1156" bestFit="1" customWidth="1"/>
    <col min="3340" max="3340" width="20.5703125" style="1156" bestFit="1" customWidth="1"/>
    <col min="3341" max="3341" width="16.42578125" style="1156" bestFit="1" customWidth="1"/>
    <col min="3342" max="3342" width="14.28515625" style="1156" customWidth="1"/>
    <col min="3343" max="3343" width="12.85546875" style="1156" bestFit="1" customWidth="1"/>
    <col min="3344" max="3344" width="11.28515625" style="1156" bestFit="1" customWidth="1"/>
    <col min="3345" max="3345" width="12.5703125" style="1156" bestFit="1" customWidth="1"/>
    <col min="3346" max="3346" width="14" style="1156" bestFit="1" customWidth="1"/>
    <col min="3347" max="3347" width="6" style="1156" bestFit="1" customWidth="1"/>
    <col min="3348" max="3348" width="15" style="1156" customWidth="1"/>
    <col min="3349" max="3349" width="14.85546875" style="1156" bestFit="1" customWidth="1"/>
    <col min="3350" max="3350" width="16.140625" style="1156" bestFit="1" customWidth="1"/>
    <col min="3351" max="3577" width="9.140625" style="1156"/>
    <col min="3578" max="3578" width="24" style="1156" bestFit="1" customWidth="1"/>
    <col min="3579" max="3579" width="43.85546875" style="1156" customWidth="1"/>
    <col min="3580" max="3580" width="19.7109375" style="1156" bestFit="1" customWidth="1"/>
    <col min="3581" max="3581" width="12.42578125" style="1156" bestFit="1" customWidth="1"/>
    <col min="3582" max="3582" width="16.28515625" style="1156" bestFit="1" customWidth="1"/>
    <col min="3583" max="3583" width="13.42578125" style="1156" customWidth="1"/>
    <col min="3584" max="3584" width="15.28515625" style="1156" bestFit="1" customWidth="1"/>
    <col min="3585" max="3585" width="14.140625" style="1156" bestFit="1" customWidth="1"/>
    <col min="3586" max="3586" width="15.28515625" style="1156" customWidth="1"/>
    <col min="3587" max="3587" width="17.7109375" style="1156" customWidth="1"/>
    <col min="3588" max="3588" width="17" style="1156" bestFit="1" customWidth="1"/>
    <col min="3589" max="3589" width="12.7109375" style="1156" customWidth="1"/>
    <col min="3590" max="3590" width="13.7109375" style="1156" customWidth="1"/>
    <col min="3591" max="3591" width="13.85546875" style="1156" bestFit="1" customWidth="1"/>
    <col min="3592" max="3592" width="19.7109375" style="1156" bestFit="1" customWidth="1"/>
    <col min="3593" max="3593" width="16.140625" style="1156" customWidth="1"/>
    <col min="3594" max="3594" width="16.7109375" style="1156" bestFit="1" customWidth="1"/>
    <col min="3595" max="3595" width="15.5703125" style="1156" bestFit="1" customWidth="1"/>
    <col min="3596" max="3596" width="20.5703125" style="1156" bestFit="1" customWidth="1"/>
    <col min="3597" max="3597" width="16.42578125" style="1156" bestFit="1" customWidth="1"/>
    <col min="3598" max="3598" width="14.28515625" style="1156" customWidth="1"/>
    <col min="3599" max="3599" width="12.85546875" style="1156" bestFit="1" customWidth="1"/>
    <col min="3600" max="3600" width="11.28515625" style="1156" bestFit="1" customWidth="1"/>
    <col min="3601" max="3601" width="12.5703125" style="1156" bestFit="1" customWidth="1"/>
    <col min="3602" max="3602" width="14" style="1156" bestFit="1" customWidth="1"/>
    <col min="3603" max="3603" width="6" style="1156" bestFit="1" customWidth="1"/>
    <col min="3604" max="3604" width="15" style="1156" customWidth="1"/>
    <col min="3605" max="3605" width="14.85546875" style="1156" bestFit="1" customWidth="1"/>
    <col min="3606" max="3606" width="16.140625" style="1156" bestFit="1" customWidth="1"/>
    <col min="3607" max="3833" width="9.140625" style="1156"/>
    <col min="3834" max="3834" width="24" style="1156" bestFit="1" customWidth="1"/>
    <col min="3835" max="3835" width="43.85546875" style="1156" customWidth="1"/>
    <col min="3836" max="3836" width="19.7109375" style="1156" bestFit="1" customWidth="1"/>
    <col min="3837" max="3837" width="12.42578125" style="1156" bestFit="1" customWidth="1"/>
    <col min="3838" max="3838" width="16.28515625" style="1156" bestFit="1" customWidth="1"/>
    <col min="3839" max="3839" width="13.42578125" style="1156" customWidth="1"/>
    <col min="3840" max="3840" width="15.28515625" style="1156" bestFit="1" customWidth="1"/>
    <col min="3841" max="3841" width="14.140625" style="1156" bestFit="1" customWidth="1"/>
    <col min="3842" max="3842" width="15.28515625" style="1156" customWidth="1"/>
    <col min="3843" max="3843" width="17.7109375" style="1156" customWidth="1"/>
    <col min="3844" max="3844" width="17" style="1156" bestFit="1" customWidth="1"/>
    <col min="3845" max="3845" width="12.7109375" style="1156" customWidth="1"/>
    <col min="3846" max="3846" width="13.7109375" style="1156" customWidth="1"/>
    <col min="3847" max="3847" width="13.85546875" style="1156" bestFit="1" customWidth="1"/>
    <col min="3848" max="3848" width="19.7109375" style="1156" bestFit="1" customWidth="1"/>
    <col min="3849" max="3849" width="16.140625" style="1156" customWidth="1"/>
    <col min="3850" max="3850" width="16.7109375" style="1156" bestFit="1" customWidth="1"/>
    <col min="3851" max="3851" width="15.5703125" style="1156" bestFit="1" customWidth="1"/>
    <col min="3852" max="3852" width="20.5703125" style="1156" bestFit="1" customWidth="1"/>
    <col min="3853" max="3853" width="16.42578125" style="1156" bestFit="1" customWidth="1"/>
    <col min="3854" max="3854" width="14.28515625" style="1156" customWidth="1"/>
    <col min="3855" max="3855" width="12.85546875" style="1156" bestFit="1" customWidth="1"/>
    <col min="3856" max="3856" width="11.28515625" style="1156" bestFit="1" customWidth="1"/>
    <col min="3857" max="3857" width="12.5703125" style="1156" bestFit="1" customWidth="1"/>
    <col min="3858" max="3858" width="14" style="1156" bestFit="1" customWidth="1"/>
    <col min="3859" max="3859" width="6" style="1156" bestFit="1" customWidth="1"/>
    <col min="3860" max="3860" width="15" style="1156" customWidth="1"/>
    <col min="3861" max="3861" width="14.85546875" style="1156" bestFit="1" customWidth="1"/>
    <col min="3862" max="3862" width="16.140625" style="1156" bestFit="1" customWidth="1"/>
    <col min="3863" max="4089" width="9.140625" style="1156"/>
    <col min="4090" max="4090" width="24" style="1156" bestFit="1" customWidth="1"/>
    <col min="4091" max="4091" width="43.85546875" style="1156" customWidth="1"/>
    <col min="4092" max="4092" width="19.7109375" style="1156" bestFit="1" customWidth="1"/>
    <col min="4093" max="4093" width="12.42578125" style="1156" bestFit="1" customWidth="1"/>
    <col min="4094" max="4094" width="16.28515625" style="1156" bestFit="1" customWidth="1"/>
    <col min="4095" max="4095" width="13.42578125" style="1156" customWidth="1"/>
    <col min="4096" max="4096" width="15.28515625" style="1156" bestFit="1" customWidth="1"/>
    <col min="4097" max="4097" width="14.140625" style="1156" bestFit="1" customWidth="1"/>
    <col min="4098" max="4098" width="15.28515625" style="1156" customWidth="1"/>
    <col min="4099" max="4099" width="17.7109375" style="1156" customWidth="1"/>
    <col min="4100" max="4100" width="17" style="1156" bestFit="1" customWidth="1"/>
    <col min="4101" max="4101" width="12.7109375" style="1156" customWidth="1"/>
    <col min="4102" max="4102" width="13.7109375" style="1156" customWidth="1"/>
    <col min="4103" max="4103" width="13.85546875" style="1156" bestFit="1" customWidth="1"/>
    <col min="4104" max="4104" width="19.7109375" style="1156" bestFit="1" customWidth="1"/>
    <col min="4105" max="4105" width="16.140625" style="1156" customWidth="1"/>
    <col min="4106" max="4106" width="16.7109375" style="1156" bestFit="1" customWidth="1"/>
    <col min="4107" max="4107" width="15.5703125" style="1156" bestFit="1" customWidth="1"/>
    <col min="4108" max="4108" width="20.5703125" style="1156" bestFit="1" customWidth="1"/>
    <col min="4109" max="4109" width="16.42578125" style="1156" bestFit="1" customWidth="1"/>
    <col min="4110" max="4110" width="14.28515625" style="1156" customWidth="1"/>
    <col min="4111" max="4111" width="12.85546875" style="1156" bestFit="1" customWidth="1"/>
    <col min="4112" max="4112" width="11.28515625" style="1156" bestFit="1" customWidth="1"/>
    <col min="4113" max="4113" width="12.5703125" style="1156" bestFit="1" customWidth="1"/>
    <col min="4114" max="4114" width="14" style="1156" bestFit="1" customWidth="1"/>
    <col min="4115" max="4115" width="6" style="1156" bestFit="1" customWidth="1"/>
    <col min="4116" max="4116" width="15" style="1156" customWidth="1"/>
    <col min="4117" max="4117" width="14.85546875" style="1156" bestFit="1" customWidth="1"/>
    <col min="4118" max="4118" width="16.140625" style="1156" bestFit="1" customWidth="1"/>
    <col min="4119" max="4345" width="9.140625" style="1156"/>
    <col min="4346" max="4346" width="24" style="1156" bestFit="1" customWidth="1"/>
    <col min="4347" max="4347" width="43.85546875" style="1156" customWidth="1"/>
    <col min="4348" max="4348" width="19.7109375" style="1156" bestFit="1" customWidth="1"/>
    <col min="4349" max="4349" width="12.42578125" style="1156" bestFit="1" customWidth="1"/>
    <col min="4350" max="4350" width="16.28515625" style="1156" bestFit="1" customWidth="1"/>
    <col min="4351" max="4351" width="13.42578125" style="1156" customWidth="1"/>
    <col min="4352" max="4352" width="15.28515625" style="1156" bestFit="1" customWidth="1"/>
    <col min="4353" max="4353" width="14.140625" style="1156" bestFit="1" customWidth="1"/>
    <col min="4354" max="4354" width="15.28515625" style="1156" customWidth="1"/>
    <col min="4355" max="4355" width="17.7109375" style="1156" customWidth="1"/>
    <col min="4356" max="4356" width="17" style="1156" bestFit="1" customWidth="1"/>
    <col min="4357" max="4357" width="12.7109375" style="1156" customWidth="1"/>
    <col min="4358" max="4358" width="13.7109375" style="1156" customWidth="1"/>
    <col min="4359" max="4359" width="13.85546875" style="1156" bestFit="1" customWidth="1"/>
    <col min="4360" max="4360" width="19.7109375" style="1156" bestFit="1" customWidth="1"/>
    <col min="4361" max="4361" width="16.140625" style="1156" customWidth="1"/>
    <col min="4362" max="4362" width="16.7109375" style="1156" bestFit="1" customWidth="1"/>
    <col min="4363" max="4363" width="15.5703125" style="1156" bestFit="1" customWidth="1"/>
    <col min="4364" max="4364" width="20.5703125" style="1156" bestFit="1" customWidth="1"/>
    <col min="4365" max="4365" width="16.42578125" style="1156" bestFit="1" customWidth="1"/>
    <col min="4366" max="4366" width="14.28515625" style="1156" customWidth="1"/>
    <col min="4367" max="4367" width="12.85546875" style="1156" bestFit="1" customWidth="1"/>
    <col min="4368" max="4368" width="11.28515625" style="1156" bestFit="1" customWidth="1"/>
    <col min="4369" max="4369" width="12.5703125" style="1156" bestFit="1" customWidth="1"/>
    <col min="4370" max="4370" width="14" style="1156" bestFit="1" customWidth="1"/>
    <col min="4371" max="4371" width="6" style="1156" bestFit="1" customWidth="1"/>
    <col min="4372" max="4372" width="15" style="1156" customWidth="1"/>
    <col min="4373" max="4373" width="14.85546875" style="1156" bestFit="1" customWidth="1"/>
    <col min="4374" max="4374" width="16.140625" style="1156" bestFit="1" customWidth="1"/>
    <col min="4375" max="4601" width="9.140625" style="1156"/>
    <col min="4602" max="4602" width="24" style="1156" bestFit="1" customWidth="1"/>
    <col min="4603" max="4603" width="43.85546875" style="1156" customWidth="1"/>
    <col min="4604" max="4604" width="19.7109375" style="1156" bestFit="1" customWidth="1"/>
    <col min="4605" max="4605" width="12.42578125" style="1156" bestFit="1" customWidth="1"/>
    <col min="4606" max="4606" width="16.28515625" style="1156" bestFit="1" customWidth="1"/>
    <col min="4607" max="4607" width="13.42578125" style="1156" customWidth="1"/>
    <col min="4608" max="4608" width="15.28515625" style="1156" bestFit="1" customWidth="1"/>
    <col min="4609" max="4609" width="14.140625" style="1156" bestFit="1" customWidth="1"/>
    <col min="4610" max="4610" width="15.28515625" style="1156" customWidth="1"/>
    <col min="4611" max="4611" width="17.7109375" style="1156" customWidth="1"/>
    <col min="4612" max="4612" width="17" style="1156" bestFit="1" customWidth="1"/>
    <col min="4613" max="4613" width="12.7109375" style="1156" customWidth="1"/>
    <col min="4614" max="4614" width="13.7109375" style="1156" customWidth="1"/>
    <col min="4615" max="4615" width="13.85546875" style="1156" bestFit="1" customWidth="1"/>
    <col min="4616" max="4616" width="19.7109375" style="1156" bestFit="1" customWidth="1"/>
    <col min="4617" max="4617" width="16.140625" style="1156" customWidth="1"/>
    <col min="4618" max="4618" width="16.7109375" style="1156" bestFit="1" customWidth="1"/>
    <col min="4619" max="4619" width="15.5703125" style="1156" bestFit="1" customWidth="1"/>
    <col min="4620" max="4620" width="20.5703125" style="1156" bestFit="1" customWidth="1"/>
    <col min="4621" max="4621" width="16.42578125" style="1156" bestFit="1" customWidth="1"/>
    <col min="4622" max="4622" width="14.28515625" style="1156" customWidth="1"/>
    <col min="4623" max="4623" width="12.85546875" style="1156" bestFit="1" customWidth="1"/>
    <col min="4624" max="4624" width="11.28515625" style="1156" bestFit="1" customWidth="1"/>
    <col min="4625" max="4625" width="12.5703125" style="1156" bestFit="1" customWidth="1"/>
    <col min="4626" max="4626" width="14" style="1156" bestFit="1" customWidth="1"/>
    <col min="4627" max="4627" width="6" style="1156" bestFit="1" customWidth="1"/>
    <col min="4628" max="4628" width="15" style="1156" customWidth="1"/>
    <col min="4629" max="4629" width="14.85546875" style="1156" bestFit="1" customWidth="1"/>
    <col min="4630" max="4630" width="16.140625" style="1156" bestFit="1" customWidth="1"/>
    <col min="4631" max="4857" width="9.140625" style="1156"/>
    <col min="4858" max="4858" width="24" style="1156" bestFit="1" customWidth="1"/>
    <col min="4859" max="4859" width="43.85546875" style="1156" customWidth="1"/>
    <col min="4860" max="4860" width="19.7109375" style="1156" bestFit="1" customWidth="1"/>
    <col min="4861" max="4861" width="12.42578125" style="1156" bestFit="1" customWidth="1"/>
    <col min="4862" max="4862" width="16.28515625" style="1156" bestFit="1" customWidth="1"/>
    <col min="4863" max="4863" width="13.42578125" style="1156" customWidth="1"/>
    <col min="4864" max="4864" width="15.28515625" style="1156" bestFit="1" customWidth="1"/>
    <col min="4865" max="4865" width="14.140625" style="1156" bestFit="1" customWidth="1"/>
    <col min="4866" max="4866" width="15.28515625" style="1156" customWidth="1"/>
    <col min="4867" max="4867" width="17.7109375" style="1156" customWidth="1"/>
    <col min="4868" max="4868" width="17" style="1156" bestFit="1" customWidth="1"/>
    <col min="4869" max="4869" width="12.7109375" style="1156" customWidth="1"/>
    <col min="4870" max="4870" width="13.7109375" style="1156" customWidth="1"/>
    <col min="4871" max="4871" width="13.85546875" style="1156" bestFit="1" customWidth="1"/>
    <col min="4872" max="4872" width="19.7109375" style="1156" bestFit="1" customWidth="1"/>
    <col min="4873" max="4873" width="16.140625" style="1156" customWidth="1"/>
    <col min="4874" max="4874" width="16.7109375" style="1156" bestFit="1" customWidth="1"/>
    <col min="4875" max="4875" width="15.5703125" style="1156" bestFit="1" customWidth="1"/>
    <col min="4876" max="4876" width="20.5703125" style="1156" bestFit="1" customWidth="1"/>
    <col min="4877" max="4877" width="16.42578125" style="1156" bestFit="1" customWidth="1"/>
    <col min="4878" max="4878" width="14.28515625" style="1156" customWidth="1"/>
    <col min="4879" max="4879" width="12.85546875" style="1156" bestFit="1" customWidth="1"/>
    <col min="4880" max="4880" width="11.28515625" style="1156" bestFit="1" customWidth="1"/>
    <col min="4881" max="4881" width="12.5703125" style="1156" bestFit="1" customWidth="1"/>
    <col min="4882" max="4882" width="14" style="1156" bestFit="1" customWidth="1"/>
    <col min="4883" max="4883" width="6" style="1156" bestFit="1" customWidth="1"/>
    <col min="4884" max="4884" width="15" style="1156" customWidth="1"/>
    <col min="4885" max="4885" width="14.85546875" style="1156" bestFit="1" customWidth="1"/>
    <col min="4886" max="4886" width="16.140625" style="1156" bestFit="1" customWidth="1"/>
    <col min="4887" max="5113" width="9.140625" style="1156"/>
    <col min="5114" max="5114" width="24" style="1156" bestFit="1" customWidth="1"/>
    <col min="5115" max="5115" width="43.85546875" style="1156" customWidth="1"/>
    <col min="5116" max="5116" width="19.7109375" style="1156" bestFit="1" customWidth="1"/>
    <col min="5117" max="5117" width="12.42578125" style="1156" bestFit="1" customWidth="1"/>
    <col min="5118" max="5118" width="16.28515625" style="1156" bestFit="1" customWidth="1"/>
    <col min="5119" max="5119" width="13.42578125" style="1156" customWidth="1"/>
    <col min="5120" max="5120" width="15.28515625" style="1156" bestFit="1" customWidth="1"/>
    <col min="5121" max="5121" width="14.140625" style="1156" bestFit="1" customWidth="1"/>
    <col min="5122" max="5122" width="15.28515625" style="1156" customWidth="1"/>
    <col min="5123" max="5123" width="17.7109375" style="1156" customWidth="1"/>
    <col min="5124" max="5124" width="17" style="1156" bestFit="1" customWidth="1"/>
    <col min="5125" max="5125" width="12.7109375" style="1156" customWidth="1"/>
    <col min="5126" max="5126" width="13.7109375" style="1156" customWidth="1"/>
    <col min="5127" max="5127" width="13.85546875" style="1156" bestFit="1" customWidth="1"/>
    <col min="5128" max="5128" width="19.7109375" style="1156" bestFit="1" customWidth="1"/>
    <col min="5129" max="5129" width="16.140625" style="1156" customWidth="1"/>
    <col min="5130" max="5130" width="16.7109375" style="1156" bestFit="1" customWidth="1"/>
    <col min="5131" max="5131" width="15.5703125" style="1156" bestFit="1" customWidth="1"/>
    <col min="5132" max="5132" width="20.5703125" style="1156" bestFit="1" customWidth="1"/>
    <col min="5133" max="5133" width="16.42578125" style="1156" bestFit="1" customWidth="1"/>
    <col min="5134" max="5134" width="14.28515625" style="1156" customWidth="1"/>
    <col min="5135" max="5135" width="12.85546875" style="1156" bestFit="1" customWidth="1"/>
    <col min="5136" max="5136" width="11.28515625" style="1156" bestFit="1" customWidth="1"/>
    <col min="5137" max="5137" width="12.5703125" style="1156" bestFit="1" customWidth="1"/>
    <col min="5138" max="5138" width="14" style="1156" bestFit="1" customWidth="1"/>
    <col min="5139" max="5139" width="6" style="1156" bestFit="1" customWidth="1"/>
    <col min="5140" max="5140" width="15" style="1156" customWidth="1"/>
    <col min="5141" max="5141" width="14.85546875" style="1156" bestFit="1" customWidth="1"/>
    <col min="5142" max="5142" width="16.140625" style="1156" bestFit="1" customWidth="1"/>
    <col min="5143" max="5369" width="9.140625" style="1156"/>
    <col min="5370" max="5370" width="24" style="1156" bestFit="1" customWidth="1"/>
    <col min="5371" max="5371" width="43.85546875" style="1156" customWidth="1"/>
    <col min="5372" max="5372" width="19.7109375" style="1156" bestFit="1" customWidth="1"/>
    <col min="5373" max="5373" width="12.42578125" style="1156" bestFit="1" customWidth="1"/>
    <col min="5374" max="5374" width="16.28515625" style="1156" bestFit="1" customWidth="1"/>
    <col min="5375" max="5375" width="13.42578125" style="1156" customWidth="1"/>
    <col min="5376" max="5376" width="15.28515625" style="1156" bestFit="1" customWidth="1"/>
    <col min="5377" max="5377" width="14.140625" style="1156" bestFit="1" customWidth="1"/>
    <col min="5378" max="5378" width="15.28515625" style="1156" customWidth="1"/>
    <col min="5379" max="5379" width="17.7109375" style="1156" customWidth="1"/>
    <col min="5380" max="5380" width="17" style="1156" bestFit="1" customWidth="1"/>
    <col min="5381" max="5381" width="12.7109375" style="1156" customWidth="1"/>
    <col min="5382" max="5382" width="13.7109375" style="1156" customWidth="1"/>
    <col min="5383" max="5383" width="13.85546875" style="1156" bestFit="1" customWidth="1"/>
    <col min="5384" max="5384" width="19.7109375" style="1156" bestFit="1" customWidth="1"/>
    <col min="5385" max="5385" width="16.140625" style="1156" customWidth="1"/>
    <col min="5386" max="5386" width="16.7109375" style="1156" bestFit="1" customWidth="1"/>
    <col min="5387" max="5387" width="15.5703125" style="1156" bestFit="1" customWidth="1"/>
    <col min="5388" max="5388" width="20.5703125" style="1156" bestFit="1" customWidth="1"/>
    <col min="5389" max="5389" width="16.42578125" style="1156" bestFit="1" customWidth="1"/>
    <col min="5390" max="5390" width="14.28515625" style="1156" customWidth="1"/>
    <col min="5391" max="5391" width="12.85546875" style="1156" bestFit="1" customWidth="1"/>
    <col min="5392" max="5392" width="11.28515625" style="1156" bestFit="1" customWidth="1"/>
    <col min="5393" max="5393" width="12.5703125" style="1156" bestFit="1" customWidth="1"/>
    <col min="5394" max="5394" width="14" style="1156" bestFit="1" customWidth="1"/>
    <col min="5395" max="5395" width="6" style="1156" bestFit="1" customWidth="1"/>
    <col min="5396" max="5396" width="15" style="1156" customWidth="1"/>
    <col min="5397" max="5397" width="14.85546875" style="1156" bestFit="1" customWidth="1"/>
    <col min="5398" max="5398" width="16.140625" style="1156" bestFit="1" customWidth="1"/>
    <col min="5399" max="5625" width="9.140625" style="1156"/>
    <col min="5626" max="5626" width="24" style="1156" bestFit="1" customWidth="1"/>
    <col min="5627" max="5627" width="43.85546875" style="1156" customWidth="1"/>
    <col min="5628" max="5628" width="19.7109375" style="1156" bestFit="1" customWidth="1"/>
    <col min="5629" max="5629" width="12.42578125" style="1156" bestFit="1" customWidth="1"/>
    <col min="5630" max="5630" width="16.28515625" style="1156" bestFit="1" customWidth="1"/>
    <col min="5631" max="5631" width="13.42578125" style="1156" customWidth="1"/>
    <col min="5632" max="5632" width="15.28515625" style="1156" bestFit="1" customWidth="1"/>
    <col min="5633" max="5633" width="14.140625" style="1156" bestFit="1" customWidth="1"/>
    <col min="5634" max="5634" width="15.28515625" style="1156" customWidth="1"/>
    <col min="5635" max="5635" width="17.7109375" style="1156" customWidth="1"/>
    <col min="5636" max="5636" width="17" style="1156" bestFit="1" customWidth="1"/>
    <col min="5637" max="5637" width="12.7109375" style="1156" customWidth="1"/>
    <col min="5638" max="5638" width="13.7109375" style="1156" customWidth="1"/>
    <col min="5639" max="5639" width="13.85546875" style="1156" bestFit="1" customWidth="1"/>
    <col min="5640" max="5640" width="19.7109375" style="1156" bestFit="1" customWidth="1"/>
    <col min="5641" max="5641" width="16.140625" style="1156" customWidth="1"/>
    <col min="5642" max="5642" width="16.7109375" style="1156" bestFit="1" customWidth="1"/>
    <col min="5643" max="5643" width="15.5703125" style="1156" bestFit="1" customWidth="1"/>
    <col min="5644" max="5644" width="20.5703125" style="1156" bestFit="1" customWidth="1"/>
    <col min="5645" max="5645" width="16.42578125" style="1156" bestFit="1" customWidth="1"/>
    <col min="5646" max="5646" width="14.28515625" style="1156" customWidth="1"/>
    <col min="5647" max="5647" width="12.85546875" style="1156" bestFit="1" customWidth="1"/>
    <col min="5648" max="5648" width="11.28515625" style="1156" bestFit="1" customWidth="1"/>
    <col min="5649" max="5649" width="12.5703125" style="1156" bestFit="1" customWidth="1"/>
    <col min="5650" max="5650" width="14" style="1156" bestFit="1" customWidth="1"/>
    <col min="5651" max="5651" width="6" style="1156" bestFit="1" customWidth="1"/>
    <col min="5652" max="5652" width="15" style="1156" customWidth="1"/>
    <col min="5653" max="5653" width="14.85546875" style="1156" bestFit="1" customWidth="1"/>
    <col min="5654" max="5654" width="16.140625" style="1156" bestFit="1" customWidth="1"/>
    <col min="5655" max="5881" width="9.140625" style="1156"/>
    <col min="5882" max="5882" width="24" style="1156" bestFit="1" customWidth="1"/>
    <col min="5883" max="5883" width="43.85546875" style="1156" customWidth="1"/>
    <col min="5884" max="5884" width="19.7109375" style="1156" bestFit="1" customWidth="1"/>
    <col min="5885" max="5885" width="12.42578125" style="1156" bestFit="1" customWidth="1"/>
    <col min="5886" max="5886" width="16.28515625" style="1156" bestFit="1" customWidth="1"/>
    <col min="5887" max="5887" width="13.42578125" style="1156" customWidth="1"/>
    <col min="5888" max="5888" width="15.28515625" style="1156" bestFit="1" customWidth="1"/>
    <col min="5889" max="5889" width="14.140625" style="1156" bestFit="1" customWidth="1"/>
    <col min="5890" max="5890" width="15.28515625" style="1156" customWidth="1"/>
    <col min="5891" max="5891" width="17.7109375" style="1156" customWidth="1"/>
    <col min="5892" max="5892" width="17" style="1156" bestFit="1" customWidth="1"/>
    <col min="5893" max="5893" width="12.7109375" style="1156" customWidth="1"/>
    <col min="5894" max="5894" width="13.7109375" style="1156" customWidth="1"/>
    <col min="5895" max="5895" width="13.85546875" style="1156" bestFit="1" customWidth="1"/>
    <col min="5896" max="5896" width="19.7109375" style="1156" bestFit="1" customWidth="1"/>
    <col min="5897" max="5897" width="16.140625" style="1156" customWidth="1"/>
    <col min="5898" max="5898" width="16.7109375" style="1156" bestFit="1" customWidth="1"/>
    <col min="5899" max="5899" width="15.5703125" style="1156" bestFit="1" customWidth="1"/>
    <col min="5900" max="5900" width="20.5703125" style="1156" bestFit="1" customWidth="1"/>
    <col min="5901" max="5901" width="16.42578125" style="1156" bestFit="1" customWidth="1"/>
    <col min="5902" max="5902" width="14.28515625" style="1156" customWidth="1"/>
    <col min="5903" max="5903" width="12.85546875" style="1156" bestFit="1" customWidth="1"/>
    <col min="5904" max="5904" width="11.28515625" style="1156" bestFit="1" customWidth="1"/>
    <col min="5905" max="5905" width="12.5703125" style="1156" bestFit="1" customWidth="1"/>
    <col min="5906" max="5906" width="14" style="1156" bestFit="1" customWidth="1"/>
    <col min="5907" max="5907" width="6" style="1156" bestFit="1" customWidth="1"/>
    <col min="5908" max="5908" width="15" style="1156" customWidth="1"/>
    <col min="5909" max="5909" width="14.85546875" style="1156" bestFit="1" customWidth="1"/>
    <col min="5910" max="5910" width="16.140625" style="1156" bestFit="1" customWidth="1"/>
    <col min="5911" max="6137" width="9.140625" style="1156"/>
    <col min="6138" max="6138" width="24" style="1156" bestFit="1" customWidth="1"/>
    <col min="6139" max="6139" width="43.85546875" style="1156" customWidth="1"/>
    <col min="6140" max="6140" width="19.7109375" style="1156" bestFit="1" customWidth="1"/>
    <col min="6141" max="6141" width="12.42578125" style="1156" bestFit="1" customWidth="1"/>
    <col min="6142" max="6142" width="16.28515625" style="1156" bestFit="1" customWidth="1"/>
    <col min="6143" max="6143" width="13.42578125" style="1156" customWidth="1"/>
    <col min="6144" max="6144" width="15.28515625" style="1156" bestFit="1" customWidth="1"/>
    <col min="6145" max="6145" width="14.140625" style="1156" bestFit="1" customWidth="1"/>
    <col min="6146" max="6146" width="15.28515625" style="1156" customWidth="1"/>
    <col min="6147" max="6147" width="17.7109375" style="1156" customWidth="1"/>
    <col min="6148" max="6148" width="17" style="1156" bestFit="1" customWidth="1"/>
    <col min="6149" max="6149" width="12.7109375" style="1156" customWidth="1"/>
    <col min="6150" max="6150" width="13.7109375" style="1156" customWidth="1"/>
    <col min="6151" max="6151" width="13.85546875" style="1156" bestFit="1" customWidth="1"/>
    <col min="6152" max="6152" width="19.7109375" style="1156" bestFit="1" customWidth="1"/>
    <col min="6153" max="6153" width="16.140625" style="1156" customWidth="1"/>
    <col min="6154" max="6154" width="16.7109375" style="1156" bestFit="1" customWidth="1"/>
    <col min="6155" max="6155" width="15.5703125" style="1156" bestFit="1" customWidth="1"/>
    <col min="6156" max="6156" width="20.5703125" style="1156" bestFit="1" customWidth="1"/>
    <col min="6157" max="6157" width="16.42578125" style="1156" bestFit="1" customWidth="1"/>
    <col min="6158" max="6158" width="14.28515625" style="1156" customWidth="1"/>
    <col min="6159" max="6159" width="12.85546875" style="1156" bestFit="1" customWidth="1"/>
    <col min="6160" max="6160" width="11.28515625" style="1156" bestFit="1" customWidth="1"/>
    <col min="6161" max="6161" width="12.5703125" style="1156" bestFit="1" customWidth="1"/>
    <col min="6162" max="6162" width="14" style="1156" bestFit="1" customWidth="1"/>
    <col min="6163" max="6163" width="6" style="1156" bestFit="1" customWidth="1"/>
    <col min="6164" max="6164" width="15" style="1156" customWidth="1"/>
    <col min="6165" max="6165" width="14.85546875" style="1156" bestFit="1" customWidth="1"/>
    <col min="6166" max="6166" width="16.140625" style="1156" bestFit="1" customWidth="1"/>
    <col min="6167" max="6393" width="9.140625" style="1156"/>
    <col min="6394" max="6394" width="24" style="1156" bestFit="1" customWidth="1"/>
    <col min="6395" max="6395" width="43.85546875" style="1156" customWidth="1"/>
    <col min="6396" max="6396" width="19.7109375" style="1156" bestFit="1" customWidth="1"/>
    <col min="6397" max="6397" width="12.42578125" style="1156" bestFit="1" customWidth="1"/>
    <col min="6398" max="6398" width="16.28515625" style="1156" bestFit="1" customWidth="1"/>
    <col min="6399" max="6399" width="13.42578125" style="1156" customWidth="1"/>
    <col min="6400" max="6400" width="15.28515625" style="1156" bestFit="1" customWidth="1"/>
    <col min="6401" max="6401" width="14.140625" style="1156" bestFit="1" customWidth="1"/>
    <col min="6402" max="6402" width="15.28515625" style="1156" customWidth="1"/>
    <col min="6403" max="6403" width="17.7109375" style="1156" customWidth="1"/>
    <col min="6404" max="6404" width="17" style="1156" bestFit="1" customWidth="1"/>
    <col min="6405" max="6405" width="12.7109375" style="1156" customWidth="1"/>
    <col min="6406" max="6406" width="13.7109375" style="1156" customWidth="1"/>
    <col min="6407" max="6407" width="13.85546875" style="1156" bestFit="1" customWidth="1"/>
    <col min="6408" max="6408" width="19.7109375" style="1156" bestFit="1" customWidth="1"/>
    <col min="6409" max="6409" width="16.140625" style="1156" customWidth="1"/>
    <col min="6410" max="6410" width="16.7109375" style="1156" bestFit="1" customWidth="1"/>
    <col min="6411" max="6411" width="15.5703125" style="1156" bestFit="1" customWidth="1"/>
    <col min="6412" max="6412" width="20.5703125" style="1156" bestFit="1" customWidth="1"/>
    <col min="6413" max="6413" width="16.42578125" style="1156" bestFit="1" customWidth="1"/>
    <col min="6414" max="6414" width="14.28515625" style="1156" customWidth="1"/>
    <col min="6415" max="6415" width="12.85546875" style="1156" bestFit="1" customWidth="1"/>
    <col min="6416" max="6416" width="11.28515625" style="1156" bestFit="1" customWidth="1"/>
    <col min="6417" max="6417" width="12.5703125" style="1156" bestFit="1" customWidth="1"/>
    <col min="6418" max="6418" width="14" style="1156" bestFit="1" customWidth="1"/>
    <col min="6419" max="6419" width="6" style="1156" bestFit="1" customWidth="1"/>
    <col min="6420" max="6420" width="15" style="1156" customWidth="1"/>
    <col min="6421" max="6421" width="14.85546875" style="1156" bestFit="1" customWidth="1"/>
    <col min="6422" max="6422" width="16.140625" style="1156" bestFit="1" customWidth="1"/>
    <col min="6423" max="6649" width="9.140625" style="1156"/>
    <col min="6650" max="6650" width="24" style="1156" bestFit="1" customWidth="1"/>
    <col min="6651" max="6651" width="43.85546875" style="1156" customWidth="1"/>
    <col min="6652" max="6652" width="19.7109375" style="1156" bestFit="1" customWidth="1"/>
    <col min="6653" max="6653" width="12.42578125" style="1156" bestFit="1" customWidth="1"/>
    <col min="6654" max="6654" width="16.28515625" style="1156" bestFit="1" customWidth="1"/>
    <col min="6655" max="6655" width="13.42578125" style="1156" customWidth="1"/>
    <col min="6656" max="6656" width="15.28515625" style="1156" bestFit="1" customWidth="1"/>
    <col min="6657" max="6657" width="14.140625" style="1156" bestFit="1" customWidth="1"/>
    <col min="6658" max="6658" width="15.28515625" style="1156" customWidth="1"/>
    <col min="6659" max="6659" width="17.7109375" style="1156" customWidth="1"/>
    <col min="6660" max="6660" width="17" style="1156" bestFit="1" customWidth="1"/>
    <col min="6661" max="6661" width="12.7109375" style="1156" customWidth="1"/>
    <col min="6662" max="6662" width="13.7109375" style="1156" customWidth="1"/>
    <col min="6663" max="6663" width="13.85546875" style="1156" bestFit="1" customWidth="1"/>
    <col min="6664" max="6664" width="19.7109375" style="1156" bestFit="1" customWidth="1"/>
    <col min="6665" max="6665" width="16.140625" style="1156" customWidth="1"/>
    <col min="6666" max="6666" width="16.7109375" style="1156" bestFit="1" customWidth="1"/>
    <col min="6667" max="6667" width="15.5703125" style="1156" bestFit="1" customWidth="1"/>
    <col min="6668" max="6668" width="20.5703125" style="1156" bestFit="1" customWidth="1"/>
    <col min="6669" max="6669" width="16.42578125" style="1156" bestFit="1" customWidth="1"/>
    <col min="6670" max="6670" width="14.28515625" style="1156" customWidth="1"/>
    <col min="6671" max="6671" width="12.85546875" style="1156" bestFit="1" customWidth="1"/>
    <col min="6672" max="6672" width="11.28515625" style="1156" bestFit="1" customWidth="1"/>
    <col min="6673" max="6673" width="12.5703125" style="1156" bestFit="1" customWidth="1"/>
    <col min="6674" max="6674" width="14" style="1156" bestFit="1" customWidth="1"/>
    <col min="6675" max="6675" width="6" style="1156" bestFit="1" customWidth="1"/>
    <col min="6676" max="6676" width="15" style="1156" customWidth="1"/>
    <col min="6677" max="6677" width="14.85546875" style="1156" bestFit="1" customWidth="1"/>
    <col min="6678" max="6678" width="16.140625" style="1156" bestFit="1" customWidth="1"/>
    <col min="6679" max="6905" width="9.140625" style="1156"/>
    <col min="6906" max="6906" width="24" style="1156" bestFit="1" customWidth="1"/>
    <col min="6907" max="6907" width="43.85546875" style="1156" customWidth="1"/>
    <col min="6908" max="6908" width="19.7109375" style="1156" bestFit="1" customWidth="1"/>
    <col min="6909" max="6909" width="12.42578125" style="1156" bestFit="1" customWidth="1"/>
    <col min="6910" max="6910" width="16.28515625" style="1156" bestFit="1" customWidth="1"/>
    <col min="6911" max="6911" width="13.42578125" style="1156" customWidth="1"/>
    <col min="6912" max="6912" width="15.28515625" style="1156" bestFit="1" customWidth="1"/>
    <col min="6913" max="6913" width="14.140625" style="1156" bestFit="1" customWidth="1"/>
    <col min="6914" max="6914" width="15.28515625" style="1156" customWidth="1"/>
    <col min="6915" max="6915" width="17.7109375" style="1156" customWidth="1"/>
    <col min="6916" max="6916" width="17" style="1156" bestFit="1" customWidth="1"/>
    <col min="6917" max="6917" width="12.7109375" style="1156" customWidth="1"/>
    <col min="6918" max="6918" width="13.7109375" style="1156" customWidth="1"/>
    <col min="6919" max="6919" width="13.85546875" style="1156" bestFit="1" customWidth="1"/>
    <col min="6920" max="6920" width="19.7109375" style="1156" bestFit="1" customWidth="1"/>
    <col min="6921" max="6921" width="16.140625" style="1156" customWidth="1"/>
    <col min="6922" max="6922" width="16.7109375" style="1156" bestFit="1" customWidth="1"/>
    <col min="6923" max="6923" width="15.5703125" style="1156" bestFit="1" customWidth="1"/>
    <col min="6924" max="6924" width="20.5703125" style="1156" bestFit="1" customWidth="1"/>
    <col min="6925" max="6925" width="16.42578125" style="1156" bestFit="1" customWidth="1"/>
    <col min="6926" max="6926" width="14.28515625" style="1156" customWidth="1"/>
    <col min="6927" max="6927" width="12.85546875" style="1156" bestFit="1" customWidth="1"/>
    <col min="6928" max="6928" width="11.28515625" style="1156" bestFit="1" customWidth="1"/>
    <col min="6929" max="6929" width="12.5703125" style="1156" bestFit="1" customWidth="1"/>
    <col min="6930" max="6930" width="14" style="1156" bestFit="1" customWidth="1"/>
    <col min="6931" max="6931" width="6" style="1156" bestFit="1" customWidth="1"/>
    <col min="6932" max="6932" width="15" style="1156" customWidth="1"/>
    <col min="6933" max="6933" width="14.85546875" style="1156" bestFit="1" customWidth="1"/>
    <col min="6934" max="6934" width="16.140625" style="1156" bestFit="1" customWidth="1"/>
    <col min="6935" max="7161" width="9.140625" style="1156"/>
    <col min="7162" max="7162" width="24" style="1156" bestFit="1" customWidth="1"/>
    <col min="7163" max="7163" width="43.85546875" style="1156" customWidth="1"/>
    <col min="7164" max="7164" width="19.7109375" style="1156" bestFit="1" customWidth="1"/>
    <col min="7165" max="7165" width="12.42578125" style="1156" bestFit="1" customWidth="1"/>
    <col min="7166" max="7166" width="16.28515625" style="1156" bestFit="1" customWidth="1"/>
    <col min="7167" max="7167" width="13.42578125" style="1156" customWidth="1"/>
    <col min="7168" max="7168" width="15.28515625" style="1156" bestFit="1" customWidth="1"/>
    <col min="7169" max="7169" width="14.140625" style="1156" bestFit="1" customWidth="1"/>
    <col min="7170" max="7170" width="15.28515625" style="1156" customWidth="1"/>
    <col min="7171" max="7171" width="17.7109375" style="1156" customWidth="1"/>
    <col min="7172" max="7172" width="17" style="1156" bestFit="1" customWidth="1"/>
    <col min="7173" max="7173" width="12.7109375" style="1156" customWidth="1"/>
    <col min="7174" max="7174" width="13.7109375" style="1156" customWidth="1"/>
    <col min="7175" max="7175" width="13.85546875" style="1156" bestFit="1" customWidth="1"/>
    <col min="7176" max="7176" width="19.7109375" style="1156" bestFit="1" customWidth="1"/>
    <col min="7177" max="7177" width="16.140625" style="1156" customWidth="1"/>
    <col min="7178" max="7178" width="16.7109375" style="1156" bestFit="1" customWidth="1"/>
    <col min="7179" max="7179" width="15.5703125" style="1156" bestFit="1" customWidth="1"/>
    <col min="7180" max="7180" width="20.5703125" style="1156" bestFit="1" customWidth="1"/>
    <col min="7181" max="7181" width="16.42578125" style="1156" bestFit="1" customWidth="1"/>
    <col min="7182" max="7182" width="14.28515625" style="1156" customWidth="1"/>
    <col min="7183" max="7183" width="12.85546875" style="1156" bestFit="1" customWidth="1"/>
    <col min="7184" max="7184" width="11.28515625" style="1156" bestFit="1" customWidth="1"/>
    <col min="7185" max="7185" width="12.5703125" style="1156" bestFit="1" customWidth="1"/>
    <col min="7186" max="7186" width="14" style="1156" bestFit="1" customWidth="1"/>
    <col min="7187" max="7187" width="6" style="1156" bestFit="1" customWidth="1"/>
    <col min="7188" max="7188" width="15" style="1156" customWidth="1"/>
    <col min="7189" max="7189" width="14.85546875" style="1156" bestFit="1" customWidth="1"/>
    <col min="7190" max="7190" width="16.140625" style="1156" bestFit="1" customWidth="1"/>
    <col min="7191" max="7417" width="9.140625" style="1156"/>
    <col min="7418" max="7418" width="24" style="1156" bestFit="1" customWidth="1"/>
    <col min="7419" max="7419" width="43.85546875" style="1156" customWidth="1"/>
    <col min="7420" max="7420" width="19.7109375" style="1156" bestFit="1" customWidth="1"/>
    <col min="7421" max="7421" width="12.42578125" style="1156" bestFit="1" customWidth="1"/>
    <col min="7422" max="7422" width="16.28515625" style="1156" bestFit="1" customWidth="1"/>
    <col min="7423" max="7423" width="13.42578125" style="1156" customWidth="1"/>
    <col min="7424" max="7424" width="15.28515625" style="1156" bestFit="1" customWidth="1"/>
    <col min="7425" max="7425" width="14.140625" style="1156" bestFit="1" customWidth="1"/>
    <col min="7426" max="7426" width="15.28515625" style="1156" customWidth="1"/>
    <col min="7427" max="7427" width="17.7109375" style="1156" customWidth="1"/>
    <col min="7428" max="7428" width="17" style="1156" bestFit="1" customWidth="1"/>
    <col min="7429" max="7429" width="12.7109375" style="1156" customWidth="1"/>
    <col min="7430" max="7430" width="13.7109375" style="1156" customWidth="1"/>
    <col min="7431" max="7431" width="13.85546875" style="1156" bestFit="1" customWidth="1"/>
    <col min="7432" max="7432" width="19.7109375" style="1156" bestFit="1" customWidth="1"/>
    <col min="7433" max="7433" width="16.140625" style="1156" customWidth="1"/>
    <col min="7434" max="7434" width="16.7109375" style="1156" bestFit="1" customWidth="1"/>
    <col min="7435" max="7435" width="15.5703125" style="1156" bestFit="1" customWidth="1"/>
    <col min="7436" max="7436" width="20.5703125" style="1156" bestFit="1" customWidth="1"/>
    <col min="7437" max="7437" width="16.42578125" style="1156" bestFit="1" customWidth="1"/>
    <col min="7438" max="7438" width="14.28515625" style="1156" customWidth="1"/>
    <col min="7439" max="7439" width="12.85546875" style="1156" bestFit="1" customWidth="1"/>
    <col min="7440" max="7440" width="11.28515625" style="1156" bestFit="1" customWidth="1"/>
    <col min="7441" max="7441" width="12.5703125" style="1156" bestFit="1" customWidth="1"/>
    <col min="7442" max="7442" width="14" style="1156" bestFit="1" customWidth="1"/>
    <col min="7443" max="7443" width="6" style="1156" bestFit="1" customWidth="1"/>
    <col min="7444" max="7444" width="15" style="1156" customWidth="1"/>
    <col min="7445" max="7445" width="14.85546875" style="1156" bestFit="1" customWidth="1"/>
    <col min="7446" max="7446" width="16.140625" style="1156" bestFit="1" customWidth="1"/>
    <col min="7447" max="7673" width="9.140625" style="1156"/>
    <col min="7674" max="7674" width="24" style="1156" bestFit="1" customWidth="1"/>
    <col min="7675" max="7675" width="43.85546875" style="1156" customWidth="1"/>
    <col min="7676" max="7676" width="19.7109375" style="1156" bestFit="1" customWidth="1"/>
    <col min="7677" max="7677" width="12.42578125" style="1156" bestFit="1" customWidth="1"/>
    <col min="7678" max="7678" width="16.28515625" style="1156" bestFit="1" customWidth="1"/>
    <col min="7679" max="7679" width="13.42578125" style="1156" customWidth="1"/>
    <col min="7680" max="7680" width="15.28515625" style="1156" bestFit="1" customWidth="1"/>
    <col min="7681" max="7681" width="14.140625" style="1156" bestFit="1" customWidth="1"/>
    <col min="7682" max="7682" width="15.28515625" style="1156" customWidth="1"/>
    <col min="7683" max="7683" width="17.7109375" style="1156" customWidth="1"/>
    <col min="7684" max="7684" width="17" style="1156" bestFit="1" customWidth="1"/>
    <col min="7685" max="7685" width="12.7109375" style="1156" customWidth="1"/>
    <col min="7686" max="7686" width="13.7109375" style="1156" customWidth="1"/>
    <col min="7687" max="7687" width="13.85546875" style="1156" bestFit="1" customWidth="1"/>
    <col min="7688" max="7688" width="19.7109375" style="1156" bestFit="1" customWidth="1"/>
    <col min="7689" max="7689" width="16.140625" style="1156" customWidth="1"/>
    <col min="7690" max="7690" width="16.7109375" style="1156" bestFit="1" customWidth="1"/>
    <col min="7691" max="7691" width="15.5703125" style="1156" bestFit="1" customWidth="1"/>
    <col min="7692" max="7692" width="20.5703125" style="1156" bestFit="1" customWidth="1"/>
    <col min="7693" max="7693" width="16.42578125" style="1156" bestFit="1" customWidth="1"/>
    <col min="7694" max="7694" width="14.28515625" style="1156" customWidth="1"/>
    <col min="7695" max="7695" width="12.85546875" style="1156" bestFit="1" customWidth="1"/>
    <col min="7696" max="7696" width="11.28515625" style="1156" bestFit="1" customWidth="1"/>
    <col min="7697" max="7697" width="12.5703125" style="1156" bestFit="1" customWidth="1"/>
    <col min="7698" max="7698" width="14" style="1156" bestFit="1" customWidth="1"/>
    <col min="7699" max="7699" width="6" style="1156" bestFit="1" customWidth="1"/>
    <col min="7700" max="7700" width="15" style="1156" customWidth="1"/>
    <col min="7701" max="7701" width="14.85546875" style="1156" bestFit="1" customWidth="1"/>
    <col min="7702" max="7702" width="16.140625" style="1156" bestFit="1" customWidth="1"/>
    <col min="7703" max="7929" width="9.140625" style="1156"/>
    <col min="7930" max="7930" width="24" style="1156" bestFit="1" customWidth="1"/>
    <col min="7931" max="7931" width="43.85546875" style="1156" customWidth="1"/>
    <col min="7932" max="7932" width="19.7109375" style="1156" bestFit="1" customWidth="1"/>
    <col min="7933" max="7933" width="12.42578125" style="1156" bestFit="1" customWidth="1"/>
    <col min="7934" max="7934" width="16.28515625" style="1156" bestFit="1" customWidth="1"/>
    <col min="7935" max="7935" width="13.42578125" style="1156" customWidth="1"/>
    <col min="7936" max="7936" width="15.28515625" style="1156" bestFit="1" customWidth="1"/>
    <col min="7937" max="7937" width="14.140625" style="1156" bestFit="1" customWidth="1"/>
    <col min="7938" max="7938" width="15.28515625" style="1156" customWidth="1"/>
    <col min="7939" max="7939" width="17.7109375" style="1156" customWidth="1"/>
    <col min="7940" max="7940" width="17" style="1156" bestFit="1" customWidth="1"/>
    <col min="7941" max="7941" width="12.7109375" style="1156" customWidth="1"/>
    <col min="7942" max="7942" width="13.7109375" style="1156" customWidth="1"/>
    <col min="7943" max="7943" width="13.85546875" style="1156" bestFit="1" customWidth="1"/>
    <col min="7944" max="7944" width="19.7109375" style="1156" bestFit="1" customWidth="1"/>
    <col min="7945" max="7945" width="16.140625" style="1156" customWidth="1"/>
    <col min="7946" max="7946" width="16.7109375" style="1156" bestFit="1" customWidth="1"/>
    <col min="7947" max="7947" width="15.5703125" style="1156" bestFit="1" customWidth="1"/>
    <col min="7948" max="7948" width="20.5703125" style="1156" bestFit="1" customWidth="1"/>
    <col min="7949" max="7949" width="16.42578125" style="1156" bestFit="1" customWidth="1"/>
    <col min="7950" max="7950" width="14.28515625" style="1156" customWidth="1"/>
    <col min="7951" max="7951" width="12.85546875" style="1156" bestFit="1" customWidth="1"/>
    <col min="7952" max="7952" width="11.28515625" style="1156" bestFit="1" customWidth="1"/>
    <col min="7953" max="7953" width="12.5703125" style="1156" bestFit="1" customWidth="1"/>
    <col min="7954" max="7954" width="14" style="1156" bestFit="1" customWidth="1"/>
    <col min="7955" max="7955" width="6" style="1156" bestFit="1" customWidth="1"/>
    <col min="7956" max="7956" width="15" style="1156" customWidth="1"/>
    <col min="7957" max="7957" width="14.85546875" style="1156" bestFit="1" customWidth="1"/>
    <col min="7958" max="7958" width="16.140625" style="1156" bestFit="1" customWidth="1"/>
    <col min="7959" max="8185" width="9.140625" style="1156"/>
    <col min="8186" max="8186" width="24" style="1156" bestFit="1" customWidth="1"/>
    <col min="8187" max="8187" width="43.85546875" style="1156" customWidth="1"/>
    <col min="8188" max="8188" width="19.7109375" style="1156" bestFit="1" customWidth="1"/>
    <col min="8189" max="8189" width="12.42578125" style="1156" bestFit="1" customWidth="1"/>
    <col min="8190" max="8190" width="16.28515625" style="1156" bestFit="1" customWidth="1"/>
    <col min="8191" max="8191" width="13.42578125" style="1156" customWidth="1"/>
    <col min="8192" max="8192" width="15.28515625" style="1156" bestFit="1" customWidth="1"/>
    <col min="8193" max="8193" width="14.140625" style="1156" bestFit="1" customWidth="1"/>
    <col min="8194" max="8194" width="15.28515625" style="1156" customWidth="1"/>
    <col min="8195" max="8195" width="17.7109375" style="1156" customWidth="1"/>
    <col min="8196" max="8196" width="17" style="1156" bestFit="1" customWidth="1"/>
    <col min="8197" max="8197" width="12.7109375" style="1156" customWidth="1"/>
    <col min="8198" max="8198" width="13.7109375" style="1156" customWidth="1"/>
    <col min="8199" max="8199" width="13.85546875" style="1156" bestFit="1" customWidth="1"/>
    <col min="8200" max="8200" width="19.7109375" style="1156" bestFit="1" customWidth="1"/>
    <col min="8201" max="8201" width="16.140625" style="1156" customWidth="1"/>
    <col min="8202" max="8202" width="16.7109375" style="1156" bestFit="1" customWidth="1"/>
    <col min="8203" max="8203" width="15.5703125" style="1156" bestFit="1" customWidth="1"/>
    <col min="8204" max="8204" width="20.5703125" style="1156" bestFit="1" customWidth="1"/>
    <col min="8205" max="8205" width="16.42578125" style="1156" bestFit="1" customWidth="1"/>
    <col min="8206" max="8206" width="14.28515625" style="1156" customWidth="1"/>
    <col min="8207" max="8207" width="12.85546875" style="1156" bestFit="1" customWidth="1"/>
    <col min="8208" max="8208" width="11.28515625" style="1156" bestFit="1" customWidth="1"/>
    <col min="8209" max="8209" width="12.5703125" style="1156" bestFit="1" customWidth="1"/>
    <col min="8210" max="8210" width="14" style="1156" bestFit="1" customWidth="1"/>
    <col min="8211" max="8211" width="6" style="1156" bestFit="1" customWidth="1"/>
    <col min="8212" max="8212" width="15" style="1156" customWidth="1"/>
    <col min="8213" max="8213" width="14.85546875" style="1156" bestFit="1" customWidth="1"/>
    <col min="8214" max="8214" width="16.140625" style="1156" bestFit="1" customWidth="1"/>
    <col min="8215" max="8441" width="9.140625" style="1156"/>
    <col min="8442" max="8442" width="24" style="1156" bestFit="1" customWidth="1"/>
    <col min="8443" max="8443" width="43.85546875" style="1156" customWidth="1"/>
    <col min="8444" max="8444" width="19.7109375" style="1156" bestFit="1" customWidth="1"/>
    <col min="8445" max="8445" width="12.42578125" style="1156" bestFit="1" customWidth="1"/>
    <col min="8446" max="8446" width="16.28515625" style="1156" bestFit="1" customWidth="1"/>
    <col min="8447" max="8447" width="13.42578125" style="1156" customWidth="1"/>
    <col min="8448" max="8448" width="15.28515625" style="1156" bestFit="1" customWidth="1"/>
    <col min="8449" max="8449" width="14.140625" style="1156" bestFit="1" customWidth="1"/>
    <col min="8450" max="8450" width="15.28515625" style="1156" customWidth="1"/>
    <col min="8451" max="8451" width="17.7109375" style="1156" customWidth="1"/>
    <col min="8452" max="8452" width="17" style="1156" bestFit="1" customWidth="1"/>
    <col min="8453" max="8453" width="12.7109375" style="1156" customWidth="1"/>
    <col min="8454" max="8454" width="13.7109375" style="1156" customWidth="1"/>
    <col min="8455" max="8455" width="13.85546875" style="1156" bestFit="1" customWidth="1"/>
    <col min="8456" max="8456" width="19.7109375" style="1156" bestFit="1" customWidth="1"/>
    <col min="8457" max="8457" width="16.140625" style="1156" customWidth="1"/>
    <col min="8458" max="8458" width="16.7109375" style="1156" bestFit="1" customWidth="1"/>
    <col min="8459" max="8459" width="15.5703125" style="1156" bestFit="1" customWidth="1"/>
    <col min="8460" max="8460" width="20.5703125" style="1156" bestFit="1" customWidth="1"/>
    <col min="8461" max="8461" width="16.42578125" style="1156" bestFit="1" customWidth="1"/>
    <col min="8462" max="8462" width="14.28515625" style="1156" customWidth="1"/>
    <col min="8463" max="8463" width="12.85546875" style="1156" bestFit="1" customWidth="1"/>
    <col min="8464" max="8464" width="11.28515625" style="1156" bestFit="1" customWidth="1"/>
    <col min="8465" max="8465" width="12.5703125" style="1156" bestFit="1" customWidth="1"/>
    <col min="8466" max="8466" width="14" style="1156" bestFit="1" customWidth="1"/>
    <col min="8467" max="8467" width="6" style="1156" bestFit="1" customWidth="1"/>
    <col min="8468" max="8468" width="15" style="1156" customWidth="1"/>
    <col min="8469" max="8469" width="14.85546875" style="1156" bestFit="1" customWidth="1"/>
    <col min="8470" max="8470" width="16.140625" style="1156" bestFit="1" customWidth="1"/>
    <col min="8471" max="8697" width="9.140625" style="1156"/>
    <col min="8698" max="8698" width="24" style="1156" bestFit="1" customWidth="1"/>
    <col min="8699" max="8699" width="43.85546875" style="1156" customWidth="1"/>
    <col min="8700" max="8700" width="19.7109375" style="1156" bestFit="1" customWidth="1"/>
    <col min="8701" max="8701" width="12.42578125" style="1156" bestFit="1" customWidth="1"/>
    <col min="8702" max="8702" width="16.28515625" style="1156" bestFit="1" customWidth="1"/>
    <col min="8703" max="8703" width="13.42578125" style="1156" customWidth="1"/>
    <col min="8704" max="8704" width="15.28515625" style="1156" bestFit="1" customWidth="1"/>
    <col min="8705" max="8705" width="14.140625" style="1156" bestFit="1" customWidth="1"/>
    <col min="8706" max="8706" width="15.28515625" style="1156" customWidth="1"/>
    <col min="8707" max="8707" width="17.7109375" style="1156" customWidth="1"/>
    <col min="8708" max="8708" width="17" style="1156" bestFit="1" customWidth="1"/>
    <col min="8709" max="8709" width="12.7109375" style="1156" customWidth="1"/>
    <col min="8710" max="8710" width="13.7109375" style="1156" customWidth="1"/>
    <col min="8711" max="8711" width="13.85546875" style="1156" bestFit="1" customWidth="1"/>
    <col min="8712" max="8712" width="19.7109375" style="1156" bestFit="1" customWidth="1"/>
    <col min="8713" max="8713" width="16.140625" style="1156" customWidth="1"/>
    <col min="8714" max="8714" width="16.7109375" style="1156" bestFit="1" customWidth="1"/>
    <col min="8715" max="8715" width="15.5703125" style="1156" bestFit="1" customWidth="1"/>
    <col min="8716" max="8716" width="20.5703125" style="1156" bestFit="1" customWidth="1"/>
    <col min="8717" max="8717" width="16.42578125" style="1156" bestFit="1" customWidth="1"/>
    <col min="8718" max="8718" width="14.28515625" style="1156" customWidth="1"/>
    <col min="8719" max="8719" width="12.85546875" style="1156" bestFit="1" customWidth="1"/>
    <col min="8720" max="8720" width="11.28515625" style="1156" bestFit="1" customWidth="1"/>
    <col min="8721" max="8721" width="12.5703125" style="1156" bestFit="1" customWidth="1"/>
    <col min="8722" max="8722" width="14" style="1156" bestFit="1" customWidth="1"/>
    <col min="8723" max="8723" width="6" style="1156" bestFit="1" customWidth="1"/>
    <col min="8724" max="8724" width="15" style="1156" customWidth="1"/>
    <col min="8725" max="8725" width="14.85546875" style="1156" bestFit="1" customWidth="1"/>
    <col min="8726" max="8726" width="16.140625" style="1156" bestFit="1" customWidth="1"/>
    <col min="8727" max="8953" width="9.140625" style="1156"/>
    <col min="8954" max="8954" width="24" style="1156" bestFit="1" customWidth="1"/>
    <col min="8955" max="8955" width="43.85546875" style="1156" customWidth="1"/>
    <col min="8956" max="8956" width="19.7109375" style="1156" bestFit="1" customWidth="1"/>
    <col min="8957" max="8957" width="12.42578125" style="1156" bestFit="1" customWidth="1"/>
    <col min="8958" max="8958" width="16.28515625" style="1156" bestFit="1" customWidth="1"/>
    <col min="8959" max="8959" width="13.42578125" style="1156" customWidth="1"/>
    <col min="8960" max="8960" width="15.28515625" style="1156" bestFit="1" customWidth="1"/>
    <col min="8961" max="8961" width="14.140625" style="1156" bestFit="1" customWidth="1"/>
    <col min="8962" max="8962" width="15.28515625" style="1156" customWidth="1"/>
    <col min="8963" max="8963" width="17.7109375" style="1156" customWidth="1"/>
    <col min="8964" max="8964" width="17" style="1156" bestFit="1" customWidth="1"/>
    <col min="8965" max="8965" width="12.7109375" style="1156" customWidth="1"/>
    <col min="8966" max="8966" width="13.7109375" style="1156" customWidth="1"/>
    <col min="8967" max="8967" width="13.85546875" style="1156" bestFit="1" customWidth="1"/>
    <col min="8968" max="8968" width="19.7109375" style="1156" bestFit="1" customWidth="1"/>
    <col min="8969" max="8969" width="16.140625" style="1156" customWidth="1"/>
    <col min="8970" max="8970" width="16.7109375" style="1156" bestFit="1" customWidth="1"/>
    <col min="8971" max="8971" width="15.5703125" style="1156" bestFit="1" customWidth="1"/>
    <col min="8972" max="8972" width="20.5703125" style="1156" bestFit="1" customWidth="1"/>
    <col min="8973" max="8973" width="16.42578125" style="1156" bestFit="1" customWidth="1"/>
    <col min="8974" max="8974" width="14.28515625" style="1156" customWidth="1"/>
    <col min="8975" max="8975" width="12.85546875" style="1156" bestFit="1" customWidth="1"/>
    <col min="8976" max="8976" width="11.28515625" style="1156" bestFit="1" customWidth="1"/>
    <col min="8977" max="8977" width="12.5703125" style="1156" bestFit="1" customWidth="1"/>
    <col min="8978" max="8978" width="14" style="1156" bestFit="1" customWidth="1"/>
    <col min="8979" max="8979" width="6" style="1156" bestFit="1" customWidth="1"/>
    <col min="8980" max="8980" width="15" style="1156" customWidth="1"/>
    <col min="8981" max="8981" width="14.85546875" style="1156" bestFit="1" customWidth="1"/>
    <col min="8982" max="8982" width="16.140625" style="1156" bestFit="1" customWidth="1"/>
    <col min="8983" max="9209" width="9.140625" style="1156"/>
    <col min="9210" max="9210" width="24" style="1156" bestFit="1" customWidth="1"/>
    <col min="9211" max="9211" width="43.85546875" style="1156" customWidth="1"/>
    <col min="9212" max="9212" width="19.7109375" style="1156" bestFit="1" customWidth="1"/>
    <col min="9213" max="9213" width="12.42578125" style="1156" bestFit="1" customWidth="1"/>
    <col min="9214" max="9214" width="16.28515625" style="1156" bestFit="1" customWidth="1"/>
    <col min="9215" max="9215" width="13.42578125" style="1156" customWidth="1"/>
    <col min="9216" max="9216" width="15.28515625" style="1156" bestFit="1" customWidth="1"/>
    <col min="9217" max="9217" width="14.140625" style="1156" bestFit="1" customWidth="1"/>
    <col min="9218" max="9218" width="15.28515625" style="1156" customWidth="1"/>
    <col min="9219" max="9219" width="17.7109375" style="1156" customWidth="1"/>
    <col min="9220" max="9220" width="17" style="1156" bestFit="1" customWidth="1"/>
    <col min="9221" max="9221" width="12.7109375" style="1156" customWidth="1"/>
    <col min="9222" max="9222" width="13.7109375" style="1156" customWidth="1"/>
    <col min="9223" max="9223" width="13.85546875" style="1156" bestFit="1" customWidth="1"/>
    <col min="9224" max="9224" width="19.7109375" style="1156" bestFit="1" customWidth="1"/>
    <col min="9225" max="9225" width="16.140625" style="1156" customWidth="1"/>
    <col min="9226" max="9226" width="16.7109375" style="1156" bestFit="1" customWidth="1"/>
    <col min="9227" max="9227" width="15.5703125" style="1156" bestFit="1" customWidth="1"/>
    <col min="9228" max="9228" width="20.5703125" style="1156" bestFit="1" customWidth="1"/>
    <col min="9229" max="9229" width="16.42578125" style="1156" bestFit="1" customWidth="1"/>
    <col min="9230" max="9230" width="14.28515625" style="1156" customWidth="1"/>
    <col min="9231" max="9231" width="12.85546875" style="1156" bestFit="1" customWidth="1"/>
    <col min="9232" max="9232" width="11.28515625" style="1156" bestFit="1" customWidth="1"/>
    <col min="9233" max="9233" width="12.5703125" style="1156" bestFit="1" customWidth="1"/>
    <col min="9234" max="9234" width="14" style="1156" bestFit="1" customWidth="1"/>
    <col min="9235" max="9235" width="6" style="1156" bestFit="1" customWidth="1"/>
    <col min="9236" max="9236" width="15" style="1156" customWidth="1"/>
    <col min="9237" max="9237" width="14.85546875" style="1156" bestFit="1" customWidth="1"/>
    <col min="9238" max="9238" width="16.140625" style="1156" bestFit="1" customWidth="1"/>
    <col min="9239" max="9465" width="9.140625" style="1156"/>
    <col min="9466" max="9466" width="24" style="1156" bestFit="1" customWidth="1"/>
    <col min="9467" max="9467" width="43.85546875" style="1156" customWidth="1"/>
    <col min="9468" max="9468" width="19.7109375" style="1156" bestFit="1" customWidth="1"/>
    <col min="9469" max="9469" width="12.42578125" style="1156" bestFit="1" customWidth="1"/>
    <col min="9470" max="9470" width="16.28515625" style="1156" bestFit="1" customWidth="1"/>
    <col min="9471" max="9471" width="13.42578125" style="1156" customWidth="1"/>
    <col min="9472" max="9472" width="15.28515625" style="1156" bestFit="1" customWidth="1"/>
    <col min="9473" max="9473" width="14.140625" style="1156" bestFit="1" customWidth="1"/>
    <col min="9474" max="9474" width="15.28515625" style="1156" customWidth="1"/>
    <col min="9475" max="9475" width="17.7109375" style="1156" customWidth="1"/>
    <col min="9476" max="9476" width="17" style="1156" bestFit="1" customWidth="1"/>
    <col min="9477" max="9477" width="12.7109375" style="1156" customWidth="1"/>
    <col min="9478" max="9478" width="13.7109375" style="1156" customWidth="1"/>
    <col min="9479" max="9479" width="13.85546875" style="1156" bestFit="1" customWidth="1"/>
    <col min="9480" max="9480" width="19.7109375" style="1156" bestFit="1" customWidth="1"/>
    <col min="9481" max="9481" width="16.140625" style="1156" customWidth="1"/>
    <col min="9482" max="9482" width="16.7109375" style="1156" bestFit="1" customWidth="1"/>
    <col min="9483" max="9483" width="15.5703125" style="1156" bestFit="1" customWidth="1"/>
    <col min="9484" max="9484" width="20.5703125" style="1156" bestFit="1" customWidth="1"/>
    <col min="9485" max="9485" width="16.42578125" style="1156" bestFit="1" customWidth="1"/>
    <col min="9486" max="9486" width="14.28515625" style="1156" customWidth="1"/>
    <col min="9487" max="9487" width="12.85546875" style="1156" bestFit="1" customWidth="1"/>
    <col min="9488" max="9488" width="11.28515625" style="1156" bestFit="1" customWidth="1"/>
    <col min="9489" max="9489" width="12.5703125" style="1156" bestFit="1" customWidth="1"/>
    <col min="9490" max="9490" width="14" style="1156" bestFit="1" customWidth="1"/>
    <col min="9491" max="9491" width="6" style="1156" bestFit="1" customWidth="1"/>
    <col min="9492" max="9492" width="15" style="1156" customWidth="1"/>
    <col min="9493" max="9493" width="14.85546875" style="1156" bestFit="1" customWidth="1"/>
    <col min="9494" max="9494" width="16.140625" style="1156" bestFit="1" customWidth="1"/>
    <col min="9495" max="9721" width="9.140625" style="1156"/>
    <col min="9722" max="9722" width="24" style="1156" bestFit="1" customWidth="1"/>
    <col min="9723" max="9723" width="43.85546875" style="1156" customWidth="1"/>
    <col min="9724" max="9724" width="19.7109375" style="1156" bestFit="1" customWidth="1"/>
    <col min="9725" max="9725" width="12.42578125" style="1156" bestFit="1" customWidth="1"/>
    <col min="9726" max="9726" width="16.28515625" style="1156" bestFit="1" customWidth="1"/>
    <col min="9727" max="9727" width="13.42578125" style="1156" customWidth="1"/>
    <col min="9728" max="9728" width="15.28515625" style="1156" bestFit="1" customWidth="1"/>
    <col min="9729" max="9729" width="14.140625" style="1156" bestFit="1" customWidth="1"/>
    <col min="9730" max="9730" width="15.28515625" style="1156" customWidth="1"/>
    <col min="9731" max="9731" width="17.7109375" style="1156" customWidth="1"/>
    <col min="9732" max="9732" width="17" style="1156" bestFit="1" customWidth="1"/>
    <col min="9733" max="9733" width="12.7109375" style="1156" customWidth="1"/>
    <col min="9734" max="9734" width="13.7109375" style="1156" customWidth="1"/>
    <col min="9735" max="9735" width="13.85546875" style="1156" bestFit="1" customWidth="1"/>
    <col min="9736" max="9736" width="19.7109375" style="1156" bestFit="1" customWidth="1"/>
    <col min="9737" max="9737" width="16.140625" style="1156" customWidth="1"/>
    <col min="9738" max="9738" width="16.7109375" style="1156" bestFit="1" customWidth="1"/>
    <col min="9739" max="9739" width="15.5703125" style="1156" bestFit="1" customWidth="1"/>
    <col min="9740" max="9740" width="20.5703125" style="1156" bestFit="1" customWidth="1"/>
    <col min="9741" max="9741" width="16.42578125" style="1156" bestFit="1" customWidth="1"/>
    <col min="9742" max="9742" width="14.28515625" style="1156" customWidth="1"/>
    <col min="9743" max="9743" width="12.85546875" style="1156" bestFit="1" customWidth="1"/>
    <col min="9744" max="9744" width="11.28515625" style="1156" bestFit="1" customWidth="1"/>
    <col min="9745" max="9745" width="12.5703125" style="1156" bestFit="1" customWidth="1"/>
    <col min="9746" max="9746" width="14" style="1156" bestFit="1" customWidth="1"/>
    <col min="9747" max="9747" width="6" style="1156" bestFit="1" customWidth="1"/>
    <col min="9748" max="9748" width="15" style="1156" customWidth="1"/>
    <col min="9749" max="9749" width="14.85546875" style="1156" bestFit="1" customWidth="1"/>
    <col min="9750" max="9750" width="16.140625" style="1156" bestFit="1" customWidth="1"/>
    <col min="9751" max="9977" width="9.140625" style="1156"/>
    <col min="9978" max="9978" width="24" style="1156" bestFit="1" customWidth="1"/>
    <col min="9979" max="9979" width="43.85546875" style="1156" customWidth="1"/>
    <col min="9980" max="9980" width="19.7109375" style="1156" bestFit="1" customWidth="1"/>
    <col min="9981" max="9981" width="12.42578125" style="1156" bestFit="1" customWidth="1"/>
    <col min="9982" max="9982" width="16.28515625" style="1156" bestFit="1" customWidth="1"/>
    <col min="9983" max="9983" width="13.42578125" style="1156" customWidth="1"/>
    <col min="9984" max="9984" width="15.28515625" style="1156" bestFit="1" customWidth="1"/>
    <col min="9985" max="9985" width="14.140625" style="1156" bestFit="1" customWidth="1"/>
    <col min="9986" max="9986" width="15.28515625" style="1156" customWidth="1"/>
    <col min="9987" max="9987" width="17.7109375" style="1156" customWidth="1"/>
    <col min="9988" max="9988" width="17" style="1156" bestFit="1" customWidth="1"/>
    <col min="9989" max="9989" width="12.7109375" style="1156" customWidth="1"/>
    <col min="9990" max="9990" width="13.7109375" style="1156" customWidth="1"/>
    <col min="9991" max="9991" width="13.85546875" style="1156" bestFit="1" customWidth="1"/>
    <col min="9992" max="9992" width="19.7109375" style="1156" bestFit="1" customWidth="1"/>
    <col min="9993" max="9993" width="16.140625" style="1156" customWidth="1"/>
    <col min="9994" max="9994" width="16.7109375" style="1156" bestFit="1" customWidth="1"/>
    <col min="9995" max="9995" width="15.5703125" style="1156" bestFit="1" customWidth="1"/>
    <col min="9996" max="9996" width="20.5703125" style="1156" bestFit="1" customWidth="1"/>
    <col min="9997" max="9997" width="16.42578125" style="1156" bestFit="1" customWidth="1"/>
    <col min="9998" max="9998" width="14.28515625" style="1156" customWidth="1"/>
    <col min="9999" max="9999" width="12.85546875" style="1156" bestFit="1" customWidth="1"/>
    <col min="10000" max="10000" width="11.28515625" style="1156" bestFit="1" customWidth="1"/>
    <col min="10001" max="10001" width="12.5703125" style="1156" bestFit="1" customWidth="1"/>
    <col min="10002" max="10002" width="14" style="1156" bestFit="1" customWidth="1"/>
    <col min="10003" max="10003" width="6" style="1156" bestFit="1" customWidth="1"/>
    <col min="10004" max="10004" width="15" style="1156" customWidth="1"/>
    <col min="10005" max="10005" width="14.85546875" style="1156" bestFit="1" customWidth="1"/>
    <col min="10006" max="10006" width="16.140625" style="1156" bestFit="1" customWidth="1"/>
    <col min="10007" max="10233" width="9.140625" style="1156"/>
    <col min="10234" max="10234" width="24" style="1156" bestFit="1" customWidth="1"/>
    <col min="10235" max="10235" width="43.85546875" style="1156" customWidth="1"/>
    <col min="10236" max="10236" width="19.7109375" style="1156" bestFit="1" customWidth="1"/>
    <col min="10237" max="10237" width="12.42578125" style="1156" bestFit="1" customWidth="1"/>
    <col min="10238" max="10238" width="16.28515625" style="1156" bestFit="1" customWidth="1"/>
    <col min="10239" max="10239" width="13.42578125" style="1156" customWidth="1"/>
    <col min="10240" max="10240" width="15.28515625" style="1156" bestFit="1" customWidth="1"/>
    <col min="10241" max="10241" width="14.140625" style="1156" bestFit="1" customWidth="1"/>
    <col min="10242" max="10242" width="15.28515625" style="1156" customWidth="1"/>
    <col min="10243" max="10243" width="17.7109375" style="1156" customWidth="1"/>
    <col min="10244" max="10244" width="17" style="1156" bestFit="1" customWidth="1"/>
    <col min="10245" max="10245" width="12.7109375" style="1156" customWidth="1"/>
    <col min="10246" max="10246" width="13.7109375" style="1156" customWidth="1"/>
    <col min="10247" max="10247" width="13.85546875" style="1156" bestFit="1" customWidth="1"/>
    <col min="10248" max="10248" width="19.7109375" style="1156" bestFit="1" customWidth="1"/>
    <col min="10249" max="10249" width="16.140625" style="1156" customWidth="1"/>
    <col min="10250" max="10250" width="16.7109375" style="1156" bestFit="1" customWidth="1"/>
    <col min="10251" max="10251" width="15.5703125" style="1156" bestFit="1" customWidth="1"/>
    <col min="10252" max="10252" width="20.5703125" style="1156" bestFit="1" customWidth="1"/>
    <col min="10253" max="10253" width="16.42578125" style="1156" bestFit="1" customWidth="1"/>
    <col min="10254" max="10254" width="14.28515625" style="1156" customWidth="1"/>
    <col min="10255" max="10255" width="12.85546875" style="1156" bestFit="1" customWidth="1"/>
    <col min="10256" max="10256" width="11.28515625" style="1156" bestFit="1" customWidth="1"/>
    <col min="10257" max="10257" width="12.5703125" style="1156" bestFit="1" customWidth="1"/>
    <col min="10258" max="10258" width="14" style="1156" bestFit="1" customWidth="1"/>
    <col min="10259" max="10259" width="6" style="1156" bestFit="1" customWidth="1"/>
    <col min="10260" max="10260" width="15" style="1156" customWidth="1"/>
    <col min="10261" max="10261" width="14.85546875" style="1156" bestFit="1" customWidth="1"/>
    <col min="10262" max="10262" width="16.140625" style="1156" bestFit="1" customWidth="1"/>
    <col min="10263" max="10489" width="9.140625" style="1156"/>
    <col min="10490" max="10490" width="24" style="1156" bestFit="1" customWidth="1"/>
    <col min="10491" max="10491" width="43.85546875" style="1156" customWidth="1"/>
    <col min="10492" max="10492" width="19.7109375" style="1156" bestFit="1" customWidth="1"/>
    <col min="10493" max="10493" width="12.42578125" style="1156" bestFit="1" customWidth="1"/>
    <col min="10494" max="10494" width="16.28515625" style="1156" bestFit="1" customWidth="1"/>
    <col min="10495" max="10495" width="13.42578125" style="1156" customWidth="1"/>
    <col min="10496" max="10496" width="15.28515625" style="1156" bestFit="1" customWidth="1"/>
    <col min="10497" max="10497" width="14.140625" style="1156" bestFit="1" customWidth="1"/>
    <col min="10498" max="10498" width="15.28515625" style="1156" customWidth="1"/>
    <col min="10499" max="10499" width="17.7109375" style="1156" customWidth="1"/>
    <col min="10500" max="10500" width="17" style="1156" bestFit="1" customWidth="1"/>
    <col min="10501" max="10501" width="12.7109375" style="1156" customWidth="1"/>
    <col min="10502" max="10502" width="13.7109375" style="1156" customWidth="1"/>
    <col min="10503" max="10503" width="13.85546875" style="1156" bestFit="1" customWidth="1"/>
    <col min="10504" max="10504" width="19.7109375" style="1156" bestFit="1" customWidth="1"/>
    <col min="10505" max="10505" width="16.140625" style="1156" customWidth="1"/>
    <col min="10506" max="10506" width="16.7109375" style="1156" bestFit="1" customWidth="1"/>
    <col min="10507" max="10507" width="15.5703125" style="1156" bestFit="1" customWidth="1"/>
    <col min="10508" max="10508" width="20.5703125" style="1156" bestFit="1" customWidth="1"/>
    <col min="10509" max="10509" width="16.42578125" style="1156" bestFit="1" customWidth="1"/>
    <col min="10510" max="10510" width="14.28515625" style="1156" customWidth="1"/>
    <col min="10511" max="10511" width="12.85546875" style="1156" bestFit="1" customWidth="1"/>
    <col min="10512" max="10512" width="11.28515625" style="1156" bestFit="1" customWidth="1"/>
    <col min="10513" max="10513" width="12.5703125" style="1156" bestFit="1" customWidth="1"/>
    <col min="10514" max="10514" width="14" style="1156" bestFit="1" customWidth="1"/>
    <col min="10515" max="10515" width="6" style="1156" bestFit="1" customWidth="1"/>
    <col min="10516" max="10516" width="15" style="1156" customWidth="1"/>
    <col min="10517" max="10517" width="14.85546875" style="1156" bestFit="1" customWidth="1"/>
    <col min="10518" max="10518" width="16.140625" style="1156" bestFit="1" customWidth="1"/>
    <col min="10519" max="10745" width="9.140625" style="1156"/>
    <col min="10746" max="10746" width="24" style="1156" bestFit="1" customWidth="1"/>
    <col min="10747" max="10747" width="43.85546875" style="1156" customWidth="1"/>
    <col min="10748" max="10748" width="19.7109375" style="1156" bestFit="1" customWidth="1"/>
    <col min="10749" max="10749" width="12.42578125" style="1156" bestFit="1" customWidth="1"/>
    <col min="10750" max="10750" width="16.28515625" style="1156" bestFit="1" customWidth="1"/>
    <col min="10751" max="10751" width="13.42578125" style="1156" customWidth="1"/>
    <col min="10752" max="10752" width="15.28515625" style="1156" bestFit="1" customWidth="1"/>
    <col min="10753" max="10753" width="14.140625" style="1156" bestFit="1" customWidth="1"/>
    <col min="10754" max="10754" width="15.28515625" style="1156" customWidth="1"/>
    <col min="10755" max="10755" width="17.7109375" style="1156" customWidth="1"/>
    <col min="10756" max="10756" width="17" style="1156" bestFit="1" customWidth="1"/>
    <col min="10757" max="10757" width="12.7109375" style="1156" customWidth="1"/>
    <col min="10758" max="10758" width="13.7109375" style="1156" customWidth="1"/>
    <col min="10759" max="10759" width="13.85546875" style="1156" bestFit="1" customWidth="1"/>
    <col min="10760" max="10760" width="19.7109375" style="1156" bestFit="1" customWidth="1"/>
    <col min="10761" max="10761" width="16.140625" style="1156" customWidth="1"/>
    <col min="10762" max="10762" width="16.7109375" style="1156" bestFit="1" customWidth="1"/>
    <col min="10763" max="10763" width="15.5703125" style="1156" bestFit="1" customWidth="1"/>
    <col min="10764" max="10764" width="20.5703125" style="1156" bestFit="1" customWidth="1"/>
    <col min="10765" max="10765" width="16.42578125" style="1156" bestFit="1" customWidth="1"/>
    <col min="10766" max="10766" width="14.28515625" style="1156" customWidth="1"/>
    <col min="10767" max="10767" width="12.85546875" style="1156" bestFit="1" customWidth="1"/>
    <col min="10768" max="10768" width="11.28515625" style="1156" bestFit="1" customWidth="1"/>
    <col min="10769" max="10769" width="12.5703125" style="1156" bestFit="1" customWidth="1"/>
    <col min="10770" max="10770" width="14" style="1156" bestFit="1" customWidth="1"/>
    <col min="10771" max="10771" width="6" style="1156" bestFit="1" customWidth="1"/>
    <col min="10772" max="10772" width="15" style="1156" customWidth="1"/>
    <col min="10773" max="10773" width="14.85546875" style="1156" bestFit="1" customWidth="1"/>
    <col min="10774" max="10774" width="16.140625" style="1156" bestFit="1" customWidth="1"/>
    <col min="10775" max="11001" width="9.140625" style="1156"/>
    <col min="11002" max="11002" width="24" style="1156" bestFit="1" customWidth="1"/>
    <col min="11003" max="11003" width="43.85546875" style="1156" customWidth="1"/>
    <col min="11004" max="11004" width="19.7109375" style="1156" bestFit="1" customWidth="1"/>
    <col min="11005" max="11005" width="12.42578125" style="1156" bestFit="1" customWidth="1"/>
    <col min="11006" max="11006" width="16.28515625" style="1156" bestFit="1" customWidth="1"/>
    <col min="11007" max="11007" width="13.42578125" style="1156" customWidth="1"/>
    <col min="11008" max="11008" width="15.28515625" style="1156" bestFit="1" customWidth="1"/>
    <col min="11009" max="11009" width="14.140625" style="1156" bestFit="1" customWidth="1"/>
    <col min="11010" max="11010" width="15.28515625" style="1156" customWidth="1"/>
    <col min="11011" max="11011" width="17.7109375" style="1156" customWidth="1"/>
    <col min="11012" max="11012" width="17" style="1156" bestFit="1" customWidth="1"/>
    <col min="11013" max="11013" width="12.7109375" style="1156" customWidth="1"/>
    <col min="11014" max="11014" width="13.7109375" style="1156" customWidth="1"/>
    <col min="11015" max="11015" width="13.85546875" style="1156" bestFit="1" customWidth="1"/>
    <col min="11016" max="11016" width="19.7109375" style="1156" bestFit="1" customWidth="1"/>
    <col min="11017" max="11017" width="16.140625" style="1156" customWidth="1"/>
    <col min="11018" max="11018" width="16.7109375" style="1156" bestFit="1" customWidth="1"/>
    <col min="11019" max="11019" width="15.5703125" style="1156" bestFit="1" customWidth="1"/>
    <col min="11020" max="11020" width="20.5703125" style="1156" bestFit="1" customWidth="1"/>
    <col min="11021" max="11021" width="16.42578125" style="1156" bestFit="1" customWidth="1"/>
    <col min="11022" max="11022" width="14.28515625" style="1156" customWidth="1"/>
    <col min="11023" max="11023" width="12.85546875" style="1156" bestFit="1" customWidth="1"/>
    <col min="11024" max="11024" width="11.28515625" style="1156" bestFit="1" customWidth="1"/>
    <col min="11025" max="11025" width="12.5703125" style="1156" bestFit="1" customWidth="1"/>
    <col min="11026" max="11026" width="14" style="1156" bestFit="1" customWidth="1"/>
    <col min="11027" max="11027" width="6" style="1156" bestFit="1" customWidth="1"/>
    <col min="11028" max="11028" width="15" style="1156" customWidth="1"/>
    <col min="11029" max="11029" width="14.85546875" style="1156" bestFit="1" customWidth="1"/>
    <col min="11030" max="11030" width="16.140625" style="1156" bestFit="1" customWidth="1"/>
    <col min="11031" max="11257" width="9.140625" style="1156"/>
    <col min="11258" max="11258" width="24" style="1156" bestFit="1" customWidth="1"/>
    <col min="11259" max="11259" width="43.85546875" style="1156" customWidth="1"/>
    <col min="11260" max="11260" width="19.7109375" style="1156" bestFit="1" customWidth="1"/>
    <col min="11261" max="11261" width="12.42578125" style="1156" bestFit="1" customWidth="1"/>
    <col min="11262" max="11262" width="16.28515625" style="1156" bestFit="1" customWidth="1"/>
    <col min="11263" max="11263" width="13.42578125" style="1156" customWidth="1"/>
    <col min="11264" max="11264" width="15.28515625" style="1156" bestFit="1" customWidth="1"/>
    <col min="11265" max="11265" width="14.140625" style="1156" bestFit="1" customWidth="1"/>
    <col min="11266" max="11266" width="15.28515625" style="1156" customWidth="1"/>
    <col min="11267" max="11267" width="17.7109375" style="1156" customWidth="1"/>
    <col min="11268" max="11268" width="17" style="1156" bestFit="1" customWidth="1"/>
    <col min="11269" max="11269" width="12.7109375" style="1156" customWidth="1"/>
    <col min="11270" max="11270" width="13.7109375" style="1156" customWidth="1"/>
    <col min="11271" max="11271" width="13.85546875" style="1156" bestFit="1" customWidth="1"/>
    <col min="11272" max="11272" width="19.7109375" style="1156" bestFit="1" customWidth="1"/>
    <col min="11273" max="11273" width="16.140625" style="1156" customWidth="1"/>
    <col min="11274" max="11274" width="16.7109375" style="1156" bestFit="1" customWidth="1"/>
    <col min="11275" max="11275" width="15.5703125" style="1156" bestFit="1" customWidth="1"/>
    <col min="11276" max="11276" width="20.5703125" style="1156" bestFit="1" customWidth="1"/>
    <col min="11277" max="11277" width="16.42578125" style="1156" bestFit="1" customWidth="1"/>
    <col min="11278" max="11278" width="14.28515625" style="1156" customWidth="1"/>
    <col min="11279" max="11279" width="12.85546875" style="1156" bestFit="1" customWidth="1"/>
    <col min="11280" max="11280" width="11.28515625" style="1156" bestFit="1" customWidth="1"/>
    <col min="11281" max="11281" width="12.5703125" style="1156" bestFit="1" customWidth="1"/>
    <col min="11282" max="11282" width="14" style="1156" bestFit="1" customWidth="1"/>
    <col min="11283" max="11283" width="6" style="1156" bestFit="1" customWidth="1"/>
    <col min="11284" max="11284" width="15" style="1156" customWidth="1"/>
    <col min="11285" max="11285" width="14.85546875" style="1156" bestFit="1" customWidth="1"/>
    <col min="11286" max="11286" width="16.140625" style="1156" bestFit="1" customWidth="1"/>
    <col min="11287" max="11513" width="9.140625" style="1156"/>
    <col min="11514" max="11514" width="24" style="1156" bestFit="1" customWidth="1"/>
    <col min="11515" max="11515" width="43.85546875" style="1156" customWidth="1"/>
    <col min="11516" max="11516" width="19.7109375" style="1156" bestFit="1" customWidth="1"/>
    <col min="11517" max="11517" width="12.42578125" style="1156" bestFit="1" customWidth="1"/>
    <col min="11518" max="11518" width="16.28515625" style="1156" bestFit="1" customWidth="1"/>
    <col min="11519" max="11519" width="13.42578125" style="1156" customWidth="1"/>
    <col min="11520" max="11520" width="15.28515625" style="1156" bestFit="1" customWidth="1"/>
    <col min="11521" max="11521" width="14.140625" style="1156" bestFit="1" customWidth="1"/>
    <col min="11522" max="11522" width="15.28515625" style="1156" customWidth="1"/>
    <col min="11523" max="11523" width="17.7109375" style="1156" customWidth="1"/>
    <col min="11524" max="11524" width="17" style="1156" bestFit="1" customWidth="1"/>
    <col min="11525" max="11525" width="12.7109375" style="1156" customWidth="1"/>
    <col min="11526" max="11526" width="13.7109375" style="1156" customWidth="1"/>
    <col min="11527" max="11527" width="13.85546875" style="1156" bestFit="1" customWidth="1"/>
    <col min="11528" max="11528" width="19.7109375" style="1156" bestFit="1" customWidth="1"/>
    <col min="11529" max="11529" width="16.140625" style="1156" customWidth="1"/>
    <col min="11530" max="11530" width="16.7109375" style="1156" bestFit="1" customWidth="1"/>
    <col min="11531" max="11531" width="15.5703125" style="1156" bestFit="1" customWidth="1"/>
    <col min="11532" max="11532" width="20.5703125" style="1156" bestFit="1" customWidth="1"/>
    <col min="11533" max="11533" width="16.42578125" style="1156" bestFit="1" customWidth="1"/>
    <col min="11534" max="11534" width="14.28515625" style="1156" customWidth="1"/>
    <col min="11535" max="11535" width="12.85546875" style="1156" bestFit="1" customWidth="1"/>
    <col min="11536" max="11536" width="11.28515625" style="1156" bestFit="1" customWidth="1"/>
    <col min="11537" max="11537" width="12.5703125" style="1156" bestFit="1" customWidth="1"/>
    <col min="11538" max="11538" width="14" style="1156" bestFit="1" customWidth="1"/>
    <col min="11539" max="11539" width="6" style="1156" bestFit="1" customWidth="1"/>
    <col min="11540" max="11540" width="15" style="1156" customWidth="1"/>
    <col min="11541" max="11541" width="14.85546875" style="1156" bestFit="1" customWidth="1"/>
    <col min="11542" max="11542" width="16.140625" style="1156" bestFit="1" customWidth="1"/>
    <col min="11543" max="11769" width="9.140625" style="1156"/>
    <col min="11770" max="11770" width="24" style="1156" bestFit="1" customWidth="1"/>
    <col min="11771" max="11771" width="43.85546875" style="1156" customWidth="1"/>
    <col min="11772" max="11772" width="19.7109375" style="1156" bestFit="1" customWidth="1"/>
    <col min="11773" max="11773" width="12.42578125" style="1156" bestFit="1" customWidth="1"/>
    <col min="11774" max="11774" width="16.28515625" style="1156" bestFit="1" customWidth="1"/>
    <col min="11775" max="11775" width="13.42578125" style="1156" customWidth="1"/>
    <col min="11776" max="11776" width="15.28515625" style="1156" bestFit="1" customWidth="1"/>
    <col min="11777" max="11777" width="14.140625" style="1156" bestFit="1" customWidth="1"/>
    <col min="11778" max="11778" width="15.28515625" style="1156" customWidth="1"/>
    <col min="11779" max="11779" width="17.7109375" style="1156" customWidth="1"/>
    <col min="11780" max="11780" width="17" style="1156" bestFit="1" customWidth="1"/>
    <col min="11781" max="11781" width="12.7109375" style="1156" customWidth="1"/>
    <col min="11782" max="11782" width="13.7109375" style="1156" customWidth="1"/>
    <col min="11783" max="11783" width="13.85546875" style="1156" bestFit="1" customWidth="1"/>
    <col min="11784" max="11784" width="19.7109375" style="1156" bestFit="1" customWidth="1"/>
    <col min="11785" max="11785" width="16.140625" style="1156" customWidth="1"/>
    <col min="11786" max="11786" width="16.7109375" style="1156" bestFit="1" customWidth="1"/>
    <col min="11787" max="11787" width="15.5703125" style="1156" bestFit="1" customWidth="1"/>
    <col min="11788" max="11788" width="20.5703125" style="1156" bestFit="1" customWidth="1"/>
    <col min="11789" max="11789" width="16.42578125" style="1156" bestFit="1" customWidth="1"/>
    <col min="11790" max="11790" width="14.28515625" style="1156" customWidth="1"/>
    <col min="11791" max="11791" width="12.85546875" style="1156" bestFit="1" customWidth="1"/>
    <col min="11792" max="11792" width="11.28515625" style="1156" bestFit="1" customWidth="1"/>
    <col min="11793" max="11793" width="12.5703125" style="1156" bestFit="1" customWidth="1"/>
    <col min="11794" max="11794" width="14" style="1156" bestFit="1" customWidth="1"/>
    <col min="11795" max="11795" width="6" style="1156" bestFit="1" customWidth="1"/>
    <col min="11796" max="11796" width="15" style="1156" customWidth="1"/>
    <col min="11797" max="11797" width="14.85546875" style="1156" bestFit="1" customWidth="1"/>
    <col min="11798" max="11798" width="16.140625" style="1156" bestFit="1" customWidth="1"/>
    <col min="11799" max="12025" width="9.140625" style="1156"/>
    <col min="12026" max="12026" width="24" style="1156" bestFit="1" customWidth="1"/>
    <col min="12027" max="12027" width="43.85546875" style="1156" customWidth="1"/>
    <col min="12028" max="12028" width="19.7109375" style="1156" bestFit="1" customWidth="1"/>
    <col min="12029" max="12029" width="12.42578125" style="1156" bestFit="1" customWidth="1"/>
    <col min="12030" max="12030" width="16.28515625" style="1156" bestFit="1" customWidth="1"/>
    <col min="12031" max="12031" width="13.42578125" style="1156" customWidth="1"/>
    <col min="12032" max="12032" width="15.28515625" style="1156" bestFit="1" customWidth="1"/>
    <col min="12033" max="12033" width="14.140625" style="1156" bestFit="1" customWidth="1"/>
    <col min="12034" max="12034" width="15.28515625" style="1156" customWidth="1"/>
    <col min="12035" max="12035" width="17.7109375" style="1156" customWidth="1"/>
    <col min="12036" max="12036" width="17" style="1156" bestFit="1" customWidth="1"/>
    <col min="12037" max="12037" width="12.7109375" style="1156" customWidth="1"/>
    <col min="12038" max="12038" width="13.7109375" style="1156" customWidth="1"/>
    <col min="12039" max="12039" width="13.85546875" style="1156" bestFit="1" customWidth="1"/>
    <col min="12040" max="12040" width="19.7109375" style="1156" bestFit="1" customWidth="1"/>
    <col min="12041" max="12041" width="16.140625" style="1156" customWidth="1"/>
    <col min="12042" max="12042" width="16.7109375" style="1156" bestFit="1" customWidth="1"/>
    <col min="12043" max="12043" width="15.5703125" style="1156" bestFit="1" customWidth="1"/>
    <col min="12044" max="12044" width="20.5703125" style="1156" bestFit="1" customWidth="1"/>
    <col min="12045" max="12045" width="16.42578125" style="1156" bestFit="1" customWidth="1"/>
    <col min="12046" max="12046" width="14.28515625" style="1156" customWidth="1"/>
    <col min="12047" max="12047" width="12.85546875" style="1156" bestFit="1" customWidth="1"/>
    <col min="12048" max="12048" width="11.28515625" style="1156" bestFit="1" customWidth="1"/>
    <col min="12049" max="12049" width="12.5703125" style="1156" bestFit="1" customWidth="1"/>
    <col min="12050" max="12050" width="14" style="1156" bestFit="1" customWidth="1"/>
    <col min="12051" max="12051" width="6" style="1156" bestFit="1" customWidth="1"/>
    <col min="12052" max="12052" width="15" style="1156" customWidth="1"/>
    <col min="12053" max="12053" width="14.85546875" style="1156" bestFit="1" customWidth="1"/>
    <col min="12054" max="12054" width="16.140625" style="1156" bestFit="1" customWidth="1"/>
    <col min="12055" max="12281" width="9.140625" style="1156"/>
    <col min="12282" max="12282" width="24" style="1156" bestFit="1" customWidth="1"/>
    <col min="12283" max="12283" width="43.85546875" style="1156" customWidth="1"/>
    <col min="12284" max="12284" width="19.7109375" style="1156" bestFit="1" customWidth="1"/>
    <col min="12285" max="12285" width="12.42578125" style="1156" bestFit="1" customWidth="1"/>
    <col min="12286" max="12286" width="16.28515625" style="1156" bestFit="1" customWidth="1"/>
    <col min="12287" max="12287" width="13.42578125" style="1156" customWidth="1"/>
    <col min="12288" max="12288" width="15.28515625" style="1156" bestFit="1" customWidth="1"/>
    <col min="12289" max="12289" width="14.140625" style="1156" bestFit="1" customWidth="1"/>
    <col min="12290" max="12290" width="15.28515625" style="1156" customWidth="1"/>
    <col min="12291" max="12291" width="17.7109375" style="1156" customWidth="1"/>
    <col min="12292" max="12292" width="17" style="1156" bestFit="1" customWidth="1"/>
    <col min="12293" max="12293" width="12.7109375" style="1156" customWidth="1"/>
    <col min="12294" max="12294" width="13.7109375" style="1156" customWidth="1"/>
    <col min="12295" max="12295" width="13.85546875" style="1156" bestFit="1" customWidth="1"/>
    <col min="12296" max="12296" width="19.7109375" style="1156" bestFit="1" customWidth="1"/>
    <col min="12297" max="12297" width="16.140625" style="1156" customWidth="1"/>
    <col min="12298" max="12298" width="16.7109375" style="1156" bestFit="1" customWidth="1"/>
    <col min="12299" max="12299" width="15.5703125" style="1156" bestFit="1" customWidth="1"/>
    <col min="12300" max="12300" width="20.5703125" style="1156" bestFit="1" customWidth="1"/>
    <col min="12301" max="12301" width="16.42578125" style="1156" bestFit="1" customWidth="1"/>
    <col min="12302" max="12302" width="14.28515625" style="1156" customWidth="1"/>
    <col min="12303" max="12303" width="12.85546875" style="1156" bestFit="1" customWidth="1"/>
    <col min="12304" max="12304" width="11.28515625" style="1156" bestFit="1" customWidth="1"/>
    <col min="12305" max="12305" width="12.5703125" style="1156" bestFit="1" customWidth="1"/>
    <col min="12306" max="12306" width="14" style="1156" bestFit="1" customWidth="1"/>
    <col min="12307" max="12307" width="6" style="1156" bestFit="1" customWidth="1"/>
    <col min="12308" max="12308" width="15" style="1156" customWidth="1"/>
    <col min="12309" max="12309" width="14.85546875" style="1156" bestFit="1" customWidth="1"/>
    <col min="12310" max="12310" width="16.140625" style="1156" bestFit="1" customWidth="1"/>
    <col min="12311" max="12537" width="9.140625" style="1156"/>
    <col min="12538" max="12538" width="24" style="1156" bestFit="1" customWidth="1"/>
    <col min="12539" max="12539" width="43.85546875" style="1156" customWidth="1"/>
    <col min="12540" max="12540" width="19.7109375" style="1156" bestFit="1" customWidth="1"/>
    <col min="12541" max="12541" width="12.42578125" style="1156" bestFit="1" customWidth="1"/>
    <col min="12542" max="12542" width="16.28515625" style="1156" bestFit="1" customWidth="1"/>
    <col min="12543" max="12543" width="13.42578125" style="1156" customWidth="1"/>
    <col min="12544" max="12544" width="15.28515625" style="1156" bestFit="1" customWidth="1"/>
    <col min="12545" max="12545" width="14.140625" style="1156" bestFit="1" customWidth="1"/>
    <col min="12546" max="12546" width="15.28515625" style="1156" customWidth="1"/>
    <col min="12547" max="12547" width="17.7109375" style="1156" customWidth="1"/>
    <col min="12548" max="12548" width="17" style="1156" bestFit="1" customWidth="1"/>
    <col min="12549" max="12549" width="12.7109375" style="1156" customWidth="1"/>
    <col min="12550" max="12550" width="13.7109375" style="1156" customWidth="1"/>
    <col min="12551" max="12551" width="13.85546875" style="1156" bestFit="1" customWidth="1"/>
    <col min="12552" max="12552" width="19.7109375" style="1156" bestFit="1" customWidth="1"/>
    <col min="12553" max="12553" width="16.140625" style="1156" customWidth="1"/>
    <col min="12554" max="12554" width="16.7109375" style="1156" bestFit="1" customWidth="1"/>
    <col min="12555" max="12555" width="15.5703125" style="1156" bestFit="1" customWidth="1"/>
    <col min="12556" max="12556" width="20.5703125" style="1156" bestFit="1" customWidth="1"/>
    <col min="12557" max="12557" width="16.42578125" style="1156" bestFit="1" customWidth="1"/>
    <col min="12558" max="12558" width="14.28515625" style="1156" customWidth="1"/>
    <col min="12559" max="12559" width="12.85546875" style="1156" bestFit="1" customWidth="1"/>
    <col min="12560" max="12560" width="11.28515625" style="1156" bestFit="1" customWidth="1"/>
    <col min="12561" max="12561" width="12.5703125" style="1156" bestFit="1" customWidth="1"/>
    <col min="12562" max="12562" width="14" style="1156" bestFit="1" customWidth="1"/>
    <col min="12563" max="12563" width="6" style="1156" bestFit="1" customWidth="1"/>
    <col min="12564" max="12564" width="15" style="1156" customWidth="1"/>
    <col min="12565" max="12565" width="14.85546875" style="1156" bestFit="1" customWidth="1"/>
    <col min="12566" max="12566" width="16.140625" style="1156" bestFit="1" customWidth="1"/>
    <col min="12567" max="12793" width="9.140625" style="1156"/>
    <col min="12794" max="12794" width="24" style="1156" bestFit="1" customWidth="1"/>
    <col min="12795" max="12795" width="43.85546875" style="1156" customWidth="1"/>
    <col min="12796" max="12796" width="19.7109375" style="1156" bestFit="1" customWidth="1"/>
    <col min="12797" max="12797" width="12.42578125" style="1156" bestFit="1" customWidth="1"/>
    <col min="12798" max="12798" width="16.28515625" style="1156" bestFit="1" customWidth="1"/>
    <col min="12799" max="12799" width="13.42578125" style="1156" customWidth="1"/>
    <col min="12800" max="12800" width="15.28515625" style="1156" bestFit="1" customWidth="1"/>
    <col min="12801" max="12801" width="14.140625" style="1156" bestFit="1" customWidth="1"/>
    <col min="12802" max="12802" width="15.28515625" style="1156" customWidth="1"/>
    <col min="12803" max="12803" width="17.7109375" style="1156" customWidth="1"/>
    <col min="12804" max="12804" width="17" style="1156" bestFit="1" customWidth="1"/>
    <col min="12805" max="12805" width="12.7109375" style="1156" customWidth="1"/>
    <col min="12806" max="12806" width="13.7109375" style="1156" customWidth="1"/>
    <col min="12807" max="12807" width="13.85546875" style="1156" bestFit="1" customWidth="1"/>
    <col min="12808" max="12808" width="19.7109375" style="1156" bestFit="1" customWidth="1"/>
    <col min="12809" max="12809" width="16.140625" style="1156" customWidth="1"/>
    <col min="12810" max="12810" width="16.7109375" style="1156" bestFit="1" customWidth="1"/>
    <col min="12811" max="12811" width="15.5703125" style="1156" bestFit="1" customWidth="1"/>
    <col min="12812" max="12812" width="20.5703125" style="1156" bestFit="1" customWidth="1"/>
    <col min="12813" max="12813" width="16.42578125" style="1156" bestFit="1" customWidth="1"/>
    <col min="12814" max="12814" width="14.28515625" style="1156" customWidth="1"/>
    <col min="12815" max="12815" width="12.85546875" style="1156" bestFit="1" customWidth="1"/>
    <col min="12816" max="12816" width="11.28515625" style="1156" bestFit="1" customWidth="1"/>
    <col min="12817" max="12817" width="12.5703125" style="1156" bestFit="1" customWidth="1"/>
    <col min="12818" max="12818" width="14" style="1156" bestFit="1" customWidth="1"/>
    <col min="12819" max="12819" width="6" style="1156" bestFit="1" customWidth="1"/>
    <col min="12820" max="12820" width="15" style="1156" customWidth="1"/>
    <col min="12821" max="12821" width="14.85546875" style="1156" bestFit="1" customWidth="1"/>
    <col min="12822" max="12822" width="16.140625" style="1156" bestFit="1" customWidth="1"/>
    <col min="12823" max="13049" width="9.140625" style="1156"/>
    <col min="13050" max="13050" width="24" style="1156" bestFit="1" customWidth="1"/>
    <col min="13051" max="13051" width="43.85546875" style="1156" customWidth="1"/>
    <col min="13052" max="13052" width="19.7109375" style="1156" bestFit="1" customWidth="1"/>
    <col min="13053" max="13053" width="12.42578125" style="1156" bestFit="1" customWidth="1"/>
    <col min="13054" max="13054" width="16.28515625" style="1156" bestFit="1" customWidth="1"/>
    <col min="13055" max="13055" width="13.42578125" style="1156" customWidth="1"/>
    <col min="13056" max="13056" width="15.28515625" style="1156" bestFit="1" customWidth="1"/>
    <col min="13057" max="13057" width="14.140625" style="1156" bestFit="1" customWidth="1"/>
    <col min="13058" max="13058" width="15.28515625" style="1156" customWidth="1"/>
    <col min="13059" max="13059" width="17.7109375" style="1156" customWidth="1"/>
    <col min="13060" max="13060" width="17" style="1156" bestFit="1" customWidth="1"/>
    <col min="13061" max="13061" width="12.7109375" style="1156" customWidth="1"/>
    <col min="13062" max="13062" width="13.7109375" style="1156" customWidth="1"/>
    <col min="13063" max="13063" width="13.85546875" style="1156" bestFit="1" customWidth="1"/>
    <col min="13064" max="13064" width="19.7109375" style="1156" bestFit="1" customWidth="1"/>
    <col min="13065" max="13065" width="16.140625" style="1156" customWidth="1"/>
    <col min="13066" max="13066" width="16.7109375" style="1156" bestFit="1" customWidth="1"/>
    <col min="13067" max="13067" width="15.5703125" style="1156" bestFit="1" customWidth="1"/>
    <col min="13068" max="13068" width="20.5703125" style="1156" bestFit="1" customWidth="1"/>
    <col min="13069" max="13069" width="16.42578125" style="1156" bestFit="1" customWidth="1"/>
    <col min="13070" max="13070" width="14.28515625" style="1156" customWidth="1"/>
    <col min="13071" max="13071" width="12.85546875" style="1156" bestFit="1" customWidth="1"/>
    <col min="13072" max="13072" width="11.28515625" style="1156" bestFit="1" customWidth="1"/>
    <col min="13073" max="13073" width="12.5703125" style="1156" bestFit="1" customWidth="1"/>
    <col min="13074" max="13074" width="14" style="1156" bestFit="1" customWidth="1"/>
    <col min="13075" max="13075" width="6" style="1156" bestFit="1" customWidth="1"/>
    <col min="13076" max="13076" width="15" style="1156" customWidth="1"/>
    <col min="13077" max="13077" width="14.85546875" style="1156" bestFit="1" customWidth="1"/>
    <col min="13078" max="13078" width="16.140625" style="1156" bestFit="1" customWidth="1"/>
    <col min="13079" max="13305" width="9.140625" style="1156"/>
    <col min="13306" max="13306" width="24" style="1156" bestFit="1" customWidth="1"/>
    <col min="13307" max="13307" width="43.85546875" style="1156" customWidth="1"/>
    <col min="13308" max="13308" width="19.7109375" style="1156" bestFit="1" customWidth="1"/>
    <col min="13309" max="13309" width="12.42578125" style="1156" bestFit="1" customWidth="1"/>
    <col min="13310" max="13310" width="16.28515625" style="1156" bestFit="1" customWidth="1"/>
    <col min="13311" max="13311" width="13.42578125" style="1156" customWidth="1"/>
    <col min="13312" max="13312" width="15.28515625" style="1156" bestFit="1" customWidth="1"/>
    <col min="13313" max="13313" width="14.140625" style="1156" bestFit="1" customWidth="1"/>
    <col min="13314" max="13314" width="15.28515625" style="1156" customWidth="1"/>
    <col min="13315" max="13315" width="17.7109375" style="1156" customWidth="1"/>
    <col min="13316" max="13316" width="17" style="1156" bestFit="1" customWidth="1"/>
    <col min="13317" max="13317" width="12.7109375" style="1156" customWidth="1"/>
    <col min="13318" max="13318" width="13.7109375" style="1156" customWidth="1"/>
    <col min="13319" max="13319" width="13.85546875" style="1156" bestFit="1" customWidth="1"/>
    <col min="13320" max="13320" width="19.7109375" style="1156" bestFit="1" customWidth="1"/>
    <col min="13321" max="13321" width="16.140625" style="1156" customWidth="1"/>
    <col min="13322" max="13322" width="16.7109375" style="1156" bestFit="1" customWidth="1"/>
    <col min="13323" max="13323" width="15.5703125" style="1156" bestFit="1" customWidth="1"/>
    <col min="13324" max="13324" width="20.5703125" style="1156" bestFit="1" customWidth="1"/>
    <col min="13325" max="13325" width="16.42578125" style="1156" bestFit="1" customWidth="1"/>
    <col min="13326" max="13326" width="14.28515625" style="1156" customWidth="1"/>
    <col min="13327" max="13327" width="12.85546875" style="1156" bestFit="1" customWidth="1"/>
    <col min="13328" max="13328" width="11.28515625" style="1156" bestFit="1" customWidth="1"/>
    <col min="13329" max="13329" width="12.5703125" style="1156" bestFit="1" customWidth="1"/>
    <col min="13330" max="13330" width="14" style="1156" bestFit="1" customWidth="1"/>
    <col min="13331" max="13331" width="6" style="1156" bestFit="1" customWidth="1"/>
    <col min="13332" max="13332" width="15" style="1156" customWidth="1"/>
    <col min="13333" max="13333" width="14.85546875" style="1156" bestFit="1" customWidth="1"/>
    <col min="13334" max="13334" width="16.140625" style="1156" bestFit="1" customWidth="1"/>
    <col min="13335" max="13561" width="9.140625" style="1156"/>
    <col min="13562" max="13562" width="24" style="1156" bestFit="1" customWidth="1"/>
    <col min="13563" max="13563" width="43.85546875" style="1156" customWidth="1"/>
    <col min="13564" max="13564" width="19.7109375" style="1156" bestFit="1" customWidth="1"/>
    <col min="13565" max="13565" width="12.42578125" style="1156" bestFit="1" customWidth="1"/>
    <col min="13566" max="13566" width="16.28515625" style="1156" bestFit="1" customWidth="1"/>
    <col min="13567" max="13567" width="13.42578125" style="1156" customWidth="1"/>
    <col min="13568" max="13568" width="15.28515625" style="1156" bestFit="1" customWidth="1"/>
    <col min="13569" max="13569" width="14.140625" style="1156" bestFit="1" customWidth="1"/>
    <col min="13570" max="13570" width="15.28515625" style="1156" customWidth="1"/>
    <col min="13571" max="13571" width="17.7109375" style="1156" customWidth="1"/>
    <col min="13572" max="13572" width="17" style="1156" bestFit="1" customWidth="1"/>
    <col min="13573" max="13573" width="12.7109375" style="1156" customWidth="1"/>
    <col min="13574" max="13574" width="13.7109375" style="1156" customWidth="1"/>
    <col min="13575" max="13575" width="13.85546875" style="1156" bestFit="1" customWidth="1"/>
    <col min="13576" max="13576" width="19.7109375" style="1156" bestFit="1" customWidth="1"/>
    <col min="13577" max="13577" width="16.140625" style="1156" customWidth="1"/>
    <col min="13578" max="13578" width="16.7109375" style="1156" bestFit="1" customWidth="1"/>
    <col min="13579" max="13579" width="15.5703125" style="1156" bestFit="1" customWidth="1"/>
    <col min="13580" max="13580" width="20.5703125" style="1156" bestFit="1" customWidth="1"/>
    <col min="13581" max="13581" width="16.42578125" style="1156" bestFit="1" customWidth="1"/>
    <col min="13582" max="13582" width="14.28515625" style="1156" customWidth="1"/>
    <col min="13583" max="13583" width="12.85546875" style="1156" bestFit="1" customWidth="1"/>
    <col min="13584" max="13584" width="11.28515625" style="1156" bestFit="1" customWidth="1"/>
    <col min="13585" max="13585" width="12.5703125" style="1156" bestFit="1" customWidth="1"/>
    <col min="13586" max="13586" width="14" style="1156" bestFit="1" customWidth="1"/>
    <col min="13587" max="13587" width="6" style="1156" bestFit="1" customWidth="1"/>
    <col min="13588" max="13588" width="15" style="1156" customWidth="1"/>
    <col min="13589" max="13589" width="14.85546875" style="1156" bestFit="1" customWidth="1"/>
    <col min="13590" max="13590" width="16.140625" style="1156" bestFit="1" customWidth="1"/>
    <col min="13591" max="13817" width="9.140625" style="1156"/>
    <col min="13818" max="13818" width="24" style="1156" bestFit="1" customWidth="1"/>
    <col min="13819" max="13819" width="43.85546875" style="1156" customWidth="1"/>
    <col min="13820" max="13820" width="19.7109375" style="1156" bestFit="1" customWidth="1"/>
    <col min="13821" max="13821" width="12.42578125" style="1156" bestFit="1" customWidth="1"/>
    <col min="13822" max="13822" width="16.28515625" style="1156" bestFit="1" customWidth="1"/>
    <col min="13823" max="13823" width="13.42578125" style="1156" customWidth="1"/>
    <col min="13824" max="13824" width="15.28515625" style="1156" bestFit="1" customWidth="1"/>
    <col min="13825" max="13825" width="14.140625" style="1156" bestFit="1" customWidth="1"/>
    <col min="13826" max="13826" width="15.28515625" style="1156" customWidth="1"/>
    <col min="13827" max="13827" width="17.7109375" style="1156" customWidth="1"/>
    <col min="13828" max="13828" width="17" style="1156" bestFit="1" customWidth="1"/>
    <col min="13829" max="13829" width="12.7109375" style="1156" customWidth="1"/>
    <col min="13830" max="13830" width="13.7109375" style="1156" customWidth="1"/>
    <col min="13831" max="13831" width="13.85546875" style="1156" bestFit="1" customWidth="1"/>
    <col min="13832" max="13832" width="19.7109375" style="1156" bestFit="1" customWidth="1"/>
    <col min="13833" max="13833" width="16.140625" style="1156" customWidth="1"/>
    <col min="13834" max="13834" width="16.7109375" style="1156" bestFit="1" customWidth="1"/>
    <col min="13835" max="13835" width="15.5703125" style="1156" bestFit="1" customWidth="1"/>
    <col min="13836" max="13836" width="20.5703125" style="1156" bestFit="1" customWidth="1"/>
    <col min="13837" max="13837" width="16.42578125" style="1156" bestFit="1" customWidth="1"/>
    <col min="13838" max="13838" width="14.28515625" style="1156" customWidth="1"/>
    <col min="13839" max="13839" width="12.85546875" style="1156" bestFit="1" customWidth="1"/>
    <col min="13840" max="13840" width="11.28515625" style="1156" bestFit="1" customWidth="1"/>
    <col min="13841" max="13841" width="12.5703125" style="1156" bestFit="1" customWidth="1"/>
    <col min="13842" max="13842" width="14" style="1156" bestFit="1" customWidth="1"/>
    <col min="13843" max="13843" width="6" style="1156" bestFit="1" customWidth="1"/>
    <col min="13844" max="13844" width="15" style="1156" customWidth="1"/>
    <col min="13845" max="13845" width="14.85546875" style="1156" bestFit="1" customWidth="1"/>
    <col min="13846" max="13846" width="16.140625" style="1156" bestFit="1" customWidth="1"/>
    <col min="13847" max="14073" width="9.140625" style="1156"/>
    <col min="14074" max="14074" width="24" style="1156" bestFit="1" customWidth="1"/>
    <col min="14075" max="14075" width="43.85546875" style="1156" customWidth="1"/>
    <col min="14076" max="14076" width="19.7109375" style="1156" bestFit="1" customWidth="1"/>
    <col min="14077" max="14077" width="12.42578125" style="1156" bestFit="1" customWidth="1"/>
    <col min="14078" max="14078" width="16.28515625" style="1156" bestFit="1" customWidth="1"/>
    <col min="14079" max="14079" width="13.42578125" style="1156" customWidth="1"/>
    <col min="14080" max="14080" width="15.28515625" style="1156" bestFit="1" customWidth="1"/>
    <col min="14081" max="14081" width="14.140625" style="1156" bestFit="1" customWidth="1"/>
    <col min="14082" max="14082" width="15.28515625" style="1156" customWidth="1"/>
    <col min="14083" max="14083" width="17.7109375" style="1156" customWidth="1"/>
    <col min="14084" max="14084" width="17" style="1156" bestFit="1" customWidth="1"/>
    <col min="14085" max="14085" width="12.7109375" style="1156" customWidth="1"/>
    <col min="14086" max="14086" width="13.7109375" style="1156" customWidth="1"/>
    <col min="14087" max="14087" width="13.85546875" style="1156" bestFit="1" customWidth="1"/>
    <col min="14088" max="14088" width="19.7109375" style="1156" bestFit="1" customWidth="1"/>
    <col min="14089" max="14089" width="16.140625" style="1156" customWidth="1"/>
    <col min="14090" max="14090" width="16.7109375" style="1156" bestFit="1" customWidth="1"/>
    <col min="14091" max="14091" width="15.5703125" style="1156" bestFit="1" customWidth="1"/>
    <col min="14092" max="14092" width="20.5703125" style="1156" bestFit="1" customWidth="1"/>
    <col min="14093" max="14093" width="16.42578125" style="1156" bestFit="1" customWidth="1"/>
    <col min="14094" max="14094" width="14.28515625" style="1156" customWidth="1"/>
    <col min="14095" max="14095" width="12.85546875" style="1156" bestFit="1" customWidth="1"/>
    <col min="14096" max="14096" width="11.28515625" style="1156" bestFit="1" customWidth="1"/>
    <col min="14097" max="14097" width="12.5703125" style="1156" bestFit="1" customWidth="1"/>
    <col min="14098" max="14098" width="14" style="1156" bestFit="1" customWidth="1"/>
    <col min="14099" max="14099" width="6" style="1156" bestFit="1" customWidth="1"/>
    <col min="14100" max="14100" width="15" style="1156" customWidth="1"/>
    <col min="14101" max="14101" width="14.85546875" style="1156" bestFit="1" customWidth="1"/>
    <col min="14102" max="14102" width="16.140625" style="1156" bestFit="1" customWidth="1"/>
    <col min="14103" max="14329" width="9.140625" style="1156"/>
    <col min="14330" max="14330" width="24" style="1156" bestFit="1" customWidth="1"/>
    <col min="14331" max="14331" width="43.85546875" style="1156" customWidth="1"/>
    <col min="14332" max="14332" width="19.7109375" style="1156" bestFit="1" customWidth="1"/>
    <col min="14333" max="14333" width="12.42578125" style="1156" bestFit="1" customWidth="1"/>
    <col min="14334" max="14334" width="16.28515625" style="1156" bestFit="1" customWidth="1"/>
    <col min="14335" max="14335" width="13.42578125" style="1156" customWidth="1"/>
    <col min="14336" max="14336" width="15.28515625" style="1156" bestFit="1" customWidth="1"/>
    <col min="14337" max="14337" width="14.140625" style="1156" bestFit="1" customWidth="1"/>
    <col min="14338" max="14338" width="15.28515625" style="1156" customWidth="1"/>
    <col min="14339" max="14339" width="17.7109375" style="1156" customWidth="1"/>
    <col min="14340" max="14340" width="17" style="1156" bestFit="1" customWidth="1"/>
    <col min="14341" max="14341" width="12.7109375" style="1156" customWidth="1"/>
    <col min="14342" max="14342" width="13.7109375" style="1156" customWidth="1"/>
    <col min="14343" max="14343" width="13.85546875" style="1156" bestFit="1" customWidth="1"/>
    <col min="14344" max="14344" width="19.7109375" style="1156" bestFit="1" customWidth="1"/>
    <col min="14345" max="14345" width="16.140625" style="1156" customWidth="1"/>
    <col min="14346" max="14346" width="16.7109375" style="1156" bestFit="1" customWidth="1"/>
    <col min="14347" max="14347" width="15.5703125" style="1156" bestFit="1" customWidth="1"/>
    <col min="14348" max="14348" width="20.5703125" style="1156" bestFit="1" customWidth="1"/>
    <col min="14349" max="14349" width="16.42578125" style="1156" bestFit="1" customWidth="1"/>
    <col min="14350" max="14350" width="14.28515625" style="1156" customWidth="1"/>
    <col min="14351" max="14351" width="12.85546875" style="1156" bestFit="1" customWidth="1"/>
    <col min="14352" max="14352" width="11.28515625" style="1156" bestFit="1" customWidth="1"/>
    <col min="14353" max="14353" width="12.5703125" style="1156" bestFit="1" customWidth="1"/>
    <col min="14354" max="14354" width="14" style="1156" bestFit="1" customWidth="1"/>
    <col min="14355" max="14355" width="6" style="1156" bestFit="1" customWidth="1"/>
    <col min="14356" max="14356" width="15" style="1156" customWidth="1"/>
    <col min="14357" max="14357" width="14.85546875" style="1156" bestFit="1" customWidth="1"/>
    <col min="14358" max="14358" width="16.140625" style="1156" bestFit="1" customWidth="1"/>
    <col min="14359" max="14585" width="9.140625" style="1156"/>
    <col min="14586" max="14586" width="24" style="1156" bestFit="1" customWidth="1"/>
    <col min="14587" max="14587" width="43.85546875" style="1156" customWidth="1"/>
    <col min="14588" max="14588" width="19.7109375" style="1156" bestFit="1" customWidth="1"/>
    <col min="14589" max="14589" width="12.42578125" style="1156" bestFit="1" customWidth="1"/>
    <col min="14590" max="14590" width="16.28515625" style="1156" bestFit="1" customWidth="1"/>
    <col min="14591" max="14591" width="13.42578125" style="1156" customWidth="1"/>
    <col min="14592" max="14592" width="15.28515625" style="1156" bestFit="1" customWidth="1"/>
    <col min="14593" max="14593" width="14.140625" style="1156" bestFit="1" customWidth="1"/>
    <col min="14594" max="14594" width="15.28515625" style="1156" customWidth="1"/>
    <col min="14595" max="14595" width="17.7109375" style="1156" customWidth="1"/>
    <col min="14596" max="14596" width="17" style="1156" bestFit="1" customWidth="1"/>
    <col min="14597" max="14597" width="12.7109375" style="1156" customWidth="1"/>
    <col min="14598" max="14598" width="13.7109375" style="1156" customWidth="1"/>
    <col min="14599" max="14599" width="13.85546875" style="1156" bestFit="1" customWidth="1"/>
    <col min="14600" max="14600" width="19.7109375" style="1156" bestFit="1" customWidth="1"/>
    <col min="14601" max="14601" width="16.140625" style="1156" customWidth="1"/>
    <col min="14602" max="14602" width="16.7109375" style="1156" bestFit="1" customWidth="1"/>
    <col min="14603" max="14603" width="15.5703125" style="1156" bestFit="1" customWidth="1"/>
    <col min="14604" max="14604" width="20.5703125" style="1156" bestFit="1" customWidth="1"/>
    <col min="14605" max="14605" width="16.42578125" style="1156" bestFit="1" customWidth="1"/>
    <col min="14606" max="14606" width="14.28515625" style="1156" customWidth="1"/>
    <col min="14607" max="14607" width="12.85546875" style="1156" bestFit="1" customWidth="1"/>
    <col min="14608" max="14608" width="11.28515625" style="1156" bestFit="1" customWidth="1"/>
    <col min="14609" max="14609" width="12.5703125" style="1156" bestFit="1" customWidth="1"/>
    <col min="14610" max="14610" width="14" style="1156" bestFit="1" customWidth="1"/>
    <col min="14611" max="14611" width="6" style="1156" bestFit="1" customWidth="1"/>
    <col min="14612" max="14612" width="15" style="1156" customWidth="1"/>
    <col min="14613" max="14613" width="14.85546875" style="1156" bestFit="1" customWidth="1"/>
    <col min="14614" max="14614" width="16.140625" style="1156" bestFit="1" customWidth="1"/>
    <col min="14615" max="14841" width="9.140625" style="1156"/>
    <col min="14842" max="14842" width="24" style="1156" bestFit="1" customWidth="1"/>
    <col min="14843" max="14843" width="43.85546875" style="1156" customWidth="1"/>
    <col min="14844" max="14844" width="19.7109375" style="1156" bestFit="1" customWidth="1"/>
    <col min="14845" max="14845" width="12.42578125" style="1156" bestFit="1" customWidth="1"/>
    <col min="14846" max="14846" width="16.28515625" style="1156" bestFit="1" customWidth="1"/>
    <col min="14847" max="14847" width="13.42578125" style="1156" customWidth="1"/>
    <col min="14848" max="14848" width="15.28515625" style="1156" bestFit="1" customWidth="1"/>
    <col min="14849" max="14849" width="14.140625" style="1156" bestFit="1" customWidth="1"/>
    <col min="14850" max="14850" width="15.28515625" style="1156" customWidth="1"/>
    <col min="14851" max="14851" width="17.7109375" style="1156" customWidth="1"/>
    <col min="14852" max="14852" width="17" style="1156" bestFit="1" customWidth="1"/>
    <col min="14853" max="14853" width="12.7109375" style="1156" customWidth="1"/>
    <col min="14854" max="14854" width="13.7109375" style="1156" customWidth="1"/>
    <col min="14855" max="14855" width="13.85546875" style="1156" bestFit="1" customWidth="1"/>
    <col min="14856" max="14856" width="19.7109375" style="1156" bestFit="1" customWidth="1"/>
    <col min="14857" max="14857" width="16.140625" style="1156" customWidth="1"/>
    <col min="14858" max="14858" width="16.7109375" style="1156" bestFit="1" customWidth="1"/>
    <col min="14859" max="14859" width="15.5703125" style="1156" bestFit="1" customWidth="1"/>
    <col min="14860" max="14860" width="20.5703125" style="1156" bestFit="1" customWidth="1"/>
    <col min="14861" max="14861" width="16.42578125" style="1156" bestFit="1" customWidth="1"/>
    <col min="14862" max="14862" width="14.28515625" style="1156" customWidth="1"/>
    <col min="14863" max="14863" width="12.85546875" style="1156" bestFit="1" customWidth="1"/>
    <col min="14864" max="14864" width="11.28515625" style="1156" bestFit="1" customWidth="1"/>
    <col min="14865" max="14865" width="12.5703125" style="1156" bestFit="1" customWidth="1"/>
    <col min="14866" max="14866" width="14" style="1156" bestFit="1" customWidth="1"/>
    <col min="14867" max="14867" width="6" style="1156" bestFit="1" customWidth="1"/>
    <col min="14868" max="14868" width="15" style="1156" customWidth="1"/>
    <col min="14869" max="14869" width="14.85546875" style="1156" bestFit="1" customWidth="1"/>
    <col min="14870" max="14870" width="16.140625" style="1156" bestFit="1" customWidth="1"/>
    <col min="14871" max="15097" width="9.140625" style="1156"/>
    <col min="15098" max="15098" width="24" style="1156" bestFit="1" customWidth="1"/>
    <col min="15099" max="15099" width="43.85546875" style="1156" customWidth="1"/>
    <col min="15100" max="15100" width="19.7109375" style="1156" bestFit="1" customWidth="1"/>
    <col min="15101" max="15101" width="12.42578125" style="1156" bestFit="1" customWidth="1"/>
    <col min="15102" max="15102" width="16.28515625" style="1156" bestFit="1" customWidth="1"/>
    <col min="15103" max="15103" width="13.42578125" style="1156" customWidth="1"/>
    <col min="15104" max="15104" width="15.28515625" style="1156" bestFit="1" customWidth="1"/>
    <col min="15105" max="15105" width="14.140625" style="1156" bestFit="1" customWidth="1"/>
    <col min="15106" max="15106" width="15.28515625" style="1156" customWidth="1"/>
    <col min="15107" max="15107" width="17.7109375" style="1156" customWidth="1"/>
    <col min="15108" max="15108" width="17" style="1156" bestFit="1" customWidth="1"/>
    <col min="15109" max="15109" width="12.7109375" style="1156" customWidth="1"/>
    <col min="15110" max="15110" width="13.7109375" style="1156" customWidth="1"/>
    <col min="15111" max="15111" width="13.85546875" style="1156" bestFit="1" customWidth="1"/>
    <col min="15112" max="15112" width="19.7109375" style="1156" bestFit="1" customWidth="1"/>
    <col min="15113" max="15113" width="16.140625" style="1156" customWidth="1"/>
    <col min="15114" max="15114" width="16.7109375" style="1156" bestFit="1" customWidth="1"/>
    <col min="15115" max="15115" width="15.5703125" style="1156" bestFit="1" customWidth="1"/>
    <col min="15116" max="15116" width="20.5703125" style="1156" bestFit="1" customWidth="1"/>
    <col min="15117" max="15117" width="16.42578125" style="1156" bestFit="1" customWidth="1"/>
    <col min="15118" max="15118" width="14.28515625" style="1156" customWidth="1"/>
    <col min="15119" max="15119" width="12.85546875" style="1156" bestFit="1" customWidth="1"/>
    <col min="15120" max="15120" width="11.28515625" style="1156" bestFit="1" customWidth="1"/>
    <col min="15121" max="15121" width="12.5703125" style="1156" bestFit="1" customWidth="1"/>
    <col min="15122" max="15122" width="14" style="1156" bestFit="1" customWidth="1"/>
    <col min="15123" max="15123" width="6" style="1156" bestFit="1" customWidth="1"/>
    <col min="15124" max="15124" width="15" style="1156" customWidth="1"/>
    <col min="15125" max="15125" width="14.85546875" style="1156" bestFit="1" customWidth="1"/>
    <col min="15126" max="15126" width="16.140625" style="1156" bestFit="1" customWidth="1"/>
    <col min="15127" max="15353" width="9.140625" style="1156"/>
    <col min="15354" max="15354" width="24" style="1156" bestFit="1" customWidth="1"/>
    <col min="15355" max="15355" width="43.85546875" style="1156" customWidth="1"/>
    <col min="15356" max="15356" width="19.7109375" style="1156" bestFit="1" customWidth="1"/>
    <col min="15357" max="15357" width="12.42578125" style="1156" bestFit="1" customWidth="1"/>
    <col min="15358" max="15358" width="16.28515625" style="1156" bestFit="1" customWidth="1"/>
    <col min="15359" max="15359" width="13.42578125" style="1156" customWidth="1"/>
    <col min="15360" max="15360" width="15.28515625" style="1156" bestFit="1" customWidth="1"/>
    <col min="15361" max="15361" width="14.140625" style="1156" bestFit="1" customWidth="1"/>
    <col min="15362" max="15362" width="15.28515625" style="1156" customWidth="1"/>
    <col min="15363" max="15363" width="17.7109375" style="1156" customWidth="1"/>
    <col min="15364" max="15364" width="17" style="1156" bestFit="1" customWidth="1"/>
    <col min="15365" max="15365" width="12.7109375" style="1156" customWidth="1"/>
    <col min="15366" max="15366" width="13.7109375" style="1156" customWidth="1"/>
    <col min="15367" max="15367" width="13.85546875" style="1156" bestFit="1" customWidth="1"/>
    <col min="15368" max="15368" width="19.7109375" style="1156" bestFit="1" customWidth="1"/>
    <col min="15369" max="15369" width="16.140625" style="1156" customWidth="1"/>
    <col min="15370" max="15370" width="16.7109375" style="1156" bestFit="1" customWidth="1"/>
    <col min="15371" max="15371" width="15.5703125" style="1156" bestFit="1" customWidth="1"/>
    <col min="15372" max="15372" width="20.5703125" style="1156" bestFit="1" customWidth="1"/>
    <col min="15373" max="15373" width="16.42578125" style="1156" bestFit="1" customWidth="1"/>
    <col min="15374" max="15374" width="14.28515625" style="1156" customWidth="1"/>
    <col min="15375" max="15375" width="12.85546875" style="1156" bestFit="1" customWidth="1"/>
    <col min="15376" max="15376" width="11.28515625" style="1156" bestFit="1" customWidth="1"/>
    <col min="15377" max="15377" width="12.5703125" style="1156" bestFit="1" customWidth="1"/>
    <col min="15378" max="15378" width="14" style="1156" bestFit="1" customWidth="1"/>
    <col min="15379" max="15379" width="6" style="1156" bestFit="1" customWidth="1"/>
    <col min="15380" max="15380" width="15" style="1156" customWidth="1"/>
    <col min="15381" max="15381" width="14.85546875" style="1156" bestFit="1" customWidth="1"/>
    <col min="15382" max="15382" width="16.140625" style="1156" bestFit="1" customWidth="1"/>
    <col min="15383" max="15609" width="9.140625" style="1156"/>
    <col min="15610" max="15610" width="24" style="1156" bestFit="1" customWidth="1"/>
    <col min="15611" max="15611" width="43.85546875" style="1156" customWidth="1"/>
    <col min="15612" max="15612" width="19.7109375" style="1156" bestFit="1" customWidth="1"/>
    <col min="15613" max="15613" width="12.42578125" style="1156" bestFit="1" customWidth="1"/>
    <col min="15614" max="15614" width="16.28515625" style="1156" bestFit="1" customWidth="1"/>
    <col min="15615" max="15615" width="13.42578125" style="1156" customWidth="1"/>
    <col min="15616" max="15616" width="15.28515625" style="1156" bestFit="1" customWidth="1"/>
    <col min="15617" max="15617" width="14.140625" style="1156" bestFit="1" customWidth="1"/>
    <col min="15618" max="15618" width="15.28515625" style="1156" customWidth="1"/>
    <col min="15619" max="15619" width="17.7109375" style="1156" customWidth="1"/>
    <col min="15620" max="15620" width="17" style="1156" bestFit="1" customWidth="1"/>
    <col min="15621" max="15621" width="12.7109375" style="1156" customWidth="1"/>
    <col min="15622" max="15622" width="13.7109375" style="1156" customWidth="1"/>
    <col min="15623" max="15623" width="13.85546875" style="1156" bestFit="1" customWidth="1"/>
    <col min="15624" max="15624" width="19.7109375" style="1156" bestFit="1" customWidth="1"/>
    <col min="15625" max="15625" width="16.140625" style="1156" customWidth="1"/>
    <col min="15626" max="15626" width="16.7109375" style="1156" bestFit="1" customWidth="1"/>
    <col min="15627" max="15627" width="15.5703125" style="1156" bestFit="1" customWidth="1"/>
    <col min="15628" max="15628" width="20.5703125" style="1156" bestFit="1" customWidth="1"/>
    <col min="15629" max="15629" width="16.42578125" style="1156" bestFit="1" customWidth="1"/>
    <col min="15630" max="15630" width="14.28515625" style="1156" customWidth="1"/>
    <col min="15631" max="15631" width="12.85546875" style="1156" bestFit="1" customWidth="1"/>
    <col min="15632" max="15632" width="11.28515625" style="1156" bestFit="1" customWidth="1"/>
    <col min="15633" max="15633" width="12.5703125" style="1156" bestFit="1" customWidth="1"/>
    <col min="15634" max="15634" width="14" style="1156" bestFit="1" customWidth="1"/>
    <col min="15635" max="15635" width="6" style="1156" bestFit="1" customWidth="1"/>
    <col min="15636" max="15636" width="15" style="1156" customWidth="1"/>
    <col min="15637" max="15637" width="14.85546875" style="1156" bestFit="1" customWidth="1"/>
    <col min="15638" max="15638" width="16.140625" style="1156" bestFit="1" customWidth="1"/>
    <col min="15639" max="15865" width="9.140625" style="1156"/>
    <col min="15866" max="15866" width="24" style="1156" bestFit="1" customWidth="1"/>
    <col min="15867" max="15867" width="43.85546875" style="1156" customWidth="1"/>
    <col min="15868" max="15868" width="19.7109375" style="1156" bestFit="1" customWidth="1"/>
    <col min="15869" max="15869" width="12.42578125" style="1156" bestFit="1" customWidth="1"/>
    <col min="15870" max="15870" width="16.28515625" style="1156" bestFit="1" customWidth="1"/>
    <col min="15871" max="15871" width="13.42578125" style="1156" customWidth="1"/>
    <col min="15872" max="15872" width="15.28515625" style="1156" bestFit="1" customWidth="1"/>
    <col min="15873" max="15873" width="14.140625" style="1156" bestFit="1" customWidth="1"/>
    <col min="15874" max="15874" width="15.28515625" style="1156" customWidth="1"/>
    <col min="15875" max="15875" width="17.7109375" style="1156" customWidth="1"/>
    <col min="15876" max="15876" width="17" style="1156" bestFit="1" customWidth="1"/>
    <col min="15877" max="15877" width="12.7109375" style="1156" customWidth="1"/>
    <col min="15878" max="15878" width="13.7109375" style="1156" customWidth="1"/>
    <col min="15879" max="15879" width="13.85546875" style="1156" bestFit="1" customWidth="1"/>
    <col min="15880" max="15880" width="19.7109375" style="1156" bestFit="1" customWidth="1"/>
    <col min="15881" max="15881" width="16.140625" style="1156" customWidth="1"/>
    <col min="15882" max="15882" width="16.7109375" style="1156" bestFit="1" customWidth="1"/>
    <col min="15883" max="15883" width="15.5703125" style="1156" bestFit="1" customWidth="1"/>
    <col min="15884" max="15884" width="20.5703125" style="1156" bestFit="1" customWidth="1"/>
    <col min="15885" max="15885" width="16.42578125" style="1156" bestFit="1" customWidth="1"/>
    <col min="15886" max="15886" width="14.28515625" style="1156" customWidth="1"/>
    <col min="15887" max="15887" width="12.85546875" style="1156" bestFit="1" customWidth="1"/>
    <col min="15888" max="15888" width="11.28515625" style="1156" bestFit="1" customWidth="1"/>
    <col min="15889" max="15889" width="12.5703125" style="1156" bestFit="1" customWidth="1"/>
    <col min="15890" max="15890" width="14" style="1156" bestFit="1" customWidth="1"/>
    <col min="15891" max="15891" width="6" style="1156" bestFit="1" customWidth="1"/>
    <col min="15892" max="15892" width="15" style="1156" customWidth="1"/>
    <col min="15893" max="15893" width="14.85546875" style="1156" bestFit="1" customWidth="1"/>
    <col min="15894" max="15894" width="16.140625" style="1156" bestFit="1" customWidth="1"/>
    <col min="15895" max="16121" width="9.140625" style="1156"/>
    <col min="16122" max="16122" width="24" style="1156" bestFit="1" customWidth="1"/>
    <col min="16123" max="16123" width="43.85546875" style="1156" customWidth="1"/>
    <col min="16124" max="16124" width="19.7109375" style="1156" bestFit="1" customWidth="1"/>
    <col min="16125" max="16125" width="12.42578125" style="1156" bestFit="1" customWidth="1"/>
    <col min="16126" max="16126" width="16.28515625" style="1156" bestFit="1" customWidth="1"/>
    <col min="16127" max="16127" width="13.42578125" style="1156" customWidth="1"/>
    <col min="16128" max="16128" width="15.28515625" style="1156" bestFit="1" customWidth="1"/>
    <col min="16129" max="16129" width="14.140625" style="1156" bestFit="1" customWidth="1"/>
    <col min="16130" max="16130" width="15.28515625" style="1156" customWidth="1"/>
    <col min="16131" max="16131" width="17.7109375" style="1156" customWidth="1"/>
    <col min="16132" max="16132" width="17" style="1156" bestFit="1" customWidth="1"/>
    <col min="16133" max="16133" width="12.7109375" style="1156" customWidth="1"/>
    <col min="16134" max="16134" width="13.7109375" style="1156" customWidth="1"/>
    <col min="16135" max="16135" width="13.85546875" style="1156" bestFit="1" customWidth="1"/>
    <col min="16136" max="16136" width="19.7109375" style="1156" bestFit="1" customWidth="1"/>
    <col min="16137" max="16137" width="16.140625" style="1156" customWidth="1"/>
    <col min="16138" max="16138" width="16.7109375" style="1156" bestFit="1" customWidth="1"/>
    <col min="16139" max="16139" width="15.5703125" style="1156" bestFit="1" customWidth="1"/>
    <col min="16140" max="16140" width="20.5703125" style="1156" bestFit="1" customWidth="1"/>
    <col min="16141" max="16141" width="16.42578125" style="1156" bestFit="1" customWidth="1"/>
    <col min="16142" max="16142" width="14.28515625" style="1156" customWidth="1"/>
    <col min="16143" max="16143" width="12.85546875" style="1156" bestFit="1" customWidth="1"/>
    <col min="16144" max="16144" width="11.28515625" style="1156" bestFit="1" customWidth="1"/>
    <col min="16145" max="16145" width="12.5703125" style="1156" bestFit="1" customWidth="1"/>
    <col min="16146" max="16146" width="14" style="1156" bestFit="1" customWidth="1"/>
    <col min="16147" max="16147" width="6" style="1156" bestFit="1" customWidth="1"/>
    <col min="16148" max="16148" width="15" style="1156" customWidth="1"/>
    <col min="16149" max="16149" width="14.85546875" style="1156" bestFit="1" customWidth="1"/>
    <col min="16150" max="16150" width="16.140625" style="1156" bestFit="1" customWidth="1"/>
    <col min="16151" max="16378" width="9.140625" style="1156"/>
    <col min="16379" max="16384" width="9.140625" style="1156" customWidth="1"/>
  </cols>
  <sheetData>
    <row r="1" spans="1:27" ht="42.75" customHeight="1" thickBot="1">
      <c r="C1" s="1361" t="s">
        <v>276</v>
      </c>
      <c r="D1" s="1361" t="s">
        <v>275</v>
      </c>
      <c r="E1" s="1361" t="s">
        <v>5</v>
      </c>
      <c r="F1" s="1361">
        <v>18230680</v>
      </c>
      <c r="G1" s="1361" t="s">
        <v>28</v>
      </c>
      <c r="J1" s="1158"/>
      <c r="M1" s="1361" t="s">
        <v>276</v>
      </c>
      <c r="N1" s="1361" t="s">
        <v>275</v>
      </c>
      <c r="O1" s="1361" t="s">
        <v>5</v>
      </c>
      <c r="P1" s="1361">
        <v>18230680</v>
      </c>
      <c r="Q1" s="1361" t="s">
        <v>28</v>
      </c>
      <c r="V1" s="1361" t="s">
        <v>276</v>
      </c>
      <c r="W1" s="1361" t="s">
        <v>275</v>
      </c>
      <c r="X1" s="1361" t="s">
        <v>5</v>
      </c>
      <c r="Y1" s="1361">
        <v>18230680</v>
      </c>
      <c r="Z1" s="1361" t="s">
        <v>28</v>
      </c>
    </row>
    <row r="2" spans="1:27" ht="16.5" thickBot="1">
      <c r="C2" s="1158"/>
      <c r="D2" s="1159"/>
      <c r="G2" s="1652"/>
      <c r="I2" s="1178" t="s">
        <v>627</v>
      </c>
      <c r="S2" s="3575"/>
      <c r="T2" s="3575"/>
      <c r="U2" s="3576" t="s">
        <v>33</v>
      </c>
      <c r="V2" s="3577"/>
      <c r="W2" s="3578"/>
      <c r="X2" s="3579" t="s">
        <v>34</v>
      </c>
    </row>
    <row r="3" spans="1:27" ht="26.25" thickBot="1">
      <c r="A3" s="1357" t="s">
        <v>276</v>
      </c>
      <c r="B3" s="1357"/>
      <c r="E3" s="1156"/>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275</v>
      </c>
      <c r="B4" s="1357"/>
      <c r="C4" s="1159"/>
      <c r="E4" s="1162"/>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1155" t="e">
        <f>S4/T4</f>
        <v>#DIV/0!</v>
      </c>
    </row>
    <row r="5" spans="1:27" ht="16.5" thickBot="1">
      <c r="A5" s="1357" t="s">
        <v>5</v>
      </c>
      <c r="B5" s="1357"/>
      <c r="C5" s="1158"/>
      <c r="D5" s="1159"/>
      <c r="E5"/>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357">
        <v>18230680</v>
      </c>
      <c r="B6" s="1357"/>
      <c r="D6" s="1161"/>
      <c r="E6"/>
      <c r="G6" s="1652"/>
      <c r="H6" s="2648"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05" t="e">
        <f>S6/T6</f>
        <v>#DIV/0!</v>
      </c>
    </row>
    <row r="7" spans="1:27" ht="15.75">
      <c r="A7" s="1357" t="s">
        <v>28</v>
      </c>
      <c r="B7" s="1357"/>
      <c r="C7" s="1413"/>
      <c r="D7" s="1185"/>
      <c r="E7" s="1413"/>
      <c r="F7" s="1413"/>
      <c r="G7" s="2606"/>
      <c r="H7" s="2607"/>
      <c r="I7" s="2607"/>
      <c r="J7" s="2607"/>
      <c r="K7" s="2607"/>
      <c r="L7" s="2607"/>
      <c r="M7" s="2607"/>
      <c r="N7" s="2607"/>
      <c r="O7" s="2607"/>
      <c r="P7" s="2607"/>
      <c r="Q7" s="2607"/>
      <c r="R7" s="2607"/>
      <c r="S7" s="2608"/>
      <c r="T7" s="2630"/>
      <c r="U7" s="2630"/>
      <c r="V7" s="2630"/>
      <c r="W7" s="2610"/>
    </row>
    <row r="8" spans="1:27" ht="15.75">
      <c r="B8" s="1357"/>
      <c r="C8" s="1413"/>
      <c r="D8" s="1185"/>
      <c r="E8" s="1413"/>
      <c r="F8" s="1413"/>
    </row>
    <row r="9" spans="1:27" ht="15.75">
      <c r="A9" s="1357"/>
      <c r="B9" s="1357"/>
      <c r="C9" s="1413"/>
      <c r="D9" s="1185"/>
      <c r="E9" s="1413"/>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276</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275</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18230680</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276</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275</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18230680</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I2" activePane="bottomRight" state="frozen"/>
      <selection pane="bottomRight" activeCell="I30" sqref="I30"/>
      <pageMargins left="0.28000000000000003" right="0.22" top="0.36" bottom="0.45" header="0.3" footer="0.3"/>
      <pageSetup paperSize="3" scale="43" orientation="landscape" r:id="rId1"/>
    </customSheetView>
    <customSheetView guid="{074EB09C-6289-46D7-9513-012B68BCA7BF}" showGridLines="0" fitToPage="1">
      <pane xSplit="1" ySplit="1" topLeftCell="B2" activePane="bottomRight" state="frozen"/>
      <selection pane="bottomRight" activeCell="E29" sqref="E29"/>
      <pageMargins left="0.28000000000000003" right="0.22" top="0.36" bottom="0.45" header="0.3" footer="0.3"/>
      <pageSetup paperSize="3" scale="43"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8000000000000003" right="0.22" top="0.36" bottom="0.45" header="0.3" footer="0.3"/>
  <pageSetup paperSize="3" scale="50" orientation="landscape" r:id="rId3"/>
  <drawing r:id="rId4"/>
  <legacyDrawing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activeCell="E3" sqref="E3"/>
    </sheetView>
  </sheetViews>
  <sheetFormatPr defaultRowHeight="12.75"/>
  <cols>
    <col min="1" max="1" width="18.42578125" customWidth="1"/>
    <col min="2" max="2" width="15.7109375" style="1413" customWidth="1"/>
    <col min="3" max="3" width="27.7109375" customWidth="1"/>
    <col min="4" max="7" width="17" customWidth="1"/>
    <col min="8" max="8" width="21.85546875" customWidth="1"/>
    <col min="9" max="23" width="16.140625" customWidth="1"/>
    <col min="24" max="25" width="15" customWidth="1"/>
    <col min="26" max="26" width="15.28515625" customWidth="1"/>
  </cols>
  <sheetData>
    <row r="1" spans="1:26" ht="55.5" customHeight="1" thickBot="1">
      <c r="C1" s="1361" t="s">
        <v>248</v>
      </c>
      <c r="D1" s="1361" t="s">
        <v>275</v>
      </c>
      <c r="E1" s="1361" t="s">
        <v>5</v>
      </c>
      <c r="F1" s="1361">
        <v>18230687</v>
      </c>
      <c r="G1" s="1361" t="s">
        <v>28</v>
      </c>
      <c r="J1" s="1163"/>
      <c r="K1" s="1172"/>
      <c r="L1" s="1172"/>
      <c r="M1" s="1361" t="s">
        <v>248</v>
      </c>
      <c r="N1" s="1361" t="s">
        <v>275</v>
      </c>
      <c r="O1" s="1361" t="s">
        <v>5</v>
      </c>
      <c r="P1" s="1361">
        <v>18230687</v>
      </c>
      <c r="Q1" s="1361" t="s">
        <v>28</v>
      </c>
      <c r="R1" s="1165"/>
      <c r="S1" s="1165"/>
      <c r="T1" s="1165"/>
      <c r="U1" s="1165"/>
      <c r="V1" s="1361" t="s">
        <v>248</v>
      </c>
      <c r="W1" s="1361" t="s">
        <v>275</v>
      </c>
      <c r="X1" s="1361" t="s">
        <v>5</v>
      </c>
      <c r="Y1" s="1361">
        <v>18230687</v>
      </c>
      <c r="Z1" s="1361" t="s">
        <v>28</v>
      </c>
    </row>
    <row r="2" spans="1:26" ht="21" customHeight="1" thickBot="1">
      <c r="C2" s="1166"/>
      <c r="D2" s="1171"/>
      <c r="E2" s="1172"/>
      <c r="F2" s="1172"/>
      <c r="G2" s="1310"/>
      <c r="H2" s="1172"/>
      <c r="I2" s="1178" t="s">
        <v>627</v>
      </c>
      <c r="J2" s="1172"/>
      <c r="K2" s="1172"/>
      <c r="L2" s="1172"/>
      <c r="M2" s="1172"/>
      <c r="N2" s="1172"/>
      <c r="O2" s="1165"/>
      <c r="P2" s="1165"/>
      <c r="Q2" s="1165"/>
      <c r="R2" s="1165"/>
      <c r="S2" s="3575"/>
      <c r="T2" s="3575"/>
      <c r="U2" s="3588" t="s">
        <v>33</v>
      </c>
      <c r="V2" s="3589"/>
      <c r="W2" s="3590"/>
      <c r="X2" s="3568" t="s">
        <v>34</v>
      </c>
    </row>
    <row r="3" spans="1:26" ht="39" thickBot="1">
      <c r="A3" s="1357" t="s">
        <v>248</v>
      </c>
      <c r="B3" s="1357"/>
      <c r="E3" s="1172"/>
      <c r="F3" s="1172"/>
      <c r="G3" s="1310"/>
      <c r="H3" s="117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1166"/>
      <c r="D4" s="1171"/>
      <c r="E4" s="1172"/>
      <c r="F4" s="1172"/>
      <c r="G4" s="1310"/>
      <c r="H4" s="2946" t="s">
        <v>1726</v>
      </c>
      <c r="I4" s="2959">
        <f>D15</f>
        <v>12045.54</v>
      </c>
      <c r="J4" s="2960">
        <f>D21</f>
        <v>1250</v>
      </c>
      <c r="K4" s="2960">
        <f>D27</f>
        <v>8868.1251800000009</v>
      </c>
      <c r="L4" s="2960">
        <f>D37</f>
        <v>19911</v>
      </c>
      <c r="M4" s="2960">
        <f>D43</f>
        <v>250</v>
      </c>
      <c r="N4" s="2960">
        <f>D49</f>
        <v>10000</v>
      </c>
      <c r="O4" s="2960">
        <f>D55</f>
        <v>250</v>
      </c>
      <c r="P4" s="2960">
        <f>D61</f>
        <v>250</v>
      </c>
      <c r="Q4" s="2960">
        <f>D67</f>
        <v>150000</v>
      </c>
      <c r="R4" s="2960">
        <v>0</v>
      </c>
      <c r="S4" s="2961">
        <f>SUM(I4:R4)</f>
        <v>202824.66518000001</v>
      </c>
      <c r="T4" s="2963">
        <f>T15</f>
        <v>34000</v>
      </c>
      <c r="U4" s="2954" t="e">
        <v>#DIV/0!</v>
      </c>
      <c r="V4" s="2954" t="e">
        <v>#DIV/0!</v>
      </c>
      <c r="W4" s="2954" t="e">
        <v>#DIV/0!</v>
      </c>
      <c r="X4" s="2952" t="e">
        <v>#DIV/0!</v>
      </c>
    </row>
    <row r="5" spans="1:26" ht="16.5" thickBot="1">
      <c r="A5" s="1357" t="s">
        <v>5</v>
      </c>
      <c r="C5" s="1167"/>
      <c r="E5" s="1172"/>
      <c r="F5" s="1172"/>
      <c r="G5" s="1310"/>
      <c r="H5" s="3205" t="s">
        <v>1753</v>
      </c>
      <c r="I5" s="2617">
        <v>12346.6785</v>
      </c>
      <c r="J5" s="2618">
        <v>1282</v>
      </c>
      <c r="K5" s="2618">
        <v>9267.5013800000015</v>
      </c>
      <c r="L5" s="2618">
        <v>19911.150000000001</v>
      </c>
      <c r="M5" s="2618">
        <v>250</v>
      </c>
      <c r="N5" s="2618">
        <v>10000</v>
      </c>
      <c r="O5" s="2618">
        <v>250</v>
      </c>
      <c r="P5" s="2618">
        <v>250</v>
      </c>
      <c r="Q5" s="2618">
        <v>150000</v>
      </c>
      <c r="R5" s="2618">
        <v>0</v>
      </c>
      <c r="S5" s="2619">
        <v>203557.32988</v>
      </c>
      <c r="T5" s="2649">
        <v>34000</v>
      </c>
      <c r="U5" s="1187" t="e">
        <v>#DIV/0!</v>
      </c>
      <c r="V5" s="1187" t="e">
        <v>#DIV/0!</v>
      </c>
      <c r="W5" s="1187" t="e">
        <v>#DIV/0!</v>
      </c>
      <c r="X5" s="1168" t="e">
        <v>#DIV/0!</v>
      </c>
    </row>
    <row r="6" spans="1:26" ht="16.5" thickBot="1">
      <c r="A6" s="1357">
        <v>18230687</v>
      </c>
      <c r="B6" s="1357"/>
      <c r="C6" s="1166"/>
      <c r="D6" s="1169"/>
      <c r="E6" s="1172"/>
      <c r="F6" s="1172"/>
      <c r="G6" s="1310"/>
      <c r="H6" s="3206" t="s">
        <v>1754</v>
      </c>
      <c r="I6" s="2621">
        <f>E15</f>
        <v>15550</v>
      </c>
      <c r="J6" s="2622">
        <f>E21</f>
        <v>1943.75</v>
      </c>
      <c r="K6" s="2623">
        <f>E27</f>
        <v>15709.387499999999</v>
      </c>
      <c r="L6" s="2622">
        <f>E37</f>
        <v>35272</v>
      </c>
      <c r="M6" s="2622">
        <f>E43</f>
        <v>250</v>
      </c>
      <c r="N6" s="2622">
        <f>E49</f>
        <v>28965</v>
      </c>
      <c r="O6" s="2622">
        <f>E55</f>
        <v>250</v>
      </c>
      <c r="P6" s="2622">
        <f>E61</f>
        <v>100</v>
      </c>
      <c r="Q6" s="2622">
        <f>E67</f>
        <v>255000</v>
      </c>
      <c r="R6" s="2622">
        <v>0</v>
      </c>
      <c r="S6" s="2624">
        <f>SUM(I6:R6)</f>
        <v>353040.13750000001</v>
      </c>
      <c r="T6" s="2641">
        <f>U15</f>
        <v>170000</v>
      </c>
      <c r="U6" s="2631">
        <v>0.56433512986987144</v>
      </c>
      <c r="V6" s="2631">
        <v>1.8007544630546931E-2</v>
      </c>
      <c r="W6" s="2631">
        <v>0.3558043194643184</v>
      </c>
      <c r="X6" s="2626">
        <v>0.42221572462492302</v>
      </c>
    </row>
    <row r="7" spans="1:26" ht="15.75">
      <c r="A7" s="1357" t="s">
        <v>28</v>
      </c>
      <c r="B7" s="1357"/>
      <c r="C7" s="1190"/>
      <c r="D7" s="1185"/>
      <c r="E7" s="1310"/>
      <c r="F7" s="1310"/>
      <c r="G7" s="2606"/>
      <c r="H7" s="2607"/>
      <c r="I7" s="2607"/>
      <c r="J7" s="2607"/>
      <c r="K7" s="2607"/>
      <c r="L7" s="2607"/>
      <c r="M7" s="2607"/>
      <c r="N7" s="2607"/>
      <c r="O7" s="2607"/>
      <c r="P7" s="2607"/>
      <c r="Q7" s="2607"/>
      <c r="R7" s="2607"/>
      <c r="S7" s="2639"/>
      <c r="T7" s="2630"/>
      <c r="U7" s="2630"/>
      <c r="V7" s="2630"/>
      <c r="W7" s="2610"/>
    </row>
    <row r="8" spans="1:26" ht="15.75">
      <c r="B8" s="1357"/>
      <c r="C8" s="1190"/>
      <c r="D8" s="1185"/>
      <c r="E8" s="1310"/>
      <c r="F8" s="1310"/>
    </row>
    <row r="9" spans="1:26" ht="15.75">
      <c r="A9" s="1357"/>
      <c r="B9" s="1357"/>
      <c r="C9" s="1190"/>
      <c r="D9" s="1185"/>
      <c r="E9" s="1310"/>
      <c r="F9" s="1310"/>
      <c r="H9" s="1165"/>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29"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1357"/>
      <c r="C12" s="1434" t="s">
        <v>298</v>
      </c>
      <c r="D12" s="2939">
        <f>D15+D21+D27+D37+D43+D49+D55+D61+D67</f>
        <v>202824.66518000001</v>
      </c>
      <c r="E12" s="1909">
        <f>E15+E21+E27+E37+E43+E49+E55+E61+E67</f>
        <v>353040.13750000001</v>
      </c>
      <c r="F12" s="1462">
        <f>D12+E12</f>
        <v>555864.80267999996</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c r="Z14" s="1458" t="s">
        <v>307</v>
      </c>
    </row>
    <row r="15" spans="1:26">
      <c r="B15" s="1433" t="s">
        <v>296</v>
      </c>
      <c r="C15" s="1597" t="s">
        <v>1749</v>
      </c>
      <c r="D15" s="2780">
        <f>SUM(D16:D19)</f>
        <v>12045.54</v>
      </c>
      <c r="E15" s="1657">
        <f>SUM(E16:E19)</f>
        <v>15550</v>
      </c>
      <c r="F15" s="1602">
        <f>D15+E15</f>
        <v>27595.54</v>
      </c>
      <c r="H15" s="1475" t="s">
        <v>308</v>
      </c>
      <c r="I15" s="1476"/>
      <c r="J15" s="1476"/>
      <c r="K15" s="1477"/>
      <c r="L15" s="1478">
        <f>SUMPRODUCT(L16:L179,S16:S179)</f>
        <v>1116520</v>
      </c>
      <c r="M15" s="1478">
        <f>SUM(M16:M179)</f>
        <v>150</v>
      </c>
      <c r="N15" s="1479"/>
      <c r="O15" s="1477">
        <v>20</v>
      </c>
      <c r="P15" s="1477"/>
      <c r="Q15" s="3265"/>
      <c r="R15" s="1477"/>
      <c r="S15" s="1477"/>
      <c r="T15" s="2983">
        <v>34000</v>
      </c>
      <c r="U15" s="1480">
        <f t="shared" ref="U15:Y15" si="0">SUM(U16:U65)</f>
        <v>170000</v>
      </c>
      <c r="V15" s="1480">
        <f t="shared" si="0"/>
        <v>204000</v>
      </c>
      <c r="W15" s="2987">
        <v>150000</v>
      </c>
      <c r="X15" s="1478">
        <f t="shared" si="0"/>
        <v>255000</v>
      </c>
      <c r="Y15" s="1478">
        <f t="shared" si="0"/>
        <v>405000</v>
      </c>
      <c r="Z15" s="1481">
        <v>0</v>
      </c>
    </row>
    <row r="16" spans="1:26">
      <c r="B16" s="1432">
        <v>0.125</v>
      </c>
      <c r="C16" s="1667" t="s">
        <v>735</v>
      </c>
      <c r="D16" s="2772">
        <v>12045.54</v>
      </c>
      <c r="E16" s="1669">
        <v>15550</v>
      </c>
      <c r="F16" s="1426">
        <f>SUM(D16:E16)</f>
        <v>27595.54</v>
      </c>
      <c r="H16" s="1460" t="s">
        <v>1043</v>
      </c>
      <c r="I16" s="2205">
        <v>50</v>
      </c>
      <c r="J16" s="1470" t="s">
        <v>559</v>
      </c>
      <c r="K16" s="1460" t="s">
        <v>845</v>
      </c>
      <c r="L16" s="1467">
        <v>187.35</v>
      </c>
      <c r="M16" s="1467">
        <v>75</v>
      </c>
      <c r="N16" s="1461">
        <v>0.91666666666666663</v>
      </c>
      <c r="O16" s="1460">
        <v>20</v>
      </c>
      <c r="P16" s="1463" t="s">
        <v>1008</v>
      </c>
      <c r="Q16" s="3266">
        <v>1000</v>
      </c>
      <c r="R16" s="1466">
        <v>3400</v>
      </c>
      <c r="S16" s="1469">
        <f>SUM(Q16:R16)</f>
        <v>4400</v>
      </c>
      <c r="T16" s="2991">
        <v>17000</v>
      </c>
      <c r="U16" s="1469">
        <f>R16*I16</f>
        <v>170000</v>
      </c>
      <c r="V16" s="1469">
        <f>SUM(T16:U16)</f>
        <v>187000</v>
      </c>
      <c r="W16" s="2993">
        <v>75000</v>
      </c>
      <c r="X16" s="1459">
        <f>R16*M16</f>
        <v>255000</v>
      </c>
      <c r="Y16" s="1459">
        <f>SUM(W16:X16)</f>
        <v>330000</v>
      </c>
      <c r="Z16" s="1482">
        <v>0</v>
      </c>
    </row>
    <row r="17" spans="2:26">
      <c r="B17" s="1432"/>
      <c r="C17" s="1667"/>
      <c r="D17" s="2784"/>
      <c r="E17" s="1668"/>
      <c r="F17" s="1426">
        <f t="shared" ref="F17:F19" si="1">SUM(D17:E17)</f>
        <v>0</v>
      </c>
      <c r="H17" s="1460" t="s">
        <v>1044</v>
      </c>
      <c r="I17" s="2205">
        <v>50</v>
      </c>
      <c r="J17" s="1470" t="s">
        <v>559</v>
      </c>
      <c r="K17" s="1460" t="s">
        <v>845</v>
      </c>
      <c r="L17" s="1467">
        <v>292.18</v>
      </c>
      <c r="M17" s="1467">
        <v>75</v>
      </c>
      <c r="N17" s="1461">
        <v>8.3333333333333329E-2</v>
      </c>
      <c r="O17" s="1460">
        <v>20</v>
      </c>
      <c r="P17" s="1463" t="s">
        <v>1008</v>
      </c>
      <c r="Q17" s="3266">
        <v>1000</v>
      </c>
      <c r="R17" s="1466">
        <v>0</v>
      </c>
      <c r="S17" s="1469">
        <f t="shared" ref="S17:S43" si="2">SUM(Q17:R17)</f>
        <v>1000</v>
      </c>
      <c r="T17" s="2991">
        <v>17000</v>
      </c>
      <c r="U17" s="1469">
        <f t="shared" ref="U17:U43" si="3">R17*I17</f>
        <v>0</v>
      </c>
      <c r="V17" s="1469">
        <f t="shared" ref="V17:V43" si="4">SUM(T17:U17)</f>
        <v>17000</v>
      </c>
      <c r="W17" s="2993">
        <v>75000</v>
      </c>
      <c r="X17" s="1459">
        <f t="shared" ref="X17:X43" si="5">R17*M17</f>
        <v>0</v>
      </c>
      <c r="Y17" s="1459">
        <f t="shared" ref="Y17:Y43" si="6">SUM(W17:X17)</f>
        <v>75000</v>
      </c>
      <c r="Z17" s="1482">
        <v>0</v>
      </c>
    </row>
    <row r="18" spans="2:26">
      <c r="B18" s="1970"/>
      <c r="C18" s="1667"/>
      <c r="D18" s="2784"/>
      <c r="E18" s="1668"/>
      <c r="F18" s="1426">
        <f t="shared" si="1"/>
        <v>0</v>
      </c>
      <c r="H18" s="1460"/>
      <c r="I18" s="2205"/>
      <c r="J18" s="1470" t="s">
        <v>229</v>
      </c>
      <c r="K18" s="1460"/>
      <c r="L18" s="1467"/>
      <c r="M18" s="1467"/>
      <c r="N18" s="1461"/>
      <c r="O18" s="1460"/>
      <c r="P18" s="1463"/>
      <c r="Q18" s="1466"/>
      <c r="R18" s="1466"/>
      <c r="S18" s="1469">
        <f t="shared" si="2"/>
        <v>0</v>
      </c>
      <c r="T18" s="2991">
        <v>0</v>
      </c>
      <c r="U18" s="1469">
        <f t="shared" si="3"/>
        <v>0</v>
      </c>
      <c r="V18" s="1469">
        <f t="shared" si="4"/>
        <v>0</v>
      </c>
      <c r="W18" s="2993">
        <v>0</v>
      </c>
      <c r="X18" s="1459">
        <f t="shared" si="5"/>
        <v>0</v>
      </c>
      <c r="Y18" s="1459">
        <f t="shared" si="6"/>
        <v>0</v>
      </c>
      <c r="Z18" s="1482"/>
    </row>
    <row r="19" spans="2:26">
      <c r="B19" s="1970"/>
      <c r="C19" s="1667"/>
      <c r="D19" s="2786"/>
      <c r="E19" s="1446"/>
      <c r="F19" s="1426">
        <f t="shared" si="1"/>
        <v>0</v>
      </c>
      <c r="H19" s="1460"/>
      <c r="I19" s="2205"/>
      <c r="J19" s="1470" t="s">
        <v>229</v>
      </c>
      <c r="K19" s="1460"/>
      <c r="L19" s="1467"/>
      <c r="M19" s="1467"/>
      <c r="N19" s="1461"/>
      <c r="O19" s="1460"/>
      <c r="P19" s="1463"/>
      <c r="Q19" s="1466"/>
      <c r="R19" s="1466"/>
      <c r="S19" s="1469">
        <f t="shared" si="2"/>
        <v>0</v>
      </c>
      <c r="T19" s="2991">
        <v>0</v>
      </c>
      <c r="U19" s="1469">
        <f t="shared" si="3"/>
        <v>0</v>
      </c>
      <c r="V19" s="1469">
        <f t="shared" si="4"/>
        <v>0</v>
      </c>
      <c r="W19" s="2993">
        <v>0</v>
      </c>
      <c r="X19" s="1459">
        <f t="shared" si="5"/>
        <v>0</v>
      </c>
      <c r="Y19" s="1459">
        <f t="shared" si="6"/>
        <v>0</v>
      </c>
      <c r="Z19" s="1482"/>
    </row>
    <row r="20" spans="2:26">
      <c r="B20" s="2204">
        <f>SUM(B16:B19)</f>
        <v>0.125</v>
      </c>
      <c r="C20" s="1488"/>
      <c r="D20" s="2770"/>
      <c r="E20" s="1490"/>
      <c r="F20" s="1492"/>
      <c r="H20" s="1460"/>
      <c r="I20" s="2205"/>
      <c r="J20" s="1470" t="s">
        <v>229</v>
      </c>
      <c r="K20" s="1460"/>
      <c r="L20" s="1467"/>
      <c r="M20" s="1467"/>
      <c r="N20" s="1461"/>
      <c r="O20" s="1460"/>
      <c r="P20" s="1463"/>
      <c r="Q20" s="1466"/>
      <c r="R20" s="1466"/>
      <c r="S20" s="1469">
        <f t="shared" si="2"/>
        <v>0</v>
      </c>
      <c r="T20" s="2991">
        <v>0</v>
      </c>
      <c r="U20" s="1469">
        <f t="shared" si="3"/>
        <v>0</v>
      </c>
      <c r="V20" s="1469">
        <f t="shared" si="4"/>
        <v>0</v>
      </c>
      <c r="W20" s="2993">
        <v>0</v>
      </c>
      <c r="X20" s="1459">
        <f t="shared" si="5"/>
        <v>0</v>
      </c>
      <c r="Y20" s="1459">
        <f t="shared" si="6"/>
        <v>0</v>
      </c>
      <c r="Z20" s="1482"/>
    </row>
    <row r="21" spans="2:26">
      <c r="B21" s="1433" t="s">
        <v>296</v>
      </c>
      <c r="C21" s="1451" t="s">
        <v>44</v>
      </c>
      <c r="D21" s="2780">
        <f>SUM(D22:D25)</f>
        <v>1250</v>
      </c>
      <c r="E21" s="1657">
        <f>SUM(E22:E25)</f>
        <v>1943.75</v>
      </c>
      <c r="F21" s="1602">
        <f>D21+E21</f>
        <v>3193.75</v>
      </c>
      <c r="H21" s="1460"/>
      <c r="I21" s="2205"/>
      <c r="J21" s="1470" t="s">
        <v>229</v>
      </c>
      <c r="K21" s="1460"/>
      <c r="L21" s="1467"/>
      <c r="M21" s="1467"/>
      <c r="N21" s="1461"/>
      <c r="O21" s="1460"/>
      <c r="P21" s="1463"/>
      <c r="Q21" s="1466"/>
      <c r="R21" s="1466"/>
      <c r="S21" s="1469">
        <f t="shared" si="2"/>
        <v>0</v>
      </c>
      <c r="T21" s="2991">
        <v>0</v>
      </c>
      <c r="U21" s="1469">
        <f t="shared" si="3"/>
        <v>0</v>
      </c>
      <c r="V21" s="1469">
        <f t="shared" si="4"/>
        <v>0</v>
      </c>
      <c r="W21" s="2993">
        <v>0</v>
      </c>
      <c r="X21" s="1459">
        <f t="shared" si="5"/>
        <v>0</v>
      </c>
      <c r="Y21" s="1459">
        <f t="shared" si="6"/>
        <v>0</v>
      </c>
      <c r="Z21" s="1482"/>
    </row>
    <row r="22" spans="2:26">
      <c r="B22" s="1982">
        <f>(SUM(D22:E22)/2)/((80000+(80000*1.025))/2)</f>
        <v>1.9714506172839506E-2</v>
      </c>
      <c r="C22" s="1423"/>
      <c r="D22" s="2772">
        <v>1250</v>
      </c>
      <c r="E22" s="1448">
        <v>1943.75</v>
      </c>
      <c r="F22" s="1426">
        <f t="shared" ref="F22:F25" si="7">SUM(D22:E22)</f>
        <v>3193.75</v>
      </c>
      <c r="H22" s="1460"/>
      <c r="I22" s="2205"/>
      <c r="J22" s="1470" t="s">
        <v>229</v>
      </c>
      <c r="K22" s="1460"/>
      <c r="L22" s="1467"/>
      <c r="M22" s="1467"/>
      <c r="N22" s="1461"/>
      <c r="O22" s="1460"/>
      <c r="P22" s="1463"/>
      <c r="Q22" s="1466"/>
      <c r="R22" s="1466"/>
      <c r="S22" s="1469">
        <f t="shared" si="2"/>
        <v>0</v>
      </c>
      <c r="T22" s="2991">
        <v>0</v>
      </c>
      <c r="U22" s="1469">
        <f t="shared" si="3"/>
        <v>0</v>
      </c>
      <c r="V22" s="1469">
        <f t="shared" si="4"/>
        <v>0</v>
      </c>
      <c r="W22" s="2993">
        <v>0</v>
      </c>
      <c r="X22" s="1459">
        <f t="shared" si="5"/>
        <v>0</v>
      </c>
      <c r="Y22" s="1459">
        <f t="shared" si="6"/>
        <v>0</v>
      </c>
      <c r="Z22" s="1482"/>
    </row>
    <row r="23" spans="2:26">
      <c r="B23" s="1982"/>
      <c r="C23" s="1667"/>
      <c r="D23" s="2773"/>
      <c r="E23" s="1444"/>
      <c r="F23" s="1426">
        <f t="shared" si="7"/>
        <v>0</v>
      </c>
      <c r="H23" s="1460"/>
      <c r="I23" s="2205"/>
      <c r="J23" s="1470" t="s">
        <v>229</v>
      </c>
      <c r="K23" s="1460"/>
      <c r="L23" s="1467"/>
      <c r="M23" s="1467"/>
      <c r="N23" s="1461"/>
      <c r="O23" s="1460"/>
      <c r="P23" s="1463"/>
      <c r="Q23" s="1466"/>
      <c r="R23" s="1466"/>
      <c r="S23" s="1469">
        <f t="shared" si="2"/>
        <v>0</v>
      </c>
      <c r="T23" s="2991">
        <v>0</v>
      </c>
      <c r="U23" s="1469">
        <f t="shared" si="3"/>
        <v>0</v>
      </c>
      <c r="V23" s="1469">
        <f t="shared" si="4"/>
        <v>0</v>
      </c>
      <c r="W23" s="2993">
        <v>0</v>
      </c>
      <c r="X23" s="1459">
        <f t="shared" si="5"/>
        <v>0</v>
      </c>
      <c r="Y23" s="1459">
        <f t="shared" si="6"/>
        <v>0</v>
      </c>
      <c r="Z23" s="1482"/>
    </row>
    <row r="24" spans="2:26">
      <c r="B24" s="1982"/>
      <c r="C24" s="1667"/>
      <c r="D24" s="2774"/>
      <c r="E24" s="1443"/>
      <c r="F24" s="1426">
        <f t="shared" si="7"/>
        <v>0</v>
      </c>
      <c r="H24" s="1460"/>
      <c r="I24" s="2205"/>
      <c r="J24" s="1470" t="s">
        <v>229</v>
      </c>
      <c r="K24" s="1460"/>
      <c r="L24" s="1467"/>
      <c r="M24" s="1467"/>
      <c r="N24" s="1461"/>
      <c r="O24" s="1460"/>
      <c r="P24" s="1463"/>
      <c r="Q24" s="1466"/>
      <c r="R24" s="1466"/>
      <c r="S24" s="1469">
        <f t="shared" si="2"/>
        <v>0</v>
      </c>
      <c r="T24" s="2991">
        <v>0</v>
      </c>
      <c r="U24" s="1469">
        <f t="shared" si="3"/>
        <v>0</v>
      </c>
      <c r="V24" s="1469">
        <f t="shared" si="4"/>
        <v>0</v>
      </c>
      <c r="W24" s="2993">
        <v>0</v>
      </c>
      <c r="X24" s="1459">
        <f t="shared" si="5"/>
        <v>0</v>
      </c>
      <c r="Y24" s="1459">
        <f t="shared" si="6"/>
        <v>0</v>
      </c>
      <c r="Z24" s="1482"/>
    </row>
    <row r="25" spans="2:26">
      <c r="B25" s="1982"/>
      <c r="C25" s="1667"/>
      <c r="D25" s="2775"/>
      <c r="E25" s="1444"/>
      <c r="F25" s="1426">
        <f t="shared" si="7"/>
        <v>0</v>
      </c>
      <c r="H25" s="1460"/>
      <c r="I25" s="2205"/>
      <c r="J25" s="1470" t="s">
        <v>229</v>
      </c>
      <c r="K25" s="1460"/>
      <c r="L25" s="1467"/>
      <c r="M25" s="1467"/>
      <c r="N25" s="1461"/>
      <c r="O25" s="1460"/>
      <c r="P25" s="1463"/>
      <c r="Q25" s="1466"/>
      <c r="R25" s="1466"/>
      <c r="S25" s="1469">
        <f t="shared" si="2"/>
        <v>0</v>
      </c>
      <c r="T25" s="2991">
        <v>0</v>
      </c>
      <c r="U25" s="1469">
        <f t="shared" si="3"/>
        <v>0</v>
      </c>
      <c r="V25" s="1469">
        <f t="shared" si="4"/>
        <v>0</v>
      </c>
      <c r="W25" s="2993">
        <v>0</v>
      </c>
      <c r="X25" s="1459">
        <f t="shared" si="5"/>
        <v>0</v>
      </c>
      <c r="Y25" s="1459">
        <f t="shared" si="6"/>
        <v>0</v>
      </c>
      <c r="Z25" s="1482"/>
    </row>
    <row r="26" spans="2:26">
      <c r="B26" s="2204">
        <f>SUM(B22:B25)</f>
        <v>1.9714506172839506E-2</v>
      </c>
      <c r="C26" s="1424"/>
      <c r="D26" s="2776"/>
      <c r="E26" s="1431"/>
      <c r="F26" s="1439"/>
      <c r="H26" s="1460"/>
      <c r="I26" s="2205"/>
      <c r="J26" s="1470" t="s">
        <v>229</v>
      </c>
      <c r="K26" s="1460"/>
      <c r="L26" s="1467"/>
      <c r="M26" s="1467"/>
      <c r="N26" s="1461"/>
      <c r="O26" s="1460"/>
      <c r="P26" s="1463"/>
      <c r="Q26" s="1466"/>
      <c r="R26" s="1466"/>
      <c r="S26" s="1469">
        <f t="shared" si="2"/>
        <v>0</v>
      </c>
      <c r="T26" s="2991">
        <v>0</v>
      </c>
      <c r="U26" s="1469">
        <f t="shared" si="3"/>
        <v>0</v>
      </c>
      <c r="V26" s="1469">
        <f t="shared" si="4"/>
        <v>0</v>
      </c>
      <c r="W26" s="2993">
        <v>0</v>
      </c>
      <c r="X26" s="1459">
        <f t="shared" si="5"/>
        <v>0</v>
      </c>
      <c r="Y26" s="1459">
        <f t="shared" si="6"/>
        <v>0</v>
      </c>
      <c r="Z26" s="1482"/>
    </row>
    <row r="27" spans="2:26">
      <c r="C27" s="1597" t="s">
        <v>1737</v>
      </c>
      <c r="D27" s="2780">
        <f>SUM(D29:D35)</f>
        <v>8868.1251800000009</v>
      </c>
      <c r="E27" s="1657">
        <f>SUM(E29:E31)+SUM(E33:E35)</f>
        <v>15709.387499999999</v>
      </c>
      <c r="F27" s="1602">
        <f>D27+E27</f>
        <v>24577.51268</v>
      </c>
      <c r="H27" s="1460"/>
      <c r="I27" s="2205"/>
      <c r="J27" s="1470" t="s">
        <v>229</v>
      </c>
      <c r="K27" s="1460"/>
      <c r="L27" s="1467"/>
      <c r="M27" s="1467"/>
      <c r="N27" s="1461"/>
      <c r="O27" s="1460"/>
      <c r="P27" s="1463"/>
      <c r="Q27" s="1466"/>
      <c r="R27" s="1466"/>
      <c r="S27" s="1469">
        <f t="shared" si="2"/>
        <v>0</v>
      </c>
      <c r="T27" s="2991">
        <v>0</v>
      </c>
      <c r="U27" s="1469">
        <f t="shared" si="3"/>
        <v>0</v>
      </c>
      <c r="V27" s="1469">
        <f t="shared" si="4"/>
        <v>0</v>
      </c>
      <c r="W27" s="2993">
        <v>0</v>
      </c>
      <c r="X27" s="1459">
        <f t="shared" si="5"/>
        <v>0</v>
      </c>
      <c r="Y27" s="1459">
        <f t="shared" si="6"/>
        <v>0</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f t="shared" si="2"/>
        <v>0</v>
      </c>
      <c r="T28" s="2991">
        <v>0</v>
      </c>
      <c r="U28" s="1469">
        <f t="shared" si="3"/>
        <v>0</v>
      </c>
      <c r="V28" s="1469">
        <f t="shared" si="4"/>
        <v>0</v>
      </c>
      <c r="W28" s="2993">
        <v>0</v>
      </c>
      <c r="X28" s="1459">
        <f t="shared" si="5"/>
        <v>0</v>
      </c>
      <c r="Y28" s="1459">
        <f t="shared" si="6"/>
        <v>0</v>
      </c>
      <c r="Z28" s="1482"/>
    </row>
    <row r="29" spans="2:26">
      <c r="C29" s="1667" t="s">
        <v>719</v>
      </c>
      <c r="D29" s="2778">
        <f>D15*D28</f>
        <v>8034.3751800000009</v>
      </c>
      <c r="E29" s="1504">
        <f>E15*E28</f>
        <v>10698.4</v>
      </c>
      <c r="F29" s="1426">
        <f t="shared" ref="F29:F35" si="8">SUM(D29:E29)</f>
        <v>18732.775180000001</v>
      </c>
      <c r="H29" s="1460"/>
      <c r="I29" s="2205"/>
      <c r="J29" s="1470" t="s">
        <v>229</v>
      </c>
      <c r="K29" s="1460"/>
      <c r="L29" s="1467"/>
      <c r="M29" s="1467"/>
      <c r="N29" s="1461"/>
      <c r="O29" s="1460"/>
      <c r="P29" s="1463"/>
      <c r="Q29" s="1466"/>
      <c r="R29" s="1466"/>
      <c r="S29" s="1469">
        <f t="shared" si="2"/>
        <v>0</v>
      </c>
      <c r="T29" s="2991">
        <v>0</v>
      </c>
      <c r="U29" s="1469">
        <f t="shared" si="3"/>
        <v>0</v>
      </c>
      <c r="V29" s="1469">
        <f t="shared" si="4"/>
        <v>0</v>
      </c>
      <c r="W29" s="2993">
        <v>0</v>
      </c>
      <c r="X29" s="1459">
        <f t="shared" si="5"/>
        <v>0</v>
      </c>
      <c r="Y29" s="1459">
        <f t="shared" si="6"/>
        <v>0</v>
      </c>
      <c r="Z29" s="1482"/>
    </row>
    <row r="30" spans="2:26">
      <c r="C30" s="1667" t="s">
        <v>720</v>
      </c>
      <c r="D30" s="2785">
        <f>D21*D28</f>
        <v>833.75</v>
      </c>
      <c r="E30" s="1504">
        <f>E21*E28</f>
        <v>1337.3</v>
      </c>
      <c r="F30" s="1426">
        <f t="shared" si="8"/>
        <v>2171.0500000000002</v>
      </c>
      <c r="H30" s="1460"/>
      <c r="I30" s="2205"/>
      <c r="J30" s="1470" t="s">
        <v>229</v>
      </c>
      <c r="K30" s="1460"/>
      <c r="L30" s="1467"/>
      <c r="M30" s="1467"/>
      <c r="N30" s="1461"/>
      <c r="O30" s="1460"/>
      <c r="P30" s="1463"/>
      <c r="Q30" s="1466"/>
      <c r="R30" s="1466"/>
      <c r="S30" s="1469">
        <f t="shared" si="2"/>
        <v>0</v>
      </c>
      <c r="T30" s="2991">
        <v>0</v>
      </c>
      <c r="U30" s="1469">
        <f t="shared" si="3"/>
        <v>0</v>
      </c>
      <c r="V30" s="1469">
        <f t="shared" si="4"/>
        <v>0</v>
      </c>
      <c r="W30" s="2993">
        <v>0</v>
      </c>
      <c r="X30" s="1459">
        <f t="shared" si="5"/>
        <v>0</v>
      </c>
      <c r="Y30" s="1459">
        <f t="shared" si="6"/>
        <v>0</v>
      </c>
      <c r="Z30" s="1482"/>
    </row>
    <row r="31" spans="2:26">
      <c r="C31" s="1667"/>
      <c r="D31" s="2774"/>
      <c r="E31" s="1443"/>
      <c r="F31" s="1426">
        <f t="shared" si="8"/>
        <v>0</v>
      </c>
      <c r="H31" s="1460"/>
      <c r="I31" s="2205"/>
      <c r="J31" s="1470" t="s">
        <v>229</v>
      </c>
      <c r="K31" s="1460"/>
      <c r="L31" s="1467"/>
      <c r="M31" s="1467"/>
      <c r="N31" s="1461"/>
      <c r="O31" s="1460"/>
      <c r="P31" s="1463"/>
      <c r="Q31" s="1466"/>
      <c r="R31" s="1466"/>
      <c r="S31" s="1469">
        <f t="shared" si="2"/>
        <v>0</v>
      </c>
      <c r="T31" s="2991">
        <v>0</v>
      </c>
      <c r="U31" s="1469">
        <f t="shared" si="3"/>
        <v>0</v>
      </c>
      <c r="V31" s="1469">
        <f t="shared" si="4"/>
        <v>0</v>
      </c>
      <c r="W31" s="2993">
        <v>0</v>
      </c>
      <c r="X31" s="1459">
        <f t="shared" si="5"/>
        <v>0</v>
      </c>
      <c r="Y31" s="1459">
        <f t="shared" si="6"/>
        <v>0</v>
      </c>
      <c r="Z31" s="1482"/>
    </row>
    <row r="32" spans="2:26">
      <c r="C32" s="1450" t="s">
        <v>1734</v>
      </c>
      <c r="D32" s="2777"/>
      <c r="E32" s="1452">
        <v>0.21</v>
      </c>
      <c r="F32" s="1485"/>
      <c r="H32" s="1460"/>
      <c r="I32" s="2205"/>
      <c r="J32" s="1470" t="s">
        <v>229</v>
      </c>
      <c r="K32" s="1460"/>
      <c r="L32" s="1467"/>
      <c r="M32" s="1467"/>
      <c r="N32" s="1461"/>
      <c r="O32" s="1460"/>
      <c r="P32" s="1463"/>
      <c r="Q32" s="1466"/>
      <c r="R32" s="1466"/>
      <c r="S32" s="1469">
        <f t="shared" si="2"/>
        <v>0</v>
      </c>
      <c r="T32" s="2991">
        <v>0</v>
      </c>
      <c r="U32" s="1469">
        <f t="shared" si="3"/>
        <v>0</v>
      </c>
      <c r="V32" s="1469">
        <f t="shared" si="4"/>
        <v>0</v>
      </c>
      <c r="W32" s="2993">
        <v>0</v>
      </c>
      <c r="X32" s="1459">
        <f t="shared" si="5"/>
        <v>0</v>
      </c>
      <c r="Y32" s="1459">
        <f t="shared" si="6"/>
        <v>0</v>
      </c>
      <c r="Z32" s="1482"/>
    </row>
    <row r="33" spans="1:26">
      <c r="C33" s="1667" t="s">
        <v>719</v>
      </c>
      <c r="D33" s="2778"/>
      <c r="E33" s="1641">
        <f>E15*E32</f>
        <v>3265.5</v>
      </c>
      <c r="F33" s="1661">
        <f>SUM(D33:E33)</f>
        <v>3265.5</v>
      </c>
      <c r="H33" s="1460"/>
      <c r="I33" s="2205"/>
      <c r="J33" s="1470" t="s">
        <v>229</v>
      </c>
      <c r="K33" s="1460"/>
      <c r="L33" s="1467"/>
      <c r="M33" s="1467"/>
      <c r="N33" s="1461"/>
      <c r="O33" s="1460"/>
      <c r="P33" s="1463"/>
      <c r="Q33" s="1466"/>
      <c r="R33" s="1466"/>
      <c r="S33" s="1469">
        <f t="shared" si="2"/>
        <v>0</v>
      </c>
      <c r="T33" s="2991">
        <v>0</v>
      </c>
      <c r="U33" s="1469">
        <f t="shared" si="3"/>
        <v>0</v>
      </c>
      <c r="V33" s="1469">
        <f t="shared" si="4"/>
        <v>0</v>
      </c>
      <c r="W33" s="2993">
        <v>0</v>
      </c>
      <c r="X33" s="1459">
        <f t="shared" si="5"/>
        <v>0</v>
      </c>
      <c r="Y33" s="1459">
        <f t="shared" si="6"/>
        <v>0</v>
      </c>
      <c r="Z33" s="1482"/>
    </row>
    <row r="34" spans="1:26" ht="38.25">
      <c r="A34" s="1357" t="s">
        <v>248</v>
      </c>
      <c r="C34" s="1667" t="s">
        <v>720</v>
      </c>
      <c r="D34" s="2785"/>
      <c r="E34" s="1641">
        <f>E21*E32</f>
        <v>408.1875</v>
      </c>
      <c r="F34" s="1661">
        <f t="shared" ref="F34" si="9">SUM(D34:E34)</f>
        <v>408.1875</v>
      </c>
      <c r="H34" s="1460"/>
      <c r="I34" s="2205"/>
      <c r="J34" s="1470" t="s">
        <v>229</v>
      </c>
      <c r="K34" s="1460"/>
      <c r="L34" s="1467"/>
      <c r="M34" s="1467"/>
      <c r="N34" s="1461"/>
      <c r="O34" s="1460"/>
      <c r="P34" s="1463"/>
      <c r="Q34" s="1466"/>
      <c r="R34" s="1466"/>
      <c r="S34" s="1469">
        <f t="shared" si="2"/>
        <v>0</v>
      </c>
      <c r="T34" s="2991">
        <v>0</v>
      </c>
      <c r="U34" s="1469">
        <f t="shared" si="3"/>
        <v>0</v>
      </c>
      <c r="V34" s="1469">
        <f t="shared" si="4"/>
        <v>0</v>
      </c>
      <c r="W34" s="2993">
        <v>0</v>
      </c>
      <c r="X34" s="1459">
        <f t="shared" si="5"/>
        <v>0</v>
      </c>
      <c r="Y34" s="1459">
        <f t="shared" si="6"/>
        <v>0</v>
      </c>
      <c r="Z34" s="1482"/>
    </row>
    <row r="35" spans="1:26">
      <c r="A35" s="1357" t="s">
        <v>275</v>
      </c>
      <c r="C35" s="1445"/>
      <c r="D35" s="2775"/>
      <c r="E35" s="1444"/>
      <c r="F35" s="1426">
        <f t="shared" si="8"/>
        <v>0</v>
      </c>
      <c r="H35" s="1460"/>
      <c r="I35" s="2205"/>
      <c r="J35" s="1470" t="s">
        <v>229</v>
      </c>
      <c r="K35" s="1460"/>
      <c r="L35" s="1467"/>
      <c r="M35" s="1467"/>
      <c r="N35" s="1461"/>
      <c r="O35" s="1460"/>
      <c r="P35" s="1463"/>
      <c r="Q35" s="1466"/>
      <c r="R35" s="1466"/>
      <c r="S35" s="1469">
        <f t="shared" si="2"/>
        <v>0</v>
      </c>
      <c r="T35" s="2991">
        <v>0</v>
      </c>
      <c r="U35" s="1469">
        <f t="shared" si="3"/>
        <v>0</v>
      </c>
      <c r="V35" s="1469">
        <f t="shared" si="4"/>
        <v>0</v>
      </c>
      <c r="W35" s="2993">
        <v>0</v>
      </c>
      <c r="X35" s="1459">
        <f t="shared" si="5"/>
        <v>0</v>
      </c>
      <c r="Y35" s="1459">
        <f t="shared" si="6"/>
        <v>0</v>
      </c>
      <c r="Z35" s="1482"/>
    </row>
    <row r="36" spans="1:26">
      <c r="A36" s="1357" t="s">
        <v>5</v>
      </c>
      <c r="C36" s="1488"/>
      <c r="D36" s="2779"/>
      <c r="E36" s="1490"/>
      <c r="F36" s="1493"/>
      <c r="H36" s="1460"/>
      <c r="I36" s="2205"/>
      <c r="J36" s="1470" t="s">
        <v>229</v>
      </c>
      <c r="K36" s="1460"/>
      <c r="L36" s="1467"/>
      <c r="M36" s="1467"/>
      <c r="N36" s="1461"/>
      <c r="O36" s="1460"/>
      <c r="P36" s="1463"/>
      <c r="Q36" s="1466"/>
      <c r="R36" s="1466"/>
      <c r="S36" s="1469">
        <f t="shared" si="2"/>
        <v>0</v>
      </c>
      <c r="T36" s="2991">
        <v>0</v>
      </c>
      <c r="U36" s="1469">
        <f t="shared" si="3"/>
        <v>0</v>
      </c>
      <c r="V36" s="1469">
        <f t="shared" si="4"/>
        <v>0</v>
      </c>
      <c r="W36" s="2993">
        <v>0</v>
      </c>
      <c r="X36" s="1459">
        <f t="shared" si="5"/>
        <v>0</v>
      </c>
      <c r="Y36" s="1459">
        <f t="shared" si="6"/>
        <v>0</v>
      </c>
      <c r="Z36" s="1482"/>
    </row>
    <row r="37" spans="1:26">
      <c r="A37" s="1357">
        <v>18230687</v>
      </c>
      <c r="C37" s="1451" t="s">
        <v>46</v>
      </c>
      <c r="D37" s="2771">
        <f>SUM(D38:D41)</f>
        <v>19911</v>
      </c>
      <c r="E37" s="1657">
        <f>SUM(E38:E41)</f>
        <v>35272</v>
      </c>
      <c r="F37" s="1602">
        <f>D37+E37</f>
        <v>55183</v>
      </c>
      <c r="H37" s="1460"/>
      <c r="I37" s="2205"/>
      <c r="J37" s="1470" t="s">
        <v>229</v>
      </c>
      <c r="K37" s="1460"/>
      <c r="L37" s="1467"/>
      <c r="M37" s="1467"/>
      <c r="N37" s="1461"/>
      <c r="O37" s="1460"/>
      <c r="P37" s="1463"/>
      <c r="Q37" s="1466"/>
      <c r="R37" s="1466"/>
      <c r="S37" s="1469">
        <f t="shared" si="2"/>
        <v>0</v>
      </c>
      <c r="T37" s="2991">
        <v>0</v>
      </c>
      <c r="U37" s="1469">
        <f t="shared" si="3"/>
        <v>0</v>
      </c>
      <c r="V37" s="1469">
        <f t="shared" si="4"/>
        <v>0</v>
      </c>
      <c r="W37" s="2993">
        <v>0</v>
      </c>
      <c r="X37" s="1459">
        <f t="shared" si="5"/>
        <v>0</v>
      </c>
      <c r="Y37" s="1459">
        <f t="shared" si="6"/>
        <v>0</v>
      </c>
      <c r="Z37" s="1482"/>
    </row>
    <row r="38" spans="1:26">
      <c r="A38" s="1357" t="s">
        <v>28</v>
      </c>
      <c r="C38" s="1423" t="s">
        <v>1824</v>
      </c>
      <c r="D38" s="2778">
        <v>19911</v>
      </c>
      <c r="E38" s="1520">
        <v>17299</v>
      </c>
      <c r="F38" s="1426">
        <f t="shared" ref="F38:F41" si="10">SUM(D38:E38)</f>
        <v>37210</v>
      </c>
      <c r="H38" s="1460"/>
      <c r="I38" s="2205"/>
      <c r="J38" s="1470" t="s">
        <v>229</v>
      </c>
      <c r="K38" s="1460"/>
      <c r="L38" s="1467"/>
      <c r="M38" s="1467"/>
      <c r="N38" s="1461"/>
      <c r="O38" s="1460"/>
      <c r="P38" s="1463"/>
      <c r="Q38" s="1466"/>
      <c r="R38" s="1466"/>
      <c r="S38" s="1469">
        <f t="shared" si="2"/>
        <v>0</v>
      </c>
      <c r="T38" s="2991">
        <v>0</v>
      </c>
      <c r="U38" s="1469">
        <f t="shared" si="3"/>
        <v>0</v>
      </c>
      <c r="V38" s="1469">
        <f t="shared" si="4"/>
        <v>0</v>
      </c>
      <c r="W38" s="2993">
        <v>0</v>
      </c>
      <c r="X38" s="1459">
        <f t="shared" si="5"/>
        <v>0</v>
      </c>
      <c r="Y38" s="1459">
        <f t="shared" si="6"/>
        <v>0</v>
      </c>
      <c r="Z38" s="1482"/>
    </row>
    <row r="39" spans="1:26">
      <c r="C39" s="1423" t="s">
        <v>1825</v>
      </c>
      <c r="D39" s="2778"/>
      <c r="E39" s="1520">
        <v>17973</v>
      </c>
      <c r="F39" s="1426">
        <f t="shared" si="10"/>
        <v>17973</v>
      </c>
      <c r="H39" s="1460"/>
      <c r="I39" s="2205"/>
      <c r="J39" s="1470" t="s">
        <v>229</v>
      </c>
      <c r="K39" s="1460"/>
      <c r="L39" s="1467"/>
      <c r="M39" s="1467"/>
      <c r="N39" s="1461"/>
      <c r="O39" s="1460"/>
      <c r="P39" s="1463"/>
      <c r="Q39" s="1466"/>
      <c r="R39" s="1466"/>
      <c r="S39" s="1469">
        <f t="shared" si="2"/>
        <v>0</v>
      </c>
      <c r="T39" s="2991">
        <v>0</v>
      </c>
      <c r="U39" s="1469">
        <f t="shared" si="3"/>
        <v>0</v>
      </c>
      <c r="V39" s="1469">
        <f t="shared" si="4"/>
        <v>0</v>
      </c>
      <c r="W39" s="2993">
        <v>0</v>
      </c>
      <c r="X39" s="1459">
        <f t="shared" si="5"/>
        <v>0</v>
      </c>
      <c r="Y39" s="1459">
        <f t="shared" si="6"/>
        <v>0</v>
      </c>
      <c r="Z39" s="1482"/>
    </row>
    <row r="40" spans="1:26">
      <c r="C40" s="1423"/>
      <c r="D40" s="2778"/>
      <c r="E40" s="1520"/>
      <c r="F40" s="1426">
        <f t="shared" si="10"/>
        <v>0</v>
      </c>
      <c r="H40" s="1460"/>
      <c r="I40" s="2205"/>
      <c r="J40" s="1470" t="s">
        <v>229</v>
      </c>
      <c r="K40" s="1460"/>
      <c r="L40" s="1467"/>
      <c r="M40" s="1467"/>
      <c r="N40" s="1461"/>
      <c r="O40" s="1460"/>
      <c r="P40" s="1463"/>
      <c r="Q40" s="1466"/>
      <c r="R40" s="1466"/>
      <c r="S40" s="1469">
        <f t="shared" si="2"/>
        <v>0</v>
      </c>
      <c r="T40" s="2991">
        <v>0</v>
      </c>
      <c r="U40" s="1469">
        <f t="shared" si="3"/>
        <v>0</v>
      </c>
      <c r="V40" s="1469">
        <f t="shared" si="4"/>
        <v>0</v>
      </c>
      <c r="W40" s="2993">
        <v>0</v>
      </c>
      <c r="X40" s="1459">
        <f t="shared" si="5"/>
        <v>0</v>
      </c>
      <c r="Y40" s="1459">
        <f t="shared" si="6"/>
        <v>0</v>
      </c>
      <c r="Z40" s="1482"/>
    </row>
    <row r="41" spans="1:26">
      <c r="C41" s="1423"/>
      <c r="D41" s="2778"/>
      <c r="E41" s="1520"/>
      <c r="F41" s="1426">
        <f t="shared" si="10"/>
        <v>0</v>
      </c>
      <c r="H41" s="1460"/>
      <c r="I41" s="2205"/>
      <c r="J41" s="1470" t="s">
        <v>229</v>
      </c>
      <c r="K41" s="1460"/>
      <c r="L41" s="1467"/>
      <c r="M41" s="1467"/>
      <c r="N41" s="1461"/>
      <c r="O41" s="1460"/>
      <c r="P41" s="1463"/>
      <c r="Q41" s="1466"/>
      <c r="R41" s="1466"/>
      <c r="S41" s="1469">
        <f t="shared" si="2"/>
        <v>0</v>
      </c>
      <c r="T41" s="2991">
        <v>0</v>
      </c>
      <c r="U41" s="1469">
        <f t="shared" si="3"/>
        <v>0</v>
      </c>
      <c r="V41" s="1469">
        <f t="shared" si="4"/>
        <v>0</v>
      </c>
      <c r="W41" s="2993">
        <v>0</v>
      </c>
      <c r="X41" s="1459">
        <f t="shared" si="5"/>
        <v>0</v>
      </c>
      <c r="Y41" s="1459">
        <f t="shared" si="6"/>
        <v>0</v>
      </c>
      <c r="Z41" s="1482"/>
    </row>
    <row r="42" spans="1:26">
      <c r="C42" s="1488"/>
      <c r="D42" s="2779"/>
      <c r="E42" s="1490"/>
      <c r="F42" s="1493"/>
      <c r="H42" s="1460"/>
      <c r="I42" s="2205"/>
      <c r="J42" s="1470" t="s">
        <v>229</v>
      </c>
      <c r="K42" s="1460"/>
      <c r="L42" s="1467"/>
      <c r="M42" s="1467"/>
      <c r="N42" s="1461"/>
      <c r="O42" s="1460"/>
      <c r="P42" s="1463"/>
      <c r="Q42" s="1466"/>
      <c r="R42" s="1466"/>
      <c r="S42" s="1469">
        <f t="shared" si="2"/>
        <v>0</v>
      </c>
      <c r="T42" s="2991">
        <v>0</v>
      </c>
      <c r="U42" s="1469">
        <f t="shared" si="3"/>
        <v>0</v>
      </c>
      <c r="V42" s="1469">
        <f t="shared" si="4"/>
        <v>0</v>
      </c>
      <c r="W42" s="2993">
        <v>0</v>
      </c>
      <c r="X42" s="1459">
        <f t="shared" si="5"/>
        <v>0</v>
      </c>
      <c r="Y42" s="1459">
        <f t="shared" si="6"/>
        <v>0</v>
      </c>
      <c r="Z42" s="1482"/>
    </row>
    <row r="43" spans="1:26">
      <c r="C43" s="1597" t="s">
        <v>483</v>
      </c>
      <c r="D43" s="2780">
        <f>SUM(D44:D47)</f>
        <v>250</v>
      </c>
      <c r="E43" s="1657">
        <f>SUM(E44:E47)</f>
        <v>250</v>
      </c>
      <c r="F43" s="1602">
        <f>D43+E43</f>
        <v>500</v>
      </c>
      <c r="H43" s="1460"/>
      <c r="I43" s="2205"/>
      <c r="J43" s="1470" t="s">
        <v>229</v>
      </c>
      <c r="K43" s="1460"/>
      <c r="L43" s="1467"/>
      <c r="M43" s="1467"/>
      <c r="N43" s="1461"/>
      <c r="O43" s="1460"/>
      <c r="P43" s="1463"/>
      <c r="Q43" s="1466"/>
      <c r="R43" s="1466"/>
      <c r="S43" s="1469">
        <f t="shared" si="2"/>
        <v>0</v>
      </c>
      <c r="T43" s="2991">
        <v>0</v>
      </c>
      <c r="U43" s="1469">
        <f t="shared" si="3"/>
        <v>0</v>
      </c>
      <c r="V43" s="1469">
        <f t="shared" si="4"/>
        <v>0</v>
      </c>
      <c r="W43" s="2993">
        <v>0</v>
      </c>
      <c r="X43" s="1459">
        <f t="shared" si="5"/>
        <v>0</v>
      </c>
      <c r="Y43" s="1459">
        <f t="shared" si="6"/>
        <v>0</v>
      </c>
      <c r="Z43" s="1482"/>
    </row>
    <row r="44" spans="1:26">
      <c r="C44" s="1423"/>
      <c r="D44" s="2778">
        <v>250</v>
      </c>
      <c r="E44" s="1520">
        <v>250</v>
      </c>
      <c r="F44" s="1426">
        <f t="shared" ref="F44:F47" si="11">SUM(D44:E44)</f>
        <v>500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423"/>
      <c r="D45" s="2778"/>
      <c r="E45" s="1520"/>
      <c r="F45" s="1426">
        <f t="shared" si="11"/>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11"/>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11"/>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10000</v>
      </c>
      <c r="E49" s="1657">
        <f>SUM(E50:E53)</f>
        <v>28965</v>
      </c>
      <c r="F49" s="1602">
        <f>D49+E49</f>
        <v>38965</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667" t="s">
        <v>832</v>
      </c>
      <c r="D50" s="2778">
        <v>5000</v>
      </c>
      <c r="E50" s="1520">
        <v>14593</v>
      </c>
      <c r="F50" s="1426">
        <f t="shared" ref="F50:F53" si="12">SUM(D50:E50)</f>
        <v>19593</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t="s">
        <v>833</v>
      </c>
      <c r="D51" s="2778">
        <v>5000</v>
      </c>
      <c r="E51" s="1520">
        <v>1872</v>
      </c>
      <c r="F51" s="1426">
        <f t="shared" si="12"/>
        <v>6872</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t="s">
        <v>1826</v>
      </c>
      <c r="D52" s="2778"/>
      <c r="E52" s="1520">
        <v>12500</v>
      </c>
      <c r="F52" s="1426">
        <f t="shared" si="12"/>
        <v>12500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12"/>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250</v>
      </c>
      <c r="E55" s="1657">
        <f>SUM(E56:E59)</f>
        <v>250</v>
      </c>
      <c r="F55" s="1602">
        <f>D55+E55</f>
        <v>500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c r="D56" s="2778">
        <v>250</v>
      </c>
      <c r="E56" s="1504">
        <v>250</v>
      </c>
      <c r="F56" s="1426">
        <f t="shared" ref="F56:F59" si="13">SUM(D56:E56)</f>
        <v>500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1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1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1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250</v>
      </c>
      <c r="E61" s="1657">
        <f>SUM(E62:E65)</f>
        <v>100</v>
      </c>
      <c r="F61" s="1602">
        <f>D61+E61</f>
        <v>350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c r="D62" s="2778">
        <v>250</v>
      </c>
      <c r="E62" s="1520">
        <v>100</v>
      </c>
      <c r="F62" s="1426">
        <f t="shared" ref="F62:F65" si="14">SUM(D62:E62)</f>
        <v>350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14"/>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38.25">
      <c r="A64" s="1357" t="s">
        <v>248</v>
      </c>
      <c r="C64" s="1423"/>
      <c r="D64" s="2778"/>
      <c r="E64" s="1520"/>
      <c r="F64" s="1426">
        <f t="shared" si="14"/>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14"/>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18230687</v>
      </c>
      <c r="C67" s="1451" t="s">
        <v>50</v>
      </c>
      <c r="D67" s="2771">
        <f>W15</f>
        <v>150000</v>
      </c>
      <c r="E67" s="1464">
        <f>X15</f>
        <v>255000</v>
      </c>
      <c r="F67" s="1462">
        <f>D67+E67</f>
        <v>405000</v>
      </c>
    </row>
    <row r="68" spans="1:26">
      <c r="A68" s="1357" t="s">
        <v>28</v>
      </c>
      <c r="C68" s="1500" t="s">
        <v>297</v>
      </c>
      <c r="D68" s="2938">
        <f>D67/D12</f>
        <v>0.73955502338376888</v>
      </c>
      <c r="E68" s="1986">
        <f>E67/E12</f>
        <v>0.72229747531185462</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2" activePane="bottomRight" state="frozen"/>
      <selection pane="bottomRight" activeCell="U31" sqref="U31"/>
      <pageMargins left="0.22" right="0.25" top="0.44" bottom="0.43" header="0.3" footer="0.3"/>
      <pageSetup paperSize="3" scale="48" orientation="landscape" r:id="rId1"/>
    </customSheetView>
    <customSheetView guid="{074EB09C-6289-46D7-9513-012B68BCA7BF}" showGridLines="0">
      <pane xSplit="1" ySplit="1" topLeftCell="B2" activePane="bottomRight" state="frozen"/>
      <selection pane="bottomRight" activeCell="H4" sqref="H4:H6"/>
      <pageMargins left="0.22" right="0.25" top="0.44" bottom="0.43" header="0.3" footer="0.3"/>
      <pageSetup paperSize="3" scale="48" orientation="landscape" r:id="rId2"/>
    </customSheetView>
  </customSheetViews>
  <mergeCells count="9">
    <mergeCell ref="S2:T2"/>
    <mergeCell ref="U2:W2"/>
    <mergeCell ref="X2:X3"/>
    <mergeCell ref="H10:P10"/>
    <mergeCell ref="Z12:Z13"/>
    <mergeCell ref="H12:P12"/>
    <mergeCell ref="Q12:S12"/>
    <mergeCell ref="T12:V12"/>
    <mergeCell ref="W12:Y12"/>
  </mergeCells>
  <pageMargins left="0.22" right="0.25" top="0.44" bottom="0.43" header="0.3" footer="0.3"/>
  <pageSetup paperSize="3" scale="48" orientation="landscape" r:id="rId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A995C1"/>
  </sheetPr>
  <dimension ref="A1:Z70"/>
  <sheetViews>
    <sheetView showGridLines="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7.5703125" customWidth="1"/>
    <col min="2" max="2" width="15.7109375" style="1413" customWidth="1"/>
    <col min="3" max="3" width="28.28515625" customWidth="1"/>
    <col min="4" max="4" width="20.28515625" customWidth="1"/>
    <col min="5" max="7" width="16.42578125" customWidth="1"/>
    <col min="8" max="8" width="36.140625" customWidth="1"/>
    <col min="9" max="23" width="17.5703125" customWidth="1"/>
    <col min="24" max="25" width="15.85546875" customWidth="1"/>
  </cols>
  <sheetData>
    <row r="1" spans="1:26" ht="54" customHeight="1" thickBot="1">
      <c r="C1" s="1361" t="s">
        <v>274</v>
      </c>
      <c r="D1" s="1361" t="s">
        <v>275</v>
      </c>
      <c r="E1" s="1361" t="s">
        <v>5</v>
      </c>
      <c r="F1" s="1361">
        <v>18230738</v>
      </c>
      <c r="G1" s="1361" t="s">
        <v>28</v>
      </c>
      <c r="J1" s="1176"/>
      <c r="K1" s="1174"/>
      <c r="L1" s="1174"/>
      <c r="M1" s="1361" t="s">
        <v>274</v>
      </c>
      <c r="N1" s="1361" t="s">
        <v>275</v>
      </c>
      <c r="O1" s="1361" t="s">
        <v>5</v>
      </c>
      <c r="P1" s="1361">
        <v>18230738</v>
      </c>
      <c r="Q1" s="1361" t="s">
        <v>28</v>
      </c>
      <c r="R1" s="1174"/>
      <c r="S1" s="1174"/>
      <c r="T1" s="1174"/>
      <c r="U1" s="1174"/>
      <c r="V1" s="1361" t="s">
        <v>274</v>
      </c>
      <c r="W1" s="1361" t="s">
        <v>275</v>
      </c>
      <c r="X1" s="1361" t="s">
        <v>5</v>
      </c>
      <c r="Y1" s="1361">
        <v>18230738</v>
      </c>
      <c r="Z1" s="1361" t="s">
        <v>28</v>
      </c>
    </row>
    <row r="2" spans="1:26" ht="20.25" customHeight="1" thickBot="1">
      <c r="C2" s="1176"/>
      <c r="D2" s="1177"/>
      <c r="E2" s="1174"/>
      <c r="F2" s="1174"/>
      <c r="G2" s="1652"/>
      <c r="H2" s="1174"/>
      <c r="I2" s="1178" t="s">
        <v>627</v>
      </c>
      <c r="J2" s="1174"/>
      <c r="K2" s="1174"/>
      <c r="L2" s="1174"/>
      <c r="M2" s="1174"/>
      <c r="N2" s="1174"/>
      <c r="O2" s="1174"/>
      <c r="P2" s="1174"/>
      <c r="Q2" s="1174"/>
      <c r="R2" s="1174"/>
      <c r="S2" s="3582"/>
      <c r="T2" s="3582"/>
      <c r="U2" s="3576" t="s">
        <v>33</v>
      </c>
      <c r="V2" s="3589"/>
      <c r="W2" s="3590"/>
      <c r="X2" s="3568" t="s">
        <v>34</v>
      </c>
    </row>
    <row r="3" spans="1:26" ht="26.25" thickBot="1">
      <c r="A3" s="1357" t="s">
        <v>274</v>
      </c>
      <c r="B3" s="1357"/>
      <c r="E3" s="1188"/>
      <c r="F3" s="1174"/>
      <c r="G3" s="1652"/>
      <c r="H3" s="1174"/>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275</v>
      </c>
      <c r="B4" s="1357"/>
      <c r="C4" s="1176"/>
      <c r="D4" s="1176"/>
      <c r="E4" s="1174"/>
      <c r="F4" s="1174"/>
      <c r="G4" s="1652"/>
      <c r="H4" s="2946" t="s">
        <v>1726</v>
      </c>
      <c r="I4" s="2959">
        <f>D15</f>
        <v>2779.74</v>
      </c>
      <c r="J4" s="2960">
        <f>D21</f>
        <v>0</v>
      </c>
      <c r="K4" s="2960">
        <f>D27</f>
        <v>1854.0865799999999</v>
      </c>
      <c r="L4" s="2960">
        <f>D37</f>
        <v>10142.77</v>
      </c>
      <c r="M4" s="2960">
        <f>D43</f>
        <v>250</v>
      </c>
      <c r="N4" s="2960">
        <f>D49</f>
        <v>25243</v>
      </c>
      <c r="O4" s="2960">
        <f>D55</f>
        <v>100</v>
      </c>
      <c r="P4" s="2960">
        <f>D61</f>
        <v>150</v>
      </c>
      <c r="Q4" s="2960">
        <f>D67</f>
        <v>25658.01</v>
      </c>
      <c r="R4" s="2960">
        <v>0</v>
      </c>
      <c r="S4" s="2961">
        <f>SUM(I4:R4)</f>
        <v>66177.606579999992</v>
      </c>
      <c r="T4" s="2963">
        <f>T15</f>
        <v>239967</v>
      </c>
      <c r="U4" s="2954">
        <v>0.38035887349637992</v>
      </c>
      <c r="V4" s="2954">
        <v>0.10013485646436231</v>
      </c>
      <c r="W4" s="2954">
        <v>0.38035887349637992</v>
      </c>
      <c r="X4" s="2952">
        <v>0.28168885915021746</v>
      </c>
    </row>
    <row r="5" spans="1:26" ht="16.5" thickBot="1">
      <c r="A5" s="1357" t="s">
        <v>5</v>
      </c>
      <c r="C5" s="1177"/>
      <c r="E5" s="1174"/>
      <c r="F5" s="1174"/>
      <c r="G5" s="1652"/>
      <c r="H5" s="3205" t="s">
        <v>1753</v>
      </c>
      <c r="I5" s="2617">
        <v>0</v>
      </c>
      <c r="J5" s="2618">
        <v>0</v>
      </c>
      <c r="K5" s="2618">
        <v>0</v>
      </c>
      <c r="L5" s="2618">
        <v>0</v>
      </c>
      <c r="M5" s="2618">
        <v>0</v>
      </c>
      <c r="N5" s="2618">
        <v>0</v>
      </c>
      <c r="O5" s="2618">
        <v>0</v>
      </c>
      <c r="P5" s="2618">
        <v>0</v>
      </c>
      <c r="Q5" s="2618">
        <v>0</v>
      </c>
      <c r="R5" s="2618">
        <v>0</v>
      </c>
      <c r="S5" s="2619">
        <v>0</v>
      </c>
      <c r="T5" s="2640">
        <v>0</v>
      </c>
      <c r="U5" s="1187">
        <v>0.37997371344525982</v>
      </c>
      <c r="V5" s="1187">
        <v>2.1733347936974855E-2</v>
      </c>
      <c r="W5" s="1187">
        <v>0.52076716058268535</v>
      </c>
      <c r="X5" s="1183" t="e">
        <v>#DIV/0!</v>
      </c>
    </row>
    <row r="6" spans="1:26" ht="16.5" thickBot="1">
      <c r="A6" s="1357">
        <v>18230738</v>
      </c>
      <c r="B6" s="1357"/>
      <c r="C6" s="1176"/>
      <c r="D6" s="1174"/>
      <c r="E6" s="1175"/>
      <c r="F6" s="1174"/>
      <c r="G6" s="1652"/>
      <c r="H6" s="3206" t="s">
        <v>1754</v>
      </c>
      <c r="I6" s="2621">
        <f>E15</f>
        <v>2332.5</v>
      </c>
      <c r="J6" s="2622">
        <f>E21</f>
        <v>0</v>
      </c>
      <c r="K6" s="2623">
        <f>E27</f>
        <v>2094.5849999999996</v>
      </c>
      <c r="L6" s="2622">
        <f>E37</f>
        <v>9960</v>
      </c>
      <c r="M6" s="2622">
        <f>E43</f>
        <v>250</v>
      </c>
      <c r="N6" s="2622">
        <f>E49</f>
        <v>14045.13</v>
      </c>
      <c r="O6" s="2622">
        <f>E55</f>
        <v>100</v>
      </c>
      <c r="P6" s="2622">
        <f>E61</f>
        <v>150</v>
      </c>
      <c r="Q6" s="2622">
        <f>E67</f>
        <v>14080</v>
      </c>
      <c r="R6" s="2622">
        <v>0</v>
      </c>
      <c r="S6" s="2624">
        <f>SUM(I6:R6)</f>
        <v>43012.214999999997</v>
      </c>
      <c r="T6" s="2641">
        <f>U15</f>
        <v>0</v>
      </c>
      <c r="U6" s="2631">
        <v>0.37783578314944705</v>
      </c>
      <c r="V6" s="2631">
        <v>0.10195738265314362</v>
      </c>
      <c r="W6" s="2631">
        <v>0.37783578314944705</v>
      </c>
      <c r="X6" s="2626">
        <v>0.28356990502532275</v>
      </c>
    </row>
    <row r="7" spans="1:26" ht="15.75">
      <c r="A7" s="1357" t="s">
        <v>28</v>
      </c>
      <c r="B7" s="1357"/>
      <c r="C7" s="1190"/>
      <c r="D7" s="1413"/>
      <c r="E7" s="1414"/>
      <c r="F7" s="1413"/>
      <c r="G7" s="2606"/>
      <c r="H7" s="2607"/>
      <c r="I7" s="2607"/>
      <c r="J7" s="2607"/>
      <c r="K7" s="2607"/>
      <c r="L7" s="2607"/>
      <c r="M7" s="2607"/>
      <c r="N7" s="2607"/>
      <c r="O7" s="2607"/>
      <c r="P7" s="2607"/>
      <c r="Q7" s="2607"/>
      <c r="R7" s="2607"/>
      <c r="S7" s="2639"/>
      <c r="T7" s="2630"/>
      <c r="U7" s="2630"/>
      <c r="V7" s="2630"/>
      <c r="W7" s="2610"/>
    </row>
    <row r="8" spans="1:26" ht="15.75">
      <c r="B8" s="1357"/>
      <c r="C8" s="1190"/>
      <c r="D8" s="1413"/>
      <c r="E8" s="1414"/>
      <c r="F8" s="1413"/>
    </row>
    <row r="9" spans="1:26" ht="15.75">
      <c r="A9" s="1357"/>
      <c r="B9" s="1357"/>
      <c r="C9" s="1190"/>
      <c r="D9" s="1413"/>
      <c r="E9" s="1414"/>
      <c r="F9" s="1413"/>
      <c r="H9" s="1174"/>
      <c r="I9" s="3003" t="s">
        <v>1730</v>
      </c>
      <c r="J9" s="1652"/>
      <c r="K9" s="1652"/>
      <c r="L9" s="1652"/>
      <c r="M9" s="1652"/>
      <c r="N9" s="1652"/>
      <c r="O9" s="1652"/>
      <c r="P9" s="1652"/>
      <c r="Q9" s="3003" t="s">
        <v>1729</v>
      </c>
      <c r="R9" s="1652"/>
      <c r="S9" s="1652"/>
      <c r="T9" s="3003" t="s">
        <v>1729</v>
      </c>
      <c r="U9" s="1652"/>
      <c r="V9" s="1652"/>
      <c r="W9" s="3003" t="s">
        <v>1729</v>
      </c>
    </row>
    <row r="10" spans="1:2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1357"/>
      <c r="C12" s="1434" t="s">
        <v>298</v>
      </c>
      <c r="D12" s="2939">
        <f>D15+D21+D27+D37+D43+D49+D55+D61+D67</f>
        <v>66177.606579999992</v>
      </c>
      <c r="E12" s="1909">
        <f>E15+E21+E27+E37+E43+E49+E55+E61+E67</f>
        <v>43012.214999999997</v>
      </c>
      <c r="F12" s="1462">
        <f>D12+E12</f>
        <v>109189.82157999999</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80">
        <f>SUM(D16:D19)</f>
        <v>2779.74</v>
      </c>
      <c r="E15" s="1657">
        <f>SUM(E16:E19)</f>
        <v>2332.5</v>
      </c>
      <c r="F15" s="1602">
        <f>D15+E15</f>
        <v>5112.24</v>
      </c>
      <c r="H15" s="1475" t="s">
        <v>308</v>
      </c>
      <c r="I15" s="1476"/>
      <c r="J15" s="1476"/>
      <c r="K15" s="1477"/>
      <c r="L15" s="1478">
        <f>SUMPRODUCT(L16:L179,S16:S179)</f>
        <v>39738.009999999995</v>
      </c>
      <c r="M15" s="1478">
        <f>SUM(M16:M179)</f>
        <v>2.27</v>
      </c>
      <c r="N15" s="1479">
        <f>SUM(N16:N65)</f>
        <v>1</v>
      </c>
      <c r="O15" s="1477">
        <v>2</v>
      </c>
      <c r="P15" s="1477"/>
      <c r="Q15" s="1477"/>
      <c r="R15" s="1477"/>
      <c r="S15" s="1477"/>
      <c r="T15" s="2983">
        <v>239967</v>
      </c>
      <c r="U15" s="1480">
        <f t="shared" ref="U15:Y15" si="0">SUM(U16:U65)</f>
        <v>0</v>
      </c>
      <c r="V15" s="1480">
        <f t="shared" si="0"/>
        <v>239967</v>
      </c>
      <c r="W15" s="2987">
        <v>25658.01</v>
      </c>
      <c r="X15" s="1478">
        <f t="shared" si="0"/>
        <v>14080</v>
      </c>
      <c r="Y15" s="1478">
        <f t="shared" si="0"/>
        <v>39738.009999999995</v>
      </c>
      <c r="Z15" s="1481">
        <v>0</v>
      </c>
    </row>
    <row r="16" spans="1:26">
      <c r="B16" s="1432">
        <v>0.03</v>
      </c>
      <c r="C16" s="1423" t="s">
        <v>735</v>
      </c>
      <c r="D16" s="2772">
        <v>2779.74</v>
      </c>
      <c r="E16" s="1448">
        <v>2332.5</v>
      </c>
      <c r="F16" s="1426">
        <f>SUM(D16:E16)</f>
        <v>5112.24</v>
      </c>
      <c r="H16" s="1974" t="s">
        <v>1794</v>
      </c>
      <c r="I16" s="2205">
        <v>13</v>
      </c>
      <c r="J16" s="1470" t="s">
        <v>559</v>
      </c>
      <c r="K16" s="1460" t="s">
        <v>893</v>
      </c>
      <c r="L16" s="1467">
        <v>1.39</v>
      </c>
      <c r="M16" s="1467">
        <v>1.39</v>
      </c>
      <c r="N16" s="1461">
        <v>1</v>
      </c>
      <c r="O16" s="1460">
        <v>2</v>
      </c>
      <c r="P16" s="1463" t="s">
        <v>846</v>
      </c>
      <c r="Q16" s="1466">
        <v>18459</v>
      </c>
      <c r="R16" s="1466">
        <v>0</v>
      </c>
      <c r="S16" s="1469">
        <f>SUM(Q16:R16)</f>
        <v>18459</v>
      </c>
      <c r="T16" s="2991">
        <v>239967</v>
      </c>
      <c r="U16" s="1469">
        <f>R16*I16</f>
        <v>0</v>
      </c>
      <c r="V16" s="1469">
        <f>SUM(T16:U16)</f>
        <v>239967</v>
      </c>
      <c r="W16" s="2993">
        <v>25658.01</v>
      </c>
      <c r="X16" s="1459">
        <f>R16*M16</f>
        <v>0</v>
      </c>
      <c r="Y16" s="1459">
        <f>SUM(W16:X16)</f>
        <v>25658.01</v>
      </c>
      <c r="Z16" s="1482"/>
    </row>
    <row r="17" spans="2:26">
      <c r="B17" s="1432"/>
      <c r="C17" s="1423"/>
      <c r="D17" s="2784"/>
      <c r="E17" s="1447"/>
      <c r="F17" s="1426">
        <f t="shared" ref="F17:F19" si="1">SUM(D17:E17)</f>
        <v>0</v>
      </c>
      <c r="H17" s="1974" t="s">
        <v>1794</v>
      </c>
      <c r="I17" s="2205">
        <v>0</v>
      </c>
      <c r="J17" s="1470" t="s">
        <v>559</v>
      </c>
      <c r="K17" s="1460" t="s">
        <v>893</v>
      </c>
      <c r="L17" s="1467">
        <v>0.88</v>
      </c>
      <c r="M17" s="1467">
        <v>0.88</v>
      </c>
      <c r="N17" s="1461">
        <v>0</v>
      </c>
      <c r="O17" s="1460">
        <v>2</v>
      </c>
      <c r="P17" s="1463" t="s">
        <v>846</v>
      </c>
      <c r="Q17" s="1466">
        <v>0</v>
      </c>
      <c r="R17" s="1466">
        <v>16000</v>
      </c>
      <c r="S17" s="1469">
        <f>SUM(Q17:R17)</f>
        <v>16000</v>
      </c>
      <c r="T17" s="2991">
        <v>0</v>
      </c>
      <c r="U17" s="1469">
        <f>R17*I17</f>
        <v>0</v>
      </c>
      <c r="V17" s="1469">
        <f>SUM(T17:U17)</f>
        <v>0</v>
      </c>
      <c r="W17" s="2993">
        <v>0</v>
      </c>
      <c r="X17" s="1459">
        <f>R17*M17</f>
        <v>14080</v>
      </c>
      <c r="Y17" s="1459">
        <f>SUM(W17:X17)</f>
        <v>14080</v>
      </c>
      <c r="Z17" s="1482"/>
    </row>
    <row r="18" spans="2:26">
      <c r="B18" s="1432"/>
      <c r="C18" s="1423"/>
      <c r="D18" s="2784"/>
      <c r="E18" s="1447"/>
      <c r="F18" s="1426">
        <f t="shared" si="1"/>
        <v>0</v>
      </c>
      <c r="H18" s="1974"/>
      <c r="I18" s="2205"/>
      <c r="J18" s="1470"/>
      <c r="K18" s="1460"/>
      <c r="L18" s="1467"/>
      <c r="M18" s="1467"/>
      <c r="N18" s="1461"/>
      <c r="O18" s="1460"/>
      <c r="P18" s="1463"/>
      <c r="Q18" s="1466"/>
      <c r="R18" s="1466"/>
      <c r="S18" s="1469"/>
      <c r="T18" s="1469"/>
      <c r="U18" s="1469"/>
      <c r="V18" s="1469"/>
      <c r="W18" s="1459"/>
      <c r="X18" s="1459"/>
      <c r="Y18" s="1459"/>
      <c r="Z18" s="1482"/>
    </row>
    <row r="19" spans="2:26">
      <c r="B19" s="1432"/>
      <c r="C19" s="1423"/>
      <c r="D19" s="2786"/>
      <c r="E19" s="1446"/>
      <c r="F19" s="1426">
        <f t="shared" si="1"/>
        <v>0</v>
      </c>
      <c r="H19" s="1974"/>
      <c r="I19" s="2205"/>
      <c r="J19" s="1470"/>
      <c r="K19" s="1460"/>
      <c r="L19" s="1467"/>
      <c r="M19" s="1467"/>
      <c r="N19" s="1461"/>
      <c r="O19" s="1460"/>
      <c r="P19" s="1463"/>
      <c r="Q19" s="1466"/>
      <c r="R19" s="1466"/>
      <c r="S19" s="1469"/>
      <c r="T19" s="1469"/>
      <c r="U19" s="1469"/>
      <c r="V19" s="1469"/>
      <c r="W19" s="1459"/>
      <c r="X19" s="1459"/>
      <c r="Y19" s="1459"/>
      <c r="Z19" s="1482"/>
    </row>
    <row r="20" spans="2:26">
      <c r="B20" s="1449">
        <f>SUM(B16:B19)</f>
        <v>0.03</v>
      </c>
      <c r="C20" s="1488"/>
      <c r="D20" s="2770"/>
      <c r="E20" s="1490"/>
      <c r="F20" s="1492"/>
      <c r="H20" s="1974"/>
      <c r="I20" s="2205"/>
      <c r="J20" s="1470"/>
      <c r="K20" s="1460"/>
      <c r="L20" s="1467"/>
      <c r="M20" s="1467"/>
      <c r="N20" s="1461"/>
      <c r="O20" s="1460"/>
      <c r="P20" s="1463"/>
      <c r="Q20" s="1466"/>
      <c r="R20" s="1466"/>
      <c r="S20" s="1469"/>
      <c r="T20" s="1469"/>
      <c r="U20" s="1469"/>
      <c r="V20" s="1469"/>
      <c r="W20" s="1459"/>
      <c r="X20" s="1459"/>
      <c r="Y20" s="1459"/>
      <c r="Z20" s="1482"/>
    </row>
    <row r="21" spans="2:26">
      <c r="B21" s="1433" t="s">
        <v>296</v>
      </c>
      <c r="C21" s="1451" t="s">
        <v>44</v>
      </c>
      <c r="D21" s="2780">
        <f>SUM(D22:D25)</f>
        <v>0</v>
      </c>
      <c r="E21" s="1657">
        <f>SUM(E22:E25)</f>
        <v>0</v>
      </c>
      <c r="F21" s="1602">
        <f>D21+E21</f>
        <v>0</v>
      </c>
      <c r="H21" s="1974"/>
      <c r="I21" s="2205"/>
      <c r="J21" s="1470"/>
      <c r="K21" s="1460"/>
      <c r="L21" s="1467"/>
      <c r="M21" s="1467"/>
      <c r="N21" s="1461"/>
      <c r="O21" s="1460"/>
      <c r="P21" s="1463"/>
      <c r="Q21" s="1466"/>
      <c r="R21" s="1466"/>
      <c r="S21" s="1469"/>
      <c r="T21" s="1469"/>
      <c r="U21" s="1469"/>
      <c r="V21" s="1469"/>
      <c r="W21" s="1459"/>
      <c r="X21" s="1459"/>
      <c r="Y21" s="1459"/>
      <c r="Z21" s="1482"/>
    </row>
    <row r="22" spans="2:26">
      <c r="B22" s="1982">
        <f>(SUM(D22:E22)/2)/((80000+(80000*1.025))/2)</f>
        <v>0</v>
      </c>
      <c r="C22" s="1423"/>
      <c r="D22" s="2772"/>
      <c r="E22" s="1448"/>
      <c r="F22" s="1426">
        <f t="shared" ref="F22:F25" si="2">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row>
    <row r="23" spans="2:26">
      <c r="B23" s="1982"/>
      <c r="C23" s="1423"/>
      <c r="D23" s="2791"/>
      <c r="E23" s="1562"/>
      <c r="F23" s="1426">
        <f t="shared" si="2"/>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row>
    <row r="24" spans="2:26">
      <c r="B24" s="1982"/>
      <c r="C24" s="1423"/>
      <c r="D24" s="2774"/>
      <c r="E24" s="1443"/>
      <c r="F24" s="1426">
        <f t="shared" si="2"/>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row>
    <row r="25" spans="2:26">
      <c r="B25" s="1982"/>
      <c r="C25" s="1423"/>
      <c r="D25" s="2775"/>
      <c r="E25" s="1444"/>
      <c r="F25" s="1426">
        <f t="shared" si="2"/>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row>
    <row r="26" spans="2:26">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C27" s="1597" t="s">
        <v>1737</v>
      </c>
      <c r="D27" s="2780">
        <f>SUM(D29:D35)</f>
        <v>1854.0865799999999</v>
      </c>
      <c r="E27" s="1657">
        <f>SUM(E29:E31)+SUM(E33:E35)</f>
        <v>2094.5849999999996</v>
      </c>
      <c r="F27" s="1602">
        <f>D27+E27</f>
        <v>3948.6715799999993</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C29" s="1667" t="s">
        <v>719</v>
      </c>
      <c r="D29" s="2778">
        <f>D15*D28</f>
        <v>1854.0865799999999</v>
      </c>
      <c r="E29" s="1504">
        <f>E15*E28</f>
        <v>1604.7599999999998</v>
      </c>
      <c r="F29" s="1426">
        <f t="shared" ref="F29:F35" si="3">SUM(D29:E29)</f>
        <v>3458.8465799999994</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C30" s="1667" t="s">
        <v>720</v>
      </c>
      <c r="D30" s="2785">
        <f>D21*D28</f>
        <v>0</v>
      </c>
      <c r="E30" s="1504">
        <f>E21*E28</f>
        <v>0</v>
      </c>
      <c r="F30" s="1426">
        <f t="shared" si="3"/>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C31" s="1667"/>
      <c r="D31" s="2774"/>
      <c r="E31" s="1443"/>
      <c r="F31" s="1426">
        <f t="shared" si="3"/>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A33" s="1663" t="s">
        <v>584</v>
      </c>
      <c r="C33" s="1667" t="s">
        <v>719</v>
      </c>
      <c r="D33" s="2778"/>
      <c r="E33" s="1641">
        <f>E15*E32</f>
        <v>489.82499999999999</v>
      </c>
      <c r="F33" s="1661">
        <f>SUM(D33:E33)</f>
        <v>489.82499999999999</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A34" s="1392" t="s">
        <v>583</v>
      </c>
      <c r="C34" s="1667" t="s">
        <v>720</v>
      </c>
      <c r="D34" s="2785"/>
      <c r="E34" s="1641">
        <f>E21*E32</f>
        <v>0</v>
      </c>
      <c r="F34" s="1661">
        <f t="shared" ref="F34" si="4">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c r="A35" s="1357" t="s">
        <v>275</v>
      </c>
      <c r="C35" s="1445"/>
      <c r="D35" s="2775"/>
      <c r="E35" s="1444"/>
      <c r="F35" s="1426">
        <f t="shared" si="3"/>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357">
        <v>18230738</v>
      </c>
      <c r="C37" s="1451" t="s">
        <v>46</v>
      </c>
      <c r="D37" s="2780">
        <f>SUM(D38:D41)</f>
        <v>10142.77</v>
      </c>
      <c r="E37" s="1464">
        <f>SUM(E38:E41)</f>
        <v>9960</v>
      </c>
      <c r="F37" s="1602">
        <f>D37+E37</f>
        <v>20102.77</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t="s">
        <v>28</v>
      </c>
      <c r="C38" s="1423" t="s">
        <v>888</v>
      </c>
      <c r="D38" s="2778">
        <v>10142.77</v>
      </c>
      <c r="E38" s="1520">
        <v>9960</v>
      </c>
      <c r="F38" s="1426">
        <f t="shared" ref="F38:F41" si="5">SUM(D38:E38)</f>
        <v>20102.77</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C39" s="1423"/>
      <c r="D39" s="2778"/>
      <c r="E39" s="1520"/>
      <c r="F39" s="1426">
        <f t="shared" si="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C40" s="1423"/>
      <c r="D40" s="2778"/>
      <c r="E40" s="1520"/>
      <c r="F40" s="1426">
        <f t="shared" si="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C41" s="1423"/>
      <c r="D41" s="2778"/>
      <c r="E41" s="1520"/>
      <c r="F41" s="1426">
        <f t="shared" si="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C43" s="1597" t="s">
        <v>483</v>
      </c>
      <c r="D43" s="2780">
        <f>SUM(D44:D47)</f>
        <v>250</v>
      </c>
      <c r="E43" s="3232">
        <f>SUM(E44:E47)</f>
        <v>250</v>
      </c>
      <c r="F43" s="1602">
        <f>D43+E43</f>
        <v>500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C44" s="1667" t="s">
        <v>861</v>
      </c>
      <c r="D44" s="2778">
        <v>150</v>
      </c>
      <c r="E44" s="1520">
        <v>250</v>
      </c>
      <c r="F44" s="1426">
        <f t="shared" ref="F44:F47" si="6">SUM(D44:E44)</f>
        <v>400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C45" s="1667" t="s">
        <v>889</v>
      </c>
      <c r="D45" s="2778">
        <v>100</v>
      </c>
      <c r="E45" s="1520"/>
      <c r="F45" s="1426">
        <f t="shared" si="6"/>
        <v>100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C46" s="1423"/>
      <c r="D46" s="2778"/>
      <c r="E46" s="1520"/>
      <c r="F46" s="1426">
        <f t="shared" si="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C47" s="1423"/>
      <c r="D47" s="2778"/>
      <c r="E47" s="1520"/>
      <c r="F47" s="1426">
        <f t="shared" si="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1:26">
      <c r="C49" s="1451" t="s">
        <v>47</v>
      </c>
      <c r="D49" s="2780">
        <f>SUM(D50:D53)</f>
        <v>25243</v>
      </c>
      <c r="E49" s="1657">
        <f>SUM(E50:E53)</f>
        <v>14045.13</v>
      </c>
      <c r="F49" s="1602">
        <f>D49+E49</f>
        <v>39288.129999999997</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1:26">
      <c r="C50" s="1423" t="s">
        <v>891</v>
      </c>
      <c r="D50" s="2778">
        <v>25243</v>
      </c>
      <c r="E50" s="1520">
        <v>14045.13</v>
      </c>
      <c r="F50" s="1426">
        <f t="shared" ref="F50:F53" si="7">SUM(D50:E50)</f>
        <v>39288.129999999997</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1:26">
      <c r="C51" s="1423"/>
      <c r="D51" s="2778"/>
      <c r="E51" s="1520"/>
      <c r="F51" s="1426">
        <f t="shared" si="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1:26">
      <c r="C52" s="1423"/>
      <c r="D52" s="2778"/>
      <c r="E52" s="1520"/>
      <c r="F52" s="1426">
        <f t="shared" si="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1:26">
      <c r="C53" s="1423"/>
      <c r="D53" s="2778"/>
      <c r="E53" s="1520"/>
      <c r="F53" s="1426">
        <f t="shared" si="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1:2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1:26">
      <c r="C55" s="1451" t="s">
        <v>48</v>
      </c>
      <c r="D55" s="2780">
        <f>SUM(D56:D59)</f>
        <v>100</v>
      </c>
      <c r="E55" s="1657">
        <f>SUM(E56:E59)</f>
        <v>100</v>
      </c>
      <c r="F55" s="1602">
        <f>D55+E55</f>
        <v>200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1:26">
      <c r="C56" s="1423" t="s">
        <v>890</v>
      </c>
      <c r="D56" s="2778">
        <v>100</v>
      </c>
      <c r="E56" s="1504">
        <v>100</v>
      </c>
      <c r="F56" s="1426">
        <f t="shared" ref="F56:F59" si="8">SUM(D56:E56)</f>
        <v>200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1:26">
      <c r="C57" s="1423"/>
      <c r="D57" s="2778"/>
      <c r="E57" s="1504"/>
      <c r="F57" s="1426">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1:26">
      <c r="C58" s="1423"/>
      <c r="D58" s="2778"/>
      <c r="E58" s="1504"/>
      <c r="F58" s="1426">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1:26">
      <c r="C59" s="1423"/>
      <c r="D59" s="2778"/>
      <c r="E59" s="1504"/>
      <c r="F59" s="1426">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1:26">
      <c r="C61" s="1451" t="s">
        <v>49</v>
      </c>
      <c r="D61" s="2780">
        <f>SUM(D62:D65)</f>
        <v>150</v>
      </c>
      <c r="E61" s="1657">
        <f>SUM(E62:E65)</f>
        <v>150</v>
      </c>
      <c r="F61" s="1602">
        <f>D61+E61</f>
        <v>300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1:26">
      <c r="C62" s="1423" t="s">
        <v>892</v>
      </c>
      <c r="D62" s="2778">
        <v>150</v>
      </c>
      <c r="E62" s="1520">
        <v>150</v>
      </c>
      <c r="F62" s="1426">
        <f t="shared" ref="F62:F65" si="9">SUM(D62:E62)</f>
        <v>300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1:26">
      <c r="C63" s="1423"/>
      <c r="D63" s="2778"/>
      <c r="E63" s="1520"/>
      <c r="F63" s="1426">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1:26" ht="25.5">
      <c r="A64" s="1357" t="s">
        <v>274</v>
      </c>
      <c r="C64" s="1423"/>
      <c r="D64" s="2778"/>
      <c r="E64" s="1520"/>
      <c r="F64" s="1426">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c r="A65" s="1357" t="s">
        <v>275</v>
      </c>
      <c r="C65" s="1423"/>
      <c r="D65" s="2778"/>
      <c r="E65" s="1520"/>
      <c r="F65" s="1426">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5</v>
      </c>
      <c r="C66" s="1488"/>
      <c r="D66" s="2779"/>
      <c r="E66" s="1490"/>
      <c r="F66" s="1493"/>
    </row>
    <row r="67" spans="1:26">
      <c r="A67" s="1357">
        <v>18230738</v>
      </c>
      <c r="C67" s="1451" t="s">
        <v>50</v>
      </c>
      <c r="D67" s="2771">
        <f>W15</f>
        <v>25658.01</v>
      </c>
      <c r="E67" s="1464">
        <f>X15</f>
        <v>14080</v>
      </c>
      <c r="F67" s="1462">
        <f>D67+E67</f>
        <v>39738.009999999995</v>
      </c>
    </row>
    <row r="68" spans="1:26">
      <c r="A68" s="1357" t="s">
        <v>28</v>
      </c>
      <c r="C68" s="1500" t="s">
        <v>297</v>
      </c>
      <c r="D68" s="2938">
        <f>D67/D12</f>
        <v>0.3877143844569666</v>
      </c>
      <c r="E68" s="1986">
        <f>E67/E12</f>
        <v>0.32734887054758749</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B14" activePane="bottomRight" state="frozen"/>
      <selection pane="bottomRight" activeCell="E63" sqref="E63"/>
      <pageMargins left="0.21" right="0.21" top="0.37" bottom="0.37" header="0.3" footer="0.3"/>
      <pageSetup paperSize="3" scale="45" orientation="landscape" r:id="rId1"/>
    </customSheetView>
    <customSheetView guid="{074EB09C-6289-46D7-9513-012B68BCA7BF}" showGridLines="0">
      <pane xSplit="1" ySplit="1" topLeftCell="B2" activePane="bottomRight" state="frozen"/>
      <selection pane="bottomRight" activeCell="H4" sqref="H4:H6"/>
      <pageMargins left="0.21" right="0.21" top="0.37" bottom="0.37" header="0.3" footer="0.3"/>
      <pageSetup paperSize="3" scale="45"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21" top="0.37" bottom="0.37" header="0.3" footer="0.3"/>
  <pageSetup paperSize="3" scale="43"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00FF"/>
  </sheetPr>
  <dimension ref="A4:C18"/>
  <sheetViews>
    <sheetView workbookViewId="0">
      <selection activeCell="G27" sqref="G27"/>
    </sheetView>
  </sheetViews>
  <sheetFormatPr defaultRowHeight="12.75"/>
  <cols>
    <col min="2" max="2" width="6.140625" customWidth="1"/>
  </cols>
  <sheetData>
    <row r="4" spans="1:3">
      <c r="A4">
        <v>1</v>
      </c>
      <c r="B4" s="1652" t="s">
        <v>566</v>
      </c>
    </row>
    <row r="5" spans="1:3">
      <c r="A5">
        <v>2</v>
      </c>
      <c r="B5" s="1652" t="s">
        <v>1567</v>
      </c>
    </row>
    <row r="6" spans="1:3">
      <c r="A6">
        <v>3</v>
      </c>
      <c r="B6" s="1652" t="s">
        <v>1674</v>
      </c>
    </row>
    <row r="7" spans="1:3">
      <c r="B7" s="1652" t="s">
        <v>1675</v>
      </c>
    </row>
    <row r="8" spans="1:3" s="1652" customFormat="1">
      <c r="B8"/>
      <c r="C8" s="1652" t="s">
        <v>567</v>
      </c>
    </row>
    <row r="9" spans="1:3">
      <c r="A9">
        <v>4</v>
      </c>
      <c r="B9" s="1652" t="s">
        <v>1568</v>
      </c>
    </row>
    <row r="10" spans="1:3">
      <c r="B10" s="1652" t="s">
        <v>592</v>
      </c>
    </row>
    <row r="11" spans="1:3" s="1652" customFormat="1">
      <c r="A11">
        <v>5</v>
      </c>
      <c r="B11" s="1652" t="s">
        <v>2637</v>
      </c>
    </row>
    <row r="12" spans="1:3" s="1652" customFormat="1">
      <c r="B12" s="1652" t="s">
        <v>2638</v>
      </c>
    </row>
    <row r="13" spans="1:3" s="1652" customFormat="1">
      <c r="A13" s="1652">
        <v>6</v>
      </c>
      <c r="B13" s="1652" t="s">
        <v>2639</v>
      </c>
    </row>
    <row r="14" spans="1:3">
      <c r="A14">
        <v>7</v>
      </c>
      <c r="B14" t="s">
        <v>1572</v>
      </c>
    </row>
    <row r="15" spans="1:3">
      <c r="B15" t="s">
        <v>1616</v>
      </c>
    </row>
    <row r="16" spans="1:3">
      <c r="B16" t="s">
        <v>1617</v>
      </c>
    </row>
    <row r="17" spans="1:2">
      <c r="A17">
        <v>8</v>
      </c>
      <c r="B17" t="s">
        <v>1633</v>
      </c>
    </row>
    <row r="18" spans="1:2">
      <c r="B18" t="s">
        <v>1634</v>
      </c>
    </row>
  </sheetData>
  <customSheetViews>
    <customSheetView guid="{D9EFFE19-D14B-4C6F-BDF4-FF696F73968D}">
      <selection activeCell="B26" sqref="B26"/>
      <pageMargins left="0.7" right="0.7" top="0.75" bottom="0.75" header="0.3" footer="0.3"/>
    </customSheetView>
    <customSheetView guid="{074EB09C-6289-46D7-9513-012B68BCA7BF}">
      <selection activeCell="A18" sqref="A18"/>
      <pageMargins left="0.7" right="0.7" top="0.75" bottom="0.75" header="0.3" footer="0.3"/>
      <pageSetup paperSize="17" orientation="landscape" r:id="rId1"/>
    </customSheetView>
  </customSheetViews>
  <pageMargins left="0.7" right="0.7" top="0.75" bottom="0.75" header="0.3" footer="0.3"/>
  <pageSetup paperSize="3" orientation="landscape"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B1A0C7"/>
    <pageSetUpPr fitToPage="1"/>
  </sheetPr>
  <dimension ref="A1:AA114"/>
  <sheetViews>
    <sheetView showGridLines="0" workbookViewId="0">
      <pane xSplit="1" ySplit="1" topLeftCell="B2" activePane="bottomRight" state="frozen"/>
      <selection pane="topRight" activeCell="B1" sqref="B1"/>
      <selection pane="bottomLeft" activeCell="A2" sqref="A2"/>
      <selection pane="bottomRight" activeCell="G33" sqref="G33"/>
    </sheetView>
  </sheetViews>
  <sheetFormatPr defaultRowHeight="12.75"/>
  <cols>
    <col min="1" max="1" width="18.42578125" style="849" customWidth="1"/>
    <col min="2" max="2" width="16" style="1413" customWidth="1"/>
    <col min="3" max="3" width="32.28515625" customWidth="1"/>
    <col min="4" max="4" width="26" customWidth="1"/>
    <col min="5" max="5" width="15.5703125" style="9" customWidth="1"/>
    <col min="6" max="6" width="15.5703125" customWidth="1"/>
    <col min="7" max="7" width="17"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6.5703125" customWidth="1"/>
    <col min="18" max="18" width="16.140625" customWidth="1"/>
    <col min="19" max="19" width="16.7109375" bestFit="1" customWidth="1"/>
    <col min="20" max="20" width="15.5703125" bestFit="1" customWidth="1"/>
    <col min="21" max="21" width="18"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5.28515625" bestFit="1" customWidth="1"/>
    <col min="254" max="254" width="17.570312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6.5703125" customWidth="1"/>
    <col min="265" max="265" width="16.140625" customWidth="1"/>
    <col min="266" max="266" width="16.7109375" bestFit="1" customWidth="1"/>
    <col min="267" max="267" width="15.5703125" bestFit="1" customWidth="1"/>
    <col min="268" max="268" width="18"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5.28515625" bestFit="1" customWidth="1"/>
    <col min="510" max="510" width="17.570312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6.5703125" customWidth="1"/>
    <col min="521" max="521" width="16.140625" customWidth="1"/>
    <col min="522" max="522" width="16.7109375" bestFit="1" customWidth="1"/>
    <col min="523" max="523" width="15.5703125" bestFit="1" customWidth="1"/>
    <col min="524" max="524" width="18"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5.28515625" bestFit="1" customWidth="1"/>
    <col min="766" max="766" width="17.570312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6.5703125" customWidth="1"/>
    <col min="777" max="777" width="16.140625" customWidth="1"/>
    <col min="778" max="778" width="16.7109375" bestFit="1" customWidth="1"/>
    <col min="779" max="779" width="15.5703125" bestFit="1" customWidth="1"/>
    <col min="780" max="780" width="18"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5.28515625" bestFit="1" customWidth="1"/>
    <col min="1022" max="1022" width="17.570312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6.5703125" customWidth="1"/>
    <col min="1033" max="1033" width="16.140625" customWidth="1"/>
    <col min="1034" max="1034" width="16.7109375" bestFit="1" customWidth="1"/>
    <col min="1035" max="1035" width="15.5703125" bestFit="1" customWidth="1"/>
    <col min="1036" max="1036" width="18"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5.28515625" bestFit="1" customWidth="1"/>
    <col min="1278" max="1278" width="17.570312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6.5703125" customWidth="1"/>
    <col min="1289" max="1289" width="16.140625" customWidth="1"/>
    <col min="1290" max="1290" width="16.7109375" bestFit="1" customWidth="1"/>
    <col min="1291" max="1291" width="15.5703125" bestFit="1" customWidth="1"/>
    <col min="1292" max="1292" width="18"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5.28515625" bestFit="1" customWidth="1"/>
    <col min="1534" max="1534" width="17.570312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6.5703125" customWidth="1"/>
    <col min="1545" max="1545" width="16.140625" customWidth="1"/>
    <col min="1546" max="1546" width="16.7109375" bestFit="1" customWidth="1"/>
    <col min="1547" max="1547" width="15.5703125" bestFit="1" customWidth="1"/>
    <col min="1548" max="1548" width="18"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5.28515625" bestFit="1" customWidth="1"/>
    <col min="1790" max="1790" width="17.570312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6.5703125" customWidth="1"/>
    <col min="1801" max="1801" width="16.140625" customWidth="1"/>
    <col min="1802" max="1802" width="16.7109375" bestFit="1" customWidth="1"/>
    <col min="1803" max="1803" width="15.5703125" bestFit="1" customWidth="1"/>
    <col min="1804" max="1804" width="18"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5.28515625" bestFit="1" customWidth="1"/>
    <col min="2046" max="2046" width="17.570312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6.5703125" customWidth="1"/>
    <col min="2057" max="2057" width="16.140625" customWidth="1"/>
    <col min="2058" max="2058" width="16.7109375" bestFit="1" customWidth="1"/>
    <col min="2059" max="2059" width="15.5703125" bestFit="1" customWidth="1"/>
    <col min="2060" max="2060" width="18"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5.28515625" bestFit="1" customWidth="1"/>
    <col min="2302" max="2302" width="17.570312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6.5703125" customWidth="1"/>
    <col min="2313" max="2313" width="16.140625" customWidth="1"/>
    <col min="2314" max="2314" width="16.7109375" bestFit="1" customWidth="1"/>
    <col min="2315" max="2315" width="15.5703125" bestFit="1" customWidth="1"/>
    <col min="2316" max="2316" width="18"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5.28515625" bestFit="1" customWidth="1"/>
    <col min="2558" max="2558" width="17.570312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6.5703125" customWidth="1"/>
    <col min="2569" max="2569" width="16.140625" customWidth="1"/>
    <col min="2570" max="2570" width="16.7109375" bestFit="1" customWidth="1"/>
    <col min="2571" max="2571" width="15.5703125" bestFit="1" customWidth="1"/>
    <col min="2572" max="2572" width="18"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5.28515625" bestFit="1" customWidth="1"/>
    <col min="2814" max="2814" width="17.570312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6.5703125" customWidth="1"/>
    <col min="2825" max="2825" width="16.140625" customWidth="1"/>
    <col min="2826" max="2826" width="16.7109375" bestFit="1" customWidth="1"/>
    <col min="2827" max="2827" width="15.5703125" bestFit="1" customWidth="1"/>
    <col min="2828" max="2828" width="18"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5.28515625" bestFit="1" customWidth="1"/>
    <col min="3070" max="3070" width="17.570312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6.5703125" customWidth="1"/>
    <col min="3081" max="3081" width="16.140625" customWidth="1"/>
    <col min="3082" max="3082" width="16.7109375" bestFit="1" customWidth="1"/>
    <col min="3083" max="3083" width="15.5703125" bestFit="1" customWidth="1"/>
    <col min="3084" max="3084" width="18"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5.28515625" bestFit="1" customWidth="1"/>
    <col min="3326" max="3326" width="17.570312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6.5703125" customWidth="1"/>
    <col min="3337" max="3337" width="16.140625" customWidth="1"/>
    <col min="3338" max="3338" width="16.7109375" bestFit="1" customWidth="1"/>
    <col min="3339" max="3339" width="15.5703125" bestFit="1" customWidth="1"/>
    <col min="3340" max="3340" width="18"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5.28515625" bestFit="1" customWidth="1"/>
    <col min="3582" max="3582" width="17.570312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6.5703125" customWidth="1"/>
    <col min="3593" max="3593" width="16.140625" customWidth="1"/>
    <col min="3594" max="3594" width="16.7109375" bestFit="1" customWidth="1"/>
    <col min="3595" max="3595" width="15.5703125" bestFit="1" customWidth="1"/>
    <col min="3596" max="3596" width="18"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5.28515625" bestFit="1" customWidth="1"/>
    <col min="3838" max="3838" width="17.570312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6.5703125" customWidth="1"/>
    <col min="3849" max="3849" width="16.140625" customWidth="1"/>
    <col min="3850" max="3850" width="16.7109375" bestFit="1" customWidth="1"/>
    <col min="3851" max="3851" width="15.5703125" bestFit="1" customWidth="1"/>
    <col min="3852" max="3852" width="18"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5.28515625" bestFit="1" customWidth="1"/>
    <col min="4094" max="4094" width="17.570312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6.5703125" customWidth="1"/>
    <col min="4105" max="4105" width="16.140625" customWidth="1"/>
    <col min="4106" max="4106" width="16.7109375" bestFit="1" customWidth="1"/>
    <col min="4107" max="4107" width="15.5703125" bestFit="1" customWidth="1"/>
    <col min="4108" max="4108" width="18"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5.28515625" bestFit="1" customWidth="1"/>
    <col min="4350" max="4350" width="17.570312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6.5703125" customWidth="1"/>
    <col min="4361" max="4361" width="16.140625" customWidth="1"/>
    <col min="4362" max="4362" width="16.7109375" bestFit="1" customWidth="1"/>
    <col min="4363" max="4363" width="15.5703125" bestFit="1" customWidth="1"/>
    <col min="4364" max="4364" width="18"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5.28515625" bestFit="1" customWidth="1"/>
    <col min="4606" max="4606" width="17.570312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6.5703125" customWidth="1"/>
    <col min="4617" max="4617" width="16.140625" customWidth="1"/>
    <col min="4618" max="4618" width="16.7109375" bestFit="1" customWidth="1"/>
    <col min="4619" max="4619" width="15.5703125" bestFit="1" customWidth="1"/>
    <col min="4620" max="4620" width="18"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5.28515625" bestFit="1" customWidth="1"/>
    <col min="4862" max="4862" width="17.570312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6.5703125" customWidth="1"/>
    <col min="4873" max="4873" width="16.140625" customWidth="1"/>
    <col min="4874" max="4874" width="16.7109375" bestFit="1" customWidth="1"/>
    <col min="4875" max="4875" width="15.5703125" bestFit="1" customWidth="1"/>
    <col min="4876" max="4876" width="18"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5.28515625" bestFit="1" customWidth="1"/>
    <col min="5118" max="5118" width="17.570312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6.5703125" customWidth="1"/>
    <col min="5129" max="5129" width="16.140625" customWidth="1"/>
    <col min="5130" max="5130" width="16.7109375" bestFit="1" customWidth="1"/>
    <col min="5131" max="5131" width="15.5703125" bestFit="1" customWidth="1"/>
    <col min="5132" max="5132" width="18"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5.28515625" bestFit="1" customWidth="1"/>
    <col min="5374" max="5374" width="17.570312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6.5703125" customWidth="1"/>
    <col min="5385" max="5385" width="16.140625" customWidth="1"/>
    <col min="5386" max="5386" width="16.7109375" bestFit="1" customWidth="1"/>
    <col min="5387" max="5387" width="15.5703125" bestFit="1" customWidth="1"/>
    <col min="5388" max="5388" width="18"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5.28515625" bestFit="1" customWidth="1"/>
    <col min="5630" max="5630" width="17.570312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6.5703125" customWidth="1"/>
    <col min="5641" max="5641" width="16.140625" customWidth="1"/>
    <col min="5642" max="5642" width="16.7109375" bestFit="1" customWidth="1"/>
    <col min="5643" max="5643" width="15.5703125" bestFit="1" customWidth="1"/>
    <col min="5644" max="5644" width="18"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5.28515625" bestFit="1" customWidth="1"/>
    <col min="5886" max="5886" width="17.570312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6.5703125" customWidth="1"/>
    <col min="5897" max="5897" width="16.140625" customWidth="1"/>
    <col min="5898" max="5898" width="16.7109375" bestFit="1" customWidth="1"/>
    <col min="5899" max="5899" width="15.5703125" bestFit="1" customWidth="1"/>
    <col min="5900" max="5900" width="18"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5.28515625" bestFit="1" customWidth="1"/>
    <col min="6142" max="6142" width="17.570312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6.5703125" customWidth="1"/>
    <col min="6153" max="6153" width="16.140625" customWidth="1"/>
    <col min="6154" max="6154" width="16.7109375" bestFit="1" customWidth="1"/>
    <col min="6155" max="6155" width="15.5703125" bestFit="1" customWidth="1"/>
    <col min="6156" max="6156" width="18"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5.28515625" bestFit="1" customWidth="1"/>
    <col min="6398" max="6398" width="17.570312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6.5703125" customWidth="1"/>
    <col min="6409" max="6409" width="16.140625" customWidth="1"/>
    <col min="6410" max="6410" width="16.7109375" bestFit="1" customWidth="1"/>
    <col min="6411" max="6411" width="15.5703125" bestFit="1" customWidth="1"/>
    <col min="6412" max="6412" width="18"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5.28515625" bestFit="1" customWidth="1"/>
    <col min="6654" max="6654" width="17.570312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6.5703125" customWidth="1"/>
    <col min="6665" max="6665" width="16.140625" customWidth="1"/>
    <col min="6666" max="6666" width="16.7109375" bestFit="1" customWidth="1"/>
    <col min="6667" max="6667" width="15.5703125" bestFit="1" customWidth="1"/>
    <col min="6668" max="6668" width="18"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5.28515625" bestFit="1" customWidth="1"/>
    <col min="6910" max="6910" width="17.570312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6.5703125" customWidth="1"/>
    <col min="6921" max="6921" width="16.140625" customWidth="1"/>
    <col min="6922" max="6922" width="16.7109375" bestFit="1" customWidth="1"/>
    <col min="6923" max="6923" width="15.5703125" bestFit="1" customWidth="1"/>
    <col min="6924" max="6924" width="18"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5.28515625" bestFit="1" customWidth="1"/>
    <col min="7166" max="7166" width="17.570312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6.5703125" customWidth="1"/>
    <col min="7177" max="7177" width="16.140625" customWidth="1"/>
    <col min="7178" max="7178" width="16.7109375" bestFit="1" customWidth="1"/>
    <col min="7179" max="7179" width="15.5703125" bestFit="1" customWidth="1"/>
    <col min="7180" max="7180" width="18"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5.28515625" bestFit="1" customWidth="1"/>
    <col min="7422" max="7422" width="17.570312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6.5703125" customWidth="1"/>
    <col min="7433" max="7433" width="16.140625" customWidth="1"/>
    <col min="7434" max="7434" width="16.7109375" bestFit="1" customWidth="1"/>
    <col min="7435" max="7435" width="15.5703125" bestFit="1" customWidth="1"/>
    <col min="7436" max="7436" width="18"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5.28515625" bestFit="1" customWidth="1"/>
    <col min="7678" max="7678" width="17.570312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6.5703125" customWidth="1"/>
    <col min="7689" max="7689" width="16.140625" customWidth="1"/>
    <col min="7690" max="7690" width="16.7109375" bestFit="1" customWidth="1"/>
    <col min="7691" max="7691" width="15.5703125" bestFit="1" customWidth="1"/>
    <col min="7692" max="7692" width="18"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5.28515625" bestFit="1" customWidth="1"/>
    <col min="7934" max="7934" width="17.570312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6.5703125" customWidth="1"/>
    <col min="7945" max="7945" width="16.140625" customWidth="1"/>
    <col min="7946" max="7946" width="16.7109375" bestFit="1" customWidth="1"/>
    <col min="7947" max="7947" width="15.5703125" bestFit="1" customWidth="1"/>
    <col min="7948" max="7948" width="18"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5.28515625" bestFit="1" customWidth="1"/>
    <col min="8190" max="8190" width="17.570312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6.5703125" customWidth="1"/>
    <col min="8201" max="8201" width="16.140625" customWidth="1"/>
    <col min="8202" max="8202" width="16.7109375" bestFit="1" customWidth="1"/>
    <col min="8203" max="8203" width="15.5703125" bestFit="1" customWidth="1"/>
    <col min="8204" max="8204" width="18"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5.28515625" bestFit="1" customWidth="1"/>
    <col min="8446" max="8446" width="17.570312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6.5703125" customWidth="1"/>
    <col min="8457" max="8457" width="16.140625" customWidth="1"/>
    <col min="8458" max="8458" width="16.7109375" bestFit="1" customWidth="1"/>
    <col min="8459" max="8459" width="15.5703125" bestFit="1" customWidth="1"/>
    <col min="8460" max="8460" width="18"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5.28515625" bestFit="1" customWidth="1"/>
    <col min="8702" max="8702" width="17.570312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6.5703125" customWidth="1"/>
    <col min="8713" max="8713" width="16.140625" customWidth="1"/>
    <col min="8714" max="8714" width="16.7109375" bestFit="1" customWidth="1"/>
    <col min="8715" max="8715" width="15.5703125" bestFit="1" customWidth="1"/>
    <col min="8716" max="8716" width="18"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5.28515625" bestFit="1" customWidth="1"/>
    <col min="8958" max="8958" width="17.570312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6.5703125" customWidth="1"/>
    <col min="8969" max="8969" width="16.140625" customWidth="1"/>
    <col min="8970" max="8970" width="16.7109375" bestFit="1" customWidth="1"/>
    <col min="8971" max="8971" width="15.5703125" bestFit="1" customWidth="1"/>
    <col min="8972" max="8972" width="18"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5.28515625" bestFit="1" customWidth="1"/>
    <col min="9214" max="9214" width="17.570312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6.5703125" customWidth="1"/>
    <col min="9225" max="9225" width="16.140625" customWidth="1"/>
    <col min="9226" max="9226" width="16.7109375" bestFit="1" customWidth="1"/>
    <col min="9227" max="9227" width="15.5703125" bestFit="1" customWidth="1"/>
    <col min="9228" max="9228" width="18"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5.28515625" bestFit="1" customWidth="1"/>
    <col min="9470" max="9470" width="17.570312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6.5703125" customWidth="1"/>
    <col min="9481" max="9481" width="16.140625" customWidth="1"/>
    <col min="9482" max="9482" width="16.7109375" bestFit="1" customWidth="1"/>
    <col min="9483" max="9483" width="15.5703125" bestFit="1" customWidth="1"/>
    <col min="9484" max="9484" width="18"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5.28515625" bestFit="1" customWidth="1"/>
    <col min="9726" max="9726" width="17.570312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6.5703125" customWidth="1"/>
    <col min="9737" max="9737" width="16.140625" customWidth="1"/>
    <col min="9738" max="9738" width="16.7109375" bestFit="1" customWidth="1"/>
    <col min="9739" max="9739" width="15.5703125" bestFit="1" customWidth="1"/>
    <col min="9740" max="9740" width="18"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5.28515625" bestFit="1" customWidth="1"/>
    <col min="9982" max="9982" width="17.570312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6.5703125" customWidth="1"/>
    <col min="9993" max="9993" width="16.140625" customWidth="1"/>
    <col min="9994" max="9994" width="16.7109375" bestFit="1" customWidth="1"/>
    <col min="9995" max="9995" width="15.5703125" bestFit="1" customWidth="1"/>
    <col min="9996" max="9996" width="18"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5.28515625" bestFit="1" customWidth="1"/>
    <col min="10238" max="10238" width="17.570312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6.5703125" customWidth="1"/>
    <col min="10249" max="10249" width="16.140625" customWidth="1"/>
    <col min="10250" max="10250" width="16.7109375" bestFit="1" customWidth="1"/>
    <col min="10251" max="10251" width="15.5703125" bestFit="1" customWidth="1"/>
    <col min="10252" max="10252" width="18"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5.28515625" bestFit="1" customWidth="1"/>
    <col min="10494" max="10494" width="17.570312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6.5703125" customWidth="1"/>
    <col min="10505" max="10505" width="16.140625" customWidth="1"/>
    <col min="10506" max="10506" width="16.7109375" bestFit="1" customWidth="1"/>
    <col min="10507" max="10507" width="15.5703125" bestFit="1" customWidth="1"/>
    <col min="10508" max="10508" width="18"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5.28515625" bestFit="1" customWidth="1"/>
    <col min="10750" max="10750" width="17.570312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6.5703125" customWidth="1"/>
    <col min="10761" max="10761" width="16.140625" customWidth="1"/>
    <col min="10762" max="10762" width="16.7109375" bestFit="1" customWidth="1"/>
    <col min="10763" max="10763" width="15.5703125" bestFit="1" customWidth="1"/>
    <col min="10764" max="10764" width="18"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5.28515625" bestFit="1" customWidth="1"/>
    <col min="11006" max="11006" width="17.570312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6.5703125" customWidth="1"/>
    <col min="11017" max="11017" width="16.140625" customWidth="1"/>
    <col min="11018" max="11018" width="16.7109375" bestFit="1" customWidth="1"/>
    <col min="11019" max="11019" width="15.5703125" bestFit="1" customWidth="1"/>
    <col min="11020" max="11020" width="18"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5.28515625" bestFit="1" customWidth="1"/>
    <col min="11262" max="11262" width="17.570312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6.5703125" customWidth="1"/>
    <col min="11273" max="11273" width="16.140625" customWidth="1"/>
    <col min="11274" max="11274" width="16.7109375" bestFit="1" customWidth="1"/>
    <col min="11275" max="11275" width="15.5703125" bestFit="1" customWidth="1"/>
    <col min="11276" max="11276" width="18"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5.28515625" bestFit="1" customWidth="1"/>
    <col min="11518" max="11518" width="17.570312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6.5703125" customWidth="1"/>
    <col min="11529" max="11529" width="16.140625" customWidth="1"/>
    <col min="11530" max="11530" width="16.7109375" bestFit="1" customWidth="1"/>
    <col min="11531" max="11531" width="15.5703125" bestFit="1" customWidth="1"/>
    <col min="11532" max="11532" width="18"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5.28515625" bestFit="1" customWidth="1"/>
    <col min="11774" max="11774" width="17.570312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6.5703125" customWidth="1"/>
    <col min="11785" max="11785" width="16.140625" customWidth="1"/>
    <col min="11786" max="11786" width="16.7109375" bestFit="1" customWidth="1"/>
    <col min="11787" max="11787" width="15.5703125" bestFit="1" customWidth="1"/>
    <col min="11788" max="11788" width="18"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5.28515625" bestFit="1" customWidth="1"/>
    <col min="12030" max="12030" width="17.570312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6.5703125" customWidth="1"/>
    <col min="12041" max="12041" width="16.140625" customWidth="1"/>
    <col min="12042" max="12042" width="16.7109375" bestFit="1" customWidth="1"/>
    <col min="12043" max="12043" width="15.5703125" bestFit="1" customWidth="1"/>
    <col min="12044" max="12044" width="18"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5.28515625" bestFit="1" customWidth="1"/>
    <col min="12286" max="12286" width="17.570312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6.5703125" customWidth="1"/>
    <col min="12297" max="12297" width="16.140625" customWidth="1"/>
    <col min="12298" max="12298" width="16.7109375" bestFit="1" customWidth="1"/>
    <col min="12299" max="12299" width="15.5703125" bestFit="1" customWidth="1"/>
    <col min="12300" max="12300" width="18"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5.28515625" bestFit="1" customWidth="1"/>
    <col min="12542" max="12542" width="17.570312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6.5703125" customWidth="1"/>
    <col min="12553" max="12553" width="16.140625" customWidth="1"/>
    <col min="12554" max="12554" width="16.7109375" bestFit="1" customWidth="1"/>
    <col min="12555" max="12555" width="15.5703125" bestFit="1" customWidth="1"/>
    <col min="12556" max="12556" width="18"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5.28515625" bestFit="1" customWidth="1"/>
    <col min="12798" max="12798" width="17.570312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6.5703125" customWidth="1"/>
    <col min="12809" max="12809" width="16.140625" customWidth="1"/>
    <col min="12810" max="12810" width="16.7109375" bestFit="1" customWidth="1"/>
    <col min="12811" max="12811" width="15.5703125" bestFit="1" customWidth="1"/>
    <col min="12812" max="12812" width="18"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5.28515625" bestFit="1" customWidth="1"/>
    <col min="13054" max="13054" width="17.570312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6.5703125" customWidth="1"/>
    <col min="13065" max="13065" width="16.140625" customWidth="1"/>
    <col min="13066" max="13066" width="16.7109375" bestFit="1" customWidth="1"/>
    <col min="13067" max="13067" width="15.5703125" bestFit="1" customWidth="1"/>
    <col min="13068" max="13068" width="18"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5.28515625" bestFit="1" customWidth="1"/>
    <col min="13310" max="13310" width="17.570312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6.5703125" customWidth="1"/>
    <col min="13321" max="13321" width="16.140625" customWidth="1"/>
    <col min="13322" max="13322" width="16.7109375" bestFit="1" customWidth="1"/>
    <col min="13323" max="13323" width="15.5703125" bestFit="1" customWidth="1"/>
    <col min="13324" max="13324" width="18"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5.28515625" bestFit="1" customWidth="1"/>
    <col min="13566" max="13566" width="17.570312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6.5703125" customWidth="1"/>
    <col min="13577" max="13577" width="16.140625" customWidth="1"/>
    <col min="13578" max="13578" width="16.7109375" bestFit="1" customWidth="1"/>
    <col min="13579" max="13579" width="15.5703125" bestFit="1" customWidth="1"/>
    <col min="13580" max="13580" width="18"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5.28515625" bestFit="1" customWidth="1"/>
    <col min="13822" max="13822" width="17.570312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6.5703125" customWidth="1"/>
    <col min="13833" max="13833" width="16.140625" customWidth="1"/>
    <col min="13834" max="13834" width="16.7109375" bestFit="1" customWidth="1"/>
    <col min="13835" max="13835" width="15.5703125" bestFit="1" customWidth="1"/>
    <col min="13836" max="13836" width="18"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5.28515625" bestFit="1" customWidth="1"/>
    <col min="14078" max="14078" width="17.570312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6.5703125" customWidth="1"/>
    <col min="14089" max="14089" width="16.140625" customWidth="1"/>
    <col min="14090" max="14090" width="16.7109375" bestFit="1" customWidth="1"/>
    <col min="14091" max="14091" width="15.5703125" bestFit="1" customWidth="1"/>
    <col min="14092" max="14092" width="18"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5.28515625" bestFit="1" customWidth="1"/>
    <col min="14334" max="14334" width="17.570312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6.5703125" customWidth="1"/>
    <col min="14345" max="14345" width="16.140625" customWidth="1"/>
    <col min="14346" max="14346" width="16.7109375" bestFit="1" customWidth="1"/>
    <col min="14347" max="14347" width="15.5703125" bestFit="1" customWidth="1"/>
    <col min="14348" max="14348" width="18"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5.28515625" bestFit="1" customWidth="1"/>
    <col min="14590" max="14590" width="17.570312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6.5703125" customWidth="1"/>
    <col min="14601" max="14601" width="16.140625" customWidth="1"/>
    <col min="14602" max="14602" width="16.7109375" bestFit="1" customWidth="1"/>
    <col min="14603" max="14603" width="15.5703125" bestFit="1" customWidth="1"/>
    <col min="14604" max="14604" width="18"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5.28515625" bestFit="1" customWidth="1"/>
    <col min="14846" max="14846" width="17.570312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6.5703125" customWidth="1"/>
    <col min="14857" max="14857" width="16.140625" customWidth="1"/>
    <col min="14858" max="14858" width="16.7109375" bestFit="1" customWidth="1"/>
    <col min="14859" max="14859" width="15.5703125" bestFit="1" customWidth="1"/>
    <col min="14860" max="14860" width="18"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5.28515625" bestFit="1" customWidth="1"/>
    <col min="15102" max="15102" width="17.570312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6.5703125" customWidth="1"/>
    <col min="15113" max="15113" width="16.140625" customWidth="1"/>
    <col min="15114" max="15114" width="16.7109375" bestFit="1" customWidth="1"/>
    <col min="15115" max="15115" width="15.5703125" bestFit="1" customWidth="1"/>
    <col min="15116" max="15116" width="18"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5.28515625" bestFit="1" customWidth="1"/>
    <col min="15358" max="15358" width="17.570312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6.5703125" customWidth="1"/>
    <col min="15369" max="15369" width="16.140625" customWidth="1"/>
    <col min="15370" max="15370" width="16.7109375" bestFit="1" customWidth="1"/>
    <col min="15371" max="15371" width="15.5703125" bestFit="1" customWidth="1"/>
    <col min="15372" max="15372" width="18"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5.28515625" bestFit="1" customWidth="1"/>
    <col min="15614" max="15614" width="17.570312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6.5703125" customWidth="1"/>
    <col min="15625" max="15625" width="16.140625" customWidth="1"/>
    <col min="15626" max="15626" width="16.7109375" bestFit="1" customWidth="1"/>
    <col min="15627" max="15627" width="15.5703125" bestFit="1" customWidth="1"/>
    <col min="15628" max="15628" width="18"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5.28515625" bestFit="1" customWidth="1"/>
    <col min="15870" max="15870" width="17.570312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6.5703125" customWidth="1"/>
    <col min="15881" max="15881" width="16.140625" customWidth="1"/>
    <col min="15882" max="15882" width="16.7109375" bestFit="1" customWidth="1"/>
    <col min="15883" max="15883" width="15.5703125" bestFit="1" customWidth="1"/>
    <col min="15884" max="15884" width="18"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5.28515625" bestFit="1" customWidth="1"/>
    <col min="16126" max="16126" width="17.570312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6.5703125" customWidth="1"/>
    <col min="16137" max="16137" width="16.140625" customWidth="1"/>
    <col min="16138" max="16138" width="16.7109375" bestFit="1" customWidth="1"/>
    <col min="16139" max="16139" width="15.5703125" bestFit="1" customWidth="1"/>
    <col min="16140" max="16140" width="18"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54" customHeight="1" thickBot="1">
      <c r="C1" s="1361" t="s">
        <v>179</v>
      </c>
      <c r="D1" s="1361" t="s">
        <v>273</v>
      </c>
      <c r="E1" s="1361" t="s">
        <v>5</v>
      </c>
      <c r="F1" s="1361">
        <v>18230684</v>
      </c>
      <c r="G1" s="1361" t="s">
        <v>28</v>
      </c>
      <c r="J1" s="44"/>
      <c r="M1" s="1361" t="s">
        <v>179</v>
      </c>
      <c r="N1" s="1361" t="s">
        <v>273</v>
      </c>
      <c r="O1" s="1361" t="s">
        <v>5</v>
      </c>
      <c r="P1" s="1361">
        <v>18230684</v>
      </c>
      <c r="Q1" s="1361" t="s">
        <v>28</v>
      </c>
      <c r="V1" s="1361" t="s">
        <v>179</v>
      </c>
      <c r="W1" s="1361" t="s">
        <v>273</v>
      </c>
      <c r="X1" s="1361" t="s">
        <v>5</v>
      </c>
      <c r="Y1" s="1361">
        <v>18230684</v>
      </c>
      <c r="Z1" s="1361" t="s">
        <v>28</v>
      </c>
    </row>
    <row r="2" spans="1:27" ht="16.5" thickBot="1">
      <c r="C2" s="44"/>
      <c r="D2" s="45"/>
      <c r="G2" s="1652"/>
      <c r="I2" s="1178" t="s">
        <v>627</v>
      </c>
      <c r="S2" s="3575"/>
      <c r="T2" s="3575"/>
      <c r="U2" s="3576" t="s">
        <v>33</v>
      </c>
      <c r="V2" s="3577"/>
      <c r="W2" s="3578"/>
      <c r="X2" s="3579" t="s">
        <v>34</v>
      </c>
    </row>
    <row r="3" spans="1:27" ht="26.25" thickBot="1">
      <c r="A3" s="1357" t="s">
        <v>179</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57" t="s">
        <v>273</v>
      </c>
      <c r="B4" s="1357"/>
      <c r="C4" s="44"/>
      <c r="H4" s="2946" t="s">
        <v>1726</v>
      </c>
      <c r="I4" s="2959">
        <f>D15</f>
        <v>13500</v>
      </c>
      <c r="J4" s="2960">
        <f>D21</f>
        <v>10984.2</v>
      </c>
      <c r="K4" s="2960">
        <f>D27</f>
        <v>16330.9614</v>
      </c>
      <c r="L4" s="2960">
        <f>D37</f>
        <v>6000</v>
      </c>
      <c r="M4" s="2960">
        <f>D43</f>
        <v>0</v>
      </c>
      <c r="N4" s="2960">
        <f>D49</f>
        <v>0</v>
      </c>
      <c r="O4" s="2960">
        <f>D55</f>
        <v>1000</v>
      </c>
      <c r="P4" s="2960">
        <f>D61</f>
        <v>0</v>
      </c>
      <c r="Q4" s="2960">
        <f>D67</f>
        <v>0</v>
      </c>
      <c r="R4" s="2960">
        <f>D68</f>
        <v>0</v>
      </c>
      <c r="S4" s="2961">
        <f>SUM(I4:R4)</f>
        <v>47815.161399999997</v>
      </c>
      <c r="T4" s="2963">
        <f>T15</f>
        <v>0</v>
      </c>
      <c r="U4" s="2954">
        <f>Q4/S4</f>
        <v>0</v>
      </c>
      <c r="V4" s="2954">
        <f>(L4+(J4*1.63))/S4</f>
        <v>0.49993025852256145</v>
      </c>
      <c r="W4" s="2954">
        <f>N4/S4</f>
        <v>0</v>
      </c>
      <c r="X4" s="2953" t="e">
        <f>S4/T4</f>
        <v>#DIV/0!</v>
      </c>
    </row>
    <row r="5" spans="1:27" ht="16.5" thickBot="1">
      <c r="A5" s="1357" t="s">
        <v>5</v>
      </c>
      <c r="C5" s="45"/>
      <c r="H5" s="3205" t="s">
        <v>1753</v>
      </c>
      <c r="I5" s="2617">
        <v>13500</v>
      </c>
      <c r="J5" s="2618">
        <v>10984.2</v>
      </c>
      <c r="K5" s="2618">
        <v>16649.256000000001</v>
      </c>
      <c r="L5" s="2618">
        <v>6000</v>
      </c>
      <c r="M5" s="2618">
        <v>0</v>
      </c>
      <c r="N5" s="2618">
        <v>0</v>
      </c>
      <c r="O5" s="2618">
        <v>1000</v>
      </c>
      <c r="P5" s="2618">
        <v>0</v>
      </c>
      <c r="Q5" s="2618">
        <v>0</v>
      </c>
      <c r="R5" s="2618">
        <v>0</v>
      </c>
      <c r="S5" s="2619">
        <v>48133.456000000006</v>
      </c>
      <c r="T5" s="2647">
        <v>0</v>
      </c>
      <c r="U5" s="1187">
        <f>Q5/S5</f>
        <v>0</v>
      </c>
      <c r="V5" s="1187">
        <f>(L5+(J5*1.63))/S5</f>
        <v>0.49662434378283571</v>
      </c>
      <c r="W5" s="1187">
        <f>N5/S5</f>
        <v>0</v>
      </c>
      <c r="X5" s="48" t="e">
        <f>S5/T5</f>
        <v>#DIV/0!</v>
      </c>
    </row>
    <row r="6" spans="1:27" ht="16.5" thickBot="1">
      <c r="A6" s="1357">
        <v>18230684</v>
      </c>
      <c r="B6" s="1357"/>
      <c r="D6" s="44"/>
      <c r="H6" s="3206" t="s">
        <v>1754</v>
      </c>
      <c r="I6" s="2621">
        <f>E15</f>
        <v>11662.5</v>
      </c>
      <c r="J6" s="2622">
        <f>E21</f>
        <v>777.5</v>
      </c>
      <c r="K6" s="2623">
        <f>E27</f>
        <v>11171.119999999999</v>
      </c>
      <c r="L6" s="2622">
        <f>E37</f>
        <v>6000</v>
      </c>
      <c r="M6" s="2622">
        <f>E43</f>
        <v>0</v>
      </c>
      <c r="N6" s="2622">
        <f>E49</f>
        <v>0</v>
      </c>
      <c r="O6" s="2622">
        <f>E55</f>
        <v>1000</v>
      </c>
      <c r="P6" s="2622">
        <f>E61</f>
        <v>0</v>
      </c>
      <c r="Q6" s="2622">
        <f>E67</f>
        <v>0</v>
      </c>
      <c r="R6" s="2622">
        <f>E68</f>
        <v>0</v>
      </c>
      <c r="S6" s="2624">
        <f>SUM(I6:R6)</f>
        <v>30611.119999999999</v>
      </c>
      <c r="T6" s="2641">
        <f>U15</f>
        <v>0</v>
      </c>
      <c r="U6" s="2631">
        <f>Q6/S6</f>
        <v>0</v>
      </c>
      <c r="V6" s="2631">
        <f>(L6+(J6*1.63))/S6</f>
        <v>0.23740800728624109</v>
      </c>
      <c r="W6" s="2631">
        <f>N6/S6</f>
        <v>0</v>
      </c>
      <c r="X6" s="2626" t="e">
        <f>S6/T6</f>
        <v>#DIV/0!</v>
      </c>
    </row>
    <row r="7" spans="1:27"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47815.161399999997</v>
      </c>
      <c r="E12" s="1484">
        <f>E15+E21+E27+E37+E43+E49+E55+E61</f>
        <v>30611.119999999999</v>
      </c>
      <c r="F12" s="1462">
        <f>D12+E12</f>
        <v>78426.281399999993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13500</v>
      </c>
      <c r="E15" s="1464">
        <f>SUM(E16:E19)</f>
        <v>11662.5</v>
      </c>
      <c r="F15" s="1462">
        <f>D15+E15</f>
        <v>25162.5</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v>0.05</v>
      </c>
      <c r="C16" s="1423" t="s">
        <v>734</v>
      </c>
      <c r="D16" s="2772">
        <v>4500</v>
      </c>
      <c r="E16" s="1448">
        <v>3887.5</v>
      </c>
      <c r="F16" s="1426">
        <f>SUM(D16:E16)</f>
        <v>8387.5</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1:27">
      <c r="A17"/>
      <c r="B17" s="1432">
        <v>0.1</v>
      </c>
      <c r="C17" s="1423" t="s">
        <v>735</v>
      </c>
      <c r="D17" s="2784">
        <v>9000</v>
      </c>
      <c r="E17" s="1447">
        <v>7775</v>
      </c>
      <c r="F17" s="1426">
        <f t="shared" ref="F17:F19" si="0">SUM(D17:E17)</f>
        <v>16775</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1:27">
      <c r="A18"/>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1:27">
      <c r="A19"/>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1:27">
      <c r="A20"/>
      <c r="B20" s="2204">
        <f>SUM(B16:B19)</f>
        <v>0.15000000000000002</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1:27">
      <c r="A21"/>
      <c r="B21" s="1433" t="s">
        <v>296</v>
      </c>
      <c r="C21" s="1451" t="s">
        <v>44</v>
      </c>
      <c r="D21" s="2771">
        <f>SUM(D22:D25)</f>
        <v>10984.2</v>
      </c>
      <c r="E21" s="1464">
        <f>SUM(E22:E25)</f>
        <v>777.5</v>
      </c>
      <c r="F21" s="1638">
        <f>D21+E21</f>
        <v>11761.7</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1:27">
      <c r="A22"/>
      <c r="B22" s="1982">
        <f>(SUM(D22:E22)/2)/((80000+(80000*1.025))/2)</f>
        <v>7.2603086419753091E-2</v>
      </c>
      <c r="C22" s="1423" t="s">
        <v>1090</v>
      </c>
      <c r="D22" s="2772">
        <v>10984.2</v>
      </c>
      <c r="E22" s="1448">
        <v>777.5</v>
      </c>
      <c r="F22" s="1426">
        <f t="shared" ref="F22:F25" si="1">SUM(D22:E22)</f>
        <v>11761.7</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1:27">
      <c r="A23"/>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1:27">
      <c r="A24"/>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1:27">
      <c r="A25"/>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1:27">
      <c r="A26"/>
      <c r="B26" s="2204">
        <f>SUM(B22:B25)</f>
        <v>7.2603086419753091E-2</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1:27">
      <c r="A27"/>
      <c r="C27" s="1597" t="s">
        <v>1737</v>
      </c>
      <c r="D27" s="2771">
        <f>SUM(D29:D35)</f>
        <v>16330.9614</v>
      </c>
      <c r="E27" s="1657">
        <f>SUM(E29:E31)+SUM(E33:E35)</f>
        <v>11171.119999999999</v>
      </c>
      <c r="F27" s="1638">
        <f>D27+E27</f>
        <v>27502.081399999999</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1:27">
      <c r="A28"/>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1:27">
      <c r="A29"/>
      <c r="C29" s="1667" t="s">
        <v>719</v>
      </c>
      <c r="D29" s="2778">
        <f>D15*D28</f>
        <v>9004.5</v>
      </c>
      <c r="E29" s="1504">
        <f>E15*E28</f>
        <v>8023.7999999999993</v>
      </c>
      <c r="F29" s="1426">
        <f t="shared" ref="F29:F35" si="2">SUM(D29:E29)</f>
        <v>17028.3</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1:27">
      <c r="A30"/>
      <c r="C30" s="1667" t="s">
        <v>720</v>
      </c>
      <c r="D30" s="2785">
        <f>D21*D28</f>
        <v>7326.461400000001</v>
      </c>
      <c r="E30" s="1504">
        <f>E21*E28</f>
        <v>534.91999999999996</v>
      </c>
      <c r="F30" s="1426">
        <f t="shared" si="2"/>
        <v>7861.3814000000011</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1:27">
      <c r="A31"/>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1:27">
      <c r="A32"/>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2449.125</v>
      </c>
      <c r="F33" s="1661">
        <f>SUM(D33:E33)</f>
        <v>2449.125</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179</v>
      </c>
      <c r="C34" s="1667" t="s">
        <v>720</v>
      </c>
      <c r="D34" s="2785"/>
      <c r="E34" s="1641">
        <f>E21*E32</f>
        <v>163.27500000000001</v>
      </c>
      <c r="F34" s="1661">
        <f t="shared" ref="F34" si="3">SUM(D34:E34)</f>
        <v>163.27500000000001</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57" t="s">
        <v>273</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18230684</v>
      </c>
      <c r="C37" s="1451" t="s">
        <v>46</v>
      </c>
      <c r="D37" s="2771">
        <f>SUM(D38:D41)</f>
        <v>6000</v>
      </c>
      <c r="E37" s="1464">
        <f>SUM(E38:E41)</f>
        <v>6000</v>
      </c>
      <c r="F37" s="1638">
        <f>D37+E37</f>
        <v>12000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t="s">
        <v>1094</v>
      </c>
      <c r="D38" s="2778">
        <v>6000</v>
      </c>
      <c r="E38" s="1520">
        <v>6000</v>
      </c>
      <c r="F38" s="1426">
        <f t="shared" ref="F38:F41" si="4">SUM(D38:E38)</f>
        <v>12000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1000</v>
      </c>
      <c r="E55" s="1464">
        <f>SUM(E56:E59)</f>
        <v>1000</v>
      </c>
      <c r="F55" s="1638">
        <f>D55+E55</f>
        <v>2000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t="s">
        <v>1093</v>
      </c>
      <c r="D56" s="2778">
        <v>1000</v>
      </c>
      <c r="E56" s="1504">
        <v>1000</v>
      </c>
      <c r="F56" s="1426">
        <f t="shared" ref="F56:F59" si="7">SUM(D56:E56)</f>
        <v>2000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179</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57"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18230684</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row r="71" spans="1:27">
      <c r="D71" s="2767"/>
    </row>
    <row r="72" spans="1:27">
      <c r="D72" s="2767"/>
    </row>
    <row r="73" spans="1:27">
      <c r="D73" s="2767"/>
    </row>
    <row r="74" spans="1:27">
      <c r="D74" s="2767"/>
    </row>
    <row r="75" spans="1:27">
      <c r="D75" s="2767"/>
    </row>
    <row r="76" spans="1:27">
      <c r="D76" s="2767"/>
    </row>
    <row r="77" spans="1:27">
      <c r="D77" s="2767"/>
    </row>
    <row r="78" spans="1:27">
      <c r="D78" s="2767"/>
    </row>
    <row r="79" spans="1:27">
      <c r="D79" s="2767"/>
    </row>
    <row r="80" spans="1:27">
      <c r="D80" s="2767"/>
    </row>
    <row r="81" spans="1:5">
      <c r="A81"/>
      <c r="B81"/>
      <c r="D81" s="2767"/>
    </row>
    <row r="82" spans="1:5">
      <c r="A82"/>
      <c r="B82"/>
      <c r="D82" s="2767"/>
    </row>
    <row r="83" spans="1:5">
      <c r="A83"/>
      <c r="B83"/>
      <c r="D83" s="2767"/>
    </row>
    <row r="84" spans="1:5">
      <c r="A84"/>
      <c r="B84"/>
      <c r="D84" s="2767"/>
      <c r="E84"/>
    </row>
    <row r="85" spans="1:5">
      <c r="A85"/>
      <c r="B85"/>
      <c r="D85" s="2767"/>
      <c r="E85"/>
    </row>
    <row r="86" spans="1:5">
      <c r="A86"/>
      <c r="B86"/>
      <c r="D86" s="2767"/>
      <c r="E86"/>
    </row>
    <row r="87" spans="1:5">
      <c r="A87"/>
      <c r="B87"/>
      <c r="D87" s="2767"/>
      <c r="E87"/>
    </row>
    <row r="88" spans="1:5">
      <c r="A88"/>
      <c r="B88"/>
      <c r="D88" s="2767"/>
      <c r="E88"/>
    </row>
    <row r="89" spans="1:5">
      <c r="A89"/>
      <c r="B89"/>
      <c r="D89" s="2767"/>
      <c r="E89"/>
    </row>
    <row r="90" spans="1:5">
      <c r="A90"/>
      <c r="B90"/>
      <c r="D90" s="2767"/>
      <c r="E90"/>
    </row>
    <row r="91" spans="1:5">
      <c r="A91"/>
      <c r="B91"/>
      <c r="D91" s="2767"/>
      <c r="E91"/>
    </row>
    <row r="92" spans="1:5">
      <c r="A92"/>
      <c r="B92"/>
      <c r="D92" s="2767"/>
      <c r="E92"/>
    </row>
    <row r="93" spans="1:5">
      <c r="A93"/>
      <c r="B93"/>
      <c r="D93" s="2767"/>
      <c r="E93"/>
    </row>
    <row r="94" spans="1:5">
      <c r="A94"/>
      <c r="B94"/>
      <c r="D94" s="2767"/>
      <c r="E94"/>
    </row>
    <row r="95" spans="1:5">
      <c r="A95"/>
      <c r="B95"/>
      <c r="D95" s="2767"/>
      <c r="E95"/>
    </row>
    <row r="96" spans="1:5">
      <c r="A96"/>
      <c r="B96"/>
      <c r="E96"/>
    </row>
    <row r="97" spans="1:5">
      <c r="A97"/>
      <c r="B97"/>
      <c r="E97"/>
    </row>
    <row r="98" spans="1:5">
      <c r="A98"/>
      <c r="B98"/>
      <c r="E98"/>
    </row>
    <row r="99" spans="1:5">
      <c r="A99"/>
      <c r="B99"/>
      <c r="E99"/>
    </row>
    <row r="100" spans="1:5">
      <c r="A100"/>
      <c r="B100"/>
      <c r="E100"/>
    </row>
    <row r="101" spans="1:5">
      <c r="A101"/>
      <c r="B101"/>
      <c r="E101"/>
    </row>
    <row r="102" spans="1:5">
      <c r="A102"/>
      <c r="B102"/>
      <c r="E102"/>
    </row>
    <row r="103" spans="1:5">
      <c r="A103"/>
      <c r="B103"/>
      <c r="E103"/>
    </row>
    <row r="104" spans="1:5">
      <c r="A104"/>
      <c r="B104"/>
      <c r="E104"/>
    </row>
    <row r="105" spans="1:5">
      <c r="A105"/>
      <c r="B105"/>
      <c r="E105"/>
    </row>
    <row r="106" spans="1:5">
      <c r="A106"/>
      <c r="B106"/>
      <c r="E106"/>
    </row>
    <row r="107" spans="1:5">
      <c r="A107"/>
      <c r="B107"/>
      <c r="E107"/>
    </row>
    <row r="108" spans="1:5">
      <c r="A108"/>
      <c r="B108"/>
      <c r="E108"/>
    </row>
    <row r="109" spans="1:5">
      <c r="A109"/>
      <c r="B109"/>
      <c r="E109"/>
    </row>
    <row r="110" spans="1:5">
      <c r="A110"/>
      <c r="B110"/>
      <c r="E110"/>
    </row>
    <row r="111" spans="1:5">
      <c r="A111"/>
      <c r="B111"/>
      <c r="E111"/>
    </row>
    <row r="112" spans="1:5">
      <c r="E112"/>
    </row>
    <row r="113" spans="5:5">
      <c r="E113"/>
    </row>
    <row r="114" spans="5:5">
      <c r="E114"/>
    </row>
  </sheetData>
  <customSheetViews>
    <customSheetView guid="{D9EFFE19-D14B-4C6F-BDF4-FF696F73968D}" showGridLines="0" fitToPage="1">
      <pane xSplit="1" ySplit="1" topLeftCell="B2" activePane="bottomRight" state="frozen"/>
      <selection pane="bottomRight" activeCell="B21" sqref="B21"/>
      <pageMargins left="0.2" right="0.2" top="0.34" bottom="0.36" header="0.3" footer="0.3"/>
      <pageSetup paperSize="17" scale="42" orientation="landscape" r:id="rId1"/>
    </customSheetView>
    <customSheetView guid="{074EB09C-6289-46D7-9513-012B68BCA7BF}" showGridLines="0" fitToPage="1">
      <pane xSplit="1" ySplit="1" topLeftCell="B2" activePane="bottomRight" state="frozen"/>
      <selection pane="bottomRight" activeCell="H4" sqref="H4:H6"/>
      <pageMargins left="0.2" right="0.2" top="0.34" bottom="0.36" header="0.3" footer="0.3"/>
      <pageSetup paperSize="17" scale="42"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 right="0.2" top="0.34" bottom="0.36" header="0.3" footer="0.3"/>
  <pageSetup paperSize="3" scale="50" orientation="landscape" r:id="rId3"/>
  <ignoredErrors>
    <ignoredError sqref="S6:T6" formula="1"/>
    <ignoredError sqref="U5:X5 U6:X6" evalError="1" formula="1"/>
  </ignoredErrors>
  <drawing r:id="rId4"/>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60497B"/>
    <pageSetUpPr fitToPage="1"/>
  </sheetPr>
  <dimension ref="A1:AA70"/>
  <sheetViews>
    <sheetView showGridLines="0" workbookViewId="0">
      <pane xSplit="1" ySplit="1" topLeftCell="B2" activePane="bottomRight" state="frozen"/>
      <selection pane="topRight" activeCell="B1" sqref="B1"/>
      <selection pane="bottomLeft" activeCell="A2" sqref="A2"/>
      <selection pane="bottomRight" activeCell="E6" sqref="E6"/>
    </sheetView>
  </sheetViews>
  <sheetFormatPr defaultRowHeight="12.75"/>
  <cols>
    <col min="1" max="1" width="17.85546875" style="849" customWidth="1"/>
    <col min="2" max="2" width="15.28515625" style="1413" customWidth="1"/>
    <col min="3" max="3" width="28.140625" customWidth="1"/>
    <col min="4" max="4" width="22.5703125" customWidth="1"/>
    <col min="5" max="5" width="15.28515625" style="9" customWidth="1"/>
    <col min="6" max="6" width="15.28515625" customWidth="1"/>
    <col min="7" max="7" width="14.85546875" bestFit="1"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bestFit="1" customWidth="1"/>
    <col min="250" max="250" width="24" bestFit="1" customWidth="1"/>
    <col min="251" max="251" width="43.85546875" customWidth="1"/>
    <col min="252" max="252" width="19.7109375" bestFit="1" customWidth="1"/>
    <col min="253" max="253" width="15.28515625" bestFit="1" customWidth="1"/>
    <col min="254" max="254" width="14.85546875" bestFit="1" customWidth="1"/>
    <col min="255" max="255" width="13.42578125" customWidth="1"/>
    <col min="256" max="256" width="15.28515625" bestFit="1" customWidth="1"/>
    <col min="257" max="257" width="14.140625" bestFit="1" customWidth="1"/>
    <col min="258" max="258" width="15.28515625" customWidth="1"/>
    <col min="259" max="259" width="15.85546875" customWidth="1"/>
    <col min="260" max="260" width="17" bestFit="1" customWidth="1"/>
    <col min="261" max="261" width="12.7109375" customWidth="1"/>
    <col min="262" max="262" width="13.7109375" customWidth="1"/>
    <col min="263" max="263" width="13.85546875" bestFit="1" customWidth="1"/>
    <col min="264" max="264" width="15.5703125" bestFit="1" customWidth="1"/>
    <col min="265" max="265" width="16.140625" customWidth="1"/>
    <col min="266" max="266" width="16.7109375" bestFit="1" customWidth="1"/>
    <col min="267" max="268" width="15.5703125" bestFit="1" customWidth="1"/>
    <col min="269" max="269" width="16.42578125" bestFit="1" customWidth="1"/>
    <col min="270" max="270" width="14.28515625" customWidth="1"/>
    <col min="271" max="271" width="12.85546875" bestFit="1" customWidth="1"/>
    <col min="272" max="272" width="11.28515625" bestFit="1" customWidth="1"/>
    <col min="273" max="273" width="12.5703125" bestFit="1" customWidth="1"/>
    <col min="274" max="274" width="14" bestFit="1" customWidth="1"/>
    <col min="275" max="275" width="6" bestFit="1" customWidth="1"/>
    <col min="276" max="276" width="15" customWidth="1"/>
    <col min="277" max="277" width="14.85546875" bestFit="1" customWidth="1"/>
    <col min="278" max="278" width="16.140625" bestFit="1" customWidth="1"/>
    <col min="506" max="506" width="24" bestFit="1" customWidth="1"/>
    <col min="507" max="507" width="43.85546875" customWidth="1"/>
    <col min="508" max="508" width="19.7109375" bestFit="1" customWidth="1"/>
    <col min="509" max="509" width="15.28515625" bestFit="1" customWidth="1"/>
    <col min="510" max="510" width="14.85546875" bestFit="1" customWidth="1"/>
    <col min="511" max="511" width="13.42578125" customWidth="1"/>
    <col min="512" max="512" width="15.28515625" bestFit="1" customWidth="1"/>
    <col min="513" max="513" width="14.140625" bestFit="1" customWidth="1"/>
    <col min="514" max="514" width="15.28515625" customWidth="1"/>
    <col min="515" max="515" width="15.85546875" customWidth="1"/>
    <col min="516" max="516" width="17" bestFit="1" customWidth="1"/>
    <col min="517" max="517" width="12.7109375" customWidth="1"/>
    <col min="518" max="518" width="13.7109375" customWidth="1"/>
    <col min="519" max="519" width="13.85546875" bestFit="1" customWidth="1"/>
    <col min="520" max="520" width="15.5703125" bestFit="1" customWidth="1"/>
    <col min="521" max="521" width="16.140625" customWidth="1"/>
    <col min="522" max="522" width="16.7109375" bestFit="1" customWidth="1"/>
    <col min="523" max="524" width="15.5703125" bestFit="1" customWidth="1"/>
    <col min="525" max="525" width="16.42578125" bestFit="1" customWidth="1"/>
    <col min="526" max="526" width="14.28515625" customWidth="1"/>
    <col min="527" max="527" width="12.85546875" bestFit="1" customWidth="1"/>
    <col min="528" max="528" width="11.28515625" bestFit="1" customWidth="1"/>
    <col min="529" max="529" width="12.5703125" bestFit="1" customWidth="1"/>
    <col min="530" max="530" width="14" bestFit="1" customWidth="1"/>
    <col min="531" max="531" width="6" bestFit="1" customWidth="1"/>
    <col min="532" max="532" width="15" customWidth="1"/>
    <col min="533" max="533" width="14.85546875" bestFit="1" customWidth="1"/>
    <col min="534" max="534" width="16.140625" bestFit="1" customWidth="1"/>
    <col min="762" max="762" width="24" bestFit="1" customWidth="1"/>
    <col min="763" max="763" width="43.85546875" customWidth="1"/>
    <col min="764" max="764" width="19.7109375" bestFit="1" customWidth="1"/>
    <col min="765" max="765" width="15.28515625" bestFit="1" customWidth="1"/>
    <col min="766" max="766" width="14.85546875" bestFit="1" customWidth="1"/>
    <col min="767" max="767" width="13.42578125" customWidth="1"/>
    <col min="768" max="768" width="15.28515625" bestFit="1" customWidth="1"/>
    <col min="769" max="769" width="14.140625" bestFit="1" customWidth="1"/>
    <col min="770" max="770" width="15.28515625" customWidth="1"/>
    <col min="771" max="771" width="15.85546875" customWidth="1"/>
    <col min="772" max="772" width="17" bestFit="1" customWidth="1"/>
    <col min="773" max="773" width="12.7109375" customWidth="1"/>
    <col min="774" max="774" width="13.7109375" customWidth="1"/>
    <col min="775" max="775" width="13.85546875" bestFit="1" customWidth="1"/>
    <col min="776" max="776" width="15.5703125" bestFit="1" customWidth="1"/>
    <col min="777" max="777" width="16.140625" customWidth="1"/>
    <col min="778" max="778" width="16.7109375" bestFit="1" customWidth="1"/>
    <col min="779" max="780" width="15.5703125" bestFit="1" customWidth="1"/>
    <col min="781" max="781" width="16.42578125" bestFit="1" customWidth="1"/>
    <col min="782" max="782" width="14.28515625" customWidth="1"/>
    <col min="783" max="783" width="12.85546875" bestFit="1" customWidth="1"/>
    <col min="784" max="784" width="11.28515625" bestFit="1" customWidth="1"/>
    <col min="785" max="785" width="12.5703125" bestFit="1" customWidth="1"/>
    <col min="786" max="786" width="14" bestFit="1" customWidth="1"/>
    <col min="787" max="787" width="6" bestFit="1" customWidth="1"/>
    <col min="788" max="788" width="15" customWidth="1"/>
    <col min="789" max="789" width="14.85546875" bestFit="1" customWidth="1"/>
    <col min="790" max="790" width="16.140625" bestFit="1" customWidth="1"/>
    <col min="1018" max="1018" width="24" bestFit="1" customWidth="1"/>
    <col min="1019" max="1019" width="43.85546875" customWidth="1"/>
    <col min="1020" max="1020" width="19.7109375" bestFit="1" customWidth="1"/>
    <col min="1021" max="1021" width="15.28515625" bestFit="1" customWidth="1"/>
    <col min="1022" max="1022" width="14.85546875" bestFit="1" customWidth="1"/>
    <col min="1023" max="1023" width="13.42578125" customWidth="1"/>
    <col min="1024" max="1024" width="15.28515625" bestFit="1" customWidth="1"/>
    <col min="1025" max="1025" width="14.140625" bestFit="1" customWidth="1"/>
    <col min="1026" max="1026" width="15.28515625" customWidth="1"/>
    <col min="1027" max="1027" width="15.85546875" customWidth="1"/>
    <col min="1028" max="1028" width="17" bestFit="1" customWidth="1"/>
    <col min="1029" max="1029" width="12.7109375" customWidth="1"/>
    <col min="1030" max="1030" width="13.7109375" customWidth="1"/>
    <col min="1031" max="1031" width="13.85546875" bestFit="1" customWidth="1"/>
    <col min="1032" max="1032" width="15.5703125" bestFit="1" customWidth="1"/>
    <col min="1033" max="1033" width="16.140625" customWidth="1"/>
    <col min="1034" max="1034" width="16.7109375" bestFit="1" customWidth="1"/>
    <col min="1035" max="1036" width="15.5703125" bestFit="1" customWidth="1"/>
    <col min="1037" max="1037" width="16.42578125" bestFit="1" customWidth="1"/>
    <col min="1038" max="1038" width="14.28515625" customWidth="1"/>
    <col min="1039" max="1039" width="12.85546875" bestFit="1" customWidth="1"/>
    <col min="1040" max="1040" width="11.28515625" bestFit="1" customWidth="1"/>
    <col min="1041" max="1041" width="12.5703125" bestFit="1" customWidth="1"/>
    <col min="1042" max="1042" width="14" bestFit="1" customWidth="1"/>
    <col min="1043" max="1043" width="6" bestFit="1" customWidth="1"/>
    <col min="1044" max="1044" width="15" customWidth="1"/>
    <col min="1045" max="1045" width="14.85546875" bestFit="1" customWidth="1"/>
    <col min="1046" max="1046" width="16.140625" bestFit="1" customWidth="1"/>
    <col min="1274" max="1274" width="24" bestFit="1" customWidth="1"/>
    <col min="1275" max="1275" width="43.85546875" customWidth="1"/>
    <col min="1276" max="1276" width="19.7109375" bestFit="1" customWidth="1"/>
    <col min="1277" max="1277" width="15.28515625" bestFit="1" customWidth="1"/>
    <col min="1278" max="1278" width="14.85546875" bestFit="1" customWidth="1"/>
    <col min="1279" max="1279" width="13.42578125" customWidth="1"/>
    <col min="1280" max="1280" width="15.28515625" bestFit="1" customWidth="1"/>
    <col min="1281" max="1281" width="14.140625" bestFit="1" customWidth="1"/>
    <col min="1282" max="1282" width="15.28515625" customWidth="1"/>
    <col min="1283" max="1283" width="15.85546875" customWidth="1"/>
    <col min="1284" max="1284" width="17" bestFit="1" customWidth="1"/>
    <col min="1285" max="1285" width="12.7109375" customWidth="1"/>
    <col min="1286" max="1286" width="13.7109375" customWidth="1"/>
    <col min="1287" max="1287" width="13.85546875" bestFit="1" customWidth="1"/>
    <col min="1288" max="1288" width="15.5703125" bestFit="1" customWidth="1"/>
    <col min="1289" max="1289" width="16.140625" customWidth="1"/>
    <col min="1290" max="1290" width="16.7109375" bestFit="1" customWidth="1"/>
    <col min="1291" max="1292" width="15.5703125" bestFit="1" customWidth="1"/>
    <col min="1293" max="1293" width="16.42578125" bestFit="1" customWidth="1"/>
    <col min="1294" max="1294" width="14.28515625" customWidth="1"/>
    <col min="1295" max="1295" width="12.85546875" bestFit="1" customWidth="1"/>
    <col min="1296" max="1296" width="11.28515625" bestFit="1" customWidth="1"/>
    <col min="1297" max="1297" width="12.5703125" bestFit="1" customWidth="1"/>
    <col min="1298" max="1298" width="14" bestFit="1" customWidth="1"/>
    <col min="1299" max="1299" width="6" bestFit="1" customWidth="1"/>
    <col min="1300" max="1300" width="15" customWidth="1"/>
    <col min="1301" max="1301" width="14.85546875" bestFit="1" customWidth="1"/>
    <col min="1302" max="1302" width="16.140625" bestFit="1" customWidth="1"/>
    <col min="1530" max="1530" width="24" bestFit="1" customWidth="1"/>
    <col min="1531" max="1531" width="43.85546875" customWidth="1"/>
    <col min="1532" max="1532" width="19.7109375" bestFit="1" customWidth="1"/>
    <col min="1533" max="1533" width="15.28515625" bestFit="1" customWidth="1"/>
    <col min="1534" max="1534" width="14.85546875" bestFit="1" customWidth="1"/>
    <col min="1535" max="1535" width="13.42578125" customWidth="1"/>
    <col min="1536" max="1536" width="15.28515625" bestFit="1" customWidth="1"/>
    <col min="1537" max="1537" width="14.140625" bestFit="1" customWidth="1"/>
    <col min="1538" max="1538" width="15.28515625" customWidth="1"/>
    <col min="1539" max="1539" width="15.85546875" customWidth="1"/>
    <col min="1540" max="1540" width="17" bestFit="1" customWidth="1"/>
    <col min="1541" max="1541" width="12.7109375" customWidth="1"/>
    <col min="1542" max="1542" width="13.7109375" customWidth="1"/>
    <col min="1543" max="1543" width="13.85546875" bestFit="1" customWidth="1"/>
    <col min="1544" max="1544" width="15.5703125" bestFit="1" customWidth="1"/>
    <col min="1545" max="1545" width="16.140625" customWidth="1"/>
    <col min="1546" max="1546" width="16.7109375" bestFit="1" customWidth="1"/>
    <col min="1547" max="1548" width="15.5703125" bestFit="1" customWidth="1"/>
    <col min="1549" max="1549" width="16.42578125" bestFit="1" customWidth="1"/>
    <col min="1550" max="1550" width="14.28515625" customWidth="1"/>
    <col min="1551" max="1551" width="12.85546875" bestFit="1" customWidth="1"/>
    <col min="1552" max="1552" width="11.28515625" bestFit="1" customWidth="1"/>
    <col min="1553" max="1553" width="12.5703125" bestFit="1" customWidth="1"/>
    <col min="1554" max="1554" width="14" bestFit="1" customWidth="1"/>
    <col min="1555" max="1555" width="6" bestFit="1" customWidth="1"/>
    <col min="1556" max="1556" width="15" customWidth="1"/>
    <col min="1557" max="1557" width="14.85546875" bestFit="1" customWidth="1"/>
    <col min="1558" max="1558" width="16.140625" bestFit="1" customWidth="1"/>
    <col min="1786" max="1786" width="24" bestFit="1" customWidth="1"/>
    <col min="1787" max="1787" width="43.85546875" customWidth="1"/>
    <col min="1788" max="1788" width="19.7109375" bestFit="1" customWidth="1"/>
    <col min="1789" max="1789" width="15.28515625" bestFit="1" customWidth="1"/>
    <col min="1790" max="1790" width="14.85546875" bestFit="1" customWidth="1"/>
    <col min="1791" max="1791" width="13.42578125" customWidth="1"/>
    <col min="1792" max="1792" width="15.28515625" bestFit="1" customWidth="1"/>
    <col min="1793" max="1793" width="14.140625" bestFit="1" customWidth="1"/>
    <col min="1794" max="1794" width="15.28515625" customWidth="1"/>
    <col min="1795" max="1795" width="15.85546875" customWidth="1"/>
    <col min="1796" max="1796" width="17" bestFit="1" customWidth="1"/>
    <col min="1797" max="1797" width="12.7109375" customWidth="1"/>
    <col min="1798" max="1798" width="13.7109375" customWidth="1"/>
    <col min="1799" max="1799" width="13.85546875" bestFit="1" customWidth="1"/>
    <col min="1800" max="1800" width="15.5703125" bestFit="1" customWidth="1"/>
    <col min="1801" max="1801" width="16.140625" customWidth="1"/>
    <col min="1802" max="1802" width="16.7109375" bestFit="1" customWidth="1"/>
    <col min="1803" max="1804" width="15.5703125" bestFit="1" customWidth="1"/>
    <col min="1805" max="1805" width="16.42578125" bestFit="1" customWidth="1"/>
    <col min="1806" max="1806" width="14.28515625" customWidth="1"/>
    <col min="1807" max="1807" width="12.85546875" bestFit="1" customWidth="1"/>
    <col min="1808" max="1808" width="11.28515625" bestFit="1" customWidth="1"/>
    <col min="1809" max="1809" width="12.5703125" bestFit="1" customWidth="1"/>
    <col min="1810" max="1810" width="14" bestFit="1" customWidth="1"/>
    <col min="1811" max="1811" width="6" bestFit="1" customWidth="1"/>
    <col min="1812" max="1812" width="15" customWidth="1"/>
    <col min="1813" max="1813" width="14.85546875" bestFit="1" customWidth="1"/>
    <col min="1814" max="1814" width="16.140625" bestFit="1" customWidth="1"/>
    <col min="2042" max="2042" width="24" bestFit="1" customWidth="1"/>
    <col min="2043" max="2043" width="43.85546875" customWidth="1"/>
    <col min="2044" max="2044" width="19.7109375" bestFit="1" customWidth="1"/>
    <col min="2045" max="2045" width="15.28515625" bestFit="1" customWidth="1"/>
    <col min="2046" max="2046" width="14.85546875" bestFit="1" customWidth="1"/>
    <col min="2047" max="2047" width="13.42578125" customWidth="1"/>
    <col min="2048" max="2048" width="15.28515625" bestFit="1" customWidth="1"/>
    <col min="2049" max="2049" width="14.140625" bestFit="1" customWidth="1"/>
    <col min="2050" max="2050" width="15.28515625" customWidth="1"/>
    <col min="2051" max="2051" width="15.85546875" customWidth="1"/>
    <col min="2052" max="2052" width="17" bestFit="1" customWidth="1"/>
    <col min="2053" max="2053" width="12.7109375" customWidth="1"/>
    <col min="2054" max="2054" width="13.7109375" customWidth="1"/>
    <col min="2055" max="2055" width="13.85546875" bestFit="1" customWidth="1"/>
    <col min="2056" max="2056" width="15.5703125" bestFit="1" customWidth="1"/>
    <col min="2057" max="2057" width="16.140625" customWidth="1"/>
    <col min="2058" max="2058" width="16.7109375" bestFit="1" customWidth="1"/>
    <col min="2059" max="2060" width="15.5703125" bestFit="1" customWidth="1"/>
    <col min="2061" max="2061" width="16.42578125" bestFit="1" customWidth="1"/>
    <col min="2062" max="2062" width="14.28515625" customWidth="1"/>
    <col min="2063" max="2063" width="12.85546875" bestFit="1" customWidth="1"/>
    <col min="2064" max="2064" width="11.28515625" bestFit="1" customWidth="1"/>
    <col min="2065" max="2065" width="12.5703125" bestFit="1" customWidth="1"/>
    <col min="2066" max="2066" width="14" bestFit="1" customWidth="1"/>
    <col min="2067" max="2067" width="6" bestFit="1" customWidth="1"/>
    <col min="2068" max="2068" width="15" customWidth="1"/>
    <col min="2069" max="2069" width="14.85546875" bestFit="1" customWidth="1"/>
    <col min="2070" max="2070" width="16.140625" bestFit="1" customWidth="1"/>
    <col min="2298" max="2298" width="24" bestFit="1" customWidth="1"/>
    <col min="2299" max="2299" width="43.85546875" customWidth="1"/>
    <col min="2300" max="2300" width="19.7109375" bestFit="1" customWidth="1"/>
    <col min="2301" max="2301" width="15.28515625" bestFit="1" customWidth="1"/>
    <col min="2302" max="2302" width="14.85546875" bestFit="1" customWidth="1"/>
    <col min="2303" max="2303" width="13.42578125" customWidth="1"/>
    <col min="2304" max="2304" width="15.28515625" bestFit="1" customWidth="1"/>
    <col min="2305" max="2305" width="14.140625" bestFit="1" customWidth="1"/>
    <col min="2306" max="2306" width="15.28515625" customWidth="1"/>
    <col min="2307" max="2307" width="15.85546875" customWidth="1"/>
    <col min="2308" max="2308" width="17" bestFit="1" customWidth="1"/>
    <col min="2309" max="2309" width="12.7109375" customWidth="1"/>
    <col min="2310" max="2310" width="13.7109375" customWidth="1"/>
    <col min="2311" max="2311" width="13.85546875" bestFit="1" customWidth="1"/>
    <col min="2312" max="2312" width="15.5703125" bestFit="1" customWidth="1"/>
    <col min="2313" max="2313" width="16.140625" customWidth="1"/>
    <col min="2314" max="2314" width="16.7109375" bestFit="1" customWidth="1"/>
    <col min="2315" max="2316" width="15.5703125" bestFit="1" customWidth="1"/>
    <col min="2317" max="2317" width="16.42578125" bestFit="1" customWidth="1"/>
    <col min="2318" max="2318" width="14.28515625" customWidth="1"/>
    <col min="2319" max="2319" width="12.85546875" bestFit="1" customWidth="1"/>
    <col min="2320" max="2320" width="11.28515625" bestFit="1" customWidth="1"/>
    <col min="2321" max="2321" width="12.5703125" bestFit="1" customWidth="1"/>
    <col min="2322" max="2322" width="14" bestFit="1" customWidth="1"/>
    <col min="2323" max="2323" width="6" bestFit="1" customWidth="1"/>
    <col min="2324" max="2324" width="15" customWidth="1"/>
    <col min="2325" max="2325" width="14.85546875" bestFit="1" customWidth="1"/>
    <col min="2326" max="2326" width="16.140625" bestFit="1" customWidth="1"/>
    <col min="2554" max="2554" width="24" bestFit="1" customWidth="1"/>
    <col min="2555" max="2555" width="43.85546875" customWidth="1"/>
    <col min="2556" max="2556" width="19.7109375" bestFit="1" customWidth="1"/>
    <col min="2557" max="2557" width="15.28515625" bestFit="1" customWidth="1"/>
    <col min="2558" max="2558" width="14.85546875" bestFit="1" customWidth="1"/>
    <col min="2559" max="2559" width="13.42578125" customWidth="1"/>
    <col min="2560" max="2560" width="15.28515625" bestFit="1" customWidth="1"/>
    <col min="2561" max="2561" width="14.140625" bestFit="1" customWidth="1"/>
    <col min="2562" max="2562" width="15.28515625" customWidth="1"/>
    <col min="2563" max="2563" width="15.85546875" customWidth="1"/>
    <col min="2564" max="2564" width="17" bestFit="1" customWidth="1"/>
    <col min="2565" max="2565" width="12.7109375" customWidth="1"/>
    <col min="2566" max="2566" width="13.7109375" customWidth="1"/>
    <col min="2567" max="2567" width="13.85546875" bestFit="1" customWidth="1"/>
    <col min="2568" max="2568" width="15.5703125" bestFit="1" customWidth="1"/>
    <col min="2569" max="2569" width="16.140625" customWidth="1"/>
    <col min="2570" max="2570" width="16.7109375" bestFit="1" customWidth="1"/>
    <col min="2571" max="2572" width="15.5703125" bestFit="1" customWidth="1"/>
    <col min="2573" max="2573" width="16.42578125" bestFit="1" customWidth="1"/>
    <col min="2574" max="2574" width="14.28515625" customWidth="1"/>
    <col min="2575" max="2575" width="12.85546875" bestFit="1" customWidth="1"/>
    <col min="2576" max="2576" width="11.28515625" bestFit="1" customWidth="1"/>
    <col min="2577" max="2577" width="12.5703125" bestFit="1" customWidth="1"/>
    <col min="2578" max="2578" width="14" bestFit="1" customWidth="1"/>
    <col min="2579" max="2579" width="6" bestFit="1" customWidth="1"/>
    <col min="2580" max="2580" width="15" customWidth="1"/>
    <col min="2581" max="2581" width="14.85546875" bestFit="1" customWidth="1"/>
    <col min="2582" max="2582" width="16.140625" bestFit="1" customWidth="1"/>
    <col min="2810" max="2810" width="24" bestFit="1" customWidth="1"/>
    <col min="2811" max="2811" width="43.85546875" customWidth="1"/>
    <col min="2812" max="2812" width="19.7109375" bestFit="1" customWidth="1"/>
    <col min="2813" max="2813" width="15.28515625" bestFit="1" customWidth="1"/>
    <col min="2814" max="2814" width="14.85546875" bestFit="1" customWidth="1"/>
    <col min="2815" max="2815" width="13.42578125" customWidth="1"/>
    <col min="2816" max="2816" width="15.28515625" bestFit="1" customWidth="1"/>
    <col min="2817" max="2817" width="14.140625" bestFit="1" customWidth="1"/>
    <col min="2818" max="2818" width="15.28515625" customWidth="1"/>
    <col min="2819" max="2819" width="15.85546875" customWidth="1"/>
    <col min="2820" max="2820" width="17" bestFit="1" customWidth="1"/>
    <col min="2821" max="2821" width="12.7109375" customWidth="1"/>
    <col min="2822" max="2822" width="13.7109375" customWidth="1"/>
    <col min="2823" max="2823" width="13.85546875" bestFit="1" customWidth="1"/>
    <col min="2824" max="2824" width="15.5703125" bestFit="1" customWidth="1"/>
    <col min="2825" max="2825" width="16.140625" customWidth="1"/>
    <col min="2826" max="2826" width="16.7109375" bestFit="1" customWidth="1"/>
    <col min="2827" max="2828" width="15.5703125" bestFit="1" customWidth="1"/>
    <col min="2829" max="2829" width="16.42578125" bestFit="1" customWidth="1"/>
    <col min="2830" max="2830" width="14.28515625" customWidth="1"/>
    <col min="2831" max="2831" width="12.85546875" bestFit="1" customWidth="1"/>
    <col min="2832" max="2832" width="11.28515625" bestFit="1" customWidth="1"/>
    <col min="2833" max="2833" width="12.5703125" bestFit="1" customWidth="1"/>
    <col min="2834" max="2834" width="14" bestFit="1" customWidth="1"/>
    <col min="2835" max="2835" width="6" bestFit="1" customWidth="1"/>
    <col min="2836" max="2836" width="15" customWidth="1"/>
    <col min="2837" max="2837" width="14.85546875" bestFit="1" customWidth="1"/>
    <col min="2838" max="2838" width="16.140625" bestFit="1" customWidth="1"/>
    <col min="3066" max="3066" width="24" bestFit="1" customWidth="1"/>
    <col min="3067" max="3067" width="43.85546875" customWidth="1"/>
    <col min="3068" max="3068" width="19.7109375" bestFit="1" customWidth="1"/>
    <col min="3069" max="3069" width="15.28515625" bestFit="1" customWidth="1"/>
    <col min="3070" max="3070" width="14.85546875" bestFit="1" customWidth="1"/>
    <col min="3071" max="3071" width="13.42578125" customWidth="1"/>
    <col min="3072" max="3072" width="15.28515625" bestFit="1" customWidth="1"/>
    <col min="3073" max="3073" width="14.140625" bestFit="1" customWidth="1"/>
    <col min="3074" max="3074" width="15.28515625" customWidth="1"/>
    <col min="3075" max="3075" width="15.85546875" customWidth="1"/>
    <col min="3076" max="3076" width="17" bestFit="1" customWidth="1"/>
    <col min="3077" max="3077" width="12.7109375" customWidth="1"/>
    <col min="3078" max="3078" width="13.7109375" customWidth="1"/>
    <col min="3079" max="3079" width="13.85546875" bestFit="1" customWidth="1"/>
    <col min="3080" max="3080" width="15.5703125" bestFit="1" customWidth="1"/>
    <col min="3081" max="3081" width="16.140625" customWidth="1"/>
    <col min="3082" max="3082" width="16.7109375" bestFit="1" customWidth="1"/>
    <col min="3083" max="3084" width="15.5703125" bestFit="1" customWidth="1"/>
    <col min="3085" max="3085" width="16.42578125" bestFit="1" customWidth="1"/>
    <col min="3086" max="3086" width="14.28515625" customWidth="1"/>
    <col min="3087" max="3087" width="12.85546875" bestFit="1" customWidth="1"/>
    <col min="3088" max="3088" width="11.28515625" bestFit="1" customWidth="1"/>
    <col min="3089" max="3089" width="12.5703125" bestFit="1" customWidth="1"/>
    <col min="3090" max="3090" width="14" bestFit="1" customWidth="1"/>
    <col min="3091" max="3091" width="6" bestFit="1" customWidth="1"/>
    <col min="3092" max="3092" width="15" customWidth="1"/>
    <col min="3093" max="3093" width="14.85546875" bestFit="1" customWidth="1"/>
    <col min="3094" max="3094" width="16.140625" bestFit="1" customWidth="1"/>
    <col min="3322" max="3322" width="24" bestFit="1" customWidth="1"/>
    <col min="3323" max="3323" width="43.85546875" customWidth="1"/>
    <col min="3324" max="3324" width="19.7109375" bestFit="1" customWidth="1"/>
    <col min="3325" max="3325" width="15.28515625" bestFit="1" customWidth="1"/>
    <col min="3326" max="3326" width="14.85546875" bestFit="1" customWidth="1"/>
    <col min="3327" max="3327" width="13.42578125" customWidth="1"/>
    <col min="3328" max="3328" width="15.28515625" bestFit="1" customWidth="1"/>
    <col min="3329" max="3329" width="14.140625" bestFit="1" customWidth="1"/>
    <col min="3330" max="3330" width="15.28515625" customWidth="1"/>
    <col min="3331" max="3331" width="15.85546875" customWidth="1"/>
    <col min="3332" max="3332" width="17" bestFit="1" customWidth="1"/>
    <col min="3333" max="3333" width="12.7109375" customWidth="1"/>
    <col min="3334" max="3334" width="13.7109375" customWidth="1"/>
    <col min="3335" max="3335" width="13.85546875" bestFit="1" customWidth="1"/>
    <col min="3336" max="3336" width="15.5703125" bestFit="1" customWidth="1"/>
    <col min="3337" max="3337" width="16.140625" customWidth="1"/>
    <col min="3338" max="3338" width="16.7109375" bestFit="1" customWidth="1"/>
    <col min="3339" max="3340" width="15.5703125" bestFit="1" customWidth="1"/>
    <col min="3341" max="3341" width="16.42578125" bestFit="1" customWidth="1"/>
    <col min="3342" max="3342" width="14.28515625" customWidth="1"/>
    <col min="3343" max="3343" width="12.85546875" bestFit="1" customWidth="1"/>
    <col min="3344" max="3344" width="11.28515625" bestFit="1" customWidth="1"/>
    <col min="3345" max="3345" width="12.5703125" bestFit="1" customWidth="1"/>
    <col min="3346" max="3346" width="14" bestFit="1" customWidth="1"/>
    <col min="3347" max="3347" width="6" bestFit="1" customWidth="1"/>
    <col min="3348" max="3348" width="15" customWidth="1"/>
    <col min="3349" max="3349" width="14.85546875" bestFit="1" customWidth="1"/>
    <col min="3350" max="3350" width="16.140625" bestFit="1" customWidth="1"/>
    <col min="3578" max="3578" width="24" bestFit="1" customWidth="1"/>
    <col min="3579" max="3579" width="43.85546875" customWidth="1"/>
    <col min="3580" max="3580" width="19.7109375" bestFit="1" customWidth="1"/>
    <col min="3581" max="3581" width="15.28515625" bestFit="1" customWidth="1"/>
    <col min="3582" max="3582" width="14.85546875" bestFit="1" customWidth="1"/>
    <col min="3583" max="3583" width="13.42578125" customWidth="1"/>
    <col min="3584" max="3584" width="15.28515625" bestFit="1" customWidth="1"/>
    <col min="3585" max="3585" width="14.140625" bestFit="1" customWidth="1"/>
    <col min="3586" max="3586" width="15.28515625" customWidth="1"/>
    <col min="3587" max="3587" width="15.85546875" customWidth="1"/>
    <col min="3588" max="3588" width="17" bestFit="1" customWidth="1"/>
    <col min="3589" max="3589" width="12.7109375" customWidth="1"/>
    <col min="3590" max="3590" width="13.7109375" customWidth="1"/>
    <col min="3591" max="3591" width="13.85546875" bestFit="1" customWidth="1"/>
    <col min="3592" max="3592" width="15.5703125" bestFit="1" customWidth="1"/>
    <col min="3593" max="3593" width="16.140625" customWidth="1"/>
    <col min="3594" max="3594" width="16.7109375" bestFit="1" customWidth="1"/>
    <col min="3595" max="3596" width="15.5703125" bestFit="1" customWidth="1"/>
    <col min="3597" max="3597" width="16.42578125" bestFit="1" customWidth="1"/>
    <col min="3598" max="3598" width="14.28515625" customWidth="1"/>
    <col min="3599" max="3599" width="12.85546875" bestFit="1" customWidth="1"/>
    <col min="3600" max="3600" width="11.28515625" bestFit="1" customWidth="1"/>
    <col min="3601" max="3601" width="12.5703125" bestFit="1" customWidth="1"/>
    <col min="3602" max="3602" width="14" bestFit="1" customWidth="1"/>
    <col min="3603" max="3603" width="6" bestFit="1" customWidth="1"/>
    <col min="3604" max="3604" width="15" customWidth="1"/>
    <col min="3605" max="3605" width="14.85546875" bestFit="1" customWidth="1"/>
    <col min="3606" max="3606" width="16.140625" bestFit="1" customWidth="1"/>
    <col min="3834" max="3834" width="24" bestFit="1" customWidth="1"/>
    <col min="3835" max="3835" width="43.85546875" customWidth="1"/>
    <col min="3836" max="3836" width="19.7109375" bestFit="1" customWidth="1"/>
    <col min="3837" max="3837" width="15.28515625" bestFit="1" customWidth="1"/>
    <col min="3838" max="3838" width="14.85546875" bestFit="1" customWidth="1"/>
    <col min="3839" max="3839" width="13.42578125" customWidth="1"/>
    <col min="3840" max="3840" width="15.28515625" bestFit="1" customWidth="1"/>
    <col min="3841" max="3841" width="14.140625" bestFit="1" customWidth="1"/>
    <col min="3842" max="3842" width="15.28515625" customWidth="1"/>
    <col min="3843" max="3843" width="15.85546875" customWidth="1"/>
    <col min="3844" max="3844" width="17" bestFit="1" customWidth="1"/>
    <col min="3845" max="3845" width="12.7109375" customWidth="1"/>
    <col min="3846" max="3846" width="13.7109375" customWidth="1"/>
    <col min="3847" max="3847" width="13.85546875" bestFit="1" customWidth="1"/>
    <col min="3848" max="3848" width="15.5703125" bestFit="1" customWidth="1"/>
    <col min="3849" max="3849" width="16.140625" customWidth="1"/>
    <col min="3850" max="3850" width="16.7109375" bestFit="1" customWidth="1"/>
    <col min="3851" max="3852" width="15.5703125" bestFit="1" customWidth="1"/>
    <col min="3853" max="3853" width="16.42578125" bestFit="1" customWidth="1"/>
    <col min="3854" max="3854" width="14.28515625" customWidth="1"/>
    <col min="3855" max="3855" width="12.85546875" bestFit="1" customWidth="1"/>
    <col min="3856" max="3856" width="11.28515625" bestFit="1" customWidth="1"/>
    <col min="3857" max="3857" width="12.5703125" bestFit="1" customWidth="1"/>
    <col min="3858" max="3858" width="14" bestFit="1" customWidth="1"/>
    <col min="3859" max="3859" width="6" bestFit="1" customWidth="1"/>
    <col min="3860" max="3860" width="15" customWidth="1"/>
    <col min="3861" max="3861" width="14.85546875" bestFit="1" customWidth="1"/>
    <col min="3862" max="3862" width="16.140625" bestFit="1" customWidth="1"/>
    <col min="4090" max="4090" width="24" bestFit="1" customWidth="1"/>
    <col min="4091" max="4091" width="43.85546875" customWidth="1"/>
    <col min="4092" max="4092" width="19.7109375" bestFit="1" customWidth="1"/>
    <col min="4093" max="4093" width="15.28515625" bestFit="1" customWidth="1"/>
    <col min="4094" max="4094" width="14.85546875" bestFit="1" customWidth="1"/>
    <col min="4095" max="4095" width="13.42578125" customWidth="1"/>
    <col min="4096" max="4096" width="15.28515625" bestFit="1" customWidth="1"/>
    <col min="4097" max="4097" width="14.140625" bestFit="1" customWidth="1"/>
    <col min="4098" max="4098" width="15.28515625" customWidth="1"/>
    <col min="4099" max="4099" width="15.85546875" customWidth="1"/>
    <col min="4100" max="4100" width="17" bestFit="1" customWidth="1"/>
    <col min="4101" max="4101" width="12.7109375" customWidth="1"/>
    <col min="4102" max="4102" width="13.7109375" customWidth="1"/>
    <col min="4103" max="4103" width="13.85546875" bestFit="1" customWidth="1"/>
    <col min="4104" max="4104" width="15.5703125" bestFit="1" customWidth="1"/>
    <col min="4105" max="4105" width="16.140625" customWidth="1"/>
    <col min="4106" max="4106" width="16.7109375" bestFit="1" customWidth="1"/>
    <col min="4107" max="4108" width="15.5703125" bestFit="1" customWidth="1"/>
    <col min="4109" max="4109" width="16.42578125" bestFit="1" customWidth="1"/>
    <col min="4110" max="4110" width="14.28515625" customWidth="1"/>
    <col min="4111" max="4111" width="12.85546875" bestFit="1" customWidth="1"/>
    <col min="4112" max="4112" width="11.28515625" bestFit="1" customWidth="1"/>
    <col min="4113" max="4113" width="12.5703125" bestFit="1" customWidth="1"/>
    <col min="4114" max="4114" width="14" bestFit="1" customWidth="1"/>
    <col min="4115" max="4115" width="6" bestFit="1" customWidth="1"/>
    <col min="4116" max="4116" width="15" customWidth="1"/>
    <col min="4117" max="4117" width="14.85546875" bestFit="1" customWidth="1"/>
    <col min="4118" max="4118" width="16.140625" bestFit="1" customWidth="1"/>
    <col min="4346" max="4346" width="24" bestFit="1" customWidth="1"/>
    <col min="4347" max="4347" width="43.85546875" customWidth="1"/>
    <col min="4348" max="4348" width="19.7109375" bestFit="1" customWidth="1"/>
    <col min="4349" max="4349" width="15.28515625" bestFit="1" customWidth="1"/>
    <col min="4350" max="4350" width="14.85546875" bestFit="1" customWidth="1"/>
    <col min="4351" max="4351" width="13.42578125" customWidth="1"/>
    <col min="4352" max="4352" width="15.28515625" bestFit="1" customWidth="1"/>
    <col min="4353" max="4353" width="14.140625" bestFit="1" customWidth="1"/>
    <col min="4354" max="4354" width="15.28515625" customWidth="1"/>
    <col min="4355" max="4355" width="15.85546875" customWidth="1"/>
    <col min="4356" max="4356" width="17" bestFit="1" customWidth="1"/>
    <col min="4357" max="4357" width="12.7109375" customWidth="1"/>
    <col min="4358" max="4358" width="13.7109375" customWidth="1"/>
    <col min="4359" max="4359" width="13.85546875" bestFit="1" customWidth="1"/>
    <col min="4360" max="4360" width="15.5703125" bestFit="1" customWidth="1"/>
    <col min="4361" max="4361" width="16.140625" customWidth="1"/>
    <col min="4362" max="4362" width="16.7109375" bestFit="1" customWidth="1"/>
    <col min="4363" max="4364" width="15.5703125" bestFit="1" customWidth="1"/>
    <col min="4365" max="4365" width="16.42578125" bestFit="1" customWidth="1"/>
    <col min="4366" max="4366" width="14.28515625" customWidth="1"/>
    <col min="4367" max="4367" width="12.85546875" bestFit="1" customWidth="1"/>
    <col min="4368" max="4368" width="11.28515625" bestFit="1" customWidth="1"/>
    <col min="4369" max="4369" width="12.5703125" bestFit="1" customWidth="1"/>
    <col min="4370" max="4370" width="14" bestFit="1" customWidth="1"/>
    <col min="4371" max="4371" width="6" bestFit="1" customWidth="1"/>
    <col min="4372" max="4372" width="15" customWidth="1"/>
    <col min="4373" max="4373" width="14.85546875" bestFit="1" customWidth="1"/>
    <col min="4374" max="4374" width="16.140625" bestFit="1" customWidth="1"/>
    <col min="4602" max="4602" width="24" bestFit="1" customWidth="1"/>
    <col min="4603" max="4603" width="43.85546875" customWidth="1"/>
    <col min="4604" max="4604" width="19.7109375" bestFit="1" customWidth="1"/>
    <col min="4605" max="4605" width="15.28515625" bestFit="1" customWidth="1"/>
    <col min="4606" max="4606" width="14.85546875" bestFit="1" customWidth="1"/>
    <col min="4607" max="4607" width="13.42578125" customWidth="1"/>
    <col min="4608" max="4608" width="15.28515625" bestFit="1" customWidth="1"/>
    <col min="4609" max="4609" width="14.140625" bestFit="1" customWidth="1"/>
    <col min="4610" max="4610" width="15.28515625" customWidth="1"/>
    <col min="4611" max="4611" width="15.85546875" customWidth="1"/>
    <col min="4612" max="4612" width="17" bestFit="1" customWidth="1"/>
    <col min="4613" max="4613" width="12.7109375" customWidth="1"/>
    <col min="4614" max="4614" width="13.7109375" customWidth="1"/>
    <col min="4615" max="4615" width="13.85546875" bestFit="1" customWidth="1"/>
    <col min="4616" max="4616" width="15.5703125" bestFit="1" customWidth="1"/>
    <col min="4617" max="4617" width="16.140625" customWidth="1"/>
    <col min="4618" max="4618" width="16.7109375" bestFit="1" customWidth="1"/>
    <col min="4619" max="4620" width="15.5703125" bestFit="1" customWidth="1"/>
    <col min="4621" max="4621" width="16.42578125" bestFit="1" customWidth="1"/>
    <col min="4622" max="4622" width="14.28515625" customWidth="1"/>
    <col min="4623" max="4623" width="12.85546875" bestFit="1" customWidth="1"/>
    <col min="4624" max="4624" width="11.28515625" bestFit="1" customWidth="1"/>
    <col min="4625" max="4625" width="12.5703125" bestFit="1" customWidth="1"/>
    <col min="4626" max="4626" width="14" bestFit="1" customWidth="1"/>
    <col min="4627" max="4627" width="6" bestFit="1" customWidth="1"/>
    <col min="4628" max="4628" width="15" customWidth="1"/>
    <col min="4629" max="4629" width="14.85546875" bestFit="1" customWidth="1"/>
    <col min="4630" max="4630" width="16.140625" bestFit="1" customWidth="1"/>
    <col min="4858" max="4858" width="24" bestFit="1" customWidth="1"/>
    <col min="4859" max="4859" width="43.85546875" customWidth="1"/>
    <col min="4860" max="4860" width="19.7109375" bestFit="1" customWidth="1"/>
    <col min="4861" max="4861" width="15.28515625" bestFit="1" customWidth="1"/>
    <col min="4862" max="4862" width="14.85546875" bestFit="1" customWidth="1"/>
    <col min="4863" max="4863" width="13.42578125" customWidth="1"/>
    <col min="4864" max="4864" width="15.28515625" bestFit="1" customWidth="1"/>
    <col min="4865" max="4865" width="14.140625" bestFit="1" customWidth="1"/>
    <col min="4866" max="4866" width="15.28515625" customWidth="1"/>
    <col min="4867" max="4867" width="15.85546875" customWidth="1"/>
    <col min="4868" max="4868" width="17" bestFit="1" customWidth="1"/>
    <col min="4869" max="4869" width="12.7109375" customWidth="1"/>
    <col min="4870" max="4870" width="13.7109375" customWidth="1"/>
    <col min="4871" max="4871" width="13.85546875" bestFit="1" customWidth="1"/>
    <col min="4872" max="4872" width="15.5703125" bestFit="1" customWidth="1"/>
    <col min="4873" max="4873" width="16.140625" customWidth="1"/>
    <col min="4874" max="4874" width="16.7109375" bestFit="1" customWidth="1"/>
    <col min="4875" max="4876" width="15.5703125" bestFit="1" customWidth="1"/>
    <col min="4877" max="4877" width="16.42578125" bestFit="1" customWidth="1"/>
    <col min="4878" max="4878" width="14.28515625" customWidth="1"/>
    <col min="4879" max="4879" width="12.85546875" bestFit="1" customWidth="1"/>
    <col min="4880" max="4880" width="11.28515625" bestFit="1" customWidth="1"/>
    <col min="4881" max="4881" width="12.5703125" bestFit="1" customWidth="1"/>
    <col min="4882" max="4882" width="14" bestFit="1" customWidth="1"/>
    <col min="4883" max="4883" width="6" bestFit="1" customWidth="1"/>
    <col min="4884" max="4884" width="15" customWidth="1"/>
    <col min="4885" max="4885" width="14.85546875" bestFit="1" customWidth="1"/>
    <col min="4886" max="4886" width="16.140625" bestFit="1" customWidth="1"/>
    <col min="5114" max="5114" width="24" bestFit="1" customWidth="1"/>
    <col min="5115" max="5115" width="43.85546875" customWidth="1"/>
    <col min="5116" max="5116" width="19.7109375" bestFit="1" customWidth="1"/>
    <col min="5117" max="5117" width="15.28515625" bestFit="1" customWidth="1"/>
    <col min="5118" max="5118" width="14.85546875" bestFit="1" customWidth="1"/>
    <col min="5119" max="5119" width="13.42578125" customWidth="1"/>
    <col min="5120" max="5120" width="15.28515625" bestFit="1" customWidth="1"/>
    <col min="5121" max="5121" width="14.140625" bestFit="1" customWidth="1"/>
    <col min="5122" max="5122" width="15.28515625" customWidth="1"/>
    <col min="5123" max="5123" width="15.85546875" customWidth="1"/>
    <col min="5124" max="5124" width="17" bestFit="1" customWidth="1"/>
    <col min="5125" max="5125" width="12.7109375" customWidth="1"/>
    <col min="5126" max="5126" width="13.7109375" customWidth="1"/>
    <col min="5127" max="5127" width="13.85546875" bestFit="1" customWidth="1"/>
    <col min="5128" max="5128" width="15.5703125" bestFit="1" customWidth="1"/>
    <col min="5129" max="5129" width="16.140625" customWidth="1"/>
    <col min="5130" max="5130" width="16.7109375" bestFit="1" customWidth="1"/>
    <col min="5131" max="5132" width="15.5703125" bestFit="1" customWidth="1"/>
    <col min="5133" max="5133" width="16.42578125" bestFit="1" customWidth="1"/>
    <col min="5134" max="5134" width="14.28515625" customWidth="1"/>
    <col min="5135" max="5135" width="12.85546875" bestFit="1" customWidth="1"/>
    <col min="5136" max="5136" width="11.28515625" bestFit="1" customWidth="1"/>
    <col min="5137" max="5137" width="12.5703125" bestFit="1" customWidth="1"/>
    <col min="5138" max="5138" width="14" bestFit="1" customWidth="1"/>
    <col min="5139" max="5139" width="6" bestFit="1" customWidth="1"/>
    <col min="5140" max="5140" width="15" customWidth="1"/>
    <col min="5141" max="5141" width="14.85546875" bestFit="1" customWidth="1"/>
    <col min="5142" max="5142" width="16.140625" bestFit="1" customWidth="1"/>
    <col min="5370" max="5370" width="24" bestFit="1" customWidth="1"/>
    <col min="5371" max="5371" width="43.85546875" customWidth="1"/>
    <col min="5372" max="5372" width="19.7109375" bestFit="1" customWidth="1"/>
    <col min="5373" max="5373" width="15.28515625" bestFit="1" customWidth="1"/>
    <col min="5374" max="5374" width="14.85546875" bestFit="1" customWidth="1"/>
    <col min="5375" max="5375" width="13.42578125" customWidth="1"/>
    <col min="5376" max="5376" width="15.28515625" bestFit="1" customWidth="1"/>
    <col min="5377" max="5377" width="14.140625" bestFit="1" customWidth="1"/>
    <col min="5378" max="5378" width="15.28515625" customWidth="1"/>
    <col min="5379" max="5379" width="15.85546875" customWidth="1"/>
    <col min="5380" max="5380" width="17" bestFit="1" customWidth="1"/>
    <col min="5381" max="5381" width="12.7109375" customWidth="1"/>
    <col min="5382" max="5382" width="13.7109375" customWidth="1"/>
    <col min="5383" max="5383" width="13.85546875" bestFit="1" customWidth="1"/>
    <col min="5384" max="5384" width="15.5703125" bestFit="1" customWidth="1"/>
    <col min="5385" max="5385" width="16.140625" customWidth="1"/>
    <col min="5386" max="5386" width="16.7109375" bestFit="1" customWidth="1"/>
    <col min="5387" max="5388" width="15.5703125" bestFit="1" customWidth="1"/>
    <col min="5389" max="5389" width="16.42578125" bestFit="1" customWidth="1"/>
    <col min="5390" max="5390" width="14.28515625" customWidth="1"/>
    <col min="5391" max="5391" width="12.85546875" bestFit="1" customWidth="1"/>
    <col min="5392" max="5392" width="11.28515625" bestFit="1" customWidth="1"/>
    <col min="5393" max="5393" width="12.5703125" bestFit="1" customWidth="1"/>
    <col min="5394" max="5394" width="14" bestFit="1" customWidth="1"/>
    <col min="5395" max="5395" width="6" bestFit="1" customWidth="1"/>
    <col min="5396" max="5396" width="15" customWidth="1"/>
    <col min="5397" max="5397" width="14.85546875" bestFit="1" customWidth="1"/>
    <col min="5398" max="5398" width="16.140625" bestFit="1" customWidth="1"/>
    <col min="5626" max="5626" width="24" bestFit="1" customWidth="1"/>
    <col min="5627" max="5627" width="43.85546875" customWidth="1"/>
    <col min="5628" max="5628" width="19.7109375" bestFit="1" customWidth="1"/>
    <col min="5629" max="5629" width="15.28515625" bestFit="1" customWidth="1"/>
    <col min="5630" max="5630" width="14.85546875" bestFit="1" customWidth="1"/>
    <col min="5631" max="5631" width="13.42578125" customWidth="1"/>
    <col min="5632" max="5632" width="15.28515625" bestFit="1" customWidth="1"/>
    <col min="5633" max="5633" width="14.140625" bestFit="1" customWidth="1"/>
    <col min="5634" max="5634" width="15.28515625" customWidth="1"/>
    <col min="5635" max="5635" width="15.85546875" customWidth="1"/>
    <col min="5636" max="5636" width="17" bestFit="1" customWidth="1"/>
    <col min="5637" max="5637" width="12.7109375" customWidth="1"/>
    <col min="5638" max="5638" width="13.7109375" customWidth="1"/>
    <col min="5639" max="5639" width="13.85546875" bestFit="1" customWidth="1"/>
    <col min="5640" max="5640" width="15.5703125" bestFit="1" customWidth="1"/>
    <col min="5641" max="5641" width="16.140625" customWidth="1"/>
    <col min="5642" max="5642" width="16.7109375" bestFit="1" customWidth="1"/>
    <col min="5643" max="5644" width="15.5703125" bestFit="1" customWidth="1"/>
    <col min="5645" max="5645" width="16.42578125" bestFit="1" customWidth="1"/>
    <col min="5646" max="5646" width="14.28515625" customWidth="1"/>
    <col min="5647" max="5647" width="12.85546875" bestFit="1" customWidth="1"/>
    <col min="5648" max="5648" width="11.28515625" bestFit="1" customWidth="1"/>
    <col min="5649" max="5649" width="12.5703125" bestFit="1" customWidth="1"/>
    <col min="5650" max="5650" width="14" bestFit="1" customWidth="1"/>
    <col min="5651" max="5651" width="6" bestFit="1" customWidth="1"/>
    <col min="5652" max="5652" width="15" customWidth="1"/>
    <col min="5653" max="5653" width="14.85546875" bestFit="1" customWidth="1"/>
    <col min="5654" max="5654" width="16.140625" bestFit="1" customWidth="1"/>
    <col min="5882" max="5882" width="24" bestFit="1" customWidth="1"/>
    <col min="5883" max="5883" width="43.85546875" customWidth="1"/>
    <col min="5884" max="5884" width="19.7109375" bestFit="1" customWidth="1"/>
    <col min="5885" max="5885" width="15.28515625" bestFit="1" customWidth="1"/>
    <col min="5886" max="5886" width="14.85546875" bestFit="1" customWidth="1"/>
    <col min="5887" max="5887" width="13.42578125" customWidth="1"/>
    <col min="5888" max="5888" width="15.28515625" bestFit="1" customWidth="1"/>
    <col min="5889" max="5889" width="14.140625" bestFit="1" customWidth="1"/>
    <col min="5890" max="5890" width="15.28515625" customWidth="1"/>
    <col min="5891" max="5891" width="15.85546875" customWidth="1"/>
    <col min="5892" max="5892" width="17" bestFit="1" customWidth="1"/>
    <col min="5893" max="5893" width="12.7109375" customWidth="1"/>
    <col min="5894" max="5894" width="13.7109375" customWidth="1"/>
    <col min="5895" max="5895" width="13.85546875" bestFit="1" customWidth="1"/>
    <col min="5896" max="5896" width="15.5703125" bestFit="1" customWidth="1"/>
    <col min="5897" max="5897" width="16.140625" customWidth="1"/>
    <col min="5898" max="5898" width="16.7109375" bestFit="1" customWidth="1"/>
    <col min="5899" max="5900" width="15.5703125" bestFit="1" customWidth="1"/>
    <col min="5901" max="5901" width="16.42578125" bestFit="1" customWidth="1"/>
    <col min="5902" max="5902" width="14.28515625" customWidth="1"/>
    <col min="5903" max="5903" width="12.85546875" bestFit="1" customWidth="1"/>
    <col min="5904" max="5904" width="11.28515625" bestFit="1" customWidth="1"/>
    <col min="5905" max="5905" width="12.5703125" bestFit="1" customWidth="1"/>
    <col min="5906" max="5906" width="14" bestFit="1" customWidth="1"/>
    <col min="5907" max="5907" width="6" bestFit="1" customWidth="1"/>
    <col min="5908" max="5908" width="15" customWidth="1"/>
    <col min="5909" max="5909" width="14.85546875" bestFit="1" customWidth="1"/>
    <col min="5910" max="5910" width="16.140625" bestFit="1" customWidth="1"/>
    <col min="6138" max="6138" width="24" bestFit="1" customWidth="1"/>
    <col min="6139" max="6139" width="43.85546875" customWidth="1"/>
    <col min="6140" max="6140" width="19.7109375" bestFit="1" customWidth="1"/>
    <col min="6141" max="6141" width="15.28515625" bestFit="1" customWidth="1"/>
    <col min="6142" max="6142" width="14.85546875" bestFit="1" customWidth="1"/>
    <col min="6143" max="6143" width="13.42578125" customWidth="1"/>
    <col min="6144" max="6144" width="15.28515625" bestFit="1" customWidth="1"/>
    <col min="6145" max="6145" width="14.140625" bestFit="1" customWidth="1"/>
    <col min="6146" max="6146" width="15.28515625" customWidth="1"/>
    <col min="6147" max="6147" width="15.85546875" customWidth="1"/>
    <col min="6148" max="6148" width="17" bestFit="1" customWidth="1"/>
    <col min="6149" max="6149" width="12.7109375" customWidth="1"/>
    <col min="6150" max="6150" width="13.7109375" customWidth="1"/>
    <col min="6151" max="6151" width="13.85546875" bestFit="1" customWidth="1"/>
    <col min="6152" max="6152" width="15.5703125" bestFit="1" customWidth="1"/>
    <col min="6153" max="6153" width="16.140625" customWidth="1"/>
    <col min="6154" max="6154" width="16.7109375" bestFit="1" customWidth="1"/>
    <col min="6155" max="6156" width="15.5703125" bestFit="1" customWidth="1"/>
    <col min="6157" max="6157" width="16.42578125" bestFit="1" customWidth="1"/>
    <col min="6158" max="6158" width="14.28515625" customWidth="1"/>
    <col min="6159" max="6159" width="12.85546875" bestFit="1" customWidth="1"/>
    <col min="6160" max="6160" width="11.28515625" bestFit="1" customWidth="1"/>
    <col min="6161" max="6161" width="12.5703125" bestFit="1" customWidth="1"/>
    <col min="6162" max="6162" width="14" bestFit="1" customWidth="1"/>
    <col min="6163" max="6163" width="6" bestFit="1" customWidth="1"/>
    <col min="6164" max="6164" width="15" customWidth="1"/>
    <col min="6165" max="6165" width="14.85546875" bestFit="1" customWidth="1"/>
    <col min="6166" max="6166" width="16.140625" bestFit="1" customWidth="1"/>
    <col min="6394" max="6394" width="24" bestFit="1" customWidth="1"/>
    <col min="6395" max="6395" width="43.85546875" customWidth="1"/>
    <col min="6396" max="6396" width="19.7109375" bestFit="1" customWidth="1"/>
    <col min="6397" max="6397" width="15.28515625" bestFit="1" customWidth="1"/>
    <col min="6398" max="6398" width="14.85546875" bestFit="1" customWidth="1"/>
    <col min="6399" max="6399" width="13.42578125" customWidth="1"/>
    <col min="6400" max="6400" width="15.28515625" bestFit="1" customWidth="1"/>
    <col min="6401" max="6401" width="14.140625" bestFit="1" customWidth="1"/>
    <col min="6402" max="6402" width="15.28515625" customWidth="1"/>
    <col min="6403" max="6403" width="15.85546875" customWidth="1"/>
    <col min="6404" max="6404" width="17" bestFit="1" customWidth="1"/>
    <col min="6405" max="6405" width="12.7109375" customWidth="1"/>
    <col min="6406" max="6406" width="13.7109375" customWidth="1"/>
    <col min="6407" max="6407" width="13.85546875" bestFit="1" customWidth="1"/>
    <col min="6408" max="6408" width="15.5703125" bestFit="1" customWidth="1"/>
    <col min="6409" max="6409" width="16.140625" customWidth="1"/>
    <col min="6410" max="6410" width="16.7109375" bestFit="1" customWidth="1"/>
    <col min="6411" max="6412" width="15.5703125" bestFit="1" customWidth="1"/>
    <col min="6413" max="6413" width="16.42578125" bestFit="1" customWidth="1"/>
    <col min="6414" max="6414" width="14.28515625" customWidth="1"/>
    <col min="6415" max="6415" width="12.85546875" bestFit="1" customWidth="1"/>
    <col min="6416" max="6416" width="11.28515625" bestFit="1" customWidth="1"/>
    <col min="6417" max="6417" width="12.5703125" bestFit="1" customWidth="1"/>
    <col min="6418" max="6418" width="14" bestFit="1" customWidth="1"/>
    <col min="6419" max="6419" width="6" bestFit="1" customWidth="1"/>
    <col min="6420" max="6420" width="15" customWidth="1"/>
    <col min="6421" max="6421" width="14.85546875" bestFit="1" customWidth="1"/>
    <col min="6422" max="6422" width="16.140625" bestFit="1" customWidth="1"/>
    <col min="6650" max="6650" width="24" bestFit="1" customWidth="1"/>
    <col min="6651" max="6651" width="43.85546875" customWidth="1"/>
    <col min="6652" max="6652" width="19.7109375" bestFit="1" customWidth="1"/>
    <col min="6653" max="6653" width="15.28515625" bestFit="1" customWidth="1"/>
    <col min="6654" max="6654" width="14.85546875" bestFit="1" customWidth="1"/>
    <col min="6655" max="6655" width="13.42578125" customWidth="1"/>
    <col min="6656" max="6656" width="15.28515625" bestFit="1" customWidth="1"/>
    <col min="6657" max="6657" width="14.140625" bestFit="1" customWidth="1"/>
    <col min="6658" max="6658" width="15.28515625" customWidth="1"/>
    <col min="6659" max="6659" width="15.85546875" customWidth="1"/>
    <col min="6660" max="6660" width="17" bestFit="1" customWidth="1"/>
    <col min="6661" max="6661" width="12.7109375" customWidth="1"/>
    <col min="6662" max="6662" width="13.7109375" customWidth="1"/>
    <col min="6663" max="6663" width="13.85546875" bestFit="1" customWidth="1"/>
    <col min="6664" max="6664" width="15.5703125" bestFit="1" customWidth="1"/>
    <col min="6665" max="6665" width="16.140625" customWidth="1"/>
    <col min="6666" max="6666" width="16.7109375" bestFit="1" customWidth="1"/>
    <col min="6667" max="6668" width="15.5703125" bestFit="1" customWidth="1"/>
    <col min="6669" max="6669" width="16.42578125" bestFit="1" customWidth="1"/>
    <col min="6670" max="6670" width="14.28515625" customWidth="1"/>
    <col min="6671" max="6671" width="12.85546875" bestFit="1" customWidth="1"/>
    <col min="6672" max="6672" width="11.28515625" bestFit="1" customWidth="1"/>
    <col min="6673" max="6673" width="12.5703125" bestFit="1" customWidth="1"/>
    <col min="6674" max="6674" width="14" bestFit="1" customWidth="1"/>
    <col min="6675" max="6675" width="6" bestFit="1" customWidth="1"/>
    <col min="6676" max="6676" width="15" customWidth="1"/>
    <col min="6677" max="6677" width="14.85546875" bestFit="1" customWidth="1"/>
    <col min="6678" max="6678" width="16.140625" bestFit="1" customWidth="1"/>
    <col min="6906" max="6906" width="24" bestFit="1" customWidth="1"/>
    <col min="6907" max="6907" width="43.85546875" customWidth="1"/>
    <col min="6908" max="6908" width="19.7109375" bestFit="1" customWidth="1"/>
    <col min="6909" max="6909" width="15.28515625" bestFit="1" customWidth="1"/>
    <col min="6910" max="6910" width="14.85546875" bestFit="1" customWidth="1"/>
    <col min="6911" max="6911" width="13.42578125" customWidth="1"/>
    <col min="6912" max="6912" width="15.28515625" bestFit="1" customWidth="1"/>
    <col min="6913" max="6913" width="14.140625" bestFit="1" customWidth="1"/>
    <col min="6914" max="6914" width="15.28515625" customWidth="1"/>
    <col min="6915" max="6915" width="15.85546875" customWidth="1"/>
    <col min="6916" max="6916" width="17" bestFit="1" customWidth="1"/>
    <col min="6917" max="6917" width="12.7109375" customWidth="1"/>
    <col min="6918" max="6918" width="13.7109375" customWidth="1"/>
    <col min="6919" max="6919" width="13.85546875" bestFit="1" customWidth="1"/>
    <col min="6920" max="6920" width="15.5703125" bestFit="1" customWidth="1"/>
    <col min="6921" max="6921" width="16.140625" customWidth="1"/>
    <col min="6922" max="6922" width="16.7109375" bestFit="1" customWidth="1"/>
    <col min="6923" max="6924" width="15.5703125" bestFit="1" customWidth="1"/>
    <col min="6925" max="6925" width="16.42578125" bestFit="1" customWidth="1"/>
    <col min="6926" max="6926" width="14.28515625" customWidth="1"/>
    <col min="6927" max="6927" width="12.85546875" bestFit="1" customWidth="1"/>
    <col min="6928" max="6928" width="11.28515625" bestFit="1" customWidth="1"/>
    <col min="6929" max="6929" width="12.5703125" bestFit="1" customWidth="1"/>
    <col min="6930" max="6930" width="14" bestFit="1" customWidth="1"/>
    <col min="6931" max="6931" width="6" bestFit="1" customWidth="1"/>
    <col min="6932" max="6932" width="15" customWidth="1"/>
    <col min="6933" max="6933" width="14.85546875" bestFit="1" customWidth="1"/>
    <col min="6934" max="6934" width="16.140625" bestFit="1" customWidth="1"/>
    <col min="7162" max="7162" width="24" bestFit="1" customWidth="1"/>
    <col min="7163" max="7163" width="43.85546875" customWidth="1"/>
    <col min="7164" max="7164" width="19.7109375" bestFit="1" customWidth="1"/>
    <col min="7165" max="7165" width="15.28515625" bestFit="1" customWidth="1"/>
    <col min="7166" max="7166" width="14.85546875" bestFit="1" customWidth="1"/>
    <col min="7167" max="7167" width="13.42578125" customWidth="1"/>
    <col min="7168" max="7168" width="15.28515625" bestFit="1" customWidth="1"/>
    <col min="7169" max="7169" width="14.140625" bestFit="1" customWidth="1"/>
    <col min="7170" max="7170" width="15.28515625" customWidth="1"/>
    <col min="7171" max="7171" width="15.85546875" customWidth="1"/>
    <col min="7172" max="7172" width="17" bestFit="1" customWidth="1"/>
    <col min="7173" max="7173" width="12.7109375" customWidth="1"/>
    <col min="7174" max="7174" width="13.7109375" customWidth="1"/>
    <col min="7175" max="7175" width="13.85546875" bestFit="1" customWidth="1"/>
    <col min="7176" max="7176" width="15.5703125" bestFit="1" customWidth="1"/>
    <col min="7177" max="7177" width="16.140625" customWidth="1"/>
    <col min="7178" max="7178" width="16.7109375" bestFit="1" customWidth="1"/>
    <col min="7179" max="7180" width="15.5703125" bestFit="1" customWidth="1"/>
    <col min="7181" max="7181" width="16.42578125" bestFit="1" customWidth="1"/>
    <col min="7182" max="7182" width="14.28515625" customWidth="1"/>
    <col min="7183" max="7183" width="12.85546875" bestFit="1" customWidth="1"/>
    <col min="7184" max="7184" width="11.28515625" bestFit="1" customWidth="1"/>
    <col min="7185" max="7185" width="12.5703125" bestFit="1" customWidth="1"/>
    <col min="7186" max="7186" width="14" bestFit="1" customWidth="1"/>
    <col min="7187" max="7187" width="6" bestFit="1" customWidth="1"/>
    <col min="7188" max="7188" width="15" customWidth="1"/>
    <col min="7189" max="7189" width="14.85546875" bestFit="1" customWidth="1"/>
    <col min="7190" max="7190" width="16.140625" bestFit="1" customWidth="1"/>
    <col min="7418" max="7418" width="24" bestFit="1" customWidth="1"/>
    <col min="7419" max="7419" width="43.85546875" customWidth="1"/>
    <col min="7420" max="7420" width="19.7109375" bestFit="1" customWidth="1"/>
    <col min="7421" max="7421" width="15.28515625" bestFit="1" customWidth="1"/>
    <col min="7422" max="7422" width="14.85546875" bestFit="1" customWidth="1"/>
    <col min="7423" max="7423" width="13.42578125" customWidth="1"/>
    <col min="7424" max="7424" width="15.28515625" bestFit="1" customWidth="1"/>
    <col min="7425" max="7425" width="14.140625" bestFit="1" customWidth="1"/>
    <col min="7426" max="7426" width="15.28515625" customWidth="1"/>
    <col min="7427" max="7427" width="15.85546875" customWidth="1"/>
    <col min="7428" max="7428" width="17" bestFit="1" customWidth="1"/>
    <col min="7429" max="7429" width="12.7109375" customWidth="1"/>
    <col min="7430" max="7430" width="13.7109375" customWidth="1"/>
    <col min="7431" max="7431" width="13.85546875" bestFit="1" customWidth="1"/>
    <col min="7432" max="7432" width="15.5703125" bestFit="1" customWidth="1"/>
    <col min="7433" max="7433" width="16.140625" customWidth="1"/>
    <col min="7434" max="7434" width="16.7109375" bestFit="1" customWidth="1"/>
    <col min="7435" max="7436" width="15.5703125" bestFit="1" customWidth="1"/>
    <col min="7437" max="7437" width="16.42578125" bestFit="1" customWidth="1"/>
    <col min="7438" max="7438" width="14.28515625" customWidth="1"/>
    <col min="7439" max="7439" width="12.85546875" bestFit="1" customWidth="1"/>
    <col min="7440" max="7440" width="11.28515625" bestFit="1" customWidth="1"/>
    <col min="7441" max="7441" width="12.5703125" bestFit="1" customWidth="1"/>
    <col min="7442" max="7442" width="14" bestFit="1" customWidth="1"/>
    <col min="7443" max="7443" width="6" bestFit="1" customWidth="1"/>
    <col min="7444" max="7444" width="15" customWidth="1"/>
    <col min="7445" max="7445" width="14.85546875" bestFit="1" customWidth="1"/>
    <col min="7446" max="7446" width="16.140625" bestFit="1" customWidth="1"/>
    <col min="7674" max="7674" width="24" bestFit="1" customWidth="1"/>
    <col min="7675" max="7675" width="43.85546875" customWidth="1"/>
    <col min="7676" max="7676" width="19.7109375" bestFit="1" customWidth="1"/>
    <col min="7677" max="7677" width="15.28515625" bestFit="1" customWidth="1"/>
    <col min="7678" max="7678" width="14.85546875" bestFit="1" customWidth="1"/>
    <col min="7679" max="7679" width="13.42578125" customWidth="1"/>
    <col min="7680" max="7680" width="15.28515625" bestFit="1" customWidth="1"/>
    <col min="7681" max="7681" width="14.140625" bestFit="1" customWidth="1"/>
    <col min="7682" max="7682" width="15.28515625" customWidth="1"/>
    <col min="7683" max="7683" width="15.85546875" customWidth="1"/>
    <col min="7684" max="7684" width="17" bestFit="1" customWidth="1"/>
    <col min="7685" max="7685" width="12.7109375" customWidth="1"/>
    <col min="7686" max="7686" width="13.7109375" customWidth="1"/>
    <col min="7687" max="7687" width="13.85546875" bestFit="1" customWidth="1"/>
    <col min="7688" max="7688" width="15.5703125" bestFit="1" customWidth="1"/>
    <col min="7689" max="7689" width="16.140625" customWidth="1"/>
    <col min="7690" max="7690" width="16.7109375" bestFit="1" customWidth="1"/>
    <col min="7691" max="7692" width="15.5703125" bestFit="1" customWidth="1"/>
    <col min="7693" max="7693" width="16.42578125" bestFit="1" customWidth="1"/>
    <col min="7694" max="7694" width="14.28515625" customWidth="1"/>
    <col min="7695" max="7695" width="12.85546875" bestFit="1" customWidth="1"/>
    <col min="7696" max="7696" width="11.28515625" bestFit="1" customWidth="1"/>
    <col min="7697" max="7697" width="12.5703125" bestFit="1" customWidth="1"/>
    <col min="7698" max="7698" width="14" bestFit="1" customWidth="1"/>
    <col min="7699" max="7699" width="6" bestFit="1" customWidth="1"/>
    <col min="7700" max="7700" width="15" customWidth="1"/>
    <col min="7701" max="7701" width="14.85546875" bestFit="1" customWidth="1"/>
    <col min="7702" max="7702" width="16.140625" bestFit="1" customWidth="1"/>
    <col min="7930" max="7930" width="24" bestFit="1" customWidth="1"/>
    <col min="7931" max="7931" width="43.85546875" customWidth="1"/>
    <col min="7932" max="7932" width="19.7109375" bestFit="1" customWidth="1"/>
    <col min="7933" max="7933" width="15.28515625" bestFit="1" customWidth="1"/>
    <col min="7934" max="7934" width="14.85546875" bestFit="1" customWidth="1"/>
    <col min="7935" max="7935" width="13.42578125" customWidth="1"/>
    <col min="7936" max="7936" width="15.28515625" bestFit="1" customWidth="1"/>
    <col min="7937" max="7937" width="14.140625" bestFit="1" customWidth="1"/>
    <col min="7938" max="7938" width="15.28515625" customWidth="1"/>
    <col min="7939" max="7939" width="15.85546875" customWidth="1"/>
    <col min="7940" max="7940" width="17" bestFit="1" customWidth="1"/>
    <col min="7941" max="7941" width="12.7109375" customWidth="1"/>
    <col min="7942" max="7942" width="13.7109375" customWidth="1"/>
    <col min="7943" max="7943" width="13.85546875" bestFit="1" customWidth="1"/>
    <col min="7944" max="7944" width="15.5703125" bestFit="1" customWidth="1"/>
    <col min="7945" max="7945" width="16.140625" customWidth="1"/>
    <col min="7946" max="7946" width="16.7109375" bestFit="1" customWidth="1"/>
    <col min="7947" max="7948" width="15.5703125" bestFit="1" customWidth="1"/>
    <col min="7949" max="7949" width="16.42578125" bestFit="1" customWidth="1"/>
    <col min="7950" max="7950" width="14.28515625" customWidth="1"/>
    <col min="7951" max="7951" width="12.85546875" bestFit="1" customWidth="1"/>
    <col min="7952" max="7952" width="11.28515625" bestFit="1" customWidth="1"/>
    <col min="7953" max="7953" width="12.5703125" bestFit="1" customWidth="1"/>
    <col min="7954" max="7954" width="14" bestFit="1" customWidth="1"/>
    <col min="7955" max="7955" width="6" bestFit="1" customWidth="1"/>
    <col min="7956" max="7956" width="15" customWidth="1"/>
    <col min="7957" max="7957" width="14.85546875" bestFit="1" customWidth="1"/>
    <col min="7958" max="7958" width="16.140625" bestFit="1" customWidth="1"/>
    <col min="8186" max="8186" width="24" bestFit="1" customWidth="1"/>
    <col min="8187" max="8187" width="43.85546875" customWidth="1"/>
    <col min="8188" max="8188" width="19.7109375" bestFit="1" customWidth="1"/>
    <col min="8189" max="8189" width="15.28515625" bestFit="1" customWidth="1"/>
    <col min="8190" max="8190" width="14.85546875" bestFit="1" customWidth="1"/>
    <col min="8191" max="8191" width="13.42578125" customWidth="1"/>
    <col min="8192" max="8192" width="15.28515625" bestFit="1" customWidth="1"/>
    <col min="8193" max="8193" width="14.140625" bestFit="1" customWidth="1"/>
    <col min="8194" max="8194" width="15.28515625" customWidth="1"/>
    <col min="8195" max="8195" width="15.85546875" customWidth="1"/>
    <col min="8196" max="8196" width="17" bestFit="1" customWidth="1"/>
    <col min="8197" max="8197" width="12.7109375" customWidth="1"/>
    <col min="8198" max="8198" width="13.7109375" customWidth="1"/>
    <col min="8199" max="8199" width="13.85546875" bestFit="1" customWidth="1"/>
    <col min="8200" max="8200" width="15.5703125" bestFit="1" customWidth="1"/>
    <col min="8201" max="8201" width="16.140625" customWidth="1"/>
    <col min="8202" max="8202" width="16.7109375" bestFit="1" customWidth="1"/>
    <col min="8203" max="8204" width="15.5703125" bestFit="1" customWidth="1"/>
    <col min="8205" max="8205" width="16.42578125" bestFit="1" customWidth="1"/>
    <col min="8206" max="8206" width="14.28515625" customWidth="1"/>
    <col min="8207" max="8207" width="12.85546875" bestFit="1" customWidth="1"/>
    <col min="8208" max="8208" width="11.28515625" bestFit="1" customWidth="1"/>
    <col min="8209" max="8209" width="12.5703125" bestFit="1" customWidth="1"/>
    <col min="8210" max="8210" width="14" bestFit="1" customWidth="1"/>
    <col min="8211" max="8211" width="6" bestFit="1" customWidth="1"/>
    <col min="8212" max="8212" width="15" customWidth="1"/>
    <col min="8213" max="8213" width="14.85546875" bestFit="1" customWidth="1"/>
    <col min="8214" max="8214" width="16.140625" bestFit="1" customWidth="1"/>
    <col min="8442" max="8442" width="24" bestFit="1" customWidth="1"/>
    <col min="8443" max="8443" width="43.85546875" customWidth="1"/>
    <col min="8444" max="8444" width="19.7109375" bestFit="1" customWidth="1"/>
    <col min="8445" max="8445" width="15.28515625" bestFit="1" customWidth="1"/>
    <col min="8446" max="8446" width="14.85546875" bestFit="1" customWidth="1"/>
    <col min="8447" max="8447" width="13.42578125" customWidth="1"/>
    <col min="8448" max="8448" width="15.28515625" bestFit="1" customWidth="1"/>
    <col min="8449" max="8449" width="14.140625" bestFit="1" customWidth="1"/>
    <col min="8450" max="8450" width="15.28515625" customWidth="1"/>
    <col min="8451" max="8451" width="15.85546875" customWidth="1"/>
    <col min="8452" max="8452" width="17" bestFit="1" customWidth="1"/>
    <col min="8453" max="8453" width="12.7109375" customWidth="1"/>
    <col min="8454" max="8454" width="13.7109375" customWidth="1"/>
    <col min="8455" max="8455" width="13.85546875" bestFit="1" customWidth="1"/>
    <col min="8456" max="8456" width="15.5703125" bestFit="1" customWidth="1"/>
    <col min="8457" max="8457" width="16.140625" customWidth="1"/>
    <col min="8458" max="8458" width="16.7109375" bestFit="1" customWidth="1"/>
    <col min="8459" max="8460" width="15.5703125" bestFit="1" customWidth="1"/>
    <col min="8461" max="8461" width="16.42578125" bestFit="1" customWidth="1"/>
    <col min="8462" max="8462" width="14.28515625" customWidth="1"/>
    <col min="8463" max="8463" width="12.85546875" bestFit="1" customWidth="1"/>
    <col min="8464" max="8464" width="11.28515625" bestFit="1" customWidth="1"/>
    <col min="8465" max="8465" width="12.5703125" bestFit="1" customWidth="1"/>
    <col min="8466" max="8466" width="14" bestFit="1" customWidth="1"/>
    <col min="8467" max="8467" width="6" bestFit="1" customWidth="1"/>
    <col min="8468" max="8468" width="15" customWidth="1"/>
    <col min="8469" max="8469" width="14.85546875" bestFit="1" customWidth="1"/>
    <col min="8470" max="8470" width="16.140625" bestFit="1" customWidth="1"/>
    <col min="8698" max="8698" width="24" bestFit="1" customWidth="1"/>
    <col min="8699" max="8699" width="43.85546875" customWidth="1"/>
    <col min="8700" max="8700" width="19.7109375" bestFit="1" customWidth="1"/>
    <col min="8701" max="8701" width="15.28515625" bestFit="1" customWidth="1"/>
    <col min="8702" max="8702" width="14.85546875" bestFit="1" customWidth="1"/>
    <col min="8703" max="8703" width="13.42578125" customWidth="1"/>
    <col min="8704" max="8704" width="15.28515625" bestFit="1" customWidth="1"/>
    <col min="8705" max="8705" width="14.140625" bestFit="1" customWidth="1"/>
    <col min="8706" max="8706" width="15.28515625" customWidth="1"/>
    <col min="8707" max="8707" width="15.85546875" customWidth="1"/>
    <col min="8708" max="8708" width="17" bestFit="1" customWidth="1"/>
    <col min="8709" max="8709" width="12.7109375" customWidth="1"/>
    <col min="8710" max="8710" width="13.7109375" customWidth="1"/>
    <col min="8711" max="8711" width="13.85546875" bestFit="1" customWidth="1"/>
    <col min="8712" max="8712" width="15.5703125" bestFit="1" customWidth="1"/>
    <col min="8713" max="8713" width="16.140625" customWidth="1"/>
    <col min="8714" max="8714" width="16.7109375" bestFit="1" customWidth="1"/>
    <col min="8715" max="8716" width="15.5703125" bestFit="1" customWidth="1"/>
    <col min="8717" max="8717" width="16.42578125" bestFit="1" customWidth="1"/>
    <col min="8718" max="8718" width="14.28515625" customWidth="1"/>
    <col min="8719" max="8719" width="12.85546875" bestFit="1" customWidth="1"/>
    <col min="8720" max="8720" width="11.28515625" bestFit="1" customWidth="1"/>
    <col min="8721" max="8721" width="12.5703125" bestFit="1" customWidth="1"/>
    <col min="8722" max="8722" width="14" bestFit="1" customWidth="1"/>
    <col min="8723" max="8723" width="6" bestFit="1" customWidth="1"/>
    <col min="8724" max="8724" width="15" customWidth="1"/>
    <col min="8725" max="8725" width="14.85546875" bestFit="1" customWidth="1"/>
    <col min="8726" max="8726" width="16.140625" bestFit="1" customWidth="1"/>
    <col min="8954" max="8954" width="24" bestFit="1" customWidth="1"/>
    <col min="8955" max="8955" width="43.85546875" customWidth="1"/>
    <col min="8956" max="8956" width="19.7109375" bestFit="1" customWidth="1"/>
    <col min="8957" max="8957" width="15.28515625" bestFit="1" customWidth="1"/>
    <col min="8958" max="8958" width="14.85546875" bestFit="1" customWidth="1"/>
    <col min="8959" max="8959" width="13.42578125" customWidth="1"/>
    <col min="8960" max="8960" width="15.28515625" bestFit="1" customWidth="1"/>
    <col min="8961" max="8961" width="14.140625" bestFit="1" customWidth="1"/>
    <col min="8962" max="8962" width="15.28515625" customWidth="1"/>
    <col min="8963" max="8963" width="15.85546875" customWidth="1"/>
    <col min="8964" max="8964" width="17" bestFit="1" customWidth="1"/>
    <col min="8965" max="8965" width="12.7109375" customWidth="1"/>
    <col min="8966" max="8966" width="13.7109375" customWidth="1"/>
    <col min="8967" max="8967" width="13.85546875" bestFit="1" customWidth="1"/>
    <col min="8968" max="8968" width="15.5703125" bestFit="1" customWidth="1"/>
    <col min="8969" max="8969" width="16.140625" customWidth="1"/>
    <col min="8970" max="8970" width="16.7109375" bestFit="1" customWidth="1"/>
    <col min="8971" max="8972" width="15.5703125" bestFit="1" customWidth="1"/>
    <col min="8973" max="8973" width="16.42578125" bestFit="1" customWidth="1"/>
    <col min="8974" max="8974" width="14.28515625" customWidth="1"/>
    <col min="8975" max="8975" width="12.85546875" bestFit="1" customWidth="1"/>
    <col min="8976" max="8976" width="11.28515625" bestFit="1" customWidth="1"/>
    <col min="8977" max="8977" width="12.5703125" bestFit="1" customWidth="1"/>
    <col min="8978" max="8978" width="14" bestFit="1" customWidth="1"/>
    <col min="8979" max="8979" width="6" bestFit="1" customWidth="1"/>
    <col min="8980" max="8980" width="15" customWidth="1"/>
    <col min="8981" max="8981" width="14.85546875" bestFit="1" customWidth="1"/>
    <col min="8982" max="8982" width="16.140625" bestFit="1" customWidth="1"/>
    <col min="9210" max="9210" width="24" bestFit="1" customWidth="1"/>
    <col min="9211" max="9211" width="43.85546875" customWidth="1"/>
    <col min="9212" max="9212" width="19.7109375" bestFit="1" customWidth="1"/>
    <col min="9213" max="9213" width="15.28515625" bestFit="1" customWidth="1"/>
    <col min="9214" max="9214" width="14.85546875" bestFit="1" customWidth="1"/>
    <col min="9215" max="9215" width="13.42578125" customWidth="1"/>
    <col min="9216" max="9216" width="15.28515625" bestFit="1" customWidth="1"/>
    <col min="9217" max="9217" width="14.140625" bestFit="1" customWidth="1"/>
    <col min="9218" max="9218" width="15.28515625" customWidth="1"/>
    <col min="9219" max="9219" width="15.85546875" customWidth="1"/>
    <col min="9220" max="9220" width="17" bestFit="1" customWidth="1"/>
    <col min="9221" max="9221" width="12.7109375" customWidth="1"/>
    <col min="9222" max="9222" width="13.7109375" customWidth="1"/>
    <col min="9223" max="9223" width="13.85546875" bestFit="1" customWidth="1"/>
    <col min="9224" max="9224" width="15.5703125" bestFit="1" customWidth="1"/>
    <col min="9225" max="9225" width="16.140625" customWidth="1"/>
    <col min="9226" max="9226" width="16.7109375" bestFit="1" customWidth="1"/>
    <col min="9227" max="9228" width="15.5703125" bestFit="1" customWidth="1"/>
    <col min="9229" max="9229" width="16.42578125" bestFit="1" customWidth="1"/>
    <col min="9230" max="9230" width="14.28515625" customWidth="1"/>
    <col min="9231" max="9231" width="12.85546875" bestFit="1" customWidth="1"/>
    <col min="9232" max="9232" width="11.28515625" bestFit="1" customWidth="1"/>
    <col min="9233" max="9233" width="12.5703125" bestFit="1" customWidth="1"/>
    <col min="9234" max="9234" width="14" bestFit="1" customWidth="1"/>
    <col min="9235" max="9235" width="6" bestFit="1" customWidth="1"/>
    <col min="9236" max="9236" width="15" customWidth="1"/>
    <col min="9237" max="9237" width="14.85546875" bestFit="1" customWidth="1"/>
    <col min="9238" max="9238" width="16.140625" bestFit="1" customWidth="1"/>
    <col min="9466" max="9466" width="24" bestFit="1" customWidth="1"/>
    <col min="9467" max="9467" width="43.85546875" customWidth="1"/>
    <col min="9468" max="9468" width="19.7109375" bestFit="1" customWidth="1"/>
    <col min="9469" max="9469" width="15.28515625" bestFit="1" customWidth="1"/>
    <col min="9470" max="9470" width="14.85546875" bestFit="1" customWidth="1"/>
    <col min="9471" max="9471" width="13.42578125" customWidth="1"/>
    <col min="9472" max="9472" width="15.28515625" bestFit="1" customWidth="1"/>
    <col min="9473" max="9473" width="14.140625" bestFit="1" customWidth="1"/>
    <col min="9474" max="9474" width="15.28515625" customWidth="1"/>
    <col min="9475" max="9475" width="15.85546875" customWidth="1"/>
    <col min="9476" max="9476" width="17" bestFit="1" customWidth="1"/>
    <col min="9477" max="9477" width="12.7109375" customWidth="1"/>
    <col min="9478" max="9478" width="13.7109375" customWidth="1"/>
    <col min="9479" max="9479" width="13.85546875" bestFit="1" customWidth="1"/>
    <col min="9480" max="9480" width="15.5703125" bestFit="1" customWidth="1"/>
    <col min="9481" max="9481" width="16.140625" customWidth="1"/>
    <col min="9482" max="9482" width="16.7109375" bestFit="1" customWidth="1"/>
    <col min="9483" max="9484" width="15.5703125" bestFit="1" customWidth="1"/>
    <col min="9485" max="9485" width="16.42578125" bestFit="1" customWidth="1"/>
    <col min="9486" max="9486" width="14.28515625" customWidth="1"/>
    <col min="9487" max="9487" width="12.85546875" bestFit="1" customWidth="1"/>
    <col min="9488" max="9488" width="11.28515625" bestFit="1" customWidth="1"/>
    <col min="9489" max="9489" width="12.5703125" bestFit="1" customWidth="1"/>
    <col min="9490" max="9490" width="14" bestFit="1" customWidth="1"/>
    <col min="9491" max="9491" width="6" bestFit="1" customWidth="1"/>
    <col min="9492" max="9492" width="15" customWidth="1"/>
    <col min="9493" max="9493" width="14.85546875" bestFit="1" customWidth="1"/>
    <col min="9494" max="9494" width="16.140625" bestFit="1" customWidth="1"/>
    <col min="9722" max="9722" width="24" bestFit="1" customWidth="1"/>
    <col min="9723" max="9723" width="43.85546875" customWidth="1"/>
    <col min="9724" max="9724" width="19.7109375" bestFit="1" customWidth="1"/>
    <col min="9725" max="9725" width="15.28515625" bestFit="1" customWidth="1"/>
    <col min="9726" max="9726" width="14.85546875" bestFit="1" customWidth="1"/>
    <col min="9727" max="9727" width="13.42578125" customWidth="1"/>
    <col min="9728" max="9728" width="15.28515625" bestFit="1" customWidth="1"/>
    <col min="9729" max="9729" width="14.140625" bestFit="1" customWidth="1"/>
    <col min="9730" max="9730" width="15.28515625" customWidth="1"/>
    <col min="9731" max="9731" width="15.85546875" customWidth="1"/>
    <col min="9732" max="9732" width="17" bestFit="1" customWidth="1"/>
    <col min="9733" max="9733" width="12.7109375" customWidth="1"/>
    <col min="9734" max="9734" width="13.7109375" customWidth="1"/>
    <col min="9735" max="9735" width="13.85546875" bestFit="1" customWidth="1"/>
    <col min="9736" max="9736" width="15.5703125" bestFit="1" customWidth="1"/>
    <col min="9737" max="9737" width="16.140625" customWidth="1"/>
    <col min="9738" max="9738" width="16.7109375" bestFit="1" customWidth="1"/>
    <col min="9739" max="9740" width="15.5703125" bestFit="1" customWidth="1"/>
    <col min="9741" max="9741" width="16.42578125" bestFit="1" customWidth="1"/>
    <col min="9742" max="9742" width="14.28515625" customWidth="1"/>
    <col min="9743" max="9743" width="12.85546875" bestFit="1" customWidth="1"/>
    <col min="9744" max="9744" width="11.28515625" bestFit="1" customWidth="1"/>
    <col min="9745" max="9745" width="12.5703125" bestFit="1" customWidth="1"/>
    <col min="9746" max="9746" width="14" bestFit="1" customWidth="1"/>
    <col min="9747" max="9747" width="6" bestFit="1" customWidth="1"/>
    <col min="9748" max="9748" width="15" customWidth="1"/>
    <col min="9749" max="9749" width="14.85546875" bestFit="1" customWidth="1"/>
    <col min="9750" max="9750" width="16.140625" bestFit="1" customWidth="1"/>
    <col min="9978" max="9978" width="24" bestFit="1" customWidth="1"/>
    <col min="9979" max="9979" width="43.85546875" customWidth="1"/>
    <col min="9980" max="9980" width="19.7109375" bestFit="1" customWidth="1"/>
    <col min="9981" max="9981" width="15.28515625" bestFit="1" customWidth="1"/>
    <col min="9982" max="9982" width="14.85546875" bestFit="1" customWidth="1"/>
    <col min="9983" max="9983" width="13.42578125" customWidth="1"/>
    <col min="9984" max="9984" width="15.28515625" bestFit="1" customWidth="1"/>
    <col min="9985" max="9985" width="14.140625" bestFit="1" customWidth="1"/>
    <col min="9986" max="9986" width="15.28515625" customWidth="1"/>
    <col min="9987" max="9987" width="15.85546875" customWidth="1"/>
    <col min="9988" max="9988" width="17" bestFit="1" customWidth="1"/>
    <col min="9989" max="9989" width="12.7109375" customWidth="1"/>
    <col min="9990" max="9990" width="13.7109375" customWidth="1"/>
    <col min="9991" max="9991" width="13.85546875" bestFit="1" customWidth="1"/>
    <col min="9992" max="9992" width="15.5703125" bestFit="1" customWidth="1"/>
    <col min="9993" max="9993" width="16.140625" customWidth="1"/>
    <col min="9994" max="9994" width="16.7109375" bestFit="1" customWidth="1"/>
    <col min="9995" max="9996" width="15.5703125" bestFit="1" customWidth="1"/>
    <col min="9997" max="9997" width="16.42578125" bestFit="1" customWidth="1"/>
    <col min="9998" max="9998" width="14.28515625" customWidth="1"/>
    <col min="9999" max="9999" width="12.85546875" bestFit="1" customWidth="1"/>
    <col min="10000" max="10000" width="11.28515625" bestFit="1" customWidth="1"/>
    <col min="10001" max="10001" width="12.5703125" bestFit="1" customWidth="1"/>
    <col min="10002" max="10002" width="14" bestFit="1" customWidth="1"/>
    <col min="10003" max="10003" width="6" bestFit="1" customWidth="1"/>
    <col min="10004" max="10004" width="15" customWidth="1"/>
    <col min="10005" max="10005" width="14.85546875" bestFit="1" customWidth="1"/>
    <col min="10006" max="10006" width="16.140625" bestFit="1" customWidth="1"/>
    <col min="10234" max="10234" width="24" bestFit="1" customWidth="1"/>
    <col min="10235" max="10235" width="43.85546875" customWidth="1"/>
    <col min="10236" max="10236" width="19.7109375" bestFit="1" customWidth="1"/>
    <col min="10237" max="10237" width="15.28515625" bestFit="1" customWidth="1"/>
    <col min="10238" max="10238" width="14.85546875" bestFit="1" customWidth="1"/>
    <col min="10239" max="10239" width="13.42578125" customWidth="1"/>
    <col min="10240" max="10240" width="15.28515625" bestFit="1" customWidth="1"/>
    <col min="10241" max="10241" width="14.140625" bestFit="1" customWidth="1"/>
    <col min="10242" max="10242" width="15.28515625" customWidth="1"/>
    <col min="10243" max="10243" width="15.85546875" customWidth="1"/>
    <col min="10244" max="10244" width="17" bestFit="1" customWidth="1"/>
    <col min="10245" max="10245" width="12.7109375" customWidth="1"/>
    <col min="10246" max="10246" width="13.7109375" customWidth="1"/>
    <col min="10247" max="10247" width="13.85546875" bestFit="1" customWidth="1"/>
    <col min="10248" max="10248" width="15.5703125" bestFit="1" customWidth="1"/>
    <col min="10249" max="10249" width="16.140625" customWidth="1"/>
    <col min="10250" max="10250" width="16.7109375" bestFit="1" customWidth="1"/>
    <col min="10251" max="10252" width="15.5703125" bestFit="1" customWidth="1"/>
    <col min="10253" max="10253" width="16.42578125" bestFit="1" customWidth="1"/>
    <col min="10254" max="10254" width="14.28515625" customWidth="1"/>
    <col min="10255" max="10255" width="12.85546875" bestFit="1" customWidth="1"/>
    <col min="10256" max="10256" width="11.28515625" bestFit="1" customWidth="1"/>
    <col min="10257" max="10257" width="12.5703125" bestFit="1" customWidth="1"/>
    <col min="10258" max="10258" width="14" bestFit="1" customWidth="1"/>
    <col min="10259" max="10259" width="6" bestFit="1" customWidth="1"/>
    <col min="10260" max="10260" width="15" customWidth="1"/>
    <col min="10261" max="10261" width="14.85546875" bestFit="1" customWidth="1"/>
    <col min="10262" max="10262" width="16.140625" bestFit="1" customWidth="1"/>
    <col min="10490" max="10490" width="24" bestFit="1" customWidth="1"/>
    <col min="10491" max="10491" width="43.85546875" customWidth="1"/>
    <col min="10492" max="10492" width="19.7109375" bestFit="1" customWidth="1"/>
    <col min="10493" max="10493" width="15.28515625" bestFit="1" customWidth="1"/>
    <col min="10494" max="10494" width="14.85546875" bestFit="1" customWidth="1"/>
    <col min="10495" max="10495" width="13.42578125" customWidth="1"/>
    <col min="10496" max="10496" width="15.28515625" bestFit="1" customWidth="1"/>
    <col min="10497" max="10497" width="14.140625" bestFit="1" customWidth="1"/>
    <col min="10498" max="10498" width="15.28515625" customWidth="1"/>
    <col min="10499" max="10499" width="15.85546875" customWidth="1"/>
    <col min="10500" max="10500" width="17" bestFit="1" customWidth="1"/>
    <col min="10501" max="10501" width="12.7109375" customWidth="1"/>
    <col min="10502" max="10502" width="13.7109375" customWidth="1"/>
    <col min="10503" max="10503" width="13.85546875" bestFit="1" customWidth="1"/>
    <col min="10504" max="10504" width="15.5703125" bestFit="1" customWidth="1"/>
    <col min="10505" max="10505" width="16.140625" customWidth="1"/>
    <col min="10506" max="10506" width="16.7109375" bestFit="1" customWidth="1"/>
    <col min="10507" max="10508" width="15.5703125" bestFit="1" customWidth="1"/>
    <col min="10509" max="10509" width="16.42578125" bestFit="1" customWidth="1"/>
    <col min="10510" max="10510" width="14.28515625" customWidth="1"/>
    <col min="10511" max="10511" width="12.85546875" bestFit="1" customWidth="1"/>
    <col min="10512" max="10512" width="11.28515625" bestFit="1" customWidth="1"/>
    <col min="10513" max="10513" width="12.5703125" bestFit="1" customWidth="1"/>
    <col min="10514" max="10514" width="14" bestFit="1" customWidth="1"/>
    <col min="10515" max="10515" width="6" bestFit="1" customWidth="1"/>
    <col min="10516" max="10516" width="15" customWidth="1"/>
    <col min="10517" max="10517" width="14.85546875" bestFit="1" customWidth="1"/>
    <col min="10518" max="10518" width="16.140625" bestFit="1" customWidth="1"/>
    <col min="10746" max="10746" width="24" bestFit="1" customWidth="1"/>
    <col min="10747" max="10747" width="43.85546875" customWidth="1"/>
    <col min="10748" max="10748" width="19.7109375" bestFit="1" customWidth="1"/>
    <col min="10749" max="10749" width="15.28515625" bestFit="1" customWidth="1"/>
    <col min="10750" max="10750" width="14.85546875" bestFit="1" customWidth="1"/>
    <col min="10751" max="10751" width="13.42578125" customWidth="1"/>
    <col min="10752" max="10752" width="15.28515625" bestFit="1" customWidth="1"/>
    <col min="10753" max="10753" width="14.140625" bestFit="1" customWidth="1"/>
    <col min="10754" max="10754" width="15.28515625" customWidth="1"/>
    <col min="10755" max="10755" width="15.85546875" customWidth="1"/>
    <col min="10756" max="10756" width="17" bestFit="1" customWidth="1"/>
    <col min="10757" max="10757" width="12.7109375" customWidth="1"/>
    <col min="10758" max="10758" width="13.7109375" customWidth="1"/>
    <col min="10759" max="10759" width="13.85546875" bestFit="1" customWidth="1"/>
    <col min="10760" max="10760" width="15.5703125" bestFit="1" customWidth="1"/>
    <col min="10761" max="10761" width="16.140625" customWidth="1"/>
    <col min="10762" max="10762" width="16.7109375" bestFit="1" customWidth="1"/>
    <col min="10763" max="10764" width="15.5703125" bestFit="1" customWidth="1"/>
    <col min="10765" max="10765" width="16.42578125" bestFit="1" customWidth="1"/>
    <col min="10766" max="10766" width="14.28515625" customWidth="1"/>
    <col min="10767" max="10767" width="12.85546875" bestFit="1" customWidth="1"/>
    <col min="10768" max="10768" width="11.28515625" bestFit="1" customWidth="1"/>
    <col min="10769" max="10769" width="12.5703125" bestFit="1" customWidth="1"/>
    <col min="10770" max="10770" width="14" bestFit="1" customWidth="1"/>
    <col min="10771" max="10771" width="6" bestFit="1" customWidth="1"/>
    <col min="10772" max="10772" width="15" customWidth="1"/>
    <col min="10773" max="10773" width="14.85546875" bestFit="1" customWidth="1"/>
    <col min="10774" max="10774" width="16.140625" bestFit="1" customWidth="1"/>
    <col min="11002" max="11002" width="24" bestFit="1" customWidth="1"/>
    <col min="11003" max="11003" width="43.85546875" customWidth="1"/>
    <col min="11004" max="11004" width="19.7109375" bestFit="1" customWidth="1"/>
    <col min="11005" max="11005" width="15.28515625" bestFit="1" customWidth="1"/>
    <col min="11006" max="11006" width="14.85546875" bestFit="1" customWidth="1"/>
    <col min="11007" max="11007" width="13.42578125" customWidth="1"/>
    <col min="11008" max="11008" width="15.28515625" bestFit="1" customWidth="1"/>
    <col min="11009" max="11009" width="14.140625" bestFit="1" customWidth="1"/>
    <col min="11010" max="11010" width="15.28515625" customWidth="1"/>
    <col min="11011" max="11011" width="15.85546875" customWidth="1"/>
    <col min="11012" max="11012" width="17" bestFit="1" customWidth="1"/>
    <col min="11013" max="11013" width="12.7109375" customWidth="1"/>
    <col min="11014" max="11014" width="13.7109375" customWidth="1"/>
    <col min="11015" max="11015" width="13.85546875" bestFit="1" customWidth="1"/>
    <col min="11016" max="11016" width="15.5703125" bestFit="1" customWidth="1"/>
    <col min="11017" max="11017" width="16.140625" customWidth="1"/>
    <col min="11018" max="11018" width="16.7109375" bestFit="1" customWidth="1"/>
    <col min="11019" max="11020" width="15.5703125" bestFit="1" customWidth="1"/>
    <col min="11021" max="11021" width="16.42578125" bestFit="1" customWidth="1"/>
    <col min="11022" max="11022" width="14.28515625" customWidth="1"/>
    <col min="11023" max="11023" width="12.85546875" bestFit="1" customWidth="1"/>
    <col min="11024" max="11024" width="11.28515625" bestFit="1" customWidth="1"/>
    <col min="11025" max="11025" width="12.5703125" bestFit="1" customWidth="1"/>
    <col min="11026" max="11026" width="14" bestFit="1" customWidth="1"/>
    <col min="11027" max="11027" width="6" bestFit="1" customWidth="1"/>
    <col min="11028" max="11028" width="15" customWidth="1"/>
    <col min="11029" max="11029" width="14.85546875" bestFit="1" customWidth="1"/>
    <col min="11030" max="11030" width="16.140625" bestFit="1" customWidth="1"/>
    <col min="11258" max="11258" width="24" bestFit="1" customWidth="1"/>
    <col min="11259" max="11259" width="43.85546875" customWidth="1"/>
    <col min="11260" max="11260" width="19.7109375" bestFit="1" customWidth="1"/>
    <col min="11261" max="11261" width="15.28515625" bestFit="1" customWidth="1"/>
    <col min="11262" max="11262" width="14.85546875" bestFit="1" customWidth="1"/>
    <col min="11263" max="11263" width="13.42578125" customWidth="1"/>
    <col min="11264" max="11264" width="15.28515625" bestFit="1" customWidth="1"/>
    <col min="11265" max="11265" width="14.140625" bestFit="1" customWidth="1"/>
    <col min="11266" max="11266" width="15.28515625" customWidth="1"/>
    <col min="11267" max="11267" width="15.85546875" customWidth="1"/>
    <col min="11268" max="11268" width="17" bestFit="1" customWidth="1"/>
    <col min="11269" max="11269" width="12.7109375" customWidth="1"/>
    <col min="11270" max="11270" width="13.7109375" customWidth="1"/>
    <col min="11271" max="11271" width="13.85546875" bestFit="1" customWidth="1"/>
    <col min="11272" max="11272" width="15.5703125" bestFit="1" customWidth="1"/>
    <col min="11273" max="11273" width="16.140625" customWidth="1"/>
    <col min="11274" max="11274" width="16.7109375" bestFit="1" customWidth="1"/>
    <col min="11275" max="11276" width="15.5703125" bestFit="1" customWidth="1"/>
    <col min="11277" max="11277" width="16.42578125" bestFit="1" customWidth="1"/>
    <col min="11278" max="11278" width="14.28515625" customWidth="1"/>
    <col min="11279" max="11279" width="12.85546875" bestFit="1" customWidth="1"/>
    <col min="11280" max="11280" width="11.28515625" bestFit="1" customWidth="1"/>
    <col min="11281" max="11281" width="12.5703125" bestFit="1" customWidth="1"/>
    <col min="11282" max="11282" width="14" bestFit="1" customWidth="1"/>
    <col min="11283" max="11283" width="6" bestFit="1" customWidth="1"/>
    <col min="11284" max="11284" width="15" customWidth="1"/>
    <col min="11285" max="11285" width="14.85546875" bestFit="1" customWidth="1"/>
    <col min="11286" max="11286" width="16.140625" bestFit="1" customWidth="1"/>
    <col min="11514" max="11514" width="24" bestFit="1" customWidth="1"/>
    <col min="11515" max="11515" width="43.85546875" customWidth="1"/>
    <col min="11516" max="11516" width="19.7109375" bestFit="1" customWidth="1"/>
    <col min="11517" max="11517" width="15.28515625" bestFit="1" customWidth="1"/>
    <col min="11518" max="11518" width="14.85546875" bestFit="1" customWidth="1"/>
    <col min="11519" max="11519" width="13.42578125" customWidth="1"/>
    <col min="11520" max="11520" width="15.28515625" bestFit="1" customWidth="1"/>
    <col min="11521" max="11521" width="14.140625" bestFit="1" customWidth="1"/>
    <col min="11522" max="11522" width="15.28515625" customWidth="1"/>
    <col min="11523" max="11523" width="15.85546875" customWidth="1"/>
    <col min="11524" max="11524" width="17" bestFit="1" customWidth="1"/>
    <col min="11525" max="11525" width="12.7109375" customWidth="1"/>
    <col min="11526" max="11526" width="13.7109375" customWidth="1"/>
    <col min="11527" max="11527" width="13.85546875" bestFit="1" customWidth="1"/>
    <col min="11528" max="11528" width="15.5703125" bestFit="1" customWidth="1"/>
    <col min="11529" max="11529" width="16.140625" customWidth="1"/>
    <col min="11530" max="11530" width="16.7109375" bestFit="1" customWidth="1"/>
    <col min="11531" max="11532" width="15.5703125" bestFit="1" customWidth="1"/>
    <col min="11533" max="11533" width="16.42578125" bestFit="1" customWidth="1"/>
    <col min="11534" max="11534" width="14.28515625" customWidth="1"/>
    <col min="11535" max="11535" width="12.85546875" bestFit="1" customWidth="1"/>
    <col min="11536" max="11536" width="11.28515625" bestFit="1" customWidth="1"/>
    <col min="11537" max="11537" width="12.5703125" bestFit="1" customWidth="1"/>
    <col min="11538" max="11538" width="14" bestFit="1" customWidth="1"/>
    <col min="11539" max="11539" width="6" bestFit="1" customWidth="1"/>
    <col min="11540" max="11540" width="15" customWidth="1"/>
    <col min="11541" max="11541" width="14.85546875" bestFit="1" customWidth="1"/>
    <col min="11542" max="11542" width="16.140625" bestFit="1" customWidth="1"/>
    <col min="11770" max="11770" width="24" bestFit="1" customWidth="1"/>
    <col min="11771" max="11771" width="43.85546875" customWidth="1"/>
    <col min="11772" max="11772" width="19.7109375" bestFit="1" customWidth="1"/>
    <col min="11773" max="11773" width="15.28515625" bestFit="1" customWidth="1"/>
    <col min="11774" max="11774" width="14.85546875" bestFit="1" customWidth="1"/>
    <col min="11775" max="11775" width="13.42578125" customWidth="1"/>
    <col min="11776" max="11776" width="15.28515625" bestFit="1" customWidth="1"/>
    <col min="11777" max="11777" width="14.140625" bestFit="1" customWidth="1"/>
    <col min="11778" max="11778" width="15.28515625" customWidth="1"/>
    <col min="11779" max="11779" width="15.85546875" customWidth="1"/>
    <col min="11780" max="11780" width="17" bestFit="1" customWidth="1"/>
    <col min="11781" max="11781" width="12.7109375" customWidth="1"/>
    <col min="11782" max="11782" width="13.7109375" customWidth="1"/>
    <col min="11783" max="11783" width="13.85546875" bestFit="1" customWidth="1"/>
    <col min="11784" max="11784" width="15.5703125" bestFit="1" customWidth="1"/>
    <col min="11785" max="11785" width="16.140625" customWidth="1"/>
    <col min="11786" max="11786" width="16.7109375" bestFit="1" customWidth="1"/>
    <col min="11787" max="11788" width="15.5703125" bestFit="1" customWidth="1"/>
    <col min="11789" max="11789" width="16.42578125" bestFit="1" customWidth="1"/>
    <col min="11790" max="11790" width="14.28515625" customWidth="1"/>
    <col min="11791" max="11791" width="12.85546875" bestFit="1" customWidth="1"/>
    <col min="11792" max="11792" width="11.28515625" bestFit="1" customWidth="1"/>
    <col min="11793" max="11793" width="12.5703125" bestFit="1" customWidth="1"/>
    <col min="11794" max="11794" width="14" bestFit="1" customWidth="1"/>
    <col min="11795" max="11795" width="6" bestFit="1" customWidth="1"/>
    <col min="11796" max="11796" width="15" customWidth="1"/>
    <col min="11797" max="11797" width="14.85546875" bestFit="1" customWidth="1"/>
    <col min="11798" max="11798" width="16.140625" bestFit="1" customWidth="1"/>
    <col min="12026" max="12026" width="24" bestFit="1" customWidth="1"/>
    <col min="12027" max="12027" width="43.85546875" customWidth="1"/>
    <col min="12028" max="12028" width="19.7109375" bestFit="1" customWidth="1"/>
    <col min="12029" max="12029" width="15.28515625" bestFit="1" customWidth="1"/>
    <col min="12030" max="12030" width="14.85546875" bestFit="1" customWidth="1"/>
    <col min="12031" max="12031" width="13.42578125" customWidth="1"/>
    <col min="12032" max="12032" width="15.28515625" bestFit="1" customWidth="1"/>
    <col min="12033" max="12033" width="14.140625" bestFit="1" customWidth="1"/>
    <col min="12034" max="12034" width="15.28515625" customWidth="1"/>
    <col min="12035" max="12035" width="15.85546875" customWidth="1"/>
    <col min="12036" max="12036" width="17" bestFit="1" customWidth="1"/>
    <col min="12037" max="12037" width="12.7109375" customWidth="1"/>
    <col min="12038" max="12038" width="13.7109375" customWidth="1"/>
    <col min="12039" max="12039" width="13.85546875" bestFit="1" customWidth="1"/>
    <col min="12040" max="12040" width="15.5703125" bestFit="1" customWidth="1"/>
    <col min="12041" max="12041" width="16.140625" customWidth="1"/>
    <col min="12042" max="12042" width="16.7109375" bestFit="1" customWidth="1"/>
    <col min="12043" max="12044" width="15.5703125" bestFit="1" customWidth="1"/>
    <col min="12045" max="12045" width="16.42578125" bestFit="1" customWidth="1"/>
    <col min="12046" max="12046" width="14.28515625" customWidth="1"/>
    <col min="12047" max="12047" width="12.85546875" bestFit="1" customWidth="1"/>
    <col min="12048" max="12048" width="11.28515625" bestFit="1" customWidth="1"/>
    <col min="12049" max="12049" width="12.5703125" bestFit="1" customWidth="1"/>
    <col min="12050" max="12050" width="14" bestFit="1" customWidth="1"/>
    <col min="12051" max="12051" width="6" bestFit="1" customWidth="1"/>
    <col min="12052" max="12052" width="15" customWidth="1"/>
    <col min="12053" max="12053" width="14.85546875" bestFit="1" customWidth="1"/>
    <col min="12054" max="12054" width="16.140625" bestFit="1" customWidth="1"/>
    <col min="12282" max="12282" width="24" bestFit="1" customWidth="1"/>
    <col min="12283" max="12283" width="43.85546875" customWidth="1"/>
    <col min="12284" max="12284" width="19.7109375" bestFit="1" customWidth="1"/>
    <col min="12285" max="12285" width="15.28515625" bestFit="1" customWidth="1"/>
    <col min="12286" max="12286" width="14.85546875" bestFit="1" customWidth="1"/>
    <col min="12287" max="12287" width="13.42578125" customWidth="1"/>
    <col min="12288" max="12288" width="15.28515625" bestFit="1" customWidth="1"/>
    <col min="12289" max="12289" width="14.140625" bestFit="1" customWidth="1"/>
    <col min="12290" max="12290" width="15.28515625" customWidth="1"/>
    <col min="12291" max="12291" width="15.85546875" customWidth="1"/>
    <col min="12292" max="12292" width="17" bestFit="1" customWidth="1"/>
    <col min="12293" max="12293" width="12.7109375" customWidth="1"/>
    <col min="12294" max="12294" width="13.7109375" customWidth="1"/>
    <col min="12295" max="12295" width="13.85546875" bestFit="1" customWidth="1"/>
    <col min="12296" max="12296" width="15.5703125" bestFit="1" customWidth="1"/>
    <col min="12297" max="12297" width="16.140625" customWidth="1"/>
    <col min="12298" max="12298" width="16.7109375" bestFit="1" customWidth="1"/>
    <col min="12299" max="12300" width="15.5703125" bestFit="1" customWidth="1"/>
    <col min="12301" max="12301" width="16.42578125" bestFit="1" customWidth="1"/>
    <col min="12302" max="12302" width="14.28515625" customWidth="1"/>
    <col min="12303" max="12303" width="12.85546875" bestFit="1" customWidth="1"/>
    <col min="12304" max="12304" width="11.28515625" bestFit="1" customWidth="1"/>
    <col min="12305" max="12305" width="12.5703125" bestFit="1" customWidth="1"/>
    <col min="12306" max="12306" width="14" bestFit="1" customWidth="1"/>
    <col min="12307" max="12307" width="6" bestFit="1" customWidth="1"/>
    <col min="12308" max="12308" width="15" customWidth="1"/>
    <col min="12309" max="12309" width="14.85546875" bestFit="1" customWidth="1"/>
    <col min="12310" max="12310" width="16.140625" bestFit="1" customWidth="1"/>
    <col min="12538" max="12538" width="24" bestFit="1" customWidth="1"/>
    <col min="12539" max="12539" width="43.85546875" customWidth="1"/>
    <col min="12540" max="12540" width="19.7109375" bestFit="1" customWidth="1"/>
    <col min="12541" max="12541" width="15.28515625" bestFit="1" customWidth="1"/>
    <col min="12542" max="12542" width="14.85546875" bestFit="1" customWidth="1"/>
    <col min="12543" max="12543" width="13.42578125" customWidth="1"/>
    <col min="12544" max="12544" width="15.28515625" bestFit="1" customWidth="1"/>
    <col min="12545" max="12545" width="14.140625" bestFit="1" customWidth="1"/>
    <col min="12546" max="12546" width="15.28515625" customWidth="1"/>
    <col min="12547" max="12547" width="15.85546875" customWidth="1"/>
    <col min="12548" max="12548" width="17" bestFit="1" customWidth="1"/>
    <col min="12549" max="12549" width="12.7109375" customWidth="1"/>
    <col min="12550" max="12550" width="13.7109375" customWidth="1"/>
    <col min="12551" max="12551" width="13.85546875" bestFit="1" customWidth="1"/>
    <col min="12552" max="12552" width="15.5703125" bestFit="1" customWidth="1"/>
    <col min="12553" max="12553" width="16.140625" customWidth="1"/>
    <col min="12554" max="12554" width="16.7109375" bestFit="1" customWidth="1"/>
    <col min="12555" max="12556" width="15.5703125" bestFit="1" customWidth="1"/>
    <col min="12557" max="12557" width="16.42578125" bestFit="1" customWidth="1"/>
    <col min="12558" max="12558" width="14.28515625" customWidth="1"/>
    <col min="12559" max="12559" width="12.85546875" bestFit="1" customWidth="1"/>
    <col min="12560" max="12560" width="11.28515625" bestFit="1" customWidth="1"/>
    <col min="12561" max="12561" width="12.5703125" bestFit="1" customWidth="1"/>
    <col min="12562" max="12562" width="14" bestFit="1" customWidth="1"/>
    <col min="12563" max="12563" width="6" bestFit="1" customWidth="1"/>
    <col min="12564" max="12564" width="15" customWidth="1"/>
    <col min="12565" max="12565" width="14.85546875" bestFit="1" customWidth="1"/>
    <col min="12566" max="12566" width="16.140625" bestFit="1" customWidth="1"/>
    <col min="12794" max="12794" width="24" bestFit="1" customWidth="1"/>
    <col min="12795" max="12795" width="43.85546875" customWidth="1"/>
    <col min="12796" max="12796" width="19.7109375" bestFit="1" customWidth="1"/>
    <col min="12797" max="12797" width="15.28515625" bestFit="1" customWidth="1"/>
    <col min="12798" max="12798" width="14.85546875" bestFit="1" customWidth="1"/>
    <col min="12799" max="12799" width="13.42578125" customWidth="1"/>
    <col min="12800" max="12800" width="15.28515625" bestFit="1" customWidth="1"/>
    <col min="12801" max="12801" width="14.140625" bestFit="1" customWidth="1"/>
    <col min="12802" max="12802" width="15.28515625" customWidth="1"/>
    <col min="12803" max="12803" width="15.85546875" customWidth="1"/>
    <col min="12804" max="12804" width="17" bestFit="1" customWidth="1"/>
    <col min="12805" max="12805" width="12.7109375" customWidth="1"/>
    <col min="12806" max="12806" width="13.7109375" customWidth="1"/>
    <col min="12807" max="12807" width="13.85546875" bestFit="1" customWidth="1"/>
    <col min="12808" max="12808" width="15.5703125" bestFit="1" customWidth="1"/>
    <col min="12809" max="12809" width="16.140625" customWidth="1"/>
    <col min="12810" max="12810" width="16.7109375" bestFit="1" customWidth="1"/>
    <col min="12811" max="12812" width="15.5703125" bestFit="1" customWidth="1"/>
    <col min="12813" max="12813" width="16.42578125" bestFit="1" customWidth="1"/>
    <col min="12814" max="12814" width="14.28515625" customWidth="1"/>
    <col min="12815" max="12815" width="12.85546875" bestFit="1" customWidth="1"/>
    <col min="12816" max="12816" width="11.28515625" bestFit="1" customWidth="1"/>
    <col min="12817" max="12817" width="12.5703125" bestFit="1" customWidth="1"/>
    <col min="12818" max="12818" width="14" bestFit="1" customWidth="1"/>
    <col min="12819" max="12819" width="6" bestFit="1" customWidth="1"/>
    <col min="12820" max="12820" width="15" customWidth="1"/>
    <col min="12821" max="12821" width="14.85546875" bestFit="1" customWidth="1"/>
    <col min="12822" max="12822" width="16.140625" bestFit="1" customWidth="1"/>
    <col min="13050" max="13050" width="24" bestFit="1" customWidth="1"/>
    <col min="13051" max="13051" width="43.85546875" customWidth="1"/>
    <col min="13052" max="13052" width="19.7109375" bestFit="1" customWidth="1"/>
    <col min="13053" max="13053" width="15.28515625" bestFit="1" customWidth="1"/>
    <col min="13054" max="13054" width="14.85546875" bestFit="1" customWidth="1"/>
    <col min="13055" max="13055" width="13.42578125" customWidth="1"/>
    <col min="13056" max="13056" width="15.28515625" bestFit="1" customWidth="1"/>
    <col min="13057" max="13057" width="14.140625" bestFit="1" customWidth="1"/>
    <col min="13058" max="13058" width="15.28515625" customWidth="1"/>
    <col min="13059" max="13059" width="15.85546875" customWidth="1"/>
    <col min="13060" max="13060" width="17" bestFit="1" customWidth="1"/>
    <col min="13061" max="13061" width="12.7109375" customWidth="1"/>
    <col min="13062" max="13062" width="13.7109375" customWidth="1"/>
    <col min="13063" max="13063" width="13.85546875" bestFit="1" customWidth="1"/>
    <col min="13064" max="13064" width="15.5703125" bestFit="1" customWidth="1"/>
    <col min="13065" max="13065" width="16.140625" customWidth="1"/>
    <col min="13066" max="13066" width="16.7109375" bestFit="1" customWidth="1"/>
    <col min="13067" max="13068" width="15.5703125" bestFit="1" customWidth="1"/>
    <col min="13069" max="13069" width="16.42578125" bestFit="1" customWidth="1"/>
    <col min="13070" max="13070" width="14.28515625" customWidth="1"/>
    <col min="13071" max="13071" width="12.85546875" bestFit="1" customWidth="1"/>
    <col min="13072" max="13072" width="11.28515625" bestFit="1" customWidth="1"/>
    <col min="13073" max="13073" width="12.5703125" bestFit="1" customWidth="1"/>
    <col min="13074" max="13074" width="14" bestFit="1" customWidth="1"/>
    <col min="13075" max="13075" width="6" bestFit="1" customWidth="1"/>
    <col min="13076" max="13076" width="15" customWidth="1"/>
    <col min="13077" max="13077" width="14.85546875" bestFit="1" customWidth="1"/>
    <col min="13078" max="13078" width="16.140625" bestFit="1" customWidth="1"/>
    <col min="13306" max="13306" width="24" bestFit="1" customWidth="1"/>
    <col min="13307" max="13307" width="43.85546875" customWidth="1"/>
    <col min="13308" max="13308" width="19.7109375" bestFit="1" customWidth="1"/>
    <col min="13309" max="13309" width="15.28515625" bestFit="1" customWidth="1"/>
    <col min="13310" max="13310" width="14.85546875" bestFit="1" customWidth="1"/>
    <col min="13311" max="13311" width="13.42578125" customWidth="1"/>
    <col min="13312" max="13312" width="15.28515625" bestFit="1" customWidth="1"/>
    <col min="13313" max="13313" width="14.140625" bestFit="1" customWidth="1"/>
    <col min="13314" max="13314" width="15.28515625" customWidth="1"/>
    <col min="13315" max="13315" width="15.85546875" customWidth="1"/>
    <col min="13316" max="13316" width="17" bestFit="1" customWidth="1"/>
    <col min="13317" max="13317" width="12.7109375" customWidth="1"/>
    <col min="13318" max="13318" width="13.7109375" customWidth="1"/>
    <col min="13319" max="13319" width="13.85546875" bestFit="1" customWidth="1"/>
    <col min="13320" max="13320" width="15.5703125" bestFit="1" customWidth="1"/>
    <col min="13321" max="13321" width="16.140625" customWidth="1"/>
    <col min="13322" max="13322" width="16.7109375" bestFit="1" customWidth="1"/>
    <col min="13323" max="13324" width="15.5703125" bestFit="1" customWidth="1"/>
    <col min="13325" max="13325" width="16.42578125" bestFit="1" customWidth="1"/>
    <col min="13326" max="13326" width="14.28515625" customWidth="1"/>
    <col min="13327" max="13327" width="12.85546875" bestFit="1" customWidth="1"/>
    <col min="13328" max="13328" width="11.28515625" bestFit="1" customWidth="1"/>
    <col min="13329" max="13329" width="12.5703125" bestFit="1" customWidth="1"/>
    <col min="13330" max="13330" width="14" bestFit="1" customWidth="1"/>
    <col min="13331" max="13331" width="6" bestFit="1" customWidth="1"/>
    <col min="13332" max="13332" width="15" customWidth="1"/>
    <col min="13333" max="13333" width="14.85546875" bestFit="1" customWidth="1"/>
    <col min="13334" max="13334" width="16.140625" bestFit="1" customWidth="1"/>
    <col min="13562" max="13562" width="24" bestFit="1" customWidth="1"/>
    <col min="13563" max="13563" width="43.85546875" customWidth="1"/>
    <col min="13564" max="13564" width="19.7109375" bestFit="1" customWidth="1"/>
    <col min="13565" max="13565" width="15.28515625" bestFit="1" customWidth="1"/>
    <col min="13566" max="13566" width="14.85546875" bestFit="1" customWidth="1"/>
    <col min="13567" max="13567" width="13.42578125" customWidth="1"/>
    <col min="13568" max="13568" width="15.28515625" bestFit="1" customWidth="1"/>
    <col min="13569" max="13569" width="14.140625" bestFit="1" customWidth="1"/>
    <col min="13570" max="13570" width="15.28515625" customWidth="1"/>
    <col min="13571" max="13571" width="15.85546875" customWidth="1"/>
    <col min="13572" max="13572" width="17" bestFit="1" customWidth="1"/>
    <col min="13573" max="13573" width="12.7109375" customWidth="1"/>
    <col min="13574" max="13574" width="13.7109375" customWidth="1"/>
    <col min="13575" max="13575" width="13.85546875" bestFit="1" customWidth="1"/>
    <col min="13576" max="13576" width="15.5703125" bestFit="1" customWidth="1"/>
    <col min="13577" max="13577" width="16.140625" customWidth="1"/>
    <col min="13578" max="13578" width="16.7109375" bestFit="1" customWidth="1"/>
    <col min="13579" max="13580" width="15.5703125" bestFit="1" customWidth="1"/>
    <col min="13581" max="13581" width="16.42578125" bestFit="1" customWidth="1"/>
    <col min="13582" max="13582" width="14.28515625" customWidth="1"/>
    <col min="13583" max="13583" width="12.85546875" bestFit="1" customWidth="1"/>
    <col min="13584" max="13584" width="11.28515625" bestFit="1" customWidth="1"/>
    <col min="13585" max="13585" width="12.5703125" bestFit="1" customWidth="1"/>
    <col min="13586" max="13586" width="14" bestFit="1" customWidth="1"/>
    <col min="13587" max="13587" width="6" bestFit="1" customWidth="1"/>
    <col min="13588" max="13588" width="15" customWidth="1"/>
    <col min="13589" max="13589" width="14.85546875" bestFit="1" customWidth="1"/>
    <col min="13590" max="13590" width="16.140625" bestFit="1" customWidth="1"/>
    <col min="13818" max="13818" width="24" bestFit="1" customWidth="1"/>
    <col min="13819" max="13819" width="43.85546875" customWidth="1"/>
    <col min="13820" max="13820" width="19.7109375" bestFit="1" customWidth="1"/>
    <col min="13821" max="13821" width="15.28515625" bestFit="1" customWidth="1"/>
    <col min="13822" max="13822" width="14.85546875" bestFit="1" customWidth="1"/>
    <col min="13823" max="13823" width="13.42578125" customWidth="1"/>
    <col min="13824" max="13824" width="15.28515625" bestFit="1" customWidth="1"/>
    <col min="13825" max="13825" width="14.140625" bestFit="1" customWidth="1"/>
    <col min="13826" max="13826" width="15.28515625" customWidth="1"/>
    <col min="13827" max="13827" width="15.85546875" customWidth="1"/>
    <col min="13828" max="13828" width="17" bestFit="1" customWidth="1"/>
    <col min="13829" max="13829" width="12.7109375" customWidth="1"/>
    <col min="13830" max="13830" width="13.7109375" customWidth="1"/>
    <col min="13831" max="13831" width="13.85546875" bestFit="1" customWidth="1"/>
    <col min="13832" max="13832" width="15.5703125" bestFit="1" customWidth="1"/>
    <col min="13833" max="13833" width="16.140625" customWidth="1"/>
    <col min="13834" max="13834" width="16.7109375" bestFit="1" customWidth="1"/>
    <col min="13835" max="13836" width="15.5703125" bestFit="1" customWidth="1"/>
    <col min="13837" max="13837" width="16.42578125" bestFit="1" customWidth="1"/>
    <col min="13838" max="13838" width="14.28515625" customWidth="1"/>
    <col min="13839" max="13839" width="12.85546875" bestFit="1" customWidth="1"/>
    <col min="13840" max="13840" width="11.28515625" bestFit="1" customWidth="1"/>
    <col min="13841" max="13841" width="12.5703125" bestFit="1" customWidth="1"/>
    <col min="13842" max="13842" width="14" bestFit="1" customWidth="1"/>
    <col min="13843" max="13843" width="6" bestFit="1" customWidth="1"/>
    <col min="13844" max="13844" width="15" customWidth="1"/>
    <col min="13845" max="13845" width="14.85546875" bestFit="1" customWidth="1"/>
    <col min="13846" max="13846" width="16.140625" bestFit="1" customWidth="1"/>
    <col min="14074" max="14074" width="24" bestFit="1" customWidth="1"/>
    <col min="14075" max="14075" width="43.85546875" customWidth="1"/>
    <col min="14076" max="14076" width="19.7109375" bestFit="1" customWidth="1"/>
    <col min="14077" max="14077" width="15.28515625" bestFit="1" customWidth="1"/>
    <col min="14078" max="14078" width="14.85546875" bestFit="1" customWidth="1"/>
    <col min="14079" max="14079" width="13.42578125" customWidth="1"/>
    <col min="14080" max="14080" width="15.28515625" bestFit="1" customWidth="1"/>
    <col min="14081" max="14081" width="14.140625" bestFit="1" customWidth="1"/>
    <col min="14082" max="14082" width="15.28515625" customWidth="1"/>
    <col min="14083" max="14083" width="15.85546875" customWidth="1"/>
    <col min="14084" max="14084" width="17" bestFit="1" customWidth="1"/>
    <col min="14085" max="14085" width="12.7109375" customWidth="1"/>
    <col min="14086" max="14086" width="13.7109375" customWidth="1"/>
    <col min="14087" max="14087" width="13.85546875" bestFit="1" customWidth="1"/>
    <col min="14088" max="14088" width="15.5703125" bestFit="1" customWidth="1"/>
    <col min="14089" max="14089" width="16.140625" customWidth="1"/>
    <col min="14090" max="14090" width="16.7109375" bestFit="1" customWidth="1"/>
    <col min="14091" max="14092" width="15.5703125" bestFit="1" customWidth="1"/>
    <col min="14093" max="14093" width="16.42578125" bestFit="1" customWidth="1"/>
    <col min="14094" max="14094" width="14.28515625" customWidth="1"/>
    <col min="14095" max="14095" width="12.85546875" bestFit="1" customWidth="1"/>
    <col min="14096" max="14096" width="11.28515625" bestFit="1" customWidth="1"/>
    <col min="14097" max="14097" width="12.5703125" bestFit="1" customWidth="1"/>
    <col min="14098" max="14098" width="14" bestFit="1" customWidth="1"/>
    <col min="14099" max="14099" width="6" bestFit="1" customWidth="1"/>
    <col min="14100" max="14100" width="15" customWidth="1"/>
    <col min="14101" max="14101" width="14.85546875" bestFit="1" customWidth="1"/>
    <col min="14102" max="14102" width="16.140625" bestFit="1" customWidth="1"/>
    <col min="14330" max="14330" width="24" bestFit="1" customWidth="1"/>
    <col min="14331" max="14331" width="43.85546875" customWidth="1"/>
    <col min="14332" max="14332" width="19.7109375" bestFit="1" customWidth="1"/>
    <col min="14333" max="14333" width="15.28515625" bestFit="1" customWidth="1"/>
    <col min="14334" max="14334" width="14.85546875" bestFit="1" customWidth="1"/>
    <col min="14335" max="14335" width="13.42578125" customWidth="1"/>
    <col min="14336" max="14336" width="15.28515625" bestFit="1" customWidth="1"/>
    <col min="14337" max="14337" width="14.140625" bestFit="1" customWidth="1"/>
    <col min="14338" max="14338" width="15.28515625" customWidth="1"/>
    <col min="14339" max="14339" width="15.85546875" customWidth="1"/>
    <col min="14340" max="14340" width="17" bestFit="1" customWidth="1"/>
    <col min="14341" max="14341" width="12.7109375" customWidth="1"/>
    <col min="14342" max="14342" width="13.7109375" customWidth="1"/>
    <col min="14343" max="14343" width="13.85546875" bestFit="1" customWidth="1"/>
    <col min="14344" max="14344" width="15.5703125" bestFit="1" customWidth="1"/>
    <col min="14345" max="14345" width="16.140625" customWidth="1"/>
    <col min="14346" max="14346" width="16.7109375" bestFit="1" customWidth="1"/>
    <col min="14347" max="14348" width="15.5703125" bestFit="1" customWidth="1"/>
    <col min="14349" max="14349" width="16.42578125" bestFit="1" customWidth="1"/>
    <col min="14350" max="14350" width="14.28515625" customWidth="1"/>
    <col min="14351" max="14351" width="12.85546875" bestFit="1" customWidth="1"/>
    <col min="14352" max="14352" width="11.28515625" bestFit="1" customWidth="1"/>
    <col min="14353" max="14353" width="12.5703125" bestFit="1" customWidth="1"/>
    <col min="14354" max="14354" width="14" bestFit="1" customWidth="1"/>
    <col min="14355" max="14355" width="6" bestFit="1" customWidth="1"/>
    <col min="14356" max="14356" width="15" customWidth="1"/>
    <col min="14357" max="14357" width="14.85546875" bestFit="1" customWidth="1"/>
    <col min="14358" max="14358" width="16.140625" bestFit="1" customWidth="1"/>
    <col min="14586" max="14586" width="24" bestFit="1" customWidth="1"/>
    <col min="14587" max="14587" width="43.85546875" customWidth="1"/>
    <col min="14588" max="14588" width="19.7109375" bestFit="1" customWidth="1"/>
    <col min="14589" max="14589" width="15.28515625" bestFit="1" customWidth="1"/>
    <col min="14590" max="14590" width="14.85546875" bestFit="1" customWidth="1"/>
    <col min="14591" max="14591" width="13.42578125" customWidth="1"/>
    <col min="14592" max="14592" width="15.28515625" bestFit="1" customWidth="1"/>
    <col min="14593" max="14593" width="14.140625" bestFit="1" customWidth="1"/>
    <col min="14594" max="14594" width="15.28515625" customWidth="1"/>
    <col min="14595" max="14595" width="15.85546875" customWidth="1"/>
    <col min="14596" max="14596" width="17" bestFit="1" customWidth="1"/>
    <col min="14597" max="14597" width="12.7109375" customWidth="1"/>
    <col min="14598" max="14598" width="13.7109375" customWidth="1"/>
    <col min="14599" max="14599" width="13.85546875" bestFit="1" customWidth="1"/>
    <col min="14600" max="14600" width="15.5703125" bestFit="1" customWidth="1"/>
    <col min="14601" max="14601" width="16.140625" customWidth="1"/>
    <col min="14602" max="14602" width="16.7109375" bestFit="1" customWidth="1"/>
    <col min="14603" max="14604" width="15.5703125" bestFit="1" customWidth="1"/>
    <col min="14605" max="14605" width="16.42578125" bestFit="1" customWidth="1"/>
    <col min="14606" max="14606" width="14.28515625" customWidth="1"/>
    <col min="14607" max="14607" width="12.85546875" bestFit="1" customWidth="1"/>
    <col min="14608" max="14608" width="11.28515625" bestFit="1" customWidth="1"/>
    <col min="14609" max="14609" width="12.5703125" bestFit="1" customWidth="1"/>
    <col min="14610" max="14610" width="14" bestFit="1" customWidth="1"/>
    <col min="14611" max="14611" width="6" bestFit="1" customWidth="1"/>
    <col min="14612" max="14612" width="15" customWidth="1"/>
    <col min="14613" max="14613" width="14.85546875" bestFit="1" customWidth="1"/>
    <col min="14614" max="14614" width="16.140625" bestFit="1" customWidth="1"/>
    <col min="14842" max="14842" width="24" bestFit="1" customWidth="1"/>
    <col min="14843" max="14843" width="43.85546875" customWidth="1"/>
    <col min="14844" max="14844" width="19.7109375" bestFit="1" customWidth="1"/>
    <col min="14845" max="14845" width="15.28515625" bestFit="1" customWidth="1"/>
    <col min="14846" max="14846" width="14.85546875" bestFit="1" customWidth="1"/>
    <col min="14847" max="14847" width="13.42578125" customWidth="1"/>
    <col min="14848" max="14848" width="15.28515625" bestFit="1" customWidth="1"/>
    <col min="14849" max="14849" width="14.140625" bestFit="1" customWidth="1"/>
    <col min="14850" max="14850" width="15.28515625" customWidth="1"/>
    <col min="14851" max="14851" width="15.85546875" customWidth="1"/>
    <col min="14852" max="14852" width="17" bestFit="1" customWidth="1"/>
    <col min="14853" max="14853" width="12.7109375" customWidth="1"/>
    <col min="14854" max="14854" width="13.7109375" customWidth="1"/>
    <col min="14855" max="14855" width="13.85546875" bestFit="1" customWidth="1"/>
    <col min="14856" max="14856" width="15.5703125" bestFit="1" customWidth="1"/>
    <col min="14857" max="14857" width="16.140625" customWidth="1"/>
    <col min="14858" max="14858" width="16.7109375" bestFit="1" customWidth="1"/>
    <col min="14859" max="14860" width="15.5703125" bestFit="1" customWidth="1"/>
    <col min="14861" max="14861" width="16.42578125" bestFit="1" customWidth="1"/>
    <col min="14862" max="14862" width="14.28515625" customWidth="1"/>
    <col min="14863" max="14863" width="12.85546875" bestFit="1" customWidth="1"/>
    <col min="14864" max="14864" width="11.28515625" bestFit="1" customWidth="1"/>
    <col min="14865" max="14865" width="12.5703125" bestFit="1" customWidth="1"/>
    <col min="14866" max="14866" width="14" bestFit="1" customWidth="1"/>
    <col min="14867" max="14867" width="6" bestFit="1" customWidth="1"/>
    <col min="14868" max="14868" width="15" customWidth="1"/>
    <col min="14869" max="14869" width="14.85546875" bestFit="1" customWidth="1"/>
    <col min="14870" max="14870" width="16.140625" bestFit="1" customWidth="1"/>
    <col min="15098" max="15098" width="24" bestFit="1" customWidth="1"/>
    <col min="15099" max="15099" width="43.85546875" customWidth="1"/>
    <col min="15100" max="15100" width="19.7109375" bestFit="1" customWidth="1"/>
    <col min="15101" max="15101" width="15.28515625" bestFit="1" customWidth="1"/>
    <col min="15102" max="15102" width="14.85546875" bestFit="1" customWidth="1"/>
    <col min="15103" max="15103" width="13.42578125" customWidth="1"/>
    <col min="15104" max="15104" width="15.28515625" bestFit="1" customWidth="1"/>
    <col min="15105" max="15105" width="14.140625" bestFit="1" customWidth="1"/>
    <col min="15106" max="15106" width="15.28515625" customWidth="1"/>
    <col min="15107" max="15107" width="15.85546875" customWidth="1"/>
    <col min="15108" max="15108" width="17" bestFit="1" customWidth="1"/>
    <col min="15109" max="15109" width="12.7109375" customWidth="1"/>
    <col min="15110" max="15110" width="13.7109375" customWidth="1"/>
    <col min="15111" max="15111" width="13.85546875" bestFit="1" customWidth="1"/>
    <col min="15112" max="15112" width="15.5703125" bestFit="1" customWidth="1"/>
    <col min="15113" max="15113" width="16.140625" customWidth="1"/>
    <col min="15114" max="15114" width="16.7109375" bestFit="1" customWidth="1"/>
    <col min="15115" max="15116" width="15.5703125" bestFit="1" customWidth="1"/>
    <col min="15117" max="15117" width="16.42578125" bestFit="1" customWidth="1"/>
    <col min="15118" max="15118" width="14.28515625" customWidth="1"/>
    <col min="15119" max="15119" width="12.85546875" bestFit="1" customWidth="1"/>
    <col min="15120" max="15120" width="11.28515625" bestFit="1" customWidth="1"/>
    <col min="15121" max="15121" width="12.5703125" bestFit="1" customWidth="1"/>
    <col min="15122" max="15122" width="14" bestFit="1" customWidth="1"/>
    <col min="15123" max="15123" width="6" bestFit="1" customWidth="1"/>
    <col min="15124" max="15124" width="15" customWidth="1"/>
    <col min="15125" max="15125" width="14.85546875" bestFit="1" customWidth="1"/>
    <col min="15126" max="15126" width="16.140625" bestFit="1" customWidth="1"/>
    <col min="15354" max="15354" width="24" bestFit="1" customWidth="1"/>
    <col min="15355" max="15355" width="43.85546875" customWidth="1"/>
    <col min="15356" max="15356" width="19.7109375" bestFit="1" customWidth="1"/>
    <col min="15357" max="15357" width="15.28515625" bestFit="1" customWidth="1"/>
    <col min="15358" max="15358" width="14.85546875" bestFit="1" customWidth="1"/>
    <col min="15359" max="15359" width="13.42578125" customWidth="1"/>
    <col min="15360" max="15360" width="15.28515625" bestFit="1" customWidth="1"/>
    <col min="15361" max="15361" width="14.140625" bestFit="1" customWidth="1"/>
    <col min="15362" max="15362" width="15.28515625" customWidth="1"/>
    <col min="15363" max="15363" width="15.85546875" customWidth="1"/>
    <col min="15364" max="15364" width="17" bestFit="1" customWidth="1"/>
    <col min="15365" max="15365" width="12.7109375" customWidth="1"/>
    <col min="15366" max="15366" width="13.7109375" customWidth="1"/>
    <col min="15367" max="15367" width="13.85546875" bestFit="1" customWidth="1"/>
    <col min="15368" max="15368" width="15.5703125" bestFit="1" customWidth="1"/>
    <col min="15369" max="15369" width="16.140625" customWidth="1"/>
    <col min="15370" max="15370" width="16.7109375" bestFit="1" customWidth="1"/>
    <col min="15371" max="15372" width="15.5703125" bestFit="1" customWidth="1"/>
    <col min="15373" max="15373" width="16.42578125" bestFit="1" customWidth="1"/>
    <col min="15374" max="15374" width="14.28515625" customWidth="1"/>
    <col min="15375" max="15375" width="12.85546875" bestFit="1" customWidth="1"/>
    <col min="15376" max="15376" width="11.28515625" bestFit="1" customWidth="1"/>
    <col min="15377" max="15377" width="12.5703125" bestFit="1" customWidth="1"/>
    <col min="15378" max="15378" width="14" bestFit="1" customWidth="1"/>
    <col min="15379" max="15379" width="6" bestFit="1" customWidth="1"/>
    <col min="15380" max="15380" width="15" customWidth="1"/>
    <col min="15381" max="15381" width="14.85546875" bestFit="1" customWidth="1"/>
    <col min="15382" max="15382" width="16.140625" bestFit="1" customWidth="1"/>
    <col min="15610" max="15610" width="24" bestFit="1" customWidth="1"/>
    <col min="15611" max="15611" width="43.85546875" customWidth="1"/>
    <col min="15612" max="15612" width="19.7109375" bestFit="1" customWidth="1"/>
    <col min="15613" max="15613" width="15.28515625" bestFit="1" customWidth="1"/>
    <col min="15614" max="15614" width="14.85546875" bestFit="1" customWidth="1"/>
    <col min="15615" max="15615" width="13.42578125" customWidth="1"/>
    <col min="15616" max="15616" width="15.28515625" bestFit="1" customWidth="1"/>
    <col min="15617" max="15617" width="14.140625" bestFit="1" customWidth="1"/>
    <col min="15618" max="15618" width="15.28515625" customWidth="1"/>
    <col min="15619" max="15619" width="15.85546875" customWidth="1"/>
    <col min="15620" max="15620" width="17" bestFit="1" customWidth="1"/>
    <col min="15621" max="15621" width="12.7109375" customWidth="1"/>
    <col min="15622" max="15622" width="13.7109375" customWidth="1"/>
    <col min="15623" max="15623" width="13.85546875" bestFit="1" customWidth="1"/>
    <col min="15624" max="15624" width="15.5703125" bestFit="1" customWidth="1"/>
    <col min="15625" max="15625" width="16.140625" customWidth="1"/>
    <col min="15626" max="15626" width="16.7109375" bestFit="1" customWidth="1"/>
    <col min="15627" max="15628" width="15.5703125" bestFit="1" customWidth="1"/>
    <col min="15629" max="15629" width="16.42578125" bestFit="1" customWidth="1"/>
    <col min="15630" max="15630" width="14.28515625" customWidth="1"/>
    <col min="15631" max="15631" width="12.85546875" bestFit="1" customWidth="1"/>
    <col min="15632" max="15632" width="11.28515625" bestFit="1" customWidth="1"/>
    <col min="15633" max="15633" width="12.5703125" bestFit="1" customWidth="1"/>
    <col min="15634" max="15634" width="14" bestFit="1" customWidth="1"/>
    <col min="15635" max="15635" width="6" bestFit="1" customWidth="1"/>
    <col min="15636" max="15636" width="15" customWidth="1"/>
    <col min="15637" max="15637" width="14.85546875" bestFit="1" customWidth="1"/>
    <col min="15638" max="15638" width="16.140625" bestFit="1" customWidth="1"/>
    <col min="15866" max="15866" width="24" bestFit="1" customWidth="1"/>
    <col min="15867" max="15867" width="43.85546875" customWidth="1"/>
    <col min="15868" max="15868" width="19.7109375" bestFit="1" customWidth="1"/>
    <col min="15869" max="15869" width="15.28515625" bestFit="1" customWidth="1"/>
    <col min="15870" max="15870" width="14.85546875" bestFit="1" customWidth="1"/>
    <col min="15871" max="15871" width="13.42578125" customWidth="1"/>
    <col min="15872" max="15872" width="15.28515625" bestFit="1" customWidth="1"/>
    <col min="15873" max="15873" width="14.140625" bestFit="1" customWidth="1"/>
    <col min="15874" max="15874" width="15.28515625" customWidth="1"/>
    <col min="15875" max="15875" width="15.85546875" customWidth="1"/>
    <col min="15876" max="15876" width="17" bestFit="1" customWidth="1"/>
    <col min="15877" max="15877" width="12.7109375" customWidth="1"/>
    <col min="15878" max="15878" width="13.7109375" customWidth="1"/>
    <col min="15879" max="15879" width="13.85546875" bestFit="1" customWidth="1"/>
    <col min="15880" max="15880" width="15.5703125" bestFit="1" customWidth="1"/>
    <col min="15881" max="15881" width="16.140625" customWidth="1"/>
    <col min="15882" max="15882" width="16.7109375" bestFit="1" customWidth="1"/>
    <col min="15883" max="15884" width="15.5703125" bestFit="1" customWidth="1"/>
    <col min="15885" max="15885" width="16.42578125" bestFit="1" customWidth="1"/>
    <col min="15886" max="15886" width="14.28515625" customWidth="1"/>
    <col min="15887" max="15887" width="12.85546875" bestFit="1" customWidth="1"/>
    <col min="15888" max="15888" width="11.28515625" bestFit="1" customWidth="1"/>
    <col min="15889" max="15889" width="12.5703125" bestFit="1" customWidth="1"/>
    <col min="15890" max="15890" width="14" bestFit="1" customWidth="1"/>
    <col min="15891" max="15891" width="6" bestFit="1" customWidth="1"/>
    <col min="15892" max="15892" width="15" customWidth="1"/>
    <col min="15893" max="15893" width="14.85546875" bestFit="1" customWidth="1"/>
    <col min="15894" max="15894" width="16.140625" bestFit="1" customWidth="1"/>
    <col min="16122" max="16122" width="24" bestFit="1" customWidth="1"/>
    <col min="16123" max="16123" width="43.85546875" customWidth="1"/>
    <col min="16124" max="16124" width="19.7109375" bestFit="1" customWidth="1"/>
    <col min="16125" max="16125" width="15.28515625" bestFit="1" customWidth="1"/>
    <col min="16126" max="16126" width="14.85546875" bestFit="1" customWidth="1"/>
    <col min="16127" max="16127" width="13.42578125" customWidth="1"/>
    <col min="16128" max="16128" width="15.28515625" bestFit="1" customWidth="1"/>
    <col min="16129" max="16129" width="14.140625" bestFit="1" customWidth="1"/>
    <col min="16130" max="16130" width="15.28515625" customWidth="1"/>
    <col min="16131" max="16131" width="15.85546875" customWidth="1"/>
    <col min="16132" max="16132" width="17" bestFit="1" customWidth="1"/>
    <col min="16133" max="16133" width="12.7109375" customWidth="1"/>
    <col min="16134" max="16134" width="13.7109375" customWidth="1"/>
    <col min="16135" max="16135" width="13.85546875" bestFit="1" customWidth="1"/>
    <col min="16136" max="16136" width="15.5703125" bestFit="1" customWidth="1"/>
    <col min="16137" max="16137" width="16.140625" customWidth="1"/>
    <col min="16138" max="16138" width="16.7109375" bestFit="1" customWidth="1"/>
    <col min="16139" max="16140" width="15.5703125" bestFit="1" customWidth="1"/>
    <col min="16141" max="16141" width="16.42578125" bestFit="1" customWidth="1"/>
    <col min="16142" max="16142" width="14.28515625" customWidth="1"/>
    <col min="16143" max="16143" width="12.85546875" bestFit="1" customWidth="1"/>
    <col min="16144" max="16144" width="11.28515625" bestFit="1" customWidth="1"/>
    <col min="16145" max="16145" width="12.5703125" bestFit="1" customWidth="1"/>
    <col min="16146" max="16146" width="14" bestFit="1" customWidth="1"/>
    <col min="16147" max="16147" width="6" bestFit="1" customWidth="1"/>
    <col min="16148" max="16148" width="15" customWidth="1"/>
    <col min="16149" max="16149" width="14.85546875" bestFit="1" customWidth="1"/>
    <col min="16150" max="16150" width="16.140625" bestFit="1" customWidth="1"/>
  </cols>
  <sheetData>
    <row r="1" spans="1:27" ht="57" customHeight="1" thickBot="1">
      <c r="C1" s="1361" t="s">
        <v>272</v>
      </c>
      <c r="D1" s="1380" t="s">
        <v>273</v>
      </c>
      <c r="E1" s="1361" t="s">
        <v>5</v>
      </c>
      <c r="F1" s="1361">
        <v>18230442</v>
      </c>
      <c r="G1" s="1361" t="s">
        <v>28</v>
      </c>
      <c r="J1" s="44"/>
      <c r="M1" s="1361" t="s">
        <v>272</v>
      </c>
      <c r="N1" s="1380" t="s">
        <v>273</v>
      </c>
      <c r="O1" s="1361" t="s">
        <v>5</v>
      </c>
      <c r="P1" s="1361">
        <v>18230442</v>
      </c>
      <c r="Q1" s="1361" t="s">
        <v>28</v>
      </c>
      <c r="V1" s="1361" t="s">
        <v>272</v>
      </c>
      <c r="W1" s="1380" t="s">
        <v>273</v>
      </c>
      <c r="X1" s="1361" t="s">
        <v>5</v>
      </c>
      <c r="Y1" s="1361">
        <v>18230442</v>
      </c>
      <c r="Z1" s="1361" t="s">
        <v>28</v>
      </c>
    </row>
    <row r="2" spans="1:27" ht="16.5" thickBot="1">
      <c r="C2" s="44"/>
      <c r="D2" s="45"/>
      <c r="G2" s="1652"/>
      <c r="I2" s="1178" t="s">
        <v>627</v>
      </c>
      <c r="S2" s="3575"/>
      <c r="T2" s="3575"/>
      <c r="U2" s="3576" t="s">
        <v>33</v>
      </c>
      <c r="V2" s="3577"/>
      <c r="W2" s="3578"/>
      <c r="X2" s="3579" t="s">
        <v>34</v>
      </c>
    </row>
    <row r="3" spans="1:27" ht="26.25" thickBot="1">
      <c r="A3" s="1357" t="s">
        <v>272</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1392" t="s">
        <v>273</v>
      </c>
      <c r="B4" s="1392"/>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7" ht="16.5" thickBot="1">
      <c r="A5" s="1357" t="s">
        <v>5</v>
      </c>
      <c r="B5" s="1357"/>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1357">
        <v>18230442</v>
      </c>
      <c r="B6" s="1357"/>
      <c r="D6" s="1190"/>
      <c r="G6" s="1652"/>
      <c r="H6" s="2648"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1357"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2604" t="s">
        <v>300</v>
      </c>
      <c r="AA10" s="1465"/>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1749</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432"/>
      <c r="C17" s="1423"/>
      <c r="D17" s="2784"/>
      <c r="E17" s="1447"/>
      <c r="F17" s="1426">
        <f t="shared" ref="F17:F19"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432"/>
      <c r="C18" s="1423"/>
      <c r="D18" s="2784"/>
      <c r="E18" s="1447"/>
      <c r="F18" s="1426">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432"/>
      <c r="C19" s="1423"/>
      <c r="D19" s="2786"/>
      <c r="E19" s="1446"/>
      <c r="F19" s="1426">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451"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423"/>
      <c r="D22" s="2772"/>
      <c r="E22" s="1448"/>
      <c r="F22" s="1426">
        <f t="shared" ref="F22:F25" si="1">SUM(D22:E22)</f>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423"/>
      <c r="D23" s="2773"/>
      <c r="E23" s="1444"/>
      <c r="F23" s="1426">
        <f t="shared" si="1"/>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423"/>
      <c r="D24" s="2774"/>
      <c r="E24" s="1443"/>
      <c r="F24" s="1426">
        <f t="shared" si="1"/>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423"/>
      <c r="D25" s="2775"/>
      <c r="E25" s="1444"/>
      <c r="F25" s="1426">
        <f t="shared" si="1"/>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504">
        <f>E15*E28</f>
        <v>0</v>
      </c>
      <c r="F29" s="1426">
        <f t="shared" ref="F29:F35" si="2">SUM(D29:E29)</f>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504">
        <f>E21*E28</f>
        <v>0</v>
      </c>
      <c r="F30" s="1426">
        <f t="shared" si="2"/>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26">
        <f t="shared" si="2"/>
        <v>0</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1357" t="s">
        <v>272</v>
      </c>
      <c r="C34" s="1667" t="s">
        <v>720</v>
      </c>
      <c r="D34" s="2785"/>
      <c r="E34" s="1641">
        <f>E21*E32</f>
        <v>0</v>
      </c>
      <c r="F34" s="1661">
        <f t="shared" ref="F34" si="3">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1392" t="s">
        <v>273</v>
      </c>
      <c r="C35" s="1445"/>
      <c r="D35" s="2775"/>
      <c r="E35" s="1444"/>
      <c r="F35" s="1426">
        <f t="shared" si="2"/>
        <v>0</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1357">
        <v>18230442</v>
      </c>
      <c r="C37" s="1451"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1357" t="s">
        <v>28</v>
      </c>
      <c r="C38" s="1423"/>
      <c r="D38" s="2778"/>
      <c r="E38" s="1520"/>
      <c r="F38" s="1426">
        <f t="shared" ref="F38:F41" si="4">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C39" s="1423"/>
      <c r="D39" s="2778"/>
      <c r="E39" s="1520"/>
      <c r="F39" s="1426">
        <f t="shared" si="4"/>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C40" s="1423"/>
      <c r="D40" s="2778"/>
      <c r="E40" s="1520"/>
      <c r="F40" s="1426">
        <f t="shared" si="4"/>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423"/>
      <c r="D41" s="2778"/>
      <c r="E41" s="1520"/>
      <c r="F41" s="1426">
        <f t="shared" si="4"/>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423"/>
      <c r="D44" s="2778"/>
      <c r="E44" s="1520"/>
      <c r="F44" s="1426">
        <f t="shared" ref="F44:F47" si="5">SUM(D44:E44)</f>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423"/>
      <c r="D45" s="2778"/>
      <c r="E45" s="1520"/>
      <c r="F45" s="1426">
        <f t="shared" si="5"/>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423"/>
      <c r="D46" s="2778"/>
      <c r="E46" s="1520"/>
      <c r="F46" s="1426">
        <f t="shared" si="5"/>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423"/>
      <c r="D47" s="2778"/>
      <c r="E47" s="1520"/>
      <c r="F47" s="1426">
        <f t="shared" si="5"/>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451"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423"/>
      <c r="D50" s="2778"/>
      <c r="E50" s="1520"/>
      <c r="F50" s="1426">
        <f t="shared" ref="F50:F53" si="6">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423"/>
      <c r="D51" s="2778"/>
      <c r="E51" s="1520"/>
      <c r="F51" s="1426">
        <f t="shared" si="6"/>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423"/>
      <c r="D52" s="2778"/>
      <c r="E52" s="1520"/>
      <c r="F52" s="1426">
        <f t="shared" si="6"/>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423"/>
      <c r="D53" s="2778"/>
      <c r="E53" s="1520"/>
      <c r="F53" s="1426">
        <f t="shared" si="6"/>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451" t="s">
        <v>48</v>
      </c>
      <c r="D55" s="2771">
        <f>SUM(D56:D59)</f>
        <v>0</v>
      </c>
      <c r="E55" s="1464">
        <f>SUM(E56:E59)</f>
        <v>0</v>
      </c>
      <c r="F55" s="1638">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423"/>
      <c r="D56" s="2778"/>
      <c r="E56" s="1504"/>
      <c r="F56" s="1426">
        <f t="shared" ref="F56:F59" si="7">SUM(D56:E56)</f>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423"/>
      <c r="D57" s="2778"/>
      <c r="E57" s="1504"/>
      <c r="F57" s="1426">
        <f t="shared" si="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423"/>
      <c r="D58" s="2778"/>
      <c r="E58" s="1504"/>
      <c r="F58" s="1426">
        <f t="shared" si="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423"/>
      <c r="D59" s="2778"/>
      <c r="E59" s="1504"/>
      <c r="F59" s="1426">
        <f t="shared" si="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451"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423"/>
      <c r="D62" s="2778"/>
      <c r="E62" s="1520"/>
      <c r="F62" s="1426">
        <f t="shared" ref="F62:F65" si="8">SUM(D62:E62)</f>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423"/>
      <c r="D63" s="2778"/>
      <c r="E63" s="1520"/>
      <c r="F63" s="1426">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1357" t="s">
        <v>272</v>
      </c>
      <c r="C64" s="1423"/>
      <c r="D64" s="2778"/>
      <c r="E64" s="1520"/>
      <c r="F64" s="1426">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1392" t="s">
        <v>273</v>
      </c>
      <c r="C65" s="1423"/>
      <c r="D65" s="2778"/>
      <c r="E65" s="1520"/>
      <c r="F65" s="1426">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1357" t="s">
        <v>5</v>
      </c>
      <c r="C66" s="1488"/>
      <c r="D66" s="2779"/>
      <c r="E66" s="1490"/>
      <c r="F66" s="1493"/>
    </row>
    <row r="67" spans="1:27">
      <c r="A67" s="1357">
        <v>18230442</v>
      </c>
      <c r="C67" s="1451" t="s">
        <v>50</v>
      </c>
      <c r="D67" s="2771">
        <f>W15</f>
        <v>0</v>
      </c>
      <c r="E67" s="1464">
        <f>X15*1.15</f>
        <v>0</v>
      </c>
      <c r="F67" s="1462">
        <f>D67+E67</f>
        <v>0</v>
      </c>
    </row>
    <row r="68" spans="1:27">
      <c r="A68" s="1357" t="s">
        <v>28</v>
      </c>
      <c r="C68" s="1500" t="s">
        <v>297</v>
      </c>
      <c r="D68" s="2781"/>
      <c r="E68" s="1496"/>
      <c r="F68" s="1499"/>
    </row>
    <row r="69" spans="1:27">
      <c r="C69" s="1501"/>
      <c r="D69" s="2782"/>
      <c r="E69" s="1497"/>
      <c r="F69" s="1498"/>
    </row>
    <row r="70" spans="1:27">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I20" sqref="I20"/>
      <pageMargins left="0.17" right="0.23" top="0.34" bottom="0.37" header="0.3" footer="0.3"/>
      <pageSetup paperSize="17" scale="44" orientation="landscape" r:id="rId1"/>
    </customSheetView>
    <customSheetView guid="{074EB09C-6289-46D7-9513-012B68BCA7BF}" showGridLines="0" fitToPage="1">
      <pane xSplit="1" ySplit="1" topLeftCell="B2" activePane="bottomRight" state="frozen"/>
      <selection pane="bottomRight" activeCell="E29" sqref="E29"/>
      <pageMargins left="0.17" right="0.23" top="0.34" bottom="0.37" header="0.3" footer="0.3"/>
      <pageSetup paperSize="17" scale="44"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23" top="0.34" bottom="0.37" header="0.3" footer="0.3"/>
  <pageSetup paperSize="3" scale="50" orientation="landscape" r:id="rId3"/>
  <ignoredErrors>
    <ignoredError sqref="S4:X6" evalError="1"/>
  </ignoredErrors>
  <drawing r:id="rId4"/>
  <legacyDrawing r:id="rId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60497B"/>
  </sheetPr>
  <dimension ref="A1:AA70"/>
  <sheetViews>
    <sheetView showGridLines="0" workbookViewId="0">
      <pane xSplit="1" ySplit="1" topLeftCell="H5" activePane="bottomRight" state="frozen"/>
      <selection pane="topRight" activeCell="B1" sqref="B1"/>
      <selection pane="bottomLeft" activeCell="A2" sqref="A2"/>
      <selection pane="bottomRight" activeCell="H34" sqref="H34"/>
    </sheetView>
  </sheetViews>
  <sheetFormatPr defaultRowHeight="12.75"/>
  <cols>
    <col min="1" max="1" width="18.28515625" style="849" customWidth="1"/>
    <col min="2" max="2" width="15.140625" style="1413" customWidth="1"/>
    <col min="3" max="3" width="33" customWidth="1"/>
    <col min="4" max="4" width="19.5703125" customWidth="1"/>
    <col min="5" max="5" width="15.7109375" style="9" customWidth="1"/>
    <col min="6" max="6" width="15.7109375" customWidth="1"/>
    <col min="7" max="7" width="17.42578125" customWidth="1"/>
    <col min="8" max="8" width="46.1406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9.7109375" bestFit="1" customWidth="1"/>
    <col min="18" max="18" width="22.140625" bestFit="1" customWidth="1"/>
    <col min="19" max="19" width="17.7109375" bestFit="1" customWidth="1"/>
    <col min="20" max="21" width="15.5703125" bestFit="1" customWidth="1"/>
    <col min="22" max="22" width="16.42578125" bestFit="1" customWidth="1"/>
    <col min="23" max="23" width="14.28515625" customWidth="1"/>
    <col min="24" max="25" width="16.42578125" customWidth="1"/>
    <col min="26" max="26" width="12.5703125" style="1907" bestFit="1" customWidth="1"/>
    <col min="249" max="249" width="24" bestFit="1" customWidth="1"/>
    <col min="250" max="250" width="43.85546875" customWidth="1"/>
    <col min="251" max="251" width="19.7109375" bestFit="1" customWidth="1"/>
    <col min="252" max="252" width="15.28515625" bestFit="1" customWidth="1"/>
    <col min="253" max="253" width="18.7109375" bestFit="1" customWidth="1"/>
    <col min="254" max="254" width="13.42578125" customWidth="1"/>
    <col min="255" max="255" width="15.28515625" bestFit="1" customWidth="1"/>
    <col min="256" max="256" width="14.140625" bestFit="1" customWidth="1"/>
    <col min="257" max="257" width="15.28515625" customWidth="1"/>
    <col min="258" max="258" width="15.85546875" customWidth="1"/>
    <col min="259" max="259" width="17" bestFit="1" customWidth="1"/>
    <col min="260" max="260" width="12.7109375" customWidth="1"/>
    <col min="261" max="261" width="13.7109375" customWidth="1"/>
    <col min="262" max="262" width="13.85546875" bestFit="1" customWidth="1"/>
    <col min="263" max="263" width="19.7109375" bestFit="1" customWidth="1"/>
    <col min="264" max="264" width="22.140625" bestFit="1" customWidth="1"/>
    <col min="265" max="265" width="17.7109375" bestFit="1" customWidth="1"/>
    <col min="266" max="267" width="15.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7109375" bestFit="1" customWidth="1"/>
    <col min="508" max="508" width="15.28515625" bestFit="1" customWidth="1"/>
    <col min="509" max="509" width="18.7109375" bestFit="1" customWidth="1"/>
    <col min="510" max="510" width="13.42578125" customWidth="1"/>
    <col min="511" max="511" width="15.28515625" bestFit="1" customWidth="1"/>
    <col min="512" max="512" width="14.140625" bestFit="1" customWidth="1"/>
    <col min="513" max="513" width="15.28515625" customWidth="1"/>
    <col min="514" max="514" width="15.85546875" customWidth="1"/>
    <col min="515" max="515" width="17" bestFit="1" customWidth="1"/>
    <col min="516" max="516" width="12.7109375" customWidth="1"/>
    <col min="517" max="517" width="13.7109375" customWidth="1"/>
    <col min="518" max="518" width="13.85546875" bestFit="1" customWidth="1"/>
    <col min="519" max="519" width="19.7109375" bestFit="1" customWidth="1"/>
    <col min="520" max="520" width="22.140625" bestFit="1" customWidth="1"/>
    <col min="521" max="521" width="17.7109375" bestFit="1" customWidth="1"/>
    <col min="522" max="523" width="15.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7109375" bestFit="1" customWidth="1"/>
    <col min="764" max="764" width="15.28515625" bestFit="1" customWidth="1"/>
    <col min="765" max="765" width="18.7109375" bestFit="1" customWidth="1"/>
    <col min="766" max="766" width="13.42578125" customWidth="1"/>
    <col min="767" max="767" width="15.28515625" bestFit="1" customWidth="1"/>
    <col min="768" max="768" width="14.140625" bestFit="1" customWidth="1"/>
    <col min="769" max="769" width="15.28515625" customWidth="1"/>
    <col min="770" max="770" width="15.85546875" customWidth="1"/>
    <col min="771" max="771" width="17" bestFit="1" customWidth="1"/>
    <col min="772" max="772" width="12.7109375" customWidth="1"/>
    <col min="773" max="773" width="13.7109375" customWidth="1"/>
    <col min="774" max="774" width="13.85546875" bestFit="1" customWidth="1"/>
    <col min="775" max="775" width="19.7109375" bestFit="1" customWidth="1"/>
    <col min="776" max="776" width="22.140625" bestFit="1" customWidth="1"/>
    <col min="777" max="777" width="17.7109375" bestFit="1" customWidth="1"/>
    <col min="778" max="779" width="15.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7109375" bestFit="1" customWidth="1"/>
    <col min="1020" max="1020" width="15.28515625" bestFit="1" customWidth="1"/>
    <col min="1021" max="1021" width="18.7109375" bestFit="1" customWidth="1"/>
    <col min="1022" max="1022" width="13.42578125" customWidth="1"/>
    <col min="1023" max="1023" width="15.28515625" bestFit="1" customWidth="1"/>
    <col min="1024" max="1024" width="14.140625" bestFit="1" customWidth="1"/>
    <col min="1025" max="1025" width="15.28515625" customWidth="1"/>
    <col min="1026" max="1026" width="15.85546875" customWidth="1"/>
    <col min="1027" max="1027" width="17" bestFit="1" customWidth="1"/>
    <col min="1028" max="1028" width="12.7109375" customWidth="1"/>
    <col min="1029" max="1029" width="13.7109375" customWidth="1"/>
    <col min="1030" max="1030" width="13.85546875" bestFit="1" customWidth="1"/>
    <col min="1031" max="1031" width="19.7109375" bestFit="1" customWidth="1"/>
    <col min="1032" max="1032" width="22.140625" bestFit="1" customWidth="1"/>
    <col min="1033" max="1033" width="17.7109375" bestFit="1" customWidth="1"/>
    <col min="1034" max="1035" width="15.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7109375" bestFit="1" customWidth="1"/>
    <col min="1276" max="1276" width="15.28515625" bestFit="1" customWidth="1"/>
    <col min="1277" max="1277" width="18.7109375" bestFit="1" customWidth="1"/>
    <col min="1278" max="1278" width="13.42578125" customWidth="1"/>
    <col min="1279" max="1279" width="15.28515625" bestFit="1" customWidth="1"/>
    <col min="1280" max="1280" width="14.140625" bestFit="1" customWidth="1"/>
    <col min="1281" max="1281" width="15.28515625" customWidth="1"/>
    <col min="1282" max="1282" width="15.85546875" customWidth="1"/>
    <col min="1283" max="1283" width="17" bestFit="1" customWidth="1"/>
    <col min="1284" max="1284" width="12.7109375" customWidth="1"/>
    <col min="1285" max="1285" width="13.7109375" customWidth="1"/>
    <col min="1286" max="1286" width="13.85546875" bestFit="1" customWidth="1"/>
    <col min="1287" max="1287" width="19.7109375" bestFit="1" customWidth="1"/>
    <col min="1288" max="1288" width="22.140625" bestFit="1" customWidth="1"/>
    <col min="1289" max="1289" width="17.7109375" bestFit="1" customWidth="1"/>
    <col min="1290" max="1291" width="15.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7109375" bestFit="1" customWidth="1"/>
    <col min="1532" max="1532" width="15.28515625" bestFit="1" customWidth="1"/>
    <col min="1533" max="1533" width="18.7109375" bestFit="1" customWidth="1"/>
    <col min="1534" max="1534" width="13.42578125" customWidth="1"/>
    <col min="1535" max="1535" width="15.28515625" bestFit="1" customWidth="1"/>
    <col min="1536" max="1536" width="14.140625" bestFit="1" customWidth="1"/>
    <col min="1537" max="1537" width="15.28515625" customWidth="1"/>
    <col min="1538" max="1538" width="15.85546875" customWidth="1"/>
    <col min="1539" max="1539" width="17" bestFit="1" customWidth="1"/>
    <col min="1540" max="1540" width="12.7109375" customWidth="1"/>
    <col min="1541" max="1541" width="13.7109375" customWidth="1"/>
    <col min="1542" max="1542" width="13.85546875" bestFit="1" customWidth="1"/>
    <col min="1543" max="1543" width="19.7109375" bestFit="1" customWidth="1"/>
    <col min="1544" max="1544" width="22.140625" bestFit="1" customWidth="1"/>
    <col min="1545" max="1545" width="17.7109375" bestFit="1" customWidth="1"/>
    <col min="1546" max="1547" width="15.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7109375" bestFit="1" customWidth="1"/>
    <col min="1788" max="1788" width="15.28515625" bestFit="1" customWidth="1"/>
    <col min="1789" max="1789" width="18.7109375" bestFit="1" customWidth="1"/>
    <col min="1790" max="1790" width="13.42578125" customWidth="1"/>
    <col min="1791" max="1791" width="15.28515625" bestFit="1" customWidth="1"/>
    <col min="1792" max="1792" width="14.140625" bestFit="1" customWidth="1"/>
    <col min="1793" max="1793" width="15.28515625" customWidth="1"/>
    <col min="1794" max="1794" width="15.85546875" customWidth="1"/>
    <col min="1795" max="1795" width="17" bestFit="1" customWidth="1"/>
    <col min="1796" max="1796" width="12.7109375" customWidth="1"/>
    <col min="1797" max="1797" width="13.7109375" customWidth="1"/>
    <col min="1798" max="1798" width="13.85546875" bestFit="1" customWidth="1"/>
    <col min="1799" max="1799" width="19.7109375" bestFit="1" customWidth="1"/>
    <col min="1800" max="1800" width="22.140625" bestFit="1" customWidth="1"/>
    <col min="1801" max="1801" width="17.7109375" bestFit="1" customWidth="1"/>
    <col min="1802" max="1803" width="15.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7109375" bestFit="1" customWidth="1"/>
    <col min="2044" max="2044" width="15.28515625" bestFit="1" customWidth="1"/>
    <col min="2045" max="2045" width="18.7109375" bestFit="1" customWidth="1"/>
    <col min="2046" max="2046" width="13.42578125" customWidth="1"/>
    <col min="2047" max="2047" width="15.28515625" bestFit="1" customWidth="1"/>
    <col min="2048" max="2048" width="14.140625" bestFit="1" customWidth="1"/>
    <col min="2049" max="2049" width="15.28515625" customWidth="1"/>
    <col min="2050" max="2050" width="15.85546875" customWidth="1"/>
    <col min="2051" max="2051" width="17" bestFit="1" customWidth="1"/>
    <col min="2052" max="2052" width="12.7109375" customWidth="1"/>
    <col min="2053" max="2053" width="13.7109375" customWidth="1"/>
    <col min="2054" max="2054" width="13.85546875" bestFit="1" customWidth="1"/>
    <col min="2055" max="2055" width="19.7109375" bestFit="1" customWidth="1"/>
    <col min="2056" max="2056" width="22.140625" bestFit="1" customWidth="1"/>
    <col min="2057" max="2057" width="17.7109375" bestFit="1" customWidth="1"/>
    <col min="2058" max="2059" width="15.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7109375" bestFit="1" customWidth="1"/>
    <col min="2300" max="2300" width="15.28515625" bestFit="1" customWidth="1"/>
    <col min="2301" max="2301" width="18.7109375" bestFit="1" customWidth="1"/>
    <col min="2302" max="2302" width="13.42578125" customWidth="1"/>
    <col min="2303" max="2303" width="15.28515625" bestFit="1" customWidth="1"/>
    <col min="2304" max="2304" width="14.140625" bestFit="1" customWidth="1"/>
    <col min="2305" max="2305" width="15.28515625" customWidth="1"/>
    <col min="2306" max="2306" width="15.85546875" customWidth="1"/>
    <col min="2307" max="2307" width="17" bestFit="1" customWidth="1"/>
    <col min="2308" max="2308" width="12.7109375" customWidth="1"/>
    <col min="2309" max="2309" width="13.7109375" customWidth="1"/>
    <col min="2310" max="2310" width="13.85546875" bestFit="1" customWidth="1"/>
    <col min="2311" max="2311" width="19.7109375" bestFit="1" customWidth="1"/>
    <col min="2312" max="2312" width="22.140625" bestFit="1" customWidth="1"/>
    <col min="2313" max="2313" width="17.7109375" bestFit="1" customWidth="1"/>
    <col min="2314" max="2315" width="15.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7109375" bestFit="1" customWidth="1"/>
    <col min="2556" max="2556" width="15.28515625" bestFit="1" customWidth="1"/>
    <col min="2557" max="2557" width="18.7109375" bestFit="1" customWidth="1"/>
    <col min="2558" max="2558" width="13.42578125" customWidth="1"/>
    <col min="2559" max="2559" width="15.28515625" bestFit="1" customWidth="1"/>
    <col min="2560" max="2560" width="14.140625" bestFit="1" customWidth="1"/>
    <col min="2561" max="2561" width="15.28515625" customWidth="1"/>
    <col min="2562" max="2562" width="15.85546875" customWidth="1"/>
    <col min="2563" max="2563" width="17" bestFit="1" customWidth="1"/>
    <col min="2564" max="2564" width="12.7109375" customWidth="1"/>
    <col min="2565" max="2565" width="13.7109375" customWidth="1"/>
    <col min="2566" max="2566" width="13.85546875" bestFit="1" customWidth="1"/>
    <col min="2567" max="2567" width="19.7109375" bestFit="1" customWidth="1"/>
    <col min="2568" max="2568" width="22.140625" bestFit="1" customWidth="1"/>
    <col min="2569" max="2569" width="17.7109375" bestFit="1" customWidth="1"/>
    <col min="2570" max="2571" width="15.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7109375" bestFit="1" customWidth="1"/>
    <col min="2812" max="2812" width="15.28515625" bestFit="1" customWidth="1"/>
    <col min="2813" max="2813" width="18.7109375" bestFit="1" customWidth="1"/>
    <col min="2814" max="2814" width="13.42578125" customWidth="1"/>
    <col min="2815" max="2815" width="15.28515625" bestFit="1" customWidth="1"/>
    <col min="2816" max="2816" width="14.140625" bestFit="1" customWidth="1"/>
    <col min="2817" max="2817" width="15.28515625" customWidth="1"/>
    <col min="2818" max="2818" width="15.85546875" customWidth="1"/>
    <col min="2819" max="2819" width="17" bestFit="1" customWidth="1"/>
    <col min="2820" max="2820" width="12.7109375" customWidth="1"/>
    <col min="2821" max="2821" width="13.7109375" customWidth="1"/>
    <col min="2822" max="2822" width="13.85546875" bestFit="1" customWidth="1"/>
    <col min="2823" max="2823" width="19.7109375" bestFit="1" customWidth="1"/>
    <col min="2824" max="2824" width="22.140625" bestFit="1" customWidth="1"/>
    <col min="2825" max="2825" width="17.7109375" bestFit="1" customWidth="1"/>
    <col min="2826" max="2827" width="15.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7109375" bestFit="1" customWidth="1"/>
    <col min="3068" max="3068" width="15.28515625" bestFit="1" customWidth="1"/>
    <col min="3069" max="3069" width="18.7109375" bestFit="1" customWidth="1"/>
    <col min="3070" max="3070" width="13.42578125" customWidth="1"/>
    <col min="3071" max="3071" width="15.28515625" bestFit="1" customWidth="1"/>
    <col min="3072" max="3072" width="14.140625" bestFit="1" customWidth="1"/>
    <col min="3073" max="3073" width="15.28515625" customWidth="1"/>
    <col min="3074" max="3074" width="15.85546875" customWidth="1"/>
    <col min="3075" max="3075" width="17" bestFit="1" customWidth="1"/>
    <col min="3076" max="3076" width="12.7109375" customWidth="1"/>
    <col min="3077" max="3077" width="13.7109375" customWidth="1"/>
    <col min="3078" max="3078" width="13.85546875" bestFit="1" customWidth="1"/>
    <col min="3079" max="3079" width="19.7109375" bestFit="1" customWidth="1"/>
    <col min="3080" max="3080" width="22.140625" bestFit="1" customWidth="1"/>
    <col min="3081" max="3081" width="17.7109375" bestFit="1" customWidth="1"/>
    <col min="3082" max="3083" width="15.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7109375" bestFit="1" customWidth="1"/>
    <col min="3324" max="3324" width="15.28515625" bestFit="1" customWidth="1"/>
    <col min="3325" max="3325" width="18.7109375" bestFit="1" customWidth="1"/>
    <col min="3326" max="3326" width="13.42578125" customWidth="1"/>
    <col min="3327" max="3327" width="15.28515625" bestFit="1" customWidth="1"/>
    <col min="3328" max="3328" width="14.140625" bestFit="1" customWidth="1"/>
    <col min="3329" max="3329" width="15.28515625" customWidth="1"/>
    <col min="3330" max="3330" width="15.85546875" customWidth="1"/>
    <col min="3331" max="3331" width="17" bestFit="1" customWidth="1"/>
    <col min="3332" max="3332" width="12.7109375" customWidth="1"/>
    <col min="3333" max="3333" width="13.7109375" customWidth="1"/>
    <col min="3334" max="3334" width="13.85546875" bestFit="1" customWidth="1"/>
    <col min="3335" max="3335" width="19.7109375" bestFit="1" customWidth="1"/>
    <col min="3336" max="3336" width="22.140625" bestFit="1" customWidth="1"/>
    <col min="3337" max="3337" width="17.7109375" bestFit="1" customWidth="1"/>
    <col min="3338" max="3339" width="15.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7109375" bestFit="1" customWidth="1"/>
    <col min="3580" max="3580" width="15.28515625" bestFit="1" customWidth="1"/>
    <col min="3581" max="3581" width="18.7109375" bestFit="1" customWidth="1"/>
    <col min="3582" max="3582" width="13.42578125" customWidth="1"/>
    <col min="3583" max="3583" width="15.28515625" bestFit="1" customWidth="1"/>
    <col min="3584" max="3584" width="14.140625" bestFit="1" customWidth="1"/>
    <col min="3585" max="3585" width="15.28515625" customWidth="1"/>
    <col min="3586" max="3586" width="15.85546875" customWidth="1"/>
    <col min="3587" max="3587" width="17" bestFit="1" customWidth="1"/>
    <col min="3588" max="3588" width="12.7109375" customWidth="1"/>
    <col min="3589" max="3589" width="13.7109375" customWidth="1"/>
    <col min="3590" max="3590" width="13.85546875" bestFit="1" customWidth="1"/>
    <col min="3591" max="3591" width="19.7109375" bestFit="1" customWidth="1"/>
    <col min="3592" max="3592" width="22.140625" bestFit="1" customWidth="1"/>
    <col min="3593" max="3593" width="17.7109375" bestFit="1" customWidth="1"/>
    <col min="3594" max="3595" width="15.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7109375" bestFit="1" customWidth="1"/>
    <col min="3836" max="3836" width="15.28515625" bestFit="1" customWidth="1"/>
    <col min="3837" max="3837" width="18.7109375" bestFit="1" customWidth="1"/>
    <col min="3838" max="3838" width="13.42578125" customWidth="1"/>
    <col min="3839" max="3839" width="15.28515625" bestFit="1" customWidth="1"/>
    <col min="3840" max="3840" width="14.140625" bestFit="1" customWidth="1"/>
    <col min="3841" max="3841" width="15.28515625" customWidth="1"/>
    <col min="3842" max="3842" width="15.85546875" customWidth="1"/>
    <col min="3843" max="3843" width="17" bestFit="1" customWidth="1"/>
    <col min="3844" max="3844" width="12.7109375" customWidth="1"/>
    <col min="3845" max="3845" width="13.7109375" customWidth="1"/>
    <col min="3846" max="3846" width="13.85546875" bestFit="1" customWidth="1"/>
    <col min="3847" max="3847" width="19.7109375" bestFit="1" customWidth="1"/>
    <col min="3848" max="3848" width="22.140625" bestFit="1" customWidth="1"/>
    <col min="3849" max="3849" width="17.7109375" bestFit="1" customWidth="1"/>
    <col min="3850" max="3851" width="15.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7109375" bestFit="1" customWidth="1"/>
    <col min="4092" max="4092" width="15.28515625" bestFit="1" customWidth="1"/>
    <col min="4093" max="4093" width="18.7109375" bestFit="1" customWidth="1"/>
    <col min="4094" max="4094" width="13.42578125" customWidth="1"/>
    <col min="4095" max="4095" width="15.28515625" bestFit="1" customWidth="1"/>
    <col min="4096" max="4096" width="14.140625" bestFit="1" customWidth="1"/>
    <col min="4097" max="4097" width="15.28515625" customWidth="1"/>
    <col min="4098" max="4098" width="15.85546875" customWidth="1"/>
    <col min="4099" max="4099" width="17" bestFit="1" customWidth="1"/>
    <col min="4100" max="4100" width="12.7109375" customWidth="1"/>
    <col min="4101" max="4101" width="13.7109375" customWidth="1"/>
    <col min="4102" max="4102" width="13.85546875" bestFit="1" customWidth="1"/>
    <col min="4103" max="4103" width="19.7109375" bestFit="1" customWidth="1"/>
    <col min="4104" max="4104" width="22.140625" bestFit="1" customWidth="1"/>
    <col min="4105" max="4105" width="17.7109375" bestFit="1" customWidth="1"/>
    <col min="4106" max="4107" width="15.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7109375" bestFit="1" customWidth="1"/>
    <col min="4348" max="4348" width="15.28515625" bestFit="1" customWidth="1"/>
    <col min="4349" max="4349" width="18.7109375" bestFit="1" customWidth="1"/>
    <col min="4350" max="4350" width="13.42578125" customWidth="1"/>
    <col min="4351" max="4351" width="15.28515625" bestFit="1" customWidth="1"/>
    <col min="4352" max="4352" width="14.140625" bestFit="1" customWidth="1"/>
    <col min="4353" max="4353" width="15.28515625" customWidth="1"/>
    <col min="4354" max="4354" width="15.85546875" customWidth="1"/>
    <col min="4355" max="4355" width="17" bestFit="1" customWidth="1"/>
    <col min="4356" max="4356" width="12.7109375" customWidth="1"/>
    <col min="4357" max="4357" width="13.7109375" customWidth="1"/>
    <col min="4358" max="4358" width="13.85546875" bestFit="1" customWidth="1"/>
    <col min="4359" max="4359" width="19.7109375" bestFit="1" customWidth="1"/>
    <col min="4360" max="4360" width="22.140625" bestFit="1" customWidth="1"/>
    <col min="4361" max="4361" width="17.7109375" bestFit="1" customWidth="1"/>
    <col min="4362" max="4363" width="15.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7109375" bestFit="1" customWidth="1"/>
    <col min="4604" max="4604" width="15.28515625" bestFit="1" customWidth="1"/>
    <col min="4605" max="4605" width="18.7109375" bestFit="1" customWidth="1"/>
    <col min="4606" max="4606" width="13.42578125" customWidth="1"/>
    <col min="4607" max="4607" width="15.28515625" bestFit="1" customWidth="1"/>
    <col min="4608" max="4608" width="14.140625" bestFit="1" customWidth="1"/>
    <col min="4609" max="4609" width="15.28515625" customWidth="1"/>
    <col min="4610" max="4610" width="15.85546875" customWidth="1"/>
    <col min="4611" max="4611" width="17" bestFit="1" customWidth="1"/>
    <col min="4612" max="4612" width="12.7109375" customWidth="1"/>
    <col min="4613" max="4613" width="13.7109375" customWidth="1"/>
    <col min="4614" max="4614" width="13.85546875" bestFit="1" customWidth="1"/>
    <col min="4615" max="4615" width="19.7109375" bestFit="1" customWidth="1"/>
    <col min="4616" max="4616" width="22.140625" bestFit="1" customWidth="1"/>
    <col min="4617" max="4617" width="17.7109375" bestFit="1" customWidth="1"/>
    <col min="4618" max="4619" width="15.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7109375" bestFit="1" customWidth="1"/>
    <col min="4860" max="4860" width="15.28515625" bestFit="1" customWidth="1"/>
    <col min="4861" max="4861" width="18.7109375" bestFit="1" customWidth="1"/>
    <col min="4862" max="4862" width="13.42578125" customWidth="1"/>
    <col min="4863" max="4863" width="15.28515625" bestFit="1" customWidth="1"/>
    <col min="4864" max="4864" width="14.140625" bestFit="1" customWidth="1"/>
    <col min="4865" max="4865" width="15.28515625" customWidth="1"/>
    <col min="4866" max="4866" width="15.85546875" customWidth="1"/>
    <col min="4867" max="4867" width="17" bestFit="1" customWidth="1"/>
    <col min="4868" max="4868" width="12.7109375" customWidth="1"/>
    <col min="4869" max="4869" width="13.7109375" customWidth="1"/>
    <col min="4870" max="4870" width="13.85546875" bestFit="1" customWidth="1"/>
    <col min="4871" max="4871" width="19.7109375" bestFit="1" customWidth="1"/>
    <col min="4872" max="4872" width="22.140625" bestFit="1" customWidth="1"/>
    <col min="4873" max="4873" width="17.7109375" bestFit="1" customWidth="1"/>
    <col min="4874" max="4875" width="15.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7109375" bestFit="1" customWidth="1"/>
    <col min="5116" max="5116" width="15.28515625" bestFit="1" customWidth="1"/>
    <col min="5117" max="5117" width="18.7109375" bestFit="1" customWidth="1"/>
    <col min="5118" max="5118" width="13.42578125" customWidth="1"/>
    <col min="5119" max="5119" width="15.28515625" bestFit="1" customWidth="1"/>
    <col min="5120" max="5120" width="14.140625" bestFit="1" customWidth="1"/>
    <col min="5121" max="5121" width="15.28515625" customWidth="1"/>
    <col min="5122" max="5122" width="15.85546875" customWidth="1"/>
    <col min="5123" max="5123" width="17" bestFit="1" customWidth="1"/>
    <col min="5124" max="5124" width="12.7109375" customWidth="1"/>
    <col min="5125" max="5125" width="13.7109375" customWidth="1"/>
    <col min="5126" max="5126" width="13.85546875" bestFit="1" customWidth="1"/>
    <col min="5127" max="5127" width="19.7109375" bestFit="1" customWidth="1"/>
    <col min="5128" max="5128" width="22.140625" bestFit="1" customWidth="1"/>
    <col min="5129" max="5129" width="17.7109375" bestFit="1" customWidth="1"/>
    <col min="5130" max="5131" width="15.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7109375" bestFit="1" customWidth="1"/>
    <col min="5372" max="5372" width="15.28515625" bestFit="1" customWidth="1"/>
    <col min="5373" max="5373" width="18.7109375" bestFit="1" customWidth="1"/>
    <col min="5374" max="5374" width="13.42578125" customWidth="1"/>
    <col min="5375" max="5375" width="15.28515625" bestFit="1" customWidth="1"/>
    <col min="5376" max="5376" width="14.140625" bestFit="1" customWidth="1"/>
    <col min="5377" max="5377" width="15.28515625" customWidth="1"/>
    <col min="5378" max="5378" width="15.85546875" customWidth="1"/>
    <col min="5379" max="5379" width="17" bestFit="1" customWidth="1"/>
    <col min="5380" max="5380" width="12.7109375" customWidth="1"/>
    <col min="5381" max="5381" width="13.7109375" customWidth="1"/>
    <col min="5382" max="5382" width="13.85546875" bestFit="1" customWidth="1"/>
    <col min="5383" max="5383" width="19.7109375" bestFit="1" customWidth="1"/>
    <col min="5384" max="5384" width="22.140625" bestFit="1" customWidth="1"/>
    <col min="5385" max="5385" width="17.7109375" bestFit="1" customWidth="1"/>
    <col min="5386" max="5387" width="15.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7109375" bestFit="1" customWidth="1"/>
    <col min="5628" max="5628" width="15.28515625" bestFit="1" customWidth="1"/>
    <col min="5629" max="5629" width="18.7109375" bestFit="1" customWidth="1"/>
    <col min="5630" max="5630" width="13.42578125" customWidth="1"/>
    <col min="5631" max="5631" width="15.28515625" bestFit="1" customWidth="1"/>
    <col min="5632" max="5632" width="14.140625" bestFit="1" customWidth="1"/>
    <col min="5633" max="5633" width="15.28515625" customWidth="1"/>
    <col min="5634" max="5634" width="15.85546875" customWidth="1"/>
    <col min="5635" max="5635" width="17" bestFit="1" customWidth="1"/>
    <col min="5636" max="5636" width="12.7109375" customWidth="1"/>
    <col min="5637" max="5637" width="13.7109375" customWidth="1"/>
    <col min="5638" max="5638" width="13.85546875" bestFit="1" customWidth="1"/>
    <col min="5639" max="5639" width="19.7109375" bestFit="1" customWidth="1"/>
    <col min="5640" max="5640" width="22.140625" bestFit="1" customWidth="1"/>
    <col min="5641" max="5641" width="17.7109375" bestFit="1" customWidth="1"/>
    <col min="5642" max="5643" width="15.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7109375" bestFit="1" customWidth="1"/>
    <col min="5884" max="5884" width="15.28515625" bestFit="1" customWidth="1"/>
    <col min="5885" max="5885" width="18.7109375" bestFit="1" customWidth="1"/>
    <col min="5886" max="5886" width="13.42578125" customWidth="1"/>
    <col min="5887" max="5887" width="15.28515625" bestFit="1" customWidth="1"/>
    <col min="5888" max="5888" width="14.140625" bestFit="1" customWidth="1"/>
    <col min="5889" max="5889" width="15.28515625" customWidth="1"/>
    <col min="5890" max="5890" width="15.85546875" customWidth="1"/>
    <col min="5891" max="5891" width="17" bestFit="1" customWidth="1"/>
    <col min="5892" max="5892" width="12.7109375" customWidth="1"/>
    <col min="5893" max="5893" width="13.7109375" customWidth="1"/>
    <col min="5894" max="5894" width="13.85546875" bestFit="1" customWidth="1"/>
    <col min="5895" max="5895" width="19.7109375" bestFit="1" customWidth="1"/>
    <col min="5896" max="5896" width="22.140625" bestFit="1" customWidth="1"/>
    <col min="5897" max="5897" width="17.7109375" bestFit="1" customWidth="1"/>
    <col min="5898" max="5899" width="15.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7109375" bestFit="1" customWidth="1"/>
    <col min="6140" max="6140" width="15.28515625" bestFit="1" customWidth="1"/>
    <col min="6141" max="6141" width="18.7109375" bestFit="1" customWidth="1"/>
    <col min="6142" max="6142" width="13.42578125" customWidth="1"/>
    <col min="6143" max="6143" width="15.28515625" bestFit="1" customWidth="1"/>
    <col min="6144" max="6144" width="14.140625" bestFit="1" customWidth="1"/>
    <col min="6145" max="6145" width="15.28515625" customWidth="1"/>
    <col min="6146" max="6146" width="15.85546875" customWidth="1"/>
    <col min="6147" max="6147" width="17" bestFit="1" customWidth="1"/>
    <col min="6148" max="6148" width="12.7109375" customWidth="1"/>
    <col min="6149" max="6149" width="13.7109375" customWidth="1"/>
    <col min="6150" max="6150" width="13.85546875" bestFit="1" customWidth="1"/>
    <col min="6151" max="6151" width="19.7109375" bestFit="1" customWidth="1"/>
    <col min="6152" max="6152" width="22.140625" bestFit="1" customWidth="1"/>
    <col min="6153" max="6153" width="17.7109375" bestFit="1" customWidth="1"/>
    <col min="6154" max="6155" width="15.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7109375" bestFit="1" customWidth="1"/>
    <col min="6396" max="6396" width="15.28515625" bestFit="1" customWidth="1"/>
    <col min="6397" max="6397" width="18.7109375" bestFit="1" customWidth="1"/>
    <col min="6398" max="6398" width="13.42578125" customWidth="1"/>
    <col min="6399" max="6399" width="15.28515625" bestFit="1" customWidth="1"/>
    <col min="6400" max="6400" width="14.140625" bestFit="1" customWidth="1"/>
    <col min="6401" max="6401" width="15.28515625" customWidth="1"/>
    <col min="6402" max="6402" width="15.85546875" customWidth="1"/>
    <col min="6403" max="6403" width="17" bestFit="1" customWidth="1"/>
    <col min="6404" max="6404" width="12.7109375" customWidth="1"/>
    <col min="6405" max="6405" width="13.7109375" customWidth="1"/>
    <col min="6406" max="6406" width="13.85546875" bestFit="1" customWidth="1"/>
    <col min="6407" max="6407" width="19.7109375" bestFit="1" customWidth="1"/>
    <col min="6408" max="6408" width="22.140625" bestFit="1" customWidth="1"/>
    <col min="6409" max="6409" width="17.7109375" bestFit="1" customWidth="1"/>
    <col min="6410" max="6411" width="15.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7109375" bestFit="1" customWidth="1"/>
    <col min="6652" max="6652" width="15.28515625" bestFit="1" customWidth="1"/>
    <col min="6653" max="6653" width="18.7109375" bestFit="1" customWidth="1"/>
    <col min="6654" max="6654" width="13.42578125" customWidth="1"/>
    <col min="6655" max="6655" width="15.28515625" bestFit="1" customWidth="1"/>
    <col min="6656" max="6656" width="14.140625" bestFit="1" customWidth="1"/>
    <col min="6657" max="6657" width="15.28515625" customWidth="1"/>
    <col min="6658" max="6658" width="15.85546875" customWidth="1"/>
    <col min="6659" max="6659" width="17" bestFit="1" customWidth="1"/>
    <col min="6660" max="6660" width="12.7109375" customWidth="1"/>
    <col min="6661" max="6661" width="13.7109375" customWidth="1"/>
    <col min="6662" max="6662" width="13.85546875" bestFit="1" customWidth="1"/>
    <col min="6663" max="6663" width="19.7109375" bestFit="1" customWidth="1"/>
    <col min="6664" max="6664" width="22.140625" bestFit="1" customWidth="1"/>
    <col min="6665" max="6665" width="17.7109375" bestFit="1" customWidth="1"/>
    <col min="6666" max="6667" width="15.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7109375" bestFit="1" customWidth="1"/>
    <col min="6908" max="6908" width="15.28515625" bestFit="1" customWidth="1"/>
    <col min="6909" max="6909" width="18.7109375" bestFit="1" customWidth="1"/>
    <col min="6910" max="6910" width="13.42578125" customWidth="1"/>
    <col min="6911" max="6911" width="15.28515625" bestFit="1" customWidth="1"/>
    <col min="6912" max="6912" width="14.140625" bestFit="1" customWidth="1"/>
    <col min="6913" max="6913" width="15.28515625" customWidth="1"/>
    <col min="6914" max="6914" width="15.85546875" customWidth="1"/>
    <col min="6915" max="6915" width="17" bestFit="1" customWidth="1"/>
    <col min="6916" max="6916" width="12.7109375" customWidth="1"/>
    <col min="6917" max="6917" width="13.7109375" customWidth="1"/>
    <col min="6918" max="6918" width="13.85546875" bestFit="1" customWidth="1"/>
    <col min="6919" max="6919" width="19.7109375" bestFit="1" customWidth="1"/>
    <col min="6920" max="6920" width="22.140625" bestFit="1" customWidth="1"/>
    <col min="6921" max="6921" width="17.7109375" bestFit="1" customWidth="1"/>
    <col min="6922" max="6923" width="15.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7109375" bestFit="1" customWidth="1"/>
    <col min="7164" max="7164" width="15.28515625" bestFit="1" customWidth="1"/>
    <col min="7165" max="7165" width="18.7109375" bestFit="1" customWidth="1"/>
    <col min="7166" max="7166" width="13.42578125" customWidth="1"/>
    <col min="7167" max="7167" width="15.28515625" bestFit="1" customWidth="1"/>
    <col min="7168" max="7168" width="14.140625" bestFit="1" customWidth="1"/>
    <col min="7169" max="7169" width="15.28515625" customWidth="1"/>
    <col min="7170" max="7170" width="15.85546875" customWidth="1"/>
    <col min="7171" max="7171" width="17" bestFit="1" customWidth="1"/>
    <col min="7172" max="7172" width="12.7109375" customWidth="1"/>
    <col min="7173" max="7173" width="13.7109375" customWidth="1"/>
    <col min="7174" max="7174" width="13.85546875" bestFit="1" customWidth="1"/>
    <col min="7175" max="7175" width="19.7109375" bestFit="1" customWidth="1"/>
    <col min="7176" max="7176" width="22.140625" bestFit="1" customWidth="1"/>
    <col min="7177" max="7177" width="17.7109375" bestFit="1" customWidth="1"/>
    <col min="7178" max="7179" width="15.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7109375" bestFit="1" customWidth="1"/>
    <col min="7420" max="7420" width="15.28515625" bestFit="1" customWidth="1"/>
    <col min="7421" max="7421" width="18.7109375" bestFit="1" customWidth="1"/>
    <col min="7422" max="7422" width="13.42578125" customWidth="1"/>
    <col min="7423" max="7423" width="15.28515625" bestFit="1" customWidth="1"/>
    <col min="7424" max="7424" width="14.140625" bestFit="1" customWidth="1"/>
    <col min="7425" max="7425" width="15.28515625" customWidth="1"/>
    <col min="7426" max="7426" width="15.85546875" customWidth="1"/>
    <col min="7427" max="7427" width="17" bestFit="1" customWidth="1"/>
    <col min="7428" max="7428" width="12.7109375" customWidth="1"/>
    <col min="7429" max="7429" width="13.7109375" customWidth="1"/>
    <col min="7430" max="7430" width="13.85546875" bestFit="1" customWidth="1"/>
    <col min="7431" max="7431" width="19.7109375" bestFit="1" customWidth="1"/>
    <col min="7432" max="7432" width="22.140625" bestFit="1" customWidth="1"/>
    <col min="7433" max="7433" width="17.7109375" bestFit="1" customWidth="1"/>
    <col min="7434" max="7435" width="15.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7109375" bestFit="1" customWidth="1"/>
    <col min="7676" max="7676" width="15.28515625" bestFit="1" customWidth="1"/>
    <col min="7677" max="7677" width="18.7109375" bestFit="1" customWidth="1"/>
    <col min="7678" max="7678" width="13.42578125" customWidth="1"/>
    <col min="7679" max="7679" width="15.28515625" bestFit="1" customWidth="1"/>
    <col min="7680" max="7680" width="14.140625" bestFit="1" customWidth="1"/>
    <col min="7681" max="7681" width="15.28515625" customWidth="1"/>
    <col min="7682" max="7682" width="15.85546875" customWidth="1"/>
    <col min="7683" max="7683" width="17" bestFit="1" customWidth="1"/>
    <col min="7684" max="7684" width="12.7109375" customWidth="1"/>
    <col min="7685" max="7685" width="13.7109375" customWidth="1"/>
    <col min="7686" max="7686" width="13.85546875" bestFit="1" customWidth="1"/>
    <col min="7687" max="7687" width="19.7109375" bestFit="1" customWidth="1"/>
    <col min="7688" max="7688" width="22.140625" bestFit="1" customWidth="1"/>
    <col min="7689" max="7689" width="17.7109375" bestFit="1" customWidth="1"/>
    <col min="7690" max="7691" width="15.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7109375" bestFit="1" customWidth="1"/>
    <col min="7932" max="7932" width="15.28515625" bestFit="1" customWidth="1"/>
    <col min="7933" max="7933" width="18.7109375" bestFit="1" customWidth="1"/>
    <col min="7934" max="7934" width="13.42578125" customWidth="1"/>
    <col min="7935" max="7935" width="15.28515625" bestFit="1" customWidth="1"/>
    <col min="7936" max="7936" width="14.140625" bestFit="1" customWidth="1"/>
    <col min="7937" max="7937" width="15.28515625" customWidth="1"/>
    <col min="7938" max="7938" width="15.85546875" customWidth="1"/>
    <col min="7939" max="7939" width="17" bestFit="1" customWidth="1"/>
    <col min="7940" max="7940" width="12.7109375" customWidth="1"/>
    <col min="7941" max="7941" width="13.7109375" customWidth="1"/>
    <col min="7942" max="7942" width="13.85546875" bestFit="1" customWidth="1"/>
    <col min="7943" max="7943" width="19.7109375" bestFit="1" customWidth="1"/>
    <col min="7944" max="7944" width="22.140625" bestFit="1" customWidth="1"/>
    <col min="7945" max="7945" width="17.7109375" bestFit="1" customWidth="1"/>
    <col min="7946" max="7947" width="15.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7109375" bestFit="1" customWidth="1"/>
    <col min="8188" max="8188" width="15.28515625" bestFit="1" customWidth="1"/>
    <col min="8189" max="8189" width="18.7109375" bestFit="1" customWidth="1"/>
    <col min="8190" max="8190" width="13.42578125" customWidth="1"/>
    <col min="8191" max="8191" width="15.28515625" bestFit="1" customWidth="1"/>
    <col min="8192" max="8192" width="14.140625" bestFit="1" customWidth="1"/>
    <col min="8193" max="8193" width="15.28515625" customWidth="1"/>
    <col min="8194" max="8194" width="15.85546875" customWidth="1"/>
    <col min="8195" max="8195" width="17" bestFit="1" customWidth="1"/>
    <col min="8196" max="8196" width="12.7109375" customWidth="1"/>
    <col min="8197" max="8197" width="13.7109375" customWidth="1"/>
    <col min="8198" max="8198" width="13.85546875" bestFit="1" customWidth="1"/>
    <col min="8199" max="8199" width="19.7109375" bestFit="1" customWidth="1"/>
    <col min="8200" max="8200" width="22.140625" bestFit="1" customWidth="1"/>
    <col min="8201" max="8201" width="17.7109375" bestFit="1" customWidth="1"/>
    <col min="8202" max="8203" width="15.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7109375" bestFit="1" customWidth="1"/>
    <col min="8444" max="8444" width="15.28515625" bestFit="1" customWidth="1"/>
    <col min="8445" max="8445" width="18.7109375" bestFit="1" customWidth="1"/>
    <col min="8446" max="8446" width="13.42578125" customWidth="1"/>
    <col min="8447" max="8447" width="15.28515625" bestFit="1" customWidth="1"/>
    <col min="8448" max="8448" width="14.140625" bestFit="1" customWidth="1"/>
    <col min="8449" max="8449" width="15.28515625" customWidth="1"/>
    <col min="8450" max="8450" width="15.85546875" customWidth="1"/>
    <col min="8451" max="8451" width="17" bestFit="1" customWidth="1"/>
    <col min="8452" max="8452" width="12.7109375" customWidth="1"/>
    <col min="8453" max="8453" width="13.7109375" customWidth="1"/>
    <col min="8454" max="8454" width="13.85546875" bestFit="1" customWidth="1"/>
    <col min="8455" max="8455" width="19.7109375" bestFit="1" customWidth="1"/>
    <col min="8456" max="8456" width="22.140625" bestFit="1" customWidth="1"/>
    <col min="8457" max="8457" width="17.7109375" bestFit="1" customWidth="1"/>
    <col min="8458" max="8459" width="15.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7109375" bestFit="1" customWidth="1"/>
    <col min="8700" max="8700" width="15.28515625" bestFit="1" customWidth="1"/>
    <col min="8701" max="8701" width="18.7109375" bestFit="1" customWidth="1"/>
    <col min="8702" max="8702" width="13.42578125" customWidth="1"/>
    <col min="8703" max="8703" width="15.28515625" bestFit="1" customWidth="1"/>
    <col min="8704" max="8704" width="14.140625" bestFit="1" customWidth="1"/>
    <col min="8705" max="8705" width="15.28515625" customWidth="1"/>
    <col min="8706" max="8706" width="15.85546875" customWidth="1"/>
    <col min="8707" max="8707" width="17" bestFit="1" customWidth="1"/>
    <col min="8708" max="8708" width="12.7109375" customWidth="1"/>
    <col min="8709" max="8709" width="13.7109375" customWidth="1"/>
    <col min="8710" max="8710" width="13.85546875" bestFit="1" customWidth="1"/>
    <col min="8711" max="8711" width="19.7109375" bestFit="1" customWidth="1"/>
    <col min="8712" max="8712" width="22.140625" bestFit="1" customWidth="1"/>
    <col min="8713" max="8713" width="17.7109375" bestFit="1" customWidth="1"/>
    <col min="8714" max="8715" width="15.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7109375" bestFit="1" customWidth="1"/>
    <col min="8956" max="8956" width="15.28515625" bestFit="1" customWidth="1"/>
    <col min="8957" max="8957" width="18.7109375" bestFit="1" customWidth="1"/>
    <col min="8958" max="8958" width="13.42578125" customWidth="1"/>
    <col min="8959" max="8959" width="15.28515625" bestFit="1" customWidth="1"/>
    <col min="8960" max="8960" width="14.140625" bestFit="1" customWidth="1"/>
    <col min="8961" max="8961" width="15.28515625" customWidth="1"/>
    <col min="8962" max="8962" width="15.85546875" customWidth="1"/>
    <col min="8963" max="8963" width="17" bestFit="1" customWidth="1"/>
    <col min="8964" max="8964" width="12.7109375" customWidth="1"/>
    <col min="8965" max="8965" width="13.7109375" customWidth="1"/>
    <col min="8966" max="8966" width="13.85546875" bestFit="1" customWidth="1"/>
    <col min="8967" max="8967" width="19.7109375" bestFit="1" customWidth="1"/>
    <col min="8968" max="8968" width="22.140625" bestFit="1" customWidth="1"/>
    <col min="8969" max="8969" width="17.7109375" bestFit="1" customWidth="1"/>
    <col min="8970" max="8971" width="15.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7109375" bestFit="1" customWidth="1"/>
    <col min="9212" max="9212" width="15.28515625" bestFit="1" customWidth="1"/>
    <col min="9213" max="9213" width="18.7109375" bestFit="1" customWidth="1"/>
    <col min="9214" max="9214" width="13.42578125" customWidth="1"/>
    <col min="9215" max="9215" width="15.28515625" bestFit="1" customWidth="1"/>
    <col min="9216" max="9216" width="14.140625" bestFit="1" customWidth="1"/>
    <col min="9217" max="9217" width="15.28515625" customWidth="1"/>
    <col min="9218" max="9218" width="15.85546875" customWidth="1"/>
    <col min="9219" max="9219" width="17" bestFit="1" customWidth="1"/>
    <col min="9220" max="9220" width="12.7109375" customWidth="1"/>
    <col min="9221" max="9221" width="13.7109375" customWidth="1"/>
    <col min="9222" max="9222" width="13.85546875" bestFit="1" customWidth="1"/>
    <col min="9223" max="9223" width="19.7109375" bestFit="1" customWidth="1"/>
    <col min="9224" max="9224" width="22.140625" bestFit="1" customWidth="1"/>
    <col min="9225" max="9225" width="17.7109375" bestFit="1" customWidth="1"/>
    <col min="9226" max="9227" width="15.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7109375" bestFit="1" customWidth="1"/>
    <col min="9468" max="9468" width="15.28515625" bestFit="1" customWidth="1"/>
    <col min="9469" max="9469" width="18.7109375" bestFit="1" customWidth="1"/>
    <col min="9470" max="9470" width="13.42578125" customWidth="1"/>
    <col min="9471" max="9471" width="15.28515625" bestFit="1" customWidth="1"/>
    <col min="9472" max="9472" width="14.140625" bestFit="1" customWidth="1"/>
    <col min="9473" max="9473" width="15.28515625" customWidth="1"/>
    <col min="9474" max="9474" width="15.85546875" customWidth="1"/>
    <col min="9475" max="9475" width="17" bestFit="1" customWidth="1"/>
    <col min="9476" max="9476" width="12.7109375" customWidth="1"/>
    <col min="9477" max="9477" width="13.7109375" customWidth="1"/>
    <col min="9478" max="9478" width="13.85546875" bestFit="1" customWidth="1"/>
    <col min="9479" max="9479" width="19.7109375" bestFit="1" customWidth="1"/>
    <col min="9480" max="9480" width="22.140625" bestFit="1" customWidth="1"/>
    <col min="9481" max="9481" width="17.7109375" bestFit="1" customWidth="1"/>
    <col min="9482" max="9483" width="15.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7109375" bestFit="1" customWidth="1"/>
    <col min="9724" max="9724" width="15.28515625" bestFit="1" customWidth="1"/>
    <col min="9725" max="9725" width="18.7109375" bestFit="1" customWidth="1"/>
    <col min="9726" max="9726" width="13.42578125" customWidth="1"/>
    <col min="9727" max="9727" width="15.28515625" bestFit="1" customWidth="1"/>
    <col min="9728" max="9728" width="14.140625" bestFit="1" customWidth="1"/>
    <col min="9729" max="9729" width="15.28515625" customWidth="1"/>
    <col min="9730" max="9730" width="15.85546875" customWidth="1"/>
    <col min="9731" max="9731" width="17" bestFit="1" customWidth="1"/>
    <col min="9732" max="9732" width="12.7109375" customWidth="1"/>
    <col min="9733" max="9733" width="13.7109375" customWidth="1"/>
    <col min="9734" max="9734" width="13.85546875" bestFit="1" customWidth="1"/>
    <col min="9735" max="9735" width="19.7109375" bestFit="1" customWidth="1"/>
    <col min="9736" max="9736" width="22.140625" bestFit="1" customWidth="1"/>
    <col min="9737" max="9737" width="17.7109375" bestFit="1" customWidth="1"/>
    <col min="9738" max="9739" width="15.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7109375" bestFit="1" customWidth="1"/>
    <col min="9980" max="9980" width="15.28515625" bestFit="1" customWidth="1"/>
    <col min="9981" max="9981" width="18.7109375" bestFit="1" customWidth="1"/>
    <col min="9982" max="9982" width="13.42578125" customWidth="1"/>
    <col min="9983" max="9983" width="15.28515625" bestFit="1" customWidth="1"/>
    <col min="9984" max="9984" width="14.140625" bestFit="1" customWidth="1"/>
    <col min="9985" max="9985" width="15.28515625" customWidth="1"/>
    <col min="9986" max="9986" width="15.85546875" customWidth="1"/>
    <col min="9987" max="9987" width="17" bestFit="1" customWidth="1"/>
    <col min="9988" max="9988" width="12.7109375" customWidth="1"/>
    <col min="9989" max="9989" width="13.7109375" customWidth="1"/>
    <col min="9990" max="9990" width="13.85546875" bestFit="1" customWidth="1"/>
    <col min="9991" max="9991" width="19.7109375" bestFit="1" customWidth="1"/>
    <col min="9992" max="9992" width="22.140625" bestFit="1" customWidth="1"/>
    <col min="9993" max="9993" width="17.7109375" bestFit="1" customWidth="1"/>
    <col min="9994" max="9995" width="15.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7109375" bestFit="1" customWidth="1"/>
    <col min="10236" max="10236" width="15.28515625" bestFit="1" customWidth="1"/>
    <col min="10237" max="10237" width="18.7109375" bestFit="1" customWidth="1"/>
    <col min="10238" max="10238" width="13.42578125" customWidth="1"/>
    <col min="10239" max="10239" width="15.28515625" bestFit="1" customWidth="1"/>
    <col min="10240" max="10240" width="14.140625" bestFit="1" customWidth="1"/>
    <col min="10241" max="10241" width="15.28515625" customWidth="1"/>
    <col min="10242" max="10242" width="15.85546875" customWidth="1"/>
    <col min="10243" max="10243" width="17" bestFit="1" customWidth="1"/>
    <col min="10244" max="10244" width="12.7109375" customWidth="1"/>
    <col min="10245" max="10245" width="13.7109375" customWidth="1"/>
    <col min="10246" max="10246" width="13.85546875" bestFit="1" customWidth="1"/>
    <col min="10247" max="10247" width="19.7109375" bestFit="1" customWidth="1"/>
    <col min="10248" max="10248" width="22.140625" bestFit="1" customWidth="1"/>
    <col min="10249" max="10249" width="17.7109375" bestFit="1" customWidth="1"/>
    <col min="10250" max="10251" width="15.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7109375" bestFit="1" customWidth="1"/>
    <col min="10492" max="10492" width="15.28515625" bestFit="1" customWidth="1"/>
    <col min="10493" max="10493" width="18.7109375" bestFit="1" customWidth="1"/>
    <col min="10494" max="10494" width="13.42578125" customWidth="1"/>
    <col min="10495" max="10495" width="15.28515625" bestFit="1" customWidth="1"/>
    <col min="10496" max="10496" width="14.140625" bestFit="1" customWidth="1"/>
    <col min="10497" max="10497" width="15.28515625" customWidth="1"/>
    <col min="10498" max="10498" width="15.85546875" customWidth="1"/>
    <col min="10499" max="10499" width="17" bestFit="1" customWidth="1"/>
    <col min="10500" max="10500" width="12.7109375" customWidth="1"/>
    <col min="10501" max="10501" width="13.7109375" customWidth="1"/>
    <col min="10502" max="10502" width="13.85546875" bestFit="1" customWidth="1"/>
    <col min="10503" max="10503" width="19.7109375" bestFit="1" customWidth="1"/>
    <col min="10504" max="10504" width="22.140625" bestFit="1" customWidth="1"/>
    <col min="10505" max="10505" width="17.7109375" bestFit="1" customWidth="1"/>
    <col min="10506" max="10507" width="15.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7109375" bestFit="1" customWidth="1"/>
    <col min="10748" max="10748" width="15.28515625" bestFit="1" customWidth="1"/>
    <col min="10749" max="10749" width="18.7109375" bestFit="1" customWidth="1"/>
    <col min="10750" max="10750" width="13.42578125" customWidth="1"/>
    <col min="10751" max="10751" width="15.28515625" bestFit="1" customWidth="1"/>
    <col min="10752" max="10752" width="14.140625" bestFit="1" customWidth="1"/>
    <col min="10753" max="10753" width="15.28515625" customWidth="1"/>
    <col min="10754" max="10754" width="15.85546875" customWidth="1"/>
    <col min="10755" max="10755" width="17" bestFit="1" customWidth="1"/>
    <col min="10756" max="10756" width="12.7109375" customWidth="1"/>
    <col min="10757" max="10757" width="13.7109375" customWidth="1"/>
    <col min="10758" max="10758" width="13.85546875" bestFit="1" customWidth="1"/>
    <col min="10759" max="10759" width="19.7109375" bestFit="1" customWidth="1"/>
    <col min="10760" max="10760" width="22.140625" bestFit="1" customWidth="1"/>
    <col min="10761" max="10761" width="17.7109375" bestFit="1" customWidth="1"/>
    <col min="10762" max="10763" width="15.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7109375" bestFit="1" customWidth="1"/>
    <col min="11004" max="11004" width="15.28515625" bestFit="1" customWidth="1"/>
    <col min="11005" max="11005" width="18.7109375" bestFit="1" customWidth="1"/>
    <col min="11006" max="11006" width="13.42578125" customWidth="1"/>
    <col min="11007" max="11007" width="15.28515625" bestFit="1" customWidth="1"/>
    <col min="11008" max="11008" width="14.140625" bestFit="1" customWidth="1"/>
    <col min="11009" max="11009" width="15.28515625" customWidth="1"/>
    <col min="11010" max="11010" width="15.85546875" customWidth="1"/>
    <col min="11011" max="11011" width="17" bestFit="1" customWidth="1"/>
    <col min="11012" max="11012" width="12.7109375" customWidth="1"/>
    <col min="11013" max="11013" width="13.7109375" customWidth="1"/>
    <col min="11014" max="11014" width="13.85546875" bestFit="1" customWidth="1"/>
    <col min="11015" max="11015" width="19.7109375" bestFit="1" customWidth="1"/>
    <col min="11016" max="11016" width="22.140625" bestFit="1" customWidth="1"/>
    <col min="11017" max="11017" width="17.7109375" bestFit="1" customWidth="1"/>
    <col min="11018" max="11019" width="15.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7109375" bestFit="1" customWidth="1"/>
    <col min="11260" max="11260" width="15.28515625" bestFit="1" customWidth="1"/>
    <col min="11261" max="11261" width="18.7109375" bestFit="1" customWidth="1"/>
    <col min="11262" max="11262" width="13.42578125" customWidth="1"/>
    <col min="11263" max="11263" width="15.28515625" bestFit="1" customWidth="1"/>
    <col min="11264" max="11264" width="14.140625" bestFit="1" customWidth="1"/>
    <col min="11265" max="11265" width="15.28515625" customWidth="1"/>
    <col min="11266" max="11266" width="15.85546875" customWidth="1"/>
    <col min="11267" max="11267" width="17" bestFit="1" customWidth="1"/>
    <col min="11268" max="11268" width="12.7109375" customWidth="1"/>
    <col min="11269" max="11269" width="13.7109375" customWidth="1"/>
    <col min="11270" max="11270" width="13.85546875" bestFit="1" customWidth="1"/>
    <col min="11271" max="11271" width="19.7109375" bestFit="1" customWidth="1"/>
    <col min="11272" max="11272" width="22.140625" bestFit="1" customWidth="1"/>
    <col min="11273" max="11273" width="17.7109375" bestFit="1" customWidth="1"/>
    <col min="11274" max="11275" width="15.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7109375" bestFit="1" customWidth="1"/>
    <col min="11516" max="11516" width="15.28515625" bestFit="1" customWidth="1"/>
    <col min="11517" max="11517" width="18.7109375" bestFit="1" customWidth="1"/>
    <col min="11518" max="11518" width="13.42578125" customWidth="1"/>
    <col min="11519" max="11519" width="15.28515625" bestFit="1" customWidth="1"/>
    <col min="11520" max="11520" width="14.140625" bestFit="1" customWidth="1"/>
    <col min="11521" max="11521" width="15.28515625" customWidth="1"/>
    <col min="11522" max="11522" width="15.85546875" customWidth="1"/>
    <col min="11523" max="11523" width="17" bestFit="1" customWidth="1"/>
    <col min="11524" max="11524" width="12.7109375" customWidth="1"/>
    <col min="11525" max="11525" width="13.7109375" customWidth="1"/>
    <col min="11526" max="11526" width="13.85546875" bestFit="1" customWidth="1"/>
    <col min="11527" max="11527" width="19.7109375" bestFit="1" customWidth="1"/>
    <col min="11528" max="11528" width="22.140625" bestFit="1" customWidth="1"/>
    <col min="11529" max="11529" width="17.7109375" bestFit="1" customWidth="1"/>
    <col min="11530" max="11531" width="15.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7109375" bestFit="1" customWidth="1"/>
    <col min="11772" max="11772" width="15.28515625" bestFit="1" customWidth="1"/>
    <col min="11773" max="11773" width="18.7109375" bestFit="1" customWidth="1"/>
    <col min="11774" max="11774" width="13.42578125" customWidth="1"/>
    <col min="11775" max="11775" width="15.28515625" bestFit="1" customWidth="1"/>
    <col min="11776" max="11776" width="14.140625" bestFit="1" customWidth="1"/>
    <col min="11777" max="11777" width="15.28515625" customWidth="1"/>
    <col min="11778" max="11778" width="15.85546875" customWidth="1"/>
    <col min="11779" max="11779" width="17" bestFit="1" customWidth="1"/>
    <col min="11780" max="11780" width="12.7109375" customWidth="1"/>
    <col min="11781" max="11781" width="13.7109375" customWidth="1"/>
    <col min="11782" max="11782" width="13.85546875" bestFit="1" customWidth="1"/>
    <col min="11783" max="11783" width="19.7109375" bestFit="1" customWidth="1"/>
    <col min="11784" max="11784" width="22.140625" bestFit="1" customWidth="1"/>
    <col min="11785" max="11785" width="17.7109375" bestFit="1" customWidth="1"/>
    <col min="11786" max="11787" width="15.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7109375" bestFit="1" customWidth="1"/>
    <col min="12028" max="12028" width="15.28515625" bestFit="1" customWidth="1"/>
    <col min="12029" max="12029" width="18.7109375" bestFit="1" customWidth="1"/>
    <col min="12030" max="12030" width="13.42578125" customWidth="1"/>
    <col min="12031" max="12031" width="15.28515625" bestFit="1" customWidth="1"/>
    <col min="12032" max="12032" width="14.140625" bestFit="1" customWidth="1"/>
    <col min="12033" max="12033" width="15.28515625" customWidth="1"/>
    <col min="12034" max="12034" width="15.85546875" customWidth="1"/>
    <col min="12035" max="12035" width="17" bestFit="1" customWidth="1"/>
    <col min="12036" max="12036" width="12.7109375" customWidth="1"/>
    <col min="12037" max="12037" width="13.7109375" customWidth="1"/>
    <col min="12038" max="12038" width="13.85546875" bestFit="1" customWidth="1"/>
    <col min="12039" max="12039" width="19.7109375" bestFit="1" customWidth="1"/>
    <col min="12040" max="12040" width="22.140625" bestFit="1" customWidth="1"/>
    <col min="12041" max="12041" width="17.7109375" bestFit="1" customWidth="1"/>
    <col min="12042" max="12043" width="15.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7109375" bestFit="1" customWidth="1"/>
    <col min="12284" max="12284" width="15.28515625" bestFit="1" customWidth="1"/>
    <col min="12285" max="12285" width="18.7109375" bestFit="1" customWidth="1"/>
    <col min="12286" max="12286" width="13.42578125" customWidth="1"/>
    <col min="12287" max="12287" width="15.28515625" bestFit="1" customWidth="1"/>
    <col min="12288" max="12288" width="14.140625" bestFit="1" customWidth="1"/>
    <col min="12289" max="12289" width="15.28515625" customWidth="1"/>
    <col min="12290" max="12290" width="15.85546875" customWidth="1"/>
    <col min="12291" max="12291" width="17" bestFit="1" customWidth="1"/>
    <col min="12292" max="12292" width="12.7109375" customWidth="1"/>
    <col min="12293" max="12293" width="13.7109375" customWidth="1"/>
    <col min="12294" max="12294" width="13.85546875" bestFit="1" customWidth="1"/>
    <col min="12295" max="12295" width="19.7109375" bestFit="1" customWidth="1"/>
    <col min="12296" max="12296" width="22.140625" bestFit="1" customWidth="1"/>
    <col min="12297" max="12297" width="17.7109375" bestFit="1" customWidth="1"/>
    <col min="12298" max="12299" width="15.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7109375" bestFit="1" customWidth="1"/>
    <col min="12540" max="12540" width="15.28515625" bestFit="1" customWidth="1"/>
    <col min="12541" max="12541" width="18.7109375" bestFit="1" customWidth="1"/>
    <col min="12542" max="12542" width="13.42578125" customWidth="1"/>
    <col min="12543" max="12543" width="15.28515625" bestFit="1" customWidth="1"/>
    <col min="12544" max="12544" width="14.140625" bestFit="1" customWidth="1"/>
    <col min="12545" max="12545" width="15.28515625" customWidth="1"/>
    <col min="12546" max="12546" width="15.85546875" customWidth="1"/>
    <col min="12547" max="12547" width="17" bestFit="1" customWidth="1"/>
    <col min="12548" max="12548" width="12.7109375" customWidth="1"/>
    <col min="12549" max="12549" width="13.7109375" customWidth="1"/>
    <col min="12550" max="12550" width="13.85546875" bestFit="1" customWidth="1"/>
    <col min="12551" max="12551" width="19.7109375" bestFit="1" customWidth="1"/>
    <col min="12552" max="12552" width="22.140625" bestFit="1" customWidth="1"/>
    <col min="12553" max="12553" width="17.7109375" bestFit="1" customWidth="1"/>
    <col min="12554" max="12555" width="15.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7109375" bestFit="1" customWidth="1"/>
    <col min="12796" max="12796" width="15.28515625" bestFit="1" customWidth="1"/>
    <col min="12797" max="12797" width="18.7109375" bestFit="1" customWidth="1"/>
    <col min="12798" max="12798" width="13.42578125" customWidth="1"/>
    <col min="12799" max="12799" width="15.28515625" bestFit="1" customWidth="1"/>
    <col min="12800" max="12800" width="14.140625" bestFit="1" customWidth="1"/>
    <col min="12801" max="12801" width="15.28515625" customWidth="1"/>
    <col min="12802" max="12802" width="15.85546875" customWidth="1"/>
    <col min="12803" max="12803" width="17" bestFit="1" customWidth="1"/>
    <col min="12804" max="12804" width="12.7109375" customWidth="1"/>
    <col min="12805" max="12805" width="13.7109375" customWidth="1"/>
    <col min="12806" max="12806" width="13.85546875" bestFit="1" customWidth="1"/>
    <col min="12807" max="12807" width="19.7109375" bestFit="1" customWidth="1"/>
    <col min="12808" max="12808" width="22.140625" bestFit="1" customWidth="1"/>
    <col min="12809" max="12809" width="17.7109375" bestFit="1" customWidth="1"/>
    <col min="12810" max="12811" width="15.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7109375" bestFit="1" customWidth="1"/>
    <col min="13052" max="13052" width="15.28515625" bestFit="1" customWidth="1"/>
    <col min="13053" max="13053" width="18.7109375" bestFit="1" customWidth="1"/>
    <col min="13054" max="13054" width="13.42578125" customWidth="1"/>
    <col min="13055" max="13055" width="15.28515625" bestFit="1" customWidth="1"/>
    <col min="13056" max="13056" width="14.140625" bestFit="1" customWidth="1"/>
    <col min="13057" max="13057" width="15.28515625" customWidth="1"/>
    <col min="13058" max="13058" width="15.85546875" customWidth="1"/>
    <col min="13059" max="13059" width="17" bestFit="1" customWidth="1"/>
    <col min="13060" max="13060" width="12.7109375" customWidth="1"/>
    <col min="13061" max="13061" width="13.7109375" customWidth="1"/>
    <col min="13062" max="13062" width="13.85546875" bestFit="1" customWidth="1"/>
    <col min="13063" max="13063" width="19.7109375" bestFit="1" customWidth="1"/>
    <col min="13064" max="13064" width="22.140625" bestFit="1" customWidth="1"/>
    <col min="13065" max="13065" width="17.7109375" bestFit="1" customWidth="1"/>
    <col min="13066" max="13067" width="15.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7109375" bestFit="1" customWidth="1"/>
    <col min="13308" max="13308" width="15.28515625" bestFit="1" customWidth="1"/>
    <col min="13309" max="13309" width="18.7109375" bestFit="1" customWidth="1"/>
    <col min="13310" max="13310" width="13.42578125" customWidth="1"/>
    <col min="13311" max="13311" width="15.28515625" bestFit="1" customWidth="1"/>
    <col min="13312" max="13312" width="14.140625" bestFit="1" customWidth="1"/>
    <col min="13313" max="13313" width="15.28515625" customWidth="1"/>
    <col min="13314" max="13314" width="15.85546875" customWidth="1"/>
    <col min="13315" max="13315" width="17" bestFit="1" customWidth="1"/>
    <col min="13316" max="13316" width="12.7109375" customWidth="1"/>
    <col min="13317" max="13317" width="13.7109375" customWidth="1"/>
    <col min="13318" max="13318" width="13.85546875" bestFit="1" customWidth="1"/>
    <col min="13319" max="13319" width="19.7109375" bestFit="1" customWidth="1"/>
    <col min="13320" max="13320" width="22.140625" bestFit="1" customWidth="1"/>
    <col min="13321" max="13321" width="17.7109375" bestFit="1" customWidth="1"/>
    <col min="13322" max="13323" width="15.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7109375" bestFit="1" customWidth="1"/>
    <col min="13564" max="13564" width="15.28515625" bestFit="1" customWidth="1"/>
    <col min="13565" max="13565" width="18.7109375" bestFit="1" customWidth="1"/>
    <col min="13566" max="13566" width="13.42578125" customWidth="1"/>
    <col min="13567" max="13567" width="15.28515625" bestFit="1" customWidth="1"/>
    <col min="13568" max="13568" width="14.140625" bestFit="1" customWidth="1"/>
    <col min="13569" max="13569" width="15.28515625" customWidth="1"/>
    <col min="13570" max="13570" width="15.85546875" customWidth="1"/>
    <col min="13571" max="13571" width="17" bestFit="1" customWidth="1"/>
    <col min="13572" max="13572" width="12.7109375" customWidth="1"/>
    <col min="13573" max="13573" width="13.7109375" customWidth="1"/>
    <col min="13574" max="13574" width="13.85546875" bestFit="1" customWidth="1"/>
    <col min="13575" max="13575" width="19.7109375" bestFit="1" customWidth="1"/>
    <col min="13576" max="13576" width="22.140625" bestFit="1" customWidth="1"/>
    <col min="13577" max="13577" width="17.7109375" bestFit="1" customWidth="1"/>
    <col min="13578" max="13579" width="15.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7109375" bestFit="1" customWidth="1"/>
    <col min="13820" max="13820" width="15.28515625" bestFit="1" customWidth="1"/>
    <col min="13821" max="13821" width="18.7109375" bestFit="1" customWidth="1"/>
    <col min="13822" max="13822" width="13.42578125" customWidth="1"/>
    <col min="13823" max="13823" width="15.28515625" bestFit="1" customWidth="1"/>
    <col min="13824" max="13824" width="14.140625" bestFit="1" customWidth="1"/>
    <col min="13825" max="13825" width="15.28515625" customWidth="1"/>
    <col min="13826" max="13826" width="15.85546875" customWidth="1"/>
    <col min="13827" max="13827" width="17" bestFit="1" customWidth="1"/>
    <col min="13828" max="13828" width="12.7109375" customWidth="1"/>
    <col min="13829" max="13829" width="13.7109375" customWidth="1"/>
    <col min="13830" max="13830" width="13.85546875" bestFit="1" customWidth="1"/>
    <col min="13831" max="13831" width="19.7109375" bestFit="1" customWidth="1"/>
    <col min="13832" max="13832" width="22.140625" bestFit="1" customWidth="1"/>
    <col min="13833" max="13833" width="17.7109375" bestFit="1" customWidth="1"/>
    <col min="13834" max="13835" width="15.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7109375" bestFit="1" customWidth="1"/>
    <col min="14076" max="14076" width="15.28515625" bestFit="1" customWidth="1"/>
    <col min="14077" max="14077" width="18.7109375" bestFit="1" customWidth="1"/>
    <col min="14078" max="14078" width="13.42578125" customWidth="1"/>
    <col min="14079" max="14079" width="15.28515625" bestFit="1" customWidth="1"/>
    <col min="14080" max="14080" width="14.140625" bestFit="1" customWidth="1"/>
    <col min="14081" max="14081" width="15.28515625" customWidth="1"/>
    <col min="14082" max="14082" width="15.85546875" customWidth="1"/>
    <col min="14083" max="14083" width="17" bestFit="1" customWidth="1"/>
    <col min="14084" max="14084" width="12.7109375" customWidth="1"/>
    <col min="14085" max="14085" width="13.7109375" customWidth="1"/>
    <col min="14086" max="14086" width="13.85546875" bestFit="1" customWidth="1"/>
    <col min="14087" max="14087" width="19.7109375" bestFit="1" customWidth="1"/>
    <col min="14088" max="14088" width="22.140625" bestFit="1" customWidth="1"/>
    <col min="14089" max="14089" width="17.7109375" bestFit="1" customWidth="1"/>
    <col min="14090" max="14091" width="15.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7109375" bestFit="1" customWidth="1"/>
    <col min="14332" max="14332" width="15.28515625" bestFit="1" customWidth="1"/>
    <col min="14333" max="14333" width="18.7109375" bestFit="1" customWidth="1"/>
    <col min="14334" max="14334" width="13.42578125" customWidth="1"/>
    <col min="14335" max="14335" width="15.28515625" bestFit="1" customWidth="1"/>
    <col min="14336" max="14336" width="14.140625" bestFit="1" customWidth="1"/>
    <col min="14337" max="14337" width="15.28515625" customWidth="1"/>
    <col min="14338" max="14338" width="15.85546875" customWidth="1"/>
    <col min="14339" max="14339" width="17" bestFit="1" customWidth="1"/>
    <col min="14340" max="14340" width="12.7109375" customWidth="1"/>
    <col min="14341" max="14341" width="13.7109375" customWidth="1"/>
    <col min="14342" max="14342" width="13.85546875" bestFit="1" customWidth="1"/>
    <col min="14343" max="14343" width="19.7109375" bestFit="1" customWidth="1"/>
    <col min="14344" max="14344" width="22.140625" bestFit="1" customWidth="1"/>
    <col min="14345" max="14345" width="17.7109375" bestFit="1" customWidth="1"/>
    <col min="14346" max="14347" width="15.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7109375" bestFit="1" customWidth="1"/>
    <col min="14588" max="14588" width="15.28515625" bestFit="1" customWidth="1"/>
    <col min="14589" max="14589" width="18.7109375" bestFit="1" customWidth="1"/>
    <col min="14590" max="14590" width="13.42578125" customWidth="1"/>
    <col min="14591" max="14591" width="15.28515625" bestFit="1" customWidth="1"/>
    <col min="14592" max="14592" width="14.140625" bestFit="1" customWidth="1"/>
    <col min="14593" max="14593" width="15.28515625" customWidth="1"/>
    <col min="14594" max="14594" width="15.85546875" customWidth="1"/>
    <col min="14595" max="14595" width="17" bestFit="1" customWidth="1"/>
    <col min="14596" max="14596" width="12.7109375" customWidth="1"/>
    <col min="14597" max="14597" width="13.7109375" customWidth="1"/>
    <col min="14598" max="14598" width="13.85546875" bestFit="1" customWidth="1"/>
    <col min="14599" max="14599" width="19.7109375" bestFit="1" customWidth="1"/>
    <col min="14600" max="14600" width="22.140625" bestFit="1" customWidth="1"/>
    <col min="14601" max="14601" width="17.7109375" bestFit="1" customWidth="1"/>
    <col min="14602" max="14603" width="15.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7109375" bestFit="1" customWidth="1"/>
    <col min="14844" max="14844" width="15.28515625" bestFit="1" customWidth="1"/>
    <col min="14845" max="14845" width="18.7109375" bestFit="1" customWidth="1"/>
    <col min="14846" max="14846" width="13.42578125" customWidth="1"/>
    <col min="14847" max="14847" width="15.28515625" bestFit="1" customWidth="1"/>
    <col min="14848" max="14848" width="14.140625" bestFit="1" customWidth="1"/>
    <col min="14849" max="14849" width="15.28515625" customWidth="1"/>
    <col min="14850" max="14850" width="15.85546875" customWidth="1"/>
    <col min="14851" max="14851" width="17" bestFit="1" customWidth="1"/>
    <col min="14852" max="14852" width="12.7109375" customWidth="1"/>
    <col min="14853" max="14853" width="13.7109375" customWidth="1"/>
    <col min="14854" max="14854" width="13.85546875" bestFit="1" customWidth="1"/>
    <col min="14855" max="14855" width="19.7109375" bestFit="1" customWidth="1"/>
    <col min="14856" max="14856" width="22.140625" bestFit="1" customWidth="1"/>
    <col min="14857" max="14857" width="17.7109375" bestFit="1" customWidth="1"/>
    <col min="14858" max="14859" width="15.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7109375" bestFit="1" customWidth="1"/>
    <col min="15100" max="15100" width="15.28515625" bestFit="1" customWidth="1"/>
    <col min="15101" max="15101" width="18.7109375" bestFit="1" customWidth="1"/>
    <col min="15102" max="15102" width="13.42578125" customWidth="1"/>
    <col min="15103" max="15103" width="15.28515625" bestFit="1" customWidth="1"/>
    <col min="15104" max="15104" width="14.140625" bestFit="1" customWidth="1"/>
    <col min="15105" max="15105" width="15.28515625" customWidth="1"/>
    <col min="15106" max="15106" width="15.85546875" customWidth="1"/>
    <col min="15107" max="15107" width="17" bestFit="1" customWidth="1"/>
    <col min="15108" max="15108" width="12.7109375" customWidth="1"/>
    <col min="15109" max="15109" width="13.7109375" customWidth="1"/>
    <col min="15110" max="15110" width="13.85546875" bestFit="1" customWidth="1"/>
    <col min="15111" max="15111" width="19.7109375" bestFit="1" customWidth="1"/>
    <col min="15112" max="15112" width="22.140625" bestFit="1" customWidth="1"/>
    <col min="15113" max="15113" width="17.7109375" bestFit="1" customWidth="1"/>
    <col min="15114" max="15115" width="15.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7109375" bestFit="1" customWidth="1"/>
    <col min="15356" max="15356" width="15.28515625" bestFit="1" customWidth="1"/>
    <col min="15357" max="15357" width="18.7109375" bestFit="1" customWidth="1"/>
    <col min="15358" max="15358" width="13.42578125" customWidth="1"/>
    <col min="15359" max="15359" width="15.28515625" bestFit="1" customWidth="1"/>
    <col min="15360" max="15360" width="14.140625" bestFit="1" customWidth="1"/>
    <col min="15361" max="15361" width="15.28515625" customWidth="1"/>
    <col min="15362" max="15362" width="15.85546875" customWidth="1"/>
    <col min="15363" max="15363" width="17" bestFit="1" customWidth="1"/>
    <col min="15364" max="15364" width="12.7109375" customWidth="1"/>
    <col min="15365" max="15365" width="13.7109375" customWidth="1"/>
    <col min="15366" max="15366" width="13.85546875" bestFit="1" customWidth="1"/>
    <col min="15367" max="15367" width="19.7109375" bestFit="1" customWidth="1"/>
    <col min="15368" max="15368" width="22.140625" bestFit="1" customWidth="1"/>
    <col min="15369" max="15369" width="17.7109375" bestFit="1" customWidth="1"/>
    <col min="15370" max="15371" width="15.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7109375" bestFit="1" customWidth="1"/>
    <col min="15612" max="15612" width="15.28515625" bestFit="1" customWidth="1"/>
    <col min="15613" max="15613" width="18.7109375" bestFit="1" customWidth="1"/>
    <col min="15614" max="15614" width="13.42578125" customWidth="1"/>
    <col min="15615" max="15615" width="15.28515625" bestFit="1" customWidth="1"/>
    <col min="15616" max="15616" width="14.140625" bestFit="1" customWidth="1"/>
    <col min="15617" max="15617" width="15.28515625" customWidth="1"/>
    <col min="15618" max="15618" width="15.85546875" customWidth="1"/>
    <col min="15619" max="15619" width="17" bestFit="1" customWidth="1"/>
    <col min="15620" max="15620" width="12.7109375" customWidth="1"/>
    <col min="15621" max="15621" width="13.7109375" customWidth="1"/>
    <col min="15622" max="15622" width="13.85546875" bestFit="1" customWidth="1"/>
    <col min="15623" max="15623" width="19.7109375" bestFit="1" customWidth="1"/>
    <col min="15624" max="15624" width="22.140625" bestFit="1" customWidth="1"/>
    <col min="15625" max="15625" width="17.7109375" bestFit="1" customWidth="1"/>
    <col min="15626" max="15627" width="15.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7109375" bestFit="1" customWidth="1"/>
    <col min="15868" max="15868" width="15.28515625" bestFit="1" customWidth="1"/>
    <col min="15869" max="15869" width="18.7109375" bestFit="1" customWidth="1"/>
    <col min="15870" max="15870" width="13.42578125" customWidth="1"/>
    <col min="15871" max="15871" width="15.28515625" bestFit="1" customWidth="1"/>
    <col min="15872" max="15872" width="14.140625" bestFit="1" customWidth="1"/>
    <col min="15873" max="15873" width="15.28515625" customWidth="1"/>
    <col min="15874" max="15874" width="15.85546875" customWidth="1"/>
    <col min="15875" max="15875" width="17" bestFit="1" customWidth="1"/>
    <col min="15876" max="15876" width="12.7109375" customWidth="1"/>
    <col min="15877" max="15877" width="13.7109375" customWidth="1"/>
    <col min="15878" max="15878" width="13.85546875" bestFit="1" customWidth="1"/>
    <col min="15879" max="15879" width="19.7109375" bestFit="1" customWidth="1"/>
    <col min="15880" max="15880" width="22.140625" bestFit="1" customWidth="1"/>
    <col min="15881" max="15881" width="17.7109375" bestFit="1" customWidth="1"/>
    <col min="15882" max="15883" width="15.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7109375" bestFit="1" customWidth="1"/>
    <col min="16124" max="16124" width="15.28515625" bestFit="1" customWidth="1"/>
    <col min="16125" max="16125" width="18.7109375" bestFit="1" customWidth="1"/>
    <col min="16126" max="16126" width="13.42578125" customWidth="1"/>
    <col min="16127" max="16127" width="15.28515625" bestFit="1" customWidth="1"/>
    <col min="16128" max="16128" width="14.140625" bestFit="1" customWidth="1"/>
    <col min="16129" max="16129" width="15.28515625" customWidth="1"/>
    <col min="16130" max="16130" width="15.85546875" customWidth="1"/>
    <col min="16131" max="16131" width="17" bestFit="1" customWidth="1"/>
    <col min="16132" max="16132" width="12.7109375" customWidth="1"/>
    <col min="16133" max="16133" width="13.7109375" customWidth="1"/>
    <col min="16134" max="16134" width="13.85546875" bestFit="1" customWidth="1"/>
    <col min="16135" max="16135" width="19.7109375" bestFit="1" customWidth="1"/>
    <col min="16136" max="16136" width="22.140625" bestFit="1" customWidth="1"/>
    <col min="16137" max="16137" width="17.7109375" bestFit="1" customWidth="1"/>
    <col min="16138" max="16139" width="15.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7" ht="56.25" customHeight="1" thickBot="1">
      <c r="C1" s="1361" t="s">
        <v>270</v>
      </c>
      <c r="D1" s="1361" t="s">
        <v>271</v>
      </c>
      <c r="E1" s="1361" t="s">
        <v>5</v>
      </c>
      <c r="F1" s="1361">
        <v>18230736</v>
      </c>
      <c r="G1" s="1361" t="s">
        <v>28</v>
      </c>
      <c r="J1" s="44"/>
      <c r="M1" s="1361" t="s">
        <v>270</v>
      </c>
      <c r="N1" s="1361" t="s">
        <v>271</v>
      </c>
      <c r="O1" s="1361" t="s">
        <v>5</v>
      </c>
      <c r="P1" s="1361">
        <v>18230736</v>
      </c>
      <c r="Q1" s="1361" t="s">
        <v>28</v>
      </c>
      <c r="V1" s="1361" t="s">
        <v>270</v>
      </c>
      <c r="W1" s="1361" t="s">
        <v>271</v>
      </c>
      <c r="X1" s="1361" t="s">
        <v>5</v>
      </c>
      <c r="Y1" s="1361">
        <v>18230736</v>
      </c>
      <c r="Z1" s="1912" t="s">
        <v>28</v>
      </c>
    </row>
    <row r="2" spans="1:27" ht="16.5" thickBot="1">
      <c r="C2" s="44"/>
      <c r="D2" s="45"/>
      <c r="G2" s="1652"/>
      <c r="I2" s="1178" t="s">
        <v>627</v>
      </c>
      <c r="S2" s="3575"/>
      <c r="T2" s="3575"/>
      <c r="U2" s="3576" t="s">
        <v>33</v>
      </c>
      <c r="V2" s="3577"/>
      <c r="W2" s="3578"/>
      <c r="X2" s="3579" t="s">
        <v>34</v>
      </c>
      <c r="Z2"/>
      <c r="AA2" s="1907"/>
    </row>
    <row r="3" spans="1:27" ht="26.25" thickBot="1">
      <c r="A3" s="1357" t="s">
        <v>270</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c r="AA3" s="1907"/>
    </row>
    <row r="4" spans="1:27" ht="16.5" thickBot="1">
      <c r="A4" s="1357" t="s">
        <v>271</v>
      </c>
      <c r="B4" s="1357"/>
      <c r="C4" s="44"/>
      <c r="G4" s="1652"/>
      <c r="H4" s="2946" t="s">
        <v>1726</v>
      </c>
      <c r="I4" s="2959">
        <f>D15</f>
        <v>54250.900000000009</v>
      </c>
      <c r="J4" s="2960">
        <f>D21</f>
        <v>14400.000000000002</v>
      </c>
      <c r="K4" s="2960">
        <f>D27</f>
        <v>45790.150300000008</v>
      </c>
      <c r="L4" s="2960">
        <f>D37</f>
        <v>4000</v>
      </c>
      <c r="M4" s="2960">
        <f>D43</f>
        <v>1000</v>
      </c>
      <c r="N4" s="2960">
        <f>D49</f>
        <v>200000</v>
      </c>
      <c r="O4" s="2960">
        <f>D55</f>
        <v>500</v>
      </c>
      <c r="P4" s="2960">
        <f>D61</f>
        <v>500</v>
      </c>
      <c r="Q4" s="2960">
        <f>D67</f>
        <v>654214</v>
      </c>
      <c r="R4" s="2960">
        <f>D70</f>
        <v>0</v>
      </c>
      <c r="S4" s="2961">
        <f>SUM(I4:R4)</f>
        <v>974655.0503</v>
      </c>
      <c r="T4" s="2963">
        <f>T15</f>
        <v>102945.8</v>
      </c>
      <c r="U4" s="2954">
        <f>Q4/S4</f>
        <v>0.67122619412748352</v>
      </c>
      <c r="V4" s="2954">
        <f>(L4+(J4*1.63))/S4</f>
        <v>2.8186382445301118E-2</v>
      </c>
      <c r="W4" s="2954">
        <f>N4/S4</f>
        <v>0.20520080405723004</v>
      </c>
      <c r="X4" s="2953">
        <f>S4/T4</f>
        <v>9.4676523986408387</v>
      </c>
      <c r="Z4"/>
      <c r="AA4" s="1907"/>
    </row>
    <row r="5" spans="1:27" ht="16.5" thickBot="1">
      <c r="A5" s="1357" t="s">
        <v>5</v>
      </c>
      <c r="C5" s="45"/>
      <c r="G5" s="1652"/>
      <c r="H5" s="3205" t="s">
        <v>1753</v>
      </c>
      <c r="I5" s="2617">
        <v>55607.200000000012</v>
      </c>
      <c r="J5" s="2618">
        <v>14400.000000000002</v>
      </c>
      <c r="K5" s="2618">
        <v>47604.896000000008</v>
      </c>
      <c r="L5" s="2618">
        <v>4000</v>
      </c>
      <c r="M5" s="2618">
        <v>1000</v>
      </c>
      <c r="N5" s="2618">
        <v>200000</v>
      </c>
      <c r="O5" s="2618">
        <v>500</v>
      </c>
      <c r="P5" s="2618">
        <v>500</v>
      </c>
      <c r="Q5" s="2618">
        <v>660214</v>
      </c>
      <c r="R5" s="2618">
        <v>0</v>
      </c>
      <c r="S5" s="2619">
        <v>983826.09600000002</v>
      </c>
      <c r="T5" s="2649">
        <v>130945.8</v>
      </c>
      <c r="U5" s="1187">
        <f>Q5/S5</f>
        <v>0.6710677859474059</v>
      </c>
      <c r="V5" s="1187">
        <f>(L5+(J5*1.63))/S5</f>
        <v>2.7923634178534738E-2</v>
      </c>
      <c r="W5" s="1187">
        <f>N5/S5</f>
        <v>0.20328795994856391</v>
      </c>
      <c r="X5" s="48">
        <f>S5/T5</f>
        <v>7.513231398028803</v>
      </c>
      <c r="Z5"/>
      <c r="AA5" s="1907"/>
    </row>
    <row r="6" spans="1:27" ht="16.5" thickBot="1">
      <c r="A6" s="1357">
        <v>18230736</v>
      </c>
      <c r="B6" s="1357"/>
      <c r="D6" s="44"/>
      <c r="G6" s="1652"/>
      <c r="H6" s="3206" t="s">
        <v>1754</v>
      </c>
      <c r="I6" s="2621">
        <f>E15</f>
        <v>42762.5</v>
      </c>
      <c r="J6" s="2622">
        <f>E21</f>
        <v>14400.000000000002</v>
      </c>
      <c r="K6" s="2623">
        <f>E27</f>
        <v>51331.925000000003</v>
      </c>
      <c r="L6" s="2622">
        <f>E37</f>
        <v>4000</v>
      </c>
      <c r="M6" s="2622">
        <f>E43</f>
        <v>1000</v>
      </c>
      <c r="N6" s="2622">
        <f>E49</f>
        <v>200000</v>
      </c>
      <c r="O6" s="2622">
        <f>E55</f>
        <v>500</v>
      </c>
      <c r="P6" s="2622">
        <f>E61</f>
        <v>500</v>
      </c>
      <c r="Q6" s="2622">
        <f>E67</f>
        <v>294464</v>
      </c>
      <c r="R6" s="2622">
        <f>E70</f>
        <v>0</v>
      </c>
      <c r="S6" s="2624">
        <f>SUM(I6:R6)</f>
        <v>608958.42500000005</v>
      </c>
      <c r="T6" s="2641">
        <f>U15</f>
        <v>84535.8</v>
      </c>
      <c r="U6" s="2631">
        <f>Q6/S6</f>
        <v>0.48355353651606015</v>
      </c>
      <c r="V6" s="2631">
        <f>(L6+(J6*1.63))/S6</f>
        <v>4.511309618550724E-2</v>
      </c>
      <c r="W6" s="2631">
        <f>N6/S6</f>
        <v>0.32842964607969743</v>
      </c>
      <c r="X6" s="2626">
        <f>S6/T6</f>
        <v>7.203556658835665</v>
      </c>
      <c r="Z6"/>
      <c r="AA6" s="1907"/>
    </row>
    <row r="7" spans="1:27"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7" ht="15.75">
      <c r="B8" s="1357"/>
      <c r="C8" s="1413"/>
      <c r="D8" s="1190"/>
      <c r="E8" s="1414"/>
      <c r="F8" s="1413"/>
    </row>
    <row r="9" spans="1:27"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7">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7">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1923"/>
    </row>
    <row r="12" spans="1:27">
      <c r="A12" s="1357"/>
      <c r="B12" s="1357"/>
      <c r="C12" s="1434" t="s">
        <v>298</v>
      </c>
      <c r="D12" s="2766">
        <f>D15+D21+D27+D37+D43+D49+D55+D61+D67</f>
        <v>974655.0503</v>
      </c>
      <c r="E12" s="1484">
        <f>E15+E21+E27+E37+E43+E49+E55+E61+E67</f>
        <v>608958.42500000005</v>
      </c>
      <c r="F12" s="1462">
        <f>D12+E12</f>
        <v>1583613.4753</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7">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7"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908" t="s">
        <v>307</v>
      </c>
    </row>
    <row r="15" spans="1:27">
      <c r="B15" s="1433" t="s">
        <v>296</v>
      </c>
      <c r="C15" s="1597" t="s">
        <v>1749</v>
      </c>
      <c r="D15" s="2771">
        <f>SUM(D16:D19)</f>
        <v>54250.900000000009</v>
      </c>
      <c r="E15" s="1464">
        <f>SUM(E16:E19)</f>
        <v>42762.5</v>
      </c>
      <c r="F15" s="1462">
        <f>D15+E15</f>
        <v>97013.400000000009</v>
      </c>
      <c r="H15" s="1475" t="s">
        <v>308</v>
      </c>
      <c r="I15" s="1476"/>
      <c r="J15" s="1476"/>
      <c r="K15" s="1477"/>
      <c r="L15" s="1478">
        <f>SUMPRODUCT(L16:L179,S16:S179)</f>
        <v>2010188</v>
      </c>
      <c r="M15" s="1478">
        <f>SUM(M16:M179)</f>
        <v>56527.199999999997</v>
      </c>
      <c r="N15" s="1479"/>
      <c r="O15" s="1477">
        <v>20</v>
      </c>
      <c r="P15" s="1477"/>
      <c r="Q15" s="1477"/>
      <c r="R15" s="1477"/>
      <c r="S15" s="1477"/>
      <c r="T15" s="2983">
        <v>102945.8</v>
      </c>
      <c r="U15" s="1480">
        <f t="shared" ref="U15:Y15" si="0">SUM(U16:U65)</f>
        <v>84535.8</v>
      </c>
      <c r="V15" s="1480">
        <f t="shared" si="0"/>
        <v>187481.60000000001</v>
      </c>
      <c r="W15" s="2987">
        <v>654214</v>
      </c>
      <c r="X15" s="1478">
        <f t="shared" si="0"/>
        <v>294464</v>
      </c>
      <c r="Y15" s="1478">
        <f t="shared" si="0"/>
        <v>948678</v>
      </c>
      <c r="Z15" s="1911">
        <v>0</v>
      </c>
    </row>
    <row r="16" spans="1:27">
      <c r="B16" s="1432">
        <v>0.05</v>
      </c>
      <c r="C16" s="1423" t="s">
        <v>734</v>
      </c>
      <c r="D16" s="2772">
        <v>4931.9000000000005</v>
      </c>
      <c r="E16" s="1448">
        <v>3887.5</v>
      </c>
      <c r="F16" s="1426">
        <f>SUM(D16:E16)</f>
        <v>8819.4000000000015</v>
      </c>
      <c r="H16" s="1972" t="s">
        <v>1168</v>
      </c>
      <c r="I16" s="1982">
        <v>2</v>
      </c>
      <c r="J16" s="1470" t="s">
        <v>559</v>
      </c>
      <c r="K16" s="1977" t="s">
        <v>845</v>
      </c>
      <c r="L16" s="1978">
        <v>2.1</v>
      </c>
      <c r="M16" s="1981">
        <v>2.1</v>
      </c>
      <c r="N16" s="1461">
        <v>2.1335427049907832E-2</v>
      </c>
      <c r="O16" s="1460">
        <v>10</v>
      </c>
      <c r="P16" s="1463" t="s">
        <v>846</v>
      </c>
      <c r="Q16" s="1466">
        <v>1000</v>
      </c>
      <c r="R16" s="1466">
        <v>1000</v>
      </c>
      <c r="S16" s="1469">
        <f>SUM(Q16:R16)</f>
        <v>2000</v>
      </c>
      <c r="T16" s="2991">
        <v>2000</v>
      </c>
      <c r="U16" s="1469">
        <f>R16*I16</f>
        <v>2000</v>
      </c>
      <c r="V16" s="1469">
        <f>SUM(T16:U16)</f>
        <v>4000</v>
      </c>
      <c r="W16" s="2993">
        <v>2100</v>
      </c>
      <c r="X16" s="1459">
        <f>R16*M16</f>
        <v>2100</v>
      </c>
      <c r="Y16" s="1459">
        <f>SUM(W16:X16)</f>
        <v>4200</v>
      </c>
      <c r="Z16" s="1910">
        <v>4.8499999999999996</v>
      </c>
    </row>
    <row r="17" spans="2:26">
      <c r="B17" s="1432">
        <v>0.2</v>
      </c>
      <c r="C17" s="1423" t="s">
        <v>735</v>
      </c>
      <c r="D17" s="2784">
        <v>19727.600000000002</v>
      </c>
      <c r="E17" s="1447">
        <v>15550</v>
      </c>
      <c r="F17" s="1426">
        <f t="shared" ref="F17:F19" si="1">SUM(D17:E17)</f>
        <v>35277.600000000006</v>
      </c>
      <c r="H17" s="1972" t="s">
        <v>1169</v>
      </c>
      <c r="I17" s="1982">
        <v>0.09</v>
      </c>
      <c r="J17" s="1470" t="s">
        <v>559</v>
      </c>
      <c r="K17" s="1977" t="s">
        <v>992</v>
      </c>
      <c r="L17" s="1978">
        <v>1.06</v>
      </c>
      <c r="M17" s="1981">
        <v>0.75</v>
      </c>
      <c r="N17" s="1461">
        <v>4.8004710862292618E-2</v>
      </c>
      <c r="O17" s="1460">
        <v>30</v>
      </c>
      <c r="P17" s="1463" t="s">
        <v>1008</v>
      </c>
      <c r="Q17" s="1466">
        <v>50000</v>
      </c>
      <c r="R17" s="1466">
        <v>50000</v>
      </c>
      <c r="S17" s="1469">
        <f t="shared" ref="S17:S30" si="2">SUM(Q17:R17)</f>
        <v>100000</v>
      </c>
      <c r="T17" s="2991">
        <v>4500</v>
      </c>
      <c r="U17" s="1469">
        <f t="shared" ref="U17:U30" si="3">R17*I17</f>
        <v>4500</v>
      </c>
      <c r="V17" s="1469">
        <f t="shared" ref="V17:V30" si="4">SUM(T17:U17)</f>
        <v>9000</v>
      </c>
      <c r="W17" s="2993">
        <v>37500</v>
      </c>
      <c r="X17" s="1459">
        <f t="shared" ref="X17:X30" si="5">R17*M17</f>
        <v>37500</v>
      </c>
      <c r="Y17" s="1459">
        <f t="shared" ref="Y17:Y30" si="6">SUM(W17:X17)</f>
        <v>75000</v>
      </c>
      <c r="Z17" s="1910">
        <v>0</v>
      </c>
    </row>
    <row r="18" spans="2:26">
      <c r="B18" s="1432">
        <v>0.1</v>
      </c>
      <c r="C18" s="1667" t="s">
        <v>737</v>
      </c>
      <c r="D18" s="2784">
        <v>9863.8000000000011</v>
      </c>
      <c r="E18" s="1447">
        <v>7775</v>
      </c>
      <c r="F18" s="1426">
        <f t="shared" si="1"/>
        <v>17638.800000000003</v>
      </c>
      <c r="H18" s="1972" t="s">
        <v>1170</v>
      </c>
      <c r="I18" s="1982">
        <v>0.06</v>
      </c>
      <c r="J18" s="1470" t="s">
        <v>559</v>
      </c>
      <c r="K18" s="1977" t="s">
        <v>992</v>
      </c>
      <c r="L18" s="1978">
        <v>0.75</v>
      </c>
      <c r="M18" s="1981">
        <v>0.75</v>
      </c>
      <c r="N18" s="1461">
        <v>4.8004710862292618E-2</v>
      </c>
      <c r="O18" s="1460">
        <v>30</v>
      </c>
      <c r="P18" s="1463" t="s">
        <v>1008</v>
      </c>
      <c r="Q18" s="1466">
        <v>100000</v>
      </c>
      <c r="R18" s="1466">
        <v>50000</v>
      </c>
      <c r="S18" s="1469">
        <f t="shared" si="2"/>
        <v>150000</v>
      </c>
      <c r="T18" s="2991">
        <v>6000</v>
      </c>
      <c r="U18" s="1469">
        <f t="shared" si="3"/>
        <v>3000</v>
      </c>
      <c r="V18" s="1469">
        <f t="shared" si="4"/>
        <v>9000</v>
      </c>
      <c r="W18" s="2993">
        <v>75000</v>
      </c>
      <c r="X18" s="1459">
        <f t="shared" si="5"/>
        <v>37500</v>
      </c>
      <c r="Y18" s="1459">
        <f t="shared" si="6"/>
        <v>112500</v>
      </c>
      <c r="Z18" s="1910">
        <v>0</v>
      </c>
    </row>
    <row r="19" spans="2:26">
      <c r="B19" s="1432">
        <v>0.2</v>
      </c>
      <c r="C19" s="1667" t="s">
        <v>894</v>
      </c>
      <c r="D19" s="2794">
        <v>19727.600000000002</v>
      </c>
      <c r="E19" s="1578">
        <v>15550</v>
      </c>
      <c r="F19" s="1426">
        <f t="shared" si="1"/>
        <v>35277.600000000006</v>
      </c>
      <c r="H19" s="1972" t="s">
        <v>1171</v>
      </c>
      <c r="I19" s="1982">
        <v>1923</v>
      </c>
      <c r="J19" s="1470" t="s">
        <v>559</v>
      </c>
      <c r="K19" s="1977" t="s">
        <v>991</v>
      </c>
      <c r="L19" s="1978">
        <v>36251</v>
      </c>
      <c r="M19" s="1981">
        <v>11660</v>
      </c>
      <c r="N19" s="1461">
        <v>2.0514013108486377E-2</v>
      </c>
      <c r="O19" s="1460">
        <v>24</v>
      </c>
      <c r="P19" s="1463" t="s">
        <v>1160</v>
      </c>
      <c r="Q19" s="1466">
        <v>1</v>
      </c>
      <c r="R19" s="1466">
        <v>1</v>
      </c>
      <c r="S19" s="1469">
        <f t="shared" si="2"/>
        <v>2</v>
      </c>
      <c r="T19" s="2991">
        <v>1923</v>
      </c>
      <c r="U19" s="1469">
        <f t="shared" si="3"/>
        <v>1923</v>
      </c>
      <c r="V19" s="1469">
        <f t="shared" si="4"/>
        <v>3846</v>
      </c>
      <c r="W19" s="2993">
        <v>11660</v>
      </c>
      <c r="X19" s="1459">
        <f t="shared" si="5"/>
        <v>11660</v>
      </c>
      <c r="Y19" s="1459">
        <f t="shared" si="6"/>
        <v>23320</v>
      </c>
      <c r="Z19" s="1910">
        <v>0</v>
      </c>
    </row>
    <row r="20" spans="2:26">
      <c r="B20" s="2204">
        <f>SUM(B16:B19)</f>
        <v>0.55000000000000004</v>
      </c>
      <c r="C20" s="1488"/>
      <c r="D20" s="2770"/>
      <c r="E20" s="1490"/>
      <c r="F20" s="1492"/>
      <c r="H20" s="1972" t="s">
        <v>1172</v>
      </c>
      <c r="I20" s="1982">
        <v>1100</v>
      </c>
      <c r="J20" s="1470" t="s">
        <v>559</v>
      </c>
      <c r="K20" s="1977" t="s">
        <v>991</v>
      </c>
      <c r="L20" s="1978">
        <v>11560</v>
      </c>
      <c r="M20" s="1981">
        <v>5500</v>
      </c>
      <c r="N20" s="1461">
        <v>1.760172731617396E-2</v>
      </c>
      <c r="O20" s="1460">
        <v>15</v>
      </c>
      <c r="P20" s="1463" t="s">
        <v>997</v>
      </c>
      <c r="Q20" s="1466">
        <v>1</v>
      </c>
      <c r="R20" s="1466">
        <v>2</v>
      </c>
      <c r="S20" s="1469">
        <f t="shared" si="2"/>
        <v>3</v>
      </c>
      <c r="T20" s="2991">
        <v>1100</v>
      </c>
      <c r="U20" s="1469">
        <f t="shared" si="3"/>
        <v>2200</v>
      </c>
      <c r="V20" s="1469">
        <f t="shared" si="4"/>
        <v>3300</v>
      </c>
      <c r="W20" s="2993">
        <v>5500</v>
      </c>
      <c r="X20" s="1459">
        <f t="shared" si="5"/>
        <v>11000</v>
      </c>
      <c r="Y20" s="1459">
        <f t="shared" si="6"/>
        <v>16500</v>
      </c>
      <c r="Z20" s="1910">
        <v>0</v>
      </c>
    </row>
    <row r="21" spans="2:26">
      <c r="B21" s="1433" t="s">
        <v>296</v>
      </c>
      <c r="C21" s="1451" t="s">
        <v>44</v>
      </c>
      <c r="D21" s="2771">
        <f>SUM(D22:D25)</f>
        <v>14400.000000000002</v>
      </c>
      <c r="E21" s="1464">
        <f>SUM(E22:E25)</f>
        <v>14400.000000000002</v>
      </c>
      <c r="F21" s="1638">
        <f>D21+E21</f>
        <v>28800.000000000004</v>
      </c>
      <c r="H21" s="1972" t="s">
        <v>1173</v>
      </c>
      <c r="I21" s="1982">
        <v>412</v>
      </c>
      <c r="J21" s="1470" t="s">
        <v>559</v>
      </c>
      <c r="K21" s="1977" t="s">
        <v>991</v>
      </c>
      <c r="L21" s="1978">
        <v>3600</v>
      </c>
      <c r="M21" s="1981">
        <v>1686</v>
      </c>
      <c r="N21" s="1461">
        <v>4.3950979722810132E-3</v>
      </c>
      <c r="O21" s="1460">
        <v>24</v>
      </c>
      <c r="P21" s="1463" t="s">
        <v>997</v>
      </c>
      <c r="Q21" s="1466">
        <v>1</v>
      </c>
      <c r="R21" s="1466">
        <v>1</v>
      </c>
      <c r="S21" s="1469">
        <f t="shared" si="2"/>
        <v>2</v>
      </c>
      <c r="T21" s="2991">
        <v>412</v>
      </c>
      <c r="U21" s="1469">
        <f t="shared" si="3"/>
        <v>412</v>
      </c>
      <c r="V21" s="1469">
        <f t="shared" si="4"/>
        <v>824</v>
      </c>
      <c r="W21" s="2993">
        <v>1686</v>
      </c>
      <c r="X21" s="1459">
        <f t="shared" si="5"/>
        <v>1686</v>
      </c>
      <c r="Y21" s="1459">
        <f t="shared" si="6"/>
        <v>3372</v>
      </c>
      <c r="Z21" s="1910">
        <v>0</v>
      </c>
    </row>
    <row r="22" spans="2:26">
      <c r="B22" s="1982">
        <f>(SUM(D22:E22)/2)/((80000+(80000*1.025))/2)</f>
        <v>0.13827160493827162</v>
      </c>
      <c r="C22" s="1423" t="s">
        <v>895</v>
      </c>
      <c r="D22" s="2772">
        <v>11200.000000000002</v>
      </c>
      <c r="E22" s="1448">
        <v>11200.000000000002</v>
      </c>
      <c r="F22" s="1426">
        <f t="shared" ref="F22:F25" si="7">SUM(D22:E22)</f>
        <v>22400.000000000004</v>
      </c>
      <c r="H22" s="1972" t="s">
        <v>1174</v>
      </c>
      <c r="I22" s="1982">
        <v>734</v>
      </c>
      <c r="J22" s="1470" t="s">
        <v>559</v>
      </c>
      <c r="K22" s="1977" t="s">
        <v>991</v>
      </c>
      <c r="L22" s="1978">
        <v>6000</v>
      </c>
      <c r="M22" s="1981">
        <v>3670</v>
      </c>
      <c r="N22" s="1461">
        <v>3.1320406909264693E-2</v>
      </c>
      <c r="O22" s="1460">
        <v>24</v>
      </c>
      <c r="P22" s="1463" t="s">
        <v>1160</v>
      </c>
      <c r="Q22" s="1466">
        <v>4</v>
      </c>
      <c r="R22" s="1466">
        <v>4</v>
      </c>
      <c r="S22" s="1469">
        <f t="shared" si="2"/>
        <v>8</v>
      </c>
      <c r="T22" s="2991">
        <v>2936</v>
      </c>
      <c r="U22" s="1469">
        <f t="shared" si="3"/>
        <v>2936</v>
      </c>
      <c r="V22" s="1469">
        <f t="shared" si="4"/>
        <v>5872</v>
      </c>
      <c r="W22" s="2993">
        <v>14680</v>
      </c>
      <c r="X22" s="1459">
        <f t="shared" si="5"/>
        <v>14680</v>
      </c>
      <c r="Y22" s="1459">
        <f t="shared" si="6"/>
        <v>29360</v>
      </c>
      <c r="Z22" s="1910">
        <v>0</v>
      </c>
    </row>
    <row r="23" spans="2:26">
      <c r="B23" s="1982">
        <f>(SUM(D23:E23)/2)/((80000+(80000*1.025))/2)</f>
        <v>3.9506172839506172E-2</v>
      </c>
      <c r="C23" s="1423" t="s">
        <v>1106</v>
      </c>
      <c r="D23" s="2791">
        <v>3200</v>
      </c>
      <c r="E23" s="1562">
        <v>3200</v>
      </c>
      <c r="F23" s="1426">
        <f t="shared" si="7"/>
        <v>6400</v>
      </c>
      <c r="H23" s="1972" t="s">
        <v>1175</v>
      </c>
      <c r="I23" s="1982">
        <v>0.05</v>
      </c>
      <c r="J23" s="1470" t="s">
        <v>559</v>
      </c>
      <c r="K23" s="1977" t="s">
        <v>992</v>
      </c>
      <c r="L23" s="1978">
        <v>1.59</v>
      </c>
      <c r="M23" s="1981">
        <v>0.75</v>
      </c>
      <c r="N23" s="1461">
        <v>5.333856762476958E-3</v>
      </c>
      <c r="O23" s="1460">
        <v>30</v>
      </c>
      <c r="P23" s="1463" t="s">
        <v>1008</v>
      </c>
      <c r="Q23" s="1466">
        <v>10000</v>
      </c>
      <c r="R23" s="1466">
        <v>10000</v>
      </c>
      <c r="S23" s="1469">
        <f t="shared" si="2"/>
        <v>20000</v>
      </c>
      <c r="T23" s="2991">
        <v>500</v>
      </c>
      <c r="U23" s="1469">
        <f t="shared" si="3"/>
        <v>500</v>
      </c>
      <c r="V23" s="1469">
        <f t="shared" si="4"/>
        <v>1000</v>
      </c>
      <c r="W23" s="2993">
        <v>7500</v>
      </c>
      <c r="X23" s="1459">
        <f t="shared" si="5"/>
        <v>7500</v>
      </c>
      <c r="Y23" s="1459">
        <f t="shared" si="6"/>
        <v>15000</v>
      </c>
      <c r="Z23" s="1910">
        <v>0</v>
      </c>
    </row>
    <row r="24" spans="2:26">
      <c r="B24" s="1982"/>
      <c r="C24" s="1423"/>
      <c r="D24" s="2774"/>
      <c r="E24" s="1443"/>
      <c r="F24" s="1426">
        <f t="shared" si="7"/>
        <v>0</v>
      </c>
      <c r="H24" s="1972" t="s">
        <v>1176</v>
      </c>
      <c r="I24" s="1982">
        <v>72</v>
      </c>
      <c r="J24" s="1470" t="s">
        <v>559</v>
      </c>
      <c r="K24" s="1977" t="s">
        <v>893</v>
      </c>
      <c r="L24" s="1978">
        <v>562</v>
      </c>
      <c r="M24" s="1981">
        <v>200</v>
      </c>
      <c r="N24" s="1461">
        <v>9.2169044855601821E-3</v>
      </c>
      <c r="O24" s="1460">
        <v>20</v>
      </c>
      <c r="P24" s="1463" t="s">
        <v>1008</v>
      </c>
      <c r="Q24" s="1466">
        <v>12</v>
      </c>
      <c r="R24" s="1466">
        <v>12</v>
      </c>
      <c r="S24" s="1469">
        <f t="shared" si="2"/>
        <v>24</v>
      </c>
      <c r="T24" s="2991">
        <v>864</v>
      </c>
      <c r="U24" s="1469">
        <f t="shared" si="3"/>
        <v>864</v>
      </c>
      <c r="V24" s="1469">
        <f t="shared" si="4"/>
        <v>1728</v>
      </c>
      <c r="W24" s="2993">
        <v>2400</v>
      </c>
      <c r="X24" s="1459">
        <f t="shared" si="5"/>
        <v>2400</v>
      </c>
      <c r="Y24" s="1459">
        <f t="shared" si="6"/>
        <v>4800</v>
      </c>
      <c r="Z24" s="1910">
        <v>0</v>
      </c>
    </row>
    <row r="25" spans="2:26">
      <c r="B25" s="1982"/>
      <c r="C25" s="1423"/>
      <c r="D25" s="2775"/>
      <c r="E25" s="1444"/>
      <c r="F25" s="1426">
        <f t="shared" si="7"/>
        <v>0</v>
      </c>
      <c r="H25" s="1972" t="s">
        <v>1177</v>
      </c>
      <c r="I25" s="1982">
        <v>129.69999999999999</v>
      </c>
      <c r="J25" s="1470" t="s">
        <v>559</v>
      </c>
      <c r="K25" s="1977" t="s">
        <v>893</v>
      </c>
      <c r="L25" s="1978">
        <v>1526</v>
      </c>
      <c r="M25" s="1981">
        <v>800</v>
      </c>
      <c r="N25" s="1461">
        <v>1.6603229330238271E-2</v>
      </c>
      <c r="O25" s="1460">
        <v>18</v>
      </c>
      <c r="P25" s="1463" t="s">
        <v>1008</v>
      </c>
      <c r="Q25" s="1466">
        <v>12</v>
      </c>
      <c r="R25" s="1466">
        <v>12</v>
      </c>
      <c r="S25" s="1469">
        <f t="shared" si="2"/>
        <v>24</v>
      </c>
      <c r="T25" s="2991">
        <v>1556.3999999999999</v>
      </c>
      <c r="U25" s="1469">
        <f t="shared" si="3"/>
        <v>1556.3999999999999</v>
      </c>
      <c r="V25" s="1469">
        <f t="shared" si="4"/>
        <v>3112.7999999999997</v>
      </c>
      <c r="W25" s="2993">
        <v>9600</v>
      </c>
      <c r="X25" s="1459">
        <f t="shared" si="5"/>
        <v>9600</v>
      </c>
      <c r="Y25" s="1459">
        <f t="shared" si="6"/>
        <v>19200</v>
      </c>
      <c r="Z25" s="1910">
        <v>0</v>
      </c>
    </row>
    <row r="26" spans="2:26">
      <c r="B26" s="2204">
        <f>SUM(B22:B25)</f>
        <v>0.17777777777777778</v>
      </c>
      <c r="C26" s="1424"/>
      <c r="D26" s="2776"/>
      <c r="E26" s="1431"/>
      <c r="F26" s="1439"/>
      <c r="H26" s="1972" t="s">
        <v>1178</v>
      </c>
      <c r="I26" s="1982">
        <v>89.3</v>
      </c>
      <c r="J26" s="1470" t="s">
        <v>559</v>
      </c>
      <c r="K26" s="1977" t="s">
        <v>893</v>
      </c>
      <c r="L26" s="1978">
        <v>1393</v>
      </c>
      <c r="M26" s="1981">
        <v>350</v>
      </c>
      <c r="N26" s="1461">
        <v>1.1431521813340614E-2</v>
      </c>
      <c r="O26" s="1460">
        <v>20</v>
      </c>
      <c r="P26" s="1463" t="s">
        <v>1008</v>
      </c>
      <c r="Q26" s="1466">
        <v>12</v>
      </c>
      <c r="R26" s="1466">
        <v>12</v>
      </c>
      <c r="S26" s="1469">
        <f t="shared" si="2"/>
        <v>24</v>
      </c>
      <c r="T26" s="2991">
        <v>1071.5999999999999</v>
      </c>
      <c r="U26" s="1469">
        <f t="shared" si="3"/>
        <v>1071.5999999999999</v>
      </c>
      <c r="V26" s="1469">
        <f t="shared" si="4"/>
        <v>2143.1999999999998</v>
      </c>
      <c r="W26" s="2993">
        <v>4200</v>
      </c>
      <c r="X26" s="1459">
        <f t="shared" si="5"/>
        <v>4200</v>
      </c>
      <c r="Y26" s="1459">
        <f t="shared" si="6"/>
        <v>8400</v>
      </c>
      <c r="Z26" s="1910">
        <v>0</v>
      </c>
    </row>
    <row r="27" spans="2:26">
      <c r="C27" s="1597" t="s">
        <v>1737</v>
      </c>
      <c r="D27" s="2771">
        <f>SUM(D29:D35)</f>
        <v>45790.150300000008</v>
      </c>
      <c r="E27" s="1657">
        <f>SUM(E29:E31)+SUM(E33:E35)</f>
        <v>51331.925000000003</v>
      </c>
      <c r="F27" s="1638">
        <f>D27+E27</f>
        <v>97122.075300000011</v>
      </c>
      <c r="H27" s="1972" t="s">
        <v>1179</v>
      </c>
      <c r="I27" s="1982">
        <v>82.4</v>
      </c>
      <c r="J27" s="1470" t="s">
        <v>559</v>
      </c>
      <c r="K27" s="1977" t="s">
        <v>893</v>
      </c>
      <c r="L27" s="1978">
        <v>603</v>
      </c>
      <c r="M27" s="1981">
        <v>250</v>
      </c>
      <c r="N27" s="1461">
        <v>1.0548235133474432E-2</v>
      </c>
      <c r="O27" s="1460">
        <v>18</v>
      </c>
      <c r="P27" s="1463" t="s">
        <v>1008</v>
      </c>
      <c r="Q27" s="1466">
        <v>12</v>
      </c>
      <c r="R27" s="1466">
        <v>12</v>
      </c>
      <c r="S27" s="1469">
        <f t="shared" si="2"/>
        <v>24</v>
      </c>
      <c r="T27" s="2991">
        <v>988.80000000000007</v>
      </c>
      <c r="U27" s="1469">
        <f t="shared" si="3"/>
        <v>988.80000000000007</v>
      </c>
      <c r="V27" s="1469">
        <f t="shared" si="4"/>
        <v>1977.6000000000001</v>
      </c>
      <c r="W27" s="2993">
        <v>3000</v>
      </c>
      <c r="X27" s="1459">
        <f t="shared" si="5"/>
        <v>3000</v>
      </c>
      <c r="Y27" s="1459">
        <f t="shared" si="6"/>
        <v>6000</v>
      </c>
      <c r="Z27" s="1910">
        <v>0</v>
      </c>
    </row>
    <row r="28" spans="2:26">
      <c r="C28" s="1450" t="s">
        <v>1733</v>
      </c>
      <c r="D28" s="2777">
        <v>0.66700000000000004</v>
      </c>
      <c r="E28" s="1452">
        <v>0.68799999999999994</v>
      </c>
      <c r="F28" s="1485"/>
      <c r="H28" s="1972" t="s">
        <v>1180</v>
      </c>
      <c r="I28" s="1982">
        <v>13</v>
      </c>
      <c r="J28" s="1470" t="s">
        <v>559</v>
      </c>
      <c r="K28" s="1977" t="s">
        <v>845</v>
      </c>
      <c r="L28" s="1978">
        <v>18</v>
      </c>
      <c r="M28" s="1981">
        <v>18</v>
      </c>
      <c r="N28" s="1461">
        <v>3.4670068956100225E-2</v>
      </c>
      <c r="O28" s="1460">
        <v>10</v>
      </c>
      <c r="P28" s="1463" t="s">
        <v>846</v>
      </c>
      <c r="Q28" s="1466">
        <v>250</v>
      </c>
      <c r="R28" s="1466">
        <v>250</v>
      </c>
      <c r="S28" s="1469">
        <f t="shared" si="2"/>
        <v>500</v>
      </c>
      <c r="T28" s="2991">
        <v>3250</v>
      </c>
      <c r="U28" s="1469">
        <f t="shared" si="3"/>
        <v>3250</v>
      </c>
      <c r="V28" s="1469">
        <f t="shared" si="4"/>
        <v>6500</v>
      </c>
      <c r="W28" s="2993">
        <v>4500</v>
      </c>
      <c r="X28" s="1459">
        <f t="shared" si="5"/>
        <v>4500</v>
      </c>
      <c r="Y28" s="1459">
        <f t="shared" si="6"/>
        <v>9000</v>
      </c>
      <c r="Z28" s="1910">
        <v>24.31</v>
      </c>
    </row>
    <row r="29" spans="2:26">
      <c r="C29" s="1667" t="s">
        <v>719</v>
      </c>
      <c r="D29" s="2778">
        <f>D15*D28</f>
        <v>36185.350300000006</v>
      </c>
      <c r="E29" s="1504">
        <f>E15*E28</f>
        <v>29420.6</v>
      </c>
      <c r="F29" s="1426">
        <f t="shared" ref="F29:F35" si="8">SUM(D29:E29)</f>
        <v>65605.950299999997</v>
      </c>
      <c r="H29" s="1972" t="s">
        <v>1139</v>
      </c>
      <c r="I29" s="1982">
        <v>15</v>
      </c>
      <c r="J29" s="1470" t="s">
        <v>559</v>
      </c>
      <c r="K29" s="1977" t="s">
        <v>845</v>
      </c>
      <c r="L29" s="1978">
        <v>58</v>
      </c>
      <c r="M29" s="1981">
        <v>58</v>
      </c>
      <c r="N29" s="1461">
        <v>2.8002748003004028E-2</v>
      </c>
      <c r="O29" s="1460">
        <v>10</v>
      </c>
      <c r="P29" s="1463" t="s">
        <v>846</v>
      </c>
      <c r="Q29" s="1466">
        <v>250</v>
      </c>
      <c r="R29" s="1466">
        <v>100</v>
      </c>
      <c r="S29" s="1469">
        <f t="shared" si="2"/>
        <v>350</v>
      </c>
      <c r="T29" s="2991">
        <v>3750</v>
      </c>
      <c r="U29" s="1469">
        <f t="shared" si="3"/>
        <v>1500</v>
      </c>
      <c r="V29" s="1469">
        <f t="shared" si="4"/>
        <v>5250</v>
      </c>
      <c r="W29" s="2993">
        <v>14500</v>
      </c>
      <c r="X29" s="1459">
        <f t="shared" si="5"/>
        <v>5800</v>
      </c>
      <c r="Y29" s="1459">
        <f t="shared" si="6"/>
        <v>20300</v>
      </c>
      <c r="Z29" s="1910">
        <v>42.32</v>
      </c>
    </row>
    <row r="30" spans="2:26">
      <c r="C30" s="1667" t="s">
        <v>720</v>
      </c>
      <c r="D30" s="2785">
        <f>D21*D28</f>
        <v>9604.8000000000011</v>
      </c>
      <c r="E30" s="1504">
        <f>E21*E28</f>
        <v>9907.2000000000007</v>
      </c>
      <c r="F30" s="1426">
        <f t="shared" si="8"/>
        <v>19512</v>
      </c>
      <c r="H30" s="1972" t="s">
        <v>1140</v>
      </c>
      <c r="I30" s="1982">
        <v>15</v>
      </c>
      <c r="J30" s="1470" t="s">
        <v>559</v>
      </c>
      <c r="K30" s="1977" t="s">
        <v>845</v>
      </c>
      <c r="L30" s="1978">
        <v>41</v>
      </c>
      <c r="M30" s="1981">
        <v>41</v>
      </c>
      <c r="N30" s="1461">
        <v>0.12801256229944699</v>
      </c>
      <c r="O30" s="1460">
        <v>10</v>
      </c>
      <c r="P30" s="1463" t="s">
        <v>846</v>
      </c>
      <c r="Q30" s="1466">
        <v>800</v>
      </c>
      <c r="R30" s="1466">
        <v>800</v>
      </c>
      <c r="S30" s="1469">
        <f t="shared" si="2"/>
        <v>1600</v>
      </c>
      <c r="T30" s="2991">
        <v>12000</v>
      </c>
      <c r="U30" s="1469">
        <f t="shared" si="3"/>
        <v>12000</v>
      </c>
      <c r="V30" s="1469">
        <f t="shared" si="4"/>
        <v>24000</v>
      </c>
      <c r="W30" s="2993">
        <v>32800</v>
      </c>
      <c r="X30" s="1459">
        <f t="shared" si="5"/>
        <v>32800</v>
      </c>
      <c r="Y30" s="1459">
        <f t="shared" si="6"/>
        <v>65600</v>
      </c>
      <c r="Z30" s="1910">
        <v>42.32</v>
      </c>
    </row>
    <row r="31" spans="2:26">
      <c r="C31" s="1667"/>
      <c r="D31" s="2774"/>
      <c r="E31" s="1443"/>
      <c r="F31" s="1426">
        <f t="shared" si="8"/>
        <v>0</v>
      </c>
      <c r="H31" s="1972" t="s">
        <v>1141</v>
      </c>
      <c r="I31" s="1982">
        <v>2.6</v>
      </c>
      <c r="J31" s="1470" t="s">
        <v>559</v>
      </c>
      <c r="K31" s="1977" t="s">
        <v>845</v>
      </c>
      <c r="L31" s="1978">
        <v>33</v>
      </c>
      <c r="M31" s="1981">
        <v>33</v>
      </c>
      <c r="N31" s="1461">
        <v>2.0802041373660134E-2</v>
      </c>
      <c r="O31" s="1460">
        <v>10</v>
      </c>
      <c r="P31" s="1463" t="s">
        <v>846</v>
      </c>
      <c r="Q31" s="1466">
        <v>750</v>
      </c>
      <c r="R31" s="1466">
        <v>750</v>
      </c>
      <c r="S31" s="1469">
        <f t="shared" ref="S31:S38" si="9">SUM(Q31:R31)</f>
        <v>1500</v>
      </c>
      <c r="T31" s="2991">
        <v>1950</v>
      </c>
      <c r="U31" s="1469">
        <f t="shared" ref="U31:U38" si="10">R31*I31</f>
        <v>1950</v>
      </c>
      <c r="V31" s="1469">
        <f t="shared" ref="V31:V38" si="11">SUM(T31:U31)</f>
        <v>3900</v>
      </c>
      <c r="W31" s="2993">
        <v>24750</v>
      </c>
      <c r="X31" s="1459">
        <f t="shared" ref="X31:X38" si="12">R31*M31</f>
        <v>24750</v>
      </c>
      <c r="Y31" s="1459">
        <f t="shared" ref="Y31:Y38" si="13">SUM(W31:X31)</f>
        <v>49500</v>
      </c>
      <c r="Z31" s="1910">
        <v>18.010000000000002</v>
      </c>
    </row>
    <row r="32" spans="2:26">
      <c r="C32" s="1450" t="s">
        <v>1734</v>
      </c>
      <c r="D32" s="2777"/>
      <c r="E32" s="1452">
        <v>0.21</v>
      </c>
      <c r="F32" s="1485"/>
      <c r="H32" s="1972" t="s">
        <v>1181</v>
      </c>
      <c r="I32" s="1982">
        <v>2724</v>
      </c>
      <c r="J32" s="1470" t="s">
        <v>559</v>
      </c>
      <c r="K32" s="1977" t="s">
        <v>991</v>
      </c>
      <c r="L32" s="1978">
        <v>63620</v>
      </c>
      <c r="M32" s="1981">
        <v>27238</v>
      </c>
      <c r="N32" s="1461">
        <v>2.9058851641974463E-2</v>
      </c>
      <c r="O32" s="1460">
        <v>15</v>
      </c>
      <c r="P32" s="1463" t="s">
        <v>1160</v>
      </c>
      <c r="Q32" s="1466">
        <v>1</v>
      </c>
      <c r="R32" s="1466">
        <v>1</v>
      </c>
      <c r="S32" s="1469">
        <f t="shared" si="9"/>
        <v>2</v>
      </c>
      <c r="T32" s="2991">
        <v>2724</v>
      </c>
      <c r="U32" s="1469">
        <f t="shared" si="10"/>
        <v>2724</v>
      </c>
      <c r="V32" s="1469">
        <f t="shared" si="11"/>
        <v>5448</v>
      </c>
      <c r="W32" s="2993">
        <v>27238</v>
      </c>
      <c r="X32" s="1459">
        <f t="shared" si="12"/>
        <v>27238</v>
      </c>
      <c r="Y32" s="1459">
        <f t="shared" si="13"/>
        <v>54476</v>
      </c>
      <c r="Z32" s="1910">
        <v>0</v>
      </c>
    </row>
    <row r="33" spans="1:26">
      <c r="C33" s="1667" t="s">
        <v>719</v>
      </c>
      <c r="D33" s="2778"/>
      <c r="E33" s="1641">
        <f>E15*E32</f>
        <v>8980.125</v>
      </c>
      <c r="F33" s="1661">
        <f>SUM(D33:E33)</f>
        <v>8980.125</v>
      </c>
      <c r="H33" s="1972" t="s">
        <v>1182</v>
      </c>
      <c r="I33" s="1982">
        <v>0.05</v>
      </c>
      <c r="J33" s="1470" t="s">
        <v>559</v>
      </c>
      <c r="K33" s="1977" t="s">
        <v>992</v>
      </c>
      <c r="L33" s="1978">
        <v>0.76</v>
      </c>
      <c r="M33" s="1981">
        <v>0.75</v>
      </c>
      <c r="N33" s="1461">
        <v>1.0667713524953916E-3</v>
      </c>
      <c r="O33" s="1460">
        <v>30</v>
      </c>
      <c r="P33" s="1463" t="s">
        <v>1008</v>
      </c>
      <c r="Q33" s="1466">
        <v>2000</v>
      </c>
      <c r="R33" s="1466">
        <v>2000</v>
      </c>
      <c r="S33" s="1469">
        <f t="shared" si="9"/>
        <v>4000</v>
      </c>
      <c r="T33" s="2991">
        <v>100</v>
      </c>
      <c r="U33" s="1469">
        <f t="shared" si="10"/>
        <v>100</v>
      </c>
      <c r="V33" s="1469">
        <f t="shared" si="11"/>
        <v>200</v>
      </c>
      <c r="W33" s="2993">
        <v>1500</v>
      </c>
      <c r="X33" s="1459">
        <f t="shared" si="12"/>
        <v>1500</v>
      </c>
      <c r="Y33" s="1459">
        <f t="shared" si="13"/>
        <v>3000</v>
      </c>
      <c r="Z33" s="1910">
        <v>0</v>
      </c>
    </row>
    <row r="34" spans="1:26">
      <c r="A34" s="1357" t="s">
        <v>270</v>
      </c>
      <c r="C34" s="1667" t="s">
        <v>720</v>
      </c>
      <c r="D34" s="2785"/>
      <c r="E34" s="1641">
        <f>E21*E32</f>
        <v>3024.0000000000005</v>
      </c>
      <c r="F34" s="1661">
        <f t="shared" ref="F34" si="14">SUM(D34:E34)</f>
        <v>3024.0000000000005</v>
      </c>
      <c r="H34" s="1460" t="s">
        <v>1148</v>
      </c>
      <c r="I34" s="2205">
        <v>0.88</v>
      </c>
      <c r="J34" s="1470" t="s">
        <v>559</v>
      </c>
      <c r="K34" s="1460" t="s">
        <v>992</v>
      </c>
      <c r="L34" s="1467">
        <v>20.61</v>
      </c>
      <c r="M34" s="1467">
        <v>7</v>
      </c>
      <c r="N34" s="1461">
        <v>0.25815866730388476</v>
      </c>
      <c r="O34" s="1460">
        <v>30</v>
      </c>
      <c r="P34" s="1463" t="s">
        <v>1008</v>
      </c>
      <c r="Q34" s="1466">
        <v>50000</v>
      </c>
      <c r="R34" s="1466">
        <v>5000</v>
      </c>
      <c r="S34" s="1469">
        <f t="shared" si="9"/>
        <v>55000</v>
      </c>
      <c r="T34" s="2991">
        <v>44000</v>
      </c>
      <c r="U34" s="1469">
        <f t="shared" si="10"/>
        <v>4400</v>
      </c>
      <c r="V34" s="1469">
        <f t="shared" si="11"/>
        <v>48400</v>
      </c>
      <c r="W34" s="2993">
        <v>350000</v>
      </c>
      <c r="X34" s="1459">
        <f t="shared" si="12"/>
        <v>35000</v>
      </c>
      <c r="Y34" s="1459">
        <f t="shared" si="13"/>
        <v>385000</v>
      </c>
      <c r="Z34" s="1910">
        <v>0</v>
      </c>
    </row>
    <row r="35" spans="1:26">
      <c r="A35" s="1357" t="s">
        <v>271</v>
      </c>
      <c r="C35" s="1445"/>
      <c r="D35" s="2775"/>
      <c r="E35" s="1444"/>
      <c r="F35" s="1426">
        <f t="shared" si="8"/>
        <v>0</v>
      </c>
      <c r="H35" s="1460" t="s">
        <v>1149</v>
      </c>
      <c r="I35" s="2205">
        <v>0.96</v>
      </c>
      <c r="J35" s="1470" t="s">
        <v>559</v>
      </c>
      <c r="K35" s="1460" t="s">
        <v>992</v>
      </c>
      <c r="L35" s="1467">
        <v>21.97</v>
      </c>
      <c r="M35" s="1467">
        <v>9</v>
      </c>
      <c r="N35" s="1461">
        <v>1.5361507475933638E-2</v>
      </c>
      <c r="O35" s="1460">
        <v>30</v>
      </c>
      <c r="P35" s="1463" t="s">
        <v>1008</v>
      </c>
      <c r="Q35" s="1466">
        <v>2000</v>
      </c>
      <c r="R35" s="1466">
        <v>1000</v>
      </c>
      <c r="S35" s="1469">
        <f t="shared" si="9"/>
        <v>3000</v>
      </c>
      <c r="T35" s="2991">
        <v>1920</v>
      </c>
      <c r="U35" s="1469">
        <f t="shared" si="10"/>
        <v>960</v>
      </c>
      <c r="V35" s="1469">
        <f t="shared" si="11"/>
        <v>2880</v>
      </c>
      <c r="W35" s="2993">
        <v>18000</v>
      </c>
      <c r="X35" s="1459">
        <f t="shared" si="12"/>
        <v>9000</v>
      </c>
      <c r="Y35" s="1459">
        <f t="shared" si="13"/>
        <v>27000</v>
      </c>
      <c r="Z35" s="1910">
        <v>0</v>
      </c>
    </row>
    <row r="36" spans="1:26">
      <c r="A36" s="1357" t="s">
        <v>5</v>
      </c>
      <c r="C36" s="1488"/>
      <c r="D36" s="2779"/>
      <c r="E36" s="1490"/>
      <c r="F36" s="1493"/>
      <c r="H36" s="1460" t="s">
        <v>1153</v>
      </c>
      <c r="I36" s="2205">
        <v>6000</v>
      </c>
      <c r="J36" s="1470" t="s">
        <v>559</v>
      </c>
      <c r="K36" s="1460" t="s">
        <v>991</v>
      </c>
      <c r="L36" s="1467">
        <v>8000</v>
      </c>
      <c r="M36" s="1467">
        <v>4000</v>
      </c>
      <c r="N36" s="1461">
        <v>3.2003140574861748E-2</v>
      </c>
      <c r="O36" s="1460">
        <v>5</v>
      </c>
      <c r="P36" s="1463" t="s">
        <v>1160</v>
      </c>
      <c r="Q36" s="1466">
        <v>1</v>
      </c>
      <c r="R36" s="1466">
        <v>0</v>
      </c>
      <c r="S36" s="1469">
        <f t="shared" si="9"/>
        <v>1</v>
      </c>
      <c r="T36" s="2991">
        <v>6000</v>
      </c>
      <c r="U36" s="1469">
        <f t="shared" si="10"/>
        <v>0</v>
      </c>
      <c r="V36" s="1469">
        <f t="shared" si="11"/>
        <v>6000</v>
      </c>
      <c r="W36" s="2993">
        <v>4000</v>
      </c>
      <c r="X36" s="1459">
        <f t="shared" si="12"/>
        <v>0</v>
      </c>
      <c r="Y36" s="1459">
        <f t="shared" si="13"/>
        <v>4000</v>
      </c>
      <c r="Z36" s="1910">
        <v>0</v>
      </c>
    </row>
    <row r="37" spans="1:26">
      <c r="A37" s="1357">
        <v>18230736</v>
      </c>
      <c r="C37" s="1451" t="s">
        <v>46</v>
      </c>
      <c r="D37" s="2771">
        <f>SUM(D38:D41)</f>
        <v>4000</v>
      </c>
      <c r="E37" s="1464">
        <f>SUM(E38:E41)</f>
        <v>4000</v>
      </c>
      <c r="F37" s="1638">
        <f>D37+E37</f>
        <v>8000</v>
      </c>
      <c r="H37" s="1460" t="s">
        <v>1183</v>
      </c>
      <c r="I37" s="2205">
        <v>3.4</v>
      </c>
      <c r="J37" s="1470" t="s">
        <v>559</v>
      </c>
      <c r="K37" s="1460" t="s">
        <v>845</v>
      </c>
      <c r="L37" s="1467">
        <v>2.1</v>
      </c>
      <c r="M37" s="1467">
        <v>2.1</v>
      </c>
      <c r="N37" s="1461">
        <v>2.7202669488632484E-2</v>
      </c>
      <c r="O37" s="1460">
        <v>10</v>
      </c>
      <c r="P37" s="1463" t="s">
        <v>846</v>
      </c>
      <c r="Q37" s="1466">
        <v>1000</v>
      </c>
      <c r="R37" s="1466">
        <v>500</v>
      </c>
      <c r="S37" s="1469">
        <f t="shared" si="9"/>
        <v>1500</v>
      </c>
      <c r="T37" s="2991">
        <v>3400</v>
      </c>
      <c r="U37" s="1469">
        <f t="shared" si="10"/>
        <v>1700</v>
      </c>
      <c r="V37" s="1469">
        <f t="shared" si="11"/>
        <v>5100</v>
      </c>
      <c r="W37" s="2993">
        <v>2100</v>
      </c>
      <c r="X37" s="1459">
        <f t="shared" si="12"/>
        <v>1050</v>
      </c>
      <c r="Y37" s="1459">
        <f t="shared" si="13"/>
        <v>3150</v>
      </c>
      <c r="Z37" s="1910">
        <v>8.33</v>
      </c>
    </row>
    <row r="38" spans="1:26">
      <c r="A38" s="1357" t="s">
        <v>28</v>
      </c>
      <c r="C38" s="1667" t="s">
        <v>1107</v>
      </c>
      <c r="D38" s="2778">
        <v>4000</v>
      </c>
      <c r="E38" s="1520">
        <v>4000</v>
      </c>
      <c r="F38" s="1426">
        <f t="shared" ref="F38:F41" si="15">SUM(D38:E38)</f>
        <v>8000</v>
      </c>
      <c r="H38" s="1460" t="s">
        <v>544</v>
      </c>
      <c r="I38" s="2205">
        <v>3400</v>
      </c>
      <c r="J38" s="1470" t="s">
        <v>559</v>
      </c>
      <c r="K38" s="1460" t="s">
        <v>991</v>
      </c>
      <c r="L38" s="1467">
        <v>1000</v>
      </c>
      <c r="M38" s="1467">
        <v>1000</v>
      </c>
      <c r="N38" s="1461">
        <v>0.18135112992421656</v>
      </c>
      <c r="O38" s="1460">
        <v>3</v>
      </c>
      <c r="P38" s="1463" t="s">
        <v>1008</v>
      </c>
      <c r="Q38" s="1466">
        <v>0</v>
      </c>
      <c r="R38" s="1466">
        <v>10</v>
      </c>
      <c r="S38" s="1469">
        <f t="shared" si="9"/>
        <v>10</v>
      </c>
      <c r="T38" s="2991">
        <v>0</v>
      </c>
      <c r="U38" s="1469">
        <f t="shared" si="10"/>
        <v>34000</v>
      </c>
      <c r="V38" s="1469">
        <f t="shared" si="11"/>
        <v>34000</v>
      </c>
      <c r="W38" s="2993">
        <v>0</v>
      </c>
      <c r="X38" s="1459">
        <f t="shared" si="12"/>
        <v>10000</v>
      </c>
      <c r="Y38" s="1459">
        <f t="shared" si="13"/>
        <v>10000</v>
      </c>
      <c r="Z38" s="1910">
        <v>0</v>
      </c>
    </row>
    <row r="39" spans="1:26">
      <c r="C39" s="1423"/>
      <c r="D39" s="2778"/>
      <c r="E39" s="1520"/>
      <c r="F39" s="1426">
        <f t="shared" si="15"/>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910"/>
    </row>
    <row r="40" spans="1:26">
      <c r="C40" s="1423"/>
      <c r="D40" s="2778"/>
      <c r="E40" s="1520"/>
      <c r="F40" s="1426">
        <f t="shared" si="15"/>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910"/>
    </row>
    <row r="41" spans="1:26">
      <c r="C41" s="1423"/>
      <c r="D41" s="2778"/>
      <c r="E41" s="1520"/>
      <c r="F41" s="1426">
        <f t="shared" si="15"/>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910"/>
    </row>
    <row r="42" spans="1:26">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910"/>
    </row>
    <row r="43" spans="1:26">
      <c r="C43" s="1597" t="s">
        <v>483</v>
      </c>
      <c r="D43" s="2771">
        <f>SUM(D44:D47)</f>
        <v>1000</v>
      </c>
      <c r="E43" s="1464">
        <f>SUM(E44:E47)</f>
        <v>1000</v>
      </c>
      <c r="F43" s="1638">
        <f>D43+E43</f>
        <v>2000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910"/>
    </row>
    <row r="44" spans="1:26">
      <c r="C44" s="1667" t="s">
        <v>1108</v>
      </c>
      <c r="D44" s="2778">
        <v>1000</v>
      </c>
      <c r="E44" s="1520">
        <v>1000</v>
      </c>
      <c r="F44" s="1426">
        <f t="shared" ref="F44:F47" si="16">SUM(D44:E44)</f>
        <v>2000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910"/>
    </row>
    <row r="45" spans="1:26">
      <c r="C45" s="1667"/>
      <c r="D45" s="2778"/>
      <c r="E45" s="1520"/>
      <c r="F45" s="1426">
        <f t="shared" si="16"/>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910"/>
    </row>
    <row r="46" spans="1:26">
      <c r="C46" s="1423"/>
      <c r="D46" s="2778"/>
      <c r="E46" s="1520"/>
      <c r="F46" s="1426">
        <f t="shared" si="16"/>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910"/>
    </row>
    <row r="47" spans="1:26">
      <c r="C47" s="1423"/>
      <c r="D47" s="2778"/>
      <c r="E47" s="1520"/>
      <c r="F47" s="1426">
        <f t="shared" si="16"/>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910"/>
    </row>
    <row r="48" spans="1:26">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910"/>
    </row>
    <row r="49" spans="1:26">
      <c r="C49" s="1451" t="s">
        <v>47</v>
      </c>
      <c r="D49" s="2771">
        <f>SUM(D50:D53)</f>
        <v>200000</v>
      </c>
      <c r="E49" s="1464">
        <f>SUM(E50:E53)</f>
        <v>200000</v>
      </c>
      <c r="F49" s="1638">
        <f>D49+E49</f>
        <v>400000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910"/>
    </row>
    <row r="50" spans="1:26">
      <c r="C50" s="1667" t="s">
        <v>1109</v>
      </c>
      <c r="D50" s="2778">
        <v>200000</v>
      </c>
      <c r="E50" s="1520">
        <v>200000</v>
      </c>
      <c r="F50" s="1426">
        <f t="shared" ref="F50:F53" si="17">SUM(D50:E50)</f>
        <v>400000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910"/>
    </row>
    <row r="51" spans="1:26">
      <c r="C51" s="1423"/>
      <c r="D51" s="2778"/>
      <c r="E51" s="1520"/>
      <c r="F51" s="1426">
        <f t="shared" si="17"/>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910"/>
    </row>
    <row r="52" spans="1:26">
      <c r="C52" s="1423"/>
      <c r="D52" s="2778"/>
      <c r="E52" s="1520"/>
      <c r="F52" s="1426">
        <f t="shared" si="17"/>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910"/>
    </row>
    <row r="53" spans="1:26">
      <c r="C53" s="1423"/>
      <c r="D53" s="2778"/>
      <c r="E53" s="1520"/>
      <c r="F53" s="1426">
        <f t="shared" si="17"/>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910"/>
    </row>
    <row r="54" spans="1:26">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910"/>
    </row>
    <row r="55" spans="1:26">
      <c r="C55" s="1451" t="s">
        <v>48</v>
      </c>
      <c r="D55" s="2771">
        <f>SUM(D56:D59)</f>
        <v>500</v>
      </c>
      <c r="E55" s="1464">
        <f>SUM(E56:E59)</f>
        <v>500</v>
      </c>
      <c r="F55" s="1638">
        <f>D55+E55</f>
        <v>1000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910"/>
    </row>
    <row r="56" spans="1:26">
      <c r="C56" s="1667" t="s">
        <v>12</v>
      </c>
      <c r="D56" s="2778">
        <v>500</v>
      </c>
      <c r="E56" s="1504">
        <v>500</v>
      </c>
      <c r="F56" s="1426">
        <f t="shared" ref="F56:F59" si="18">SUM(D56:E56)</f>
        <v>1000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910"/>
    </row>
    <row r="57" spans="1:26">
      <c r="C57" s="1423"/>
      <c r="D57" s="2778"/>
      <c r="E57" s="1504"/>
      <c r="F57" s="1426">
        <f t="shared" si="1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910"/>
    </row>
    <row r="58" spans="1:26">
      <c r="C58" s="1423"/>
      <c r="D58" s="2778"/>
      <c r="E58" s="1504"/>
      <c r="F58" s="1426">
        <f t="shared" si="1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910"/>
    </row>
    <row r="59" spans="1:26">
      <c r="C59" s="1423"/>
      <c r="D59" s="2778"/>
      <c r="E59" s="1504"/>
      <c r="F59" s="1426">
        <f t="shared" si="1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910"/>
    </row>
    <row r="60" spans="1:2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910"/>
    </row>
    <row r="61" spans="1:26">
      <c r="C61" s="1451" t="s">
        <v>49</v>
      </c>
      <c r="D61" s="2937">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910"/>
    </row>
    <row r="62" spans="1:26">
      <c r="C62" s="1423" t="s">
        <v>13</v>
      </c>
      <c r="D62" s="2778">
        <v>500</v>
      </c>
      <c r="E62" s="1520">
        <v>500</v>
      </c>
      <c r="F62" s="1426">
        <f t="shared" ref="F62:F65" si="19">SUM(D62:E62)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910"/>
    </row>
    <row r="63" spans="1:26">
      <c r="C63" s="1423"/>
      <c r="D63" s="2778"/>
      <c r="E63" s="1520"/>
      <c r="F63" s="1426">
        <f t="shared" si="1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910"/>
    </row>
    <row r="64" spans="1:26">
      <c r="A64" s="1357" t="s">
        <v>270</v>
      </c>
      <c r="C64" s="1423"/>
      <c r="D64" s="2778"/>
      <c r="E64" s="1520"/>
      <c r="F64" s="1426">
        <f t="shared" si="1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910"/>
    </row>
    <row r="65" spans="1:26">
      <c r="A65" s="1357" t="s">
        <v>271</v>
      </c>
      <c r="C65" s="1423"/>
      <c r="D65" s="2778"/>
      <c r="E65" s="1520"/>
      <c r="F65" s="1426">
        <f t="shared" si="1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910"/>
    </row>
    <row r="66" spans="1:26">
      <c r="A66" s="1357" t="s">
        <v>5</v>
      </c>
      <c r="C66" s="1488"/>
      <c r="D66" s="2779"/>
      <c r="E66" s="1490"/>
      <c r="F66" s="1493"/>
    </row>
    <row r="67" spans="1:26">
      <c r="A67" s="1357">
        <v>18230736</v>
      </c>
      <c r="C67" s="1451" t="s">
        <v>50</v>
      </c>
      <c r="D67" s="2771">
        <f>W15</f>
        <v>654214</v>
      </c>
      <c r="E67" s="1464">
        <f>X15</f>
        <v>294464</v>
      </c>
      <c r="F67" s="1462">
        <f>D67+E67</f>
        <v>948678</v>
      </c>
    </row>
    <row r="68" spans="1:26">
      <c r="A68" s="1357" t="s">
        <v>28</v>
      </c>
      <c r="C68" s="1500" t="s">
        <v>297</v>
      </c>
      <c r="D68" s="2938">
        <f>D67/D12</f>
        <v>0.67122619412748352</v>
      </c>
      <c r="E68" s="1986">
        <f>E67/E12</f>
        <v>0.48355353651606015</v>
      </c>
      <c r="F68" s="1499"/>
    </row>
    <row r="69" spans="1:26">
      <c r="C69" s="1501"/>
      <c r="D69" s="2782"/>
      <c r="E69" s="1497"/>
      <c r="F69" s="1498"/>
    </row>
    <row r="70" spans="1:26">
      <c r="C70" s="1494" t="s">
        <v>51</v>
      </c>
      <c r="D70" s="2778">
        <v>0</v>
      </c>
      <c r="E70" s="1503">
        <v>0</v>
      </c>
      <c r="F70" s="1491">
        <v>0</v>
      </c>
    </row>
  </sheetData>
  <customSheetViews>
    <customSheetView guid="{D9EFFE19-D14B-4C6F-BDF4-FF696F73968D}" showGridLines="0">
      <pane xSplit="1" ySplit="1" topLeftCell="G2" activePane="bottomRight" state="frozen"/>
      <selection pane="bottomRight" activeCell="O16" sqref="O16"/>
      <pageMargins left="0.17" right="0.21" top="0.35" bottom="0.34"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17" right="0.21" top="0.35" bottom="0.34" header="0.3" footer="0.3"/>
      <pageSetup paperSize="17" scale="46"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17" right="0.21" top="0.35" bottom="0.34" header="0.3" footer="0.3"/>
  <pageSetup paperSize="3" scale="46" orientation="landscape" r:id="rId3"/>
  <drawing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60497B"/>
  </sheetPr>
  <dimension ref="A1:Z71"/>
  <sheetViews>
    <sheetView showGridLines="0" workbookViewId="0">
      <pane xSplit="1" ySplit="1" topLeftCell="F2" activePane="bottomRight" state="frozen"/>
      <selection pane="topRight" activeCell="B1" sqref="B1"/>
      <selection pane="bottomLeft" activeCell="A2" sqref="A2"/>
      <selection pane="bottomRight"/>
    </sheetView>
  </sheetViews>
  <sheetFormatPr defaultRowHeight="12.75"/>
  <cols>
    <col min="1" max="1" width="17.85546875" style="849" customWidth="1"/>
    <col min="2" max="2" width="15.5703125" style="1413" customWidth="1"/>
    <col min="3" max="3" width="29" customWidth="1"/>
    <col min="4" max="4" width="20" customWidth="1"/>
    <col min="5" max="5" width="17" style="9" customWidth="1"/>
    <col min="6" max="6" width="17" customWidth="1"/>
    <col min="7" max="7" width="16.85546875" bestFit="1" customWidth="1"/>
    <col min="8" max="8" width="48.42578125" customWidth="1"/>
    <col min="9" max="9" width="15.42578125" bestFit="1" customWidth="1"/>
    <col min="10" max="10" width="14.28515625" bestFit="1" customWidth="1"/>
    <col min="11" max="11" width="15.28515625" customWidth="1"/>
    <col min="12" max="12" width="15.85546875" customWidth="1"/>
    <col min="13" max="13" width="17.28515625" bestFit="1" customWidth="1"/>
    <col min="14" max="14" width="12.7109375" customWidth="1"/>
    <col min="15" max="15" width="13.7109375" customWidth="1"/>
    <col min="16" max="16" width="14.140625" bestFit="1" customWidth="1"/>
    <col min="17" max="17" width="17.28515625" bestFit="1" customWidth="1"/>
    <col min="18" max="18" width="16.140625" customWidth="1"/>
    <col min="19" max="19" width="17.5703125" bestFit="1" customWidth="1"/>
    <col min="20" max="20" width="16.28515625" bestFit="1" customWidth="1"/>
    <col min="21" max="21" width="20.5703125" bestFit="1" customWidth="1"/>
    <col min="22" max="22" width="16.42578125" bestFit="1" customWidth="1"/>
    <col min="23" max="23" width="14.28515625" customWidth="1"/>
    <col min="24" max="24" width="16.28515625" customWidth="1"/>
    <col min="25" max="25" width="14.42578125" customWidth="1"/>
    <col min="26" max="26" width="12.5703125" bestFit="1" customWidth="1"/>
    <col min="249" max="249" width="24" bestFit="1" customWidth="1"/>
    <col min="250" max="250" width="43.85546875" customWidth="1"/>
    <col min="251" max="251" width="19.85546875" bestFit="1" customWidth="1"/>
    <col min="252" max="252" width="14.85546875" bestFit="1" customWidth="1"/>
    <col min="253" max="253" width="16.85546875" bestFit="1" customWidth="1"/>
    <col min="254" max="254" width="13.42578125" customWidth="1"/>
    <col min="255" max="255" width="15.42578125" bestFit="1" customWidth="1"/>
    <col min="256" max="256" width="14.28515625" bestFit="1" customWidth="1"/>
    <col min="257" max="257" width="15.28515625" customWidth="1"/>
    <col min="258" max="258" width="15.85546875" customWidth="1"/>
    <col min="259" max="259" width="17.28515625" bestFit="1" customWidth="1"/>
    <col min="260" max="260" width="12.7109375" customWidth="1"/>
    <col min="261" max="261" width="13.7109375" customWidth="1"/>
    <col min="262" max="262" width="14.140625" bestFit="1" customWidth="1"/>
    <col min="263" max="263" width="17.28515625" bestFit="1" customWidth="1"/>
    <col min="264" max="264" width="16.140625" customWidth="1"/>
    <col min="265" max="265" width="17.5703125" bestFit="1" customWidth="1"/>
    <col min="266" max="266" width="16.28515625" bestFit="1" customWidth="1"/>
    <col min="267" max="267" width="20.5703125" bestFit="1" customWidth="1"/>
    <col min="268" max="268" width="16.42578125" bestFit="1" customWidth="1"/>
    <col min="269" max="269" width="14.28515625" customWidth="1"/>
    <col min="270" max="270" width="12.85546875" bestFit="1" customWidth="1"/>
    <col min="271" max="271" width="11.28515625" bestFit="1" customWidth="1"/>
    <col min="272" max="272" width="12.5703125" bestFit="1" customWidth="1"/>
    <col min="273" max="273" width="14" bestFit="1" customWidth="1"/>
    <col min="274" max="274" width="6" bestFit="1" customWidth="1"/>
    <col min="275" max="275" width="15" customWidth="1"/>
    <col min="276" max="276" width="14.85546875" bestFit="1" customWidth="1"/>
    <col min="277" max="277" width="16.140625" bestFit="1" customWidth="1"/>
    <col min="505" max="505" width="24" bestFit="1" customWidth="1"/>
    <col min="506" max="506" width="43.85546875" customWidth="1"/>
    <col min="507" max="507" width="19.85546875" bestFit="1" customWidth="1"/>
    <col min="508" max="508" width="14.85546875" bestFit="1" customWidth="1"/>
    <col min="509" max="509" width="16.85546875" bestFit="1" customWidth="1"/>
    <col min="510" max="510" width="13.42578125" customWidth="1"/>
    <col min="511" max="511" width="15.42578125" bestFit="1" customWidth="1"/>
    <col min="512" max="512" width="14.28515625" bestFit="1" customWidth="1"/>
    <col min="513" max="513" width="15.28515625" customWidth="1"/>
    <col min="514" max="514" width="15.85546875" customWidth="1"/>
    <col min="515" max="515" width="17.28515625" bestFit="1" customWidth="1"/>
    <col min="516" max="516" width="12.7109375" customWidth="1"/>
    <col min="517" max="517" width="13.7109375" customWidth="1"/>
    <col min="518" max="518" width="14.140625" bestFit="1" customWidth="1"/>
    <col min="519" max="519" width="17.28515625" bestFit="1" customWidth="1"/>
    <col min="520" max="520" width="16.140625" customWidth="1"/>
    <col min="521" max="521" width="17.5703125" bestFit="1" customWidth="1"/>
    <col min="522" max="522" width="16.28515625" bestFit="1" customWidth="1"/>
    <col min="523" max="523" width="20.5703125" bestFit="1" customWidth="1"/>
    <col min="524" max="524" width="16.42578125" bestFit="1" customWidth="1"/>
    <col min="525" max="525" width="14.28515625" customWidth="1"/>
    <col min="526" max="526" width="12.85546875" bestFit="1" customWidth="1"/>
    <col min="527" max="527" width="11.28515625" bestFit="1" customWidth="1"/>
    <col min="528" max="528" width="12.5703125" bestFit="1" customWidth="1"/>
    <col min="529" max="529" width="14" bestFit="1" customWidth="1"/>
    <col min="530" max="530" width="6" bestFit="1" customWidth="1"/>
    <col min="531" max="531" width="15" customWidth="1"/>
    <col min="532" max="532" width="14.85546875" bestFit="1" customWidth="1"/>
    <col min="533" max="533" width="16.140625" bestFit="1" customWidth="1"/>
    <col min="761" max="761" width="24" bestFit="1" customWidth="1"/>
    <col min="762" max="762" width="43.85546875" customWidth="1"/>
    <col min="763" max="763" width="19.85546875" bestFit="1" customWidth="1"/>
    <col min="764" max="764" width="14.85546875" bestFit="1" customWidth="1"/>
    <col min="765" max="765" width="16.85546875" bestFit="1" customWidth="1"/>
    <col min="766" max="766" width="13.42578125" customWidth="1"/>
    <col min="767" max="767" width="15.42578125" bestFit="1" customWidth="1"/>
    <col min="768" max="768" width="14.28515625" bestFit="1" customWidth="1"/>
    <col min="769" max="769" width="15.28515625" customWidth="1"/>
    <col min="770" max="770" width="15.85546875" customWidth="1"/>
    <col min="771" max="771" width="17.28515625" bestFit="1" customWidth="1"/>
    <col min="772" max="772" width="12.7109375" customWidth="1"/>
    <col min="773" max="773" width="13.7109375" customWidth="1"/>
    <col min="774" max="774" width="14.140625" bestFit="1" customWidth="1"/>
    <col min="775" max="775" width="17.28515625" bestFit="1" customWidth="1"/>
    <col min="776" max="776" width="16.140625" customWidth="1"/>
    <col min="777" max="777" width="17.5703125" bestFit="1" customWidth="1"/>
    <col min="778" max="778" width="16.28515625" bestFit="1" customWidth="1"/>
    <col min="779" max="779" width="20.5703125" bestFit="1" customWidth="1"/>
    <col min="780" max="780" width="16.42578125" bestFit="1" customWidth="1"/>
    <col min="781" max="781" width="14.28515625" customWidth="1"/>
    <col min="782" max="782" width="12.85546875" bestFit="1" customWidth="1"/>
    <col min="783" max="783" width="11.28515625" bestFit="1" customWidth="1"/>
    <col min="784" max="784" width="12.5703125" bestFit="1" customWidth="1"/>
    <col min="785" max="785" width="14" bestFit="1" customWidth="1"/>
    <col min="786" max="786" width="6" bestFit="1" customWidth="1"/>
    <col min="787" max="787" width="15" customWidth="1"/>
    <col min="788" max="788" width="14.85546875" bestFit="1" customWidth="1"/>
    <col min="789" max="789" width="16.140625" bestFit="1" customWidth="1"/>
    <col min="1017" max="1017" width="24" bestFit="1" customWidth="1"/>
    <col min="1018" max="1018" width="43.85546875" customWidth="1"/>
    <col min="1019" max="1019" width="19.85546875" bestFit="1" customWidth="1"/>
    <col min="1020" max="1020" width="14.85546875" bestFit="1" customWidth="1"/>
    <col min="1021" max="1021" width="16.85546875" bestFit="1" customWidth="1"/>
    <col min="1022" max="1022" width="13.42578125" customWidth="1"/>
    <col min="1023" max="1023" width="15.42578125" bestFit="1" customWidth="1"/>
    <col min="1024" max="1024" width="14.28515625" bestFit="1" customWidth="1"/>
    <col min="1025" max="1025" width="15.28515625" customWidth="1"/>
    <col min="1026" max="1026" width="15.85546875" customWidth="1"/>
    <col min="1027" max="1027" width="17.28515625" bestFit="1" customWidth="1"/>
    <col min="1028" max="1028" width="12.7109375" customWidth="1"/>
    <col min="1029" max="1029" width="13.7109375" customWidth="1"/>
    <col min="1030" max="1030" width="14.140625" bestFit="1" customWidth="1"/>
    <col min="1031" max="1031" width="17.28515625" bestFit="1" customWidth="1"/>
    <col min="1032" max="1032" width="16.140625" customWidth="1"/>
    <col min="1033" max="1033" width="17.5703125" bestFit="1" customWidth="1"/>
    <col min="1034" max="1034" width="16.28515625" bestFit="1" customWidth="1"/>
    <col min="1035" max="1035" width="20.5703125" bestFit="1" customWidth="1"/>
    <col min="1036" max="1036" width="16.42578125" bestFit="1" customWidth="1"/>
    <col min="1037" max="1037" width="14.28515625" customWidth="1"/>
    <col min="1038" max="1038" width="12.85546875" bestFit="1" customWidth="1"/>
    <col min="1039" max="1039" width="11.28515625" bestFit="1" customWidth="1"/>
    <col min="1040" max="1040" width="12.5703125" bestFit="1" customWidth="1"/>
    <col min="1041" max="1041" width="14" bestFit="1" customWidth="1"/>
    <col min="1042" max="1042" width="6" bestFit="1" customWidth="1"/>
    <col min="1043" max="1043" width="15" customWidth="1"/>
    <col min="1044" max="1044" width="14.85546875" bestFit="1" customWidth="1"/>
    <col min="1045" max="1045" width="16.140625" bestFit="1" customWidth="1"/>
    <col min="1273" max="1273" width="24" bestFit="1" customWidth="1"/>
    <col min="1274" max="1274" width="43.85546875" customWidth="1"/>
    <col min="1275" max="1275" width="19.85546875" bestFit="1" customWidth="1"/>
    <col min="1276" max="1276" width="14.85546875" bestFit="1" customWidth="1"/>
    <col min="1277" max="1277" width="16.85546875" bestFit="1" customWidth="1"/>
    <col min="1278" max="1278" width="13.42578125" customWidth="1"/>
    <col min="1279" max="1279" width="15.42578125" bestFit="1" customWidth="1"/>
    <col min="1280" max="1280" width="14.28515625" bestFit="1" customWidth="1"/>
    <col min="1281" max="1281" width="15.28515625" customWidth="1"/>
    <col min="1282" max="1282" width="15.85546875" customWidth="1"/>
    <col min="1283" max="1283" width="17.28515625" bestFit="1" customWidth="1"/>
    <col min="1284" max="1284" width="12.7109375" customWidth="1"/>
    <col min="1285" max="1285" width="13.7109375" customWidth="1"/>
    <col min="1286" max="1286" width="14.140625" bestFit="1" customWidth="1"/>
    <col min="1287" max="1287" width="17.28515625" bestFit="1" customWidth="1"/>
    <col min="1288" max="1288" width="16.140625" customWidth="1"/>
    <col min="1289" max="1289" width="17.5703125" bestFit="1" customWidth="1"/>
    <col min="1290" max="1290" width="16.28515625" bestFit="1" customWidth="1"/>
    <col min="1291" max="1291" width="20.5703125" bestFit="1" customWidth="1"/>
    <col min="1292" max="1292" width="16.42578125" bestFit="1" customWidth="1"/>
    <col min="1293" max="1293" width="14.28515625" customWidth="1"/>
    <col min="1294" max="1294" width="12.85546875" bestFit="1" customWidth="1"/>
    <col min="1295" max="1295" width="11.28515625" bestFit="1" customWidth="1"/>
    <col min="1296" max="1296" width="12.5703125" bestFit="1" customWidth="1"/>
    <col min="1297" max="1297" width="14" bestFit="1" customWidth="1"/>
    <col min="1298" max="1298" width="6" bestFit="1" customWidth="1"/>
    <col min="1299" max="1299" width="15" customWidth="1"/>
    <col min="1300" max="1300" width="14.85546875" bestFit="1" customWidth="1"/>
    <col min="1301" max="1301" width="16.140625" bestFit="1" customWidth="1"/>
    <col min="1529" max="1529" width="24" bestFit="1" customWidth="1"/>
    <col min="1530" max="1530" width="43.85546875" customWidth="1"/>
    <col min="1531" max="1531" width="19.85546875" bestFit="1" customWidth="1"/>
    <col min="1532" max="1532" width="14.85546875" bestFit="1" customWidth="1"/>
    <col min="1533" max="1533" width="16.85546875" bestFit="1" customWidth="1"/>
    <col min="1534" max="1534" width="13.42578125" customWidth="1"/>
    <col min="1535" max="1535" width="15.42578125" bestFit="1" customWidth="1"/>
    <col min="1536" max="1536" width="14.28515625" bestFit="1" customWidth="1"/>
    <col min="1537" max="1537" width="15.28515625" customWidth="1"/>
    <col min="1538" max="1538" width="15.85546875" customWidth="1"/>
    <col min="1539" max="1539" width="17.28515625" bestFit="1" customWidth="1"/>
    <col min="1540" max="1540" width="12.7109375" customWidth="1"/>
    <col min="1541" max="1541" width="13.7109375" customWidth="1"/>
    <col min="1542" max="1542" width="14.140625" bestFit="1" customWidth="1"/>
    <col min="1543" max="1543" width="17.28515625" bestFit="1" customWidth="1"/>
    <col min="1544" max="1544" width="16.140625" customWidth="1"/>
    <col min="1545" max="1545" width="17.5703125" bestFit="1" customWidth="1"/>
    <col min="1546" max="1546" width="16.28515625" bestFit="1" customWidth="1"/>
    <col min="1547" max="1547" width="20.5703125" bestFit="1" customWidth="1"/>
    <col min="1548" max="1548" width="16.42578125" bestFit="1" customWidth="1"/>
    <col min="1549" max="1549" width="14.28515625" customWidth="1"/>
    <col min="1550" max="1550" width="12.85546875" bestFit="1" customWidth="1"/>
    <col min="1551" max="1551" width="11.28515625" bestFit="1" customWidth="1"/>
    <col min="1552" max="1552" width="12.5703125" bestFit="1" customWidth="1"/>
    <col min="1553" max="1553" width="14" bestFit="1" customWidth="1"/>
    <col min="1554" max="1554" width="6" bestFit="1" customWidth="1"/>
    <col min="1555" max="1555" width="15" customWidth="1"/>
    <col min="1556" max="1556" width="14.85546875" bestFit="1" customWidth="1"/>
    <col min="1557" max="1557" width="16.140625" bestFit="1" customWidth="1"/>
    <col min="1785" max="1785" width="24" bestFit="1" customWidth="1"/>
    <col min="1786" max="1786" width="43.85546875" customWidth="1"/>
    <col min="1787" max="1787" width="19.85546875" bestFit="1" customWidth="1"/>
    <col min="1788" max="1788" width="14.85546875" bestFit="1" customWidth="1"/>
    <col min="1789" max="1789" width="16.85546875" bestFit="1" customWidth="1"/>
    <col min="1790" max="1790" width="13.42578125" customWidth="1"/>
    <col min="1791" max="1791" width="15.42578125" bestFit="1" customWidth="1"/>
    <col min="1792" max="1792" width="14.28515625" bestFit="1" customWidth="1"/>
    <col min="1793" max="1793" width="15.28515625" customWidth="1"/>
    <col min="1794" max="1794" width="15.85546875" customWidth="1"/>
    <col min="1795" max="1795" width="17.28515625" bestFit="1" customWidth="1"/>
    <col min="1796" max="1796" width="12.7109375" customWidth="1"/>
    <col min="1797" max="1797" width="13.7109375" customWidth="1"/>
    <col min="1798" max="1798" width="14.140625" bestFit="1" customWidth="1"/>
    <col min="1799" max="1799" width="17.28515625" bestFit="1" customWidth="1"/>
    <col min="1800" max="1800" width="16.140625" customWidth="1"/>
    <col min="1801" max="1801" width="17.5703125" bestFit="1" customWidth="1"/>
    <col min="1802" max="1802" width="16.28515625" bestFit="1" customWidth="1"/>
    <col min="1803" max="1803" width="20.5703125" bestFit="1" customWidth="1"/>
    <col min="1804" max="1804" width="16.42578125" bestFit="1" customWidth="1"/>
    <col min="1805" max="1805" width="14.28515625" customWidth="1"/>
    <col min="1806" max="1806" width="12.85546875" bestFit="1" customWidth="1"/>
    <col min="1807" max="1807" width="11.28515625" bestFit="1" customWidth="1"/>
    <col min="1808" max="1808" width="12.5703125" bestFit="1" customWidth="1"/>
    <col min="1809" max="1809" width="14" bestFit="1" customWidth="1"/>
    <col min="1810" max="1810" width="6" bestFit="1" customWidth="1"/>
    <col min="1811" max="1811" width="15" customWidth="1"/>
    <col min="1812" max="1812" width="14.85546875" bestFit="1" customWidth="1"/>
    <col min="1813" max="1813" width="16.140625" bestFit="1" customWidth="1"/>
    <col min="2041" max="2041" width="24" bestFit="1" customWidth="1"/>
    <col min="2042" max="2042" width="43.85546875" customWidth="1"/>
    <col min="2043" max="2043" width="19.85546875" bestFit="1" customWidth="1"/>
    <col min="2044" max="2044" width="14.85546875" bestFit="1" customWidth="1"/>
    <col min="2045" max="2045" width="16.85546875" bestFit="1" customWidth="1"/>
    <col min="2046" max="2046" width="13.42578125" customWidth="1"/>
    <col min="2047" max="2047" width="15.42578125" bestFit="1" customWidth="1"/>
    <col min="2048" max="2048" width="14.28515625" bestFit="1" customWidth="1"/>
    <col min="2049" max="2049" width="15.28515625" customWidth="1"/>
    <col min="2050" max="2050" width="15.85546875" customWidth="1"/>
    <col min="2051" max="2051" width="17.28515625" bestFit="1" customWidth="1"/>
    <col min="2052" max="2052" width="12.7109375" customWidth="1"/>
    <col min="2053" max="2053" width="13.7109375" customWidth="1"/>
    <col min="2054" max="2054" width="14.140625" bestFit="1" customWidth="1"/>
    <col min="2055" max="2055" width="17.28515625" bestFit="1" customWidth="1"/>
    <col min="2056" max="2056" width="16.140625" customWidth="1"/>
    <col min="2057" max="2057" width="17.5703125" bestFit="1" customWidth="1"/>
    <col min="2058" max="2058" width="16.28515625" bestFit="1" customWidth="1"/>
    <col min="2059" max="2059" width="20.5703125" bestFit="1" customWidth="1"/>
    <col min="2060" max="2060" width="16.42578125" bestFit="1" customWidth="1"/>
    <col min="2061" max="2061" width="14.28515625" customWidth="1"/>
    <col min="2062" max="2062" width="12.85546875" bestFit="1" customWidth="1"/>
    <col min="2063" max="2063" width="11.28515625" bestFit="1" customWidth="1"/>
    <col min="2064" max="2064" width="12.5703125" bestFit="1" customWidth="1"/>
    <col min="2065" max="2065" width="14" bestFit="1" customWidth="1"/>
    <col min="2066" max="2066" width="6" bestFit="1" customWidth="1"/>
    <col min="2067" max="2067" width="15" customWidth="1"/>
    <col min="2068" max="2068" width="14.85546875" bestFit="1" customWidth="1"/>
    <col min="2069" max="2069" width="16.140625" bestFit="1" customWidth="1"/>
    <col min="2297" max="2297" width="24" bestFit="1" customWidth="1"/>
    <col min="2298" max="2298" width="43.85546875" customWidth="1"/>
    <col min="2299" max="2299" width="19.85546875" bestFit="1" customWidth="1"/>
    <col min="2300" max="2300" width="14.85546875" bestFit="1" customWidth="1"/>
    <col min="2301" max="2301" width="16.85546875" bestFit="1" customWidth="1"/>
    <col min="2302" max="2302" width="13.42578125" customWidth="1"/>
    <col min="2303" max="2303" width="15.42578125" bestFit="1" customWidth="1"/>
    <col min="2304" max="2304" width="14.28515625" bestFit="1" customWidth="1"/>
    <col min="2305" max="2305" width="15.28515625" customWidth="1"/>
    <col min="2306" max="2306" width="15.85546875" customWidth="1"/>
    <col min="2307" max="2307" width="17.28515625" bestFit="1" customWidth="1"/>
    <col min="2308" max="2308" width="12.7109375" customWidth="1"/>
    <col min="2309" max="2309" width="13.7109375" customWidth="1"/>
    <col min="2310" max="2310" width="14.140625" bestFit="1" customWidth="1"/>
    <col min="2311" max="2311" width="17.28515625" bestFit="1" customWidth="1"/>
    <col min="2312" max="2312" width="16.140625" customWidth="1"/>
    <col min="2313" max="2313" width="17.5703125" bestFit="1" customWidth="1"/>
    <col min="2314" max="2314" width="16.28515625" bestFit="1" customWidth="1"/>
    <col min="2315" max="2315" width="20.5703125" bestFit="1" customWidth="1"/>
    <col min="2316" max="2316" width="16.42578125" bestFit="1" customWidth="1"/>
    <col min="2317" max="2317" width="14.28515625" customWidth="1"/>
    <col min="2318" max="2318" width="12.85546875" bestFit="1" customWidth="1"/>
    <col min="2319" max="2319" width="11.28515625" bestFit="1" customWidth="1"/>
    <col min="2320" max="2320" width="12.5703125" bestFit="1" customWidth="1"/>
    <col min="2321" max="2321" width="14" bestFit="1" customWidth="1"/>
    <col min="2322" max="2322" width="6" bestFit="1" customWidth="1"/>
    <col min="2323" max="2323" width="15" customWidth="1"/>
    <col min="2324" max="2324" width="14.85546875" bestFit="1" customWidth="1"/>
    <col min="2325" max="2325" width="16.140625" bestFit="1" customWidth="1"/>
    <col min="2553" max="2553" width="24" bestFit="1" customWidth="1"/>
    <col min="2554" max="2554" width="43.85546875" customWidth="1"/>
    <col min="2555" max="2555" width="19.85546875" bestFit="1" customWidth="1"/>
    <col min="2556" max="2556" width="14.85546875" bestFit="1" customWidth="1"/>
    <col min="2557" max="2557" width="16.85546875" bestFit="1" customWidth="1"/>
    <col min="2558" max="2558" width="13.42578125" customWidth="1"/>
    <col min="2559" max="2559" width="15.42578125" bestFit="1" customWidth="1"/>
    <col min="2560" max="2560" width="14.28515625" bestFit="1" customWidth="1"/>
    <col min="2561" max="2561" width="15.28515625" customWidth="1"/>
    <col min="2562" max="2562" width="15.85546875" customWidth="1"/>
    <col min="2563" max="2563" width="17.28515625" bestFit="1" customWidth="1"/>
    <col min="2564" max="2564" width="12.7109375" customWidth="1"/>
    <col min="2565" max="2565" width="13.7109375" customWidth="1"/>
    <col min="2566" max="2566" width="14.140625" bestFit="1" customWidth="1"/>
    <col min="2567" max="2567" width="17.28515625" bestFit="1" customWidth="1"/>
    <col min="2568" max="2568" width="16.140625" customWidth="1"/>
    <col min="2569" max="2569" width="17.5703125" bestFit="1" customWidth="1"/>
    <col min="2570" max="2570" width="16.28515625" bestFit="1" customWidth="1"/>
    <col min="2571" max="2571" width="20.5703125" bestFit="1" customWidth="1"/>
    <col min="2572" max="2572" width="16.42578125" bestFit="1" customWidth="1"/>
    <col min="2573" max="2573" width="14.28515625" customWidth="1"/>
    <col min="2574" max="2574" width="12.85546875" bestFit="1" customWidth="1"/>
    <col min="2575" max="2575" width="11.28515625" bestFit="1" customWidth="1"/>
    <col min="2576" max="2576" width="12.5703125" bestFit="1" customWidth="1"/>
    <col min="2577" max="2577" width="14" bestFit="1" customWidth="1"/>
    <col min="2578" max="2578" width="6" bestFit="1" customWidth="1"/>
    <col min="2579" max="2579" width="15" customWidth="1"/>
    <col min="2580" max="2580" width="14.85546875" bestFit="1" customWidth="1"/>
    <col min="2581" max="2581" width="16.140625" bestFit="1" customWidth="1"/>
    <col min="2809" max="2809" width="24" bestFit="1" customWidth="1"/>
    <col min="2810" max="2810" width="43.85546875" customWidth="1"/>
    <col min="2811" max="2811" width="19.85546875" bestFit="1" customWidth="1"/>
    <col min="2812" max="2812" width="14.85546875" bestFit="1" customWidth="1"/>
    <col min="2813" max="2813" width="16.85546875" bestFit="1" customWidth="1"/>
    <col min="2814" max="2814" width="13.42578125" customWidth="1"/>
    <col min="2815" max="2815" width="15.42578125" bestFit="1" customWidth="1"/>
    <col min="2816" max="2816" width="14.28515625" bestFit="1" customWidth="1"/>
    <col min="2817" max="2817" width="15.28515625" customWidth="1"/>
    <col min="2818" max="2818" width="15.85546875" customWidth="1"/>
    <col min="2819" max="2819" width="17.28515625" bestFit="1" customWidth="1"/>
    <col min="2820" max="2820" width="12.7109375" customWidth="1"/>
    <col min="2821" max="2821" width="13.7109375" customWidth="1"/>
    <col min="2822" max="2822" width="14.140625" bestFit="1" customWidth="1"/>
    <col min="2823" max="2823" width="17.28515625" bestFit="1" customWidth="1"/>
    <col min="2824" max="2824" width="16.140625" customWidth="1"/>
    <col min="2825" max="2825" width="17.5703125" bestFit="1" customWidth="1"/>
    <col min="2826" max="2826" width="16.28515625" bestFit="1" customWidth="1"/>
    <col min="2827" max="2827" width="20.5703125" bestFit="1" customWidth="1"/>
    <col min="2828" max="2828" width="16.42578125" bestFit="1" customWidth="1"/>
    <col min="2829" max="2829" width="14.28515625" customWidth="1"/>
    <col min="2830" max="2830" width="12.85546875" bestFit="1" customWidth="1"/>
    <col min="2831" max="2831" width="11.28515625" bestFit="1" customWidth="1"/>
    <col min="2832" max="2832" width="12.5703125" bestFit="1" customWidth="1"/>
    <col min="2833" max="2833" width="14" bestFit="1" customWidth="1"/>
    <col min="2834" max="2834" width="6" bestFit="1" customWidth="1"/>
    <col min="2835" max="2835" width="15" customWidth="1"/>
    <col min="2836" max="2836" width="14.85546875" bestFit="1" customWidth="1"/>
    <col min="2837" max="2837" width="16.140625" bestFit="1" customWidth="1"/>
    <col min="3065" max="3065" width="24" bestFit="1" customWidth="1"/>
    <col min="3066" max="3066" width="43.85546875" customWidth="1"/>
    <col min="3067" max="3067" width="19.85546875" bestFit="1" customWidth="1"/>
    <col min="3068" max="3068" width="14.85546875" bestFit="1" customWidth="1"/>
    <col min="3069" max="3069" width="16.85546875" bestFit="1" customWidth="1"/>
    <col min="3070" max="3070" width="13.42578125" customWidth="1"/>
    <col min="3071" max="3071" width="15.42578125" bestFit="1" customWidth="1"/>
    <col min="3072" max="3072" width="14.28515625" bestFit="1" customWidth="1"/>
    <col min="3073" max="3073" width="15.28515625" customWidth="1"/>
    <col min="3074" max="3074" width="15.85546875" customWidth="1"/>
    <col min="3075" max="3075" width="17.28515625" bestFit="1" customWidth="1"/>
    <col min="3076" max="3076" width="12.7109375" customWidth="1"/>
    <col min="3077" max="3077" width="13.7109375" customWidth="1"/>
    <col min="3078" max="3078" width="14.140625" bestFit="1" customWidth="1"/>
    <col min="3079" max="3079" width="17.28515625" bestFit="1" customWidth="1"/>
    <col min="3080" max="3080" width="16.140625" customWidth="1"/>
    <col min="3081" max="3081" width="17.5703125" bestFit="1" customWidth="1"/>
    <col min="3082" max="3082" width="16.28515625" bestFit="1" customWidth="1"/>
    <col min="3083" max="3083" width="20.5703125" bestFit="1" customWidth="1"/>
    <col min="3084" max="3084" width="16.42578125" bestFit="1" customWidth="1"/>
    <col min="3085" max="3085" width="14.28515625" customWidth="1"/>
    <col min="3086" max="3086" width="12.85546875" bestFit="1" customWidth="1"/>
    <col min="3087" max="3087" width="11.28515625" bestFit="1" customWidth="1"/>
    <col min="3088" max="3088" width="12.5703125" bestFit="1" customWidth="1"/>
    <col min="3089" max="3089" width="14" bestFit="1" customWidth="1"/>
    <col min="3090" max="3090" width="6" bestFit="1" customWidth="1"/>
    <col min="3091" max="3091" width="15" customWidth="1"/>
    <col min="3092" max="3092" width="14.85546875" bestFit="1" customWidth="1"/>
    <col min="3093" max="3093" width="16.140625" bestFit="1" customWidth="1"/>
    <col min="3321" max="3321" width="24" bestFit="1" customWidth="1"/>
    <col min="3322" max="3322" width="43.85546875" customWidth="1"/>
    <col min="3323" max="3323" width="19.85546875" bestFit="1" customWidth="1"/>
    <col min="3324" max="3324" width="14.85546875" bestFit="1" customWidth="1"/>
    <col min="3325" max="3325" width="16.85546875" bestFit="1" customWidth="1"/>
    <col min="3326" max="3326" width="13.42578125" customWidth="1"/>
    <col min="3327" max="3327" width="15.42578125" bestFit="1" customWidth="1"/>
    <col min="3328" max="3328" width="14.28515625" bestFit="1" customWidth="1"/>
    <col min="3329" max="3329" width="15.28515625" customWidth="1"/>
    <col min="3330" max="3330" width="15.85546875" customWidth="1"/>
    <col min="3331" max="3331" width="17.28515625" bestFit="1" customWidth="1"/>
    <col min="3332" max="3332" width="12.7109375" customWidth="1"/>
    <col min="3333" max="3333" width="13.7109375" customWidth="1"/>
    <col min="3334" max="3334" width="14.140625" bestFit="1" customWidth="1"/>
    <col min="3335" max="3335" width="17.28515625" bestFit="1" customWidth="1"/>
    <col min="3336" max="3336" width="16.140625" customWidth="1"/>
    <col min="3337" max="3337" width="17.5703125" bestFit="1" customWidth="1"/>
    <col min="3338" max="3338" width="16.28515625" bestFit="1" customWidth="1"/>
    <col min="3339" max="3339" width="20.5703125" bestFit="1" customWidth="1"/>
    <col min="3340" max="3340" width="16.42578125" bestFit="1" customWidth="1"/>
    <col min="3341" max="3341" width="14.28515625" customWidth="1"/>
    <col min="3342" max="3342" width="12.85546875" bestFit="1" customWidth="1"/>
    <col min="3343" max="3343" width="11.28515625" bestFit="1" customWidth="1"/>
    <col min="3344" max="3344" width="12.5703125" bestFit="1" customWidth="1"/>
    <col min="3345" max="3345" width="14" bestFit="1" customWidth="1"/>
    <col min="3346" max="3346" width="6" bestFit="1" customWidth="1"/>
    <col min="3347" max="3347" width="15" customWidth="1"/>
    <col min="3348" max="3348" width="14.85546875" bestFit="1" customWidth="1"/>
    <col min="3349" max="3349" width="16.140625" bestFit="1" customWidth="1"/>
    <col min="3577" max="3577" width="24" bestFit="1" customWidth="1"/>
    <col min="3578" max="3578" width="43.85546875" customWidth="1"/>
    <col min="3579" max="3579" width="19.85546875" bestFit="1" customWidth="1"/>
    <col min="3580" max="3580" width="14.85546875" bestFit="1" customWidth="1"/>
    <col min="3581" max="3581" width="16.85546875" bestFit="1" customWidth="1"/>
    <col min="3582" max="3582" width="13.42578125" customWidth="1"/>
    <col min="3583" max="3583" width="15.42578125" bestFit="1" customWidth="1"/>
    <col min="3584" max="3584" width="14.28515625" bestFit="1" customWidth="1"/>
    <col min="3585" max="3585" width="15.28515625" customWidth="1"/>
    <col min="3586" max="3586" width="15.85546875" customWidth="1"/>
    <col min="3587" max="3587" width="17.28515625" bestFit="1" customWidth="1"/>
    <col min="3588" max="3588" width="12.7109375" customWidth="1"/>
    <col min="3589" max="3589" width="13.7109375" customWidth="1"/>
    <col min="3590" max="3590" width="14.140625" bestFit="1" customWidth="1"/>
    <col min="3591" max="3591" width="17.28515625" bestFit="1" customWidth="1"/>
    <col min="3592" max="3592" width="16.140625" customWidth="1"/>
    <col min="3593" max="3593" width="17.5703125" bestFit="1" customWidth="1"/>
    <col min="3594" max="3594" width="16.28515625" bestFit="1" customWidth="1"/>
    <col min="3595" max="3595" width="20.5703125" bestFit="1" customWidth="1"/>
    <col min="3596" max="3596" width="16.42578125" bestFit="1" customWidth="1"/>
    <col min="3597" max="3597" width="14.28515625" customWidth="1"/>
    <col min="3598" max="3598" width="12.85546875" bestFit="1" customWidth="1"/>
    <col min="3599" max="3599" width="11.28515625" bestFit="1" customWidth="1"/>
    <col min="3600" max="3600" width="12.5703125" bestFit="1" customWidth="1"/>
    <col min="3601" max="3601" width="14" bestFit="1" customWidth="1"/>
    <col min="3602" max="3602" width="6" bestFit="1" customWidth="1"/>
    <col min="3603" max="3603" width="15" customWidth="1"/>
    <col min="3604" max="3604" width="14.85546875" bestFit="1" customWidth="1"/>
    <col min="3605" max="3605" width="16.140625" bestFit="1" customWidth="1"/>
    <col min="3833" max="3833" width="24" bestFit="1" customWidth="1"/>
    <col min="3834" max="3834" width="43.85546875" customWidth="1"/>
    <col min="3835" max="3835" width="19.85546875" bestFit="1" customWidth="1"/>
    <col min="3836" max="3836" width="14.85546875" bestFit="1" customWidth="1"/>
    <col min="3837" max="3837" width="16.85546875" bestFit="1" customWidth="1"/>
    <col min="3838" max="3838" width="13.42578125" customWidth="1"/>
    <col min="3839" max="3839" width="15.42578125" bestFit="1" customWidth="1"/>
    <col min="3840" max="3840" width="14.28515625" bestFit="1" customWidth="1"/>
    <col min="3841" max="3841" width="15.28515625" customWidth="1"/>
    <col min="3842" max="3842" width="15.85546875" customWidth="1"/>
    <col min="3843" max="3843" width="17.28515625" bestFit="1" customWidth="1"/>
    <col min="3844" max="3844" width="12.7109375" customWidth="1"/>
    <col min="3845" max="3845" width="13.7109375" customWidth="1"/>
    <col min="3846" max="3846" width="14.140625" bestFit="1" customWidth="1"/>
    <col min="3847" max="3847" width="17.28515625" bestFit="1" customWidth="1"/>
    <col min="3848" max="3848" width="16.140625" customWidth="1"/>
    <col min="3849" max="3849" width="17.5703125" bestFit="1" customWidth="1"/>
    <col min="3850" max="3850" width="16.28515625" bestFit="1" customWidth="1"/>
    <col min="3851" max="3851" width="20.5703125" bestFit="1" customWidth="1"/>
    <col min="3852" max="3852" width="16.42578125" bestFit="1" customWidth="1"/>
    <col min="3853" max="3853" width="14.28515625" customWidth="1"/>
    <col min="3854" max="3854" width="12.85546875" bestFit="1" customWidth="1"/>
    <col min="3855" max="3855" width="11.28515625" bestFit="1" customWidth="1"/>
    <col min="3856" max="3856" width="12.5703125" bestFit="1" customWidth="1"/>
    <col min="3857" max="3857" width="14" bestFit="1" customWidth="1"/>
    <col min="3858" max="3858" width="6" bestFit="1" customWidth="1"/>
    <col min="3859" max="3859" width="15" customWidth="1"/>
    <col min="3860" max="3860" width="14.85546875" bestFit="1" customWidth="1"/>
    <col min="3861" max="3861" width="16.140625" bestFit="1" customWidth="1"/>
    <col min="4089" max="4089" width="24" bestFit="1" customWidth="1"/>
    <col min="4090" max="4090" width="43.85546875" customWidth="1"/>
    <col min="4091" max="4091" width="19.85546875" bestFit="1" customWidth="1"/>
    <col min="4092" max="4092" width="14.85546875" bestFit="1" customWidth="1"/>
    <col min="4093" max="4093" width="16.85546875" bestFit="1" customWidth="1"/>
    <col min="4094" max="4094" width="13.42578125" customWidth="1"/>
    <col min="4095" max="4095" width="15.42578125" bestFit="1" customWidth="1"/>
    <col min="4096" max="4096" width="14.28515625" bestFit="1" customWidth="1"/>
    <col min="4097" max="4097" width="15.28515625" customWidth="1"/>
    <col min="4098" max="4098" width="15.85546875" customWidth="1"/>
    <col min="4099" max="4099" width="17.28515625" bestFit="1" customWidth="1"/>
    <col min="4100" max="4100" width="12.7109375" customWidth="1"/>
    <col min="4101" max="4101" width="13.7109375" customWidth="1"/>
    <col min="4102" max="4102" width="14.140625" bestFit="1" customWidth="1"/>
    <col min="4103" max="4103" width="17.28515625" bestFit="1" customWidth="1"/>
    <col min="4104" max="4104" width="16.140625" customWidth="1"/>
    <col min="4105" max="4105" width="17.5703125" bestFit="1" customWidth="1"/>
    <col min="4106" max="4106" width="16.28515625" bestFit="1" customWidth="1"/>
    <col min="4107" max="4107" width="20.5703125" bestFit="1" customWidth="1"/>
    <col min="4108" max="4108" width="16.42578125" bestFit="1" customWidth="1"/>
    <col min="4109" max="4109" width="14.28515625" customWidth="1"/>
    <col min="4110" max="4110" width="12.85546875" bestFit="1" customWidth="1"/>
    <col min="4111" max="4111" width="11.28515625" bestFit="1" customWidth="1"/>
    <col min="4112" max="4112" width="12.5703125" bestFit="1" customWidth="1"/>
    <col min="4113" max="4113" width="14" bestFit="1" customWidth="1"/>
    <col min="4114" max="4114" width="6" bestFit="1" customWidth="1"/>
    <col min="4115" max="4115" width="15" customWidth="1"/>
    <col min="4116" max="4116" width="14.85546875" bestFit="1" customWidth="1"/>
    <col min="4117" max="4117" width="16.140625" bestFit="1" customWidth="1"/>
    <col min="4345" max="4345" width="24" bestFit="1" customWidth="1"/>
    <col min="4346" max="4346" width="43.85546875" customWidth="1"/>
    <col min="4347" max="4347" width="19.85546875" bestFit="1" customWidth="1"/>
    <col min="4348" max="4348" width="14.85546875" bestFit="1" customWidth="1"/>
    <col min="4349" max="4349" width="16.85546875" bestFit="1" customWidth="1"/>
    <col min="4350" max="4350" width="13.42578125" customWidth="1"/>
    <col min="4351" max="4351" width="15.42578125" bestFit="1" customWidth="1"/>
    <col min="4352" max="4352" width="14.28515625" bestFit="1" customWidth="1"/>
    <col min="4353" max="4353" width="15.28515625" customWidth="1"/>
    <col min="4354" max="4354" width="15.85546875" customWidth="1"/>
    <col min="4355" max="4355" width="17.28515625" bestFit="1" customWidth="1"/>
    <col min="4356" max="4356" width="12.7109375" customWidth="1"/>
    <col min="4357" max="4357" width="13.7109375" customWidth="1"/>
    <col min="4358" max="4358" width="14.140625" bestFit="1" customWidth="1"/>
    <col min="4359" max="4359" width="17.28515625" bestFit="1" customWidth="1"/>
    <col min="4360" max="4360" width="16.140625" customWidth="1"/>
    <col min="4361" max="4361" width="17.5703125" bestFit="1" customWidth="1"/>
    <col min="4362" max="4362" width="16.28515625" bestFit="1" customWidth="1"/>
    <col min="4363" max="4363" width="20.5703125" bestFit="1" customWidth="1"/>
    <col min="4364" max="4364" width="16.42578125" bestFit="1" customWidth="1"/>
    <col min="4365" max="4365" width="14.28515625" customWidth="1"/>
    <col min="4366" max="4366" width="12.85546875" bestFit="1" customWidth="1"/>
    <col min="4367" max="4367" width="11.28515625" bestFit="1" customWidth="1"/>
    <col min="4368" max="4368" width="12.5703125" bestFit="1" customWidth="1"/>
    <col min="4369" max="4369" width="14" bestFit="1" customWidth="1"/>
    <col min="4370" max="4370" width="6" bestFit="1" customWidth="1"/>
    <col min="4371" max="4371" width="15" customWidth="1"/>
    <col min="4372" max="4372" width="14.85546875" bestFit="1" customWidth="1"/>
    <col min="4373" max="4373" width="16.140625" bestFit="1" customWidth="1"/>
    <col min="4601" max="4601" width="24" bestFit="1" customWidth="1"/>
    <col min="4602" max="4602" width="43.85546875" customWidth="1"/>
    <col min="4603" max="4603" width="19.85546875" bestFit="1" customWidth="1"/>
    <col min="4604" max="4604" width="14.85546875" bestFit="1" customWidth="1"/>
    <col min="4605" max="4605" width="16.85546875" bestFit="1" customWidth="1"/>
    <col min="4606" max="4606" width="13.42578125" customWidth="1"/>
    <col min="4607" max="4607" width="15.42578125" bestFit="1" customWidth="1"/>
    <col min="4608" max="4608" width="14.28515625" bestFit="1" customWidth="1"/>
    <col min="4609" max="4609" width="15.28515625" customWidth="1"/>
    <col min="4610" max="4610" width="15.85546875" customWidth="1"/>
    <col min="4611" max="4611" width="17.28515625" bestFit="1" customWidth="1"/>
    <col min="4612" max="4612" width="12.7109375" customWidth="1"/>
    <col min="4613" max="4613" width="13.7109375" customWidth="1"/>
    <col min="4614" max="4614" width="14.140625" bestFit="1" customWidth="1"/>
    <col min="4615" max="4615" width="17.28515625" bestFit="1" customWidth="1"/>
    <col min="4616" max="4616" width="16.140625" customWidth="1"/>
    <col min="4617" max="4617" width="17.5703125" bestFit="1" customWidth="1"/>
    <col min="4618" max="4618" width="16.28515625" bestFit="1" customWidth="1"/>
    <col min="4619" max="4619" width="20.5703125" bestFit="1" customWidth="1"/>
    <col min="4620" max="4620" width="16.42578125" bestFit="1" customWidth="1"/>
    <col min="4621" max="4621" width="14.28515625" customWidth="1"/>
    <col min="4622" max="4622" width="12.85546875" bestFit="1" customWidth="1"/>
    <col min="4623" max="4623" width="11.28515625" bestFit="1" customWidth="1"/>
    <col min="4624" max="4624" width="12.5703125" bestFit="1" customWidth="1"/>
    <col min="4625" max="4625" width="14" bestFit="1" customWidth="1"/>
    <col min="4626" max="4626" width="6" bestFit="1" customWidth="1"/>
    <col min="4627" max="4627" width="15" customWidth="1"/>
    <col min="4628" max="4628" width="14.85546875" bestFit="1" customWidth="1"/>
    <col min="4629" max="4629" width="16.140625" bestFit="1" customWidth="1"/>
    <col min="4857" max="4857" width="24" bestFit="1" customWidth="1"/>
    <col min="4858" max="4858" width="43.85546875" customWidth="1"/>
    <col min="4859" max="4859" width="19.85546875" bestFit="1" customWidth="1"/>
    <col min="4860" max="4860" width="14.85546875" bestFit="1" customWidth="1"/>
    <col min="4861" max="4861" width="16.85546875" bestFit="1" customWidth="1"/>
    <col min="4862" max="4862" width="13.42578125" customWidth="1"/>
    <col min="4863" max="4863" width="15.42578125" bestFit="1" customWidth="1"/>
    <col min="4864" max="4864" width="14.28515625" bestFit="1" customWidth="1"/>
    <col min="4865" max="4865" width="15.28515625" customWidth="1"/>
    <col min="4866" max="4866" width="15.85546875" customWidth="1"/>
    <col min="4867" max="4867" width="17.28515625" bestFit="1" customWidth="1"/>
    <col min="4868" max="4868" width="12.7109375" customWidth="1"/>
    <col min="4869" max="4869" width="13.7109375" customWidth="1"/>
    <col min="4870" max="4870" width="14.140625" bestFit="1" customWidth="1"/>
    <col min="4871" max="4871" width="17.28515625" bestFit="1" customWidth="1"/>
    <col min="4872" max="4872" width="16.140625" customWidth="1"/>
    <col min="4873" max="4873" width="17.5703125" bestFit="1" customWidth="1"/>
    <col min="4874" max="4874" width="16.28515625" bestFit="1" customWidth="1"/>
    <col min="4875" max="4875" width="20.5703125" bestFit="1" customWidth="1"/>
    <col min="4876" max="4876" width="16.42578125" bestFit="1" customWidth="1"/>
    <col min="4877" max="4877" width="14.28515625" customWidth="1"/>
    <col min="4878" max="4878" width="12.85546875" bestFit="1" customWidth="1"/>
    <col min="4879" max="4879" width="11.28515625" bestFit="1" customWidth="1"/>
    <col min="4880" max="4880" width="12.5703125" bestFit="1" customWidth="1"/>
    <col min="4881" max="4881" width="14" bestFit="1" customWidth="1"/>
    <col min="4882" max="4882" width="6" bestFit="1" customWidth="1"/>
    <col min="4883" max="4883" width="15" customWidth="1"/>
    <col min="4884" max="4884" width="14.85546875" bestFit="1" customWidth="1"/>
    <col min="4885" max="4885" width="16.140625" bestFit="1" customWidth="1"/>
    <col min="5113" max="5113" width="24" bestFit="1" customWidth="1"/>
    <col min="5114" max="5114" width="43.85546875" customWidth="1"/>
    <col min="5115" max="5115" width="19.85546875" bestFit="1" customWidth="1"/>
    <col min="5116" max="5116" width="14.85546875" bestFit="1" customWidth="1"/>
    <col min="5117" max="5117" width="16.85546875" bestFit="1" customWidth="1"/>
    <col min="5118" max="5118" width="13.42578125" customWidth="1"/>
    <col min="5119" max="5119" width="15.42578125" bestFit="1" customWidth="1"/>
    <col min="5120" max="5120" width="14.28515625" bestFit="1" customWidth="1"/>
    <col min="5121" max="5121" width="15.28515625" customWidth="1"/>
    <col min="5122" max="5122" width="15.85546875" customWidth="1"/>
    <col min="5123" max="5123" width="17.28515625" bestFit="1" customWidth="1"/>
    <col min="5124" max="5124" width="12.7109375" customWidth="1"/>
    <col min="5125" max="5125" width="13.7109375" customWidth="1"/>
    <col min="5126" max="5126" width="14.140625" bestFit="1" customWidth="1"/>
    <col min="5127" max="5127" width="17.28515625" bestFit="1" customWidth="1"/>
    <col min="5128" max="5128" width="16.140625" customWidth="1"/>
    <col min="5129" max="5129" width="17.5703125" bestFit="1" customWidth="1"/>
    <col min="5130" max="5130" width="16.28515625" bestFit="1" customWidth="1"/>
    <col min="5131" max="5131" width="20.5703125" bestFit="1" customWidth="1"/>
    <col min="5132" max="5132" width="16.42578125" bestFit="1" customWidth="1"/>
    <col min="5133" max="5133" width="14.28515625" customWidth="1"/>
    <col min="5134" max="5134" width="12.85546875" bestFit="1" customWidth="1"/>
    <col min="5135" max="5135" width="11.28515625" bestFit="1" customWidth="1"/>
    <col min="5136" max="5136" width="12.5703125" bestFit="1" customWidth="1"/>
    <col min="5137" max="5137" width="14" bestFit="1" customWidth="1"/>
    <col min="5138" max="5138" width="6" bestFit="1" customWidth="1"/>
    <col min="5139" max="5139" width="15" customWidth="1"/>
    <col min="5140" max="5140" width="14.85546875" bestFit="1" customWidth="1"/>
    <col min="5141" max="5141" width="16.140625" bestFit="1" customWidth="1"/>
    <col min="5369" max="5369" width="24" bestFit="1" customWidth="1"/>
    <col min="5370" max="5370" width="43.85546875" customWidth="1"/>
    <col min="5371" max="5371" width="19.85546875" bestFit="1" customWidth="1"/>
    <col min="5372" max="5372" width="14.85546875" bestFit="1" customWidth="1"/>
    <col min="5373" max="5373" width="16.85546875" bestFit="1" customWidth="1"/>
    <col min="5374" max="5374" width="13.42578125" customWidth="1"/>
    <col min="5375" max="5375" width="15.42578125" bestFit="1" customWidth="1"/>
    <col min="5376" max="5376" width="14.28515625" bestFit="1" customWidth="1"/>
    <col min="5377" max="5377" width="15.28515625" customWidth="1"/>
    <col min="5378" max="5378" width="15.85546875" customWidth="1"/>
    <col min="5379" max="5379" width="17.28515625" bestFit="1" customWidth="1"/>
    <col min="5380" max="5380" width="12.7109375" customWidth="1"/>
    <col min="5381" max="5381" width="13.7109375" customWidth="1"/>
    <col min="5382" max="5382" width="14.140625" bestFit="1" customWidth="1"/>
    <col min="5383" max="5383" width="17.28515625" bestFit="1" customWidth="1"/>
    <col min="5384" max="5384" width="16.140625" customWidth="1"/>
    <col min="5385" max="5385" width="17.5703125" bestFit="1" customWidth="1"/>
    <col min="5386" max="5386" width="16.28515625" bestFit="1" customWidth="1"/>
    <col min="5387" max="5387" width="20.5703125" bestFit="1" customWidth="1"/>
    <col min="5388" max="5388" width="16.42578125" bestFit="1" customWidth="1"/>
    <col min="5389" max="5389" width="14.28515625" customWidth="1"/>
    <col min="5390" max="5390" width="12.85546875" bestFit="1" customWidth="1"/>
    <col min="5391" max="5391" width="11.28515625" bestFit="1" customWidth="1"/>
    <col min="5392" max="5392" width="12.5703125" bestFit="1" customWidth="1"/>
    <col min="5393" max="5393" width="14" bestFit="1" customWidth="1"/>
    <col min="5394" max="5394" width="6" bestFit="1" customWidth="1"/>
    <col min="5395" max="5395" width="15" customWidth="1"/>
    <col min="5396" max="5396" width="14.85546875" bestFit="1" customWidth="1"/>
    <col min="5397" max="5397" width="16.140625" bestFit="1" customWidth="1"/>
    <col min="5625" max="5625" width="24" bestFit="1" customWidth="1"/>
    <col min="5626" max="5626" width="43.85546875" customWidth="1"/>
    <col min="5627" max="5627" width="19.85546875" bestFit="1" customWidth="1"/>
    <col min="5628" max="5628" width="14.85546875" bestFit="1" customWidth="1"/>
    <col min="5629" max="5629" width="16.85546875" bestFit="1" customWidth="1"/>
    <col min="5630" max="5630" width="13.42578125" customWidth="1"/>
    <col min="5631" max="5631" width="15.42578125" bestFit="1" customWidth="1"/>
    <col min="5632" max="5632" width="14.28515625" bestFit="1" customWidth="1"/>
    <col min="5633" max="5633" width="15.28515625" customWidth="1"/>
    <col min="5634" max="5634" width="15.85546875" customWidth="1"/>
    <col min="5635" max="5635" width="17.28515625" bestFit="1" customWidth="1"/>
    <col min="5636" max="5636" width="12.7109375" customWidth="1"/>
    <col min="5637" max="5637" width="13.7109375" customWidth="1"/>
    <col min="5638" max="5638" width="14.140625" bestFit="1" customWidth="1"/>
    <col min="5639" max="5639" width="17.28515625" bestFit="1" customWidth="1"/>
    <col min="5640" max="5640" width="16.140625" customWidth="1"/>
    <col min="5641" max="5641" width="17.5703125" bestFit="1" customWidth="1"/>
    <col min="5642" max="5642" width="16.28515625" bestFit="1" customWidth="1"/>
    <col min="5643" max="5643" width="20.5703125" bestFit="1" customWidth="1"/>
    <col min="5644" max="5644" width="16.42578125" bestFit="1" customWidth="1"/>
    <col min="5645" max="5645" width="14.28515625" customWidth="1"/>
    <col min="5646" max="5646" width="12.85546875" bestFit="1" customWidth="1"/>
    <col min="5647" max="5647" width="11.28515625" bestFit="1" customWidth="1"/>
    <col min="5648" max="5648" width="12.5703125" bestFit="1" customWidth="1"/>
    <col min="5649" max="5649" width="14" bestFit="1" customWidth="1"/>
    <col min="5650" max="5650" width="6" bestFit="1" customWidth="1"/>
    <col min="5651" max="5651" width="15" customWidth="1"/>
    <col min="5652" max="5652" width="14.85546875" bestFit="1" customWidth="1"/>
    <col min="5653" max="5653" width="16.140625" bestFit="1" customWidth="1"/>
    <col min="5881" max="5881" width="24" bestFit="1" customWidth="1"/>
    <col min="5882" max="5882" width="43.85546875" customWidth="1"/>
    <col min="5883" max="5883" width="19.85546875" bestFit="1" customWidth="1"/>
    <col min="5884" max="5884" width="14.85546875" bestFit="1" customWidth="1"/>
    <col min="5885" max="5885" width="16.85546875" bestFit="1" customWidth="1"/>
    <col min="5886" max="5886" width="13.42578125" customWidth="1"/>
    <col min="5887" max="5887" width="15.42578125" bestFit="1" customWidth="1"/>
    <col min="5888" max="5888" width="14.28515625" bestFit="1" customWidth="1"/>
    <col min="5889" max="5889" width="15.28515625" customWidth="1"/>
    <col min="5890" max="5890" width="15.85546875" customWidth="1"/>
    <col min="5891" max="5891" width="17.28515625" bestFit="1" customWidth="1"/>
    <col min="5892" max="5892" width="12.7109375" customWidth="1"/>
    <col min="5893" max="5893" width="13.7109375" customWidth="1"/>
    <col min="5894" max="5894" width="14.140625" bestFit="1" customWidth="1"/>
    <col min="5895" max="5895" width="17.28515625" bestFit="1" customWidth="1"/>
    <col min="5896" max="5896" width="16.140625" customWidth="1"/>
    <col min="5897" max="5897" width="17.5703125" bestFit="1" customWidth="1"/>
    <col min="5898" max="5898" width="16.28515625" bestFit="1" customWidth="1"/>
    <col min="5899" max="5899" width="20.5703125" bestFit="1" customWidth="1"/>
    <col min="5900" max="5900" width="16.42578125" bestFit="1" customWidth="1"/>
    <col min="5901" max="5901" width="14.28515625" customWidth="1"/>
    <col min="5902" max="5902" width="12.85546875" bestFit="1" customWidth="1"/>
    <col min="5903" max="5903" width="11.28515625" bestFit="1" customWidth="1"/>
    <col min="5904" max="5904" width="12.5703125" bestFit="1" customWidth="1"/>
    <col min="5905" max="5905" width="14" bestFit="1" customWidth="1"/>
    <col min="5906" max="5906" width="6" bestFit="1" customWidth="1"/>
    <col min="5907" max="5907" width="15" customWidth="1"/>
    <col min="5908" max="5908" width="14.85546875" bestFit="1" customWidth="1"/>
    <col min="5909" max="5909" width="16.140625" bestFit="1" customWidth="1"/>
    <col min="6137" max="6137" width="24" bestFit="1" customWidth="1"/>
    <col min="6138" max="6138" width="43.85546875" customWidth="1"/>
    <col min="6139" max="6139" width="19.85546875" bestFit="1" customWidth="1"/>
    <col min="6140" max="6140" width="14.85546875" bestFit="1" customWidth="1"/>
    <col min="6141" max="6141" width="16.85546875" bestFit="1" customWidth="1"/>
    <col min="6142" max="6142" width="13.42578125" customWidth="1"/>
    <col min="6143" max="6143" width="15.42578125" bestFit="1" customWidth="1"/>
    <col min="6144" max="6144" width="14.28515625" bestFit="1" customWidth="1"/>
    <col min="6145" max="6145" width="15.28515625" customWidth="1"/>
    <col min="6146" max="6146" width="15.85546875" customWidth="1"/>
    <col min="6147" max="6147" width="17.28515625" bestFit="1" customWidth="1"/>
    <col min="6148" max="6148" width="12.7109375" customWidth="1"/>
    <col min="6149" max="6149" width="13.7109375" customWidth="1"/>
    <col min="6150" max="6150" width="14.140625" bestFit="1" customWidth="1"/>
    <col min="6151" max="6151" width="17.28515625" bestFit="1" customWidth="1"/>
    <col min="6152" max="6152" width="16.140625" customWidth="1"/>
    <col min="6153" max="6153" width="17.5703125" bestFit="1" customWidth="1"/>
    <col min="6154" max="6154" width="16.28515625" bestFit="1" customWidth="1"/>
    <col min="6155" max="6155" width="20.5703125" bestFit="1" customWidth="1"/>
    <col min="6156" max="6156" width="16.42578125" bestFit="1" customWidth="1"/>
    <col min="6157" max="6157" width="14.28515625" customWidth="1"/>
    <col min="6158" max="6158" width="12.85546875" bestFit="1" customWidth="1"/>
    <col min="6159" max="6159" width="11.28515625" bestFit="1" customWidth="1"/>
    <col min="6160" max="6160" width="12.5703125" bestFit="1" customWidth="1"/>
    <col min="6161" max="6161" width="14" bestFit="1" customWidth="1"/>
    <col min="6162" max="6162" width="6" bestFit="1" customWidth="1"/>
    <col min="6163" max="6163" width="15" customWidth="1"/>
    <col min="6164" max="6164" width="14.85546875" bestFit="1" customWidth="1"/>
    <col min="6165" max="6165" width="16.140625" bestFit="1" customWidth="1"/>
    <col min="6393" max="6393" width="24" bestFit="1" customWidth="1"/>
    <col min="6394" max="6394" width="43.85546875" customWidth="1"/>
    <col min="6395" max="6395" width="19.85546875" bestFit="1" customWidth="1"/>
    <col min="6396" max="6396" width="14.85546875" bestFit="1" customWidth="1"/>
    <col min="6397" max="6397" width="16.85546875" bestFit="1" customWidth="1"/>
    <col min="6398" max="6398" width="13.42578125" customWidth="1"/>
    <col min="6399" max="6399" width="15.42578125" bestFit="1" customWidth="1"/>
    <col min="6400" max="6400" width="14.28515625" bestFit="1" customWidth="1"/>
    <col min="6401" max="6401" width="15.28515625" customWidth="1"/>
    <col min="6402" max="6402" width="15.85546875" customWidth="1"/>
    <col min="6403" max="6403" width="17.28515625" bestFit="1" customWidth="1"/>
    <col min="6404" max="6404" width="12.7109375" customWidth="1"/>
    <col min="6405" max="6405" width="13.7109375" customWidth="1"/>
    <col min="6406" max="6406" width="14.140625" bestFit="1" customWidth="1"/>
    <col min="6407" max="6407" width="17.28515625" bestFit="1" customWidth="1"/>
    <col min="6408" max="6408" width="16.140625" customWidth="1"/>
    <col min="6409" max="6409" width="17.5703125" bestFit="1" customWidth="1"/>
    <col min="6410" max="6410" width="16.28515625" bestFit="1" customWidth="1"/>
    <col min="6411" max="6411" width="20.5703125" bestFit="1" customWidth="1"/>
    <col min="6412" max="6412" width="16.42578125" bestFit="1" customWidth="1"/>
    <col min="6413" max="6413" width="14.28515625" customWidth="1"/>
    <col min="6414" max="6414" width="12.85546875" bestFit="1" customWidth="1"/>
    <col min="6415" max="6415" width="11.28515625" bestFit="1" customWidth="1"/>
    <col min="6416" max="6416" width="12.5703125" bestFit="1" customWidth="1"/>
    <col min="6417" max="6417" width="14" bestFit="1" customWidth="1"/>
    <col min="6418" max="6418" width="6" bestFit="1" customWidth="1"/>
    <col min="6419" max="6419" width="15" customWidth="1"/>
    <col min="6420" max="6420" width="14.85546875" bestFit="1" customWidth="1"/>
    <col min="6421" max="6421" width="16.140625" bestFit="1" customWidth="1"/>
    <col min="6649" max="6649" width="24" bestFit="1" customWidth="1"/>
    <col min="6650" max="6650" width="43.85546875" customWidth="1"/>
    <col min="6651" max="6651" width="19.85546875" bestFit="1" customWidth="1"/>
    <col min="6652" max="6652" width="14.85546875" bestFit="1" customWidth="1"/>
    <col min="6653" max="6653" width="16.85546875" bestFit="1" customWidth="1"/>
    <col min="6654" max="6654" width="13.42578125" customWidth="1"/>
    <col min="6655" max="6655" width="15.42578125" bestFit="1" customWidth="1"/>
    <col min="6656" max="6656" width="14.28515625" bestFit="1" customWidth="1"/>
    <col min="6657" max="6657" width="15.28515625" customWidth="1"/>
    <col min="6658" max="6658" width="15.85546875" customWidth="1"/>
    <col min="6659" max="6659" width="17.28515625" bestFit="1" customWidth="1"/>
    <col min="6660" max="6660" width="12.7109375" customWidth="1"/>
    <col min="6661" max="6661" width="13.7109375" customWidth="1"/>
    <col min="6662" max="6662" width="14.140625" bestFit="1" customWidth="1"/>
    <col min="6663" max="6663" width="17.28515625" bestFit="1" customWidth="1"/>
    <col min="6664" max="6664" width="16.140625" customWidth="1"/>
    <col min="6665" max="6665" width="17.5703125" bestFit="1" customWidth="1"/>
    <col min="6666" max="6666" width="16.28515625" bestFit="1" customWidth="1"/>
    <col min="6667" max="6667" width="20.5703125" bestFit="1" customWidth="1"/>
    <col min="6668" max="6668" width="16.42578125" bestFit="1" customWidth="1"/>
    <col min="6669" max="6669" width="14.28515625" customWidth="1"/>
    <col min="6670" max="6670" width="12.85546875" bestFit="1" customWidth="1"/>
    <col min="6671" max="6671" width="11.28515625" bestFit="1" customWidth="1"/>
    <col min="6672" max="6672" width="12.5703125" bestFit="1" customWidth="1"/>
    <col min="6673" max="6673" width="14" bestFit="1" customWidth="1"/>
    <col min="6674" max="6674" width="6" bestFit="1" customWidth="1"/>
    <col min="6675" max="6675" width="15" customWidth="1"/>
    <col min="6676" max="6676" width="14.85546875" bestFit="1" customWidth="1"/>
    <col min="6677" max="6677" width="16.140625" bestFit="1" customWidth="1"/>
    <col min="6905" max="6905" width="24" bestFit="1" customWidth="1"/>
    <col min="6906" max="6906" width="43.85546875" customWidth="1"/>
    <col min="6907" max="6907" width="19.85546875" bestFit="1" customWidth="1"/>
    <col min="6908" max="6908" width="14.85546875" bestFit="1" customWidth="1"/>
    <col min="6909" max="6909" width="16.85546875" bestFit="1" customWidth="1"/>
    <col min="6910" max="6910" width="13.42578125" customWidth="1"/>
    <col min="6911" max="6911" width="15.42578125" bestFit="1" customWidth="1"/>
    <col min="6912" max="6912" width="14.28515625" bestFit="1" customWidth="1"/>
    <col min="6913" max="6913" width="15.28515625" customWidth="1"/>
    <col min="6914" max="6914" width="15.85546875" customWidth="1"/>
    <col min="6915" max="6915" width="17.28515625" bestFit="1" customWidth="1"/>
    <col min="6916" max="6916" width="12.7109375" customWidth="1"/>
    <col min="6917" max="6917" width="13.7109375" customWidth="1"/>
    <col min="6918" max="6918" width="14.140625" bestFit="1" customWidth="1"/>
    <col min="6919" max="6919" width="17.28515625" bestFit="1" customWidth="1"/>
    <col min="6920" max="6920" width="16.140625" customWidth="1"/>
    <col min="6921" max="6921" width="17.5703125" bestFit="1" customWidth="1"/>
    <col min="6922" max="6922" width="16.28515625" bestFit="1" customWidth="1"/>
    <col min="6923" max="6923" width="20.5703125" bestFit="1" customWidth="1"/>
    <col min="6924" max="6924" width="16.42578125" bestFit="1" customWidth="1"/>
    <col min="6925" max="6925" width="14.28515625" customWidth="1"/>
    <col min="6926" max="6926" width="12.85546875" bestFit="1" customWidth="1"/>
    <col min="6927" max="6927" width="11.28515625" bestFit="1" customWidth="1"/>
    <col min="6928" max="6928" width="12.5703125" bestFit="1" customWidth="1"/>
    <col min="6929" max="6929" width="14" bestFit="1" customWidth="1"/>
    <col min="6930" max="6930" width="6" bestFit="1" customWidth="1"/>
    <col min="6931" max="6931" width="15" customWidth="1"/>
    <col min="6932" max="6932" width="14.85546875" bestFit="1" customWidth="1"/>
    <col min="6933" max="6933" width="16.140625" bestFit="1" customWidth="1"/>
    <col min="7161" max="7161" width="24" bestFit="1" customWidth="1"/>
    <col min="7162" max="7162" width="43.85546875" customWidth="1"/>
    <col min="7163" max="7163" width="19.85546875" bestFit="1" customWidth="1"/>
    <col min="7164" max="7164" width="14.85546875" bestFit="1" customWidth="1"/>
    <col min="7165" max="7165" width="16.85546875" bestFit="1" customWidth="1"/>
    <col min="7166" max="7166" width="13.42578125" customWidth="1"/>
    <col min="7167" max="7167" width="15.42578125" bestFit="1" customWidth="1"/>
    <col min="7168" max="7168" width="14.28515625" bestFit="1" customWidth="1"/>
    <col min="7169" max="7169" width="15.28515625" customWidth="1"/>
    <col min="7170" max="7170" width="15.85546875" customWidth="1"/>
    <col min="7171" max="7171" width="17.28515625" bestFit="1" customWidth="1"/>
    <col min="7172" max="7172" width="12.7109375" customWidth="1"/>
    <col min="7173" max="7173" width="13.7109375" customWidth="1"/>
    <col min="7174" max="7174" width="14.140625" bestFit="1" customWidth="1"/>
    <col min="7175" max="7175" width="17.28515625" bestFit="1" customWidth="1"/>
    <col min="7176" max="7176" width="16.140625" customWidth="1"/>
    <col min="7177" max="7177" width="17.5703125" bestFit="1" customWidth="1"/>
    <col min="7178" max="7178" width="16.28515625" bestFit="1" customWidth="1"/>
    <col min="7179" max="7179" width="20.5703125" bestFit="1" customWidth="1"/>
    <col min="7180" max="7180" width="16.42578125" bestFit="1" customWidth="1"/>
    <col min="7181" max="7181" width="14.28515625" customWidth="1"/>
    <col min="7182" max="7182" width="12.85546875" bestFit="1" customWidth="1"/>
    <col min="7183" max="7183" width="11.28515625" bestFit="1" customWidth="1"/>
    <col min="7184" max="7184" width="12.5703125" bestFit="1" customWidth="1"/>
    <col min="7185" max="7185" width="14" bestFit="1" customWidth="1"/>
    <col min="7186" max="7186" width="6" bestFit="1" customWidth="1"/>
    <col min="7187" max="7187" width="15" customWidth="1"/>
    <col min="7188" max="7188" width="14.85546875" bestFit="1" customWidth="1"/>
    <col min="7189" max="7189" width="16.140625" bestFit="1" customWidth="1"/>
    <col min="7417" max="7417" width="24" bestFit="1" customWidth="1"/>
    <col min="7418" max="7418" width="43.85546875" customWidth="1"/>
    <col min="7419" max="7419" width="19.85546875" bestFit="1" customWidth="1"/>
    <col min="7420" max="7420" width="14.85546875" bestFit="1" customWidth="1"/>
    <col min="7421" max="7421" width="16.85546875" bestFit="1" customWidth="1"/>
    <col min="7422" max="7422" width="13.42578125" customWidth="1"/>
    <col min="7423" max="7423" width="15.42578125" bestFit="1" customWidth="1"/>
    <col min="7424" max="7424" width="14.28515625" bestFit="1" customWidth="1"/>
    <col min="7425" max="7425" width="15.28515625" customWidth="1"/>
    <col min="7426" max="7426" width="15.85546875" customWidth="1"/>
    <col min="7427" max="7427" width="17.28515625" bestFit="1" customWidth="1"/>
    <col min="7428" max="7428" width="12.7109375" customWidth="1"/>
    <col min="7429" max="7429" width="13.7109375" customWidth="1"/>
    <col min="7430" max="7430" width="14.140625" bestFit="1" customWidth="1"/>
    <col min="7431" max="7431" width="17.28515625" bestFit="1" customWidth="1"/>
    <col min="7432" max="7432" width="16.140625" customWidth="1"/>
    <col min="7433" max="7433" width="17.5703125" bestFit="1" customWidth="1"/>
    <col min="7434" max="7434" width="16.28515625" bestFit="1" customWidth="1"/>
    <col min="7435" max="7435" width="20.5703125" bestFit="1" customWidth="1"/>
    <col min="7436" max="7436" width="16.42578125" bestFit="1" customWidth="1"/>
    <col min="7437" max="7437" width="14.28515625" customWidth="1"/>
    <col min="7438" max="7438" width="12.85546875" bestFit="1" customWidth="1"/>
    <col min="7439" max="7439" width="11.28515625" bestFit="1" customWidth="1"/>
    <col min="7440" max="7440" width="12.5703125" bestFit="1" customWidth="1"/>
    <col min="7441" max="7441" width="14" bestFit="1" customWidth="1"/>
    <col min="7442" max="7442" width="6" bestFit="1" customWidth="1"/>
    <col min="7443" max="7443" width="15" customWidth="1"/>
    <col min="7444" max="7444" width="14.85546875" bestFit="1" customWidth="1"/>
    <col min="7445" max="7445" width="16.140625" bestFit="1" customWidth="1"/>
    <col min="7673" max="7673" width="24" bestFit="1" customWidth="1"/>
    <col min="7674" max="7674" width="43.85546875" customWidth="1"/>
    <col min="7675" max="7675" width="19.85546875" bestFit="1" customWidth="1"/>
    <col min="7676" max="7676" width="14.85546875" bestFit="1" customWidth="1"/>
    <col min="7677" max="7677" width="16.85546875" bestFit="1" customWidth="1"/>
    <col min="7678" max="7678" width="13.42578125" customWidth="1"/>
    <col min="7679" max="7679" width="15.42578125" bestFit="1" customWidth="1"/>
    <col min="7680" max="7680" width="14.28515625" bestFit="1" customWidth="1"/>
    <col min="7681" max="7681" width="15.28515625" customWidth="1"/>
    <col min="7682" max="7682" width="15.85546875" customWidth="1"/>
    <col min="7683" max="7683" width="17.28515625" bestFit="1" customWidth="1"/>
    <col min="7684" max="7684" width="12.7109375" customWidth="1"/>
    <col min="7685" max="7685" width="13.7109375" customWidth="1"/>
    <col min="7686" max="7686" width="14.140625" bestFit="1" customWidth="1"/>
    <col min="7687" max="7687" width="17.28515625" bestFit="1" customWidth="1"/>
    <col min="7688" max="7688" width="16.140625" customWidth="1"/>
    <col min="7689" max="7689" width="17.5703125" bestFit="1" customWidth="1"/>
    <col min="7690" max="7690" width="16.28515625" bestFit="1" customWidth="1"/>
    <col min="7691" max="7691" width="20.5703125" bestFit="1" customWidth="1"/>
    <col min="7692" max="7692" width="16.42578125" bestFit="1" customWidth="1"/>
    <col min="7693" max="7693" width="14.28515625" customWidth="1"/>
    <col min="7694" max="7694" width="12.85546875" bestFit="1" customWidth="1"/>
    <col min="7695" max="7695" width="11.28515625" bestFit="1" customWidth="1"/>
    <col min="7696" max="7696" width="12.5703125" bestFit="1" customWidth="1"/>
    <col min="7697" max="7697" width="14" bestFit="1" customWidth="1"/>
    <col min="7698" max="7698" width="6" bestFit="1" customWidth="1"/>
    <col min="7699" max="7699" width="15" customWidth="1"/>
    <col min="7700" max="7700" width="14.85546875" bestFit="1" customWidth="1"/>
    <col min="7701" max="7701" width="16.140625" bestFit="1" customWidth="1"/>
    <col min="7929" max="7929" width="24" bestFit="1" customWidth="1"/>
    <col min="7930" max="7930" width="43.85546875" customWidth="1"/>
    <col min="7931" max="7931" width="19.85546875" bestFit="1" customWidth="1"/>
    <col min="7932" max="7932" width="14.85546875" bestFit="1" customWidth="1"/>
    <col min="7933" max="7933" width="16.85546875" bestFit="1" customWidth="1"/>
    <col min="7934" max="7934" width="13.42578125" customWidth="1"/>
    <col min="7935" max="7935" width="15.42578125" bestFit="1" customWidth="1"/>
    <col min="7936" max="7936" width="14.28515625" bestFit="1" customWidth="1"/>
    <col min="7937" max="7937" width="15.28515625" customWidth="1"/>
    <col min="7938" max="7938" width="15.85546875" customWidth="1"/>
    <col min="7939" max="7939" width="17.28515625" bestFit="1" customWidth="1"/>
    <col min="7940" max="7940" width="12.7109375" customWidth="1"/>
    <col min="7941" max="7941" width="13.7109375" customWidth="1"/>
    <col min="7942" max="7942" width="14.140625" bestFit="1" customWidth="1"/>
    <col min="7943" max="7943" width="17.28515625" bestFit="1" customWidth="1"/>
    <col min="7944" max="7944" width="16.140625" customWidth="1"/>
    <col min="7945" max="7945" width="17.5703125" bestFit="1" customWidth="1"/>
    <col min="7946" max="7946" width="16.28515625" bestFit="1" customWidth="1"/>
    <col min="7947" max="7947" width="20.5703125" bestFit="1" customWidth="1"/>
    <col min="7948" max="7948" width="16.42578125" bestFit="1" customWidth="1"/>
    <col min="7949" max="7949" width="14.28515625" customWidth="1"/>
    <col min="7950" max="7950" width="12.85546875" bestFit="1" customWidth="1"/>
    <col min="7951" max="7951" width="11.28515625" bestFit="1" customWidth="1"/>
    <col min="7952" max="7952" width="12.5703125" bestFit="1" customWidth="1"/>
    <col min="7953" max="7953" width="14" bestFit="1" customWidth="1"/>
    <col min="7954" max="7954" width="6" bestFit="1" customWidth="1"/>
    <col min="7955" max="7955" width="15" customWidth="1"/>
    <col min="7956" max="7956" width="14.85546875" bestFit="1" customWidth="1"/>
    <col min="7957" max="7957" width="16.140625" bestFit="1" customWidth="1"/>
    <col min="8185" max="8185" width="24" bestFit="1" customWidth="1"/>
    <col min="8186" max="8186" width="43.85546875" customWidth="1"/>
    <col min="8187" max="8187" width="19.85546875" bestFit="1" customWidth="1"/>
    <col min="8188" max="8188" width="14.85546875" bestFit="1" customWidth="1"/>
    <col min="8189" max="8189" width="16.85546875" bestFit="1" customWidth="1"/>
    <col min="8190" max="8190" width="13.42578125" customWidth="1"/>
    <col min="8191" max="8191" width="15.42578125" bestFit="1" customWidth="1"/>
    <col min="8192" max="8192" width="14.28515625" bestFit="1" customWidth="1"/>
    <col min="8193" max="8193" width="15.28515625" customWidth="1"/>
    <col min="8194" max="8194" width="15.85546875" customWidth="1"/>
    <col min="8195" max="8195" width="17.28515625" bestFit="1" customWidth="1"/>
    <col min="8196" max="8196" width="12.7109375" customWidth="1"/>
    <col min="8197" max="8197" width="13.7109375" customWidth="1"/>
    <col min="8198" max="8198" width="14.140625" bestFit="1" customWidth="1"/>
    <col min="8199" max="8199" width="17.28515625" bestFit="1" customWidth="1"/>
    <col min="8200" max="8200" width="16.140625" customWidth="1"/>
    <col min="8201" max="8201" width="17.5703125" bestFit="1" customWidth="1"/>
    <col min="8202" max="8202" width="16.28515625" bestFit="1" customWidth="1"/>
    <col min="8203" max="8203" width="20.5703125" bestFit="1" customWidth="1"/>
    <col min="8204" max="8204" width="16.42578125" bestFit="1" customWidth="1"/>
    <col min="8205" max="8205" width="14.28515625" customWidth="1"/>
    <col min="8206" max="8206" width="12.85546875" bestFit="1" customWidth="1"/>
    <col min="8207" max="8207" width="11.28515625" bestFit="1" customWidth="1"/>
    <col min="8208" max="8208" width="12.5703125" bestFit="1" customWidth="1"/>
    <col min="8209" max="8209" width="14" bestFit="1" customWidth="1"/>
    <col min="8210" max="8210" width="6" bestFit="1" customWidth="1"/>
    <col min="8211" max="8211" width="15" customWidth="1"/>
    <col min="8212" max="8212" width="14.85546875" bestFit="1" customWidth="1"/>
    <col min="8213" max="8213" width="16.140625" bestFit="1" customWidth="1"/>
    <col min="8441" max="8441" width="24" bestFit="1" customWidth="1"/>
    <col min="8442" max="8442" width="43.85546875" customWidth="1"/>
    <col min="8443" max="8443" width="19.85546875" bestFit="1" customWidth="1"/>
    <col min="8444" max="8444" width="14.85546875" bestFit="1" customWidth="1"/>
    <col min="8445" max="8445" width="16.85546875" bestFit="1" customWidth="1"/>
    <col min="8446" max="8446" width="13.42578125" customWidth="1"/>
    <col min="8447" max="8447" width="15.42578125" bestFit="1" customWidth="1"/>
    <col min="8448" max="8448" width="14.28515625" bestFit="1" customWidth="1"/>
    <col min="8449" max="8449" width="15.28515625" customWidth="1"/>
    <col min="8450" max="8450" width="15.85546875" customWidth="1"/>
    <col min="8451" max="8451" width="17.28515625" bestFit="1" customWidth="1"/>
    <col min="8452" max="8452" width="12.7109375" customWidth="1"/>
    <col min="8453" max="8453" width="13.7109375" customWidth="1"/>
    <col min="8454" max="8454" width="14.140625" bestFit="1" customWidth="1"/>
    <col min="8455" max="8455" width="17.28515625" bestFit="1" customWidth="1"/>
    <col min="8456" max="8456" width="16.140625" customWidth="1"/>
    <col min="8457" max="8457" width="17.5703125" bestFit="1" customWidth="1"/>
    <col min="8458" max="8458" width="16.28515625" bestFit="1" customWidth="1"/>
    <col min="8459" max="8459" width="20.5703125" bestFit="1" customWidth="1"/>
    <col min="8460" max="8460" width="16.42578125" bestFit="1" customWidth="1"/>
    <col min="8461" max="8461" width="14.28515625" customWidth="1"/>
    <col min="8462" max="8462" width="12.85546875" bestFit="1" customWidth="1"/>
    <col min="8463" max="8463" width="11.28515625" bestFit="1" customWidth="1"/>
    <col min="8464" max="8464" width="12.5703125" bestFit="1" customWidth="1"/>
    <col min="8465" max="8465" width="14" bestFit="1" customWidth="1"/>
    <col min="8466" max="8466" width="6" bestFit="1" customWidth="1"/>
    <col min="8467" max="8467" width="15" customWidth="1"/>
    <col min="8468" max="8468" width="14.85546875" bestFit="1" customWidth="1"/>
    <col min="8469" max="8469" width="16.140625" bestFit="1" customWidth="1"/>
    <col min="8697" max="8697" width="24" bestFit="1" customWidth="1"/>
    <col min="8698" max="8698" width="43.85546875" customWidth="1"/>
    <col min="8699" max="8699" width="19.85546875" bestFit="1" customWidth="1"/>
    <col min="8700" max="8700" width="14.85546875" bestFit="1" customWidth="1"/>
    <col min="8701" max="8701" width="16.85546875" bestFit="1" customWidth="1"/>
    <col min="8702" max="8702" width="13.42578125" customWidth="1"/>
    <col min="8703" max="8703" width="15.42578125" bestFit="1" customWidth="1"/>
    <col min="8704" max="8704" width="14.28515625" bestFit="1" customWidth="1"/>
    <col min="8705" max="8705" width="15.28515625" customWidth="1"/>
    <col min="8706" max="8706" width="15.85546875" customWidth="1"/>
    <col min="8707" max="8707" width="17.28515625" bestFit="1" customWidth="1"/>
    <col min="8708" max="8708" width="12.7109375" customWidth="1"/>
    <col min="8709" max="8709" width="13.7109375" customWidth="1"/>
    <col min="8710" max="8710" width="14.140625" bestFit="1" customWidth="1"/>
    <col min="8711" max="8711" width="17.28515625" bestFit="1" customWidth="1"/>
    <col min="8712" max="8712" width="16.140625" customWidth="1"/>
    <col min="8713" max="8713" width="17.5703125" bestFit="1" customWidth="1"/>
    <col min="8714" max="8714" width="16.28515625" bestFit="1" customWidth="1"/>
    <col min="8715" max="8715" width="20.5703125" bestFit="1" customWidth="1"/>
    <col min="8716" max="8716" width="16.42578125" bestFit="1" customWidth="1"/>
    <col min="8717" max="8717" width="14.28515625" customWidth="1"/>
    <col min="8718" max="8718" width="12.85546875" bestFit="1" customWidth="1"/>
    <col min="8719" max="8719" width="11.28515625" bestFit="1" customWidth="1"/>
    <col min="8720" max="8720" width="12.5703125" bestFit="1" customWidth="1"/>
    <col min="8721" max="8721" width="14" bestFit="1" customWidth="1"/>
    <col min="8722" max="8722" width="6" bestFit="1" customWidth="1"/>
    <col min="8723" max="8723" width="15" customWidth="1"/>
    <col min="8724" max="8724" width="14.85546875" bestFit="1" customWidth="1"/>
    <col min="8725" max="8725" width="16.140625" bestFit="1" customWidth="1"/>
    <col min="8953" max="8953" width="24" bestFit="1" customWidth="1"/>
    <col min="8954" max="8954" width="43.85546875" customWidth="1"/>
    <col min="8955" max="8955" width="19.85546875" bestFit="1" customWidth="1"/>
    <col min="8956" max="8956" width="14.85546875" bestFit="1" customWidth="1"/>
    <col min="8957" max="8957" width="16.85546875" bestFit="1" customWidth="1"/>
    <col min="8958" max="8958" width="13.42578125" customWidth="1"/>
    <col min="8959" max="8959" width="15.42578125" bestFit="1" customWidth="1"/>
    <col min="8960" max="8960" width="14.28515625" bestFit="1" customWidth="1"/>
    <col min="8961" max="8961" width="15.28515625" customWidth="1"/>
    <col min="8962" max="8962" width="15.85546875" customWidth="1"/>
    <col min="8963" max="8963" width="17.28515625" bestFit="1" customWidth="1"/>
    <col min="8964" max="8964" width="12.7109375" customWidth="1"/>
    <col min="8965" max="8965" width="13.7109375" customWidth="1"/>
    <col min="8966" max="8966" width="14.140625" bestFit="1" customWidth="1"/>
    <col min="8967" max="8967" width="17.28515625" bestFit="1" customWidth="1"/>
    <col min="8968" max="8968" width="16.140625" customWidth="1"/>
    <col min="8969" max="8969" width="17.5703125" bestFit="1" customWidth="1"/>
    <col min="8970" max="8970" width="16.28515625" bestFit="1" customWidth="1"/>
    <col min="8971" max="8971" width="20.5703125" bestFit="1" customWidth="1"/>
    <col min="8972" max="8972" width="16.42578125" bestFit="1" customWidth="1"/>
    <col min="8973" max="8973" width="14.28515625" customWidth="1"/>
    <col min="8974" max="8974" width="12.85546875" bestFit="1" customWidth="1"/>
    <col min="8975" max="8975" width="11.28515625" bestFit="1" customWidth="1"/>
    <col min="8976" max="8976" width="12.5703125" bestFit="1" customWidth="1"/>
    <col min="8977" max="8977" width="14" bestFit="1" customWidth="1"/>
    <col min="8978" max="8978" width="6" bestFit="1" customWidth="1"/>
    <col min="8979" max="8979" width="15" customWidth="1"/>
    <col min="8980" max="8980" width="14.85546875" bestFit="1" customWidth="1"/>
    <col min="8981" max="8981" width="16.140625" bestFit="1" customWidth="1"/>
    <col min="9209" max="9209" width="24" bestFit="1" customWidth="1"/>
    <col min="9210" max="9210" width="43.85546875" customWidth="1"/>
    <col min="9211" max="9211" width="19.85546875" bestFit="1" customWidth="1"/>
    <col min="9212" max="9212" width="14.85546875" bestFit="1" customWidth="1"/>
    <col min="9213" max="9213" width="16.85546875" bestFit="1" customWidth="1"/>
    <col min="9214" max="9214" width="13.42578125" customWidth="1"/>
    <col min="9215" max="9215" width="15.42578125" bestFit="1" customWidth="1"/>
    <col min="9216" max="9216" width="14.28515625" bestFit="1" customWidth="1"/>
    <col min="9217" max="9217" width="15.28515625" customWidth="1"/>
    <col min="9218" max="9218" width="15.85546875" customWidth="1"/>
    <col min="9219" max="9219" width="17.28515625" bestFit="1" customWidth="1"/>
    <col min="9220" max="9220" width="12.7109375" customWidth="1"/>
    <col min="9221" max="9221" width="13.7109375" customWidth="1"/>
    <col min="9222" max="9222" width="14.140625" bestFit="1" customWidth="1"/>
    <col min="9223" max="9223" width="17.28515625" bestFit="1" customWidth="1"/>
    <col min="9224" max="9224" width="16.140625" customWidth="1"/>
    <col min="9225" max="9225" width="17.5703125" bestFit="1" customWidth="1"/>
    <col min="9226" max="9226" width="16.28515625" bestFit="1" customWidth="1"/>
    <col min="9227" max="9227" width="20.5703125" bestFit="1" customWidth="1"/>
    <col min="9228" max="9228" width="16.42578125" bestFit="1" customWidth="1"/>
    <col min="9229" max="9229" width="14.28515625" customWidth="1"/>
    <col min="9230" max="9230" width="12.85546875" bestFit="1" customWidth="1"/>
    <col min="9231" max="9231" width="11.28515625" bestFit="1" customWidth="1"/>
    <col min="9232" max="9232" width="12.5703125" bestFit="1" customWidth="1"/>
    <col min="9233" max="9233" width="14" bestFit="1" customWidth="1"/>
    <col min="9234" max="9234" width="6" bestFit="1" customWidth="1"/>
    <col min="9235" max="9235" width="15" customWidth="1"/>
    <col min="9236" max="9236" width="14.85546875" bestFit="1" customWidth="1"/>
    <col min="9237" max="9237" width="16.140625" bestFit="1" customWidth="1"/>
    <col min="9465" max="9465" width="24" bestFit="1" customWidth="1"/>
    <col min="9466" max="9466" width="43.85546875" customWidth="1"/>
    <col min="9467" max="9467" width="19.85546875" bestFit="1" customWidth="1"/>
    <col min="9468" max="9468" width="14.85546875" bestFit="1" customWidth="1"/>
    <col min="9469" max="9469" width="16.85546875" bestFit="1" customWidth="1"/>
    <col min="9470" max="9470" width="13.42578125" customWidth="1"/>
    <col min="9471" max="9471" width="15.42578125" bestFit="1" customWidth="1"/>
    <col min="9472" max="9472" width="14.28515625" bestFit="1" customWidth="1"/>
    <col min="9473" max="9473" width="15.28515625" customWidth="1"/>
    <col min="9474" max="9474" width="15.85546875" customWidth="1"/>
    <col min="9475" max="9475" width="17.28515625" bestFit="1" customWidth="1"/>
    <col min="9476" max="9476" width="12.7109375" customWidth="1"/>
    <col min="9477" max="9477" width="13.7109375" customWidth="1"/>
    <col min="9478" max="9478" width="14.140625" bestFit="1" customWidth="1"/>
    <col min="9479" max="9479" width="17.28515625" bestFit="1" customWidth="1"/>
    <col min="9480" max="9480" width="16.140625" customWidth="1"/>
    <col min="9481" max="9481" width="17.5703125" bestFit="1" customWidth="1"/>
    <col min="9482" max="9482" width="16.28515625" bestFit="1" customWidth="1"/>
    <col min="9483" max="9483" width="20.5703125" bestFit="1" customWidth="1"/>
    <col min="9484" max="9484" width="16.42578125" bestFit="1" customWidth="1"/>
    <col min="9485" max="9485" width="14.28515625" customWidth="1"/>
    <col min="9486" max="9486" width="12.85546875" bestFit="1" customWidth="1"/>
    <col min="9487" max="9487" width="11.28515625" bestFit="1" customWidth="1"/>
    <col min="9488" max="9488" width="12.5703125" bestFit="1" customWidth="1"/>
    <col min="9489" max="9489" width="14" bestFit="1" customWidth="1"/>
    <col min="9490" max="9490" width="6" bestFit="1" customWidth="1"/>
    <col min="9491" max="9491" width="15" customWidth="1"/>
    <col min="9492" max="9492" width="14.85546875" bestFit="1" customWidth="1"/>
    <col min="9493" max="9493" width="16.140625" bestFit="1" customWidth="1"/>
    <col min="9721" max="9721" width="24" bestFit="1" customWidth="1"/>
    <col min="9722" max="9722" width="43.85546875" customWidth="1"/>
    <col min="9723" max="9723" width="19.85546875" bestFit="1" customWidth="1"/>
    <col min="9724" max="9724" width="14.85546875" bestFit="1" customWidth="1"/>
    <col min="9725" max="9725" width="16.85546875" bestFit="1" customWidth="1"/>
    <col min="9726" max="9726" width="13.42578125" customWidth="1"/>
    <col min="9727" max="9727" width="15.42578125" bestFit="1" customWidth="1"/>
    <col min="9728" max="9728" width="14.28515625" bestFit="1" customWidth="1"/>
    <col min="9729" max="9729" width="15.28515625" customWidth="1"/>
    <col min="9730" max="9730" width="15.85546875" customWidth="1"/>
    <col min="9731" max="9731" width="17.28515625" bestFit="1" customWidth="1"/>
    <col min="9732" max="9732" width="12.7109375" customWidth="1"/>
    <col min="9733" max="9733" width="13.7109375" customWidth="1"/>
    <col min="9734" max="9734" width="14.140625" bestFit="1" customWidth="1"/>
    <col min="9735" max="9735" width="17.28515625" bestFit="1" customWidth="1"/>
    <col min="9736" max="9736" width="16.140625" customWidth="1"/>
    <col min="9737" max="9737" width="17.5703125" bestFit="1" customWidth="1"/>
    <col min="9738" max="9738" width="16.28515625" bestFit="1" customWidth="1"/>
    <col min="9739" max="9739" width="20.5703125" bestFit="1" customWidth="1"/>
    <col min="9740" max="9740" width="16.42578125" bestFit="1" customWidth="1"/>
    <col min="9741" max="9741" width="14.28515625" customWidth="1"/>
    <col min="9742" max="9742" width="12.85546875" bestFit="1" customWidth="1"/>
    <col min="9743" max="9743" width="11.28515625" bestFit="1" customWidth="1"/>
    <col min="9744" max="9744" width="12.5703125" bestFit="1" customWidth="1"/>
    <col min="9745" max="9745" width="14" bestFit="1" customWidth="1"/>
    <col min="9746" max="9746" width="6" bestFit="1" customWidth="1"/>
    <col min="9747" max="9747" width="15" customWidth="1"/>
    <col min="9748" max="9748" width="14.85546875" bestFit="1" customWidth="1"/>
    <col min="9749" max="9749" width="16.140625" bestFit="1" customWidth="1"/>
    <col min="9977" max="9977" width="24" bestFit="1" customWidth="1"/>
    <col min="9978" max="9978" width="43.85546875" customWidth="1"/>
    <col min="9979" max="9979" width="19.85546875" bestFit="1" customWidth="1"/>
    <col min="9980" max="9980" width="14.85546875" bestFit="1" customWidth="1"/>
    <col min="9981" max="9981" width="16.85546875" bestFit="1" customWidth="1"/>
    <col min="9982" max="9982" width="13.42578125" customWidth="1"/>
    <col min="9983" max="9983" width="15.42578125" bestFit="1" customWidth="1"/>
    <col min="9984" max="9984" width="14.28515625" bestFit="1" customWidth="1"/>
    <col min="9985" max="9985" width="15.28515625" customWidth="1"/>
    <col min="9986" max="9986" width="15.85546875" customWidth="1"/>
    <col min="9987" max="9987" width="17.28515625" bestFit="1" customWidth="1"/>
    <col min="9988" max="9988" width="12.7109375" customWidth="1"/>
    <col min="9989" max="9989" width="13.7109375" customWidth="1"/>
    <col min="9990" max="9990" width="14.140625" bestFit="1" customWidth="1"/>
    <col min="9991" max="9991" width="17.28515625" bestFit="1" customWidth="1"/>
    <col min="9992" max="9992" width="16.140625" customWidth="1"/>
    <col min="9993" max="9993" width="17.5703125" bestFit="1" customWidth="1"/>
    <col min="9994" max="9994" width="16.28515625" bestFit="1" customWidth="1"/>
    <col min="9995" max="9995" width="20.5703125" bestFit="1" customWidth="1"/>
    <col min="9996" max="9996" width="16.42578125" bestFit="1" customWidth="1"/>
    <col min="9997" max="9997" width="14.28515625" customWidth="1"/>
    <col min="9998" max="9998" width="12.85546875" bestFit="1" customWidth="1"/>
    <col min="9999" max="9999" width="11.28515625" bestFit="1" customWidth="1"/>
    <col min="10000" max="10000" width="12.5703125" bestFit="1" customWidth="1"/>
    <col min="10001" max="10001" width="14" bestFit="1" customWidth="1"/>
    <col min="10002" max="10002" width="6" bestFit="1" customWidth="1"/>
    <col min="10003" max="10003" width="15" customWidth="1"/>
    <col min="10004" max="10004" width="14.85546875" bestFit="1" customWidth="1"/>
    <col min="10005" max="10005" width="16.140625" bestFit="1" customWidth="1"/>
    <col min="10233" max="10233" width="24" bestFit="1" customWidth="1"/>
    <col min="10234" max="10234" width="43.85546875" customWidth="1"/>
    <col min="10235" max="10235" width="19.85546875" bestFit="1" customWidth="1"/>
    <col min="10236" max="10236" width="14.85546875" bestFit="1" customWidth="1"/>
    <col min="10237" max="10237" width="16.85546875" bestFit="1" customWidth="1"/>
    <col min="10238" max="10238" width="13.42578125" customWidth="1"/>
    <col min="10239" max="10239" width="15.42578125" bestFit="1" customWidth="1"/>
    <col min="10240" max="10240" width="14.28515625" bestFit="1" customWidth="1"/>
    <col min="10241" max="10241" width="15.28515625" customWidth="1"/>
    <col min="10242" max="10242" width="15.85546875" customWidth="1"/>
    <col min="10243" max="10243" width="17.28515625" bestFit="1" customWidth="1"/>
    <col min="10244" max="10244" width="12.7109375" customWidth="1"/>
    <col min="10245" max="10245" width="13.7109375" customWidth="1"/>
    <col min="10246" max="10246" width="14.140625" bestFit="1" customWidth="1"/>
    <col min="10247" max="10247" width="17.28515625" bestFit="1" customWidth="1"/>
    <col min="10248" max="10248" width="16.140625" customWidth="1"/>
    <col min="10249" max="10249" width="17.5703125" bestFit="1" customWidth="1"/>
    <col min="10250" max="10250" width="16.28515625" bestFit="1" customWidth="1"/>
    <col min="10251" max="10251" width="20.5703125" bestFit="1" customWidth="1"/>
    <col min="10252" max="10252" width="16.42578125" bestFit="1" customWidth="1"/>
    <col min="10253" max="10253" width="14.28515625" customWidth="1"/>
    <col min="10254" max="10254" width="12.85546875" bestFit="1" customWidth="1"/>
    <col min="10255" max="10255" width="11.28515625" bestFit="1" customWidth="1"/>
    <col min="10256" max="10256" width="12.5703125" bestFit="1" customWidth="1"/>
    <col min="10257" max="10257" width="14" bestFit="1" customWidth="1"/>
    <col min="10258" max="10258" width="6" bestFit="1" customWidth="1"/>
    <col min="10259" max="10259" width="15" customWidth="1"/>
    <col min="10260" max="10260" width="14.85546875" bestFit="1" customWidth="1"/>
    <col min="10261" max="10261" width="16.140625" bestFit="1" customWidth="1"/>
    <col min="10489" max="10489" width="24" bestFit="1" customWidth="1"/>
    <col min="10490" max="10490" width="43.85546875" customWidth="1"/>
    <col min="10491" max="10491" width="19.85546875" bestFit="1" customWidth="1"/>
    <col min="10492" max="10492" width="14.85546875" bestFit="1" customWidth="1"/>
    <col min="10493" max="10493" width="16.85546875" bestFit="1" customWidth="1"/>
    <col min="10494" max="10494" width="13.42578125" customWidth="1"/>
    <col min="10495" max="10495" width="15.42578125" bestFit="1" customWidth="1"/>
    <col min="10496" max="10496" width="14.28515625" bestFit="1" customWidth="1"/>
    <col min="10497" max="10497" width="15.28515625" customWidth="1"/>
    <col min="10498" max="10498" width="15.85546875" customWidth="1"/>
    <col min="10499" max="10499" width="17.28515625" bestFit="1" customWidth="1"/>
    <col min="10500" max="10500" width="12.7109375" customWidth="1"/>
    <col min="10501" max="10501" width="13.7109375" customWidth="1"/>
    <col min="10502" max="10502" width="14.140625" bestFit="1" customWidth="1"/>
    <col min="10503" max="10503" width="17.28515625" bestFit="1" customWidth="1"/>
    <col min="10504" max="10504" width="16.140625" customWidth="1"/>
    <col min="10505" max="10505" width="17.5703125" bestFit="1" customWidth="1"/>
    <col min="10506" max="10506" width="16.28515625" bestFit="1" customWidth="1"/>
    <col min="10507" max="10507" width="20.5703125" bestFit="1" customWidth="1"/>
    <col min="10508" max="10508" width="16.42578125" bestFit="1" customWidth="1"/>
    <col min="10509" max="10509" width="14.28515625" customWidth="1"/>
    <col min="10510" max="10510" width="12.85546875" bestFit="1" customWidth="1"/>
    <col min="10511" max="10511" width="11.28515625" bestFit="1" customWidth="1"/>
    <col min="10512" max="10512" width="12.5703125" bestFit="1" customWidth="1"/>
    <col min="10513" max="10513" width="14" bestFit="1" customWidth="1"/>
    <col min="10514" max="10514" width="6" bestFit="1" customWidth="1"/>
    <col min="10515" max="10515" width="15" customWidth="1"/>
    <col min="10516" max="10516" width="14.85546875" bestFit="1" customWidth="1"/>
    <col min="10517" max="10517" width="16.140625" bestFit="1" customWidth="1"/>
    <col min="10745" max="10745" width="24" bestFit="1" customWidth="1"/>
    <col min="10746" max="10746" width="43.85546875" customWidth="1"/>
    <col min="10747" max="10747" width="19.85546875" bestFit="1" customWidth="1"/>
    <col min="10748" max="10748" width="14.85546875" bestFit="1" customWidth="1"/>
    <col min="10749" max="10749" width="16.85546875" bestFit="1" customWidth="1"/>
    <col min="10750" max="10750" width="13.42578125" customWidth="1"/>
    <col min="10751" max="10751" width="15.42578125" bestFit="1" customWidth="1"/>
    <col min="10752" max="10752" width="14.28515625" bestFit="1" customWidth="1"/>
    <col min="10753" max="10753" width="15.28515625" customWidth="1"/>
    <col min="10754" max="10754" width="15.85546875" customWidth="1"/>
    <col min="10755" max="10755" width="17.28515625" bestFit="1" customWidth="1"/>
    <col min="10756" max="10756" width="12.7109375" customWidth="1"/>
    <col min="10757" max="10757" width="13.7109375" customWidth="1"/>
    <col min="10758" max="10758" width="14.140625" bestFit="1" customWidth="1"/>
    <col min="10759" max="10759" width="17.28515625" bestFit="1" customWidth="1"/>
    <col min="10760" max="10760" width="16.140625" customWidth="1"/>
    <col min="10761" max="10761" width="17.5703125" bestFit="1" customWidth="1"/>
    <col min="10762" max="10762" width="16.28515625" bestFit="1" customWidth="1"/>
    <col min="10763" max="10763" width="20.5703125" bestFit="1" customWidth="1"/>
    <col min="10764" max="10764" width="16.42578125" bestFit="1" customWidth="1"/>
    <col min="10765" max="10765" width="14.28515625" customWidth="1"/>
    <col min="10766" max="10766" width="12.85546875" bestFit="1" customWidth="1"/>
    <col min="10767" max="10767" width="11.28515625" bestFit="1" customWidth="1"/>
    <col min="10768" max="10768" width="12.5703125" bestFit="1" customWidth="1"/>
    <col min="10769" max="10769" width="14" bestFit="1" customWidth="1"/>
    <col min="10770" max="10770" width="6" bestFit="1" customWidth="1"/>
    <col min="10771" max="10771" width="15" customWidth="1"/>
    <col min="10772" max="10772" width="14.85546875" bestFit="1" customWidth="1"/>
    <col min="10773" max="10773" width="16.140625" bestFit="1" customWidth="1"/>
    <col min="11001" max="11001" width="24" bestFit="1" customWidth="1"/>
    <col min="11002" max="11002" width="43.85546875" customWidth="1"/>
    <col min="11003" max="11003" width="19.85546875" bestFit="1" customWidth="1"/>
    <col min="11004" max="11004" width="14.85546875" bestFit="1" customWidth="1"/>
    <col min="11005" max="11005" width="16.85546875" bestFit="1" customWidth="1"/>
    <col min="11006" max="11006" width="13.42578125" customWidth="1"/>
    <col min="11007" max="11007" width="15.42578125" bestFit="1" customWidth="1"/>
    <col min="11008" max="11008" width="14.28515625" bestFit="1" customWidth="1"/>
    <col min="11009" max="11009" width="15.28515625" customWidth="1"/>
    <col min="11010" max="11010" width="15.85546875" customWidth="1"/>
    <col min="11011" max="11011" width="17.28515625" bestFit="1" customWidth="1"/>
    <col min="11012" max="11012" width="12.7109375" customWidth="1"/>
    <col min="11013" max="11013" width="13.7109375" customWidth="1"/>
    <col min="11014" max="11014" width="14.140625" bestFit="1" customWidth="1"/>
    <col min="11015" max="11015" width="17.28515625" bestFit="1" customWidth="1"/>
    <col min="11016" max="11016" width="16.140625" customWidth="1"/>
    <col min="11017" max="11017" width="17.5703125" bestFit="1" customWidth="1"/>
    <col min="11018" max="11018" width="16.28515625" bestFit="1" customWidth="1"/>
    <col min="11019" max="11019" width="20.5703125" bestFit="1" customWidth="1"/>
    <col min="11020" max="11020" width="16.42578125" bestFit="1" customWidth="1"/>
    <col min="11021" max="11021" width="14.28515625" customWidth="1"/>
    <col min="11022" max="11022" width="12.85546875" bestFit="1" customWidth="1"/>
    <col min="11023" max="11023" width="11.28515625" bestFit="1" customWidth="1"/>
    <col min="11024" max="11024" width="12.5703125" bestFit="1" customWidth="1"/>
    <col min="11025" max="11025" width="14" bestFit="1" customWidth="1"/>
    <col min="11026" max="11026" width="6" bestFit="1" customWidth="1"/>
    <col min="11027" max="11027" width="15" customWidth="1"/>
    <col min="11028" max="11028" width="14.85546875" bestFit="1" customWidth="1"/>
    <col min="11029" max="11029" width="16.140625" bestFit="1" customWidth="1"/>
    <col min="11257" max="11257" width="24" bestFit="1" customWidth="1"/>
    <col min="11258" max="11258" width="43.85546875" customWidth="1"/>
    <col min="11259" max="11259" width="19.85546875" bestFit="1" customWidth="1"/>
    <col min="11260" max="11260" width="14.85546875" bestFit="1" customWidth="1"/>
    <col min="11261" max="11261" width="16.85546875" bestFit="1" customWidth="1"/>
    <col min="11262" max="11262" width="13.42578125" customWidth="1"/>
    <col min="11263" max="11263" width="15.42578125" bestFit="1" customWidth="1"/>
    <col min="11264" max="11264" width="14.28515625" bestFit="1" customWidth="1"/>
    <col min="11265" max="11265" width="15.28515625" customWidth="1"/>
    <col min="11266" max="11266" width="15.85546875" customWidth="1"/>
    <col min="11267" max="11267" width="17.28515625" bestFit="1" customWidth="1"/>
    <col min="11268" max="11268" width="12.7109375" customWidth="1"/>
    <col min="11269" max="11269" width="13.7109375" customWidth="1"/>
    <col min="11270" max="11270" width="14.140625" bestFit="1" customWidth="1"/>
    <col min="11271" max="11271" width="17.28515625" bestFit="1" customWidth="1"/>
    <col min="11272" max="11272" width="16.140625" customWidth="1"/>
    <col min="11273" max="11273" width="17.5703125" bestFit="1" customWidth="1"/>
    <col min="11274" max="11274" width="16.28515625" bestFit="1" customWidth="1"/>
    <col min="11275" max="11275" width="20.5703125" bestFit="1" customWidth="1"/>
    <col min="11276" max="11276" width="16.42578125" bestFit="1" customWidth="1"/>
    <col min="11277" max="11277" width="14.28515625" customWidth="1"/>
    <col min="11278" max="11278" width="12.85546875" bestFit="1" customWidth="1"/>
    <col min="11279" max="11279" width="11.28515625" bestFit="1" customWidth="1"/>
    <col min="11280" max="11280" width="12.5703125" bestFit="1" customWidth="1"/>
    <col min="11281" max="11281" width="14" bestFit="1" customWidth="1"/>
    <col min="11282" max="11282" width="6" bestFit="1" customWidth="1"/>
    <col min="11283" max="11283" width="15" customWidth="1"/>
    <col min="11284" max="11284" width="14.85546875" bestFit="1" customWidth="1"/>
    <col min="11285" max="11285" width="16.140625" bestFit="1" customWidth="1"/>
    <col min="11513" max="11513" width="24" bestFit="1" customWidth="1"/>
    <col min="11514" max="11514" width="43.85546875" customWidth="1"/>
    <col min="11515" max="11515" width="19.85546875" bestFit="1" customWidth="1"/>
    <col min="11516" max="11516" width="14.85546875" bestFit="1" customWidth="1"/>
    <col min="11517" max="11517" width="16.85546875" bestFit="1" customWidth="1"/>
    <col min="11518" max="11518" width="13.42578125" customWidth="1"/>
    <col min="11519" max="11519" width="15.42578125" bestFit="1" customWidth="1"/>
    <col min="11520" max="11520" width="14.28515625" bestFit="1" customWidth="1"/>
    <col min="11521" max="11521" width="15.28515625" customWidth="1"/>
    <col min="11522" max="11522" width="15.85546875" customWidth="1"/>
    <col min="11523" max="11523" width="17.28515625" bestFit="1" customWidth="1"/>
    <col min="11524" max="11524" width="12.7109375" customWidth="1"/>
    <col min="11525" max="11525" width="13.7109375" customWidth="1"/>
    <col min="11526" max="11526" width="14.140625" bestFit="1" customWidth="1"/>
    <col min="11527" max="11527" width="17.28515625" bestFit="1" customWidth="1"/>
    <col min="11528" max="11528" width="16.140625" customWidth="1"/>
    <col min="11529" max="11529" width="17.5703125" bestFit="1" customWidth="1"/>
    <col min="11530" max="11530" width="16.28515625" bestFit="1" customWidth="1"/>
    <col min="11531" max="11531" width="20.5703125" bestFit="1" customWidth="1"/>
    <col min="11532" max="11532" width="16.42578125" bestFit="1" customWidth="1"/>
    <col min="11533" max="11533" width="14.28515625" customWidth="1"/>
    <col min="11534" max="11534" width="12.85546875" bestFit="1" customWidth="1"/>
    <col min="11535" max="11535" width="11.28515625" bestFit="1" customWidth="1"/>
    <col min="11536" max="11536" width="12.5703125" bestFit="1" customWidth="1"/>
    <col min="11537" max="11537" width="14" bestFit="1" customWidth="1"/>
    <col min="11538" max="11538" width="6" bestFit="1" customWidth="1"/>
    <col min="11539" max="11539" width="15" customWidth="1"/>
    <col min="11540" max="11540" width="14.85546875" bestFit="1" customWidth="1"/>
    <col min="11541" max="11541" width="16.140625" bestFit="1" customWidth="1"/>
    <col min="11769" max="11769" width="24" bestFit="1" customWidth="1"/>
    <col min="11770" max="11770" width="43.85546875" customWidth="1"/>
    <col min="11771" max="11771" width="19.85546875" bestFit="1" customWidth="1"/>
    <col min="11772" max="11772" width="14.85546875" bestFit="1" customWidth="1"/>
    <col min="11773" max="11773" width="16.85546875" bestFit="1" customWidth="1"/>
    <col min="11774" max="11774" width="13.42578125" customWidth="1"/>
    <col min="11775" max="11775" width="15.42578125" bestFit="1" customWidth="1"/>
    <col min="11776" max="11776" width="14.28515625" bestFit="1" customWidth="1"/>
    <col min="11777" max="11777" width="15.28515625" customWidth="1"/>
    <col min="11778" max="11778" width="15.85546875" customWidth="1"/>
    <col min="11779" max="11779" width="17.28515625" bestFit="1" customWidth="1"/>
    <col min="11780" max="11780" width="12.7109375" customWidth="1"/>
    <col min="11781" max="11781" width="13.7109375" customWidth="1"/>
    <col min="11782" max="11782" width="14.140625" bestFit="1" customWidth="1"/>
    <col min="11783" max="11783" width="17.28515625" bestFit="1" customWidth="1"/>
    <col min="11784" max="11784" width="16.140625" customWidth="1"/>
    <col min="11785" max="11785" width="17.5703125" bestFit="1" customWidth="1"/>
    <col min="11786" max="11786" width="16.28515625" bestFit="1" customWidth="1"/>
    <col min="11787" max="11787" width="20.5703125" bestFit="1" customWidth="1"/>
    <col min="11788" max="11788" width="16.42578125" bestFit="1" customWidth="1"/>
    <col min="11789" max="11789" width="14.28515625" customWidth="1"/>
    <col min="11790" max="11790" width="12.85546875" bestFit="1" customWidth="1"/>
    <col min="11791" max="11791" width="11.28515625" bestFit="1" customWidth="1"/>
    <col min="11792" max="11792" width="12.5703125" bestFit="1" customWidth="1"/>
    <col min="11793" max="11793" width="14" bestFit="1" customWidth="1"/>
    <col min="11794" max="11794" width="6" bestFit="1" customWidth="1"/>
    <col min="11795" max="11795" width="15" customWidth="1"/>
    <col min="11796" max="11796" width="14.85546875" bestFit="1" customWidth="1"/>
    <col min="11797" max="11797" width="16.140625" bestFit="1" customWidth="1"/>
    <col min="12025" max="12025" width="24" bestFit="1" customWidth="1"/>
    <col min="12026" max="12026" width="43.85546875" customWidth="1"/>
    <col min="12027" max="12027" width="19.85546875" bestFit="1" customWidth="1"/>
    <col min="12028" max="12028" width="14.85546875" bestFit="1" customWidth="1"/>
    <col min="12029" max="12029" width="16.85546875" bestFit="1" customWidth="1"/>
    <col min="12030" max="12030" width="13.42578125" customWidth="1"/>
    <col min="12031" max="12031" width="15.42578125" bestFit="1" customWidth="1"/>
    <col min="12032" max="12032" width="14.28515625" bestFit="1" customWidth="1"/>
    <col min="12033" max="12033" width="15.28515625" customWidth="1"/>
    <col min="12034" max="12034" width="15.85546875" customWidth="1"/>
    <col min="12035" max="12035" width="17.28515625" bestFit="1" customWidth="1"/>
    <col min="12036" max="12036" width="12.7109375" customWidth="1"/>
    <col min="12037" max="12037" width="13.7109375" customWidth="1"/>
    <col min="12038" max="12038" width="14.140625" bestFit="1" customWidth="1"/>
    <col min="12039" max="12039" width="17.28515625" bestFit="1" customWidth="1"/>
    <col min="12040" max="12040" width="16.140625" customWidth="1"/>
    <col min="12041" max="12041" width="17.5703125" bestFit="1" customWidth="1"/>
    <col min="12042" max="12042" width="16.28515625" bestFit="1" customWidth="1"/>
    <col min="12043" max="12043" width="20.5703125" bestFit="1" customWidth="1"/>
    <col min="12044" max="12044" width="16.42578125" bestFit="1" customWidth="1"/>
    <col min="12045" max="12045" width="14.28515625" customWidth="1"/>
    <col min="12046" max="12046" width="12.85546875" bestFit="1" customWidth="1"/>
    <col min="12047" max="12047" width="11.28515625" bestFit="1" customWidth="1"/>
    <col min="12048" max="12048" width="12.5703125" bestFit="1" customWidth="1"/>
    <col min="12049" max="12049" width="14" bestFit="1" customWidth="1"/>
    <col min="12050" max="12050" width="6" bestFit="1" customWidth="1"/>
    <col min="12051" max="12051" width="15" customWidth="1"/>
    <col min="12052" max="12052" width="14.85546875" bestFit="1" customWidth="1"/>
    <col min="12053" max="12053" width="16.140625" bestFit="1" customWidth="1"/>
    <col min="12281" max="12281" width="24" bestFit="1" customWidth="1"/>
    <col min="12282" max="12282" width="43.85546875" customWidth="1"/>
    <col min="12283" max="12283" width="19.85546875" bestFit="1" customWidth="1"/>
    <col min="12284" max="12284" width="14.85546875" bestFit="1" customWidth="1"/>
    <col min="12285" max="12285" width="16.85546875" bestFit="1" customWidth="1"/>
    <col min="12286" max="12286" width="13.42578125" customWidth="1"/>
    <col min="12287" max="12287" width="15.42578125" bestFit="1" customWidth="1"/>
    <col min="12288" max="12288" width="14.28515625" bestFit="1" customWidth="1"/>
    <col min="12289" max="12289" width="15.28515625" customWidth="1"/>
    <col min="12290" max="12290" width="15.85546875" customWidth="1"/>
    <col min="12291" max="12291" width="17.28515625" bestFit="1" customWidth="1"/>
    <col min="12292" max="12292" width="12.7109375" customWidth="1"/>
    <col min="12293" max="12293" width="13.7109375" customWidth="1"/>
    <col min="12294" max="12294" width="14.140625" bestFit="1" customWidth="1"/>
    <col min="12295" max="12295" width="17.28515625" bestFit="1" customWidth="1"/>
    <col min="12296" max="12296" width="16.140625" customWidth="1"/>
    <col min="12297" max="12297" width="17.5703125" bestFit="1" customWidth="1"/>
    <col min="12298" max="12298" width="16.28515625" bestFit="1" customWidth="1"/>
    <col min="12299" max="12299" width="20.5703125" bestFit="1" customWidth="1"/>
    <col min="12300" max="12300" width="16.42578125" bestFit="1" customWidth="1"/>
    <col min="12301" max="12301" width="14.28515625" customWidth="1"/>
    <col min="12302" max="12302" width="12.85546875" bestFit="1" customWidth="1"/>
    <col min="12303" max="12303" width="11.28515625" bestFit="1" customWidth="1"/>
    <col min="12304" max="12304" width="12.5703125" bestFit="1" customWidth="1"/>
    <col min="12305" max="12305" width="14" bestFit="1" customWidth="1"/>
    <col min="12306" max="12306" width="6" bestFit="1" customWidth="1"/>
    <col min="12307" max="12307" width="15" customWidth="1"/>
    <col min="12308" max="12308" width="14.85546875" bestFit="1" customWidth="1"/>
    <col min="12309" max="12309" width="16.140625" bestFit="1" customWidth="1"/>
    <col min="12537" max="12537" width="24" bestFit="1" customWidth="1"/>
    <col min="12538" max="12538" width="43.85546875" customWidth="1"/>
    <col min="12539" max="12539" width="19.85546875" bestFit="1" customWidth="1"/>
    <col min="12540" max="12540" width="14.85546875" bestFit="1" customWidth="1"/>
    <col min="12541" max="12541" width="16.85546875" bestFit="1" customWidth="1"/>
    <col min="12542" max="12542" width="13.42578125" customWidth="1"/>
    <col min="12543" max="12543" width="15.42578125" bestFit="1" customWidth="1"/>
    <col min="12544" max="12544" width="14.28515625" bestFit="1" customWidth="1"/>
    <col min="12545" max="12545" width="15.28515625" customWidth="1"/>
    <col min="12546" max="12546" width="15.85546875" customWidth="1"/>
    <col min="12547" max="12547" width="17.28515625" bestFit="1" customWidth="1"/>
    <col min="12548" max="12548" width="12.7109375" customWidth="1"/>
    <col min="12549" max="12549" width="13.7109375" customWidth="1"/>
    <col min="12550" max="12550" width="14.140625" bestFit="1" customWidth="1"/>
    <col min="12551" max="12551" width="17.28515625" bestFit="1" customWidth="1"/>
    <col min="12552" max="12552" width="16.140625" customWidth="1"/>
    <col min="12553" max="12553" width="17.5703125" bestFit="1" customWidth="1"/>
    <col min="12554" max="12554" width="16.28515625" bestFit="1" customWidth="1"/>
    <col min="12555" max="12555" width="20.5703125" bestFit="1" customWidth="1"/>
    <col min="12556" max="12556" width="16.42578125" bestFit="1" customWidth="1"/>
    <col min="12557" max="12557" width="14.28515625" customWidth="1"/>
    <col min="12558" max="12558" width="12.85546875" bestFit="1" customWidth="1"/>
    <col min="12559" max="12559" width="11.28515625" bestFit="1" customWidth="1"/>
    <col min="12560" max="12560" width="12.5703125" bestFit="1" customWidth="1"/>
    <col min="12561" max="12561" width="14" bestFit="1" customWidth="1"/>
    <col min="12562" max="12562" width="6" bestFit="1" customWidth="1"/>
    <col min="12563" max="12563" width="15" customWidth="1"/>
    <col min="12564" max="12564" width="14.85546875" bestFit="1" customWidth="1"/>
    <col min="12565" max="12565" width="16.140625" bestFit="1" customWidth="1"/>
    <col min="12793" max="12793" width="24" bestFit="1" customWidth="1"/>
    <col min="12794" max="12794" width="43.85546875" customWidth="1"/>
    <col min="12795" max="12795" width="19.85546875" bestFit="1" customWidth="1"/>
    <col min="12796" max="12796" width="14.85546875" bestFit="1" customWidth="1"/>
    <col min="12797" max="12797" width="16.85546875" bestFit="1" customWidth="1"/>
    <col min="12798" max="12798" width="13.42578125" customWidth="1"/>
    <col min="12799" max="12799" width="15.42578125" bestFit="1" customWidth="1"/>
    <col min="12800" max="12800" width="14.28515625" bestFit="1" customWidth="1"/>
    <col min="12801" max="12801" width="15.28515625" customWidth="1"/>
    <col min="12802" max="12802" width="15.85546875" customWidth="1"/>
    <col min="12803" max="12803" width="17.28515625" bestFit="1" customWidth="1"/>
    <col min="12804" max="12804" width="12.7109375" customWidth="1"/>
    <col min="12805" max="12805" width="13.7109375" customWidth="1"/>
    <col min="12806" max="12806" width="14.140625" bestFit="1" customWidth="1"/>
    <col min="12807" max="12807" width="17.28515625" bestFit="1" customWidth="1"/>
    <col min="12808" max="12808" width="16.140625" customWidth="1"/>
    <col min="12809" max="12809" width="17.5703125" bestFit="1" customWidth="1"/>
    <col min="12810" max="12810" width="16.28515625" bestFit="1" customWidth="1"/>
    <col min="12811" max="12811" width="20.5703125" bestFit="1" customWidth="1"/>
    <col min="12812" max="12812" width="16.42578125" bestFit="1" customWidth="1"/>
    <col min="12813" max="12813" width="14.28515625" customWidth="1"/>
    <col min="12814" max="12814" width="12.85546875" bestFit="1" customWidth="1"/>
    <col min="12815" max="12815" width="11.28515625" bestFit="1" customWidth="1"/>
    <col min="12816" max="12816" width="12.5703125" bestFit="1" customWidth="1"/>
    <col min="12817" max="12817" width="14" bestFit="1" customWidth="1"/>
    <col min="12818" max="12818" width="6" bestFit="1" customWidth="1"/>
    <col min="12819" max="12819" width="15" customWidth="1"/>
    <col min="12820" max="12820" width="14.85546875" bestFit="1" customWidth="1"/>
    <col min="12821" max="12821" width="16.140625" bestFit="1" customWidth="1"/>
    <col min="13049" max="13049" width="24" bestFit="1" customWidth="1"/>
    <col min="13050" max="13050" width="43.85546875" customWidth="1"/>
    <col min="13051" max="13051" width="19.85546875" bestFit="1" customWidth="1"/>
    <col min="13052" max="13052" width="14.85546875" bestFit="1" customWidth="1"/>
    <col min="13053" max="13053" width="16.85546875" bestFit="1" customWidth="1"/>
    <col min="13054" max="13054" width="13.42578125" customWidth="1"/>
    <col min="13055" max="13055" width="15.42578125" bestFit="1" customWidth="1"/>
    <col min="13056" max="13056" width="14.28515625" bestFit="1" customWidth="1"/>
    <col min="13057" max="13057" width="15.28515625" customWidth="1"/>
    <col min="13058" max="13058" width="15.85546875" customWidth="1"/>
    <col min="13059" max="13059" width="17.28515625" bestFit="1" customWidth="1"/>
    <col min="13060" max="13060" width="12.7109375" customWidth="1"/>
    <col min="13061" max="13061" width="13.7109375" customWidth="1"/>
    <col min="13062" max="13062" width="14.140625" bestFit="1" customWidth="1"/>
    <col min="13063" max="13063" width="17.28515625" bestFit="1" customWidth="1"/>
    <col min="13064" max="13064" width="16.140625" customWidth="1"/>
    <col min="13065" max="13065" width="17.5703125" bestFit="1" customWidth="1"/>
    <col min="13066" max="13066" width="16.28515625" bestFit="1" customWidth="1"/>
    <col min="13067" max="13067" width="20.5703125" bestFit="1" customWidth="1"/>
    <col min="13068" max="13068" width="16.42578125" bestFit="1" customWidth="1"/>
    <col min="13069" max="13069" width="14.28515625" customWidth="1"/>
    <col min="13070" max="13070" width="12.85546875" bestFit="1" customWidth="1"/>
    <col min="13071" max="13071" width="11.28515625" bestFit="1" customWidth="1"/>
    <col min="13072" max="13072" width="12.5703125" bestFit="1" customWidth="1"/>
    <col min="13073" max="13073" width="14" bestFit="1" customWidth="1"/>
    <col min="13074" max="13074" width="6" bestFit="1" customWidth="1"/>
    <col min="13075" max="13075" width="15" customWidth="1"/>
    <col min="13076" max="13076" width="14.85546875" bestFit="1" customWidth="1"/>
    <col min="13077" max="13077" width="16.140625" bestFit="1" customWidth="1"/>
    <col min="13305" max="13305" width="24" bestFit="1" customWidth="1"/>
    <col min="13306" max="13306" width="43.85546875" customWidth="1"/>
    <col min="13307" max="13307" width="19.85546875" bestFit="1" customWidth="1"/>
    <col min="13308" max="13308" width="14.85546875" bestFit="1" customWidth="1"/>
    <col min="13309" max="13309" width="16.85546875" bestFit="1" customWidth="1"/>
    <col min="13310" max="13310" width="13.42578125" customWidth="1"/>
    <col min="13311" max="13311" width="15.42578125" bestFit="1" customWidth="1"/>
    <col min="13312" max="13312" width="14.28515625" bestFit="1" customWidth="1"/>
    <col min="13313" max="13313" width="15.28515625" customWidth="1"/>
    <col min="13314" max="13314" width="15.85546875" customWidth="1"/>
    <col min="13315" max="13315" width="17.28515625" bestFit="1" customWidth="1"/>
    <col min="13316" max="13316" width="12.7109375" customWidth="1"/>
    <col min="13317" max="13317" width="13.7109375" customWidth="1"/>
    <col min="13318" max="13318" width="14.140625" bestFit="1" customWidth="1"/>
    <col min="13319" max="13319" width="17.28515625" bestFit="1" customWidth="1"/>
    <col min="13320" max="13320" width="16.140625" customWidth="1"/>
    <col min="13321" max="13321" width="17.5703125" bestFit="1" customWidth="1"/>
    <col min="13322" max="13322" width="16.28515625" bestFit="1" customWidth="1"/>
    <col min="13323" max="13323" width="20.5703125" bestFit="1" customWidth="1"/>
    <col min="13324" max="13324" width="16.42578125" bestFit="1" customWidth="1"/>
    <col min="13325" max="13325" width="14.28515625" customWidth="1"/>
    <col min="13326" max="13326" width="12.85546875" bestFit="1" customWidth="1"/>
    <col min="13327" max="13327" width="11.28515625" bestFit="1" customWidth="1"/>
    <col min="13328" max="13328" width="12.5703125" bestFit="1" customWidth="1"/>
    <col min="13329" max="13329" width="14" bestFit="1" customWidth="1"/>
    <col min="13330" max="13330" width="6" bestFit="1" customWidth="1"/>
    <col min="13331" max="13331" width="15" customWidth="1"/>
    <col min="13332" max="13332" width="14.85546875" bestFit="1" customWidth="1"/>
    <col min="13333" max="13333" width="16.140625" bestFit="1" customWidth="1"/>
    <col min="13561" max="13561" width="24" bestFit="1" customWidth="1"/>
    <col min="13562" max="13562" width="43.85546875" customWidth="1"/>
    <col min="13563" max="13563" width="19.85546875" bestFit="1" customWidth="1"/>
    <col min="13564" max="13564" width="14.85546875" bestFit="1" customWidth="1"/>
    <col min="13565" max="13565" width="16.85546875" bestFit="1" customWidth="1"/>
    <col min="13566" max="13566" width="13.42578125" customWidth="1"/>
    <col min="13567" max="13567" width="15.42578125" bestFit="1" customWidth="1"/>
    <col min="13568" max="13568" width="14.28515625" bestFit="1" customWidth="1"/>
    <col min="13569" max="13569" width="15.28515625" customWidth="1"/>
    <col min="13570" max="13570" width="15.85546875" customWidth="1"/>
    <col min="13571" max="13571" width="17.28515625" bestFit="1" customWidth="1"/>
    <col min="13572" max="13572" width="12.7109375" customWidth="1"/>
    <col min="13573" max="13573" width="13.7109375" customWidth="1"/>
    <col min="13574" max="13574" width="14.140625" bestFit="1" customWidth="1"/>
    <col min="13575" max="13575" width="17.28515625" bestFit="1" customWidth="1"/>
    <col min="13576" max="13576" width="16.140625" customWidth="1"/>
    <col min="13577" max="13577" width="17.5703125" bestFit="1" customWidth="1"/>
    <col min="13578" max="13578" width="16.28515625" bestFit="1" customWidth="1"/>
    <col min="13579" max="13579" width="20.5703125" bestFit="1" customWidth="1"/>
    <col min="13580" max="13580" width="16.42578125" bestFit="1" customWidth="1"/>
    <col min="13581" max="13581" width="14.28515625" customWidth="1"/>
    <col min="13582" max="13582" width="12.85546875" bestFit="1" customWidth="1"/>
    <col min="13583" max="13583" width="11.28515625" bestFit="1" customWidth="1"/>
    <col min="13584" max="13584" width="12.5703125" bestFit="1" customWidth="1"/>
    <col min="13585" max="13585" width="14" bestFit="1" customWidth="1"/>
    <col min="13586" max="13586" width="6" bestFit="1" customWidth="1"/>
    <col min="13587" max="13587" width="15" customWidth="1"/>
    <col min="13588" max="13588" width="14.85546875" bestFit="1" customWidth="1"/>
    <col min="13589" max="13589" width="16.140625" bestFit="1" customWidth="1"/>
    <col min="13817" max="13817" width="24" bestFit="1" customWidth="1"/>
    <col min="13818" max="13818" width="43.85546875" customWidth="1"/>
    <col min="13819" max="13819" width="19.85546875" bestFit="1" customWidth="1"/>
    <col min="13820" max="13820" width="14.85546875" bestFit="1" customWidth="1"/>
    <col min="13821" max="13821" width="16.85546875" bestFit="1" customWidth="1"/>
    <col min="13822" max="13822" width="13.42578125" customWidth="1"/>
    <col min="13823" max="13823" width="15.42578125" bestFit="1" customWidth="1"/>
    <col min="13824" max="13824" width="14.28515625" bestFit="1" customWidth="1"/>
    <col min="13825" max="13825" width="15.28515625" customWidth="1"/>
    <col min="13826" max="13826" width="15.85546875" customWidth="1"/>
    <col min="13827" max="13827" width="17.28515625" bestFit="1" customWidth="1"/>
    <col min="13828" max="13828" width="12.7109375" customWidth="1"/>
    <col min="13829" max="13829" width="13.7109375" customWidth="1"/>
    <col min="13830" max="13830" width="14.140625" bestFit="1" customWidth="1"/>
    <col min="13831" max="13831" width="17.28515625" bestFit="1" customWidth="1"/>
    <col min="13832" max="13832" width="16.140625" customWidth="1"/>
    <col min="13833" max="13833" width="17.5703125" bestFit="1" customWidth="1"/>
    <col min="13834" max="13834" width="16.28515625" bestFit="1" customWidth="1"/>
    <col min="13835" max="13835" width="20.5703125" bestFit="1" customWidth="1"/>
    <col min="13836" max="13836" width="16.42578125" bestFit="1" customWidth="1"/>
    <col min="13837" max="13837" width="14.28515625" customWidth="1"/>
    <col min="13838" max="13838" width="12.85546875" bestFit="1" customWidth="1"/>
    <col min="13839" max="13839" width="11.28515625" bestFit="1" customWidth="1"/>
    <col min="13840" max="13840" width="12.5703125" bestFit="1" customWidth="1"/>
    <col min="13841" max="13841" width="14" bestFit="1" customWidth="1"/>
    <col min="13842" max="13842" width="6" bestFit="1" customWidth="1"/>
    <col min="13843" max="13843" width="15" customWidth="1"/>
    <col min="13844" max="13844" width="14.85546875" bestFit="1" customWidth="1"/>
    <col min="13845" max="13845" width="16.140625" bestFit="1" customWidth="1"/>
    <col min="14073" max="14073" width="24" bestFit="1" customWidth="1"/>
    <col min="14074" max="14074" width="43.85546875" customWidth="1"/>
    <col min="14075" max="14075" width="19.85546875" bestFit="1" customWidth="1"/>
    <col min="14076" max="14076" width="14.85546875" bestFit="1" customWidth="1"/>
    <col min="14077" max="14077" width="16.85546875" bestFit="1" customWidth="1"/>
    <col min="14078" max="14078" width="13.42578125" customWidth="1"/>
    <col min="14079" max="14079" width="15.42578125" bestFit="1" customWidth="1"/>
    <col min="14080" max="14080" width="14.28515625" bestFit="1" customWidth="1"/>
    <col min="14081" max="14081" width="15.28515625" customWidth="1"/>
    <col min="14082" max="14082" width="15.85546875" customWidth="1"/>
    <col min="14083" max="14083" width="17.28515625" bestFit="1" customWidth="1"/>
    <col min="14084" max="14084" width="12.7109375" customWidth="1"/>
    <col min="14085" max="14085" width="13.7109375" customWidth="1"/>
    <col min="14086" max="14086" width="14.140625" bestFit="1" customWidth="1"/>
    <col min="14087" max="14087" width="17.28515625" bestFit="1" customWidth="1"/>
    <col min="14088" max="14088" width="16.140625" customWidth="1"/>
    <col min="14089" max="14089" width="17.5703125" bestFit="1" customWidth="1"/>
    <col min="14090" max="14090" width="16.28515625" bestFit="1" customWidth="1"/>
    <col min="14091" max="14091" width="20.5703125" bestFit="1" customWidth="1"/>
    <col min="14092" max="14092" width="16.42578125" bestFit="1" customWidth="1"/>
    <col min="14093" max="14093" width="14.28515625" customWidth="1"/>
    <col min="14094" max="14094" width="12.85546875" bestFit="1" customWidth="1"/>
    <col min="14095" max="14095" width="11.28515625" bestFit="1" customWidth="1"/>
    <col min="14096" max="14096" width="12.5703125" bestFit="1" customWidth="1"/>
    <col min="14097" max="14097" width="14" bestFit="1" customWidth="1"/>
    <col min="14098" max="14098" width="6" bestFit="1" customWidth="1"/>
    <col min="14099" max="14099" width="15" customWidth="1"/>
    <col min="14100" max="14100" width="14.85546875" bestFit="1" customWidth="1"/>
    <col min="14101" max="14101" width="16.140625" bestFit="1" customWidth="1"/>
    <col min="14329" max="14329" width="24" bestFit="1" customWidth="1"/>
    <col min="14330" max="14330" width="43.85546875" customWidth="1"/>
    <col min="14331" max="14331" width="19.85546875" bestFit="1" customWidth="1"/>
    <col min="14332" max="14332" width="14.85546875" bestFit="1" customWidth="1"/>
    <col min="14333" max="14333" width="16.85546875" bestFit="1" customWidth="1"/>
    <col min="14334" max="14334" width="13.42578125" customWidth="1"/>
    <col min="14335" max="14335" width="15.42578125" bestFit="1" customWidth="1"/>
    <col min="14336" max="14336" width="14.28515625" bestFit="1" customWidth="1"/>
    <col min="14337" max="14337" width="15.28515625" customWidth="1"/>
    <col min="14338" max="14338" width="15.85546875" customWidth="1"/>
    <col min="14339" max="14339" width="17.28515625" bestFit="1" customWidth="1"/>
    <col min="14340" max="14340" width="12.7109375" customWidth="1"/>
    <col min="14341" max="14341" width="13.7109375" customWidth="1"/>
    <col min="14342" max="14342" width="14.140625" bestFit="1" customWidth="1"/>
    <col min="14343" max="14343" width="17.28515625" bestFit="1" customWidth="1"/>
    <col min="14344" max="14344" width="16.140625" customWidth="1"/>
    <col min="14345" max="14345" width="17.5703125" bestFit="1" customWidth="1"/>
    <col min="14346" max="14346" width="16.28515625" bestFit="1" customWidth="1"/>
    <col min="14347" max="14347" width="20.5703125" bestFit="1" customWidth="1"/>
    <col min="14348" max="14348" width="16.42578125" bestFit="1" customWidth="1"/>
    <col min="14349" max="14349" width="14.28515625" customWidth="1"/>
    <col min="14350" max="14350" width="12.85546875" bestFit="1" customWidth="1"/>
    <col min="14351" max="14351" width="11.28515625" bestFit="1" customWidth="1"/>
    <col min="14352" max="14352" width="12.5703125" bestFit="1" customWidth="1"/>
    <col min="14353" max="14353" width="14" bestFit="1" customWidth="1"/>
    <col min="14354" max="14354" width="6" bestFit="1" customWidth="1"/>
    <col min="14355" max="14355" width="15" customWidth="1"/>
    <col min="14356" max="14356" width="14.85546875" bestFit="1" customWidth="1"/>
    <col min="14357" max="14357" width="16.140625" bestFit="1" customWidth="1"/>
    <col min="14585" max="14585" width="24" bestFit="1" customWidth="1"/>
    <col min="14586" max="14586" width="43.85546875" customWidth="1"/>
    <col min="14587" max="14587" width="19.85546875" bestFit="1" customWidth="1"/>
    <col min="14588" max="14588" width="14.85546875" bestFit="1" customWidth="1"/>
    <col min="14589" max="14589" width="16.85546875" bestFit="1" customWidth="1"/>
    <col min="14590" max="14590" width="13.42578125" customWidth="1"/>
    <col min="14591" max="14591" width="15.42578125" bestFit="1" customWidth="1"/>
    <col min="14592" max="14592" width="14.28515625" bestFit="1" customWidth="1"/>
    <col min="14593" max="14593" width="15.28515625" customWidth="1"/>
    <col min="14594" max="14594" width="15.85546875" customWidth="1"/>
    <col min="14595" max="14595" width="17.28515625" bestFit="1" customWidth="1"/>
    <col min="14596" max="14596" width="12.7109375" customWidth="1"/>
    <col min="14597" max="14597" width="13.7109375" customWidth="1"/>
    <col min="14598" max="14598" width="14.140625" bestFit="1" customWidth="1"/>
    <col min="14599" max="14599" width="17.28515625" bestFit="1" customWidth="1"/>
    <col min="14600" max="14600" width="16.140625" customWidth="1"/>
    <col min="14601" max="14601" width="17.5703125" bestFit="1" customWidth="1"/>
    <col min="14602" max="14602" width="16.28515625" bestFit="1" customWidth="1"/>
    <col min="14603" max="14603" width="20.5703125" bestFit="1" customWidth="1"/>
    <col min="14604" max="14604" width="16.42578125" bestFit="1" customWidth="1"/>
    <col min="14605" max="14605" width="14.28515625" customWidth="1"/>
    <col min="14606" max="14606" width="12.85546875" bestFit="1" customWidth="1"/>
    <col min="14607" max="14607" width="11.28515625" bestFit="1" customWidth="1"/>
    <col min="14608" max="14608" width="12.5703125" bestFit="1" customWidth="1"/>
    <col min="14609" max="14609" width="14" bestFit="1" customWidth="1"/>
    <col min="14610" max="14610" width="6" bestFit="1" customWidth="1"/>
    <col min="14611" max="14611" width="15" customWidth="1"/>
    <col min="14612" max="14612" width="14.85546875" bestFit="1" customWidth="1"/>
    <col min="14613" max="14613" width="16.140625" bestFit="1" customWidth="1"/>
    <col min="14841" max="14841" width="24" bestFit="1" customWidth="1"/>
    <col min="14842" max="14842" width="43.85546875" customWidth="1"/>
    <col min="14843" max="14843" width="19.85546875" bestFit="1" customWidth="1"/>
    <col min="14844" max="14844" width="14.85546875" bestFit="1" customWidth="1"/>
    <col min="14845" max="14845" width="16.85546875" bestFit="1" customWidth="1"/>
    <col min="14846" max="14846" width="13.42578125" customWidth="1"/>
    <col min="14847" max="14847" width="15.42578125" bestFit="1" customWidth="1"/>
    <col min="14848" max="14848" width="14.28515625" bestFit="1" customWidth="1"/>
    <col min="14849" max="14849" width="15.28515625" customWidth="1"/>
    <col min="14850" max="14850" width="15.85546875" customWidth="1"/>
    <col min="14851" max="14851" width="17.28515625" bestFit="1" customWidth="1"/>
    <col min="14852" max="14852" width="12.7109375" customWidth="1"/>
    <col min="14853" max="14853" width="13.7109375" customWidth="1"/>
    <col min="14854" max="14854" width="14.140625" bestFit="1" customWidth="1"/>
    <col min="14855" max="14855" width="17.28515625" bestFit="1" customWidth="1"/>
    <col min="14856" max="14856" width="16.140625" customWidth="1"/>
    <col min="14857" max="14857" width="17.5703125" bestFit="1" customWidth="1"/>
    <col min="14858" max="14858" width="16.28515625" bestFit="1" customWidth="1"/>
    <col min="14859" max="14859" width="20.5703125" bestFit="1" customWidth="1"/>
    <col min="14860" max="14860" width="16.42578125" bestFit="1" customWidth="1"/>
    <col min="14861" max="14861" width="14.28515625" customWidth="1"/>
    <col min="14862" max="14862" width="12.85546875" bestFit="1" customWidth="1"/>
    <col min="14863" max="14863" width="11.28515625" bestFit="1" customWidth="1"/>
    <col min="14864" max="14864" width="12.5703125" bestFit="1" customWidth="1"/>
    <col min="14865" max="14865" width="14" bestFit="1" customWidth="1"/>
    <col min="14866" max="14866" width="6" bestFit="1" customWidth="1"/>
    <col min="14867" max="14867" width="15" customWidth="1"/>
    <col min="14868" max="14868" width="14.85546875" bestFit="1" customWidth="1"/>
    <col min="14869" max="14869" width="16.140625" bestFit="1" customWidth="1"/>
    <col min="15097" max="15097" width="24" bestFit="1" customWidth="1"/>
    <col min="15098" max="15098" width="43.85546875" customWidth="1"/>
    <col min="15099" max="15099" width="19.85546875" bestFit="1" customWidth="1"/>
    <col min="15100" max="15100" width="14.85546875" bestFit="1" customWidth="1"/>
    <col min="15101" max="15101" width="16.85546875" bestFit="1" customWidth="1"/>
    <col min="15102" max="15102" width="13.42578125" customWidth="1"/>
    <col min="15103" max="15103" width="15.42578125" bestFit="1" customWidth="1"/>
    <col min="15104" max="15104" width="14.28515625" bestFit="1" customWidth="1"/>
    <col min="15105" max="15105" width="15.28515625" customWidth="1"/>
    <col min="15106" max="15106" width="15.85546875" customWidth="1"/>
    <col min="15107" max="15107" width="17.28515625" bestFit="1" customWidth="1"/>
    <col min="15108" max="15108" width="12.7109375" customWidth="1"/>
    <col min="15109" max="15109" width="13.7109375" customWidth="1"/>
    <col min="15110" max="15110" width="14.140625" bestFit="1" customWidth="1"/>
    <col min="15111" max="15111" width="17.28515625" bestFit="1" customWidth="1"/>
    <col min="15112" max="15112" width="16.140625" customWidth="1"/>
    <col min="15113" max="15113" width="17.5703125" bestFit="1" customWidth="1"/>
    <col min="15114" max="15114" width="16.28515625" bestFit="1" customWidth="1"/>
    <col min="15115" max="15115" width="20.5703125" bestFit="1" customWidth="1"/>
    <col min="15116" max="15116" width="16.42578125" bestFit="1" customWidth="1"/>
    <col min="15117" max="15117" width="14.28515625" customWidth="1"/>
    <col min="15118" max="15118" width="12.85546875" bestFit="1" customWidth="1"/>
    <col min="15119" max="15119" width="11.28515625" bestFit="1" customWidth="1"/>
    <col min="15120" max="15120" width="12.5703125" bestFit="1" customWidth="1"/>
    <col min="15121" max="15121" width="14" bestFit="1" customWidth="1"/>
    <col min="15122" max="15122" width="6" bestFit="1" customWidth="1"/>
    <col min="15123" max="15123" width="15" customWidth="1"/>
    <col min="15124" max="15124" width="14.85546875" bestFit="1" customWidth="1"/>
    <col min="15125" max="15125" width="16.140625" bestFit="1" customWidth="1"/>
    <col min="15353" max="15353" width="24" bestFit="1" customWidth="1"/>
    <col min="15354" max="15354" width="43.85546875" customWidth="1"/>
    <col min="15355" max="15355" width="19.85546875" bestFit="1" customWidth="1"/>
    <col min="15356" max="15356" width="14.85546875" bestFit="1" customWidth="1"/>
    <col min="15357" max="15357" width="16.85546875" bestFit="1" customWidth="1"/>
    <col min="15358" max="15358" width="13.42578125" customWidth="1"/>
    <col min="15359" max="15359" width="15.42578125" bestFit="1" customWidth="1"/>
    <col min="15360" max="15360" width="14.28515625" bestFit="1" customWidth="1"/>
    <col min="15361" max="15361" width="15.28515625" customWidth="1"/>
    <col min="15362" max="15362" width="15.85546875" customWidth="1"/>
    <col min="15363" max="15363" width="17.28515625" bestFit="1" customWidth="1"/>
    <col min="15364" max="15364" width="12.7109375" customWidth="1"/>
    <col min="15365" max="15365" width="13.7109375" customWidth="1"/>
    <col min="15366" max="15366" width="14.140625" bestFit="1" customWidth="1"/>
    <col min="15367" max="15367" width="17.28515625" bestFit="1" customWidth="1"/>
    <col min="15368" max="15368" width="16.140625" customWidth="1"/>
    <col min="15369" max="15369" width="17.5703125" bestFit="1" customWidth="1"/>
    <col min="15370" max="15370" width="16.28515625" bestFit="1" customWidth="1"/>
    <col min="15371" max="15371" width="20.5703125" bestFit="1" customWidth="1"/>
    <col min="15372" max="15372" width="16.42578125" bestFit="1" customWidth="1"/>
    <col min="15373" max="15373" width="14.28515625" customWidth="1"/>
    <col min="15374" max="15374" width="12.85546875" bestFit="1" customWidth="1"/>
    <col min="15375" max="15375" width="11.28515625" bestFit="1" customWidth="1"/>
    <col min="15376" max="15376" width="12.5703125" bestFit="1" customWidth="1"/>
    <col min="15377" max="15377" width="14" bestFit="1" customWidth="1"/>
    <col min="15378" max="15378" width="6" bestFit="1" customWidth="1"/>
    <col min="15379" max="15379" width="15" customWidth="1"/>
    <col min="15380" max="15380" width="14.85546875" bestFit="1" customWidth="1"/>
    <col min="15381" max="15381" width="16.140625" bestFit="1" customWidth="1"/>
    <col min="15609" max="15609" width="24" bestFit="1" customWidth="1"/>
    <col min="15610" max="15610" width="43.85546875" customWidth="1"/>
    <col min="15611" max="15611" width="19.85546875" bestFit="1" customWidth="1"/>
    <col min="15612" max="15612" width="14.85546875" bestFit="1" customWidth="1"/>
    <col min="15613" max="15613" width="16.85546875" bestFit="1" customWidth="1"/>
    <col min="15614" max="15614" width="13.42578125" customWidth="1"/>
    <col min="15615" max="15615" width="15.42578125" bestFit="1" customWidth="1"/>
    <col min="15616" max="15616" width="14.28515625" bestFit="1" customWidth="1"/>
    <col min="15617" max="15617" width="15.28515625" customWidth="1"/>
    <col min="15618" max="15618" width="15.85546875" customWidth="1"/>
    <col min="15619" max="15619" width="17.28515625" bestFit="1" customWidth="1"/>
    <col min="15620" max="15620" width="12.7109375" customWidth="1"/>
    <col min="15621" max="15621" width="13.7109375" customWidth="1"/>
    <col min="15622" max="15622" width="14.140625" bestFit="1" customWidth="1"/>
    <col min="15623" max="15623" width="17.28515625" bestFit="1" customWidth="1"/>
    <col min="15624" max="15624" width="16.140625" customWidth="1"/>
    <col min="15625" max="15625" width="17.5703125" bestFit="1" customWidth="1"/>
    <col min="15626" max="15626" width="16.28515625" bestFit="1" customWidth="1"/>
    <col min="15627" max="15627" width="20.5703125" bestFit="1" customWidth="1"/>
    <col min="15628" max="15628" width="16.42578125" bestFit="1" customWidth="1"/>
    <col min="15629" max="15629" width="14.28515625" customWidth="1"/>
    <col min="15630" max="15630" width="12.85546875" bestFit="1" customWidth="1"/>
    <col min="15631" max="15631" width="11.28515625" bestFit="1" customWidth="1"/>
    <col min="15632" max="15632" width="12.5703125" bestFit="1" customWidth="1"/>
    <col min="15633" max="15633" width="14" bestFit="1" customWidth="1"/>
    <col min="15634" max="15634" width="6" bestFit="1" customWidth="1"/>
    <col min="15635" max="15635" width="15" customWidth="1"/>
    <col min="15636" max="15636" width="14.85546875" bestFit="1" customWidth="1"/>
    <col min="15637" max="15637" width="16.140625" bestFit="1" customWidth="1"/>
    <col min="15865" max="15865" width="24" bestFit="1" customWidth="1"/>
    <col min="15866" max="15866" width="43.85546875" customWidth="1"/>
    <col min="15867" max="15867" width="19.85546875" bestFit="1" customWidth="1"/>
    <col min="15868" max="15868" width="14.85546875" bestFit="1" customWidth="1"/>
    <col min="15869" max="15869" width="16.85546875" bestFit="1" customWidth="1"/>
    <col min="15870" max="15870" width="13.42578125" customWidth="1"/>
    <col min="15871" max="15871" width="15.42578125" bestFit="1" customWidth="1"/>
    <col min="15872" max="15872" width="14.28515625" bestFit="1" customWidth="1"/>
    <col min="15873" max="15873" width="15.28515625" customWidth="1"/>
    <col min="15874" max="15874" width="15.85546875" customWidth="1"/>
    <col min="15875" max="15875" width="17.28515625" bestFit="1" customWidth="1"/>
    <col min="15876" max="15876" width="12.7109375" customWidth="1"/>
    <col min="15877" max="15877" width="13.7109375" customWidth="1"/>
    <col min="15878" max="15878" width="14.140625" bestFit="1" customWidth="1"/>
    <col min="15879" max="15879" width="17.28515625" bestFit="1" customWidth="1"/>
    <col min="15880" max="15880" width="16.140625" customWidth="1"/>
    <col min="15881" max="15881" width="17.5703125" bestFit="1" customWidth="1"/>
    <col min="15882" max="15882" width="16.28515625" bestFit="1" customWidth="1"/>
    <col min="15883" max="15883" width="20.5703125" bestFit="1" customWidth="1"/>
    <col min="15884" max="15884" width="16.42578125" bestFit="1" customWidth="1"/>
    <col min="15885" max="15885" width="14.28515625" customWidth="1"/>
    <col min="15886" max="15886" width="12.85546875" bestFit="1" customWidth="1"/>
    <col min="15887" max="15887" width="11.28515625" bestFit="1" customWidth="1"/>
    <col min="15888" max="15888" width="12.5703125" bestFit="1" customWidth="1"/>
    <col min="15889" max="15889" width="14" bestFit="1" customWidth="1"/>
    <col min="15890" max="15890" width="6" bestFit="1" customWidth="1"/>
    <col min="15891" max="15891" width="15" customWidth="1"/>
    <col min="15892" max="15892" width="14.85546875" bestFit="1" customWidth="1"/>
    <col min="15893" max="15893" width="16.140625" bestFit="1" customWidth="1"/>
    <col min="16121" max="16121" width="24" bestFit="1" customWidth="1"/>
    <col min="16122" max="16122" width="43.85546875" customWidth="1"/>
    <col min="16123" max="16123" width="19.85546875" bestFit="1" customWidth="1"/>
    <col min="16124" max="16124" width="14.85546875" bestFit="1" customWidth="1"/>
    <col min="16125" max="16125" width="16.85546875" bestFit="1" customWidth="1"/>
    <col min="16126" max="16126" width="13.42578125" customWidth="1"/>
    <col min="16127" max="16127" width="15.42578125" bestFit="1" customWidth="1"/>
    <col min="16128" max="16128" width="14.28515625" bestFit="1" customWidth="1"/>
    <col min="16129" max="16129" width="15.28515625" customWidth="1"/>
    <col min="16130" max="16130" width="15.85546875" customWidth="1"/>
    <col min="16131" max="16131" width="17.28515625" bestFit="1" customWidth="1"/>
    <col min="16132" max="16132" width="12.7109375" customWidth="1"/>
    <col min="16133" max="16133" width="13.7109375" customWidth="1"/>
    <col min="16134" max="16134" width="14.140625" bestFit="1" customWidth="1"/>
    <col min="16135" max="16135" width="17.28515625" bestFit="1" customWidth="1"/>
    <col min="16136" max="16136" width="16.140625" customWidth="1"/>
    <col min="16137" max="16137" width="17.5703125" bestFit="1" customWidth="1"/>
    <col min="16138" max="16138" width="16.28515625" bestFit="1" customWidth="1"/>
    <col min="16139" max="16139" width="20.5703125" bestFit="1" customWidth="1"/>
    <col min="16140" max="16140" width="16.42578125" bestFit="1" customWidth="1"/>
    <col min="16141" max="16141" width="14.28515625" customWidth="1"/>
    <col min="16142" max="16142" width="12.85546875" bestFit="1" customWidth="1"/>
    <col min="16143" max="16143" width="11.28515625" bestFit="1" customWidth="1"/>
    <col min="16144" max="16144" width="12.5703125" bestFit="1" customWidth="1"/>
    <col min="16145" max="16145" width="14" bestFit="1" customWidth="1"/>
    <col min="16146" max="16146" width="6" bestFit="1" customWidth="1"/>
    <col min="16147" max="16147" width="15" customWidth="1"/>
    <col min="16148" max="16148" width="14.85546875" bestFit="1" customWidth="1"/>
    <col min="16149" max="16149" width="16.140625" bestFit="1" customWidth="1"/>
  </cols>
  <sheetData>
    <row r="1" spans="1:26" ht="52.5" customHeight="1" thickBot="1">
      <c r="C1" s="1361" t="s">
        <v>268</v>
      </c>
      <c r="D1" s="1361" t="s">
        <v>269</v>
      </c>
      <c r="E1" s="1361" t="s">
        <v>5</v>
      </c>
      <c r="F1" s="1361">
        <v>18230673</v>
      </c>
      <c r="G1" s="1361" t="s">
        <v>28</v>
      </c>
      <c r="J1" s="44"/>
      <c r="M1" s="1361" t="s">
        <v>268</v>
      </c>
      <c r="N1" s="1361" t="s">
        <v>269</v>
      </c>
      <c r="O1" s="1361" t="s">
        <v>5</v>
      </c>
      <c r="P1" s="1361">
        <v>18230673</v>
      </c>
      <c r="Q1" s="1361" t="s">
        <v>28</v>
      </c>
      <c r="V1" s="1361" t="s">
        <v>268</v>
      </c>
      <c r="W1" s="1361" t="s">
        <v>269</v>
      </c>
      <c r="X1" s="1361" t="s">
        <v>5</v>
      </c>
      <c r="Y1" s="1361">
        <v>18230673</v>
      </c>
      <c r="Z1" s="1361" t="s">
        <v>28</v>
      </c>
    </row>
    <row r="2" spans="1:26" ht="16.5" thickBot="1">
      <c r="C2" s="44"/>
      <c r="D2" s="45"/>
      <c r="G2" s="1652"/>
      <c r="I2" s="1178" t="s">
        <v>627</v>
      </c>
      <c r="S2" s="3575"/>
      <c r="T2" s="3575"/>
      <c r="U2" s="3576" t="s">
        <v>33</v>
      </c>
      <c r="V2" s="3577"/>
      <c r="W2" s="3578"/>
      <c r="X2" s="3579" t="s">
        <v>34</v>
      </c>
    </row>
    <row r="3" spans="1:26" ht="26.25" thickBot="1">
      <c r="A3" s="1357" t="s">
        <v>268</v>
      </c>
      <c r="B3" s="1357"/>
      <c r="G3" s="1652"/>
      <c r="I3" s="1179" t="s">
        <v>1747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6" ht="16.5" thickBot="1">
      <c r="A4" s="1357" t="s">
        <v>269</v>
      </c>
      <c r="B4" s="1357"/>
      <c r="C4" s="44"/>
      <c r="G4" s="1652"/>
      <c r="H4" s="2946" t="s">
        <v>1726</v>
      </c>
      <c r="I4" s="2959">
        <f>D15</f>
        <v>30531</v>
      </c>
      <c r="J4" s="2960">
        <f>D22</f>
        <v>6000</v>
      </c>
      <c r="K4" s="2960">
        <f>D28</f>
        <v>24366.177</v>
      </c>
      <c r="L4" s="2960">
        <f>D38</f>
        <v>10000</v>
      </c>
      <c r="M4" s="2960">
        <f>D44</f>
        <v>500</v>
      </c>
      <c r="N4" s="2960">
        <f>D50</f>
        <v>0</v>
      </c>
      <c r="O4" s="2960">
        <f>D56</f>
        <v>500</v>
      </c>
      <c r="P4" s="2960">
        <f>D62</f>
        <v>500</v>
      </c>
      <c r="Q4" s="2960">
        <f>D68</f>
        <v>108120</v>
      </c>
      <c r="R4" s="2960">
        <f>D71</f>
        <v>0</v>
      </c>
      <c r="S4" s="2961">
        <f>SUM(I4:R4)</f>
        <v>180517.177</v>
      </c>
      <c r="T4" s="2963">
        <f>T15</f>
        <v>52630</v>
      </c>
      <c r="U4" s="2954">
        <f>Q4/S4</f>
        <v>0.59894577234608537</v>
      </c>
      <c r="V4" s="2954">
        <f>(L4+(J4*1.63))/S4</f>
        <v>0.10957406009069154</v>
      </c>
      <c r="W4" s="2954">
        <f>N4/S4</f>
        <v>0</v>
      </c>
      <c r="X4" s="2953">
        <f>S4/T4</f>
        <v>3.4299292608778265</v>
      </c>
    </row>
    <row r="5" spans="1:26" ht="16.5" thickBot="1">
      <c r="A5" s="1357" t="s">
        <v>5</v>
      </c>
      <c r="C5" s="45"/>
      <c r="G5" s="1652"/>
      <c r="H5" s="3205" t="s">
        <v>1753</v>
      </c>
      <c r="I5" s="2617">
        <v>30531</v>
      </c>
      <c r="J5" s="2618">
        <v>6000</v>
      </c>
      <c r="K5" s="2618">
        <v>24841.08</v>
      </c>
      <c r="L5" s="2618">
        <v>10000</v>
      </c>
      <c r="M5" s="2618">
        <v>500</v>
      </c>
      <c r="N5" s="2618">
        <v>0</v>
      </c>
      <c r="O5" s="2618">
        <v>500</v>
      </c>
      <c r="P5" s="2618">
        <v>500</v>
      </c>
      <c r="Q5" s="2618">
        <v>108120</v>
      </c>
      <c r="R5" s="2618">
        <v>0</v>
      </c>
      <c r="S5" s="2619">
        <v>180992.08000000002</v>
      </c>
      <c r="T5" s="2640">
        <v>52630</v>
      </c>
      <c r="U5" s="1187">
        <f>Q5/S5</f>
        <v>0.59737420554534759</v>
      </c>
      <c r="V5" s="1187">
        <f>(L5+(J5*1.63))/S5</f>
        <v>0.10928654999710484</v>
      </c>
      <c r="W5" s="1187">
        <f>N5/S5</f>
        <v>0</v>
      </c>
      <c r="X5" s="48">
        <f>S5/T5</f>
        <v>3.4389526885806578</v>
      </c>
    </row>
    <row r="6" spans="1:26" ht="16.5" thickBot="1">
      <c r="A6" s="1357">
        <v>18230673</v>
      </c>
      <c r="B6" s="1357"/>
      <c r="D6" s="44"/>
      <c r="G6" s="1652"/>
      <c r="H6" s="3206" t="s">
        <v>1754</v>
      </c>
      <c r="I6" s="2621">
        <f>E15</f>
        <v>17105</v>
      </c>
      <c r="J6" s="2622">
        <f>E22</f>
        <v>7775</v>
      </c>
      <c r="K6" s="2623">
        <f>E28</f>
        <v>22342.239999999998</v>
      </c>
      <c r="L6" s="2622">
        <f>E38</f>
        <v>10000</v>
      </c>
      <c r="M6" s="2622">
        <f>E44</f>
        <v>500</v>
      </c>
      <c r="N6" s="2622">
        <f>E50</f>
        <v>0</v>
      </c>
      <c r="O6" s="2622">
        <f>E56</f>
        <v>500</v>
      </c>
      <c r="P6" s="2622">
        <f>E62</f>
        <v>500</v>
      </c>
      <c r="Q6" s="2622">
        <f>E68</f>
        <v>159880</v>
      </c>
      <c r="R6" s="2622">
        <f>E71</f>
        <v>0</v>
      </c>
      <c r="S6" s="2624">
        <f>SUM(I6:R6)</f>
        <v>218602.23999999999</v>
      </c>
      <c r="T6" s="2641">
        <f>U15</f>
        <v>38880</v>
      </c>
      <c r="U6" s="2631">
        <f>Q6/S6</f>
        <v>0.73137402434668564</v>
      </c>
      <c r="V6" s="2631">
        <f>(L6+(J6*1.63))/S6</f>
        <v>0.10371920251137409</v>
      </c>
      <c r="W6" s="2631">
        <f>N6/S6</f>
        <v>0</v>
      </c>
      <c r="X6" s="2626">
        <f>S6/T6</f>
        <v>5.6224855967078184</v>
      </c>
    </row>
    <row r="7" spans="1:26" ht="15.75">
      <c r="A7" s="1357" t="s">
        <v>28</v>
      </c>
      <c r="B7" s="1357"/>
      <c r="C7" s="1413"/>
      <c r="D7" s="1190"/>
      <c r="E7" s="1414"/>
      <c r="F7" s="1413"/>
      <c r="G7" s="2606"/>
      <c r="H7" s="2607"/>
      <c r="I7" s="2607"/>
      <c r="J7" s="2607"/>
      <c r="K7" s="2607"/>
      <c r="L7" s="2607"/>
      <c r="M7" s="2607"/>
      <c r="N7" s="2607"/>
      <c r="O7" s="2607"/>
      <c r="P7" s="2607"/>
      <c r="Q7" s="2607"/>
      <c r="R7" s="2607"/>
      <c r="S7" s="2639"/>
      <c r="T7" s="2630"/>
      <c r="U7" s="2630"/>
      <c r="V7" s="2630"/>
      <c r="W7" s="2610"/>
    </row>
    <row r="8" spans="1:26" ht="15.75">
      <c r="B8" s="1357"/>
      <c r="C8" s="1413"/>
      <c r="D8" s="1190"/>
      <c r="E8" s="1414"/>
      <c r="F8" s="1413"/>
    </row>
    <row r="9" spans="1:26"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6">
      <c r="A10" s="1357"/>
      <c r="B10" s="2161"/>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c r="Z10" s="1952" t="s">
        <v>300</v>
      </c>
    </row>
    <row r="11" spans="1:26">
      <c r="A11" s="1357"/>
      <c r="B11" s="2161"/>
      <c r="C11" s="1652"/>
      <c r="D11" s="1652"/>
      <c r="E11" s="1663"/>
      <c r="F11" s="1652"/>
      <c r="H11" s="1456"/>
      <c r="I11" s="1457"/>
      <c r="J11" s="1457"/>
      <c r="K11" s="1456"/>
      <c r="L11" s="1456"/>
      <c r="M11" s="1456"/>
      <c r="N11" s="1456"/>
      <c r="O11" s="1456"/>
      <c r="P11" s="1456"/>
      <c r="Q11" s="1456"/>
      <c r="R11" s="1456"/>
      <c r="S11" s="1456"/>
      <c r="T11" s="1456"/>
      <c r="U11" s="1456"/>
      <c r="V11" s="1456"/>
      <c r="W11" s="1456"/>
      <c r="X11" s="1456"/>
      <c r="Y11" s="1456"/>
      <c r="Z11" s="1456"/>
    </row>
    <row r="12" spans="1:26">
      <c r="A12" s="1357"/>
      <c r="B12" s="2161"/>
      <c r="C12" s="1434" t="s">
        <v>298</v>
      </c>
      <c r="D12" s="2766">
        <f>D15+D22+D28+D38+D44+D50+D56+D62+D68</f>
        <v>180517.177</v>
      </c>
      <c r="E12" s="1484">
        <f>E15+E22+E28+E38+E44+E50+E56+E62+E68</f>
        <v>218602.23999999999</v>
      </c>
      <c r="F12" s="1638">
        <f>D12+E12</f>
        <v>399119.41700000002</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row>
    <row r="13" spans="1:26">
      <c r="B13" s="2161"/>
      <c r="C13" s="1483"/>
      <c r="D13" s="2767"/>
      <c r="E13" s="1336"/>
      <c r="F13" s="1652"/>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row>
    <row r="14" spans="1:26" ht="15.75">
      <c r="B14" s="2161"/>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row>
    <row r="15" spans="1:26">
      <c r="B15" s="1433" t="s">
        <v>296</v>
      </c>
      <c r="C15" s="1597" t="s">
        <v>1749</v>
      </c>
      <c r="D15" s="2771">
        <f>SUM(D16:D20)</f>
        <v>30531</v>
      </c>
      <c r="E15" s="1464">
        <f>SUM(E16:E20)</f>
        <v>17105</v>
      </c>
      <c r="F15" s="1638">
        <f>D15+E15</f>
        <v>47636</v>
      </c>
      <c r="H15" s="1475" t="s">
        <v>308</v>
      </c>
      <c r="I15" s="1476"/>
      <c r="J15" s="1476"/>
      <c r="K15" s="1477"/>
      <c r="L15" s="1478">
        <f>SUMPRODUCT(L16:L179,S16:S179)</f>
        <v>275795</v>
      </c>
      <c r="M15" s="1478">
        <f>SUM(M16:M179)</f>
        <v>58.22</v>
      </c>
      <c r="N15" s="1479" t="s">
        <v>229</v>
      </c>
      <c r="O15" s="1477">
        <v>15</v>
      </c>
      <c r="P15" s="1477"/>
      <c r="Q15" s="1477"/>
      <c r="R15" s="1477"/>
      <c r="S15" s="1477"/>
      <c r="T15" s="2983">
        <v>52630</v>
      </c>
      <c r="U15" s="1480">
        <f t="shared" ref="U15:Y15" si="0">SUM(U16:U66)</f>
        <v>38880</v>
      </c>
      <c r="V15" s="1480">
        <f t="shared" si="0"/>
        <v>91510</v>
      </c>
      <c r="W15" s="2987">
        <v>108120</v>
      </c>
      <c r="X15" s="1478">
        <f t="shared" si="0"/>
        <v>159880</v>
      </c>
      <c r="Y15" s="1478">
        <f t="shared" si="0"/>
        <v>268000</v>
      </c>
      <c r="Z15" s="1481">
        <v>0</v>
      </c>
    </row>
    <row r="16" spans="1:26">
      <c r="B16" s="1982">
        <v>0.05</v>
      </c>
      <c r="C16" s="1667" t="s">
        <v>734</v>
      </c>
      <c r="D16" s="2772">
        <v>4500</v>
      </c>
      <c r="E16" s="1669">
        <v>3887.5</v>
      </c>
      <c r="F16" s="1426">
        <f>SUM(D16:E16)</f>
        <v>8387.5</v>
      </c>
      <c r="H16" s="1466" t="s">
        <v>1449</v>
      </c>
      <c r="I16" s="2205">
        <v>1</v>
      </c>
      <c r="J16" s="1470" t="s">
        <v>559</v>
      </c>
      <c r="K16" s="1460" t="s">
        <v>845</v>
      </c>
      <c r="L16" s="1467">
        <v>5</v>
      </c>
      <c r="M16" s="1467">
        <v>5</v>
      </c>
      <c r="N16" s="1461">
        <v>5.4638837285542564E-2</v>
      </c>
      <c r="O16" s="1460">
        <v>24</v>
      </c>
      <c r="P16" s="1984" t="s">
        <v>1160</v>
      </c>
      <c r="Q16" s="1466">
        <v>2500</v>
      </c>
      <c r="R16" s="1466">
        <v>2500</v>
      </c>
      <c r="S16" s="1469">
        <f>SUM(Q16:R16)</f>
        <v>5000</v>
      </c>
      <c r="T16" s="2991">
        <v>2500</v>
      </c>
      <c r="U16" s="1469">
        <f>R16*I16</f>
        <v>2500</v>
      </c>
      <c r="V16" s="1469">
        <f>SUM(T16:U16)</f>
        <v>5000</v>
      </c>
      <c r="W16" s="2993">
        <v>12500</v>
      </c>
      <c r="X16" s="1459">
        <f>R16*M16</f>
        <v>12500</v>
      </c>
      <c r="Y16" s="1459">
        <f>SUM(W16:X16)</f>
        <v>25000</v>
      </c>
      <c r="Z16" s="1482"/>
    </row>
    <row r="17" spans="2:26" s="1652" customFormat="1">
      <c r="B17" s="1982">
        <v>0.1</v>
      </c>
      <c r="C17" s="1667" t="s">
        <v>735</v>
      </c>
      <c r="D17" s="2772">
        <v>9000</v>
      </c>
      <c r="E17" s="1669">
        <v>7775</v>
      </c>
      <c r="F17" s="1426">
        <f>SUM(D17:E17)</f>
        <v>16775</v>
      </c>
      <c r="H17" s="1466" t="s">
        <v>1450</v>
      </c>
      <c r="I17" s="2205">
        <v>1</v>
      </c>
      <c r="J17" s="1470" t="s">
        <v>559</v>
      </c>
      <c r="K17" s="1460" t="s">
        <v>845</v>
      </c>
      <c r="L17" s="1467">
        <v>3.88</v>
      </c>
      <c r="M17" s="1467">
        <v>3.88</v>
      </c>
      <c r="N17" s="1461">
        <v>0.3278330237132554</v>
      </c>
      <c r="O17" s="1460">
        <v>15</v>
      </c>
      <c r="P17" s="1984" t="s">
        <v>997</v>
      </c>
      <c r="Q17" s="1466">
        <v>20000</v>
      </c>
      <c r="R17" s="1466">
        <v>10000</v>
      </c>
      <c r="S17" s="1469">
        <f>SUM(Q17:R17)</f>
        <v>30000</v>
      </c>
      <c r="T17" s="2991">
        <v>20000</v>
      </c>
      <c r="U17" s="1469">
        <f>R17*I17</f>
        <v>10000</v>
      </c>
      <c r="V17" s="1469">
        <f>SUM(T17:U17)</f>
        <v>30000</v>
      </c>
      <c r="W17" s="2993">
        <v>77600</v>
      </c>
      <c r="X17" s="1459">
        <f>R17*M17</f>
        <v>38800</v>
      </c>
      <c r="Y17" s="1459">
        <f>SUM(W17:X17)</f>
        <v>116400</v>
      </c>
      <c r="Z17" s="1482"/>
    </row>
    <row r="18" spans="2:26">
      <c r="B18" s="1982">
        <v>0.05</v>
      </c>
      <c r="C18" s="1667" t="s">
        <v>736</v>
      </c>
      <c r="D18" s="2784">
        <v>4500</v>
      </c>
      <c r="E18" s="1668">
        <v>3887.5</v>
      </c>
      <c r="F18" s="1426">
        <f t="shared" ref="F18:F20" si="1">SUM(D18:E18)</f>
        <v>8387.5</v>
      </c>
      <c r="H18" s="1466" t="s">
        <v>1451</v>
      </c>
      <c r="I18" s="2205">
        <v>1</v>
      </c>
      <c r="J18" s="1470" t="s">
        <v>559</v>
      </c>
      <c r="K18" s="1460" t="s">
        <v>845</v>
      </c>
      <c r="L18" s="1467">
        <v>1.84</v>
      </c>
      <c r="M18" s="1467">
        <v>1.84</v>
      </c>
      <c r="N18" s="1461">
        <v>5.4638837285542564E-2</v>
      </c>
      <c r="O18" s="1460">
        <v>7</v>
      </c>
      <c r="P18" s="1984" t="s">
        <v>997</v>
      </c>
      <c r="Q18" s="1466">
        <v>3000</v>
      </c>
      <c r="R18" s="1466">
        <v>2000</v>
      </c>
      <c r="S18" s="1469">
        <f t="shared" ref="S18:S22" si="2">SUM(Q18:R18)</f>
        <v>5000</v>
      </c>
      <c r="T18" s="2991">
        <v>3000</v>
      </c>
      <c r="U18" s="1469">
        <f t="shared" ref="U18:U22" si="3">R18*I18</f>
        <v>2000</v>
      </c>
      <c r="V18" s="1469">
        <f t="shared" ref="V18:V22" si="4">SUM(T18:U18)</f>
        <v>5000</v>
      </c>
      <c r="W18" s="2993">
        <v>5520</v>
      </c>
      <c r="X18" s="1459">
        <f t="shared" ref="X18:X21" si="5">R18*M18</f>
        <v>3680</v>
      </c>
      <c r="Y18" s="1459">
        <f t="shared" ref="Y18:Y21" si="6">SUM(W18:X18)</f>
        <v>9200</v>
      </c>
      <c r="Z18" s="1482"/>
    </row>
    <row r="19" spans="2:26">
      <c r="B19" s="1982">
        <v>0.01</v>
      </c>
      <c r="C19" s="1667" t="s">
        <v>737</v>
      </c>
      <c r="D19" s="2784">
        <v>9000</v>
      </c>
      <c r="E19" s="1668">
        <v>777.5</v>
      </c>
      <c r="F19" s="1426">
        <f t="shared" si="1"/>
        <v>9777.5</v>
      </c>
      <c r="H19" s="1466" t="s">
        <v>1452</v>
      </c>
      <c r="I19" s="2205">
        <v>24</v>
      </c>
      <c r="J19" s="1470" t="s">
        <v>559</v>
      </c>
      <c r="K19" s="1460" t="s">
        <v>845</v>
      </c>
      <c r="L19" s="1467">
        <v>2.7</v>
      </c>
      <c r="M19" s="1467">
        <v>2.5</v>
      </c>
      <c r="N19" s="1461">
        <v>2.6226641897060431E-2</v>
      </c>
      <c r="O19" s="1460">
        <v>10</v>
      </c>
      <c r="P19" s="1984" t="s">
        <v>997</v>
      </c>
      <c r="Q19" s="1466">
        <v>100</v>
      </c>
      <c r="R19" s="1466">
        <v>0</v>
      </c>
      <c r="S19" s="1469">
        <f t="shared" si="2"/>
        <v>100</v>
      </c>
      <c r="T19" s="2991">
        <v>2400</v>
      </c>
      <c r="U19" s="1469">
        <f t="shared" si="3"/>
        <v>0</v>
      </c>
      <c r="V19" s="1469">
        <f t="shared" si="4"/>
        <v>2400</v>
      </c>
      <c r="W19" s="2993">
        <v>250</v>
      </c>
      <c r="X19" s="1459">
        <f t="shared" si="5"/>
        <v>0</v>
      </c>
      <c r="Y19" s="1459">
        <f t="shared" si="6"/>
        <v>250</v>
      </c>
      <c r="Z19" s="1482"/>
    </row>
    <row r="20" spans="2:26" s="1652" customFormat="1">
      <c r="B20" s="1982">
        <v>0.01</v>
      </c>
      <c r="C20" s="1667" t="s">
        <v>894</v>
      </c>
      <c r="D20" s="2794">
        <v>3531</v>
      </c>
      <c r="E20" s="1578">
        <v>777.5</v>
      </c>
      <c r="F20" s="1426">
        <f t="shared" si="1"/>
        <v>4308.5</v>
      </c>
      <c r="H20" s="1983" t="s">
        <v>1453</v>
      </c>
      <c r="I20" s="1982">
        <v>9</v>
      </c>
      <c r="J20" s="1932" t="s">
        <v>559</v>
      </c>
      <c r="K20" s="1931" t="s">
        <v>845</v>
      </c>
      <c r="L20" s="1981">
        <v>31</v>
      </c>
      <c r="M20" s="1981">
        <v>15</v>
      </c>
      <c r="N20" s="1979">
        <v>3.4422467489891813E-2</v>
      </c>
      <c r="O20" s="1931">
        <v>10</v>
      </c>
      <c r="P20" s="1984" t="s">
        <v>846</v>
      </c>
      <c r="Q20" s="1980">
        <v>50</v>
      </c>
      <c r="R20" s="1980">
        <v>300</v>
      </c>
      <c r="S20" s="1469">
        <f t="shared" si="2"/>
        <v>350</v>
      </c>
      <c r="T20" s="2991">
        <v>450</v>
      </c>
      <c r="U20" s="1469">
        <f t="shared" si="3"/>
        <v>2700</v>
      </c>
      <c r="V20" s="1469">
        <f t="shared" si="4"/>
        <v>3150</v>
      </c>
      <c r="W20" s="2993">
        <v>750</v>
      </c>
      <c r="X20" s="1459">
        <f t="shared" si="5"/>
        <v>4500</v>
      </c>
      <c r="Y20" s="1459">
        <f t="shared" si="6"/>
        <v>5250</v>
      </c>
      <c r="Z20" s="1971"/>
    </row>
    <row r="21" spans="2:26">
      <c r="B21" s="1449">
        <f>SUM(B16:B20)</f>
        <v>0.22000000000000003</v>
      </c>
      <c r="C21" s="1488"/>
      <c r="D21" s="2770"/>
      <c r="E21" s="1490"/>
      <c r="F21" s="1492"/>
      <c r="H21" s="1466" t="s">
        <v>1454</v>
      </c>
      <c r="I21" s="2205">
        <v>13</v>
      </c>
      <c r="J21" s="1470" t="s">
        <v>559</v>
      </c>
      <c r="K21" s="1460" t="s">
        <v>845</v>
      </c>
      <c r="L21" s="1467">
        <v>31</v>
      </c>
      <c r="M21" s="1467">
        <v>25</v>
      </c>
      <c r="N21" s="1461">
        <v>8.5236586165446396E-2</v>
      </c>
      <c r="O21" s="1460">
        <v>10</v>
      </c>
      <c r="P21" s="1984" t="s">
        <v>846</v>
      </c>
      <c r="Q21" s="1466">
        <v>400</v>
      </c>
      <c r="R21" s="1466">
        <v>200</v>
      </c>
      <c r="S21" s="1469">
        <f t="shared" si="2"/>
        <v>600</v>
      </c>
      <c r="T21" s="2991">
        <v>5200</v>
      </c>
      <c r="U21" s="1469">
        <f t="shared" si="3"/>
        <v>2600</v>
      </c>
      <c r="V21" s="1469">
        <f t="shared" si="4"/>
        <v>7800</v>
      </c>
      <c r="W21" s="2993">
        <v>10000</v>
      </c>
      <c r="X21" s="1459">
        <f t="shared" si="5"/>
        <v>5000</v>
      </c>
      <c r="Y21" s="1459">
        <f t="shared" si="6"/>
        <v>15000</v>
      </c>
      <c r="Z21" s="1482"/>
    </row>
    <row r="22" spans="2:26">
      <c r="B22" s="1433" t="s">
        <v>296</v>
      </c>
      <c r="C22" s="1597" t="s">
        <v>44</v>
      </c>
      <c r="D22" s="2771">
        <f>SUM(D23:D26)</f>
        <v>6000</v>
      </c>
      <c r="E22" s="1464">
        <f>SUM(E23:E26)</f>
        <v>7775</v>
      </c>
      <c r="F22" s="1638">
        <f>D22+E22</f>
        <v>13775</v>
      </c>
      <c r="H22" s="1466" t="s">
        <v>1585</v>
      </c>
      <c r="I22" s="2205">
        <v>1</v>
      </c>
      <c r="J22" s="1470" t="s">
        <v>559</v>
      </c>
      <c r="K22" s="1460" t="s">
        <v>991</v>
      </c>
      <c r="L22" s="1467">
        <v>5</v>
      </c>
      <c r="M22" s="1467">
        <v>5</v>
      </c>
      <c r="N22" s="1461">
        <v>0.41700360616326082</v>
      </c>
      <c r="O22" s="1460">
        <v>14</v>
      </c>
      <c r="P22" s="1984" t="s">
        <v>1008</v>
      </c>
      <c r="Q22" s="1466">
        <v>15</v>
      </c>
      <c r="R22" s="1466">
        <v>19080</v>
      </c>
      <c r="S22" s="1469">
        <f t="shared" si="2"/>
        <v>19095</v>
      </c>
      <c r="T22" s="2991">
        <v>19080</v>
      </c>
      <c r="U22" s="1469">
        <f t="shared" si="3"/>
        <v>19080</v>
      </c>
      <c r="V22" s="1469">
        <f t="shared" si="4"/>
        <v>38160</v>
      </c>
      <c r="W22" s="2993">
        <v>1500</v>
      </c>
      <c r="X22" s="1459">
        <f t="shared" ref="X22:X23" si="7">R22*M22</f>
        <v>95400</v>
      </c>
      <c r="Y22" s="1459">
        <f t="shared" ref="Y22:Y23" si="8">SUM(W22:X22)</f>
        <v>96900</v>
      </c>
      <c r="Z22" s="1482"/>
    </row>
    <row r="23" spans="2:26">
      <c r="B23" s="1982">
        <f>(SUM(D23:E23)/2)/((80000+(80000*1.025))/2)</f>
        <v>8.5030864197530864E-2</v>
      </c>
      <c r="C23" s="1667" t="s">
        <v>895</v>
      </c>
      <c r="D23" s="2772">
        <v>6000</v>
      </c>
      <c r="E23" s="1669">
        <v>7775</v>
      </c>
      <c r="F23" s="1426">
        <f t="shared" ref="F23:F26" si="9">SUM(D23:E23)</f>
        <v>13775</v>
      </c>
      <c r="H23" s="1466"/>
      <c r="I23" s="2205"/>
      <c r="J23" s="1470"/>
      <c r="K23" s="1460"/>
      <c r="L23" s="1467"/>
      <c r="M23" s="1467"/>
      <c r="N23" s="1461"/>
      <c r="O23" s="1460"/>
      <c r="P23" s="1984"/>
      <c r="Q23" s="1466"/>
      <c r="R23" s="1466"/>
      <c r="S23" s="1469">
        <f t="shared" ref="S23:S25" si="10">SUM(Q23:R23)</f>
        <v>0</v>
      </c>
      <c r="T23" s="2991">
        <v>0</v>
      </c>
      <c r="U23" s="1469">
        <f t="shared" ref="U23:U25" si="11">R23*I23</f>
        <v>0</v>
      </c>
      <c r="V23" s="1469">
        <f t="shared" ref="V23:V25" si="12">SUM(T23:U23)</f>
        <v>0</v>
      </c>
      <c r="W23" s="2993">
        <v>0</v>
      </c>
      <c r="X23" s="1459">
        <f t="shared" si="7"/>
        <v>0</v>
      </c>
      <c r="Y23" s="1459">
        <f t="shared" si="8"/>
        <v>0</v>
      </c>
      <c r="Z23" s="1482"/>
    </row>
    <row r="24" spans="2:26">
      <c r="B24" s="1982"/>
      <c r="C24" s="1667"/>
      <c r="D24" s="2791"/>
      <c r="E24" s="1562"/>
      <c r="F24" s="1426">
        <f t="shared" si="9"/>
        <v>0</v>
      </c>
      <c r="H24" s="1466"/>
      <c r="I24" s="2205"/>
      <c r="J24" s="1470"/>
      <c r="K24" s="1460"/>
      <c r="L24" s="1467"/>
      <c r="M24" s="1467"/>
      <c r="N24" s="1461"/>
      <c r="O24" s="1460"/>
      <c r="P24" s="1984"/>
      <c r="Q24" s="1466"/>
      <c r="R24" s="1466"/>
      <c r="S24" s="1469">
        <f t="shared" si="10"/>
        <v>0</v>
      </c>
      <c r="T24" s="2991">
        <v>0</v>
      </c>
      <c r="U24" s="1469">
        <f t="shared" si="11"/>
        <v>0</v>
      </c>
      <c r="V24" s="1469">
        <f t="shared" si="12"/>
        <v>0</v>
      </c>
      <c r="W24" s="2993">
        <v>0</v>
      </c>
      <c r="X24" s="1459">
        <f t="shared" ref="X24:X25" si="13">R24*M24</f>
        <v>0</v>
      </c>
      <c r="Y24" s="1459">
        <f t="shared" ref="Y24:Y25" si="14">SUM(W24:X24)</f>
        <v>0</v>
      </c>
      <c r="Z24" s="1482"/>
    </row>
    <row r="25" spans="2:26">
      <c r="B25" s="1982"/>
      <c r="C25" s="1667"/>
      <c r="D25" s="2774"/>
      <c r="E25" s="1443"/>
      <c r="F25" s="1426">
        <f t="shared" si="9"/>
        <v>0</v>
      </c>
      <c r="H25" s="1460"/>
      <c r="I25" s="2205"/>
      <c r="J25" s="1470"/>
      <c r="K25" s="1460"/>
      <c r="L25" s="1467"/>
      <c r="M25" s="1467"/>
      <c r="N25" s="1461"/>
      <c r="O25" s="1460"/>
      <c r="P25" s="1463"/>
      <c r="Q25" s="1466"/>
      <c r="R25" s="1466"/>
      <c r="S25" s="1469">
        <f t="shared" si="10"/>
        <v>0</v>
      </c>
      <c r="T25" s="2991">
        <v>0</v>
      </c>
      <c r="U25" s="1469">
        <f t="shared" si="11"/>
        <v>0</v>
      </c>
      <c r="V25" s="1469">
        <f t="shared" si="12"/>
        <v>0</v>
      </c>
      <c r="W25" s="2993">
        <v>0</v>
      </c>
      <c r="X25" s="1459">
        <f t="shared" si="13"/>
        <v>0</v>
      </c>
      <c r="Y25" s="1459">
        <f t="shared" si="14"/>
        <v>0</v>
      </c>
      <c r="Z25" s="1482"/>
    </row>
    <row r="26" spans="2:26">
      <c r="B26" s="1982"/>
      <c r="C26" s="1667"/>
      <c r="D26" s="2775"/>
      <c r="E26" s="1444"/>
      <c r="F26" s="1426">
        <f t="shared" si="9"/>
        <v>0</v>
      </c>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row>
    <row r="27" spans="2:26">
      <c r="B27" s="1449">
        <f>SUM(B23:B26)</f>
        <v>8.5030864197530864E-2</v>
      </c>
      <c r="C27" s="1424"/>
      <c r="D27" s="2776"/>
      <c r="E27" s="1431"/>
      <c r="F27" s="1439"/>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row>
    <row r="28" spans="2:26">
      <c r="B28" s="1652"/>
      <c r="C28" s="1597" t="s">
        <v>1737</v>
      </c>
      <c r="D28" s="2771">
        <f>SUM(D30:D36)</f>
        <v>24366.177</v>
      </c>
      <c r="E28" s="1657">
        <f>SUM(E30:E32)+SUM(E34:E36)</f>
        <v>22342.239999999998</v>
      </c>
      <c r="F28" s="1638">
        <f>D28+E28</f>
        <v>46708.417000000001</v>
      </c>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row>
    <row r="29" spans="2:26">
      <c r="B29" s="1652"/>
      <c r="C29" s="1450" t="s">
        <v>1733</v>
      </c>
      <c r="D29" s="2777">
        <v>0.66700000000000004</v>
      </c>
      <c r="E29" s="1452">
        <v>0.68799999999999994</v>
      </c>
      <c r="F29" s="1485"/>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row>
    <row r="30" spans="2:26">
      <c r="B30" s="1652"/>
      <c r="C30" s="1667" t="s">
        <v>719</v>
      </c>
      <c r="D30" s="2778">
        <f>D15*D29</f>
        <v>20364.177</v>
      </c>
      <c r="E30" s="1641">
        <f>E15*E29</f>
        <v>11768.24</v>
      </c>
      <c r="F30" s="1426">
        <f t="shared" ref="F30:F36" si="15">SUM(D30:E30)</f>
        <v>32132.417000000001</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row>
    <row r="31" spans="2:26">
      <c r="B31" s="1652"/>
      <c r="C31" s="1667" t="s">
        <v>720</v>
      </c>
      <c r="D31" s="2785">
        <f>D22*D29</f>
        <v>4002</v>
      </c>
      <c r="E31" s="1641">
        <f>E22*E29</f>
        <v>5349.2</v>
      </c>
      <c r="F31" s="1426">
        <f t="shared" si="15"/>
        <v>9351.2000000000007</v>
      </c>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row>
    <row r="32" spans="2:26">
      <c r="B32" s="1652"/>
      <c r="C32" s="1667"/>
      <c r="D32" s="2774"/>
      <c r="E32" s="1443"/>
      <c r="F32" s="1426">
        <f t="shared" si="15"/>
        <v>0</v>
      </c>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row>
    <row r="33" spans="1:26">
      <c r="B33" s="1652"/>
      <c r="C33" s="1450" t="s">
        <v>1734</v>
      </c>
      <c r="D33" s="2777"/>
      <c r="E33" s="1452">
        <v>0.21</v>
      </c>
      <c r="F33" s="1485"/>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row>
    <row r="34" spans="1:26">
      <c r="B34" s="1652"/>
      <c r="C34" s="1667" t="s">
        <v>719</v>
      </c>
      <c r="D34" s="2778"/>
      <c r="E34" s="1641">
        <f>E15*E33</f>
        <v>3592.0499999999997</v>
      </c>
      <c r="F34" s="1661">
        <f>SUM(D34:E34)</f>
        <v>3592.0499999999997</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row>
    <row r="35" spans="1:26" ht="25.5">
      <c r="A35" s="1357" t="s">
        <v>268</v>
      </c>
      <c r="B35" s="1652"/>
      <c r="C35" s="1667" t="s">
        <v>720</v>
      </c>
      <c r="D35" s="2785"/>
      <c r="E35" s="1641">
        <f>E22*E33</f>
        <v>1632.75</v>
      </c>
      <c r="F35" s="1661">
        <f t="shared" ref="F35" si="16">SUM(D35:E35)</f>
        <v>1632.75</v>
      </c>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row>
    <row r="36" spans="1:26">
      <c r="A36" s="1357" t="s">
        <v>269</v>
      </c>
      <c r="B36" s="1652"/>
      <c r="C36" s="1445"/>
      <c r="D36" s="2775"/>
      <c r="E36" s="1444"/>
      <c r="F36" s="1426">
        <f t="shared" si="15"/>
        <v>0</v>
      </c>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row>
    <row r="37" spans="1:26">
      <c r="A37" s="1357" t="s">
        <v>5</v>
      </c>
      <c r="B37" s="1652"/>
      <c r="C37" s="1488"/>
      <c r="D37" s="2779"/>
      <c r="E37" s="1490"/>
      <c r="F37" s="1493"/>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row>
    <row r="38" spans="1:26">
      <c r="A38" s="1357">
        <v>18230673</v>
      </c>
      <c r="B38" s="1652"/>
      <c r="C38" s="1597" t="s">
        <v>46</v>
      </c>
      <c r="D38" s="2771">
        <f>SUM(D39:D42)</f>
        <v>10000</v>
      </c>
      <c r="E38" s="1464">
        <f>SUM(E39:E42)</f>
        <v>10000</v>
      </c>
      <c r="F38" s="1638">
        <f>D38+E38</f>
        <v>20000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row>
    <row r="39" spans="1:26">
      <c r="A39" s="1357" t="s">
        <v>28</v>
      </c>
      <c r="B39" s="1652"/>
      <c r="C39" s="1667" t="s">
        <v>12</v>
      </c>
      <c r="D39" s="2778">
        <v>10000</v>
      </c>
      <c r="E39" s="1672">
        <v>10000</v>
      </c>
      <c r="F39" s="1426">
        <f t="shared" ref="F39:F42" si="17">SUM(D39:E39)</f>
        <v>20000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row>
    <row r="40" spans="1:26">
      <c r="B40" s="1652"/>
      <c r="C40" s="1667"/>
      <c r="D40" s="2778"/>
      <c r="E40" s="1672"/>
      <c r="F40" s="1426">
        <f t="shared" si="17"/>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row>
    <row r="41" spans="1:26">
      <c r="B41" s="1652"/>
      <c r="C41" s="1667"/>
      <c r="D41" s="2778"/>
      <c r="E41" s="1672"/>
      <c r="F41" s="1426">
        <f t="shared" si="17"/>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row>
    <row r="42" spans="1:26">
      <c r="B42" s="1652"/>
      <c r="C42" s="1667"/>
      <c r="D42" s="2778"/>
      <c r="E42" s="1672"/>
      <c r="F42" s="1426">
        <f t="shared" si="17"/>
        <v>0</v>
      </c>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row>
    <row r="43" spans="1:26">
      <c r="B43" s="1652"/>
      <c r="C43" s="1488"/>
      <c r="D43" s="2779"/>
      <c r="E43" s="1490"/>
      <c r="F43" s="1493"/>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row>
    <row r="44" spans="1:26">
      <c r="B44" s="1652"/>
      <c r="C44" s="1597" t="s">
        <v>483</v>
      </c>
      <c r="D44" s="2771">
        <f>SUM(D45:D48)</f>
        <v>500</v>
      </c>
      <c r="E44" s="1464">
        <f>SUM(E45:E48)</f>
        <v>500</v>
      </c>
      <c r="F44" s="1638">
        <f>D44+E44</f>
        <v>1000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row>
    <row r="45" spans="1:26">
      <c r="B45" s="1652"/>
      <c r="C45" s="1667" t="s">
        <v>747</v>
      </c>
      <c r="D45" s="2778">
        <v>500</v>
      </c>
      <c r="E45" s="1672">
        <v>500</v>
      </c>
      <c r="F45" s="1426">
        <f t="shared" ref="F45:F48" si="18">SUM(D45:E45)</f>
        <v>1000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row>
    <row r="46" spans="1:26">
      <c r="B46" s="1652"/>
      <c r="C46" s="1667"/>
      <c r="D46" s="2778"/>
      <c r="E46" s="1672"/>
      <c r="F46" s="1426">
        <f t="shared" si="18"/>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row>
    <row r="47" spans="1:26">
      <c r="B47" s="1652"/>
      <c r="C47" s="1667"/>
      <c r="D47" s="2778"/>
      <c r="E47" s="1672"/>
      <c r="F47" s="1426">
        <f t="shared" si="18"/>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row>
    <row r="48" spans="1:26">
      <c r="B48" s="1652"/>
      <c r="C48" s="1667"/>
      <c r="D48" s="2778"/>
      <c r="E48" s="1672"/>
      <c r="F48" s="1426">
        <f t="shared" si="18"/>
        <v>0</v>
      </c>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row>
    <row r="49" spans="2:26">
      <c r="B49" s="1652"/>
      <c r="C49" s="1488"/>
      <c r="D49" s="2779"/>
      <c r="E49" s="1490"/>
      <c r="F49" s="1493"/>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row>
    <row r="50" spans="2:26">
      <c r="B50" s="1652"/>
      <c r="C50" s="1597" t="s">
        <v>47</v>
      </c>
      <c r="D50" s="2771">
        <f>SUM(D51:D54)</f>
        <v>0</v>
      </c>
      <c r="E50" s="1464">
        <f>SUM(E51:E54)</f>
        <v>0</v>
      </c>
      <c r="F50" s="1638">
        <f>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row>
    <row r="51" spans="2:26">
      <c r="B51" s="1652"/>
      <c r="C51" s="1667"/>
      <c r="D51" s="2778"/>
      <c r="E51" s="1672"/>
      <c r="F51" s="1426">
        <f t="shared" ref="F51:F54" si="19">SUM(D51:E51)</f>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row>
    <row r="52" spans="2:26">
      <c r="B52" s="1652"/>
      <c r="C52" s="1667"/>
      <c r="D52" s="2778"/>
      <c r="E52" s="1672"/>
      <c r="F52" s="1426">
        <f t="shared" si="19"/>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row>
    <row r="53" spans="2:26">
      <c r="B53" s="1652"/>
      <c r="C53" s="1667"/>
      <c r="D53" s="2778"/>
      <c r="E53" s="1672"/>
      <c r="F53" s="1426">
        <f t="shared" si="19"/>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row>
    <row r="54" spans="2:26">
      <c r="B54" s="1652"/>
      <c r="C54" s="1667"/>
      <c r="D54" s="2778"/>
      <c r="E54" s="1672"/>
      <c r="F54" s="1426">
        <f t="shared" si="19"/>
        <v>0</v>
      </c>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row>
    <row r="55" spans="2:26">
      <c r="B55" s="1652"/>
      <c r="C55" s="1488"/>
      <c r="D55" s="2779"/>
      <c r="E55" s="1490"/>
      <c r="F55" s="1493"/>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row>
    <row r="56" spans="2:26">
      <c r="B56" s="1652"/>
      <c r="C56" s="1597" t="s">
        <v>48</v>
      </c>
      <c r="D56" s="2771">
        <f>SUM(D57:D60)</f>
        <v>500</v>
      </c>
      <c r="E56" s="1464">
        <f>SUM(E57:E60)</f>
        <v>500</v>
      </c>
      <c r="F56" s="1638">
        <f>D56+E56</f>
        <v>1000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row>
    <row r="57" spans="2:26">
      <c r="B57" s="1652"/>
      <c r="C57" s="1667" t="s">
        <v>1455</v>
      </c>
      <c r="D57" s="2778">
        <v>500</v>
      </c>
      <c r="E57" s="1641">
        <v>500</v>
      </c>
      <c r="F57" s="1426">
        <f t="shared" ref="F57:F60" si="20">SUM(D57:E57)</f>
        <v>1000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row>
    <row r="58" spans="2:26">
      <c r="B58" s="1652"/>
      <c r="C58" s="1667"/>
      <c r="D58" s="2778"/>
      <c r="E58" s="1641"/>
      <c r="F58" s="1426">
        <f t="shared" si="20"/>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row>
    <row r="59" spans="2:26">
      <c r="B59" s="1652"/>
      <c r="C59" s="1667"/>
      <c r="D59" s="2778"/>
      <c r="E59" s="1641"/>
      <c r="F59" s="1426">
        <f t="shared" si="20"/>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row>
    <row r="60" spans="2:26">
      <c r="B60" s="1652"/>
      <c r="C60" s="1667"/>
      <c r="D60" s="2778"/>
      <c r="E60" s="1641"/>
      <c r="F60" s="1426">
        <f t="shared" si="20"/>
        <v>0</v>
      </c>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row>
    <row r="61" spans="2:26">
      <c r="B61" s="1652"/>
      <c r="C61" s="1488"/>
      <c r="D61" s="2779"/>
      <c r="E61" s="1490"/>
      <c r="F61" s="1493"/>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row>
    <row r="62" spans="2:26">
      <c r="B62" s="1652"/>
      <c r="C62" s="1597" t="s">
        <v>49</v>
      </c>
      <c r="D62" s="2937">
        <f>SUM(D63:D66)</f>
        <v>500</v>
      </c>
      <c r="E62" s="1464">
        <f>SUM(E63:E66)</f>
        <v>500</v>
      </c>
      <c r="F62" s="1638">
        <f>D62+E62</f>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row>
    <row r="63" spans="2:26">
      <c r="B63" s="1652"/>
      <c r="C63" s="1667"/>
      <c r="D63" s="2778">
        <v>500</v>
      </c>
      <c r="E63" s="1672">
        <v>500</v>
      </c>
      <c r="F63" s="1426">
        <f t="shared" ref="F63:F66" si="21">SUM(D63:E63)</f>
        <v>1000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row>
    <row r="64" spans="2:26">
      <c r="B64" s="1652"/>
      <c r="C64" s="1667"/>
      <c r="D64" s="2778"/>
      <c r="E64" s="1672"/>
      <c r="F64" s="1426">
        <f t="shared" si="21"/>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row>
    <row r="65" spans="1:26" ht="25.5">
      <c r="A65" s="1357" t="s">
        <v>268</v>
      </c>
      <c r="B65" s="1652"/>
      <c r="C65" s="1667"/>
      <c r="D65" s="2778"/>
      <c r="E65" s="1672"/>
      <c r="F65" s="1426">
        <f t="shared" si="21"/>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row>
    <row r="66" spans="1:26">
      <c r="A66" s="1357" t="s">
        <v>269</v>
      </c>
      <c r="B66" s="1652"/>
      <c r="C66" s="1667"/>
      <c r="D66" s="2778"/>
      <c r="E66" s="1672"/>
      <c r="F66" s="1426">
        <f t="shared" si="21"/>
        <v>0</v>
      </c>
      <c r="H66" s="1460"/>
      <c r="I66" s="1466"/>
      <c r="J66" s="1470" t="s">
        <v>229</v>
      </c>
      <c r="K66" s="1460"/>
      <c r="L66" s="1467"/>
      <c r="M66" s="1467"/>
      <c r="N66" s="1461"/>
      <c r="O66" s="1460"/>
      <c r="P66" s="1463"/>
      <c r="Q66" s="1466"/>
      <c r="R66" s="1466"/>
      <c r="S66" s="1469" t="s">
        <v>229</v>
      </c>
      <c r="T66" s="1469" t="s">
        <v>229</v>
      </c>
      <c r="U66" s="1469" t="s">
        <v>229</v>
      </c>
      <c r="V66" s="1469" t="s">
        <v>229</v>
      </c>
      <c r="W66" s="1459" t="s">
        <v>229</v>
      </c>
      <c r="X66" s="1459" t="s">
        <v>229</v>
      </c>
      <c r="Y66" s="1459" t="s">
        <v>229</v>
      </c>
      <c r="Z66" s="1482"/>
    </row>
    <row r="67" spans="1:26">
      <c r="A67" s="1357" t="s">
        <v>5</v>
      </c>
      <c r="B67" s="1652"/>
      <c r="C67" s="1488"/>
      <c r="D67" s="2779"/>
      <c r="E67" s="1490"/>
      <c r="F67" s="1493"/>
    </row>
    <row r="68" spans="1:26">
      <c r="A68" s="1357">
        <v>18230673</v>
      </c>
      <c r="B68" s="1652"/>
      <c r="C68" s="1597" t="s">
        <v>50</v>
      </c>
      <c r="D68" s="2771">
        <f>W15</f>
        <v>108120</v>
      </c>
      <c r="E68" s="1464">
        <f>X15</f>
        <v>159880</v>
      </c>
      <c r="F68" s="1638">
        <f>D68+E68</f>
        <v>268000</v>
      </c>
    </row>
    <row r="69" spans="1:26">
      <c r="A69" s="1357" t="s">
        <v>28</v>
      </c>
      <c r="C69" s="1500" t="s">
        <v>297</v>
      </c>
      <c r="D69" s="2938">
        <f>D68/D12</f>
        <v>0.59894577234608537</v>
      </c>
      <c r="E69" s="1986">
        <f>E68/E12</f>
        <v>0.73137402434668564</v>
      </c>
      <c r="F69" s="1499"/>
    </row>
    <row r="70" spans="1:26">
      <c r="C70" s="1501"/>
      <c r="D70" s="2782"/>
      <c r="E70" s="1497"/>
      <c r="F70" s="1498"/>
    </row>
    <row r="71" spans="1:26">
      <c r="C71" s="1494" t="s">
        <v>51</v>
      </c>
      <c r="D71" s="2778">
        <v>0</v>
      </c>
      <c r="E71" s="1671">
        <v>0</v>
      </c>
      <c r="F71" s="1491">
        <v>0</v>
      </c>
    </row>
  </sheetData>
  <customSheetViews>
    <customSheetView guid="{D9EFFE19-D14B-4C6F-BDF4-FF696F73968D}" showGridLines="0">
      <pane xSplit="1" ySplit="1" topLeftCell="I2" activePane="bottomRight" state="frozen"/>
      <selection pane="bottomRight" activeCell="L15" sqref="L15:M15"/>
      <pageMargins left="0.21" right="0.17" top="0.34" bottom="0.36" header="0.3" footer="0.3"/>
      <pageSetup paperSize="17" scale="46" orientation="landscape" r:id="rId1"/>
    </customSheetView>
    <customSheetView guid="{074EB09C-6289-46D7-9513-012B68BCA7BF}" showGridLines="0">
      <pane xSplit="1" ySplit="1" topLeftCell="B2" activePane="bottomRight" state="frozen"/>
      <selection pane="bottomRight" activeCell="H4" sqref="H4:H6"/>
      <pageMargins left="0.21" right="0.17" top="0.34" bottom="0.36" header="0.3" footer="0.3"/>
      <pageSetup paperSize="17" scale="46" orientation="landscape" r:id="rId2"/>
    </customSheetView>
  </customSheetViews>
  <mergeCells count="9">
    <mergeCell ref="Z12:Z13"/>
    <mergeCell ref="S2:T2"/>
    <mergeCell ref="U2:W2"/>
    <mergeCell ref="X2:X3"/>
    <mergeCell ref="H10:P10"/>
    <mergeCell ref="H12:P12"/>
    <mergeCell ref="Q12:S12"/>
    <mergeCell ref="T12:V12"/>
    <mergeCell ref="W12:Y12"/>
  </mergeCells>
  <pageMargins left="0.21" right="0.17" top="0.34" bottom="0.36" header="0.3" footer="0.3"/>
  <pageSetup paperSize="3" scale="46" orientation="landscape" r:id="rId3"/>
  <drawing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8DB4E3"/>
    <pageSetUpPr fitToPage="1"/>
  </sheetPr>
  <dimension ref="A1:V89"/>
  <sheetViews>
    <sheetView showGridLines="0" zoomScaleNormal="100" workbookViewId="0">
      <pane xSplit="1" ySplit="1" topLeftCell="B2" activePane="bottomRight" state="frozen"/>
      <selection pane="topRight" activeCell="B1" sqref="B1"/>
      <selection pane="bottomLeft" activeCell="A2" sqref="A2"/>
      <selection pane="bottomRight" activeCell="B48" sqref="B48"/>
    </sheetView>
  </sheetViews>
  <sheetFormatPr defaultColWidth="20" defaultRowHeight="12.75"/>
  <cols>
    <col min="1" max="1" width="18.28515625" style="849" customWidth="1"/>
    <col min="2" max="2" width="56" bestFit="1" customWidth="1"/>
    <col min="14" max="14" width="33.140625" customWidth="1"/>
  </cols>
  <sheetData>
    <row r="1" spans="1:22" ht="55.5" customHeight="1">
      <c r="B1" s="1387" t="s">
        <v>265</v>
      </c>
      <c r="C1" s="1361" t="s">
        <v>261</v>
      </c>
      <c r="D1" s="1387" t="s">
        <v>79</v>
      </c>
      <c r="E1" s="1386" t="s">
        <v>4</v>
      </c>
      <c r="H1" s="1361"/>
      <c r="I1" s="58"/>
      <c r="J1" s="58"/>
      <c r="K1" s="1791" t="s">
        <v>265</v>
      </c>
      <c r="L1" s="1509" t="s">
        <v>261</v>
      </c>
      <c r="M1" s="1387" t="s">
        <v>79</v>
      </c>
      <c r="N1" s="1386" t="s">
        <v>4</v>
      </c>
    </row>
    <row r="2" spans="1:22" ht="21" thickBot="1">
      <c r="B2" s="64"/>
      <c r="C2" s="2165"/>
      <c r="D2" s="2165"/>
      <c r="E2" s="2166"/>
      <c r="F2" s="2167"/>
      <c r="G2" s="2167"/>
      <c r="H2" s="1793"/>
      <c r="I2" s="1793"/>
      <c r="J2" s="1793"/>
      <c r="K2" s="1792"/>
      <c r="L2" s="1792"/>
      <c r="M2" s="2169"/>
      <c r="N2" s="1137"/>
      <c r="O2" s="1137"/>
      <c r="P2" s="1137"/>
      <c r="Q2" s="1137"/>
      <c r="R2" s="1137"/>
      <c r="S2" s="1137"/>
      <c r="T2" s="1137"/>
      <c r="U2" s="1137"/>
      <c r="V2" s="1137"/>
    </row>
    <row r="3" spans="1:22" s="1536" customFormat="1" ht="38.25">
      <c r="A3" s="1382" t="s">
        <v>265</v>
      </c>
      <c r="C3" s="2168"/>
      <c r="D3" s="2168"/>
      <c r="E3" s="2168"/>
      <c r="F3" s="2168"/>
      <c r="G3" s="2171"/>
      <c r="H3" s="2653" t="s">
        <v>1747</v>
      </c>
      <c r="I3" s="2654" t="s">
        <v>8</v>
      </c>
      <c r="J3" s="2654" t="s">
        <v>77</v>
      </c>
      <c r="K3" s="2170" t="s">
        <v>10</v>
      </c>
      <c r="L3" s="2170" t="s">
        <v>482</v>
      </c>
      <c r="M3" s="2170" t="s">
        <v>11</v>
      </c>
      <c r="N3" s="2170" t="s">
        <v>12</v>
      </c>
      <c r="O3" s="2170" t="s">
        <v>13</v>
      </c>
      <c r="P3" s="2170" t="s">
        <v>78</v>
      </c>
      <c r="Q3" s="1790" t="s">
        <v>36</v>
      </c>
      <c r="R3" s="1874" t="s">
        <v>15</v>
      </c>
      <c r="S3" s="1790" t="s">
        <v>37</v>
      </c>
      <c r="T3" s="1553"/>
      <c r="U3" s="1554"/>
      <c r="V3" s="1555"/>
    </row>
    <row r="4" spans="1:22" ht="26.25">
      <c r="A4" s="1382" t="s">
        <v>79</v>
      </c>
      <c r="G4" s="2946" t="s">
        <v>1726</v>
      </c>
      <c r="H4" s="2964">
        <f>C19</f>
        <v>480442.96576611878</v>
      </c>
      <c r="I4" s="2965">
        <f>C21</f>
        <v>11339</v>
      </c>
      <c r="J4" s="2965">
        <f>C46</f>
        <v>85077.609306545462</v>
      </c>
      <c r="K4" s="2965">
        <f>C41</f>
        <v>0</v>
      </c>
      <c r="L4" s="2965">
        <f>C31</f>
        <v>25000</v>
      </c>
      <c r="M4" s="2965">
        <f>C60</f>
        <v>1770000</v>
      </c>
      <c r="N4" s="2965">
        <f>C39</f>
        <v>8500</v>
      </c>
      <c r="O4" s="2965">
        <f>C33</f>
        <v>0</v>
      </c>
      <c r="P4" s="2965">
        <f>C14</f>
        <v>5500000</v>
      </c>
      <c r="Q4" s="2965"/>
      <c r="R4" s="2966">
        <f>SUM(H4:P4)</f>
        <v>7880359.5750726648</v>
      </c>
      <c r="S4" s="2967">
        <f>C75</f>
        <v>27500000</v>
      </c>
      <c r="T4" s="1550"/>
      <c r="U4" s="1551"/>
      <c r="V4" s="1552"/>
    </row>
    <row r="5" spans="1:22" ht="15.75">
      <c r="A5" s="1357" t="s">
        <v>261</v>
      </c>
      <c r="G5" s="3205" t="s">
        <v>1753</v>
      </c>
      <c r="H5" s="2655">
        <v>479585.94267861627</v>
      </c>
      <c r="I5" s="2656">
        <v>11622.48</v>
      </c>
      <c r="J5" s="2656">
        <v>336334.63239404804</v>
      </c>
      <c r="K5" s="2657">
        <v>0</v>
      </c>
      <c r="L5" s="2656">
        <v>25000</v>
      </c>
      <c r="M5" s="2658">
        <v>740000</v>
      </c>
      <c r="N5" s="2656">
        <v>8500</v>
      </c>
      <c r="O5" s="2656">
        <v>0</v>
      </c>
      <c r="P5" s="2656">
        <v>6000000</v>
      </c>
      <c r="Q5" s="2656"/>
      <c r="R5" s="2659">
        <v>7601043.0550726643</v>
      </c>
      <c r="S5" s="2660">
        <v>25500000</v>
      </c>
      <c r="T5" s="1550"/>
      <c r="U5" s="1551"/>
      <c r="V5" s="1552"/>
    </row>
    <row r="6" spans="1:22" ht="16.5" thickBot="1">
      <c r="A6" s="1388" t="s">
        <v>4</v>
      </c>
      <c r="G6" s="3206" t="s">
        <v>1754</v>
      </c>
      <c r="H6" s="2663">
        <f>D19</f>
        <v>461442.96576611878</v>
      </c>
      <c r="I6" s="2664">
        <f>D21</f>
        <v>18000</v>
      </c>
      <c r="J6" s="2664">
        <f>D46</f>
        <v>187617.39256452007</v>
      </c>
      <c r="K6" s="2664">
        <f>D41</f>
        <v>30000</v>
      </c>
      <c r="L6" s="2664">
        <f>D31</f>
        <v>35000</v>
      </c>
      <c r="M6" s="2665">
        <f>D60</f>
        <v>1380000</v>
      </c>
      <c r="N6" s="2664">
        <f>D39</f>
        <v>10000</v>
      </c>
      <c r="O6" s="2664">
        <f>D33</f>
        <v>0</v>
      </c>
      <c r="P6" s="2664">
        <f>D14</f>
        <v>5250000</v>
      </c>
      <c r="Q6" s="2664"/>
      <c r="R6" s="2666">
        <f>SUM(H6:P6)</f>
        <v>7372060.3583306391</v>
      </c>
      <c r="S6" s="2667">
        <f>D75</f>
        <v>26000000</v>
      </c>
      <c r="T6" s="1551"/>
      <c r="U6" s="1551"/>
      <c r="V6" s="1552"/>
    </row>
    <row r="7" spans="1:22" s="1173" customFormat="1">
      <c r="G7" s="2650"/>
      <c r="H7" s="2651"/>
      <c r="I7" s="2651"/>
      <c r="J7" s="2651"/>
      <c r="K7" s="2651"/>
      <c r="L7" s="2651"/>
      <c r="M7" s="2651"/>
      <c r="N7" s="2651"/>
      <c r="O7" s="2651"/>
      <c r="P7" s="2651"/>
      <c r="Q7" s="2651"/>
      <c r="R7" s="2651"/>
      <c r="S7" s="2652"/>
    </row>
    <row r="8" spans="1:22" ht="18">
      <c r="A8" s="1357"/>
      <c r="B8" s="76"/>
      <c r="C8" s="65"/>
      <c r="D8" s="65"/>
      <c r="E8" s="79"/>
      <c r="F8" s="66"/>
      <c r="G8" s="66"/>
      <c r="H8" s="58"/>
      <c r="I8" s="58"/>
      <c r="J8" s="58"/>
      <c r="K8" s="58"/>
      <c r="L8" s="58"/>
      <c r="M8" s="58"/>
      <c r="N8" s="58"/>
    </row>
    <row r="9" spans="1:22" ht="18">
      <c r="A9" s="1357"/>
      <c r="B9" s="1310"/>
      <c r="C9" s="2803">
        <v>2016</v>
      </c>
      <c r="D9" s="576">
        <v>2017</v>
      </c>
      <c r="E9" s="576" t="s">
        <v>20</v>
      </c>
      <c r="F9" s="81"/>
      <c r="G9" s="77"/>
      <c r="H9" s="77"/>
      <c r="I9" s="77"/>
      <c r="J9" s="58"/>
      <c r="K9" s="58"/>
      <c r="L9" s="58"/>
      <c r="M9" s="58"/>
      <c r="N9" s="58"/>
    </row>
    <row r="10" spans="1:22" ht="18">
      <c r="A10" s="1357"/>
      <c r="B10" s="575"/>
      <c r="C10" s="3035"/>
      <c r="D10" s="3036"/>
      <c r="E10" s="3036"/>
      <c r="F10" s="80"/>
      <c r="G10" s="70"/>
      <c r="H10" s="980"/>
      <c r="I10" s="986"/>
      <c r="J10" s="977"/>
      <c r="K10" s="977"/>
      <c r="N10" s="58"/>
    </row>
    <row r="11" spans="1:22">
      <c r="A11" s="1357"/>
      <c r="B11" s="820" t="s">
        <v>80</v>
      </c>
      <c r="C11" s="3037"/>
      <c r="D11" s="3038"/>
      <c r="E11" s="3039"/>
      <c r="F11" s="604"/>
      <c r="G11" s="70"/>
      <c r="H11" s="980"/>
      <c r="I11" s="980"/>
      <c r="J11" s="981"/>
      <c r="K11" s="977"/>
      <c r="N11" s="58"/>
    </row>
    <row r="12" spans="1:22" ht="15">
      <c r="A12" s="1357"/>
      <c r="B12" s="3077"/>
      <c r="C12" s="3040">
        <v>5500000</v>
      </c>
      <c r="D12" s="3041">
        <v>5250000</v>
      </c>
      <c r="E12" s="3042">
        <f>SUM(C12:D12)</f>
        <v>10750000</v>
      </c>
      <c r="F12" s="1848" t="s">
        <v>2600</v>
      </c>
      <c r="G12" s="70"/>
      <c r="H12" s="980"/>
      <c r="I12" s="980"/>
      <c r="J12" s="982"/>
      <c r="K12" s="977"/>
      <c r="N12" s="58"/>
    </row>
    <row r="13" spans="1:22" ht="17.25">
      <c r="B13" s="3077"/>
      <c r="C13" s="3043"/>
      <c r="D13" s="3044"/>
      <c r="E13" s="3045">
        <f>SUM(C13:D13)</f>
        <v>0</v>
      </c>
      <c r="F13" s="604"/>
      <c r="G13" s="70"/>
      <c r="H13" s="980"/>
      <c r="I13" s="980"/>
      <c r="J13" s="982"/>
      <c r="K13" s="975"/>
      <c r="N13" s="58"/>
    </row>
    <row r="14" spans="1:22">
      <c r="B14" s="941"/>
      <c r="C14" s="3046">
        <f>SUM(C12:C13)</f>
        <v>5500000</v>
      </c>
      <c r="D14" s="3047">
        <f>SUM(D12:D13)</f>
        <v>5250000</v>
      </c>
      <c r="E14" s="3039">
        <f>SUM(C14:D14)</f>
        <v>10750000</v>
      </c>
      <c r="F14" s="604"/>
      <c r="G14" s="70"/>
      <c r="H14" s="980"/>
      <c r="I14" s="1095"/>
      <c r="J14" s="976"/>
      <c r="K14" s="975"/>
      <c r="N14" s="58"/>
    </row>
    <row r="15" spans="1:22" ht="18">
      <c r="B15" s="821"/>
      <c r="C15" s="2829"/>
      <c r="D15" s="3048"/>
      <c r="E15" s="3049"/>
      <c r="F15" s="3592" t="s">
        <v>1740</v>
      </c>
      <c r="G15" s="3593"/>
      <c r="H15" s="3593"/>
      <c r="I15" s="980"/>
      <c r="J15" s="976"/>
      <c r="K15" s="975"/>
      <c r="N15" s="58"/>
    </row>
    <row r="16" spans="1:22">
      <c r="B16" s="820" t="s">
        <v>1745</v>
      </c>
      <c r="C16" s="2829"/>
      <c r="D16" s="3048"/>
      <c r="E16" s="3049"/>
      <c r="F16" s="3084">
        <v>2016</v>
      </c>
      <c r="G16" s="2388">
        <v>2017</v>
      </c>
      <c r="H16" s="978" t="s">
        <v>1684</v>
      </c>
      <c r="I16" s="980"/>
      <c r="J16" s="976"/>
      <c r="K16" s="975"/>
    </row>
    <row r="17" spans="1:12">
      <c r="A17"/>
      <c r="B17" s="824" t="s">
        <v>85</v>
      </c>
      <c r="C17" s="3050">
        <v>839000</v>
      </c>
      <c r="D17" s="3041">
        <v>820000</v>
      </c>
      <c r="E17" s="3042">
        <f>SUM(C17:D17)</f>
        <v>1659000</v>
      </c>
      <c r="F17" s="3085">
        <v>7.1</v>
      </c>
      <c r="G17">
        <v>6.9</v>
      </c>
      <c r="H17" s="1663">
        <f>(F17+G17)/2</f>
        <v>7</v>
      </c>
      <c r="I17" s="71" t="s">
        <v>86</v>
      </c>
      <c r="J17" s="976"/>
      <c r="K17" s="975"/>
    </row>
    <row r="18" spans="1:12" ht="15" customHeight="1">
      <c r="A18"/>
      <c r="B18" s="913" t="s">
        <v>316</v>
      </c>
      <c r="C18" s="3138">
        <f>-('LPSD_Detail_Non-449 Elec'!C17+LPSD_Detail_449_Elec!C17)</f>
        <v>-358557.03423388122</v>
      </c>
      <c r="D18" s="3139">
        <f>-('LPSD_Detail_Non-449 Elec'!D17+LPSD_Detail_449_Elec!D17)</f>
        <v>-358557.03423388122</v>
      </c>
      <c r="E18" s="3070">
        <f>SUM(C18:D18)</f>
        <v>-717114.06846776244</v>
      </c>
      <c r="F18" s="2767"/>
      <c r="J18" s="976"/>
      <c r="K18" s="975"/>
    </row>
    <row r="19" spans="1:12" s="1652" customFormat="1" ht="15" customHeight="1">
      <c r="B19" s="3140" t="s">
        <v>1746</v>
      </c>
      <c r="C19" s="3142">
        <f>C17+C18</f>
        <v>480442.96576611878</v>
      </c>
      <c r="D19" s="3143">
        <f>D17+D18</f>
        <v>461442.96576611878</v>
      </c>
      <c r="E19" s="3073">
        <f>E17+E18</f>
        <v>941885.93153223756</v>
      </c>
      <c r="F19" s="2767"/>
      <c r="J19" s="1091"/>
      <c r="K19" s="1088"/>
    </row>
    <row r="20" spans="1:12" s="1652" customFormat="1" ht="15" customHeight="1">
      <c r="B20" s="913"/>
      <c r="C20" s="3051"/>
      <c r="D20" s="3052"/>
      <c r="E20" s="3053"/>
      <c r="F20" s="2767"/>
      <c r="J20" s="1091"/>
      <c r="K20" s="1088"/>
    </row>
    <row r="21" spans="1:12">
      <c r="A21"/>
      <c r="B21" s="3136" t="s">
        <v>1545</v>
      </c>
      <c r="C21" s="3071">
        <v>11339</v>
      </c>
      <c r="D21" s="3141">
        <v>18000</v>
      </c>
      <c r="E21" s="3039">
        <f>SUM(C21:D21)</f>
        <v>29339</v>
      </c>
      <c r="F21" s="2767">
        <v>0.1</v>
      </c>
      <c r="G21">
        <v>0.1</v>
      </c>
      <c r="H21" s="1663">
        <f>(F21+G21)/2</f>
        <v>0.1</v>
      </c>
      <c r="I21" s="71" t="s">
        <v>86</v>
      </c>
      <c r="J21" s="989"/>
      <c r="K21" s="975"/>
    </row>
    <row r="22" spans="1:12">
      <c r="A22"/>
      <c r="B22" s="909"/>
      <c r="C22" s="2847"/>
      <c r="D22" s="3055"/>
      <c r="E22" s="3042"/>
      <c r="F22" s="606"/>
      <c r="H22" s="979"/>
      <c r="I22" s="984"/>
      <c r="J22" s="987"/>
      <c r="K22" s="985"/>
    </row>
    <row r="23" spans="1:12">
      <c r="A23"/>
      <c r="B23" s="1310"/>
      <c r="C23" s="2932"/>
      <c r="D23" s="1307"/>
      <c r="E23" s="3056"/>
      <c r="F23" s="603"/>
      <c r="G23" s="69"/>
      <c r="H23" s="979"/>
      <c r="I23" s="984"/>
      <c r="J23" s="987"/>
      <c r="K23" s="985"/>
    </row>
    <row r="24" spans="1:12">
      <c r="A24"/>
      <c r="B24" s="824"/>
      <c r="C24" s="2832"/>
      <c r="D24" s="3048"/>
      <c r="E24" s="3049"/>
      <c r="F24" s="602"/>
      <c r="G24" s="68"/>
      <c r="H24" s="979"/>
      <c r="I24" s="983"/>
      <c r="J24" s="988"/>
      <c r="K24" s="975"/>
    </row>
    <row r="25" spans="1:12">
      <c r="A25"/>
      <c r="B25" s="820" t="s">
        <v>483</v>
      </c>
      <c r="C25" s="2830"/>
      <c r="D25" s="3048"/>
      <c r="E25" s="3049"/>
      <c r="J25" s="975"/>
      <c r="K25" s="975"/>
    </row>
    <row r="26" spans="1:12">
      <c r="A26"/>
      <c r="B26" s="1822" t="s">
        <v>90</v>
      </c>
      <c r="C26" s="2849"/>
      <c r="D26" s="3057"/>
      <c r="E26" s="3042">
        <f>C26+D26</f>
        <v>0</v>
      </c>
      <c r="J26" s="975"/>
      <c r="K26" s="975"/>
    </row>
    <row r="27" spans="1:12">
      <c r="A27"/>
      <c r="B27" s="824" t="s">
        <v>497</v>
      </c>
      <c r="C27" s="3058"/>
      <c r="D27" s="3057"/>
      <c r="E27" s="3042">
        <f>C27+D27</f>
        <v>0</v>
      </c>
      <c r="J27" s="975"/>
      <c r="K27" s="975"/>
    </row>
    <row r="28" spans="1:12" s="1652" customFormat="1">
      <c r="B28" s="824" t="s">
        <v>94</v>
      </c>
      <c r="C28" s="2849"/>
      <c r="D28" s="3057"/>
      <c r="E28" s="3042">
        <f>C28+D28</f>
        <v>0</v>
      </c>
      <c r="J28" s="1088"/>
      <c r="K28" s="1088"/>
    </row>
    <row r="29" spans="1:12" ht="12.75" customHeight="1">
      <c r="A29"/>
      <c r="B29" s="824" t="s">
        <v>498</v>
      </c>
      <c r="C29" s="2849"/>
      <c r="D29" s="3057"/>
      <c r="E29" s="3042">
        <f>C29+D29</f>
        <v>0</v>
      </c>
    </row>
    <row r="30" spans="1:12" ht="12.75" customHeight="1">
      <c r="A30"/>
      <c r="B30" s="824" t="s">
        <v>97</v>
      </c>
      <c r="C30" s="3059"/>
      <c r="D30" s="3060"/>
      <c r="E30" s="3045">
        <f>C30+D30</f>
        <v>0</v>
      </c>
      <c r="F30" s="602"/>
      <c r="G30" s="68"/>
      <c r="I30" s="3591"/>
      <c r="J30" s="3591"/>
      <c r="K30" s="3591"/>
      <c r="L30" s="3591"/>
    </row>
    <row r="31" spans="1:12">
      <c r="A31"/>
      <c r="B31" s="3136" t="s">
        <v>1741</v>
      </c>
      <c r="C31" s="2830">
        <v>25000</v>
      </c>
      <c r="D31" s="805">
        <v>35000</v>
      </c>
      <c r="E31" s="3039">
        <f>SUM(C31:D31)</f>
        <v>60000</v>
      </c>
      <c r="F31" s="602"/>
      <c r="G31" s="68"/>
      <c r="I31" s="3591"/>
      <c r="J31" s="3591"/>
      <c r="K31" s="3591"/>
      <c r="L31" s="3591"/>
    </row>
    <row r="32" spans="1:12">
      <c r="B32" s="3048"/>
      <c r="C32" s="2831"/>
      <c r="D32" s="3048"/>
      <c r="E32" s="3049"/>
      <c r="F32" s="602"/>
      <c r="G32" s="68"/>
      <c r="I32" s="3591"/>
      <c r="J32" s="3591"/>
      <c r="K32" s="3591"/>
      <c r="L32" s="3591"/>
    </row>
    <row r="33" spans="1:22">
      <c r="B33" s="820" t="s">
        <v>84</v>
      </c>
      <c r="C33" s="2830"/>
      <c r="D33" s="3054"/>
      <c r="E33" s="3039">
        <f>SUM(C33:D33)</f>
        <v>0</v>
      </c>
      <c r="F33" s="602"/>
      <c r="G33" s="68"/>
      <c r="H33" s="63"/>
      <c r="I33" s="3591"/>
      <c r="J33" s="3591"/>
      <c r="K33" s="3591"/>
      <c r="L33" s="3591"/>
      <c r="O33" s="1137"/>
      <c r="P33" s="1137"/>
      <c r="Q33" s="1137"/>
      <c r="R33" s="1137"/>
      <c r="S33" s="1137"/>
      <c r="T33" s="1137"/>
      <c r="U33" s="1137"/>
      <c r="V33" s="1137"/>
    </row>
    <row r="34" spans="1:22" s="1652" customFormat="1">
      <c r="B34" s="3048" t="s">
        <v>499</v>
      </c>
      <c r="C34" s="2831"/>
      <c r="D34" s="3048"/>
      <c r="E34" s="3049"/>
      <c r="F34" s="823"/>
      <c r="G34" s="548"/>
      <c r="H34" s="540"/>
      <c r="I34" s="3591"/>
      <c r="J34" s="3591"/>
      <c r="K34" s="3591"/>
      <c r="L34" s="3591"/>
      <c r="O34" s="1137"/>
      <c r="P34" s="1137"/>
      <c r="Q34" s="1137"/>
      <c r="R34" s="1137"/>
      <c r="S34" s="1137"/>
      <c r="T34" s="1137"/>
      <c r="U34" s="1137"/>
      <c r="V34" s="1137"/>
    </row>
    <row r="35" spans="1:22">
      <c r="B35" s="3048"/>
      <c r="C35" s="2831"/>
      <c r="D35" s="3048"/>
      <c r="E35" s="3049"/>
      <c r="F35" s="601"/>
      <c r="G35" s="63"/>
      <c r="H35" s="63"/>
      <c r="I35" s="3591"/>
      <c r="J35" s="3591"/>
      <c r="K35" s="3591"/>
      <c r="L35" s="3591"/>
      <c r="O35" s="1550"/>
      <c r="P35" s="1550"/>
      <c r="Q35" s="1550"/>
      <c r="R35" s="1550"/>
      <c r="S35" s="1550"/>
      <c r="T35" s="1550"/>
      <c r="U35" s="1551"/>
      <c r="V35" s="1552"/>
    </row>
    <row r="36" spans="1:22">
      <c r="B36" s="828" t="s">
        <v>87</v>
      </c>
      <c r="C36" s="2831"/>
      <c r="D36" s="3048"/>
      <c r="E36" s="3049"/>
      <c r="F36" s="601"/>
      <c r="G36" s="63"/>
      <c r="H36" s="63"/>
      <c r="I36" s="1550"/>
      <c r="J36" s="1550"/>
      <c r="K36" s="1550"/>
      <c r="L36" s="1550"/>
      <c r="O36" s="1550"/>
      <c r="P36" s="1550"/>
      <c r="Q36" s="1550"/>
      <c r="R36" s="1550"/>
      <c r="S36" s="1550"/>
      <c r="T36" s="1550"/>
      <c r="U36" s="1551"/>
      <c r="V36" s="1552"/>
    </row>
    <row r="37" spans="1:22">
      <c r="B37" s="1822" t="s">
        <v>100</v>
      </c>
      <c r="C37" s="2831"/>
      <c r="D37" s="3057"/>
      <c r="E37" s="3042">
        <f>C37+D37</f>
        <v>0</v>
      </c>
      <c r="F37" s="601"/>
      <c r="G37" s="63"/>
      <c r="H37" s="63"/>
      <c r="O37" s="1551"/>
      <c r="P37" s="1551"/>
      <c r="Q37" s="1551"/>
      <c r="R37" s="1551"/>
      <c r="S37" s="1551"/>
      <c r="T37" s="1551"/>
      <c r="U37" s="1551"/>
      <c r="V37" s="1552"/>
    </row>
    <row r="38" spans="1:22" ht="15">
      <c r="B38" s="3048" t="s">
        <v>102</v>
      </c>
      <c r="C38" s="3061"/>
      <c r="D38" s="3060">
        <v>10000</v>
      </c>
      <c r="E38" s="3045">
        <f>C38+D38</f>
        <v>10000</v>
      </c>
      <c r="F38" s="601"/>
      <c r="G38" s="63"/>
      <c r="H38" s="63"/>
    </row>
    <row r="39" spans="1:22">
      <c r="B39" s="312" t="s">
        <v>1744</v>
      </c>
      <c r="C39" s="3062">
        <v>8500</v>
      </c>
      <c r="D39" s="680">
        <f>D37+D38</f>
        <v>10000</v>
      </c>
      <c r="E39" s="3039">
        <f>SUM(C39:D39)</f>
        <v>18500</v>
      </c>
      <c r="F39" s="601"/>
      <c r="G39" s="63"/>
      <c r="H39" s="63"/>
    </row>
    <row r="40" spans="1:22">
      <c r="A40" s="1382" t="s">
        <v>265</v>
      </c>
      <c r="B40" s="3048"/>
      <c r="C40" s="2831"/>
      <c r="D40" s="3048"/>
      <c r="E40" s="3049"/>
      <c r="F40" s="601"/>
      <c r="G40" s="63"/>
      <c r="H40" s="63"/>
      <c r="I40" s="67"/>
    </row>
    <row r="41" spans="1:22">
      <c r="A41" s="1357" t="s">
        <v>261</v>
      </c>
      <c r="B41" s="828" t="s">
        <v>88</v>
      </c>
      <c r="C41" s="3063"/>
      <c r="D41" s="3064">
        <v>30000</v>
      </c>
      <c r="E41" s="3039">
        <f>SUM(C41:D41)</f>
        <v>30000</v>
      </c>
      <c r="F41" s="601"/>
      <c r="G41" s="62"/>
      <c r="H41" s="63"/>
      <c r="I41" s="67"/>
    </row>
    <row r="42" spans="1:22" ht="25.5">
      <c r="A42" s="1382" t="s">
        <v>79</v>
      </c>
      <c r="B42" s="3048"/>
      <c r="C42" s="2831"/>
      <c r="D42" s="3048"/>
      <c r="E42" s="3049"/>
      <c r="F42" s="2865">
        <v>0.66700000000000004</v>
      </c>
      <c r="G42" s="3086" t="s">
        <v>659</v>
      </c>
      <c r="H42" s="63"/>
      <c r="I42" s="67"/>
    </row>
    <row r="43" spans="1:22">
      <c r="A43" s="1388" t="s">
        <v>4</v>
      </c>
      <c r="B43" s="829" t="s">
        <v>9</v>
      </c>
      <c r="C43" s="2847">
        <f>ROUND(SUM(C19,C21)*F42, -2)</f>
        <v>328000</v>
      </c>
      <c r="D43" s="3065">
        <f>SUM(D19+D21)*F43</f>
        <v>329856.76044708968</v>
      </c>
      <c r="E43" s="3042">
        <f>SUM(C43:D43)</f>
        <v>657856.76044708968</v>
      </c>
      <c r="F43" s="2145">
        <v>0.68799999999999994</v>
      </c>
      <c r="G43" s="2144" t="s">
        <v>660</v>
      </c>
      <c r="H43" s="978" t="s">
        <v>232</v>
      </c>
      <c r="I43" s="975"/>
      <c r="J43" s="975"/>
    </row>
    <row r="44" spans="1:22">
      <c r="B44" s="3078" t="s">
        <v>319</v>
      </c>
      <c r="C44" s="3066">
        <f>-SUM('LPSD_Detail_Non-449 Elec'!C39+LPSD_Detail_449_Elec!C39)</f>
        <v>-242922.39069345454</v>
      </c>
      <c r="D44" s="3067">
        <f>-SUM('LPSD_Detail_Non-449 Elec'!D39+LPSD_Detail_449_Elec!D39)</f>
        <v>-242922.39069345454</v>
      </c>
      <c r="E44" s="3053">
        <f>-J46</f>
        <v>-485844.78138690908</v>
      </c>
      <c r="H44" s="991"/>
      <c r="I44" s="992" t="s">
        <v>233</v>
      </c>
      <c r="J44" s="2509">
        <f>'LPSD_Detail_Non-449 Elec'!I35+LPSD_Detail_449_Elec!I35</f>
        <v>1202958.8498546714</v>
      </c>
    </row>
    <row r="45" spans="1:22" ht="15">
      <c r="B45" s="3079" t="s">
        <v>1732</v>
      </c>
      <c r="C45" s="3068"/>
      <c r="D45" s="3069">
        <f>(D19+D21)*F45</f>
        <v>100683.02281088494</v>
      </c>
      <c r="E45" s="3070">
        <f>C45+D45</f>
        <v>100683.02281088494</v>
      </c>
      <c r="F45" s="3015">
        <v>0.21</v>
      </c>
      <c r="G45" s="2144" t="s">
        <v>1735</v>
      </c>
      <c r="H45" s="990"/>
      <c r="I45" s="993" t="s">
        <v>234</v>
      </c>
      <c r="J45" s="2510">
        <f>'LPSD_Detail_Non-449 Elec'!I36+LPSD_Detail_449_Elec!I36</f>
        <v>717114.06846776244</v>
      </c>
    </row>
    <row r="46" spans="1:22">
      <c r="B46" s="3134" t="s">
        <v>1743</v>
      </c>
      <c r="C46" s="3071">
        <f>C43+C44</f>
        <v>85077.609306545462</v>
      </c>
      <c r="D46" s="3072">
        <f>D43+D44+D45</f>
        <v>187617.39256452007</v>
      </c>
      <c r="E46" s="3073">
        <f>E43+E44+E45</f>
        <v>272695.00187106553</v>
      </c>
      <c r="F46" s="601"/>
      <c r="H46" s="995"/>
      <c r="I46" s="994" t="s">
        <v>235</v>
      </c>
      <c r="J46" s="2511">
        <f>'LPSD_Detail_Non-449 Elec'!I37+LPSD_Detail_449_Elec!I37</f>
        <v>485844.78138690908</v>
      </c>
    </row>
    <row r="47" spans="1:22">
      <c r="B47" s="1822"/>
      <c r="C47" s="2831"/>
      <c r="D47" s="3048"/>
      <c r="E47" s="3049"/>
      <c r="F47" s="601"/>
      <c r="H47" s="63"/>
      <c r="I47" s="67"/>
    </row>
    <row r="48" spans="1:22">
      <c r="A48"/>
      <c r="B48" s="820" t="s">
        <v>11</v>
      </c>
      <c r="C48" s="2831"/>
      <c r="D48" s="3048"/>
      <c r="E48" s="3049"/>
      <c r="F48" s="601"/>
      <c r="G48" s="59"/>
      <c r="H48" s="63"/>
      <c r="I48" s="67"/>
      <c r="J48" s="58"/>
    </row>
    <row r="49" spans="1:10">
      <c r="A49"/>
      <c r="B49" s="3080" t="s">
        <v>81</v>
      </c>
      <c r="C49" s="2831"/>
      <c r="D49" s="3048"/>
      <c r="E49" s="3049"/>
      <c r="F49" s="601"/>
      <c r="G49" s="59"/>
      <c r="H49" s="63"/>
      <c r="I49" s="67"/>
      <c r="J49" s="58"/>
    </row>
    <row r="50" spans="1:10">
      <c r="A50"/>
      <c r="B50" s="870" t="s">
        <v>500</v>
      </c>
      <c r="C50" s="2849"/>
      <c r="D50" s="3057"/>
      <c r="E50" s="3042">
        <f>SUM(C50:D50)</f>
        <v>0</v>
      </c>
      <c r="F50" s="601"/>
      <c r="G50" s="59"/>
      <c r="H50" s="63"/>
      <c r="I50" s="67"/>
      <c r="J50" s="58"/>
    </row>
    <row r="51" spans="1:10">
      <c r="A51"/>
      <c r="B51" s="870" t="s">
        <v>116</v>
      </c>
      <c r="C51" s="2849"/>
      <c r="D51" s="3057"/>
      <c r="E51" s="3042">
        <f t="shared" ref="E51:E59" si="0">SUM(C51:D51)</f>
        <v>0</v>
      </c>
      <c r="F51" s="601"/>
      <c r="G51" s="59"/>
      <c r="H51" s="63"/>
      <c r="I51" s="67"/>
      <c r="J51" s="58"/>
    </row>
    <row r="52" spans="1:10">
      <c r="A52"/>
      <c r="B52" s="870" t="s">
        <v>117</v>
      </c>
      <c r="C52" s="2849"/>
      <c r="D52" s="3057"/>
      <c r="E52" s="3042">
        <f t="shared" si="0"/>
        <v>0</v>
      </c>
      <c r="F52" s="601"/>
      <c r="G52" s="59"/>
      <c r="H52" s="63"/>
      <c r="I52" s="67"/>
      <c r="J52" s="58"/>
    </row>
    <row r="53" spans="1:10">
      <c r="A53"/>
      <c r="B53" s="870" t="s">
        <v>501</v>
      </c>
      <c r="C53" s="2849"/>
      <c r="D53" s="3057"/>
      <c r="E53" s="3042">
        <f t="shared" si="0"/>
        <v>0</v>
      </c>
      <c r="F53" s="601"/>
      <c r="G53" s="59"/>
      <c r="H53" s="63"/>
      <c r="I53" s="67"/>
      <c r="J53" s="58"/>
    </row>
    <row r="54" spans="1:10">
      <c r="A54"/>
      <c r="B54" s="870" t="s">
        <v>115</v>
      </c>
      <c r="C54" s="2849">
        <v>10000</v>
      </c>
      <c r="D54" s="3057">
        <v>0</v>
      </c>
      <c r="E54" s="3042">
        <f t="shared" si="0"/>
        <v>10000</v>
      </c>
      <c r="F54" s="601" t="s">
        <v>2601</v>
      </c>
      <c r="G54" s="59"/>
      <c r="H54" s="63"/>
      <c r="I54" s="67"/>
      <c r="J54" s="58"/>
    </row>
    <row r="55" spans="1:10">
      <c r="A55"/>
      <c r="B55" s="870" t="s">
        <v>121</v>
      </c>
      <c r="C55" s="2849"/>
      <c r="D55" s="3057">
        <v>50000</v>
      </c>
      <c r="E55" s="3042">
        <f t="shared" si="0"/>
        <v>50000</v>
      </c>
      <c r="F55" t="s">
        <v>2602</v>
      </c>
      <c r="G55" s="59"/>
      <c r="H55" s="63"/>
      <c r="I55" s="67"/>
      <c r="J55" s="58"/>
    </row>
    <row r="56" spans="1:10">
      <c r="A56"/>
      <c r="B56" s="3081" t="s">
        <v>82</v>
      </c>
      <c r="C56" s="2849"/>
      <c r="D56" s="3057"/>
      <c r="E56" s="3042"/>
      <c r="F56" s="3087" t="s">
        <v>289</v>
      </c>
      <c r="G56" s="59"/>
      <c r="H56" s="63"/>
      <c r="I56" s="67"/>
      <c r="J56" s="58"/>
    </row>
    <row r="57" spans="1:10">
      <c r="A57"/>
      <c r="B57" s="1406" t="s">
        <v>502</v>
      </c>
      <c r="C57" s="2849">
        <v>500000</v>
      </c>
      <c r="D57" s="3057">
        <v>600000</v>
      </c>
      <c r="E57" s="3042">
        <f t="shared" si="0"/>
        <v>1100000</v>
      </c>
      <c r="F57" s="3087" t="s">
        <v>290</v>
      </c>
      <c r="G57" s="62" t="s">
        <v>2603</v>
      </c>
      <c r="H57" s="72"/>
      <c r="I57" s="73"/>
      <c r="J57" s="61"/>
    </row>
    <row r="58" spans="1:10">
      <c r="A58"/>
      <c r="B58" s="1406" t="s">
        <v>288</v>
      </c>
      <c r="C58" s="2849">
        <v>260000</v>
      </c>
      <c r="D58" s="3057">
        <v>730000</v>
      </c>
      <c r="E58" s="3042">
        <f t="shared" si="0"/>
        <v>990000</v>
      </c>
      <c r="F58" s="3087" t="s">
        <v>291</v>
      </c>
      <c r="G58" s="62"/>
      <c r="H58" s="74"/>
      <c r="I58" s="74"/>
      <c r="J58" s="61"/>
    </row>
    <row r="59" spans="1:10" ht="15">
      <c r="A59"/>
      <c r="B59" s="1406" t="s">
        <v>503</v>
      </c>
      <c r="C59" s="3059">
        <v>1000000</v>
      </c>
      <c r="D59" s="3060"/>
      <c r="E59" s="3045">
        <f t="shared" si="0"/>
        <v>1000000</v>
      </c>
      <c r="F59" s="3087">
        <v>18231132</v>
      </c>
      <c r="G59" s="62"/>
      <c r="H59" s="74"/>
      <c r="I59" s="74"/>
      <c r="J59" s="61"/>
    </row>
    <row r="60" spans="1:10">
      <c r="A60"/>
      <c r="B60" s="3137" t="s">
        <v>107</v>
      </c>
      <c r="C60" s="2929">
        <f>SUM(C50:C59)</f>
        <v>1770000</v>
      </c>
      <c r="D60" s="852">
        <f>SUM(D50:D59)</f>
        <v>1380000</v>
      </c>
      <c r="E60" s="3039">
        <f>SUM(C60:D60)</f>
        <v>3150000</v>
      </c>
      <c r="F60" s="601"/>
      <c r="G60" s="62"/>
      <c r="H60" s="74"/>
      <c r="I60" s="74"/>
      <c r="J60" s="61"/>
    </row>
    <row r="61" spans="1:10" ht="13.5" thickBot="1">
      <c r="A61"/>
      <c r="B61" s="822"/>
      <c r="C61" s="2849"/>
      <c r="D61" s="3048"/>
      <c r="E61" s="3049"/>
      <c r="F61" s="601"/>
      <c r="G61" s="62"/>
      <c r="H61" s="74"/>
      <c r="I61" s="74"/>
      <c r="J61" s="61"/>
    </row>
    <row r="62" spans="1:10" ht="13.5" thickBot="1">
      <c r="A62"/>
      <c r="B62" s="828" t="s">
        <v>108</v>
      </c>
      <c r="C62" s="3074">
        <f>C14+C19+C21+C31+C33+C39+C41+C46+C60</f>
        <v>7880359.5750726648</v>
      </c>
      <c r="D62" s="3075">
        <f>D14+D19+D21+D31+D33+D39+D41+D46+D60</f>
        <v>7372060.3583306391</v>
      </c>
      <c r="E62" s="3076">
        <f>E14+E19+E21+E31+E33+E39+E41+E46+E60</f>
        <v>15252419.933403304</v>
      </c>
      <c r="F62" s="853"/>
      <c r="G62" s="62"/>
      <c r="H62" s="74"/>
      <c r="I62" s="74"/>
      <c r="J62" s="61"/>
    </row>
    <row r="63" spans="1:10" s="849" customFormat="1">
      <c r="B63" s="829"/>
      <c r="C63" s="2930"/>
      <c r="D63" s="600"/>
      <c r="E63" s="600"/>
      <c r="F63" s="853"/>
      <c r="G63" s="62"/>
      <c r="H63" s="558"/>
      <c r="I63" s="558"/>
      <c r="J63" s="535"/>
    </row>
    <row r="64" spans="1:10">
      <c r="A64"/>
      <c r="B64" s="828" t="s">
        <v>109</v>
      </c>
      <c r="C64" s="2921">
        <v>2016</v>
      </c>
      <c r="D64" s="608">
        <v>2017</v>
      </c>
      <c r="E64" s="608" t="s">
        <v>20</v>
      </c>
      <c r="F64" s="853"/>
      <c r="G64" s="62"/>
      <c r="H64" s="74"/>
      <c r="I64" s="74"/>
      <c r="J64" s="61"/>
    </row>
    <row r="65" spans="1:10" ht="15">
      <c r="A65"/>
      <c r="B65" s="3077"/>
      <c r="C65" s="2827"/>
      <c r="D65" s="607"/>
      <c r="E65" s="607"/>
      <c r="F65" s="612"/>
      <c r="G65" s="63"/>
      <c r="H65" s="74"/>
      <c r="I65" s="74"/>
      <c r="J65" s="61"/>
    </row>
    <row r="66" spans="1:10">
      <c r="A66"/>
      <c r="B66" s="3082" t="s">
        <v>60</v>
      </c>
      <c r="C66" s="2931"/>
      <c r="D66" s="500"/>
      <c r="E66" s="610">
        <f>C66+D66</f>
        <v>0</v>
      </c>
      <c r="F66" s="609" t="s">
        <v>110</v>
      </c>
      <c r="G66" s="63"/>
      <c r="H66" s="74"/>
      <c r="I66" s="74"/>
      <c r="J66" s="61"/>
    </row>
    <row r="67" spans="1:10">
      <c r="A67"/>
      <c r="B67" s="3082" t="s">
        <v>504</v>
      </c>
      <c r="C67" s="2931"/>
      <c r="D67" s="500"/>
      <c r="E67" s="857">
        <f>C67+D67</f>
        <v>0</v>
      </c>
      <c r="F67" s="609" t="s">
        <v>110</v>
      </c>
      <c r="G67" s="63"/>
      <c r="H67" s="74"/>
      <c r="I67" s="74"/>
      <c r="J67" s="61"/>
    </row>
    <row r="68" spans="1:10">
      <c r="A68"/>
      <c r="B68" s="3082" t="s">
        <v>505</v>
      </c>
      <c r="C68" s="2931"/>
      <c r="D68" s="500"/>
      <c r="E68" s="857">
        <f>C68+D68</f>
        <v>0</v>
      </c>
      <c r="F68" s="609" t="s">
        <v>110</v>
      </c>
      <c r="G68" s="63"/>
      <c r="H68" s="74"/>
      <c r="I68" s="74"/>
      <c r="J68" s="61"/>
    </row>
    <row r="69" spans="1:10">
      <c r="A69"/>
      <c r="B69" s="3082" t="s">
        <v>506</v>
      </c>
      <c r="C69" s="2931">
        <v>20000000</v>
      </c>
      <c r="D69" s="500">
        <v>19000000</v>
      </c>
      <c r="E69" s="857">
        <f>C69+D69</f>
        <v>39000000</v>
      </c>
      <c r="F69" s="609" t="s">
        <v>110</v>
      </c>
      <c r="G69" s="540"/>
      <c r="H69" s="74"/>
      <c r="I69" s="74"/>
      <c r="J69" s="61"/>
    </row>
    <row r="70" spans="1:10" ht="15">
      <c r="A70"/>
      <c r="B70" s="3077"/>
      <c r="C70" s="2934"/>
      <c r="D70" s="878"/>
      <c r="E70" s="610"/>
      <c r="F70" s="609"/>
      <c r="G70" s="72"/>
      <c r="H70" s="74"/>
      <c r="I70" s="74"/>
      <c r="J70" s="61"/>
    </row>
    <row r="71" spans="1:10">
      <c r="A71"/>
      <c r="B71" s="858" t="s">
        <v>507</v>
      </c>
      <c r="C71" s="2931">
        <v>3000000</v>
      </c>
      <c r="D71" s="500">
        <v>2500000</v>
      </c>
      <c r="E71" s="610">
        <f>C71+D71</f>
        <v>5500000</v>
      </c>
      <c r="F71" s="609" t="s">
        <v>110</v>
      </c>
      <c r="G71" s="72"/>
      <c r="H71" s="72"/>
      <c r="I71" s="74"/>
      <c r="J71" s="61"/>
    </row>
    <row r="72" spans="1:10">
      <c r="A72"/>
      <c r="B72" s="858" t="s">
        <v>288</v>
      </c>
      <c r="C72" s="2931">
        <v>1500000</v>
      </c>
      <c r="D72" s="500">
        <v>4500000</v>
      </c>
      <c r="E72" s="857">
        <f>C72+D72</f>
        <v>6000000</v>
      </c>
      <c r="F72" s="856" t="s">
        <v>110</v>
      </c>
      <c r="G72" s="72"/>
      <c r="H72" s="72"/>
      <c r="I72" s="74"/>
      <c r="J72" s="61"/>
    </row>
    <row r="73" spans="1:10">
      <c r="A73"/>
      <c r="B73" s="611" t="s">
        <v>508</v>
      </c>
      <c r="C73" s="2931">
        <v>3000000</v>
      </c>
      <c r="D73" s="500">
        <v>0</v>
      </c>
      <c r="E73" s="857">
        <f>C73+D73</f>
        <v>3000000</v>
      </c>
      <c r="F73" s="609" t="s">
        <v>110</v>
      </c>
      <c r="G73" s="72"/>
      <c r="H73" s="72"/>
      <c r="I73" s="73"/>
      <c r="J73" s="61"/>
    </row>
    <row r="74" spans="1:10">
      <c r="A74"/>
      <c r="B74" s="611"/>
      <c r="C74" s="2935"/>
      <c r="D74" s="880"/>
      <c r="E74" s="615"/>
      <c r="F74" s="616"/>
      <c r="G74" s="72"/>
      <c r="H74" s="72"/>
      <c r="I74" s="73"/>
      <c r="J74" s="61"/>
    </row>
    <row r="75" spans="1:10">
      <c r="A75"/>
      <c r="B75" s="820" t="s">
        <v>111</v>
      </c>
      <c r="C75" s="2877">
        <f>SUM(C66:C74)</f>
        <v>27500000</v>
      </c>
      <c r="D75" s="1789">
        <f>SUM(D66:D74)</f>
        <v>26000000</v>
      </c>
      <c r="E75" s="613">
        <f>SUM(C75:D75)</f>
        <v>53500000</v>
      </c>
      <c r="F75" s="614" t="s">
        <v>110</v>
      </c>
      <c r="G75" s="72"/>
      <c r="H75" s="72"/>
      <c r="I75" s="73"/>
      <c r="J75" s="61"/>
    </row>
    <row r="76" spans="1:10">
      <c r="A76"/>
      <c r="B76" s="1822"/>
      <c r="C76" s="2840"/>
      <c r="D76" s="599"/>
      <c r="E76" s="599"/>
      <c r="F76" s="605"/>
      <c r="G76" s="74"/>
      <c r="H76" s="72"/>
      <c r="I76" s="73"/>
      <c r="J76" s="61"/>
    </row>
    <row r="77" spans="1:10">
      <c r="A77"/>
      <c r="B77" s="3083" t="s">
        <v>112</v>
      </c>
      <c r="C77" s="2936">
        <f>C75/E75</f>
        <v>0.51401869158878499</v>
      </c>
      <c r="D77" s="617">
        <f>D75/E75</f>
        <v>0.48598130841121495</v>
      </c>
      <c r="E77" s="599"/>
      <c r="F77" s="605"/>
      <c r="G77" s="74"/>
      <c r="H77" s="72"/>
      <c r="I77" s="73"/>
      <c r="J77" s="61"/>
    </row>
    <row r="78" spans="1:10">
      <c r="A78"/>
      <c r="B78" s="83"/>
      <c r="C78" s="588"/>
      <c r="D78" s="570"/>
      <c r="E78" s="587"/>
      <c r="F78" s="555"/>
      <c r="G78" s="74"/>
      <c r="H78" s="58"/>
      <c r="I78" s="58"/>
      <c r="J78" s="61"/>
    </row>
    <row r="79" spans="1:10">
      <c r="A79"/>
      <c r="B79" s="83"/>
      <c r="C79" s="588"/>
      <c r="D79" s="570"/>
      <c r="E79" s="593"/>
      <c r="F79" s="555"/>
      <c r="G79" s="74"/>
      <c r="H79" s="58"/>
      <c r="I79" s="58"/>
      <c r="J79" s="61"/>
    </row>
    <row r="80" spans="1:10">
      <c r="A80"/>
      <c r="B80" s="83"/>
      <c r="C80" s="593"/>
      <c r="D80" s="598"/>
      <c r="E80" s="587"/>
      <c r="F80" s="533"/>
      <c r="G80" s="74"/>
      <c r="J80" s="61"/>
    </row>
    <row r="81" spans="1:10">
      <c r="A81"/>
      <c r="B81" s="60"/>
      <c r="C81" s="561"/>
      <c r="D81" s="561"/>
      <c r="E81" s="595"/>
      <c r="F81" s="560"/>
      <c r="G81" s="74"/>
      <c r="J81" s="61"/>
    </row>
    <row r="82" spans="1:10">
      <c r="A82"/>
      <c r="B82" s="58"/>
      <c r="C82" s="72"/>
      <c r="D82" s="58"/>
      <c r="E82" s="58"/>
      <c r="F82" s="74"/>
      <c r="G82" s="74"/>
      <c r="J82" s="61"/>
    </row>
    <row r="83" spans="1:10">
      <c r="A83"/>
      <c r="B83" s="78"/>
      <c r="C83" s="82"/>
      <c r="D83" s="82"/>
      <c r="E83" s="58"/>
      <c r="F83" s="74"/>
      <c r="G83" s="58"/>
      <c r="J83" s="61"/>
    </row>
    <row r="84" spans="1:10">
      <c r="A84"/>
      <c r="B84" s="58"/>
      <c r="C84" s="74"/>
      <c r="D84" s="58"/>
      <c r="E84" s="58"/>
      <c r="F84" s="72"/>
      <c r="G84" s="58"/>
      <c r="J84" s="61"/>
    </row>
    <row r="85" spans="1:10" ht="20.25">
      <c r="A85"/>
      <c r="B85" s="64"/>
      <c r="C85" s="75"/>
      <c r="D85" s="58"/>
      <c r="E85" s="58"/>
      <c r="F85" s="72"/>
      <c r="J85" s="61"/>
    </row>
    <row r="86" spans="1:10">
      <c r="A86"/>
      <c r="B86" s="61"/>
      <c r="C86" s="61"/>
      <c r="D86" s="58"/>
      <c r="E86" s="58"/>
      <c r="F86" s="72"/>
      <c r="J86" s="61"/>
    </row>
    <row r="87" spans="1:10">
      <c r="A87"/>
      <c r="B87" s="58"/>
      <c r="C87" s="58"/>
      <c r="D87" s="58"/>
      <c r="E87" s="58"/>
      <c r="F87" s="58"/>
      <c r="J87" s="61"/>
    </row>
    <row r="88" spans="1:10">
      <c r="A88"/>
      <c r="B88" s="58"/>
      <c r="C88" s="58"/>
      <c r="D88" s="58"/>
      <c r="E88" s="58"/>
      <c r="F88" s="58"/>
      <c r="J88" s="61"/>
    </row>
    <row r="89" spans="1:10">
      <c r="A89"/>
      <c r="J89" s="61"/>
    </row>
  </sheetData>
  <customSheetViews>
    <customSheetView guid="{D9EFFE19-D14B-4C6F-BDF4-FF696F73968D}" fitToPage="1">
      <pane xSplit="1" ySplit="1" topLeftCell="B20" activePane="bottomRight" state="frozen"/>
      <selection pane="bottomRight" activeCell="C43" sqref="C43"/>
      <pageMargins left="0.28000000000000003" right="0.3" top="0.44" bottom="0.45" header="0.3" footer="0.3"/>
      <pageSetup paperSize="17" scale="65" orientation="landscape" r:id="rId1"/>
    </customSheetView>
    <customSheetView guid="{074EB09C-6289-46D7-9513-012B68BCA7BF}" showGridLines="0" fitToPage="1">
      <pane xSplit="1" ySplit="1" topLeftCell="B2" activePane="bottomRight" state="frozen"/>
      <selection pane="bottomRight" activeCell="G4" sqref="G4:G6"/>
      <pageMargins left="0.28000000000000003" right="0.3" top="0.44" bottom="0.45" header="0.3" footer="0.3"/>
      <pageSetup paperSize="17" scale="50" orientation="landscape" r:id="rId2"/>
    </customSheetView>
  </customSheetViews>
  <mergeCells count="2">
    <mergeCell ref="I30:L35"/>
    <mergeCell ref="F15:H15"/>
  </mergeCells>
  <pageMargins left="0.28000000000000003" right="0.3" top="0.44" bottom="0.45" header="0.3" footer="0.3"/>
  <pageSetup paperSize="3" scale="50" orientation="landscape" r:id="rId3"/>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rgb="FF8DB4E3"/>
  </sheetPr>
  <dimension ref="A1:V75"/>
  <sheetViews>
    <sheetView showGridLines="0" workbookViewId="0">
      <pane xSplit="1" ySplit="1" topLeftCell="B26" activePane="bottomRight" state="frozen"/>
      <selection pane="topRight" activeCell="B1" sqref="B1"/>
      <selection pane="bottomLeft" activeCell="A2" sqref="A2"/>
      <selection pane="bottomRight" activeCell="H46" sqref="H46"/>
    </sheetView>
  </sheetViews>
  <sheetFormatPr defaultColWidth="20" defaultRowHeight="12.75"/>
  <cols>
    <col min="1" max="1" width="15.85546875" style="1652" customWidth="1"/>
    <col min="2" max="2" width="56" style="1652" bestFit="1" customWidth="1"/>
    <col min="3" max="13" width="20" style="1652"/>
    <col min="14" max="14" width="33.140625" style="1652" customWidth="1"/>
    <col min="15" max="15" width="20" style="1652"/>
    <col min="16" max="16" width="19.42578125" style="1652" customWidth="1"/>
    <col min="17" max="17" width="18.7109375" style="1652" customWidth="1"/>
    <col min="18" max="18" width="17.28515625" style="1652" customWidth="1"/>
    <col min="19" max="19" width="18.140625" style="1652" customWidth="1"/>
    <col min="20" max="16384" width="20" style="1652"/>
  </cols>
  <sheetData>
    <row r="1" spans="1:22" ht="46.5" customHeight="1">
      <c r="B1" s="1387" t="s">
        <v>630</v>
      </c>
      <c r="C1" s="1361" t="s">
        <v>261</v>
      </c>
      <c r="D1" s="1387" t="s">
        <v>631</v>
      </c>
      <c r="E1" s="1386" t="s">
        <v>4</v>
      </c>
      <c r="H1" s="1361"/>
      <c r="I1" s="2139"/>
      <c r="J1" s="2139"/>
      <c r="K1" s="1791" t="s">
        <v>630</v>
      </c>
      <c r="L1" s="1509" t="s">
        <v>261</v>
      </c>
      <c r="M1" s="1387" t="s">
        <v>631</v>
      </c>
      <c r="N1" s="1386" t="s">
        <v>4</v>
      </c>
    </row>
    <row r="2" spans="1:22" ht="21" thickBot="1">
      <c r="B2" s="541"/>
      <c r="C2" s="2165"/>
      <c r="D2" s="2165"/>
      <c r="E2" s="2166"/>
      <c r="F2" s="2167"/>
      <c r="G2" s="2167"/>
      <c r="H2" s="533"/>
      <c r="I2" s="533"/>
      <c r="J2" s="533"/>
      <c r="K2" s="2169"/>
      <c r="L2" s="2169"/>
      <c r="M2" s="2169"/>
      <c r="N2" s="1137"/>
      <c r="O2" s="1137"/>
      <c r="P2" s="1137"/>
      <c r="Q2" s="1137"/>
      <c r="R2" s="1137"/>
      <c r="S2" s="1137"/>
      <c r="T2" s="1137"/>
      <c r="U2" s="1137"/>
      <c r="V2" s="1137"/>
    </row>
    <row r="3" spans="1:22" s="1662" customFormat="1" ht="38.25">
      <c r="A3" s="1382" t="s">
        <v>630</v>
      </c>
      <c r="C3" s="2168"/>
      <c r="D3" s="2168"/>
      <c r="E3" s="2168"/>
      <c r="F3" s="2168"/>
      <c r="G3" s="2171"/>
      <c r="H3" s="2653" t="s">
        <v>1747</v>
      </c>
      <c r="I3" s="2654" t="s">
        <v>8</v>
      </c>
      <c r="J3" s="2654" t="s">
        <v>77</v>
      </c>
      <c r="K3" s="2170" t="s">
        <v>10</v>
      </c>
      <c r="L3" s="2170" t="s">
        <v>482</v>
      </c>
      <c r="M3" s="2170" t="s">
        <v>11</v>
      </c>
      <c r="N3" s="2170" t="s">
        <v>12</v>
      </c>
      <c r="O3" s="2170" t="s">
        <v>13</v>
      </c>
      <c r="P3" s="2170" t="s">
        <v>78</v>
      </c>
      <c r="Q3" s="2654" t="s">
        <v>36</v>
      </c>
      <c r="R3" s="1874" t="s">
        <v>15</v>
      </c>
      <c r="S3" s="1790" t="s">
        <v>37</v>
      </c>
      <c r="U3" s="1554"/>
      <c r="V3" s="1555"/>
    </row>
    <row r="4" spans="1:22" ht="26.25">
      <c r="A4" s="1382" t="s">
        <v>631</v>
      </c>
      <c r="G4" s="2946" t="s">
        <v>1726</v>
      </c>
      <c r="H4" s="2964">
        <f>C19</f>
        <v>1516683</v>
      </c>
      <c r="I4" s="2965">
        <f>C21</f>
        <v>16683</v>
      </c>
      <c r="J4" s="2965">
        <f>C44</f>
        <v>1011627.5610000001</v>
      </c>
      <c r="K4" s="2965">
        <f>C39</f>
        <v>35785</v>
      </c>
      <c r="L4" s="2965">
        <f>C29</f>
        <v>72362</v>
      </c>
      <c r="M4" s="2965">
        <f>C50</f>
        <v>40000</v>
      </c>
      <c r="N4" s="2965">
        <f>C37</f>
        <v>20193</v>
      </c>
      <c r="O4" s="2965">
        <f>C31</f>
        <v>12000</v>
      </c>
      <c r="P4" s="2965">
        <f>C14</f>
        <v>8040000</v>
      </c>
      <c r="Q4" s="2968"/>
      <c r="R4" s="2966">
        <f>SUM(H4:P4)</f>
        <v>10765333.561000001</v>
      </c>
      <c r="S4" s="2967">
        <f>C60</f>
        <v>40300000</v>
      </c>
      <c r="U4" s="1551"/>
      <c r="V4" s="1552"/>
    </row>
    <row r="5" spans="1:22" ht="15.75">
      <c r="A5" s="2138" t="s">
        <v>261</v>
      </c>
      <c r="G5" s="3205" t="s">
        <v>1753</v>
      </c>
      <c r="H5" s="2655">
        <v>1500000</v>
      </c>
      <c r="I5" s="2656">
        <v>17100.099999999999</v>
      </c>
      <c r="J5" s="2656">
        <v>1020000.0000000001</v>
      </c>
      <c r="K5" s="3093">
        <v>35785</v>
      </c>
      <c r="L5" s="2656">
        <v>72362</v>
      </c>
      <c r="M5" s="2658">
        <v>40000</v>
      </c>
      <c r="N5" s="2656">
        <v>20193</v>
      </c>
      <c r="O5" s="2656">
        <v>12000</v>
      </c>
      <c r="P5" s="2656">
        <v>8040000</v>
      </c>
      <c r="Q5" s="2669"/>
      <c r="R5" s="2659">
        <v>10757440.1</v>
      </c>
      <c r="S5" s="2660">
        <v>40300000</v>
      </c>
      <c r="U5" s="1551"/>
      <c r="V5" s="1552"/>
    </row>
    <row r="6" spans="1:22" ht="16.5" thickBot="1">
      <c r="A6" s="1388" t="s">
        <v>4</v>
      </c>
      <c r="G6" s="3206" t="s">
        <v>1754</v>
      </c>
      <c r="H6" s="2663">
        <f>D19</f>
        <v>1317100.1000000001</v>
      </c>
      <c r="I6" s="2664">
        <f>D21</f>
        <v>17100.099999999999</v>
      </c>
      <c r="J6" s="2664">
        <f>D44</f>
        <v>1198129.7376000001</v>
      </c>
      <c r="K6" s="2664">
        <f>D39</f>
        <v>35785</v>
      </c>
      <c r="L6" s="2664">
        <f>D29</f>
        <v>72362</v>
      </c>
      <c r="M6" s="2665">
        <f>D50</f>
        <v>140000</v>
      </c>
      <c r="N6" s="2664">
        <f>D37</f>
        <v>20193</v>
      </c>
      <c r="O6" s="2664">
        <f>D31</f>
        <v>12000</v>
      </c>
      <c r="P6" s="2664">
        <f>D14</f>
        <v>8740000</v>
      </c>
      <c r="Q6" s="2670"/>
      <c r="R6" s="2666">
        <f>SUM(H6:P6)</f>
        <v>11552669.9376</v>
      </c>
      <c r="S6" s="2667">
        <f>D60</f>
        <v>46000000</v>
      </c>
      <c r="U6" s="1551"/>
      <c r="V6" s="1552"/>
    </row>
    <row r="7" spans="1:22" s="1173" customFormat="1">
      <c r="G7" s="2650"/>
      <c r="H7" s="2651"/>
      <c r="I7" s="2651"/>
      <c r="J7" s="2651"/>
      <c r="K7" s="2651"/>
      <c r="L7" s="2651"/>
      <c r="M7" s="2651"/>
      <c r="N7" s="2651"/>
      <c r="O7" s="2651"/>
      <c r="P7" s="2651"/>
      <c r="Q7" s="2668"/>
      <c r="R7" s="2651"/>
      <c r="S7" s="2652"/>
    </row>
    <row r="8" spans="1:22" ht="18">
      <c r="A8" s="2138"/>
      <c r="B8" s="563"/>
      <c r="C8" s="542"/>
      <c r="D8" s="542"/>
      <c r="E8" s="568"/>
      <c r="F8" s="543"/>
      <c r="G8" s="543"/>
      <c r="H8" s="2139"/>
      <c r="I8" s="2139"/>
      <c r="J8" s="2139"/>
      <c r="K8" s="2139"/>
      <c r="L8" s="2139"/>
      <c r="M8" s="2139"/>
      <c r="N8" s="2139"/>
    </row>
    <row r="9" spans="1:22" ht="18">
      <c r="A9" s="2138"/>
      <c r="B9" s="1310"/>
      <c r="C9" s="2803">
        <v>2016</v>
      </c>
      <c r="D9" s="576">
        <v>2017</v>
      </c>
      <c r="E9" s="576" t="s">
        <v>20</v>
      </c>
      <c r="F9" s="577"/>
      <c r="G9" s="565"/>
      <c r="H9" s="565"/>
      <c r="I9" s="565"/>
      <c r="J9" s="2139"/>
      <c r="K9" s="2139"/>
      <c r="L9" s="2139"/>
      <c r="M9" s="2139"/>
      <c r="N9" s="2139"/>
    </row>
    <row r="10" spans="1:22" ht="18">
      <c r="A10" s="2138"/>
      <c r="B10" s="575"/>
      <c r="C10" s="3035"/>
      <c r="D10" s="3036"/>
      <c r="E10" s="3036"/>
      <c r="F10" s="571"/>
      <c r="G10" s="552"/>
      <c r="H10" s="1095"/>
      <c r="I10" s="1103"/>
      <c r="J10" s="1092"/>
      <c r="K10" s="1092"/>
      <c r="N10" s="2139"/>
    </row>
    <row r="11" spans="1:22">
      <c r="A11" s="2138"/>
      <c r="B11" s="820" t="s">
        <v>80</v>
      </c>
      <c r="C11" s="3037"/>
      <c r="D11" s="3038"/>
      <c r="E11" s="3039"/>
      <c r="F11" s="1848"/>
      <c r="G11" s="552"/>
      <c r="H11" s="1095"/>
      <c r="I11" s="1095"/>
      <c r="J11" s="1097"/>
      <c r="K11" s="1092"/>
      <c r="N11" s="2139"/>
    </row>
    <row r="12" spans="1:22" ht="15">
      <c r="A12" s="2138"/>
      <c r="B12" s="3077"/>
      <c r="C12" s="3040"/>
      <c r="D12" s="3089"/>
      <c r="E12" s="3042">
        <f>SUM(C12:D12)</f>
        <v>0</v>
      </c>
      <c r="F12" s="1848"/>
      <c r="G12" s="552"/>
      <c r="H12" s="1095"/>
      <c r="I12" s="1095"/>
      <c r="J12" s="1098"/>
      <c r="K12" s="1092"/>
      <c r="N12" s="2139"/>
    </row>
    <row r="13" spans="1:22" ht="17.25">
      <c r="B13" s="3077"/>
      <c r="C13" s="3043"/>
      <c r="D13" s="3044"/>
      <c r="E13" s="3045">
        <f>SUM(C13:D13)</f>
        <v>0</v>
      </c>
      <c r="F13" s="1848"/>
      <c r="G13" s="552"/>
      <c r="H13" s="1095"/>
      <c r="I13" s="1095"/>
      <c r="J13" s="1098"/>
      <c r="K13" s="1088"/>
      <c r="N13" s="2139"/>
    </row>
    <row r="14" spans="1:22">
      <c r="B14" s="941"/>
      <c r="C14" s="3046">
        <v>8040000</v>
      </c>
      <c r="D14" s="3047">
        <v>8740000</v>
      </c>
      <c r="E14" s="3039">
        <f>SUM(C14:D14)</f>
        <v>16780000</v>
      </c>
      <c r="F14" s="3271" t="s">
        <v>2604</v>
      </c>
      <c r="G14" s="552"/>
      <c r="H14" s="1095"/>
      <c r="I14" s="1095"/>
      <c r="J14" s="1091"/>
      <c r="K14" s="1088"/>
      <c r="N14" s="2139"/>
    </row>
    <row r="15" spans="1:22" ht="18">
      <c r="B15" s="821"/>
      <c r="C15" s="2829"/>
      <c r="D15" s="3048"/>
      <c r="E15" s="3049"/>
      <c r="F15" s="1848"/>
      <c r="G15" s="552"/>
      <c r="H15" s="1095"/>
      <c r="I15" s="1095"/>
      <c r="J15" s="1091"/>
      <c r="K15" s="1088"/>
      <c r="N15" s="2139"/>
    </row>
    <row r="16" spans="1:22">
      <c r="B16" s="820" t="s">
        <v>1745</v>
      </c>
      <c r="C16" s="2830"/>
      <c r="D16" s="3048"/>
      <c r="E16" s="3049"/>
      <c r="F16" s="823"/>
      <c r="G16" s="548"/>
      <c r="H16" s="1093"/>
      <c r="I16" s="1095"/>
      <c r="J16" s="1091"/>
      <c r="K16" s="1088"/>
    </row>
    <row r="17" spans="2:22">
      <c r="B17" s="824" t="s">
        <v>85</v>
      </c>
      <c r="C17" s="3050">
        <v>1500000</v>
      </c>
      <c r="D17" s="3089">
        <v>1300000</v>
      </c>
      <c r="E17" s="3042">
        <f>SUM(C17:D17)</f>
        <v>2800000</v>
      </c>
      <c r="F17" s="1652" t="s">
        <v>2605</v>
      </c>
      <c r="I17" s="1095"/>
      <c r="J17" s="1091"/>
      <c r="K17" s="1088"/>
    </row>
    <row r="18" spans="2:22" ht="15">
      <c r="B18" s="913" t="s">
        <v>316</v>
      </c>
      <c r="C18" s="3138"/>
      <c r="D18" s="3144"/>
      <c r="E18" s="3070">
        <f>SUM(C18:D18)</f>
        <v>0</v>
      </c>
      <c r="F18" s="2857">
        <v>2016</v>
      </c>
      <c r="G18" s="2575">
        <v>2017</v>
      </c>
      <c r="H18" s="2576" t="s">
        <v>1685</v>
      </c>
      <c r="I18" s="1095"/>
      <c r="J18" s="1091"/>
      <c r="K18" s="1088"/>
    </row>
    <row r="19" spans="2:22">
      <c r="B19" s="3140" t="s">
        <v>1746</v>
      </c>
      <c r="C19" s="2810">
        <f>C17+C18+C21</f>
        <v>1516683</v>
      </c>
      <c r="D19" s="3090">
        <f>D17+D18+D21</f>
        <v>1317100.1000000001</v>
      </c>
      <c r="E19" s="3073">
        <f>SUM(C19:D19)</f>
        <v>2833783.1</v>
      </c>
      <c r="F19" s="2859">
        <v>0.2</v>
      </c>
      <c r="G19" s="1663">
        <v>0.2</v>
      </c>
      <c r="H19" s="1663">
        <f>(F19+G19)/2</f>
        <v>0.2</v>
      </c>
      <c r="I19" s="553" t="s">
        <v>86</v>
      </c>
    </row>
    <row r="20" spans="2:22">
      <c r="B20" s="3140"/>
      <c r="C20" s="2810"/>
      <c r="D20" s="3090"/>
      <c r="E20" s="3073"/>
      <c r="F20" s="2859"/>
      <c r="G20" s="1663"/>
      <c r="H20" s="1663"/>
      <c r="I20" s="553"/>
    </row>
    <row r="21" spans="2:22">
      <c r="B21" s="3136" t="s">
        <v>1545</v>
      </c>
      <c r="C21" s="3071">
        <v>16683</v>
      </c>
      <c r="D21" s="3141">
        <v>17100.099999999999</v>
      </c>
      <c r="E21" s="3039">
        <f>SUM(C21:D21)</f>
        <v>33783.1</v>
      </c>
      <c r="F21" s="2858">
        <v>16.100000000000001</v>
      </c>
      <c r="G21" s="1663">
        <v>15.7</v>
      </c>
      <c r="H21" s="1663">
        <f>(F21+G21)/2</f>
        <v>15.9</v>
      </c>
      <c r="I21" s="553" t="s">
        <v>86</v>
      </c>
      <c r="J21" s="1075"/>
      <c r="K21" s="1088"/>
    </row>
    <row r="22" spans="2:22">
      <c r="B22" s="824"/>
      <c r="C22" s="2832"/>
      <c r="D22" s="3048"/>
      <c r="E22" s="3049"/>
      <c r="F22" s="801"/>
      <c r="G22" s="549"/>
      <c r="H22" s="1094"/>
    </row>
    <row r="23" spans="2:22">
      <c r="B23" s="820" t="s">
        <v>483</v>
      </c>
      <c r="C23" s="2830"/>
      <c r="D23" s="3048"/>
      <c r="E23" s="3049"/>
      <c r="F23" s="823"/>
      <c r="G23" s="548"/>
      <c r="H23" s="1094"/>
    </row>
    <row r="24" spans="2:22">
      <c r="B24" s="1822" t="s">
        <v>90</v>
      </c>
      <c r="C24" s="2849"/>
      <c r="D24" s="3057"/>
      <c r="E24" s="3042">
        <f>C24+D24</f>
        <v>0</v>
      </c>
      <c r="I24" s="1101"/>
      <c r="J24" s="1107"/>
      <c r="K24" s="1099"/>
    </row>
    <row r="25" spans="2:22">
      <c r="B25" s="824" t="s">
        <v>497</v>
      </c>
      <c r="C25" s="3058">
        <v>72362</v>
      </c>
      <c r="D25" s="3057">
        <v>72362</v>
      </c>
      <c r="E25" s="3042">
        <f>C25+D25</f>
        <v>144724</v>
      </c>
      <c r="I25" s="1101"/>
      <c r="J25" s="1104"/>
      <c r="K25" s="1102"/>
    </row>
    <row r="26" spans="2:22">
      <c r="B26" s="824" t="s">
        <v>94</v>
      </c>
      <c r="C26" s="2849"/>
      <c r="D26" s="3057"/>
      <c r="E26" s="3042">
        <f>C26+D26</f>
        <v>0</v>
      </c>
      <c r="I26" s="1101"/>
      <c r="J26" s="1104"/>
      <c r="K26" s="1102"/>
    </row>
    <row r="27" spans="2:22">
      <c r="B27" s="824" t="s">
        <v>498</v>
      </c>
      <c r="C27" s="2849"/>
      <c r="D27" s="3057"/>
      <c r="E27" s="3042">
        <f>C27+D27</f>
        <v>0</v>
      </c>
      <c r="I27" s="1100"/>
      <c r="J27" s="1108"/>
      <c r="K27" s="1088"/>
    </row>
    <row r="28" spans="2:22" ht="15">
      <c r="B28" s="824" t="s">
        <v>97</v>
      </c>
      <c r="C28" s="3059"/>
      <c r="D28" s="3060"/>
      <c r="E28" s="3045">
        <f>C28+D28</f>
        <v>0</v>
      </c>
    </row>
    <row r="29" spans="2:22">
      <c r="B29" s="3136" t="s">
        <v>1741</v>
      </c>
      <c r="C29" s="2830">
        <f>SUM(C24:C28)</f>
        <v>72362</v>
      </c>
      <c r="D29" s="805">
        <f>SUM(D24:D28)</f>
        <v>72362</v>
      </c>
      <c r="E29" s="3039">
        <f>SUM(E24:E28)</f>
        <v>144724</v>
      </c>
      <c r="F29" s="823"/>
      <c r="G29" s="548"/>
      <c r="I29" s="3591"/>
      <c r="J29" s="3591"/>
      <c r="K29" s="3591"/>
      <c r="L29" s="3591"/>
    </row>
    <row r="30" spans="2:22">
      <c r="B30" s="3048"/>
      <c r="C30" s="2831"/>
      <c r="D30" s="3048"/>
      <c r="E30" s="3049"/>
      <c r="F30" s="823"/>
      <c r="G30" s="548"/>
      <c r="I30" s="3591"/>
      <c r="J30" s="3591"/>
      <c r="K30" s="3591"/>
      <c r="L30" s="3591"/>
    </row>
    <row r="31" spans="2:22">
      <c r="B31" s="820" t="s">
        <v>84</v>
      </c>
      <c r="C31" s="2830">
        <v>12000</v>
      </c>
      <c r="D31" s="3054">
        <v>12000</v>
      </c>
      <c r="E31" s="3039">
        <f>SUM(C31:D31)</f>
        <v>24000</v>
      </c>
      <c r="F31" s="823"/>
      <c r="G31" s="548"/>
      <c r="I31" s="3591"/>
      <c r="J31" s="3591"/>
      <c r="K31" s="3591"/>
      <c r="L31" s="3591"/>
    </row>
    <row r="32" spans="2:22">
      <c r="B32" s="3048" t="s">
        <v>499</v>
      </c>
      <c r="C32" s="2831"/>
      <c r="D32" s="3048"/>
      <c r="E32" s="3049"/>
      <c r="F32" s="823"/>
      <c r="G32" s="548"/>
      <c r="H32" s="540"/>
      <c r="I32" s="3591"/>
      <c r="J32" s="3591"/>
      <c r="K32" s="3591"/>
      <c r="L32" s="3591"/>
      <c r="O32" s="1137"/>
      <c r="P32" s="1137"/>
      <c r="Q32" s="1137"/>
      <c r="R32" s="1137"/>
      <c r="S32" s="1137"/>
      <c r="T32" s="1137"/>
      <c r="U32" s="1137"/>
      <c r="V32" s="1137"/>
    </row>
    <row r="33" spans="1:22">
      <c r="B33" s="3048"/>
      <c r="C33" s="2831"/>
      <c r="D33" s="3048"/>
      <c r="E33" s="3049"/>
      <c r="F33" s="823"/>
      <c r="G33" s="548"/>
      <c r="H33" s="540"/>
      <c r="I33" s="3591"/>
      <c r="J33" s="3591"/>
      <c r="K33" s="3591"/>
      <c r="L33" s="3591"/>
      <c r="O33" s="1137"/>
      <c r="P33" s="1137"/>
      <c r="Q33" s="1137"/>
      <c r="R33" s="1137"/>
      <c r="S33" s="1137"/>
      <c r="T33" s="1137"/>
      <c r="U33" s="1137"/>
      <c r="V33" s="1137"/>
    </row>
    <row r="34" spans="1:22">
      <c r="B34" s="828" t="s">
        <v>87</v>
      </c>
      <c r="C34" s="2831"/>
      <c r="D34" s="3048"/>
      <c r="E34" s="3049"/>
      <c r="F34" s="853"/>
      <c r="G34" s="540"/>
      <c r="H34" s="540"/>
      <c r="I34" s="3591"/>
      <c r="J34" s="3591"/>
      <c r="K34" s="3591"/>
      <c r="L34" s="3591"/>
      <c r="O34" s="1550"/>
      <c r="P34" s="1550"/>
      <c r="Q34" s="1550"/>
      <c r="R34" s="1550"/>
      <c r="S34" s="1550"/>
      <c r="T34" s="1550"/>
      <c r="U34" s="1551"/>
      <c r="V34" s="1552"/>
    </row>
    <row r="35" spans="1:22">
      <c r="B35" s="1822" t="s">
        <v>100</v>
      </c>
      <c r="C35" s="2831"/>
      <c r="D35" s="3057"/>
      <c r="E35" s="3042">
        <f>C35+D35</f>
        <v>0</v>
      </c>
      <c r="F35" s="853"/>
      <c r="G35" s="540"/>
      <c r="H35" s="540"/>
      <c r="I35" s="1550"/>
      <c r="J35" s="1550"/>
      <c r="K35" s="1550"/>
      <c r="L35" s="1550"/>
      <c r="O35" s="1550"/>
      <c r="P35" s="1550"/>
      <c r="Q35" s="1550"/>
      <c r="R35" s="1550"/>
      <c r="S35" s="1550"/>
      <c r="T35" s="1550"/>
      <c r="U35" s="1551"/>
      <c r="V35" s="1552"/>
    </row>
    <row r="36" spans="1:22" ht="15">
      <c r="B36" s="3048" t="s">
        <v>102</v>
      </c>
      <c r="C36" s="3061"/>
      <c r="D36" s="3060"/>
      <c r="E36" s="3045">
        <f>C36+D36</f>
        <v>0</v>
      </c>
      <c r="F36" s="853"/>
      <c r="G36" s="540"/>
      <c r="H36" s="540"/>
      <c r="O36" s="1551"/>
      <c r="P36" s="1551"/>
      <c r="Q36" s="1551"/>
      <c r="R36" s="1551"/>
      <c r="S36" s="1551"/>
      <c r="T36" s="1551"/>
      <c r="U36" s="1551"/>
      <c r="V36" s="1552"/>
    </row>
    <row r="37" spans="1:22">
      <c r="B37" s="312" t="s">
        <v>103</v>
      </c>
      <c r="C37" s="3062">
        <v>20193</v>
      </c>
      <c r="D37" s="680">
        <v>20193</v>
      </c>
      <c r="E37" s="3039">
        <f>SUM(C37:D37)</f>
        <v>40386</v>
      </c>
      <c r="F37" s="853"/>
      <c r="G37" s="540"/>
      <c r="H37" s="540"/>
    </row>
    <row r="38" spans="1:22">
      <c r="B38" s="3048"/>
      <c r="C38" s="2831"/>
      <c r="D38" s="3048"/>
      <c r="E38" s="3049"/>
      <c r="F38" s="853"/>
      <c r="G38" s="540"/>
      <c r="H38" s="540"/>
    </row>
    <row r="39" spans="1:22" ht="38.25">
      <c r="A39" s="1382" t="s">
        <v>630</v>
      </c>
      <c r="B39" s="828" t="s">
        <v>88</v>
      </c>
      <c r="C39" s="3063">
        <v>35785</v>
      </c>
      <c r="D39" s="3064">
        <v>35785</v>
      </c>
      <c r="E39" s="3039">
        <f>SUM(C39:D39)</f>
        <v>71570</v>
      </c>
      <c r="F39" s="853"/>
      <c r="G39" s="540"/>
      <c r="H39" s="540"/>
      <c r="I39" s="545"/>
    </row>
    <row r="40" spans="1:22">
      <c r="A40" s="2138" t="s">
        <v>261</v>
      </c>
      <c r="B40" s="3048"/>
      <c r="C40" s="2831"/>
      <c r="D40" s="3048"/>
      <c r="E40" s="3049"/>
      <c r="F40" s="853"/>
      <c r="G40" s="539"/>
      <c r="H40" s="540"/>
      <c r="I40" s="545"/>
    </row>
    <row r="41" spans="1:22" ht="25.5">
      <c r="A41" s="1382" t="s">
        <v>631</v>
      </c>
      <c r="B41" s="829" t="s">
        <v>9</v>
      </c>
      <c r="C41" s="2847">
        <f>C19*F41</f>
        <v>1011627.5610000001</v>
      </c>
      <c r="D41" s="3065">
        <f>(D19+D21)*F42</f>
        <v>917929.73760000011</v>
      </c>
      <c r="E41" s="3042">
        <f>SUM(C41:D41)</f>
        <v>1929557.2986000003</v>
      </c>
      <c r="F41" s="2865">
        <v>0.66700000000000004</v>
      </c>
      <c r="G41" s="3086" t="s">
        <v>659</v>
      </c>
      <c r="H41" s="540"/>
      <c r="I41" s="545"/>
    </row>
    <row r="42" spans="1:22">
      <c r="A42" s="1388"/>
      <c r="B42" s="3078" t="s">
        <v>319</v>
      </c>
      <c r="C42" s="2847">
        <f>(E42/2)</f>
        <v>0</v>
      </c>
      <c r="D42" s="3091">
        <f>(E42/2)</f>
        <v>0</v>
      </c>
      <c r="E42" s="3053">
        <f>-J45</f>
        <v>0</v>
      </c>
      <c r="F42" s="2145">
        <v>0.68799999999999994</v>
      </c>
      <c r="G42" s="2144" t="s">
        <v>660</v>
      </c>
      <c r="H42" s="1093"/>
      <c r="I42" s="1088"/>
      <c r="J42" s="1088"/>
    </row>
    <row r="43" spans="1:22" ht="15">
      <c r="A43" s="1652" t="s">
        <v>4</v>
      </c>
      <c r="B43" s="3079" t="s">
        <v>1732</v>
      </c>
      <c r="C43" s="3068"/>
      <c r="D43" s="3069">
        <f>ROUND((D19+D21)*F43, -2)</f>
        <v>280200</v>
      </c>
      <c r="E43" s="3070">
        <f>C43+D43</f>
        <v>280200</v>
      </c>
      <c r="F43" s="3015">
        <v>0.21</v>
      </c>
      <c r="G43" s="2144" t="s">
        <v>1735</v>
      </c>
      <c r="H43" s="1089"/>
      <c r="I43" s="3088"/>
      <c r="J43" s="1825"/>
    </row>
    <row r="44" spans="1:22">
      <c r="B44" s="3134" t="s">
        <v>1743</v>
      </c>
      <c r="C44" s="3071">
        <f>C41+C42</f>
        <v>1011627.5610000001</v>
      </c>
      <c r="D44" s="3072">
        <f>D41+D42+D43</f>
        <v>1198129.7376000001</v>
      </c>
      <c r="E44" s="3073">
        <f>E41+E42+E43</f>
        <v>2209757.2986000003</v>
      </c>
      <c r="F44" s="853"/>
      <c r="H44" s="1089"/>
      <c r="I44" s="3088"/>
      <c r="J44" s="1825"/>
    </row>
    <row r="45" spans="1:22">
      <c r="B45" s="1822"/>
      <c r="C45" s="2831"/>
      <c r="D45" s="3048"/>
      <c r="E45" s="3049"/>
      <c r="F45" s="853"/>
      <c r="H45" s="1089"/>
      <c r="I45" s="3088"/>
      <c r="J45" s="1825"/>
    </row>
    <row r="46" spans="1:22">
      <c r="B46" s="820" t="s">
        <v>11</v>
      </c>
      <c r="C46" s="2831"/>
      <c r="D46" s="3048"/>
      <c r="E46" s="3049"/>
      <c r="F46" s="853"/>
      <c r="H46" s="540"/>
      <c r="I46" s="545"/>
    </row>
    <row r="47" spans="1:22">
      <c r="B47" s="3080"/>
      <c r="C47" s="2831"/>
      <c r="D47" s="3048"/>
      <c r="E47" s="3049"/>
      <c r="F47" s="853"/>
      <c r="G47" s="532"/>
      <c r="H47" s="540"/>
      <c r="I47" s="545"/>
      <c r="J47" s="2139"/>
    </row>
    <row r="48" spans="1:22">
      <c r="B48" s="3272" t="s">
        <v>2606</v>
      </c>
      <c r="C48" s="2831"/>
      <c r="D48" s="3112">
        <v>100000</v>
      </c>
      <c r="E48" s="3042">
        <f>C48+D48</f>
        <v>100000</v>
      </c>
      <c r="F48" s="853"/>
      <c r="G48" s="532"/>
      <c r="H48" s="540"/>
      <c r="I48" s="545"/>
      <c r="J48" s="3222"/>
    </row>
    <row r="49" spans="2:10" ht="15">
      <c r="B49" s="870" t="s">
        <v>632</v>
      </c>
      <c r="C49" s="3059">
        <v>40000</v>
      </c>
      <c r="D49" s="3060">
        <v>40000</v>
      </c>
      <c r="E49" s="3045">
        <f>SUM(C49:D49)</f>
        <v>80000</v>
      </c>
      <c r="F49" s="853"/>
      <c r="G49" s="532"/>
      <c r="H49" s="558"/>
      <c r="I49" s="558"/>
      <c r="J49" s="535"/>
    </row>
    <row r="50" spans="2:10">
      <c r="B50" s="1788" t="s">
        <v>107</v>
      </c>
      <c r="C50" s="2929">
        <f>SUM(C49:C49)</f>
        <v>40000</v>
      </c>
      <c r="D50" s="852">
        <f>SUM(D48:D49)</f>
        <v>140000</v>
      </c>
      <c r="E50" s="3039">
        <f>SUM(C50:D50)</f>
        <v>180000</v>
      </c>
      <c r="F50" s="853"/>
      <c r="G50" s="539"/>
      <c r="H50" s="558"/>
      <c r="I50" s="558"/>
      <c r="J50" s="535"/>
    </row>
    <row r="51" spans="2:10" ht="13.5" thickBot="1">
      <c r="B51" s="822"/>
      <c r="C51" s="2849"/>
      <c r="D51" s="3048"/>
      <c r="E51" s="3049"/>
      <c r="F51" s="853"/>
      <c r="G51" s="539"/>
      <c r="H51" s="558"/>
      <c r="I51" s="558"/>
      <c r="J51" s="535"/>
    </row>
    <row r="52" spans="2:10" ht="13.5" thickBot="1">
      <c r="B52" s="828" t="s">
        <v>108</v>
      </c>
      <c r="C52" s="3074">
        <f>C14+C19+C29+C21+C31+C37+C39+C44+C50</f>
        <v>10765333.561000001</v>
      </c>
      <c r="D52" s="3075">
        <f>D14+D19+D21+D29+D31+D37+D39+D44+D50</f>
        <v>11552669.9376</v>
      </c>
      <c r="E52" s="3076">
        <f>E14+E19+E21+E29+E31+E37+E39+E44+E50</f>
        <v>22318003.498600002</v>
      </c>
      <c r="F52" s="853"/>
      <c r="G52" s="539"/>
      <c r="H52" s="558"/>
      <c r="I52" s="558"/>
      <c r="J52" s="535"/>
    </row>
    <row r="53" spans="2:10">
      <c r="B53" s="863"/>
      <c r="C53" s="2930"/>
      <c r="D53" s="600"/>
      <c r="E53" s="600"/>
      <c r="F53" s="853"/>
      <c r="G53" s="539"/>
      <c r="H53" s="558"/>
      <c r="I53" s="558"/>
      <c r="J53" s="535"/>
    </row>
    <row r="54" spans="2:10">
      <c r="B54" s="819" t="s">
        <v>109</v>
      </c>
      <c r="C54" s="2921">
        <v>2016</v>
      </c>
      <c r="D54" s="1804">
        <v>2017</v>
      </c>
      <c r="E54" s="1804" t="s">
        <v>20</v>
      </c>
      <c r="F54" s="853"/>
      <c r="G54" s="539"/>
      <c r="H54" s="558"/>
      <c r="I54" s="558"/>
      <c r="J54" s="535"/>
    </row>
    <row r="55" spans="2:10" ht="15.75">
      <c r="B55" s="959"/>
      <c r="C55" s="2827"/>
      <c r="D55" s="607"/>
      <c r="E55" s="607"/>
      <c r="F55" s="612"/>
      <c r="G55" s="539"/>
      <c r="H55" s="558"/>
      <c r="I55" s="558"/>
      <c r="J55" s="535"/>
    </row>
    <row r="56" spans="2:10">
      <c r="B56" s="869" t="s">
        <v>60</v>
      </c>
      <c r="C56" s="2931">
        <v>40300000</v>
      </c>
      <c r="D56" s="1218">
        <v>46000000</v>
      </c>
      <c r="E56" s="857">
        <f>C56+D56</f>
        <v>86300000</v>
      </c>
      <c r="F56" s="856" t="s">
        <v>110</v>
      </c>
      <c r="G56" s="3273" t="s">
        <v>2607</v>
      </c>
      <c r="H56" s="558"/>
      <c r="I56" s="558"/>
      <c r="J56" s="535"/>
    </row>
    <row r="57" spans="2:10">
      <c r="B57" s="869"/>
      <c r="C57" s="2931"/>
      <c r="D57" s="1218"/>
      <c r="E57" s="857"/>
      <c r="F57" s="856"/>
      <c r="G57" s="540"/>
      <c r="H57" s="558"/>
      <c r="I57" s="558"/>
      <c r="J57" s="535"/>
    </row>
    <row r="58" spans="2:10" ht="15.75">
      <c r="B58" s="959"/>
      <c r="C58" s="877"/>
      <c r="D58" s="878"/>
      <c r="E58" s="857"/>
      <c r="F58" s="856"/>
      <c r="G58" s="540"/>
      <c r="H58" s="558"/>
      <c r="I58" s="558"/>
      <c r="J58" s="535"/>
    </row>
    <row r="59" spans="2:10">
      <c r="B59" s="611"/>
      <c r="C59" s="879"/>
      <c r="D59" s="880"/>
      <c r="E59" s="615"/>
      <c r="F59" s="616"/>
      <c r="G59" s="555"/>
      <c r="H59" s="555"/>
      <c r="I59" s="556"/>
      <c r="J59" s="535"/>
    </row>
    <row r="60" spans="2:10">
      <c r="B60" s="817" t="s">
        <v>111</v>
      </c>
      <c r="C60" s="767">
        <f>SUM(C56:C59)</f>
        <v>40300000</v>
      </c>
      <c r="D60" s="1789">
        <f>SUM(D56:D59)</f>
        <v>46000000</v>
      </c>
      <c r="E60" s="613">
        <f>SUM(C60:D60)</f>
        <v>86300000</v>
      </c>
      <c r="F60" s="614" t="s">
        <v>110</v>
      </c>
      <c r="G60" s="555"/>
      <c r="H60" s="555"/>
      <c r="I60" s="556"/>
      <c r="J60" s="535"/>
    </row>
    <row r="61" spans="2:10">
      <c r="B61" s="2137"/>
      <c r="C61" s="864"/>
      <c r="D61" s="2137"/>
      <c r="E61" s="2137"/>
      <c r="F61" s="805"/>
      <c r="G61" s="555"/>
      <c r="H61" s="555"/>
      <c r="I61" s="556"/>
      <c r="J61" s="535"/>
    </row>
    <row r="62" spans="2:10">
      <c r="B62" s="836" t="s">
        <v>112</v>
      </c>
      <c r="C62" s="617">
        <f>C60/E60</f>
        <v>0.46697566628041715</v>
      </c>
      <c r="D62" s="617">
        <f>D60/E60</f>
        <v>0.5330243337195828</v>
      </c>
      <c r="E62" s="2137"/>
      <c r="F62" s="805"/>
      <c r="G62" s="558"/>
      <c r="H62" s="555"/>
      <c r="I62" s="556"/>
      <c r="J62" s="535"/>
    </row>
    <row r="63" spans="2:10">
      <c r="B63" s="83"/>
      <c r="C63" s="588"/>
      <c r="D63" s="570"/>
      <c r="E63" s="587"/>
      <c r="F63" s="555"/>
      <c r="G63" s="558"/>
      <c r="H63" s="555"/>
      <c r="I63" s="556"/>
      <c r="J63" s="535"/>
    </row>
    <row r="64" spans="2:10">
      <c r="B64" s="83"/>
      <c r="C64" s="588"/>
      <c r="D64" s="570"/>
      <c r="E64" s="593"/>
      <c r="F64" s="555"/>
      <c r="G64" s="558"/>
      <c r="H64" s="2139"/>
      <c r="I64" s="2139"/>
      <c r="J64" s="535"/>
    </row>
    <row r="65" spans="2:10">
      <c r="B65" s="83"/>
      <c r="C65" s="593"/>
      <c r="D65" s="598"/>
      <c r="E65" s="587"/>
      <c r="F65" s="533"/>
      <c r="G65" s="558"/>
      <c r="H65" s="2139"/>
      <c r="I65" s="2139"/>
      <c r="J65" s="535"/>
    </row>
    <row r="66" spans="2:10">
      <c r="B66" s="534"/>
      <c r="C66" s="561"/>
      <c r="D66" s="561"/>
      <c r="E66" s="595"/>
      <c r="F66" s="560"/>
      <c r="G66" s="558"/>
      <c r="J66" s="535"/>
    </row>
    <row r="67" spans="2:10">
      <c r="B67" s="2139"/>
      <c r="C67" s="555"/>
      <c r="D67" s="2139"/>
      <c r="E67" s="2139"/>
      <c r="F67" s="558"/>
      <c r="G67" s="558"/>
      <c r="J67" s="535"/>
    </row>
    <row r="68" spans="2:10">
      <c r="B68" s="567"/>
      <c r="C68" s="583"/>
      <c r="D68" s="583"/>
      <c r="E68" s="2139"/>
      <c r="F68" s="558"/>
      <c r="G68" s="558"/>
      <c r="J68" s="535"/>
    </row>
    <row r="69" spans="2:10">
      <c r="B69" s="2139"/>
      <c r="C69" s="558"/>
      <c r="D69" s="2139"/>
      <c r="E69" s="2139"/>
      <c r="F69" s="555"/>
      <c r="G69" s="2139"/>
      <c r="J69" s="535"/>
    </row>
    <row r="70" spans="2:10" ht="20.25">
      <c r="B70" s="541"/>
      <c r="C70" s="141"/>
      <c r="D70" s="2139"/>
      <c r="E70" s="2139"/>
      <c r="F70" s="555"/>
      <c r="G70" s="2139"/>
      <c r="J70" s="535"/>
    </row>
    <row r="71" spans="2:10">
      <c r="B71" s="535"/>
      <c r="C71" s="535"/>
      <c r="D71" s="2139"/>
      <c r="E71" s="2139"/>
      <c r="F71" s="555"/>
      <c r="J71" s="535"/>
    </row>
    <row r="72" spans="2:10">
      <c r="B72" s="2139"/>
      <c r="C72" s="2139"/>
      <c r="D72" s="2139"/>
      <c r="E72" s="2139"/>
      <c r="F72" s="2139"/>
      <c r="J72" s="535"/>
    </row>
    <row r="73" spans="2:10">
      <c r="B73" s="2139"/>
      <c r="C73" s="2139"/>
      <c r="D73" s="2139"/>
      <c r="E73" s="2139"/>
      <c r="F73" s="2139"/>
      <c r="J73" s="535"/>
    </row>
    <row r="74" spans="2:10">
      <c r="J74" s="535"/>
    </row>
    <row r="75" spans="2:10">
      <c r="J75" s="535"/>
    </row>
  </sheetData>
  <customSheetViews>
    <customSheetView guid="{D9EFFE19-D14B-4C6F-BDF4-FF696F73968D}">
      <pane xSplit="1" ySplit="1" topLeftCell="B2" activePane="bottomRight" state="frozen"/>
      <selection pane="bottomRight" activeCell="G41" sqref="G41"/>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17" scale="48" orientation="landscape" horizontalDpi="1200" verticalDpi="1200" r:id="rId1"/>
    </customSheetView>
  </customSheetViews>
  <mergeCells count="1">
    <mergeCell ref="I29:L34"/>
  </mergeCells>
  <pageMargins left="0.7" right="0.2" top="0.75" bottom="0.75" header="0.3" footer="0.3"/>
  <pageSetup paperSize="3" scale="48" orientation="landscape" horizontalDpi="1200" verticalDpi="120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8DB4E3"/>
  </sheetPr>
  <dimension ref="A1:S81"/>
  <sheetViews>
    <sheetView showGridLines="0" workbookViewId="0">
      <pane xSplit="1" ySplit="1" topLeftCell="B2" activePane="bottomRight" state="frozen"/>
      <selection pane="topRight" activeCell="B1" sqref="B1"/>
      <selection pane="bottomLeft" activeCell="A2" sqref="A2"/>
      <selection pane="bottomRight" activeCell="D55" sqref="D55"/>
    </sheetView>
  </sheetViews>
  <sheetFormatPr defaultColWidth="34.85546875" defaultRowHeight="12.75"/>
  <cols>
    <col min="1" max="1" width="18.85546875" style="849" customWidth="1"/>
    <col min="2" max="2" width="58.5703125" customWidth="1"/>
    <col min="3" max="3" width="20.28515625" customWidth="1"/>
    <col min="4" max="4" width="18" customWidth="1"/>
    <col min="5" max="5" width="19" customWidth="1"/>
    <col min="6" max="6" width="19.28515625" customWidth="1"/>
    <col min="7" max="7" width="19.5703125" customWidth="1"/>
    <col min="8" max="8" width="23.5703125" customWidth="1"/>
    <col min="9" max="9" width="21.7109375" customWidth="1"/>
    <col min="10" max="10" width="20" customWidth="1"/>
    <col min="11" max="11" width="25.85546875" customWidth="1"/>
    <col min="12" max="12" width="21.7109375" customWidth="1"/>
    <col min="13" max="13" width="25.28515625" customWidth="1"/>
    <col min="16" max="16" width="19.42578125" customWidth="1"/>
    <col min="17" max="17" width="18.7109375" customWidth="1"/>
    <col min="18" max="18" width="19.28515625" customWidth="1"/>
    <col min="19" max="19" width="13.42578125" customWidth="1"/>
  </cols>
  <sheetData>
    <row r="1" spans="1:19" ht="51.75" customHeight="1">
      <c r="B1" s="1387" t="s">
        <v>257</v>
      </c>
      <c r="C1" s="1361" t="s">
        <v>258</v>
      </c>
      <c r="D1" s="1387" t="s">
        <v>114</v>
      </c>
      <c r="E1" s="1386" t="s">
        <v>4</v>
      </c>
      <c r="H1" s="1361"/>
      <c r="I1" s="100"/>
      <c r="J1" s="84"/>
      <c r="K1" s="1387" t="s">
        <v>257</v>
      </c>
      <c r="L1" s="1361" t="s">
        <v>258</v>
      </c>
      <c r="M1" s="1387" t="s">
        <v>114</v>
      </c>
      <c r="N1" s="1386" t="s">
        <v>4</v>
      </c>
    </row>
    <row r="2" spans="1:19" ht="21" thickBot="1">
      <c r="B2" s="89"/>
      <c r="C2" s="99"/>
      <c r="D2" s="99"/>
      <c r="E2" s="99"/>
      <c r="F2" s="99"/>
      <c r="G2" s="106"/>
      <c r="H2" s="100"/>
      <c r="I2" s="100"/>
      <c r="J2" s="84"/>
      <c r="K2" s="84"/>
      <c r="L2" s="84"/>
      <c r="M2" s="84"/>
      <c r="N2" s="84"/>
    </row>
    <row r="3" spans="1:19" ht="38.25">
      <c r="A3" s="1382" t="s">
        <v>257</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26.25">
      <c r="A4" s="1382" t="s">
        <v>114</v>
      </c>
      <c r="G4" s="2946" t="s">
        <v>1726</v>
      </c>
      <c r="H4" s="2964">
        <f>C16</f>
        <v>158400</v>
      </c>
      <c r="I4" s="2965">
        <f>C18</f>
        <v>10672</v>
      </c>
      <c r="J4" s="2965">
        <f>C40</f>
        <v>112771.024</v>
      </c>
      <c r="K4" s="2965">
        <f>C35</f>
        <v>22000</v>
      </c>
      <c r="L4" s="2965">
        <f>C26</f>
        <v>3000</v>
      </c>
      <c r="M4" s="2965">
        <f>C49</f>
        <v>110000</v>
      </c>
      <c r="N4" s="2965">
        <f>C33</f>
        <v>4000</v>
      </c>
      <c r="O4" s="2965">
        <f>C28</f>
        <v>4000</v>
      </c>
      <c r="P4" s="2965">
        <f>C12</f>
        <v>2225000</v>
      </c>
      <c r="Q4" s="2969"/>
      <c r="R4" s="2970">
        <f>SUM(H4:P4)</f>
        <v>2649843.0240000002</v>
      </c>
      <c r="S4" s="2971">
        <f>C54</f>
        <v>10108435</v>
      </c>
    </row>
    <row r="5" spans="1:19" ht="15.75">
      <c r="A5" s="1357" t="s">
        <v>258</v>
      </c>
      <c r="G5" s="3205" t="s">
        <v>1753</v>
      </c>
      <c r="H5" s="2655">
        <v>144000</v>
      </c>
      <c r="I5" s="2656">
        <v>13340</v>
      </c>
      <c r="J5" s="2656">
        <v>97920</v>
      </c>
      <c r="K5" s="2656">
        <v>24000</v>
      </c>
      <c r="L5" s="2656">
        <v>4000</v>
      </c>
      <c r="M5" s="2672">
        <v>120000</v>
      </c>
      <c r="N5" s="2673">
        <v>4000</v>
      </c>
      <c r="O5" s="2673">
        <v>5000</v>
      </c>
      <c r="P5" s="2674">
        <v>1625000</v>
      </c>
      <c r="Q5" s="2675"/>
      <c r="R5" s="2676">
        <v>2037260</v>
      </c>
      <c r="S5" s="2677">
        <v>6981030</v>
      </c>
    </row>
    <row r="6" spans="1:19" ht="16.5" thickBot="1">
      <c r="A6" s="1388" t="s">
        <v>4</v>
      </c>
      <c r="G6" s="3206" t="s">
        <v>1754</v>
      </c>
      <c r="H6" s="2663">
        <f>D16</f>
        <v>158400</v>
      </c>
      <c r="I6" s="2664">
        <f>D18</f>
        <v>13340</v>
      </c>
      <c r="J6" s="2664">
        <f>D40</f>
        <v>154222.51999999999</v>
      </c>
      <c r="K6" s="2664">
        <f>D35</f>
        <v>24000</v>
      </c>
      <c r="L6" s="2664">
        <f>D26</f>
        <v>4000</v>
      </c>
      <c r="M6" s="2679">
        <f>D49</f>
        <v>120000</v>
      </c>
      <c r="N6" s="2680">
        <f>D33</f>
        <v>4000</v>
      </c>
      <c r="O6" s="2680">
        <f>D28</f>
        <v>5000</v>
      </c>
      <c r="P6" s="2681">
        <f>D12</f>
        <v>2000000</v>
      </c>
      <c r="Q6" s="2682"/>
      <c r="R6" s="2683">
        <f>SUM(H6:P6)</f>
        <v>2482962.52</v>
      </c>
      <c r="S6" s="2684">
        <f>D54</f>
        <v>10000000</v>
      </c>
    </row>
    <row r="7" spans="1:19" s="1173" customFormat="1">
      <c r="G7" s="2650"/>
      <c r="H7" s="2651"/>
      <c r="I7" s="2651"/>
      <c r="J7" s="2651"/>
      <c r="K7" s="2651"/>
      <c r="L7" s="2651"/>
      <c r="M7" s="2651"/>
      <c r="N7" s="2651"/>
      <c r="O7" s="2651"/>
      <c r="P7" s="2651"/>
      <c r="Q7" s="2668"/>
      <c r="R7" s="2651"/>
      <c r="S7" s="594"/>
    </row>
    <row r="8" spans="1:19" ht="20.25">
      <c r="A8" s="1357"/>
      <c r="B8" s="89"/>
      <c r="C8" s="99"/>
      <c r="D8" s="99"/>
      <c r="E8" s="99"/>
      <c r="F8" s="99"/>
      <c r="G8" s="106"/>
      <c r="H8" s="100"/>
      <c r="I8" s="100"/>
      <c r="J8" s="84"/>
      <c r="K8" s="84"/>
      <c r="L8" s="84"/>
      <c r="M8" s="84"/>
      <c r="N8" s="91"/>
    </row>
    <row r="9" spans="1:19" ht="18">
      <c r="A9" s="1357"/>
      <c r="B9" s="1310"/>
      <c r="C9" s="2803">
        <v>2016</v>
      </c>
      <c r="D9" s="576">
        <v>2017</v>
      </c>
      <c r="E9" s="138" t="s">
        <v>20</v>
      </c>
      <c r="F9" s="98"/>
      <c r="G9" s="98"/>
      <c r="H9" s="98"/>
      <c r="I9" s="98"/>
      <c r="J9" s="84"/>
      <c r="K9" s="84"/>
      <c r="L9" s="84"/>
      <c r="M9" s="84"/>
      <c r="N9" s="84"/>
    </row>
    <row r="10" spans="1:19" ht="18">
      <c r="A10" s="1357"/>
      <c r="B10" s="544"/>
      <c r="C10" s="3094"/>
      <c r="D10" s="1794"/>
      <c r="E10" s="1795">
        <f>SUM(C10:D10)</f>
        <v>0</v>
      </c>
      <c r="F10" s="93"/>
      <c r="G10" s="93"/>
      <c r="H10" s="93"/>
      <c r="I10" s="1008"/>
      <c r="J10" s="999"/>
      <c r="K10" s="999"/>
      <c r="L10" s="91"/>
      <c r="M10" s="107"/>
      <c r="N10" s="84"/>
    </row>
    <row r="11" spans="1:19" s="1652" customFormat="1" ht="15">
      <c r="A11" s="1773"/>
      <c r="B11" s="538" t="s">
        <v>80</v>
      </c>
      <c r="C11" s="3095">
        <v>2225000</v>
      </c>
      <c r="D11" s="3128">
        <v>2000000</v>
      </c>
      <c r="E11" s="3129">
        <f>SUM(C11:D11)</f>
        <v>4225000</v>
      </c>
      <c r="F11" s="552"/>
      <c r="G11" s="552"/>
      <c r="H11" s="552"/>
      <c r="I11" s="1103"/>
      <c r="J11" s="1092"/>
      <c r="K11" s="1092"/>
      <c r="L11" s="547"/>
      <c r="M11" s="143"/>
      <c r="N11" s="1774"/>
    </row>
    <row r="12" spans="1:19">
      <c r="A12" s="1357"/>
      <c r="B12" s="3096"/>
      <c r="C12" s="3097">
        <f>SUM(C10:C11)</f>
        <v>2225000</v>
      </c>
      <c r="D12" s="3098">
        <f>SUM(D10:D11)</f>
        <v>2000000</v>
      </c>
      <c r="E12" s="3099">
        <f>SUM(E10:E11)</f>
        <v>4225000</v>
      </c>
      <c r="F12" s="93"/>
      <c r="G12" s="93"/>
      <c r="H12" s="93"/>
      <c r="I12" s="1000"/>
      <c r="J12" s="1001"/>
      <c r="K12" s="999"/>
      <c r="L12" s="84"/>
      <c r="M12" s="84"/>
      <c r="N12" s="84"/>
    </row>
    <row r="13" spans="1:19" ht="18">
      <c r="A13" s="1357"/>
      <c r="B13" s="544"/>
      <c r="C13" s="2806"/>
      <c r="D13" s="3100"/>
      <c r="E13" s="3101"/>
      <c r="F13" s="93"/>
      <c r="G13" s="93"/>
      <c r="H13" s="93"/>
      <c r="I13" s="1000"/>
      <c r="J13" s="1002"/>
      <c r="K13" s="999"/>
      <c r="L13" s="84"/>
      <c r="M13" s="84"/>
      <c r="N13" s="84"/>
    </row>
    <row r="14" spans="1:19">
      <c r="B14" s="538" t="s">
        <v>1747</v>
      </c>
      <c r="C14" s="2807"/>
      <c r="D14" s="3102"/>
      <c r="E14" s="3103"/>
      <c r="F14" s="2857">
        <v>2016</v>
      </c>
      <c r="G14" s="2575">
        <v>2017</v>
      </c>
      <c r="H14" s="2576" t="s">
        <v>1685</v>
      </c>
      <c r="I14" s="1000"/>
      <c r="J14" s="1002"/>
      <c r="K14" s="996"/>
      <c r="L14" s="84"/>
      <c r="M14" s="84"/>
      <c r="N14" s="84"/>
    </row>
    <row r="15" spans="1:19" ht="15">
      <c r="B15" s="551" t="s">
        <v>85</v>
      </c>
      <c r="C15" s="3109">
        <v>158400</v>
      </c>
      <c r="D15" s="3110">
        <v>158400</v>
      </c>
      <c r="E15" s="3111">
        <f>SUM(C15:D15)</f>
        <v>316800</v>
      </c>
      <c r="F15" s="2858">
        <v>1.7</v>
      </c>
      <c r="G15" s="1663">
        <v>1.5</v>
      </c>
      <c r="H15" s="1663">
        <f>(F15+G15)/2</f>
        <v>1.6</v>
      </c>
      <c r="I15" s="553" t="s">
        <v>86</v>
      </c>
      <c r="J15" s="998"/>
      <c r="K15" s="996"/>
      <c r="L15" s="84"/>
      <c r="M15" s="84"/>
      <c r="N15" s="84"/>
    </row>
    <row r="16" spans="1:19" s="1652" customFormat="1">
      <c r="B16" s="3132" t="s">
        <v>1746</v>
      </c>
      <c r="C16" s="2811">
        <f>C15</f>
        <v>158400</v>
      </c>
      <c r="D16" s="3102">
        <f>D15</f>
        <v>158400</v>
      </c>
      <c r="E16" s="3103">
        <f>C16+D16</f>
        <v>316800</v>
      </c>
      <c r="F16" s="2859"/>
      <c r="G16" s="1663"/>
      <c r="H16" s="1663"/>
      <c r="I16" s="553"/>
      <c r="J16" s="1091"/>
      <c r="K16" s="1088"/>
      <c r="L16" s="3028"/>
      <c r="M16" s="3028"/>
      <c r="N16" s="3028"/>
    </row>
    <row r="17" spans="2:14" s="1652" customFormat="1">
      <c r="B17" s="3132"/>
      <c r="C17" s="2811"/>
      <c r="D17" s="3102"/>
      <c r="E17" s="3103"/>
      <c r="F17" s="2859"/>
      <c r="G17" s="1663"/>
      <c r="H17" s="1663"/>
      <c r="I17" s="553"/>
      <c r="J17" s="1091"/>
      <c r="K17" s="1088"/>
      <c r="L17" s="3028"/>
      <c r="M17" s="3028"/>
      <c r="N17" s="3028"/>
    </row>
    <row r="18" spans="2:14">
      <c r="B18" s="3132" t="s">
        <v>8</v>
      </c>
      <c r="C18" s="2811">
        <v>10672</v>
      </c>
      <c r="D18" s="3102">
        <v>13340</v>
      </c>
      <c r="E18" s="3103">
        <f>SUM(C18:D18)</f>
        <v>24012</v>
      </c>
      <c r="F18" s="2859">
        <v>0.1</v>
      </c>
      <c r="G18" s="1663">
        <v>0.2</v>
      </c>
      <c r="H18" s="1663">
        <f>(F18+G18)/2</f>
        <v>0.15000000000000002</v>
      </c>
      <c r="I18" s="553" t="s">
        <v>86</v>
      </c>
      <c r="J18" s="998"/>
      <c r="K18" s="996"/>
      <c r="L18" s="84"/>
      <c r="M18" s="84"/>
      <c r="N18" s="84"/>
    </row>
    <row r="19" spans="2:14">
      <c r="B19" s="551"/>
      <c r="C19" s="2812"/>
      <c r="D19" s="3100"/>
      <c r="E19" s="3105"/>
      <c r="F19" s="1652"/>
      <c r="G19" s="1652"/>
      <c r="H19" s="1652"/>
      <c r="I19" s="1000"/>
      <c r="J19" s="998"/>
      <c r="K19" s="996"/>
      <c r="L19" s="84"/>
      <c r="M19" s="108"/>
    </row>
    <row r="20" spans="2:14">
      <c r="B20" s="538" t="s">
        <v>483</v>
      </c>
      <c r="C20" s="2807"/>
      <c r="D20" s="3106"/>
      <c r="E20" s="3103"/>
      <c r="F20" s="1652"/>
      <c r="G20" s="1652"/>
      <c r="H20" s="1652"/>
      <c r="I20" s="1000"/>
      <c r="J20" s="998"/>
      <c r="K20" s="996"/>
      <c r="L20" s="84"/>
      <c r="M20" s="84"/>
    </row>
    <row r="21" spans="2:14">
      <c r="B21" s="3036" t="s">
        <v>90</v>
      </c>
      <c r="C21" s="3107"/>
      <c r="D21" s="3104"/>
      <c r="E21" s="3105">
        <f t="shared" ref="E21:E25" si="0">SUM(C21:D21)</f>
        <v>0</v>
      </c>
      <c r="I21" s="1000"/>
      <c r="J21" s="998"/>
      <c r="K21" s="996"/>
      <c r="L21" s="84"/>
      <c r="M21" s="84"/>
    </row>
    <row r="22" spans="2:14">
      <c r="B22" s="551" t="s">
        <v>91</v>
      </c>
      <c r="C22" s="3108">
        <v>3000</v>
      </c>
      <c r="D22" s="3104">
        <v>4000</v>
      </c>
      <c r="E22" s="3105">
        <f t="shared" si="0"/>
        <v>7000</v>
      </c>
      <c r="F22" s="84"/>
      <c r="G22" s="92"/>
      <c r="H22" s="101"/>
      <c r="I22" s="1000"/>
      <c r="J22" s="1007"/>
      <c r="K22" s="996"/>
      <c r="L22" s="84"/>
      <c r="M22" s="84"/>
    </row>
    <row r="23" spans="2:14">
      <c r="B23" s="551" t="s">
        <v>94</v>
      </c>
      <c r="C23" s="3107"/>
      <c r="D23" s="3104"/>
      <c r="E23" s="3105">
        <f t="shared" si="0"/>
        <v>0</v>
      </c>
      <c r="F23" s="92"/>
      <c r="G23" s="92"/>
      <c r="H23" s="92"/>
      <c r="I23" s="996"/>
      <c r="J23" s="997"/>
      <c r="K23" s="996"/>
      <c r="L23" s="84"/>
      <c r="M23" s="84"/>
    </row>
    <row r="24" spans="2:14" s="1652" customFormat="1">
      <c r="B24" s="551" t="s">
        <v>498</v>
      </c>
      <c r="C24" s="3107"/>
      <c r="D24" s="3104"/>
      <c r="E24" s="3105">
        <f t="shared" si="0"/>
        <v>0</v>
      </c>
      <c r="F24" s="548"/>
      <c r="G24" s="548"/>
      <c r="H24" s="548"/>
      <c r="I24" s="1088"/>
      <c r="J24" s="1090"/>
      <c r="K24" s="1088"/>
      <c r="L24" s="1774"/>
      <c r="M24" s="1774"/>
    </row>
    <row r="25" spans="2:14" ht="15">
      <c r="B25" s="551" t="s">
        <v>97</v>
      </c>
      <c r="C25" s="3109"/>
      <c r="D25" s="3110"/>
      <c r="E25" s="3111">
        <f t="shared" si="0"/>
        <v>0</v>
      </c>
      <c r="F25" s="92"/>
      <c r="G25" s="92"/>
      <c r="H25" s="102"/>
      <c r="I25" s="1000"/>
      <c r="J25" s="1012"/>
      <c r="K25" s="996"/>
      <c r="L25" s="84"/>
      <c r="M25" s="84"/>
    </row>
    <row r="26" spans="2:14">
      <c r="B26" s="3132" t="s">
        <v>1741</v>
      </c>
      <c r="C26" s="2807">
        <f>SUM(C21:C25)</f>
        <v>3000</v>
      </c>
      <c r="D26" s="558">
        <f>SUM(D21:D25)</f>
        <v>4000</v>
      </c>
      <c r="E26" s="3103">
        <f>SUM(E21:E25)</f>
        <v>7000</v>
      </c>
      <c r="F26" s="92"/>
      <c r="G26" s="92"/>
      <c r="H26" s="102"/>
      <c r="I26" s="1005"/>
      <c r="J26" s="1010"/>
      <c r="K26" s="1003"/>
      <c r="L26" s="84"/>
      <c r="M26" s="84"/>
    </row>
    <row r="27" spans="2:14">
      <c r="B27" s="3100"/>
      <c r="C27" s="2808"/>
      <c r="D27" s="3100"/>
      <c r="E27" s="3101"/>
      <c r="F27" s="92"/>
      <c r="G27" s="92"/>
      <c r="H27" s="102"/>
      <c r="I27" s="1005"/>
      <c r="J27" s="1009"/>
      <c r="K27" s="1006"/>
      <c r="L27" s="84"/>
      <c r="M27" s="84"/>
    </row>
    <row r="28" spans="2:14">
      <c r="B28" s="538" t="s">
        <v>84</v>
      </c>
      <c r="C28" s="2807">
        <v>4000</v>
      </c>
      <c r="D28" s="3102">
        <v>5000</v>
      </c>
      <c r="E28" s="3103">
        <f>SUM(C28:D28)</f>
        <v>9000</v>
      </c>
      <c r="F28" s="92"/>
      <c r="G28" s="92"/>
      <c r="H28" s="102"/>
      <c r="I28" s="1005"/>
      <c r="J28" s="1009"/>
      <c r="K28" s="1006"/>
      <c r="L28" s="84"/>
      <c r="M28" s="84"/>
    </row>
    <row r="29" spans="2:14">
      <c r="B29" s="3100"/>
      <c r="C29" s="2808"/>
      <c r="D29" s="3100"/>
      <c r="E29" s="3101"/>
      <c r="F29" s="92"/>
      <c r="G29" s="92"/>
      <c r="H29" s="102"/>
      <c r="I29" s="1004"/>
      <c r="J29" s="1011"/>
      <c r="K29" s="996"/>
      <c r="L29" s="84"/>
      <c r="M29" s="84"/>
    </row>
    <row r="30" spans="2:14">
      <c r="B30" s="557" t="s">
        <v>87</v>
      </c>
      <c r="C30" s="2808"/>
      <c r="D30" s="3112"/>
      <c r="E30" s="3101"/>
      <c r="F30" s="102"/>
      <c r="G30" s="102"/>
      <c r="H30" s="102"/>
      <c r="I30" s="97"/>
      <c r="J30" s="105"/>
      <c r="K30" s="84"/>
      <c r="L30" s="84"/>
      <c r="M30" s="84"/>
    </row>
    <row r="31" spans="2:14">
      <c r="B31" s="3036" t="s">
        <v>100</v>
      </c>
      <c r="C31" s="2808">
        <v>4000</v>
      </c>
      <c r="D31" s="3104">
        <v>4000</v>
      </c>
      <c r="E31" s="3105">
        <f>SUM(C31:D31)</f>
        <v>8000</v>
      </c>
      <c r="F31" s="102"/>
      <c r="G31" s="102"/>
      <c r="H31" s="102"/>
      <c r="I31" s="93"/>
      <c r="J31" s="84"/>
      <c r="K31" s="84"/>
      <c r="L31" s="84"/>
      <c r="M31" s="84"/>
    </row>
    <row r="32" spans="2:14" ht="15">
      <c r="B32" s="3100" t="s">
        <v>102</v>
      </c>
      <c r="C32" s="3113"/>
      <c r="D32" s="3110"/>
      <c r="E32" s="3111">
        <f>SUM(C32:D32)</f>
        <v>0</v>
      </c>
      <c r="F32" s="102"/>
      <c r="G32" s="102"/>
      <c r="H32" s="102"/>
      <c r="I32" s="93"/>
      <c r="J32" s="84"/>
      <c r="K32" s="84"/>
      <c r="L32" s="84"/>
      <c r="M32" s="84"/>
    </row>
    <row r="33" spans="1:13">
      <c r="B33" s="3133" t="s">
        <v>1742</v>
      </c>
      <c r="C33" s="2811">
        <f>SUM(C31:C32)</f>
        <v>4000</v>
      </c>
      <c r="D33" s="3114">
        <f>SUM(D31:D32)</f>
        <v>4000</v>
      </c>
      <c r="E33" s="3103">
        <f>SUM(E31:E32)</f>
        <v>8000</v>
      </c>
      <c r="F33" s="102"/>
      <c r="G33" s="102"/>
      <c r="H33" s="102"/>
      <c r="I33" s="93"/>
      <c r="J33" s="84"/>
      <c r="K33" s="84"/>
      <c r="L33" s="84"/>
      <c r="M33" s="84"/>
    </row>
    <row r="34" spans="1:13">
      <c r="B34" s="3100"/>
      <c r="C34" s="2808"/>
      <c r="D34" s="3100"/>
      <c r="E34" s="3101"/>
      <c r="F34" s="102"/>
      <c r="G34" s="102"/>
      <c r="H34" s="102"/>
      <c r="I34" s="93"/>
      <c r="J34" s="84"/>
      <c r="K34" s="84"/>
      <c r="L34" s="84"/>
      <c r="M34" s="84"/>
    </row>
    <row r="35" spans="1:13">
      <c r="A35" s="1382" t="s">
        <v>257</v>
      </c>
      <c r="B35" s="557" t="s">
        <v>88</v>
      </c>
      <c r="C35" s="2811">
        <v>22000</v>
      </c>
      <c r="D35" s="3115">
        <v>24000</v>
      </c>
      <c r="E35" s="3103">
        <f>SUM(C35:D35)</f>
        <v>46000</v>
      </c>
      <c r="F35" s="102"/>
      <c r="G35" s="102"/>
      <c r="H35" s="102"/>
      <c r="I35" s="93"/>
    </row>
    <row r="36" spans="1:13">
      <c r="A36" s="1357" t="s">
        <v>258</v>
      </c>
      <c r="B36" s="3100"/>
      <c r="C36" s="2808"/>
      <c r="D36" s="3100"/>
      <c r="E36" s="3101"/>
      <c r="F36" s="102"/>
      <c r="G36" s="103"/>
      <c r="H36" s="102"/>
      <c r="I36" s="93"/>
    </row>
    <row r="37" spans="1:13" ht="25.5">
      <c r="A37" s="1382" t="s">
        <v>114</v>
      </c>
      <c r="B37" s="559" t="s">
        <v>9</v>
      </c>
      <c r="C37" s="2847">
        <f>(C16+C18)*F37</f>
        <v>112771.024</v>
      </c>
      <c r="D37" s="3065">
        <f>(D16+D18)*F38</f>
        <v>118157.12</v>
      </c>
      <c r="E37" s="3105">
        <f>SUM(C37:D37)</f>
        <v>230928.144</v>
      </c>
      <c r="F37" s="2865">
        <v>0.66700000000000004</v>
      </c>
      <c r="G37" s="3086" t="s">
        <v>659</v>
      </c>
      <c r="H37" s="102"/>
      <c r="I37" s="93"/>
    </row>
    <row r="38" spans="1:13">
      <c r="A38" s="1388" t="s">
        <v>4</v>
      </c>
      <c r="B38" s="3100"/>
      <c r="C38" s="2808"/>
      <c r="D38" s="3116"/>
      <c r="E38" s="3117"/>
      <c r="F38" s="2145">
        <v>0.68799999999999994</v>
      </c>
      <c r="G38" s="2144" t="s">
        <v>660</v>
      </c>
      <c r="H38" s="102"/>
      <c r="I38" s="93"/>
    </row>
    <row r="39" spans="1:13" ht="15">
      <c r="B39" s="3079" t="s">
        <v>1732</v>
      </c>
      <c r="C39" s="3068"/>
      <c r="D39" s="3069">
        <f>(D16+D18)*F39</f>
        <v>36065.4</v>
      </c>
      <c r="E39" s="3070">
        <f>C39+D39</f>
        <v>36065.4</v>
      </c>
      <c r="F39" s="3015">
        <v>0.21</v>
      </c>
      <c r="G39" s="2144" t="s">
        <v>1735</v>
      </c>
      <c r="H39" s="102"/>
      <c r="I39" s="90"/>
    </row>
    <row r="40" spans="1:13" s="1652" customFormat="1">
      <c r="B40" s="3134" t="s">
        <v>1743</v>
      </c>
      <c r="C40" s="3066">
        <f>C37+C38+C39</f>
        <v>112771.024</v>
      </c>
      <c r="D40" s="3072">
        <f>D37+D39</f>
        <v>154222.51999999999</v>
      </c>
      <c r="E40" s="3073">
        <f>E37+E39</f>
        <v>266993.54399999999</v>
      </c>
      <c r="F40" s="3013"/>
      <c r="G40" s="2144"/>
      <c r="H40" s="142"/>
      <c r="I40" s="545"/>
    </row>
    <row r="41" spans="1:13" s="1652" customFormat="1">
      <c r="B41" s="3092"/>
      <c r="C41" s="3066"/>
      <c r="D41" s="3072"/>
      <c r="E41" s="3053"/>
      <c r="F41" s="3013"/>
      <c r="G41" s="2144"/>
      <c r="H41" s="142"/>
      <c r="I41" s="545"/>
    </row>
    <row r="42" spans="1:13">
      <c r="B42" s="538" t="s">
        <v>11</v>
      </c>
      <c r="C42" s="3130"/>
      <c r="D42" s="3131"/>
      <c r="E42" s="3118"/>
      <c r="F42" s="102"/>
      <c r="G42" s="85"/>
      <c r="H42" s="102"/>
      <c r="I42" s="90"/>
    </row>
    <row r="43" spans="1:13">
      <c r="B43" s="559"/>
      <c r="C43" s="3107"/>
      <c r="D43" s="556"/>
      <c r="E43" s="3119"/>
      <c r="F43" s="102"/>
      <c r="G43" s="85"/>
      <c r="H43" s="102"/>
      <c r="I43" s="90"/>
    </row>
    <row r="44" spans="1:13">
      <c r="B44" s="3036" t="s">
        <v>509</v>
      </c>
      <c r="C44" s="3107"/>
      <c r="D44" s="556"/>
      <c r="E44" s="3119">
        <f>SUM(C44:D44)</f>
        <v>0</v>
      </c>
      <c r="F44" s="102"/>
      <c r="G44" s="85"/>
      <c r="H44" s="102"/>
      <c r="I44" s="90"/>
    </row>
    <row r="45" spans="1:13">
      <c r="B45" s="559" t="s">
        <v>510</v>
      </c>
      <c r="C45" s="3107"/>
      <c r="D45" s="556"/>
      <c r="E45" s="3119">
        <f>SUM(C45:D45)</f>
        <v>0</v>
      </c>
      <c r="F45" s="102"/>
      <c r="G45" s="85"/>
      <c r="H45" s="102"/>
      <c r="I45" s="90"/>
    </row>
    <row r="46" spans="1:13">
      <c r="B46" s="559" t="s">
        <v>511</v>
      </c>
      <c r="C46" s="3107"/>
      <c r="D46" s="556"/>
      <c r="E46" s="3119">
        <f>SUM(C46:D46)</f>
        <v>0</v>
      </c>
      <c r="F46" s="102"/>
      <c r="G46" s="85"/>
      <c r="H46" s="102"/>
      <c r="I46" s="90"/>
    </row>
    <row r="47" spans="1:13">
      <c r="B47" s="559" t="s">
        <v>512</v>
      </c>
      <c r="C47" s="3107"/>
      <c r="D47" s="556"/>
      <c r="E47" s="3119">
        <f>SUM(C47:D47)</f>
        <v>0</v>
      </c>
      <c r="F47" s="102"/>
      <c r="G47" s="85"/>
      <c r="H47" s="102"/>
      <c r="I47" s="90"/>
    </row>
    <row r="48" spans="1:13" ht="15">
      <c r="B48" s="559" t="s">
        <v>502</v>
      </c>
      <c r="C48" s="3109">
        <v>110000</v>
      </c>
      <c r="D48" s="3120">
        <v>120000</v>
      </c>
      <c r="E48" s="3121">
        <f>SUM(C48:D48)</f>
        <v>230000</v>
      </c>
      <c r="F48" s="102"/>
      <c r="G48" s="85"/>
      <c r="H48" s="102"/>
      <c r="I48" s="90"/>
    </row>
    <row r="49" spans="2:10">
      <c r="B49" s="3135" t="s">
        <v>538</v>
      </c>
      <c r="C49" s="2807">
        <f>SUM(C44:C48)</f>
        <v>110000</v>
      </c>
      <c r="D49" s="558">
        <f>SUM(D44:D48)</f>
        <v>120000</v>
      </c>
      <c r="E49" s="3123">
        <f>SUM(E44:E48)</f>
        <v>230000</v>
      </c>
      <c r="F49" s="102"/>
      <c r="G49" s="103"/>
      <c r="H49" s="102"/>
      <c r="I49" s="90"/>
    </row>
    <row r="50" spans="2:10" ht="13.5" thickBot="1">
      <c r="B50" s="3124"/>
      <c r="C50" s="3107"/>
      <c r="D50" s="556"/>
      <c r="E50" s="3119"/>
      <c r="F50" s="102"/>
      <c r="G50" s="103"/>
      <c r="H50" s="102"/>
      <c r="I50" s="90"/>
    </row>
    <row r="51" spans="2:10" ht="13.5" thickBot="1">
      <c r="B51" s="3122"/>
      <c r="C51" s="3125">
        <f>C12+C16+C18+C26+C28+C33+C35+C40+C49</f>
        <v>2649843.0240000002</v>
      </c>
      <c r="D51" s="3126">
        <f>D12+D16+D18+D26+D28+D33+D35+D40+D49</f>
        <v>2482962.52</v>
      </c>
      <c r="E51" s="3127">
        <f>SUM(C51:D51)</f>
        <v>5132805.5439999998</v>
      </c>
      <c r="F51" s="102"/>
      <c r="G51" s="103"/>
      <c r="H51" s="102"/>
      <c r="I51" s="90"/>
      <c r="J51" s="84"/>
    </row>
    <row r="52" spans="2:10">
      <c r="B52" s="110"/>
      <c r="C52" s="2920"/>
      <c r="D52" s="104"/>
      <c r="E52" s="104"/>
      <c r="F52" s="102"/>
      <c r="G52" s="103"/>
      <c r="H52" s="104"/>
      <c r="I52" s="94"/>
      <c r="J52" s="88"/>
    </row>
    <row r="53" spans="2:10">
      <c r="B53" s="1803" t="s">
        <v>109</v>
      </c>
      <c r="C53" s="2921">
        <v>2016</v>
      </c>
      <c r="D53" s="1804">
        <v>2017</v>
      </c>
      <c r="E53" s="1806" t="s">
        <v>20</v>
      </c>
      <c r="F53" s="1801"/>
      <c r="G53" s="103"/>
      <c r="H53" s="95"/>
      <c r="I53" s="95"/>
      <c r="J53" s="88"/>
    </row>
    <row r="54" spans="2:10" s="1652" customFormat="1" ht="25.5">
      <c r="B54" s="1800" t="s">
        <v>513</v>
      </c>
      <c r="C54" s="2922">
        <v>10108435</v>
      </c>
      <c r="D54" s="1812">
        <v>10000000</v>
      </c>
      <c r="E54" s="1812">
        <f>C54+D54</f>
        <v>20108435</v>
      </c>
      <c r="F54" s="1813" t="s">
        <v>110</v>
      </c>
      <c r="G54" s="102"/>
      <c r="H54" s="558"/>
      <c r="I54" s="558"/>
      <c r="J54" s="535"/>
    </row>
    <row r="55" spans="2:10" s="1652" customFormat="1">
      <c r="B55" s="1800"/>
      <c r="C55" s="2923"/>
      <c r="D55" s="2082"/>
      <c r="E55" s="2082"/>
      <c r="F55" s="1810"/>
      <c r="G55" s="142"/>
      <c r="H55" s="558"/>
      <c r="I55" s="558"/>
      <c r="J55" s="535"/>
    </row>
    <row r="56" spans="2:10">
      <c r="B56" s="1800"/>
      <c r="C56" s="2923"/>
      <c r="D56" s="2082"/>
      <c r="E56" s="2082"/>
      <c r="F56" s="1810"/>
      <c r="G56" s="142"/>
      <c r="H56" s="95"/>
      <c r="I56" s="95"/>
      <c r="J56" s="88"/>
    </row>
    <row r="57" spans="2:10" ht="15">
      <c r="B57" s="1799" t="s">
        <v>514</v>
      </c>
      <c r="C57" s="2924"/>
      <c r="D57" s="1873"/>
      <c r="E57" s="1873"/>
      <c r="F57" s="1810" t="s">
        <v>110</v>
      </c>
      <c r="G57" s="102"/>
      <c r="H57" s="95"/>
      <c r="I57" s="95"/>
      <c r="J57" s="88"/>
    </row>
    <row r="58" spans="2:10">
      <c r="B58" s="1798" t="s">
        <v>515</v>
      </c>
      <c r="C58" s="2925"/>
      <c r="D58" s="1805"/>
      <c r="E58" s="1805"/>
      <c r="F58" s="1811" t="s">
        <v>110</v>
      </c>
      <c r="G58" s="102"/>
      <c r="H58" s="95"/>
      <c r="I58" s="95"/>
      <c r="J58" s="88"/>
    </row>
    <row r="59" spans="2:10">
      <c r="B59" s="1801"/>
      <c r="C59" s="2926"/>
      <c r="D59" s="1807"/>
      <c r="E59" s="1807"/>
      <c r="F59" s="1808"/>
      <c r="G59" s="102"/>
      <c r="H59" s="95"/>
      <c r="I59" s="95"/>
      <c r="J59" s="88"/>
    </row>
    <row r="60" spans="2:10">
      <c r="B60" s="1802" t="s">
        <v>112</v>
      </c>
      <c r="C60" s="2855"/>
      <c r="D60" s="1809"/>
      <c r="E60" s="1807"/>
      <c r="F60" s="1808"/>
      <c r="G60" s="104"/>
      <c r="H60" s="95"/>
      <c r="I60" s="95"/>
      <c r="J60" s="88"/>
    </row>
    <row r="61" spans="2:10">
      <c r="B61" s="87"/>
      <c r="C61" s="2927"/>
      <c r="D61" s="86"/>
      <c r="E61" s="86"/>
      <c r="F61" s="84"/>
      <c r="G61" s="95"/>
      <c r="H61" s="104"/>
      <c r="I61" s="95"/>
      <c r="J61" s="88"/>
    </row>
    <row r="62" spans="2:10" ht="20.25">
      <c r="B62" s="89"/>
      <c r="C62" s="104"/>
      <c r="D62" s="104"/>
      <c r="E62" s="104"/>
      <c r="F62" s="95"/>
      <c r="G62" s="95"/>
      <c r="H62" s="104"/>
      <c r="I62" s="94"/>
      <c r="J62" s="88"/>
    </row>
    <row r="63" spans="2:10">
      <c r="B63" s="109"/>
      <c r="C63" s="95"/>
      <c r="D63" s="95"/>
      <c r="E63" s="95"/>
      <c r="F63" s="95"/>
      <c r="G63" s="95"/>
      <c r="H63" s="104"/>
      <c r="I63" s="94"/>
      <c r="J63" s="88"/>
    </row>
    <row r="64" spans="2:10">
      <c r="B64" s="109"/>
      <c r="C64" s="95"/>
      <c r="D64" s="95"/>
      <c r="E64" s="95"/>
      <c r="F64" s="104"/>
      <c r="G64" s="95"/>
      <c r="H64" s="104"/>
      <c r="I64" s="94"/>
      <c r="J64" s="88"/>
    </row>
    <row r="65" spans="2:10" ht="15.75">
      <c r="B65" s="109"/>
      <c r="C65" s="96"/>
      <c r="D65" s="96"/>
      <c r="E65" s="96"/>
      <c r="F65" s="104"/>
      <c r="G65" s="95"/>
      <c r="H65" s="104"/>
      <c r="I65" s="94"/>
      <c r="J65" s="88"/>
    </row>
    <row r="66" spans="2:10">
      <c r="B66" s="109"/>
      <c r="C66" s="88"/>
      <c r="D66" s="88"/>
      <c r="E66" s="88"/>
      <c r="F66" s="104"/>
      <c r="G66" s="95"/>
      <c r="H66" s="104"/>
      <c r="I66" s="94"/>
      <c r="J66" s="88"/>
    </row>
    <row r="67" spans="2:10">
      <c r="B67" s="109"/>
      <c r="C67" s="86"/>
      <c r="D67" s="86"/>
      <c r="E67" s="86"/>
      <c r="F67" s="104"/>
      <c r="G67" s="104"/>
      <c r="H67" s="104"/>
      <c r="I67" s="94"/>
      <c r="J67" s="88"/>
    </row>
    <row r="68" spans="2:10">
      <c r="B68" s="84"/>
      <c r="C68" s="86"/>
      <c r="D68" s="86"/>
      <c r="E68" s="86"/>
      <c r="F68" s="84"/>
      <c r="G68" s="104"/>
      <c r="H68" s="95"/>
      <c r="I68" s="95"/>
      <c r="J68" s="88"/>
    </row>
    <row r="69" spans="2:10">
      <c r="F69" s="84"/>
      <c r="G69" s="104"/>
      <c r="H69" s="95"/>
      <c r="I69" s="95"/>
      <c r="J69" s="88"/>
    </row>
    <row r="70" spans="2:10">
      <c r="F70" s="84"/>
      <c r="G70" s="104"/>
      <c r="H70" s="95"/>
      <c r="I70" s="95"/>
      <c r="J70" s="88"/>
    </row>
    <row r="71" spans="2:10">
      <c r="F71" s="84"/>
      <c r="G71" s="104"/>
      <c r="H71" s="95"/>
      <c r="I71" s="95"/>
      <c r="J71" s="88"/>
    </row>
    <row r="72" spans="2:10">
      <c r="F72" s="84"/>
      <c r="G72" s="104"/>
      <c r="H72" s="95"/>
      <c r="I72" s="95"/>
      <c r="J72" s="88"/>
    </row>
    <row r="73" spans="2:10">
      <c r="F73" s="84"/>
      <c r="G73" s="104"/>
      <c r="H73" s="95"/>
      <c r="I73" s="95"/>
      <c r="J73" s="88"/>
    </row>
    <row r="74" spans="2:10" ht="15.75">
      <c r="F74" s="95"/>
      <c r="G74" s="95"/>
      <c r="H74" s="96"/>
      <c r="I74" s="96"/>
      <c r="J74" s="88"/>
    </row>
    <row r="75" spans="2:10">
      <c r="F75" s="95"/>
      <c r="G75" s="95"/>
      <c r="H75" s="88"/>
      <c r="I75" s="88"/>
      <c r="J75" s="88"/>
    </row>
    <row r="76" spans="2:10">
      <c r="F76" s="95"/>
      <c r="G76" s="95"/>
      <c r="H76" s="84"/>
      <c r="I76" s="84"/>
      <c r="J76" s="84"/>
    </row>
    <row r="77" spans="2:10" ht="15.75">
      <c r="F77" s="96"/>
      <c r="G77" s="95"/>
      <c r="H77" s="84"/>
      <c r="I77" s="84"/>
      <c r="J77" s="84"/>
    </row>
    <row r="78" spans="2:10">
      <c r="F78" s="88"/>
      <c r="G78" s="95"/>
      <c r="H78" s="84"/>
      <c r="I78" s="84"/>
      <c r="J78" s="84"/>
    </row>
    <row r="79" spans="2:10">
      <c r="F79" s="84"/>
      <c r="G79" s="95"/>
      <c r="H79" s="84"/>
      <c r="I79" s="84"/>
      <c r="J79" s="84"/>
    </row>
    <row r="80" spans="2:10" ht="15.75">
      <c r="F80" s="84"/>
      <c r="G80" s="96"/>
      <c r="H80" s="84"/>
      <c r="I80" s="84"/>
      <c r="J80" s="84"/>
    </row>
    <row r="81" spans="6:10">
      <c r="F81" s="84"/>
      <c r="G81" s="88"/>
      <c r="H81" s="84"/>
      <c r="I81" s="84"/>
      <c r="J81" s="84"/>
    </row>
  </sheetData>
  <customSheetViews>
    <customSheetView guid="{D9EFFE19-D14B-4C6F-BDF4-FF696F73968D}" showGridLines="0">
      <pane xSplit="1" ySplit="1" topLeftCell="B2" activePane="bottomRight" state="frozen"/>
      <selection pane="bottomRight" activeCell="S7" sqref="S7"/>
      <pageMargins left="0.38" right="0.27" top="0.5" bottom="0.75" header="0.3" footer="0.3"/>
      <pageSetup paperSize="17" scale="60" orientation="landscape" r:id="rId1"/>
    </customSheetView>
    <customSheetView guid="{074EB09C-6289-46D7-9513-012B68BCA7BF}" showGridLines="0">
      <pane xSplit="1" ySplit="1" topLeftCell="B2" activePane="bottomRight" state="frozen"/>
      <selection pane="bottomRight" activeCell="G4" sqref="G4:G6"/>
      <pageMargins left="0.38" right="0.27" top="0.5" bottom="0.75" header="0.3" footer="0.3"/>
      <pageSetup paperSize="17" scale="60" orientation="landscape" r:id="rId2"/>
    </customSheetView>
  </customSheetViews>
  <pageMargins left="0.38" right="0.27" top="0.5" bottom="0.75" header="0.3" footer="0.3"/>
  <pageSetup paperSize="3" scale="45" orientation="landscape" r:id="rId3"/>
  <ignoredErrors>
    <ignoredError sqref="C12:D12" formulaRange="1"/>
  </ignoredErrors>
  <drawing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8DB4E3"/>
    <pageSetUpPr fitToPage="1"/>
  </sheetPr>
  <dimension ref="A1:S84"/>
  <sheetViews>
    <sheetView showGridLines="0" workbookViewId="0">
      <pane xSplit="1" ySplit="1" topLeftCell="B26" activePane="bottomRight" state="frozen"/>
      <selection pane="topRight" activeCell="B1" sqref="B1"/>
      <selection pane="bottomLeft" activeCell="A2" sqref="A2"/>
      <selection pane="bottomRight"/>
    </sheetView>
  </sheetViews>
  <sheetFormatPr defaultRowHeight="12.75"/>
  <cols>
    <col min="1" max="1" width="18.28515625" style="849" customWidth="1"/>
    <col min="2" max="2" width="61.5703125" customWidth="1"/>
    <col min="3" max="3" width="18.5703125" customWidth="1"/>
    <col min="4" max="4" width="17.42578125" customWidth="1"/>
    <col min="5" max="5" width="15.42578125" customWidth="1"/>
    <col min="6" max="6" width="14.28515625" customWidth="1"/>
    <col min="7" max="7" width="23" customWidth="1"/>
    <col min="8" max="8" width="18.28515625" customWidth="1"/>
    <col min="9" max="9" width="20.7109375" customWidth="1"/>
    <col min="10" max="10" width="18.85546875" customWidth="1"/>
    <col min="11" max="11" width="21" customWidth="1"/>
    <col min="12" max="12" width="18.7109375" customWidth="1"/>
    <col min="13" max="13" width="16.7109375" customWidth="1"/>
    <col min="14" max="14" width="15.5703125" customWidth="1"/>
    <col min="15" max="15" width="14.7109375" customWidth="1"/>
    <col min="16" max="16" width="19.42578125" customWidth="1"/>
    <col min="17" max="17" width="18.7109375" customWidth="1"/>
    <col min="18" max="18" width="14.5703125" customWidth="1"/>
    <col min="19" max="19" width="13.42578125" customWidth="1"/>
  </cols>
  <sheetData>
    <row r="1" spans="1:19" ht="54" customHeight="1">
      <c r="B1" s="1387" t="s">
        <v>138</v>
      </c>
      <c r="C1" s="1361" t="s">
        <v>259</v>
      </c>
      <c r="D1" s="1387" t="s">
        <v>118</v>
      </c>
      <c r="E1" s="1386" t="s">
        <v>4</v>
      </c>
      <c r="H1" s="1361"/>
      <c r="I1" s="129"/>
      <c r="J1" s="111"/>
      <c r="K1" s="1387" t="s">
        <v>138</v>
      </c>
      <c r="L1" s="1361" t="s">
        <v>259</v>
      </c>
      <c r="M1" s="1387" t="s">
        <v>118</v>
      </c>
      <c r="N1" s="1386" t="s">
        <v>4</v>
      </c>
    </row>
    <row r="2" spans="1:19" ht="21" thickBot="1">
      <c r="B2" s="115"/>
      <c r="C2" s="128"/>
      <c r="D2" s="128"/>
      <c r="E2" s="128"/>
      <c r="F2" s="128"/>
      <c r="G2" s="135"/>
      <c r="H2" s="129"/>
      <c r="I2" s="129"/>
      <c r="J2" s="111"/>
      <c r="K2" s="111"/>
      <c r="L2" s="111"/>
      <c r="M2" s="111"/>
      <c r="N2" s="111"/>
    </row>
    <row r="3" spans="1:19" ht="38.25">
      <c r="A3" s="1382" t="s">
        <v>138</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26.25">
      <c r="A4" s="1382" t="s">
        <v>118</v>
      </c>
      <c r="G4" s="2946" t="s">
        <v>1726</v>
      </c>
      <c r="H4" s="2964">
        <f>C16</f>
        <v>375900</v>
      </c>
      <c r="I4" s="2965">
        <f>C18</f>
        <v>0</v>
      </c>
      <c r="J4" s="2965">
        <f>C40</f>
        <v>329664.30000000005</v>
      </c>
      <c r="K4" s="2965">
        <f>C35</f>
        <v>10000</v>
      </c>
      <c r="L4" s="2965">
        <f>C26</f>
        <v>15000</v>
      </c>
      <c r="M4" s="2965">
        <f>C49</f>
        <v>278000</v>
      </c>
      <c r="N4" s="2965">
        <f>C33</f>
        <v>4000</v>
      </c>
      <c r="O4" s="2965">
        <f>C28</f>
        <v>10000</v>
      </c>
      <c r="P4" s="2965">
        <f>C12</f>
        <v>480000</v>
      </c>
      <c r="Q4" s="2969"/>
      <c r="R4" s="2970">
        <f>SUM(H4:P4)</f>
        <v>1502564.3</v>
      </c>
      <c r="S4" s="2971">
        <f>C56</f>
        <v>14250000</v>
      </c>
    </row>
    <row r="5" spans="1:19" ht="15.75">
      <c r="A5" s="1357" t="s">
        <v>259</v>
      </c>
      <c r="G5" s="3205" t="s">
        <v>1753</v>
      </c>
      <c r="H5" s="2685">
        <v>385000</v>
      </c>
      <c r="I5" s="2686">
        <v>0</v>
      </c>
      <c r="J5" s="2686">
        <v>261800.00000000003</v>
      </c>
      <c r="K5" s="2686">
        <v>10000</v>
      </c>
      <c r="L5" s="2686">
        <v>15000</v>
      </c>
      <c r="M5" s="2672">
        <v>213500</v>
      </c>
      <c r="N5" s="2673">
        <v>4000</v>
      </c>
      <c r="O5" s="2673">
        <v>10000</v>
      </c>
      <c r="P5" s="2674">
        <v>450000</v>
      </c>
      <c r="Q5" s="2675"/>
      <c r="R5" s="2687">
        <v>1349300</v>
      </c>
      <c r="S5" s="2677">
        <v>14250000</v>
      </c>
    </row>
    <row r="6" spans="1:19" ht="16.5" thickBot="1">
      <c r="A6" s="1388" t="s">
        <v>4</v>
      </c>
      <c r="G6" s="3206" t="s">
        <v>1754</v>
      </c>
      <c r="H6" s="2663">
        <f>D16</f>
        <v>385000</v>
      </c>
      <c r="I6" s="2664">
        <f>D18</f>
        <v>0</v>
      </c>
      <c r="J6" s="2664">
        <f>D40</f>
        <v>345730</v>
      </c>
      <c r="K6" s="2664">
        <f>D35</f>
        <v>8000</v>
      </c>
      <c r="L6" s="2664">
        <f>D26</f>
        <v>15000</v>
      </c>
      <c r="M6" s="2679">
        <f>D49</f>
        <v>163500</v>
      </c>
      <c r="N6" s="2680">
        <f>D33</f>
        <v>4000</v>
      </c>
      <c r="O6" s="2680">
        <f>D28</f>
        <v>15000</v>
      </c>
      <c r="P6" s="2681">
        <f>D12</f>
        <v>498750</v>
      </c>
      <c r="Q6" s="2682"/>
      <c r="R6" s="2683">
        <f>SUM(H6:P6)</f>
        <v>1434980</v>
      </c>
      <c r="S6" s="2684">
        <f>D56</f>
        <v>14250000</v>
      </c>
    </row>
    <row r="7" spans="1:19" s="1173" customFormat="1">
      <c r="G7" s="2650"/>
      <c r="H7" s="2651"/>
      <c r="I7" s="2651"/>
      <c r="J7" s="2651"/>
      <c r="K7" s="2651"/>
      <c r="L7" s="2651"/>
      <c r="M7" s="2651"/>
      <c r="N7" s="2651"/>
      <c r="O7" s="2651"/>
      <c r="P7" s="2651"/>
      <c r="Q7" s="2668"/>
      <c r="R7" s="2651"/>
      <c r="S7" s="594"/>
    </row>
    <row r="8" spans="1:19" ht="20.25">
      <c r="A8" s="1357"/>
      <c r="B8" s="115"/>
      <c r="C8" s="128"/>
      <c r="D8" s="128"/>
      <c r="E8" s="128"/>
      <c r="F8" s="128"/>
      <c r="G8" s="135"/>
      <c r="H8" s="129"/>
      <c r="I8" s="129"/>
      <c r="J8" s="111"/>
      <c r="K8" s="111"/>
      <c r="L8" s="111"/>
      <c r="M8" s="111"/>
      <c r="N8" s="118"/>
    </row>
    <row r="9" spans="1:19" ht="18">
      <c r="A9" s="1357"/>
      <c r="C9" s="2803">
        <v>2016</v>
      </c>
      <c r="D9" s="137">
        <v>2017</v>
      </c>
      <c r="E9" s="138" t="s">
        <v>20</v>
      </c>
      <c r="F9" s="127"/>
      <c r="G9" s="127"/>
      <c r="H9" s="127"/>
      <c r="I9" s="127"/>
      <c r="J9" s="111"/>
      <c r="K9" s="111"/>
      <c r="L9" s="111"/>
      <c r="M9" s="111"/>
      <c r="N9" s="111"/>
    </row>
    <row r="10" spans="1:19" ht="18">
      <c r="A10" s="1357"/>
      <c r="B10" s="116"/>
      <c r="C10" s="2910"/>
      <c r="D10" s="1794"/>
      <c r="E10" s="1797">
        <f>SUM(C10:D10)</f>
        <v>0</v>
      </c>
      <c r="F10" s="121"/>
      <c r="G10" s="121"/>
      <c r="H10" s="121"/>
      <c r="I10" s="1025"/>
      <c r="J10" s="1016"/>
      <c r="K10" s="1016"/>
      <c r="L10" s="118"/>
      <c r="M10" s="139"/>
      <c r="N10" s="111"/>
    </row>
    <row r="11" spans="1:19" s="1652" customFormat="1" ht="15">
      <c r="A11" s="1773"/>
      <c r="B11" s="538" t="s">
        <v>80</v>
      </c>
      <c r="C11" s="3150">
        <v>480000</v>
      </c>
      <c r="D11" s="3128">
        <v>498750</v>
      </c>
      <c r="E11" s="3151">
        <f>SUM(C11:D11)</f>
        <v>978750</v>
      </c>
      <c r="F11" s="552" t="s">
        <v>2608</v>
      </c>
      <c r="G11" s="552"/>
      <c r="H11" s="552"/>
      <c r="I11" s="1103"/>
      <c r="J11" s="1092"/>
      <c r="K11" s="1092"/>
      <c r="L11" s="547"/>
      <c r="M11" s="143"/>
      <c r="N11" s="1774"/>
    </row>
    <row r="12" spans="1:19">
      <c r="A12" s="1357"/>
      <c r="B12" s="960"/>
      <c r="C12" s="2912">
        <f>SUM(C10:C11)</f>
        <v>480000</v>
      </c>
      <c r="D12" s="648">
        <f>SUM(D10:D11)</f>
        <v>498750</v>
      </c>
      <c r="E12" s="649">
        <f>SUM(E10:E11)</f>
        <v>978750</v>
      </c>
      <c r="F12" s="629"/>
      <c r="G12" s="121"/>
      <c r="H12" s="121"/>
      <c r="I12" s="1017"/>
      <c r="J12" s="1018"/>
      <c r="K12" s="1016"/>
      <c r="L12" s="111"/>
      <c r="M12" s="111"/>
      <c r="N12" s="111"/>
    </row>
    <row r="13" spans="1:19" ht="18">
      <c r="A13" s="1357"/>
      <c r="B13" s="624"/>
      <c r="C13" s="2829"/>
      <c r="D13" s="619"/>
      <c r="E13" s="638"/>
      <c r="F13" s="629"/>
      <c r="G13" s="121"/>
      <c r="H13" s="121"/>
      <c r="I13" s="1017"/>
      <c r="J13" s="1019"/>
      <c r="K13" s="1016"/>
      <c r="L13" s="111"/>
      <c r="M13" s="111"/>
      <c r="N13" s="111"/>
    </row>
    <row r="14" spans="1:19">
      <c r="B14" s="623" t="s">
        <v>1747</v>
      </c>
      <c r="C14" s="2830"/>
      <c r="D14" s="2374"/>
      <c r="E14" s="1833"/>
      <c r="F14" s="2857">
        <v>2016</v>
      </c>
      <c r="G14" s="2575">
        <v>2017</v>
      </c>
      <c r="H14" s="2576" t="s">
        <v>1685</v>
      </c>
      <c r="I14" s="1017"/>
      <c r="J14" s="1019"/>
      <c r="K14" s="1013"/>
      <c r="L14" s="111"/>
      <c r="M14" s="111"/>
      <c r="N14" s="111"/>
    </row>
    <row r="15" spans="1:19" ht="15">
      <c r="B15" s="628" t="s">
        <v>85</v>
      </c>
      <c r="C15" s="3147">
        <v>375900</v>
      </c>
      <c r="D15" s="1853">
        <v>385000</v>
      </c>
      <c r="E15" s="1854">
        <f>SUM(C15:D15)</f>
        <v>760900</v>
      </c>
      <c r="F15" s="2858">
        <v>3.5</v>
      </c>
      <c r="G15" s="1663">
        <v>3.4</v>
      </c>
      <c r="H15" s="1663">
        <f>(F15+G15)/2</f>
        <v>3.45</v>
      </c>
      <c r="I15" s="553" t="s">
        <v>86</v>
      </c>
      <c r="J15" s="1015"/>
      <c r="K15" s="1013"/>
      <c r="L15" s="111"/>
      <c r="M15" s="111"/>
      <c r="N15" s="111"/>
    </row>
    <row r="16" spans="1:19" s="1652" customFormat="1">
      <c r="B16" s="3136" t="s">
        <v>1746</v>
      </c>
      <c r="C16" s="3148">
        <f>C15</f>
        <v>375900</v>
      </c>
      <c r="D16" s="2374">
        <f>D15</f>
        <v>385000</v>
      </c>
      <c r="E16" s="1833">
        <f>E15</f>
        <v>760900</v>
      </c>
      <c r="F16" s="2858"/>
      <c r="G16" s="1663"/>
      <c r="H16" s="1663"/>
      <c r="I16" s="553"/>
      <c r="J16" s="1091"/>
      <c r="K16" s="1088"/>
      <c r="L16" s="3028"/>
      <c r="M16" s="3028"/>
      <c r="N16" s="3028"/>
    </row>
    <row r="17" spans="1:14" s="1652" customFormat="1">
      <c r="B17" s="3136"/>
      <c r="C17" s="2913"/>
      <c r="D17" s="854"/>
      <c r="E17" s="867"/>
      <c r="F17" s="2858"/>
      <c r="G17" s="1663"/>
      <c r="H17" s="1663"/>
      <c r="I17" s="553"/>
      <c r="J17" s="1091"/>
      <c r="K17" s="1088"/>
      <c r="L17" s="3028"/>
      <c r="M17" s="3028"/>
      <c r="N17" s="3028"/>
    </row>
    <row r="18" spans="1:14">
      <c r="B18" s="3136" t="s">
        <v>8</v>
      </c>
      <c r="C18" s="3062">
        <v>0</v>
      </c>
      <c r="D18" s="2374">
        <v>0</v>
      </c>
      <c r="E18" s="1833">
        <f t="shared" ref="E18" si="0">SUM(C18:D18)</f>
        <v>0</v>
      </c>
      <c r="F18" s="2859">
        <v>0.1</v>
      </c>
      <c r="G18" s="1663">
        <v>0.1</v>
      </c>
      <c r="H18" s="1663">
        <f>(F18+G18)/2</f>
        <v>0.1</v>
      </c>
      <c r="I18" s="553" t="s">
        <v>86</v>
      </c>
      <c r="J18" s="1015"/>
      <c r="K18" s="1013"/>
      <c r="L18" s="111"/>
      <c r="M18" s="111"/>
      <c r="N18" s="111"/>
    </row>
    <row r="19" spans="1:14">
      <c r="A19"/>
      <c r="B19" s="628"/>
      <c r="C19" s="2919"/>
      <c r="D19" s="2380"/>
      <c r="E19" s="867"/>
      <c r="F19" s="627"/>
      <c r="G19" s="120"/>
      <c r="H19" s="120"/>
      <c r="I19" s="1017"/>
      <c r="J19" s="1015"/>
      <c r="K19" s="1013"/>
      <c r="L19" s="111"/>
      <c r="M19" s="140"/>
    </row>
    <row r="20" spans="1:14">
      <c r="A20"/>
      <c r="B20" s="820" t="s">
        <v>483</v>
      </c>
      <c r="C20" s="2830"/>
      <c r="D20" s="619"/>
      <c r="E20" s="638"/>
      <c r="F20" s="626"/>
      <c r="G20" s="119"/>
      <c r="H20" s="120"/>
      <c r="I20" s="1017"/>
      <c r="J20" s="1015"/>
      <c r="K20" s="1013"/>
      <c r="L20" s="111"/>
      <c r="M20" s="111"/>
    </row>
    <row r="21" spans="1:14">
      <c r="A21"/>
      <c r="B21" s="618" t="s">
        <v>90</v>
      </c>
      <c r="C21" s="2833"/>
      <c r="D21" s="645"/>
      <c r="E21" s="643">
        <f t="shared" ref="E21:E25" si="1">SUM(C21:D21)</f>
        <v>0</v>
      </c>
      <c r="F21" s="632"/>
      <c r="G21" s="130"/>
      <c r="H21" s="119"/>
      <c r="I21" s="1017"/>
      <c r="J21" s="1015"/>
      <c r="K21" s="1013"/>
      <c r="L21" s="111"/>
      <c r="M21" s="111"/>
    </row>
    <row r="22" spans="1:14">
      <c r="A22"/>
      <c r="B22" s="628" t="s">
        <v>91</v>
      </c>
      <c r="C22" s="2850">
        <v>15000</v>
      </c>
      <c r="D22" s="645">
        <v>15000</v>
      </c>
      <c r="E22" s="867">
        <f t="shared" si="1"/>
        <v>30000</v>
      </c>
      <c r="F22" s="618"/>
      <c r="G22" s="119"/>
      <c r="H22" s="130"/>
      <c r="I22" s="1017"/>
      <c r="J22" s="1024"/>
      <c r="K22" s="1013"/>
      <c r="L22" s="111"/>
      <c r="M22" s="111"/>
    </row>
    <row r="23" spans="1:14">
      <c r="A23"/>
      <c r="B23" s="628" t="s">
        <v>94</v>
      </c>
      <c r="C23" s="2833"/>
      <c r="D23" s="645"/>
      <c r="E23" s="867">
        <f t="shared" si="1"/>
        <v>0</v>
      </c>
      <c r="F23" s="626"/>
      <c r="G23" s="119"/>
      <c r="H23" s="119"/>
      <c r="I23" s="1013"/>
      <c r="J23" s="1014"/>
      <c r="K23" s="1013"/>
      <c r="L23" s="111"/>
      <c r="M23" s="111"/>
    </row>
    <row r="24" spans="1:14" s="1652" customFormat="1">
      <c r="B24" s="824" t="s">
        <v>517</v>
      </c>
      <c r="C24" s="2833"/>
      <c r="D24" s="854"/>
      <c r="E24" s="867">
        <f t="shared" si="1"/>
        <v>0</v>
      </c>
      <c r="F24" s="823"/>
      <c r="G24" s="548"/>
      <c r="H24" s="548"/>
      <c r="I24" s="1088"/>
      <c r="J24" s="1090"/>
      <c r="K24" s="1088"/>
      <c r="L24" s="1774"/>
      <c r="M24" s="1774"/>
    </row>
    <row r="25" spans="1:14" ht="15">
      <c r="A25"/>
      <c r="B25" s="628" t="s">
        <v>97</v>
      </c>
      <c r="C25" s="2914"/>
      <c r="D25" s="1869"/>
      <c r="E25" s="1870">
        <f t="shared" si="1"/>
        <v>0</v>
      </c>
      <c r="F25" s="626"/>
      <c r="G25" s="119"/>
      <c r="H25" s="131"/>
      <c r="I25" s="1017"/>
      <c r="J25" s="1029"/>
      <c r="K25" s="1013"/>
      <c r="L25" s="111"/>
      <c r="M25" s="111"/>
    </row>
    <row r="26" spans="1:14">
      <c r="A26"/>
      <c r="B26" s="3146" t="s">
        <v>1741</v>
      </c>
      <c r="C26" s="2835">
        <f>SUM(C21:C25)</f>
        <v>15000</v>
      </c>
      <c r="D26" s="830">
        <f>SUM(D21:D25)</f>
        <v>15000</v>
      </c>
      <c r="E26" s="780">
        <f>D26+C26</f>
        <v>30000</v>
      </c>
      <c r="F26" s="626"/>
      <c r="G26" s="119"/>
      <c r="H26" s="131"/>
      <c r="I26" s="1022"/>
      <c r="J26" s="1027"/>
      <c r="K26" s="1020"/>
      <c r="L26" s="111"/>
      <c r="M26" s="111"/>
    </row>
    <row r="27" spans="1:14">
      <c r="A27"/>
      <c r="B27" s="619"/>
      <c r="C27" s="2836"/>
      <c r="D27" s="619"/>
      <c r="E27" s="638"/>
      <c r="F27" s="626"/>
      <c r="G27" s="119"/>
      <c r="H27" s="131"/>
      <c r="I27" s="1022"/>
      <c r="J27" s="1026"/>
      <c r="K27" s="1023"/>
      <c r="L27" s="111"/>
      <c r="M27" s="111"/>
    </row>
    <row r="28" spans="1:14">
      <c r="A28"/>
      <c r="B28" s="623" t="s">
        <v>84</v>
      </c>
      <c r="C28" s="2835">
        <v>10000</v>
      </c>
      <c r="D28" s="637">
        <v>15000</v>
      </c>
      <c r="E28" s="650">
        <f>SUM(C28:D28)</f>
        <v>25000</v>
      </c>
      <c r="F28" s="2387" t="s">
        <v>2609</v>
      </c>
      <c r="G28" s="119"/>
      <c r="H28" s="131"/>
      <c r="I28" s="1022"/>
      <c r="J28" s="1026"/>
      <c r="K28" s="1023"/>
      <c r="L28" s="111"/>
      <c r="M28" s="111"/>
    </row>
    <row r="29" spans="1:14">
      <c r="A29"/>
      <c r="B29" s="619"/>
      <c r="C29" s="2836"/>
      <c r="D29" s="619"/>
      <c r="E29" s="638"/>
      <c r="F29" s="626"/>
      <c r="G29" s="119"/>
      <c r="H29" s="131"/>
      <c r="I29" s="1021"/>
      <c r="J29" s="1028"/>
      <c r="K29" s="1013"/>
      <c r="L29" s="111"/>
      <c r="M29" s="111"/>
    </row>
    <row r="30" spans="1:14">
      <c r="A30"/>
      <c r="B30" s="622" t="s">
        <v>87</v>
      </c>
      <c r="C30" s="2836"/>
      <c r="D30" s="619"/>
      <c r="E30" s="638"/>
      <c r="F30" s="633"/>
      <c r="H30" s="131"/>
      <c r="I30" s="651"/>
      <c r="J30" s="652"/>
      <c r="K30" s="111"/>
      <c r="L30" s="111"/>
      <c r="M30" s="111"/>
    </row>
    <row r="31" spans="1:14">
      <c r="A31"/>
      <c r="B31" s="618" t="s">
        <v>100</v>
      </c>
      <c r="C31" s="2836">
        <v>4000</v>
      </c>
      <c r="D31" s="645">
        <v>4000</v>
      </c>
      <c r="E31" s="643">
        <f>SUM(C31:D31)</f>
        <v>8000</v>
      </c>
      <c r="F31" s="633"/>
      <c r="H31" s="131"/>
      <c r="I31" s="121"/>
      <c r="J31" s="111"/>
      <c r="K31" s="111"/>
      <c r="L31" s="111"/>
      <c r="M31" s="111"/>
    </row>
    <row r="32" spans="1:14" ht="15">
      <c r="A32"/>
      <c r="B32" s="619" t="s">
        <v>102</v>
      </c>
      <c r="C32" s="2915"/>
      <c r="D32" s="1869"/>
      <c r="E32" s="1870">
        <f>SUM(C32:D32)</f>
        <v>0</v>
      </c>
      <c r="F32" s="633"/>
      <c r="H32" s="131"/>
      <c r="I32" s="136" t="s">
        <v>119</v>
      </c>
      <c r="J32" s="111"/>
      <c r="K32" s="111"/>
      <c r="L32" s="111"/>
      <c r="M32" s="111"/>
    </row>
    <row r="33" spans="1:13">
      <c r="A33"/>
      <c r="B33" s="3145" t="s">
        <v>103</v>
      </c>
      <c r="C33" s="2838">
        <f>C31+C32</f>
        <v>4000</v>
      </c>
      <c r="D33" s="630">
        <f>D31+D32</f>
        <v>4000</v>
      </c>
      <c r="E33" s="650">
        <f>SUM(C33:D33)</f>
        <v>8000</v>
      </c>
      <c r="F33" s="633"/>
      <c r="G33" s="131"/>
      <c r="H33" s="131"/>
      <c r="I33" s="136" t="s">
        <v>120</v>
      </c>
      <c r="J33" s="111"/>
      <c r="K33" s="111"/>
      <c r="L33" s="111"/>
      <c r="M33" s="111"/>
    </row>
    <row r="34" spans="1:13">
      <c r="A34"/>
      <c r="B34" s="619"/>
      <c r="C34" s="2836"/>
      <c r="D34" s="619"/>
      <c r="E34" s="638"/>
      <c r="F34" s="633"/>
      <c r="H34" s="131"/>
      <c r="I34" s="121"/>
      <c r="J34" s="111"/>
      <c r="K34" s="111"/>
      <c r="L34" s="111"/>
      <c r="M34" s="111"/>
    </row>
    <row r="35" spans="1:13">
      <c r="A35" s="1796" t="s">
        <v>516</v>
      </c>
      <c r="B35" s="622" t="s">
        <v>88</v>
      </c>
      <c r="C35" s="2838">
        <v>10000</v>
      </c>
      <c r="D35" s="646">
        <v>8000</v>
      </c>
      <c r="E35" s="650">
        <f>SUM(C35:D35)</f>
        <v>18000</v>
      </c>
      <c r="F35" s="633" t="s">
        <v>2605</v>
      </c>
      <c r="H35" s="131"/>
      <c r="I35" s="121"/>
    </row>
    <row r="36" spans="1:13">
      <c r="A36" s="1663" t="s">
        <v>487</v>
      </c>
      <c r="B36" s="619"/>
      <c r="C36" s="2836"/>
      <c r="D36" s="619"/>
      <c r="E36" s="638"/>
      <c r="F36" s="633"/>
      <c r="G36" s="132"/>
      <c r="H36" s="131"/>
      <c r="I36" s="121"/>
    </row>
    <row r="37" spans="1:13">
      <c r="A37" s="1663" t="s">
        <v>323</v>
      </c>
      <c r="B37" s="2371" t="s">
        <v>9</v>
      </c>
      <c r="C37" s="2928">
        <f>(C16+C18)*F37</f>
        <v>250725.30000000002</v>
      </c>
      <c r="D37" s="3017">
        <f>(D16+D18)*F38</f>
        <v>264880</v>
      </c>
      <c r="E37" s="653">
        <f>SUM(C37:D37)</f>
        <v>515605.30000000005</v>
      </c>
      <c r="F37" s="2865">
        <v>0.66700000000000004</v>
      </c>
      <c r="G37" s="3086" t="s">
        <v>659</v>
      </c>
      <c r="H37" s="131"/>
      <c r="I37" s="121"/>
    </row>
    <row r="38" spans="1:13">
      <c r="A38" s="1357" t="s">
        <v>259</v>
      </c>
      <c r="B38" s="2368"/>
      <c r="C38" s="2836"/>
      <c r="D38" s="659"/>
      <c r="E38" s="688"/>
      <c r="F38" s="2145">
        <v>0.68799999999999994</v>
      </c>
      <c r="G38" s="2144" t="s">
        <v>660</v>
      </c>
      <c r="H38" s="131"/>
      <c r="I38" s="121"/>
    </row>
    <row r="39" spans="1:13" ht="27.75">
      <c r="A39" s="1382" t="s">
        <v>118</v>
      </c>
      <c r="B39" s="3032" t="s">
        <v>1732</v>
      </c>
      <c r="C39" s="3033">
        <f>C16*F39</f>
        <v>78939</v>
      </c>
      <c r="D39" s="3034">
        <f>(D16+D17)*F39</f>
        <v>80850</v>
      </c>
      <c r="E39" s="1549">
        <f>C39+D39</f>
        <v>159789</v>
      </c>
      <c r="F39" s="3015">
        <v>0.21</v>
      </c>
      <c r="G39" s="2144" t="s">
        <v>1735</v>
      </c>
      <c r="H39" s="131"/>
      <c r="I39" s="117"/>
    </row>
    <row r="40" spans="1:13">
      <c r="A40" s="1388" t="s">
        <v>4</v>
      </c>
      <c r="B40" s="3149" t="s">
        <v>1743</v>
      </c>
      <c r="C40" s="2933">
        <f>C37+C39</f>
        <v>329664.30000000005</v>
      </c>
      <c r="D40" s="914">
        <f>D37+D39</f>
        <v>345730</v>
      </c>
      <c r="E40" s="910">
        <f>E37+E39</f>
        <v>675394.3</v>
      </c>
      <c r="F40" s="3013"/>
      <c r="G40" s="2144"/>
      <c r="H40" s="131"/>
      <c r="I40" s="117"/>
    </row>
    <row r="41" spans="1:13" s="1652" customFormat="1">
      <c r="A41" s="1388"/>
      <c r="B41" s="3014"/>
      <c r="C41" s="2933"/>
      <c r="D41" s="914"/>
      <c r="E41" s="910"/>
      <c r="F41" s="3013"/>
      <c r="G41" s="2144"/>
      <c r="H41" s="142"/>
      <c r="I41" s="545"/>
    </row>
    <row r="42" spans="1:13">
      <c r="B42" s="620" t="s">
        <v>11</v>
      </c>
      <c r="C42" s="2836"/>
      <c r="D42" s="634"/>
      <c r="E42" s="640"/>
      <c r="F42" s="633"/>
      <c r="G42" s="112"/>
      <c r="H42" s="131"/>
      <c r="I42" s="117"/>
    </row>
    <row r="43" spans="1:13">
      <c r="B43" s="1814" t="s">
        <v>500</v>
      </c>
      <c r="C43" s="2833">
        <v>8500</v>
      </c>
      <c r="D43" s="861">
        <v>8500</v>
      </c>
      <c r="E43" s="639">
        <f t="shared" ref="E43:E48" si="2">SUM(D43,C43)</f>
        <v>17000</v>
      </c>
      <c r="F43" s="633"/>
      <c r="G43" s="112"/>
      <c r="H43" s="131"/>
      <c r="I43" s="117"/>
    </row>
    <row r="44" spans="1:13">
      <c r="B44" s="1815" t="s">
        <v>116</v>
      </c>
      <c r="C44" s="2833">
        <v>50000</v>
      </c>
      <c r="D44" s="861">
        <v>0</v>
      </c>
      <c r="E44" s="866">
        <f t="shared" si="2"/>
        <v>50000</v>
      </c>
      <c r="F44" s="633" t="s">
        <v>2610</v>
      </c>
      <c r="G44" s="112"/>
      <c r="H44" s="131"/>
      <c r="I44" s="117"/>
    </row>
    <row r="45" spans="1:13">
      <c r="B45" s="1815" t="s">
        <v>1517</v>
      </c>
      <c r="C45" s="2833">
        <v>35000</v>
      </c>
      <c r="D45" s="861">
        <v>35000</v>
      </c>
      <c r="E45" s="866">
        <f t="shared" si="2"/>
        <v>70000</v>
      </c>
      <c r="F45" s="633"/>
      <c r="G45" s="112"/>
      <c r="H45" s="131"/>
      <c r="I45" s="117"/>
    </row>
    <row r="46" spans="1:13" s="1652" customFormat="1">
      <c r="B46" s="1815" t="s">
        <v>518</v>
      </c>
      <c r="C46" s="2833">
        <v>20000</v>
      </c>
      <c r="D46" s="861">
        <v>0</v>
      </c>
      <c r="E46" s="866">
        <f t="shared" si="2"/>
        <v>20000</v>
      </c>
      <c r="F46" s="633"/>
      <c r="G46" s="112"/>
      <c r="H46" s="142"/>
      <c r="I46" s="545"/>
    </row>
    <row r="47" spans="1:13">
      <c r="B47" s="1815" t="s">
        <v>115</v>
      </c>
      <c r="C47" s="2833">
        <v>64500</v>
      </c>
      <c r="D47" s="864">
        <v>0</v>
      </c>
      <c r="E47" s="856">
        <f t="shared" si="2"/>
        <v>64500</v>
      </c>
      <c r="F47" s="633"/>
      <c r="G47" s="112"/>
      <c r="H47" s="131"/>
      <c r="I47" s="117"/>
    </row>
    <row r="48" spans="1:13" ht="15">
      <c r="B48" s="1815" t="s">
        <v>1516</v>
      </c>
      <c r="C48" s="2914">
        <v>100000</v>
      </c>
      <c r="D48" s="1871">
        <v>120000</v>
      </c>
      <c r="E48" s="1872">
        <f t="shared" si="2"/>
        <v>220000</v>
      </c>
      <c r="F48" s="860"/>
      <c r="G48" s="532"/>
      <c r="H48" s="131"/>
      <c r="I48" s="117"/>
    </row>
    <row r="49" spans="1:10">
      <c r="B49" s="312" t="s">
        <v>107</v>
      </c>
      <c r="C49" s="2835">
        <f>SUM(C43:C48)</f>
        <v>278000</v>
      </c>
      <c r="D49" s="830">
        <f>SUM(D43:D48)</f>
        <v>163500</v>
      </c>
      <c r="E49" s="2382">
        <f>SUM(D49,C49)</f>
        <v>441500</v>
      </c>
      <c r="F49" s="633"/>
      <c r="G49" s="112"/>
      <c r="H49" s="131"/>
      <c r="I49" s="117"/>
    </row>
    <row r="50" spans="1:10" ht="13.5" thickBot="1">
      <c r="B50" s="625"/>
      <c r="C50" s="2833"/>
      <c r="D50" s="635"/>
      <c r="E50" s="866"/>
      <c r="F50" s="633"/>
      <c r="G50" s="132"/>
      <c r="H50" s="131"/>
      <c r="I50" s="117"/>
    </row>
    <row r="51" spans="1:10" ht="13.5" thickBot="1">
      <c r="B51" s="631" t="s">
        <v>108</v>
      </c>
      <c r="C51" s="2839">
        <f>C12+C16+C18+C26+C28+C33+C35+C40+C49</f>
        <v>1502564.3</v>
      </c>
      <c r="D51" s="641">
        <f>D12+D16+D18+D26+D28+D33+D35+D40+D49</f>
        <v>1434980</v>
      </c>
      <c r="E51" s="642">
        <f>SUM(C51:D51)</f>
        <v>2937544.3</v>
      </c>
      <c r="F51" s="633"/>
      <c r="G51" s="132"/>
      <c r="H51" s="131"/>
      <c r="I51" s="117"/>
    </row>
    <row r="52" spans="1:10">
      <c r="A52"/>
      <c r="B52" s="621"/>
      <c r="C52" s="2840"/>
      <c r="D52" s="635"/>
      <c r="E52" s="635"/>
      <c r="F52" s="633"/>
      <c r="G52" s="132"/>
      <c r="H52" s="131"/>
      <c r="I52" s="117"/>
    </row>
    <row r="53" spans="1:10">
      <c r="A53"/>
      <c r="B53" s="836" t="s">
        <v>109</v>
      </c>
      <c r="C53" s="2841">
        <v>2016</v>
      </c>
      <c r="D53" s="644">
        <v>2017</v>
      </c>
      <c r="E53" s="644" t="s">
        <v>20</v>
      </c>
      <c r="F53" s="618"/>
      <c r="G53" s="132"/>
      <c r="H53" s="131"/>
      <c r="I53" s="117"/>
      <c r="J53" s="111"/>
    </row>
    <row r="54" spans="1:10">
      <c r="A54"/>
      <c r="B54" s="836" t="s">
        <v>519</v>
      </c>
      <c r="C54" s="2916">
        <v>14250000</v>
      </c>
      <c r="D54" s="1817">
        <v>14250000</v>
      </c>
      <c r="E54" s="1817">
        <f>C54+D54</f>
        <v>28500000</v>
      </c>
      <c r="F54" s="1818" t="s">
        <v>110</v>
      </c>
      <c r="G54" s="132"/>
      <c r="H54" s="133"/>
      <c r="I54" s="123"/>
      <c r="J54" s="114"/>
    </row>
    <row r="55" spans="1:10">
      <c r="A55"/>
      <c r="B55" s="836" t="s">
        <v>520</v>
      </c>
      <c r="C55" s="2917"/>
      <c r="D55" s="1819"/>
      <c r="E55" s="1819">
        <f>SUM(C55:D55)</f>
        <v>0</v>
      </c>
      <c r="F55" s="1816" t="s">
        <v>110</v>
      </c>
      <c r="G55" s="132"/>
      <c r="H55" s="124"/>
      <c r="I55" s="124"/>
      <c r="J55" s="114"/>
    </row>
    <row r="56" spans="1:10">
      <c r="A56"/>
      <c r="C56" s="2918">
        <f>SUM(C54:C55)</f>
        <v>14250000</v>
      </c>
      <c r="D56" s="1820">
        <f>SUM(D54:D55)</f>
        <v>14250000</v>
      </c>
      <c r="E56" s="1820">
        <f>SUM(E54:E55)</f>
        <v>28500000</v>
      </c>
      <c r="F56" s="1821" t="s">
        <v>110</v>
      </c>
      <c r="G56" s="132"/>
      <c r="H56" s="124"/>
      <c r="I56" s="124"/>
      <c r="J56" s="114"/>
    </row>
    <row r="57" spans="1:10">
      <c r="A57"/>
      <c r="B57" s="111"/>
      <c r="C57" s="2823"/>
      <c r="D57" s="134"/>
      <c r="E57" s="134"/>
      <c r="F57" s="122"/>
      <c r="G57" s="131"/>
      <c r="H57" s="124"/>
      <c r="I57" s="124"/>
      <c r="J57" s="114"/>
    </row>
    <row r="58" spans="1:10">
      <c r="A58"/>
      <c r="B58" s="636" t="s">
        <v>112</v>
      </c>
      <c r="C58" s="2855"/>
      <c r="D58" s="647"/>
      <c r="E58" s="134"/>
      <c r="F58" s="122"/>
      <c r="G58" s="131"/>
      <c r="H58" s="124"/>
      <c r="I58" s="124"/>
      <c r="J58" s="114"/>
    </row>
    <row r="59" spans="1:10">
      <c r="A59"/>
      <c r="B59" s="113"/>
      <c r="C59" s="111"/>
      <c r="D59" s="111"/>
      <c r="E59" s="111"/>
      <c r="F59" s="111"/>
      <c r="G59" s="131"/>
      <c r="H59" s="124"/>
      <c r="I59" s="124"/>
      <c r="J59" s="114"/>
    </row>
    <row r="60" spans="1:10" ht="20.25">
      <c r="A60"/>
      <c r="B60" s="115"/>
      <c r="C60" s="133"/>
      <c r="D60" s="133"/>
      <c r="E60" s="133"/>
      <c r="F60" s="124"/>
      <c r="G60" s="131"/>
      <c r="H60" s="124"/>
      <c r="I60" s="124"/>
      <c r="J60" s="114"/>
    </row>
    <row r="61" spans="1:10">
      <c r="A61"/>
      <c r="B61" s="111"/>
      <c r="C61" s="124"/>
      <c r="D61" s="124"/>
      <c r="E61" s="124"/>
      <c r="F61" s="124"/>
      <c r="G61" s="133"/>
      <c r="H61" s="133"/>
      <c r="I61" s="124"/>
      <c r="J61" s="114"/>
    </row>
    <row r="62" spans="1:10">
      <c r="A62"/>
      <c r="B62" s="111"/>
      <c r="C62" s="124"/>
      <c r="D62" s="124"/>
      <c r="E62" s="124"/>
      <c r="F62" s="133"/>
      <c r="G62" s="124"/>
      <c r="H62" s="133"/>
      <c r="I62" s="123"/>
      <c r="J62" s="114"/>
    </row>
    <row r="63" spans="1:10" ht="15.75">
      <c r="A63"/>
      <c r="B63" s="125"/>
      <c r="C63" s="126"/>
      <c r="D63" s="126"/>
      <c r="E63" s="126"/>
      <c r="F63" s="133"/>
      <c r="G63" s="124"/>
      <c r="H63" s="133"/>
      <c r="I63" s="123"/>
      <c r="J63" s="114"/>
    </row>
    <row r="64" spans="1:10">
      <c r="A64"/>
      <c r="B64" s="114"/>
      <c r="C64" s="114"/>
      <c r="D64" s="114"/>
      <c r="E64" s="114"/>
      <c r="F64" s="133"/>
      <c r="G64" s="124"/>
      <c r="H64" s="133"/>
      <c r="I64" s="123"/>
      <c r="J64" s="114"/>
    </row>
    <row r="65" spans="1:10">
      <c r="A65"/>
      <c r="B65" s="111"/>
      <c r="C65" s="111"/>
      <c r="D65" s="111"/>
      <c r="E65" s="111"/>
      <c r="F65" s="133"/>
      <c r="G65" s="124"/>
      <c r="H65" s="133"/>
      <c r="I65" s="123"/>
      <c r="J65" s="114"/>
    </row>
    <row r="66" spans="1:10">
      <c r="A66"/>
      <c r="B66" s="111"/>
      <c r="C66" s="111"/>
      <c r="D66" s="111"/>
      <c r="E66" s="111"/>
      <c r="F66" s="133"/>
      <c r="G66" s="124"/>
      <c r="H66" s="133"/>
      <c r="I66" s="123"/>
      <c r="J66" s="114"/>
    </row>
    <row r="67" spans="1:10">
      <c r="A67"/>
      <c r="F67" s="133"/>
      <c r="G67" s="124"/>
      <c r="H67" s="133"/>
      <c r="I67" s="123"/>
      <c r="J67" s="114"/>
    </row>
    <row r="68" spans="1:10">
      <c r="A68"/>
      <c r="F68" s="111"/>
      <c r="G68" s="133"/>
      <c r="H68" s="133"/>
      <c r="I68" s="123"/>
      <c r="J68" s="114"/>
    </row>
    <row r="69" spans="1:10">
      <c r="A69"/>
      <c r="F69" s="111"/>
      <c r="G69" s="133"/>
      <c r="H69" s="133"/>
      <c r="I69" s="123"/>
      <c r="J69" s="114"/>
    </row>
    <row r="70" spans="1:10">
      <c r="A70"/>
      <c r="F70" s="111"/>
      <c r="G70" s="133"/>
      <c r="H70" s="124"/>
      <c r="I70" s="124"/>
      <c r="J70" s="114"/>
    </row>
    <row r="71" spans="1:10">
      <c r="A71"/>
      <c r="F71" s="111"/>
      <c r="G71" s="133"/>
      <c r="H71" s="124"/>
      <c r="I71" s="124"/>
      <c r="J71" s="114"/>
    </row>
    <row r="72" spans="1:10">
      <c r="A72"/>
      <c r="F72" s="111"/>
      <c r="G72" s="133"/>
      <c r="H72" s="124"/>
      <c r="I72" s="124"/>
      <c r="J72" s="114"/>
    </row>
    <row r="73" spans="1:10">
      <c r="A73"/>
      <c r="F73" s="111"/>
      <c r="G73" s="133"/>
      <c r="H73" s="124"/>
      <c r="I73" s="124"/>
      <c r="J73" s="114"/>
    </row>
    <row r="74" spans="1:10">
      <c r="A74"/>
      <c r="F74" s="124"/>
      <c r="G74" s="133"/>
      <c r="H74" s="124"/>
      <c r="I74" s="124"/>
      <c r="J74" s="114"/>
    </row>
    <row r="75" spans="1:10">
      <c r="A75"/>
      <c r="F75" s="124"/>
      <c r="G75" s="133"/>
      <c r="H75" s="124"/>
      <c r="I75" s="124"/>
      <c r="J75" s="114"/>
    </row>
    <row r="76" spans="1:10" ht="15.75">
      <c r="A76"/>
      <c r="F76" s="124"/>
      <c r="G76" s="133"/>
      <c r="H76" s="126"/>
      <c r="I76" s="126"/>
      <c r="J76" s="114"/>
    </row>
    <row r="77" spans="1:10" ht="15.75">
      <c r="A77"/>
      <c r="F77" s="126"/>
      <c r="G77" s="124"/>
      <c r="H77" s="114"/>
      <c r="I77" s="114"/>
      <c r="J77" s="114"/>
    </row>
    <row r="78" spans="1:10">
      <c r="A78"/>
      <c r="F78" s="114"/>
      <c r="G78" s="124"/>
      <c r="H78" s="111"/>
      <c r="I78" s="111"/>
      <c r="J78" s="111"/>
    </row>
    <row r="79" spans="1:10">
      <c r="A79"/>
      <c r="F79" s="111"/>
      <c r="G79" s="124"/>
      <c r="H79" s="111"/>
      <c r="I79" s="111"/>
      <c r="J79" s="111"/>
    </row>
    <row r="80" spans="1:10">
      <c r="A80"/>
      <c r="F80" s="111"/>
      <c r="G80" s="124"/>
      <c r="H80" s="111"/>
      <c r="I80" s="111"/>
      <c r="J80" s="111"/>
    </row>
    <row r="81" spans="1:10">
      <c r="A81"/>
      <c r="F81" s="111"/>
      <c r="G81" s="124"/>
      <c r="H81" s="111"/>
      <c r="I81" s="111"/>
      <c r="J81" s="111"/>
    </row>
    <row r="82" spans="1:10">
      <c r="A82"/>
      <c r="G82" s="124"/>
      <c r="H82" s="111"/>
      <c r="I82" s="111"/>
      <c r="J82" s="111"/>
    </row>
    <row r="83" spans="1:10" ht="15.75">
      <c r="A83"/>
      <c r="G83" s="126"/>
      <c r="H83" s="111"/>
      <c r="I83" s="111"/>
      <c r="J83" s="111"/>
    </row>
    <row r="84" spans="1:10">
      <c r="G84" s="114"/>
    </row>
  </sheetData>
  <customSheetViews>
    <customSheetView guid="{D9EFFE19-D14B-4C6F-BDF4-FF696F73968D}" showGridLines="0" fitToPage="1">
      <pane xSplit="1" ySplit="1" topLeftCell="B2" activePane="bottomRight" state="frozen"/>
      <selection pane="bottomRight" activeCell="H42" sqref="H42"/>
      <pageMargins left="0.31" right="0.34" top="0.4" bottom="0.75" header="0.3" footer="0.3"/>
      <pageSetup paperSize="17" scale="71" orientation="landscape" r:id="rId1"/>
    </customSheetView>
    <customSheetView guid="{074EB09C-6289-46D7-9513-012B68BCA7BF}" showGridLines="0" fitToPage="1">
      <pane xSplit="1" ySplit="1" topLeftCell="B2" activePane="bottomRight" state="frozen"/>
      <selection pane="bottomRight" activeCell="G4" sqref="G4:G6"/>
      <pageMargins left="0.31" right="0.34" top="0.4" bottom="0.75" header="0.3" footer="0.3"/>
      <pageSetup paperSize="17" scale="71" orientation="landscape" r:id="rId2"/>
    </customSheetView>
  </customSheetViews>
  <pageMargins left="0.31" right="0.34" top="0.4" bottom="0.75" header="0.3" footer="0.3"/>
  <pageSetup paperSize="3" scale="54" orientation="landscape" r:id="rId3"/>
  <ignoredErrors>
    <ignoredError sqref="C12:D12" formulaRange="1"/>
  </ignoredErrors>
  <drawing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8DB4E3"/>
  </sheetPr>
  <dimension ref="A1:S82"/>
  <sheetViews>
    <sheetView showGridLines="0" zoomScaleNormal="100" workbookViewId="0">
      <pane xSplit="1" ySplit="1" topLeftCell="B2" activePane="bottomRight" state="frozen"/>
      <selection pane="topRight" activeCell="B1" sqref="B1"/>
      <selection pane="bottomLeft" activeCell="A2" sqref="A2"/>
      <selection pane="bottomRight" activeCell="F38" sqref="F38"/>
    </sheetView>
  </sheetViews>
  <sheetFormatPr defaultColWidth="9.140625" defaultRowHeight="12.75"/>
  <cols>
    <col min="1" max="1" width="16.140625" style="1652" customWidth="1"/>
    <col min="2" max="2" width="61.5703125" style="1652" customWidth="1"/>
    <col min="3" max="3" width="18.5703125" style="1652" customWidth="1"/>
    <col min="4" max="4" width="17.42578125" style="1652" customWidth="1"/>
    <col min="5" max="5" width="15.42578125" style="1652" customWidth="1"/>
    <col min="6" max="6" width="14.28515625" style="1652" customWidth="1"/>
    <col min="7" max="7" width="23" style="1652" customWidth="1"/>
    <col min="8" max="8" width="18.28515625" style="1652" customWidth="1"/>
    <col min="9" max="9" width="20.7109375" style="1652" customWidth="1"/>
    <col min="10" max="10" width="18.85546875" style="1652" customWidth="1"/>
    <col min="11" max="11" width="21" style="1652" customWidth="1"/>
    <col min="12" max="12" width="18.7109375" style="1652" customWidth="1"/>
    <col min="13" max="13" width="16.7109375" style="1652" customWidth="1"/>
    <col min="14" max="14" width="15.5703125" style="1652" customWidth="1"/>
    <col min="15" max="15" width="15.7109375" style="1652" customWidth="1"/>
    <col min="16" max="16" width="19.42578125" style="1652" customWidth="1"/>
    <col min="17" max="17" width="18.7109375" style="1652" customWidth="1"/>
    <col min="18" max="18" width="12.85546875" style="1652" customWidth="1"/>
    <col min="19" max="19" width="13.42578125" style="1652" customWidth="1"/>
    <col min="20" max="16384" width="9.140625" style="1652"/>
  </cols>
  <sheetData>
    <row r="1" spans="1:19" ht="43.5" customHeight="1">
      <c r="B1" s="1387" t="s">
        <v>1523</v>
      </c>
      <c r="C1" s="1361" t="s">
        <v>259</v>
      </c>
      <c r="D1" s="1387" t="s">
        <v>1525</v>
      </c>
      <c r="E1" s="1386" t="s">
        <v>4</v>
      </c>
      <c r="H1" s="1361"/>
      <c r="I1" s="129"/>
      <c r="J1" s="2367"/>
      <c r="K1" s="2024" t="s">
        <v>1523</v>
      </c>
      <c r="L1" s="1361" t="s">
        <v>259</v>
      </c>
      <c r="M1" s="2024" t="s">
        <v>1525</v>
      </c>
      <c r="N1" s="1386" t="s">
        <v>4</v>
      </c>
    </row>
    <row r="2" spans="1:19" ht="21" thickBot="1">
      <c r="B2" s="541"/>
      <c r="C2" s="128"/>
      <c r="D2" s="128"/>
      <c r="E2" s="128"/>
      <c r="F2" s="128"/>
      <c r="G2" s="568"/>
      <c r="H2" s="129"/>
      <c r="I2" s="129"/>
      <c r="J2" s="2367"/>
      <c r="K2" s="2367"/>
      <c r="L2" s="2367"/>
      <c r="M2" s="2367"/>
      <c r="N2" s="2367"/>
    </row>
    <row r="3" spans="1:19" ht="38.25">
      <c r="A3" s="1382" t="s">
        <v>1523</v>
      </c>
      <c r="C3" s="1201"/>
      <c r="D3" s="1201"/>
      <c r="E3" s="1201"/>
      <c r="F3" s="1201"/>
      <c r="G3" s="2173"/>
      <c r="H3" s="2653" t="s">
        <v>1747</v>
      </c>
      <c r="I3" s="2654" t="s">
        <v>8</v>
      </c>
      <c r="J3" s="2654" t="s">
        <v>77</v>
      </c>
      <c r="K3" s="2170" t="s">
        <v>10</v>
      </c>
      <c r="L3" s="2170" t="s">
        <v>482</v>
      </c>
      <c r="M3" s="2170" t="s">
        <v>11</v>
      </c>
      <c r="N3" s="2170" t="s">
        <v>12</v>
      </c>
      <c r="O3" s="2170" t="s">
        <v>13</v>
      </c>
      <c r="P3" s="2170" t="s">
        <v>78</v>
      </c>
      <c r="Q3" s="2170" t="s">
        <v>36</v>
      </c>
      <c r="R3" s="2170" t="s">
        <v>15</v>
      </c>
      <c r="S3" s="2671" t="s">
        <v>37</v>
      </c>
    </row>
    <row r="4" spans="1:19" ht="15.75">
      <c r="A4" s="2366" t="s">
        <v>259</v>
      </c>
      <c r="G4" s="1353" t="s">
        <v>1724</v>
      </c>
      <c r="H4" s="2685">
        <v>0</v>
      </c>
      <c r="I4" s="2686">
        <v>0</v>
      </c>
      <c r="J4" s="2686">
        <v>0</v>
      </c>
      <c r="K4" s="2686">
        <v>0</v>
      </c>
      <c r="L4" s="2686">
        <v>0</v>
      </c>
      <c r="M4" s="2672">
        <v>494086</v>
      </c>
      <c r="N4" s="2673">
        <v>0</v>
      </c>
      <c r="O4" s="2673">
        <v>0</v>
      </c>
      <c r="P4" s="2674">
        <v>0</v>
      </c>
      <c r="Q4" s="2675"/>
      <c r="R4" s="2687">
        <v>494086</v>
      </c>
      <c r="S4" s="2677">
        <v>16000000</v>
      </c>
    </row>
    <row r="5" spans="1:19" ht="15.75">
      <c r="A5" s="1382" t="s">
        <v>1524</v>
      </c>
      <c r="G5" s="2946" t="s">
        <v>1726</v>
      </c>
      <c r="H5" s="2964">
        <f>C16</f>
        <v>0</v>
      </c>
      <c r="I5" s="2965">
        <f>C18</f>
        <v>0</v>
      </c>
      <c r="J5" s="2965">
        <f>C39</f>
        <v>0</v>
      </c>
      <c r="K5" s="2965">
        <f>C35</f>
        <v>0</v>
      </c>
      <c r="L5" s="2965">
        <f>C26</f>
        <v>0</v>
      </c>
      <c r="M5" s="2965">
        <f>C47</f>
        <v>1020000</v>
      </c>
      <c r="N5" s="2965">
        <f>C33</f>
        <v>0</v>
      </c>
      <c r="O5" s="2965">
        <f>C28</f>
        <v>0</v>
      </c>
      <c r="P5" s="2965">
        <f>C12</f>
        <v>0</v>
      </c>
      <c r="Q5" s="2969"/>
      <c r="R5" s="2970">
        <f>SUM(H5:P5)</f>
        <v>1020000</v>
      </c>
      <c r="S5" s="2971">
        <f>C54</f>
        <v>0</v>
      </c>
    </row>
    <row r="6" spans="1:19" ht="16.5" thickBot="1">
      <c r="A6" s="1388">
        <v>18230414</v>
      </c>
      <c r="G6" s="2606" t="s">
        <v>1725</v>
      </c>
      <c r="H6" s="2663">
        <f>D16</f>
        <v>0</v>
      </c>
      <c r="I6" s="2664">
        <f>D18</f>
        <v>0</v>
      </c>
      <c r="J6" s="2664">
        <f>D39</f>
        <v>0</v>
      </c>
      <c r="K6" s="2664">
        <f>D35</f>
        <v>0</v>
      </c>
      <c r="L6" s="2664">
        <f>D26</f>
        <v>0</v>
      </c>
      <c r="M6" s="2679">
        <f>D47</f>
        <v>494086</v>
      </c>
      <c r="N6" s="2680">
        <f>D33</f>
        <v>0</v>
      </c>
      <c r="O6" s="2680">
        <f>D28</f>
        <v>0</v>
      </c>
      <c r="P6" s="2681">
        <f>D12</f>
        <v>0</v>
      </c>
      <c r="Q6" s="2682"/>
      <c r="R6" s="2683">
        <f>SUM(H6:P6)</f>
        <v>494086</v>
      </c>
      <c r="S6" s="2684">
        <f>D54</f>
        <v>16000000</v>
      </c>
    </row>
    <row r="7" spans="1:19" s="1173" customFormat="1">
      <c r="A7" s="2022" t="s">
        <v>4</v>
      </c>
      <c r="G7" s="2650"/>
      <c r="H7" s="2651"/>
      <c r="I7" s="2651"/>
      <c r="J7" s="2651"/>
      <c r="K7" s="2651"/>
      <c r="L7" s="2651"/>
      <c r="M7" s="2651"/>
      <c r="N7" s="2651"/>
      <c r="O7" s="2651"/>
      <c r="P7" s="2651"/>
      <c r="Q7" s="2668"/>
      <c r="R7" s="2651"/>
      <c r="S7" s="594"/>
    </row>
    <row r="8" spans="1:19" ht="20.25">
      <c r="A8" s="2366"/>
      <c r="B8" s="541"/>
      <c r="C8" s="128"/>
      <c r="D8" s="128"/>
      <c r="E8" s="128"/>
      <c r="F8" s="128"/>
      <c r="G8" s="568"/>
      <c r="H8" s="129"/>
      <c r="I8" s="129"/>
      <c r="J8" s="2367"/>
      <c r="K8" s="2367"/>
      <c r="L8" s="2367"/>
      <c r="M8" s="2367"/>
      <c r="N8" s="547"/>
    </row>
    <row r="9" spans="1:19" ht="18">
      <c r="A9" s="2366"/>
      <c r="C9" s="2803">
        <v>2016</v>
      </c>
      <c r="D9" s="576">
        <v>2017</v>
      </c>
      <c r="E9" s="138" t="s">
        <v>20</v>
      </c>
      <c r="F9" s="565"/>
      <c r="G9" s="565"/>
      <c r="H9" s="565"/>
      <c r="I9" s="565"/>
      <c r="J9" s="2367"/>
      <c r="K9" s="2367"/>
      <c r="L9" s="2367"/>
      <c r="M9" s="2367"/>
      <c r="N9" s="2367"/>
    </row>
    <row r="10" spans="1:19" ht="18">
      <c r="A10" s="2366"/>
      <c r="B10" s="544"/>
      <c r="C10" s="2910"/>
      <c r="D10" s="1794"/>
      <c r="E10" s="1797">
        <f>SUM(C10:D10)</f>
        <v>0</v>
      </c>
      <c r="F10" s="552"/>
      <c r="G10" s="552"/>
      <c r="H10" s="552"/>
      <c r="I10" s="1103"/>
      <c r="J10" s="1092"/>
      <c r="K10" s="1092"/>
      <c r="L10" s="547"/>
      <c r="M10" s="143"/>
      <c r="N10" s="2367"/>
    </row>
    <row r="11" spans="1:19" ht="15">
      <c r="A11" s="2366"/>
      <c r="B11" s="538" t="s">
        <v>80</v>
      </c>
      <c r="C11" s="2911">
        <v>0</v>
      </c>
      <c r="D11" s="1867">
        <v>0</v>
      </c>
      <c r="E11" s="1868">
        <f>SUM(C11:D11)</f>
        <v>0</v>
      </c>
      <c r="F11" s="552"/>
      <c r="G11" s="552"/>
      <c r="H11" s="552"/>
      <c r="I11" s="1103"/>
      <c r="J11" s="1092"/>
      <c r="K11" s="1092"/>
      <c r="L11" s="547"/>
      <c r="M11" s="143"/>
      <c r="N11" s="2367"/>
    </row>
    <row r="12" spans="1:19">
      <c r="A12" s="2366"/>
      <c r="B12" s="960"/>
      <c r="C12" s="2912">
        <f>SUM(C10:C11)</f>
        <v>0</v>
      </c>
      <c r="D12" s="779">
        <f>SUM(D10:D11)</f>
        <v>0</v>
      </c>
      <c r="E12" s="780">
        <f>SUM(E10:E11)</f>
        <v>0</v>
      </c>
      <c r="F12" s="1848"/>
      <c r="G12" s="552"/>
      <c r="H12" s="552"/>
      <c r="I12" s="1095"/>
      <c r="J12" s="1097"/>
      <c r="K12" s="1092"/>
      <c r="L12" s="2367"/>
      <c r="M12" s="2367"/>
      <c r="N12" s="2367"/>
    </row>
    <row r="13" spans="1:19" ht="18">
      <c r="A13" s="2366"/>
      <c r="B13" s="821"/>
      <c r="C13" s="2829"/>
      <c r="D13" s="816"/>
      <c r="E13" s="838"/>
      <c r="F13" s="1848"/>
      <c r="G13" s="552"/>
      <c r="H13" s="552"/>
      <c r="I13" s="1095"/>
      <c r="J13" s="1098"/>
      <c r="K13" s="1092"/>
      <c r="L13" s="2367"/>
      <c r="M13" s="2367"/>
      <c r="N13" s="2367"/>
    </row>
    <row r="14" spans="1:19">
      <c r="B14" s="820" t="s">
        <v>1747</v>
      </c>
      <c r="C14" s="2849"/>
      <c r="D14" s="855"/>
      <c r="E14" s="2369"/>
      <c r="F14" s="823"/>
      <c r="G14" s="548"/>
      <c r="H14" s="548"/>
      <c r="I14" s="1095"/>
      <c r="J14" s="1098"/>
      <c r="K14" s="1088"/>
      <c r="L14" s="2367"/>
      <c r="M14" s="2367"/>
      <c r="N14" s="2367"/>
    </row>
    <row r="15" spans="1:19">
      <c r="B15" s="824" t="s">
        <v>85</v>
      </c>
      <c r="C15" s="2913">
        <v>0</v>
      </c>
      <c r="D15" s="854">
        <v>0</v>
      </c>
      <c r="E15" s="867">
        <f>C15+D15</f>
        <v>0</v>
      </c>
      <c r="F15" s="831"/>
      <c r="G15" s="553" t="s">
        <v>86</v>
      </c>
      <c r="H15" s="549"/>
      <c r="I15" s="1095"/>
      <c r="J15" s="1091"/>
      <c r="K15" s="1088"/>
      <c r="L15" s="2367"/>
      <c r="M15" s="2367"/>
      <c r="N15" s="2367"/>
    </row>
    <row r="16" spans="1:19">
      <c r="B16" s="3136" t="s">
        <v>1746</v>
      </c>
      <c r="C16" s="3148">
        <f>C15</f>
        <v>0</v>
      </c>
      <c r="D16" s="2374">
        <f>D15</f>
        <v>0</v>
      </c>
      <c r="E16" s="1833">
        <f>C16+D16</f>
        <v>0</v>
      </c>
      <c r="F16" s="831"/>
      <c r="G16" s="553"/>
      <c r="H16" s="549"/>
      <c r="I16" s="1095"/>
      <c r="J16" s="1091"/>
      <c r="K16" s="1088"/>
      <c r="L16" s="3028"/>
      <c r="M16" s="3028"/>
      <c r="N16" s="3028"/>
    </row>
    <row r="17" spans="2:14">
      <c r="B17" s="824"/>
      <c r="C17" s="2913"/>
      <c r="D17" s="854"/>
      <c r="E17" s="867"/>
      <c r="F17" s="831"/>
      <c r="G17" s="553"/>
      <c r="H17" s="549"/>
      <c r="I17" s="1095"/>
      <c r="J17" s="1091"/>
      <c r="K17" s="1088"/>
      <c r="L17" s="3028"/>
      <c r="M17" s="3028"/>
      <c r="N17" s="3028"/>
    </row>
    <row r="18" spans="2:14">
      <c r="B18" s="3136" t="s">
        <v>8</v>
      </c>
      <c r="C18" s="3062">
        <v>0</v>
      </c>
      <c r="D18" s="2374">
        <v>0</v>
      </c>
      <c r="E18" s="1833">
        <f>C18+D18</f>
        <v>0</v>
      </c>
      <c r="F18" s="831"/>
      <c r="G18" s="553" t="s">
        <v>86</v>
      </c>
      <c r="H18" s="549"/>
      <c r="I18" s="1095"/>
      <c r="J18" s="1091"/>
      <c r="K18" s="1088"/>
      <c r="L18" s="2367"/>
      <c r="M18" s="2367"/>
      <c r="N18" s="2367"/>
    </row>
    <row r="19" spans="2:14">
      <c r="B19" s="824"/>
      <c r="C19" s="2919"/>
      <c r="D19" s="2380"/>
      <c r="E19" s="2381"/>
      <c r="F19" s="801"/>
      <c r="G19" s="549"/>
      <c r="H19" s="549"/>
      <c r="I19" s="1095"/>
      <c r="J19" s="1091"/>
      <c r="K19" s="1088"/>
      <c r="L19" s="2367"/>
      <c r="M19" s="140"/>
    </row>
    <row r="20" spans="2:14">
      <c r="B20" s="820" t="s">
        <v>483</v>
      </c>
      <c r="C20" s="2830"/>
      <c r="D20" s="816"/>
      <c r="E20" s="838"/>
      <c r="F20" s="823"/>
      <c r="G20" s="548"/>
      <c r="H20" s="549"/>
      <c r="I20" s="1095"/>
      <c r="J20" s="1091"/>
      <c r="K20" s="1088"/>
      <c r="L20" s="2367"/>
      <c r="M20" s="2367"/>
    </row>
    <row r="21" spans="2:14">
      <c r="B21" s="2365" t="s">
        <v>90</v>
      </c>
      <c r="C21" s="2833"/>
      <c r="D21" s="854"/>
      <c r="E21" s="867">
        <f t="shared" ref="E21:E25" si="0">SUM(C21:D21)</f>
        <v>0</v>
      </c>
      <c r="F21" s="832"/>
      <c r="G21" s="130"/>
      <c r="H21" s="548"/>
      <c r="I21" s="1095"/>
      <c r="J21" s="1091"/>
      <c r="K21" s="1088"/>
      <c r="L21" s="2367"/>
      <c r="M21" s="2367"/>
    </row>
    <row r="22" spans="2:14">
      <c r="B22" s="824" t="s">
        <v>91</v>
      </c>
      <c r="C22" s="2850"/>
      <c r="D22" s="854"/>
      <c r="E22" s="867">
        <f t="shared" si="0"/>
        <v>0</v>
      </c>
      <c r="F22" s="2365"/>
      <c r="G22" s="548"/>
      <c r="H22" s="130"/>
      <c r="I22" s="1095"/>
      <c r="J22" s="1075"/>
      <c r="K22" s="1088"/>
      <c r="L22" s="2367"/>
      <c r="M22" s="2367"/>
    </row>
    <row r="23" spans="2:14">
      <c r="B23" s="824" t="s">
        <v>94</v>
      </c>
      <c r="C23" s="2833"/>
      <c r="D23" s="854"/>
      <c r="E23" s="867">
        <f t="shared" si="0"/>
        <v>0</v>
      </c>
      <c r="F23" s="823"/>
      <c r="G23" s="548"/>
      <c r="H23" s="548"/>
      <c r="I23" s="1088"/>
      <c r="J23" s="1090"/>
      <c r="K23" s="1088"/>
      <c r="L23" s="2367"/>
      <c r="M23" s="2367"/>
    </row>
    <row r="24" spans="2:14">
      <c r="B24" s="824" t="s">
        <v>517</v>
      </c>
      <c r="C24" s="2833"/>
      <c r="D24" s="854"/>
      <c r="E24" s="867">
        <f t="shared" si="0"/>
        <v>0</v>
      </c>
      <c r="F24" s="823"/>
      <c r="G24" s="548"/>
      <c r="H24" s="548"/>
      <c r="I24" s="1088"/>
      <c r="J24" s="1090"/>
      <c r="K24" s="1088"/>
      <c r="L24" s="2367"/>
      <c r="M24" s="2367"/>
    </row>
    <row r="25" spans="2:14" ht="15">
      <c r="B25" s="824" t="s">
        <v>97</v>
      </c>
      <c r="C25" s="2914"/>
      <c r="D25" s="1869"/>
      <c r="E25" s="1870">
        <f t="shared" si="0"/>
        <v>0</v>
      </c>
      <c r="F25" s="823"/>
      <c r="G25" s="548"/>
      <c r="H25" s="142"/>
      <c r="I25" s="1095"/>
      <c r="J25" s="1109"/>
      <c r="K25" s="1088"/>
      <c r="L25" s="2367"/>
      <c r="M25" s="2367"/>
    </row>
    <row r="26" spans="2:14">
      <c r="B26" s="3146" t="s">
        <v>1748</v>
      </c>
      <c r="C26" s="2835">
        <v>0</v>
      </c>
      <c r="D26" s="830">
        <v>0</v>
      </c>
      <c r="E26" s="780">
        <f>D26+C26</f>
        <v>0</v>
      </c>
      <c r="F26" s="823"/>
      <c r="G26" s="548"/>
      <c r="H26" s="142"/>
      <c r="I26" s="1101"/>
      <c r="J26" s="1107"/>
      <c r="K26" s="1099"/>
      <c r="L26" s="2367"/>
      <c r="M26" s="2367"/>
    </row>
    <row r="27" spans="2:14">
      <c r="B27" s="816"/>
      <c r="C27" s="2836"/>
      <c r="D27" s="816"/>
      <c r="E27" s="838"/>
      <c r="F27" s="823"/>
      <c r="G27" s="548"/>
      <c r="H27" s="142"/>
      <c r="I27" s="1101"/>
      <c r="J27" s="1104"/>
      <c r="K27" s="1102"/>
      <c r="L27" s="2367"/>
      <c r="M27" s="2367"/>
    </row>
    <row r="28" spans="2:14">
      <c r="B28" s="820" t="s">
        <v>84</v>
      </c>
      <c r="C28" s="2835">
        <v>0</v>
      </c>
      <c r="D28" s="837">
        <v>0</v>
      </c>
      <c r="E28" s="846">
        <f>SUM(C28:D28)</f>
        <v>0</v>
      </c>
      <c r="F28" s="823"/>
      <c r="G28" s="548"/>
      <c r="H28" s="142"/>
      <c r="I28" s="1101"/>
      <c r="J28" s="1104"/>
      <c r="K28" s="1102"/>
      <c r="L28" s="2367"/>
      <c r="M28" s="2367"/>
    </row>
    <row r="29" spans="2:14">
      <c r="B29" s="816"/>
      <c r="C29" s="2836"/>
      <c r="D29" s="816"/>
      <c r="E29" s="838"/>
      <c r="F29" s="823"/>
      <c r="G29" s="548"/>
      <c r="H29" s="142"/>
      <c r="I29" s="1100"/>
      <c r="J29" s="1108"/>
      <c r="K29" s="1088"/>
      <c r="L29" s="2367"/>
      <c r="M29" s="2367"/>
    </row>
    <row r="30" spans="2:14">
      <c r="B30" s="819" t="s">
        <v>87</v>
      </c>
      <c r="C30" s="2836"/>
      <c r="D30" s="816"/>
      <c r="E30" s="838"/>
      <c r="F30" s="860"/>
      <c r="H30" s="142"/>
      <c r="I30" s="847"/>
      <c r="J30" s="848"/>
      <c r="K30" s="2367"/>
      <c r="L30" s="2367"/>
      <c r="M30" s="2367"/>
    </row>
    <row r="31" spans="2:14">
      <c r="B31" s="2365" t="s">
        <v>100</v>
      </c>
      <c r="C31" s="2836"/>
      <c r="D31" s="854"/>
      <c r="E31" s="867">
        <f>SUM(C31:D31)</f>
        <v>0</v>
      </c>
      <c r="F31" s="860"/>
      <c r="H31" s="142"/>
      <c r="I31" s="552"/>
      <c r="J31" s="2367"/>
      <c r="K31" s="2367"/>
      <c r="L31" s="2367"/>
      <c r="M31" s="2367"/>
    </row>
    <row r="32" spans="2:14" ht="15">
      <c r="B32" s="816" t="s">
        <v>102</v>
      </c>
      <c r="C32" s="2915"/>
      <c r="D32" s="1869"/>
      <c r="E32" s="1870">
        <f>SUM(C32:D32)</f>
        <v>0</v>
      </c>
      <c r="F32" s="860"/>
      <c r="H32" s="142"/>
      <c r="I32" s="136" t="s">
        <v>119</v>
      </c>
      <c r="J32" s="2367"/>
      <c r="K32" s="2367"/>
      <c r="L32" s="2367"/>
      <c r="M32" s="2367"/>
    </row>
    <row r="33" spans="1:13">
      <c r="B33" s="3145" t="s">
        <v>103</v>
      </c>
      <c r="C33" s="2838">
        <v>0</v>
      </c>
      <c r="D33" s="826">
        <v>0</v>
      </c>
      <c r="E33" s="846">
        <f>SUM(C33:D33)</f>
        <v>0</v>
      </c>
      <c r="F33" s="860"/>
      <c r="G33" s="142"/>
      <c r="H33" s="142"/>
      <c r="I33" s="136" t="s">
        <v>120</v>
      </c>
      <c r="J33" s="2367"/>
      <c r="K33" s="2367"/>
      <c r="L33" s="2367"/>
      <c r="M33" s="2367"/>
    </row>
    <row r="34" spans="1:13">
      <c r="B34" s="816"/>
      <c r="C34" s="2836"/>
      <c r="D34" s="816"/>
      <c r="E34" s="838"/>
      <c r="F34" s="860"/>
      <c r="H34" s="142"/>
      <c r="I34" s="552"/>
      <c r="J34" s="2367"/>
      <c r="K34" s="2367"/>
      <c r="L34" s="2367"/>
      <c r="M34" s="2367"/>
    </row>
    <row r="35" spans="1:13" ht="25.5">
      <c r="A35" s="1862" t="s">
        <v>1523</v>
      </c>
      <c r="B35" s="819" t="s">
        <v>88</v>
      </c>
      <c r="C35" s="2838">
        <v>0</v>
      </c>
      <c r="D35" s="777">
        <v>0</v>
      </c>
      <c r="E35" s="846">
        <f>SUM(C35:D35)</f>
        <v>0</v>
      </c>
      <c r="F35" s="860"/>
      <c r="H35" s="142"/>
      <c r="I35" s="552"/>
    </row>
    <row r="36" spans="1:13">
      <c r="A36" s="2366" t="s">
        <v>259</v>
      </c>
      <c r="B36" s="816"/>
      <c r="C36" s="2836"/>
      <c r="D36" s="816"/>
      <c r="E36" s="838"/>
      <c r="F36" s="2865">
        <v>0.66700000000000004</v>
      </c>
      <c r="G36" s="3086" t="s">
        <v>659</v>
      </c>
      <c r="H36" s="142"/>
      <c r="I36" s="552"/>
    </row>
    <row r="37" spans="1:13">
      <c r="A37" s="1862" t="s">
        <v>1524</v>
      </c>
      <c r="B37" s="2371" t="s">
        <v>9</v>
      </c>
      <c r="C37" s="2928">
        <f>(C16+C18)*F36</f>
        <v>0</v>
      </c>
      <c r="D37" s="3017">
        <f>(D16+D18)*F37</f>
        <v>0</v>
      </c>
      <c r="E37" s="653">
        <f>SUM(C37:D37)</f>
        <v>0</v>
      </c>
      <c r="F37" s="2145">
        <v>0.68799999999999994</v>
      </c>
      <c r="G37" s="2144" t="s">
        <v>660</v>
      </c>
      <c r="H37" s="142"/>
      <c r="I37" s="552"/>
    </row>
    <row r="38" spans="1:13" ht="15">
      <c r="A38" s="1663">
        <v>18230414</v>
      </c>
      <c r="B38" s="3032" t="s">
        <v>1732</v>
      </c>
      <c r="C38" s="3033">
        <f>C16*F38</f>
        <v>0</v>
      </c>
      <c r="D38" s="3034">
        <f>(D16+D18)*F38</f>
        <v>0</v>
      </c>
      <c r="E38" s="1549">
        <f>C38+D38</f>
        <v>0</v>
      </c>
      <c r="F38" s="3026">
        <v>0.21</v>
      </c>
      <c r="G38" s="2144" t="s">
        <v>1735</v>
      </c>
      <c r="H38" s="142"/>
      <c r="I38" s="552"/>
    </row>
    <row r="39" spans="1:13">
      <c r="A39" s="1388" t="s">
        <v>4</v>
      </c>
      <c r="B39" s="3149" t="s">
        <v>1743</v>
      </c>
      <c r="C39" s="2933">
        <f>C37+C38</f>
        <v>0</v>
      </c>
      <c r="D39" s="914">
        <f>D37+D38</f>
        <v>0</v>
      </c>
      <c r="E39" s="910">
        <f>E37+E38</f>
        <v>0</v>
      </c>
      <c r="F39" s="3013"/>
      <c r="G39" s="2144"/>
      <c r="H39" s="2144"/>
      <c r="I39" s="545"/>
    </row>
    <row r="40" spans="1:13">
      <c r="A40" s="1388"/>
      <c r="B40" s="3014"/>
      <c r="C40" s="2933"/>
      <c r="D40" s="914"/>
      <c r="E40" s="910"/>
      <c r="F40" s="3013"/>
      <c r="G40" s="2144"/>
      <c r="H40" s="142"/>
      <c r="I40" s="545"/>
    </row>
    <row r="41" spans="1:13">
      <c r="B41" s="816"/>
      <c r="C41" s="2836"/>
      <c r="D41" s="834"/>
      <c r="E41" s="841"/>
      <c r="F41" s="2145"/>
      <c r="G41" s="2144"/>
      <c r="H41" s="142"/>
      <c r="I41" s="545"/>
    </row>
    <row r="42" spans="1:13">
      <c r="B42" s="817" t="s">
        <v>11</v>
      </c>
      <c r="C42" s="2836"/>
      <c r="D42" s="834"/>
      <c r="E42" s="841"/>
      <c r="F42" s="860"/>
      <c r="G42" s="532"/>
      <c r="H42" s="142"/>
      <c r="I42" s="545"/>
    </row>
    <row r="43" spans="1:13">
      <c r="B43" s="1814" t="s">
        <v>1526</v>
      </c>
      <c r="C43" s="2833">
        <v>900000</v>
      </c>
      <c r="D43" s="861">
        <v>484086</v>
      </c>
      <c r="E43" s="866">
        <f t="shared" ref="E43:E46" si="1">SUM(D43,C43)</f>
        <v>1384086</v>
      </c>
      <c r="F43" s="860"/>
      <c r="G43" s="532"/>
      <c r="H43" s="142"/>
      <c r="I43" s="545"/>
    </row>
    <row r="44" spans="1:13">
      <c r="B44" s="1815" t="s">
        <v>1527</v>
      </c>
      <c r="C44" s="2833">
        <v>120000</v>
      </c>
      <c r="D44" s="861">
        <v>10000</v>
      </c>
      <c r="E44" s="866">
        <f t="shared" si="1"/>
        <v>130000</v>
      </c>
      <c r="F44" s="860"/>
      <c r="G44" s="532"/>
      <c r="H44" s="142"/>
      <c r="I44" s="545"/>
    </row>
    <row r="45" spans="1:13">
      <c r="B45" s="1815"/>
      <c r="C45" s="2833">
        <v>0</v>
      </c>
      <c r="D45" s="864">
        <v>0</v>
      </c>
      <c r="E45" s="856">
        <f t="shared" si="1"/>
        <v>0</v>
      </c>
      <c r="F45" s="860"/>
      <c r="G45" s="532"/>
      <c r="H45" s="142"/>
      <c r="I45" s="545"/>
    </row>
    <row r="46" spans="1:13" ht="15">
      <c r="B46" s="1815"/>
      <c r="C46" s="2914">
        <v>0</v>
      </c>
      <c r="D46" s="1871">
        <v>0</v>
      </c>
      <c r="E46" s="1872">
        <f t="shared" si="1"/>
        <v>0</v>
      </c>
      <c r="F46" s="860"/>
      <c r="G46" s="532"/>
      <c r="H46" s="142"/>
      <c r="I46" s="545"/>
    </row>
    <row r="47" spans="1:13">
      <c r="B47" s="312" t="s">
        <v>107</v>
      </c>
      <c r="C47" s="2835">
        <f>SUM(C43:C46)</f>
        <v>1020000</v>
      </c>
      <c r="D47" s="830">
        <f>SUM(D43:D46)</f>
        <v>494086</v>
      </c>
      <c r="E47" s="2382">
        <f>SUM(D47,C47)</f>
        <v>1514086</v>
      </c>
      <c r="F47" s="860"/>
      <c r="G47" s="532"/>
      <c r="H47" s="142"/>
      <c r="I47" s="545"/>
    </row>
    <row r="48" spans="1:13" ht="13.5" thickBot="1">
      <c r="B48" s="822"/>
      <c r="C48" s="2833"/>
      <c r="D48" s="861"/>
      <c r="E48" s="866"/>
      <c r="F48" s="860"/>
      <c r="G48" s="132"/>
      <c r="H48" s="142"/>
      <c r="I48" s="545"/>
    </row>
    <row r="49" spans="2:10" ht="13.5" thickBot="1">
      <c r="B49" s="828" t="s">
        <v>108</v>
      </c>
      <c r="C49" s="2839">
        <f>C12+C16+C18+C26+C28+C33+C35+C39+C47</f>
        <v>1020000</v>
      </c>
      <c r="D49" s="842">
        <f>D12+D16+D18+D26+D28+D33+D35+D39+D47</f>
        <v>494086</v>
      </c>
      <c r="E49" s="843">
        <f>SUM(C49:D49)</f>
        <v>1514086</v>
      </c>
      <c r="F49" s="860"/>
      <c r="G49" s="132"/>
      <c r="H49" s="142"/>
      <c r="I49" s="545"/>
    </row>
    <row r="50" spans="2:10">
      <c r="B50" s="863"/>
      <c r="C50" s="2840"/>
      <c r="D50" s="861"/>
      <c r="E50" s="861"/>
      <c r="F50" s="860"/>
      <c r="G50" s="132"/>
      <c r="H50" s="142"/>
      <c r="I50" s="545"/>
      <c r="J50" s="2367"/>
    </row>
    <row r="51" spans="2:10">
      <c r="B51" s="836" t="s">
        <v>109</v>
      </c>
      <c r="C51" s="2841">
        <v>2016</v>
      </c>
      <c r="D51" s="844">
        <v>2017</v>
      </c>
      <c r="E51" s="844" t="s">
        <v>20</v>
      </c>
      <c r="F51" s="2365"/>
      <c r="G51" s="132"/>
      <c r="H51" s="133"/>
      <c r="I51" s="556"/>
      <c r="J51" s="535"/>
    </row>
    <row r="52" spans="2:10">
      <c r="B52" s="836" t="s">
        <v>519</v>
      </c>
      <c r="C52" s="2916">
        <v>0</v>
      </c>
      <c r="D52" s="1817">
        <v>16000000</v>
      </c>
      <c r="E52" s="1817">
        <f>C52+D52</f>
        <v>16000000</v>
      </c>
      <c r="F52" s="1818" t="s">
        <v>110</v>
      </c>
      <c r="G52" s="132"/>
      <c r="H52" s="558"/>
      <c r="I52" s="558"/>
      <c r="J52" s="535"/>
    </row>
    <row r="53" spans="2:10">
      <c r="B53" s="836" t="s">
        <v>520</v>
      </c>
      <c r="C53" s="2917"/>
      <c r="D53" s="1819"/>
      <c r="E53" s="1819">
        <f>SUM(C53:D53)</f>
        <v>0</v>
      </c>
      <c r="F53" s="1816" t="s">
        <v>110</v>
      </c>
      <c r="G53" s="132"/>
      <c r="H53" s="558"/>
      <c r="I53" s="558"/>
      <c r="J53" s="535"/>
    </row>
    <row r="54" spans="2:10">
      <c r="C54" s="2918">
        <f>SUM(C52:C53)</f>
        <v>0</v>
      </c>
      <c r="D54" s="1820">
        <f>SUM(D52:D53)</f>
        <v>16000000</v>
      </c>
      <c r="E54" s="1820">
        <f>SUM(E52:E53)</f>
        <v>16000000</v>
      </c>
      <c r="F54" s="1821" t="s">
        <v>110</v>
      </c>
      <c r="G54" s="132"/>
      <c r="H54" s="558"/>
      <c r="I54" s="558"/>
      <c r="J54" s="535"/>
    </row>
    <row r="55" spans="2:10">
      <c r="B55" s="2367"/>
      <c r="C55" s="2823"/>
      <c r="D55" s="134"/>
      <c r="E55" s="134"/>
      <c r="F55" s="555"/>
      <c r="G55" s="142"/>
      <c r="H55" s="558"/>
      <c r="I55" s="558"/>
      <c r="J55" s="535"/>
    </row>
    <row r="56" spans="2:10">
      <c r="B56" s="836" t="s">
        <v>112</v>
      </c>
      <c r="C56" s="2855"/>
      <c r="D56" s="1809"/>
      <c r="E56" s="134"/>
      <c r="F56" s="555"/>
      <c r="G56" s="142"/>
      <c r="H56" s="558"/>
      <c r="I56" s="558"/>
      <c r="J56" s="535"/>
    </row>
    <row r="57" spans="2:10">
      <c r="B57" s="534"/>
      <c r="C57" s="2367"/>
      <c r="D57" s="2367"/>
      <c r="E57" s="2367"/>
      <c r="F57" s="2367"/>
      <c r="G57" s="142"/>
      <c r="H57" s="558"/>
      <c r="I57" s="558"/>
      <c r="J57" s="535"/>
    </row>
    <row r="58" spans="2:10" ht="20.25">
      <c r="B58" s="541"/>
      <c r="C58" s="133"/>
      <c r="D58" s="133"/>
      <c r="E58" s="133"/>
      <c r="F58" s="558"/>
      <c r="G58" s="142"/>
      <c r="H58" s="133"/>
      <c r="I58" s="558"/>
      <c r="J58" s="535"/>
    </row>
    <row r="59" spans="2:10">
      <c r="B59" s="2367"/>
      <c r="C59" s="558"/>
      <c r="D59" s="558"/>
      <c r="E59" s="558"/>
      <c r="F59" s="558"/>
      <c r="G59" s="133"/>
      <c r="H59" s="133"/>
      <c r="I59" s="556"/>
      <c r="J59" s="535"/>
    </row>
    <row r="60" spans="2:10">
      <c r="B60" s="2367"/>
      <c r="C60" s="558"/>
      <c r="D60" s="558"/>
      <c r="E60" s="558"/>
      <c r="F60" s="133"/>
      <c r="G60" s="558"/>
      <c r="H60" s="133"/>
      <c r="I60" s="556"/>
      <c r="J60" s="535"/>
    </row>
    <row r="61" spans="2:10" ht="15.75">
      <c r="B61" s="125"/>
      <c r="C61" s="141"/>
      <c r="D61" s="141"/>
      <c r="E61" s="141"/>
      <c r="F61" s="133"/>
      <c r="G61" s="558"/>
      <c r="H61" s="133"/>
      <c r="I61" s="556"/>
      <c r="J61" s="535"/>
    </row>
    <row r="62" spans="2:10">
      <c r="B62" s="535"/>
      <c r="C62" s="535"/>
      <c r="D62" s="535"/>
      <c r="E62" s="535"/>
      <c r="F62" s="133"/>
      <c r="G62" s="558"/>
      <c r="H62" s="133"/>
      <c r="I62" s="556"/>
      <c r="J62" s="535"/>
    </row>
    <row r="63" spans="2:10">
      <c r="B63" s="2367"/>
      <c r="C63" s="2367"/>
      <c r="D63" s="2367"/>
      <c r="E63" s="2367"/>
      <c r="F63" s="133"/>
      <c r="G63" s="558"/>
      <c r="H63" s="133"/>
      <c r="I63" s="556"/>
      <c r="J63" s="535"/>
    </row>
    <row r="64" spans="2:10">
      <c r="B64" s="2367"/>
      <c r="C64" s="2367"/>
      <c r="D64" s="2367"/>
      <c r="E64" s="2367"/>
      <c r="F64" s="133"/>
      <c r="G64" s="558"/>
      <c r="H64" s="133"/>
      <c r="I64" s="556"/>
      <c r="J64" s="535"/>
    </row>
    <row r="65" spans="6:10">
      <c r="F65" s="133"/>
      <c r="G65" s="558"/>
      <c r="H65" s="133"/>
      <c r="I65" s="556"/>
      <c r="J65" s="535"/>
    </row>
    <row r="66" spans="6:10">
      <c r="F66" s="2367"/>
      <c r="G66" s="133"/>
      <c r="H66" s="133"/>
      <c r="I66" s="556"/>
      <c r="J66" s="535"/>
    </row>
    <row r="67" spans="6:10">
      <c r="F67" s="2367"/>
      <c r="G67" s="133"/>
      <c r="H67" s="558"/>
      <c r="I67" s="558"/>
      <c r="J67" s="535"/>
    </row>
    <row r="68" spans="6:10">
      <c r="F68" s="2367"/>
      <c r="G68" s="133"/>
      <c r="H68" s="558"/>
      <c r="I68" s="558"/>
      <c r="J68" s="535"/>
    </row>
    <row r="69" spans="6:10">
      <c r="F69" s="2367"/>
      <c r="G69" s="133"/>
      <c r="H69" s="558"/>
      <c r="I69" s="558"/>
      <c r="J69" s="535"/>
    </row>
    <row r="70" spans="6:10">
      <c r="F70" s="2367"/>
      <c r="G70" s="133"/>
      <c r="H70" s="558"/>
      <c r="I70" s="558"/>
      <c r="J70" s="535"/>
    </row>
    <row r="71" spans="6:10">
      <c r="F71" s="2367"/>
      <c r="G71" s="133"/>
      <c r="H71" s="558"/>
      <c r="I71" s="558"/>
      <c r="J71" s="535"/>
    </row>
    <row r="72" spans="6:10">
      <c r="F72" s="558"/>
      <c r="G72" s="133"/>
      <c r="H72" s="558"/>
      <c r="I72" s="558"/>
      <c r="J72" s="535"/>
    </row>
    <row r="73" spans="6:10" ht="15.75">
      <c r="F73" s="558"/>
      <c r="G73" s="133"/>
      <c r="H73" s="141"/>
      <c r="I73" s="141"/>
      <c r="J73" s="535"/>
    </row>
    <row r="74" spans="6:10">
      <c r="F74" s="558"/>
      <c r="G74" s="133"/>
      <c r="H74" s="535"/>
      <c r="I74" s="535"/>
      <c r="J74" s="535"/>
    </row>
    <row r="75" spans="6:10" ht="15.75">
      <c r="F75" s="141"/>
      <c r="G75" s="558"/>
      <c r="H75" s="2367"/>
      <c r="I75" s="2367"/>
      <c r="J75" s="2367"/>
    </row>
    <row r="76" spans="6:10">
      <c r="F76" s="535"/>
      <c r="G76" s="558"/>
      <c r="H76" s="2367"/>
      <c r="I76" s="2367"/>
      <c r="J76" s="2367"/>
    </row>
    <row r="77" spans="6:10">
      <c r="F77" s="2367"/>
      <c r="G77" s="558"/>
      <c r="H77" s="2367"/>
      <c r="I77" s="2367"/>
      <c r="J77" s="2367"/>
    </row>
    <row r="78" spans="6:10">
      <c r="F78" s="2367"/>
      <c r="G78" s="558"/>
      <c r="H78" s="2367"/>
      <c r="I78" s="2367"/>
      <c r="J78" s="2367"/>
    </row>
    <row r="79" spans="6:10">
      <c r="F79" s="2367"/>
      <c r="G79" s="558"/>
      <c r="H79" s="2367"/>
      <c r="I79" s="2367"/>
      <c r="J79" s="2367"/>
    </row>
    <row r="80" spans="6:10">
      <c r="G80" s="558"/>
      <c r="H80" s="2367"/>
      <c r="I80" s="2367"/>
      <c r="J80" s="2367"/>
    </row>
    <row r="81" spans="7:7" ht="15.75">
      <c r="G81" s="141"/>
    </row>
    <row r="82" spans="7:7">
      <c r="G82" s="535"/>
    </row>
  </sheetData>
  <customSheetViews>
    <customSheetView guid="{D9EFFE19-D14B-4C6F-BDF4-FF696F73968D}" showGridLines="0">
      <pane xSplit="1" ySplit="1" topLeftCell="B2" activePane="bottomRight" state="frozen"/>
      <selection pane="bottomRight" activeCell="I33" sqref="I33"/>
      <pageMargins left="0.7" right="0.7" top="0.75" bottom="0.75" header="0.3" footer="0.3"/>
    </customSheetView>
    <customSheetView guid="{074EB09C-6289-46D7-9513-012B68BCA7BF}" showGridLines="0">
      <pane xSplit="1" ySplit="1" topLeftCell="B2" activePane="bottomRight" state="frozen"/>
      <selection pane="bottomRight" activeCell="F38" sqref="F38"/>
      <pageMargins left="0.7" right="0.7" top="0.75" bottom="0.75" header="0.3" footer="0.3"/>
    </customSheetView>
  </customSheetViews>
  <pageMargins left="0.7" right="0.7" top="0.75" bottom="0.75" header="0.3" footer="0.3"/>
  <pageSetup paperSize="3" scale="50" orientation="landscape" horizontalDpi="1200" verticalDpi="12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8DB4E3"/>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I43" sqref="I43"/>
    </sheetView>
  </sheetViews>
  <sheetFormatPr defaultColWidth="9.140625" defaultRowHeight="12.75"/>
  <cols>
    <col min="1" max="1" width="18.140625"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22.5703125" style="1652" bestFit="1" customWidth="1"/>
    <col min="17" max="17" width="5.5703125" style="1652" customWidth="1"/>
    <col min="18" max="18" width="10.85546875" style="1652" bestFit="1" customWidth="1"/>
    <col min="19" max="16384" width="9.140625" style="1652"/>
  </cols>
  <sheetData>
    <row r="1" spans="1:18" ht="54" customHeight="1">
      <c r="D1" s="1380" t="s">
        <v>1533</v>
      </c>
      <c r="E1" s="1509" t="s">
        <v>22</v>
      </c>
      <c r="F1" s="1427" t="s">
        <v>1398</v>
      </c>
      <c r="G1" s="1509" t="s">
        <v>4</v>
      </c>
      <c r="M1" s="1380" t="s">
        <v>1533</v>
      </c>
      <c r="N1" s="1509" t="s">
        <v>22</v>
      </c>
      <c r="O1" s="1427" t="s">
        <v>1398</v>
      </c>
      <c r="P1" s="1509" t="s">
        <v>4</v>
      </c>
    </row>
    <row r="2" spans="1:18" ht="17.25" customHeight="1" thickBot="1">
      <c r="D2" s="1349"/>
      <c r="E2" s="1208"/>
      <c r="F2" s="1208"/>
      <c r="G2" s="891"/>
      <c r="H2" s="1178" t="s">
        <v>627</v>
      </c>
      <c r="I2" s="1354"/>
      <c r="J2" s="1354"/>
      <c r="K2" s="1354"/>
      <c r="L2" s="1354"/>
      <c r="M2" s="1354"/>
      <c r="N2" s="1354"/>
      <c r="O2" s="1354"/>
      <c r="P2" s="1354"/>
      <c r="Q2" s="1354"/>
    </row>
    <row r="3" spans="1:18" ht="39" thickBot="1">
      <c r="A3" s="1380" t="s">
        <v>1533</v>
      </c>
      <c r="B3" s="2356"/>
      <c r="D3" s="1283"/>
      <c r="E3" s="1283"/>
      <c r="F3" s="1283"/>
      <c r="G3" s="1354"/>
      <c r="H3" s="1179" t="s">
        <v>7</v>
      </c>
      <c r="I3" s="2150" t="s">
        <v>8</v>
      </c>
      <c r="J3" s="2150" t="s">
        <v>9</v>
      </c>
      <c r="K3" s="2150" t="s">
        <v>10</v>
      </c>
      <c r="L3" s="2613" t="s">
        <v>482</v>
      </c>
      <c r="M3" s="2150" t="s">
        <v>11</v>
      </c>
      <c r="N3" s="2150" t="s">
        <v>12</v>
      </c>
      <c r="O3" s="2150" t="s">
        <v>13</v>
      </c>
      <c r="P3" s="2150" t="s">
        <v>14</v>
      </c>
      <c r="Q3" s="2150"/>
      <c r="R3" s="2150" t="s">
        <v>15</v>
      </c>
    </row>
    <row r="4" spans="1:18" ht="16.5" thickBot="1">
      <c r="A4" s="1508" t="s">
        <v>22</v>
      </c>
      <c r="B4" s="2356"/>
      <c r="C4" s="1310"/>
      <c r="D4" s="1310"/>
      <c r="E4" s="1310"/>
      <c r="F4" s="1310"/>
      <c r="G4" s="2946" t="s">
        <v>1726</v>
      </c>
      <c r="H4" s="2947">
        <f>D15</f>
        <v>66305.22</v>
      </c>
      <c r="I4" s="2948">
        <f>D21</f>
        <v>667</v>
      </c>
      <c r="J4" s="2948">
        <f>D27</f>
        <v>44670.470740000004</v>
      </c>
      <c r="K4" s="2948">
        <f>D37</f>
        <v>0</v>
      </c>
      <c r="L4" s="2948">
        <f>D43</f>
        <v>1500</v>
      </c>
      <c r="M4" s="2948">
        <f>D49</f>
        <v>21750</v>
      </c>
      <c r="N4" s="2948">
        <f>D55</f>
        <v>0</v>
      </c>
      <c r="O4" s="2948">
        <f>D61</f>
        <v>0</v>
      </c>
      <c r="P4" s="2948">
        <v>0</v>
      </c>
      <c r="Q4" s="2948"/>
      <c r="R4" s="2948">
        <f>SUM(H4:P4)</f>
        <v>134892.69073999999</v>
      </c>
    </row>
    <row r="5" spans="1:18" ht="15.75">
      <c r="A5" s="1427" t="s">
        <v>1398</v>
      </c>
      <c r="C5" s="1310"/>
      <c r="D5" s="1283"/>
      <c r="E5" s="1283"/>
      <c r="F5" s="1283"/>
      <c r="G5" s="3205" t="s">
        <v>1753</v>
      </c>
      <c r="H5" s="2617">
        <v>44472.83</v>
      </c>
      <c r="I5" s="2618">
        <v>683.68</v>
      </c>
      <c r="J5" s="2618">
        <v>30706.426800000001</v>
      </c>
      <c r="K5" s="2618">
        <v>0</v>
      </c>
      <c r="L5" s="2618">
        <v>1500</v>
      </c>
      <c r="M5" s="2618">
        <v>21750</v>
      </c>
      <c r="N5" s="2618">
        <v>0</v>
      </c>
      <c r="O5" s="2618">
        <v>0</v>
      </c>
      <c r="P5" s="2618">
        <v>0</v>
      </c>
      <c r="Q5" s="2618"/>
      <c r="R5" s="2618">
        <v>99112.936799999996</v>
      </c>
    </row>
    <row r="6" spans="1:18" ht="16.5" thickBot="1">
      <c r="A6" s="1508" t="s">
        <v>4</v>
      </c>
      <c r="B6" s="1427"/>
      <c r="C6" s="1266"/>
      <c r="D6" s="1310"/>
      <c r="E6" s="1310"/>
      <c r="F6" s="1310"/>
      <c r="G6" s="3206" t="s">
        <v>1754</v>
      </c>
      <c r="H6" s="2621">
        <f>E15</f>
        <v>44472.83</v>
      </c>
      <c r="I6" s="2622">
        <f>E21</f>
        <v>683.68</v>
      </c>
      <c r="J6" s="2623">
        <f>E27</f>
        <v>40550.545979999995</v>
      </c>
      <c r="K6" s="2622">
        <f>E37</f>
        <v>0</v>
      </c>
      <c r="L6" s="2622">
        <f>E43</f>
        <v>1500</v>
      </c>
      <c r="M6" s="2622">
        <f>E49</f>
        <v>21750</v>
      </c>
      <c r="N6" s="2622">
        <f>E55</f>
        <v>0</v>
      </c>
      <c r="O6" s="2622">
        <f>E61</f>
        <v>0</v>
      </c>
      <c r="P6" s="2622">
        <v>0</v>
      </c>
      <c r="Q6" s="2622"/>
      <c r="R6" s="2622">
        <f>SUM(H6:P6)</f>
        <v>108957.05598</v>
      </c>
    </row>
    <row r="7" spans="1:18" s="1664" customFormat="1" ht="15.75">
      <c r="B7" s="1368"/>
      <c r="C7" s="1665"/>
      <c r="D7" s="1665"/>
      <c r="E7" s="1665"/>
      <c r="F7" s="1665"/>
      <c r="G7" s="2688"/>
      <c r="H7" s="2607"/>
      <c r="I7" s="2607"/>
      <c r="J7" s="2607"/>
      <c r="K7" s="2607"/>
      <c r="L7" s="2607"/>
      <c r="M7" s="2607"/>
      <c r="N7" s="2607"/>
      <c r="O7" s="2607"/>
      <c r="P7" s="2607"/>
      <c r="Q7" s="2607"/>
      <c r="R7" s="2607"/>
    </row>
    <row r="8" spans="1:18" s="1664" customFormat="1">
      <c r="B8" s="2356"/>
      <c r="C8" s="1665"/>
      <c r="D8" s="1665"/>
      <c r="E8" s="1283"/>
      <c r="F8" s="1267"/>
      <c r="G8" s="1652"/>
      <c r="H8" s="1652"/>
      <c r="I8" s="1652"/>
      <c r="J8" s="1652"/>
      <c r="K8" s="1652"/>
      <c r="L8" s="1652"/>
      <c r="M8" s="1652"/>
      <c r="O8" s="1652"/>
      <c r="P8" s="1653" t="s">
        <v>17</v>
      </c>
    </row>
    <row r="9" spans="1:18" s="1664" customFormat="1">
      <c r="A9" s="1368"/>
      <c r="B9" s="1368"/>
      <c r="C9" s="1665"/>
      <c r="D9" s="1665"/>
      <c r="E9" s="1283"/>
      <c r="F9" s="1267"/>
      <c r="G9" s="1652"/>
      <c r="H9" s="1652"/>
      <c r="I9" s="1652"/>
      <c r="J9" s="1652"/>
      <c r="K9" s="1652"/>
      <c r="L9" s="1652"/>
      <c r="M9" s="1652"/>
      <c r="O9" s="1652"/>
      <c r="P9" s="1653" t="s">
        <v>18</v>
      </c>
    </row>
    <row r="10" spans="1:18" s="1663" customFormat="1">
      <c r="A10" s="1371"/>
      <c r="B10" s="1371"/>
      <c r="C10" s="1454" t="s">
        <v>310</v>
      </c>
      <c r="D10" s="1454"/>
      <c r="E10" s="1454"/>
      <c r="F10" s="1454"/>
    </row>
    <row r="11" spans="1:18" ht="18" customHeight="1">
      <c r="A11" s="1371"/>
      <c r="B11" s="1371"/>
      <c r="D11" s="1652"/>
      <c r="E11" s="1663"/>
    </row>
    <row r="12" spans="1:18">
      <c r="A12" s="1371"/>
      <c r="B12" s="1653"/>
      <c r="C12" s="1434" t="s">
        <v>298</v>
      </c>
      <c r="D12" s="2766">
        <f>D15+D21+D27+D37+D43+D49+D55+D61</f>
        <v>134892.69073999999</v>
      </c>
      <c r="E12" s="1484">
        <f>E15+E21+E27+E37+E43+E49+E55+E61</f>
        <v>108957.05598</v>
      </c>
      <c r="F12" s="1638">
        <f>D12+E12</f>
        <v>243849.74672</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66305.22</v>
      </c>
      <c r="E15" s="1464">
        <f>SUM(E16:E19)</f>
        <v>44472.83</v>
      </c>
      <c r="F15" s="1638">
        <f t="shared" ref="F15:F21" si="0">SUM(D15:E15)</f>
        <v>110778.05</v>
      </c>
      <c r="G15" s="1345"/>
      <c r="H15" s="1345"/>
    </row>
    <row r="16" spans="1:18" ht="13.5" customHeight="1">
      <c r="A16" s="1653"/>
      <c r="B16" s="1982">
        <v>0.87</v>
      </c>
      <c r="C16" s="1667" t="s">
        <v>744</v>
      </c>
      <c r="D16" s="2772">
        <v>66305.22</v>
      </c>
      <c r="E16" s="1669">
        <v>44472.83</v>
      </c>
      <c r="F16" s="1426">
        <f t="shared" si="0"/>
        <v>110778.05</v>
      </c>
    </row>
    <row r="17" spans="1:7">
      <c r="A17" s="1653"/>
      <c r="B17" s="1982"/>
      <c r="C17" s="1667"/>
      <c r="D17" s="2784"/>
      <c r="E17" s="1668"/>
      <c r="F17" s="1661">
        <f t="shared" si="0"/>
        <v>0</v>
      </c>
    </row>
    <row r="18" spans="1:7">
      <c r="A18" s="1653"/>
      <c r="B18" s="1982"/>
      <c r="C18" s="1667"/>
      <c r="D18" s="2784"/>
      <c r="E18" s="1668"/>
      <c r="F18" s="1661">
        <f t="shared" si="0"/>
        <v>0</v>
      </c>
    </row>
    <row r="19" spans="1:7">
      <c r="A19" s="1653"/>
      <c r="B19" s="1982"/>
      <c r="C19" s="1667"/>
      <c r="D19" s="2794"/>
      <c r="E19" s="1578"/>
      <c r="F19" s="1661">
        <f t="shared" si="0"/>
        <v>0</v>
      </c>
    </row>
    <row r="20" spans="1:7">
      <c r="A20" s="1653"/>
      <c r="B20" s="1449">
        <f>SUM(B16:B19)</f>
        <v>0.87</v>
      </c>
      <c r="C20" s="1488"/>
      <c r="D20" s="2770"/>
      <c r="E20" s="1490"/>
      <c r="F20" s="1492"/>
    </row>
    <row r="21" spans="1:7">
      <c r="A21" s="1653"/>
      <c r="B21" s="1433" t="s">
        <v>296</v>
      </c>
      <c r="C21" s="1597" t="s">
        <v>44</v>
      </c>
      <c r="D21" s="2780">
        <f>SUM(D22:D25)</f>
        <v>667</v>
      </c>
      <c r="E21" s="1657">
        <f>SUM(E22:E25)</f>
        <v>683.68</v>
      </c>
      <c r="F21" s="1638">
        <f t="shared" si="0"/>
        <v>1350.6799999999998</v>
      </c>
      <c r="G21" s="1346" t="s">
        <v>6</v>
      </c>
    </row>
    <row r="22" spans="1:7">
      <c r="A22" s="1653"/>
      <c r="B22" s="1982">
        <f>(SUM(D22:E22)/2)/((80000+(80000*1.025))/2)</f>
        <v>8.3375308641975305E-3</v>
      </c>
      <c r="C22" s="1667"/>
      <c r="D22" s="2772">
        <v>667</v>
      </c>
      <c r="E22" s="1669">
        <v>683.68</v>
      </c>
      <c r="F22" s="1426">
        <v>0</v>
      </c>
      <c r="G22" s="1347"/>
    </row>
    <row r="23" spans="1:7">
      <c r="A23" s="1653"/>
      <c r="B23" s="1982"/>
      <c r="C23" s="1667"/>
      <c r="D23" s="2791"/>
      <c r="E23" s="1562"/>
      <c r="F23" s="1661">
        <v>0</v>
      </c>
    </row>
    <row r="24" spans="1:7">
      <c r="A24" s="1653"/>
      <c r="B24" s="1982"/>
      <c r="C24" s="1667"/>
      <c r="D24" s="2792"/>
      <c r="E24" s="1563"/>
      <c r="F24" s="1661">
        <v>0</v>
      </c>
    </row>
    <row r="25" spans="1:7" s="1664" customFormat="1">
      <c r="A25" s="1410"/>
      <c r="B25" s="1982"/>
      <c r="C25" s="1667"/>
      <c r="D25" s="2793"/>
      <c r="E25" s="1562"/>
      <c r="F25" s="1661">
        <v>0</v>
      </c>
    </row>
    <row r="26" spans="1:7">
      <c r="A26" s="1653"/>
      <c r="B26" s="1449">
        <f>SUM(B22:B25)</f>
        <v>8.3375308641975305E-3</v>
      </c>
      <c r="C26" s="1424"/>
      <c r="D26" s="2776"/>
      <c r="E26" s="1431"/>
      <c r="F26" s="1439"/>
    </row>
    <row r="27" spans="1:7" s="1664" customFormat="1">
      <c r="A27" s="1410"/>
      <c r="B27" s="1653"/>
      <c r="C27" s="1597" t="s">
        <v>1737</v>
      </c>
      <c r="D27" s="2771">
        <f>SUM(D29:D35)</f>
        <v>44670.470740000004</v>
      </c>
      <c r="E27" s="1657">
        <f>SUM(E29:E31)+SUM(E33:E35)</f>
        <v>40550.545979999995</v>
      </c>
      <c r="F27" s="1638">
        <f>SUM(F29:F35)</f>
        <v>84305.755879999997</v>
      </c>
    </row>
    <row r="28" spans="1:7">
      <c r="A28" s="1653"/>
      <c r="B28" s="1653"/>
      <c r="C28" s="1450" t="s">
        <v>1733</v>
      </c>
      <c r="D28" s="2777">
        <v>0.66700000000000004</v>
      </c>
      <c r="E28" s="1452">
        <v>0.68799999999999994</v>
      </c>
      <c r="F28" s="1485"/>
    </row>
    <row r="29" spans="1:7">
      <c r="A29" s="1653"/>
      <c r="B29" s="1653"/>
      <c r="C29" s="1667" t="s">
        <v>719</v>
      </c>
      <c r="D29" s="2778">
        <f>D15*D28</f>
        <v>44225.581740000001</v>
      </c>
      <c r="E29" s="1641">
        <f>E15*E28</f>
        <v>30597.30704</v>
      </c>
      <c r="F29" s="1661">
        <f>SUM(D29:E29)</f>
        <v>74822.888780000008</v>
      </c>
    </row>
    <row r="30" spans="1:7">
      <c r="A30" s="1653"/>
      <c r="B30" s="1653"/>
      <c r="C30" s="1667" t="s">
        <v>720</v>
      </c>
      <c r="D30" s="2785">
        <f>D21*D28</f>
        <v>444.88900000000001</v>
      </c>
      <c r="E30" s="1641">
        <f>E21*E28</f>
        <v>470.37183999999991</v>
      </c>
      <c r="F30" s="1661">
        <v>0</v>
      </c>
    </row>
    <row r="31" spans="1:7">
      <c r="A31" s="1653"/>
      <c r="B31" s="1653"/>
      <c r="C31" s="1667"/>
      <c r="D31" s="2774"/>
      <c r="E31" s="1443"/>
      <c r="F31" s="1436"/>
    </row>
    <row r="32" spans="1:7">
      <c r="A32" s="1653"/>
      <c r="B32" s="1653"/>
      <c r="C32" s="1450" t="s">
        <v>1734</v>
      </c>
      <c r="D32" s="2777"/>
      <c r="E32" s="1452">
        <v>0.21</v>
      </c>
      <c r="F32" s="1485"/>
    </row>
    <row r="33" spans="1:7">
      <c r="A33" s="1653"/>
      <c r="B33" s="1350"/>
      <c r="C33" s="1667" t="s">
        <v>719</v>
      </c>
      <c r="D33" s="2778"/>
      <c r="E33" s="1641">
        <f>E15*E32</f>
        <v>9339.2942999999996</v>
      </c>
      <c r="F33" s="1661">
        <f>SUM(D33:E33)</f>
        <v>9339.2942999999996</v>
      </c>
    </row>
    <row r="34" spans="1:7" ht="38.25">
      <c r="A34" s="1380" t="s">
        <v>1533</v>
      </c>
      <c r="B34" s="1653"/>
      <c r="C34" s="1667" t="s">
        <v>720</v>
      </c>
      <c r="D34" s="2785"/>
      <c r="E34" s="1641">
        <f>E21*E32</f>
        <v>143.57279999999997</v>
      </c>
      <c r="F34" s="1661">
        <f t="shared" ref="F34" si="1">SUM(D34:E34)</f>
        <v>143.57279999999997</v>
      </c>
      <c r="G34" s="1348"/>
    </row>
    <row r="35" spans="1:7">
      <c r="A35" s="1508" t="s">
        <v>22</v>
      </c>
      <c r="B35" s="1410"/>
      <c r="C35" s="1445"/>
      <c r="D35" s="2775"/>
      <c r="E35" s="1444"/>
      <c r="F35" s="1437"/>
    </row>
    <row r="36" spans="1:7" s="1664" customFormat="1">
      <c r="A36" s="1427" t="s">
        <v>1398</v>
      </c>
      <c r="B36" s="1653"/>
      <c r="C36" s="1488"/>
      <c r="D36" s="2779"/>
      <c r="E36" s="1490"/>
      <c r="F36" s="1493"/>
    </row>
    <row r="37" spans="1:7">
      <c r="A37" s="1508" t="s">
        <v>4</v>
      </c>
      <c r="B37" s="1653"/>
      <c r="C37" s="1597" t="s">
        <v>46</v>
      </c>
      <c r="D37" s="2771">
        <v>0</v>
      </c>
      <c r="E37" s="1464">
        <v>0</v>
      </c>
      <c r="F37" s="1638">
        <f>SUM(D37:E37)</f>
        <v>0</v>
      </c>
    </row>
    <row r="38" spans="1:7">
      <c r="A38" s="1653"/>
      <c r="B38" s="1653"/>
      <c r="C38" s="1667"/>
      <c r="D38" s="2778"/>
      <c r="E38" s="1672"/>
      <c r="F38" s="1661">
        <v>0</v>
      </c>
    </row>
    <row r="39" spans="1:7">
      <c r="A39" s="1653"/>
      <c r="B39" s="1653"/>
      <c r="C39" s="1667"/>
      <c r="D39" s="2778"/>
      <c r="E39" s="1672"/>
      <c r="F39" s="1661">
        <v>0</v>
      </c>
    </row>
    <row r="40" spans="1:7">
      <c r="A40" s="165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1500</v>
      </c>
      <c r="E43" s="1464">
        <f>SUM(E44:E47)</f>
        <v>1500</v>
      </c>
      <c r="F43" s="1638">
        <f>SUM(D43:E43)</f>
        <v>3000</v>
      </c>
    </row>
    <row r="44" spans="1:7">
      <c r="A44" s="1653"/>
      <c r="B44" s="1653"/>
      <c r="C44" s="1667"/>
      <c r="D44" s="2778">
        <v>1500</v>
      </c>
      <c r="E44" s="1672">
        <v>1500</v>
      </c>
      <c r="F44" s="1661">
        <f>SUM(D44:E44)</f>
        <v>3000</v>
      </c>
    </row>
    <row r="45" spans="1:7">
      <c r="A45" s="1653"/>
      <c r="B45" s="1653"/>
      <c r="C45" s="1667"/>
      <c r="D45" s="2778"/>
      <c r="E45" s="1672"/>
      <c r="F45" s="1661">
        <v>0</v>
      </c>
    </row>
    <row r="46" spans="1:7">
      <c r="A46" s="1653"/>
      <c r="B46" s="1653"/>
      <c r="C46" s="1667"/>
      <c r="D46" s="2778"/>
      <c r="E46" s="1672"/>
      <c r="F46" s="1661">
        <v>0</v>
      </c>
    </row>
    <row r="47" spans="1:7">
      <c r="A47" s="1653"/>
      <c r="B47" s="1653"/>
      <c r="C47" s="1667"/>
      <c r="D47" s="2778"/>
      <c r="E47" s="1672"/>
      <c r="F47" s="1661">
        <v>0</v>
      </c>
    </row>
    <row r="48" spans="1:7">
      <c r="A48" s="1653"/>
      <c r="B48" s="1653"/>
      <c r="C48" s="1488"/>
      <c r="D48" s="2779"/>
      <c r="E48" s="1490"/>
      <c r="F48" s="1493"/>
    </row>
    <row r="49" spans="1:6">
      <c r="A49" s="1653"/>
      <c r="B49" s="1653"/>
      <c r="C49" s="1597" t="s">
        <v>47</v>
      </c>
      <c r="D49" s="2771">
        <f>SUM(D50:D53)</f>
        <v>21750</v>
      </c>
      <c r="E49" s="1464">
        <f>SUM(E50:E53)</f>
        <v>21750</v>
      </c>
      <c r="F49" s="1638">
        <f>SUM(D49:E49)</f>
        <v>43500</v>
      </c>
    </row>
    <row r="50" spans="1:6">
      <c r="A50" s="1653"/>
      <c r="B50" s="1653"/>
      <c r="C50" s="1667" t="s">
        <v>1507</v>
      </c>
      <c r="D50" s="2778">
        <v>21750</v>
      </c>
      <c r="E50" s="1672">
        <v>21750</v>
      </c>
      <c r="F50" s="1661">
        <f>SUM(D50:E50)</f>
        <v>43500</v>
      </c>
    </row>
    <row r="51" spans="1:6">
      <c r="A51" s="1653"/>
      <c r="B51" s="1653"/>
      <c r="C51" s="1667"/>
      <c r="D51" s="2778"/>
      <c r="E51" s="1672"/>
      <c r="F51" s="1661">
        <f>SUM(D51:E51)</f>
        <v>0</v>
      </c>
    </row>
    <row r="52" spans="1:6">
      <c r="A52" s="1653"/>
      <c r="B52" s="1653"/>
      <c r="C52" s="1667"/>
      <c r="D52" s="2778"/>
      <c r="E52" s="1672"/>
      <c r="F52" s="1661">
        <v>0</v>
      </c>
    </row>
    <row r="53" spans="1:6">
      <c r="A53" s="1653"/>
      <c r="B53" s="1653"/>
      <c r="C53" s="1667"/>
      <c r="D53" s="2778"/>
      <c r="E53" s="1672"/>
      <c r="F53" s="1661">
        <v>0</v>
      </c>
    </row>
    <row r="54" spans="1:6">
      <c r="A54" s="1653"/>
      <c r="B54" s="1653"/>
      <c r="C54" s="1488"/>
      <c r="D54" s="2779"/>
      <c r="E54" s="1490"/>
      <c r="F54" s="1493"/>
    </row>
    <row r="55" spans="1:6">
      <c r="A55" s="1653"/>
      <c r="B55" s="1653"/>
      <c r="C55" s="1597" t="s">
        <v>48</v>
      </c>
      <c r="D55" s="2771">
        <f>SUM(D56:D59)</f>
        <v>0</v>
      </c>
      <c r="E55" s="1464">
        <f>SUM(E56:E59)</f>
        <v>0</v>
      </c>
      <c r="F55" s="1638">
        <f>SUM(D55:E55)</f>
        <v>0</v>
      </c>
    </row>
    <row r="56" spans="1:6">
      <c r="A56" s="1653"/>
      <c r="B56" s="1653"/>
      <c r="C56" s="1667"/>
      <c r="D56" s="2778"/>
      <c r="E56" s="1641"/>
      <c r="F56" s="1661">
        <f>SUM(D56:E56)</f>
        <v>0</v>
      </c>
    </row>
    <row r="57" spans="1:6">
      <c r="A57" s="1653"/>
      <c r="B57" s="1653"/>
      <c r="C57" s="1667"/>
      <c r="D57" s="2778"/>
      <c r="E57" s="1641"/>
      <c r="F57" s="1661">
        <f>SUM(D57:E57)</f>
        <v>0</v>
      </c>
    </row>
    <row r="58" spans="1:6">
      <c r="A58" s="1653"/>
      <c r="B58" s="1653"/>
      <c r="C58" s="1667"/>
      <c r="D58" s="2778"/>
      <c r="E58" s="1641"/>
      <c r="F58" s="1661">
        <v>0</v>
      </c>
    </row>
    <row r="59" spans="1:6">
      <c r="A59" s="1653"/>
      <c r="B59" s="1653"/>
      <c r="C59" s="1667"/>
      <c r="D59" s="2778"/>
      <c r="E59" s="1641"/>
      <c r="F59" s="1661">
        <v>0</v>
      </c>
    </row>
    <row r="60" spans="1:6">
      <c r="A60" s="1653"/>
      <c r="B60" s="1653"/>
      <c r="C60" s="1488"/>
      <c r="D60" s="2779"/>
      <c r="E60" s="1490"/>
      <c r="F60" s="1493"/>
    </row>
    <row r="61" spans="1:6">
      <c r="A61" s="1653"/>
      <c r="C61" s="1597" t="s">
        <v>49</v>
      </c>
      <c r="D61" s="2771">
        <f>SUM(D62:D65)</f>
        <v>0</v>
      </c>
      <c r="E61" s="1464">
        <f>SUM(E62:E65)</f>
        <v>0</v>
      </c>
      <c r="F61" s="1638">
        <f>SUM(D61:E61)</f>
        <v>0</v>
      </c>
    </row>
    <row r="62" spans="1:6">
      <c r="C62" s="1667"/>
      <c r="D62" s="2778"/>
      <c r="E62" s="1672"/>
      <c r="F62" s="1661">
        <f>SUM(D62:E62)</f>
        <v>0</v>
      </c>
    </row>
    <row r="63" spans="1:6">
      <c r="C63" s="1667"/>
      <c r="D63" s="2778"/>
      <c r="E63" s="1672"/>
      <c r="F63" s="1661">
        <v>0</v>
      </c>
    </row>
    <row r="64" spans="1:6">
      <c r="C64" s="1667"/>
      <c r="D64" s="2778"/>
      <c r="E64" s="1672"/>
      <c r="F64" s="1437">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7" right="0.7" top="0.75" bottom="0.75" header="0.3" footer="0.3"/>
  <pageSetup paperSize="3" scale="55" orientation="landscape"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D15"/>
  <sheetViews>
    <sheetView showGridLines="0" workbookViewId="0">
      <pane xSplit="2" ySplit="2" topLeftCell="C9" activePane="bottomRight" state="frozen"/>
      <selection pane="topRight" activeCell="C1" sqref="C1"/>
      <selection pane="bottomLeft" activeCell="A3" sqref="A3"/>
      <selection pane="bottomRight" activeCell="C4" sqref="C4"/>
    </sheetView>
  </sheetViews>
  <sheetFormatPr defaultRowHeight="12.75"/>
  <cols>
    <col min="1" max="1" width="2.7109375" customWidth="1"/>
    <col min="2" max="2" width="20.7109375" customWidth="1"/>
    <col min="3" max="3" width="99.5703125" style="522" customWidth="1"/>
  </cols>
  <sheetData>
    <row r="1" spans="2:4" ht="18">
      <c r="B1" s="527" t="s">
        <v>481</v>
      </c>
      <c r="C1" s="525"/>
      <c r="D1" s="526"/>
    </row>
    <row r="2" spans="2:4" ht="18">
      <c r="B2" s="527"/>
      <c r="C2" s="525"/>
      <c r="D2" s="526"/>
    </row>
    <row r="3" spans="2:4" s="1761" customFormat="1" ht="114.75" customHeight="1">
      <c r="B3" s="1758" t="s">
        <v>209</v>
      </c>
      <c r="C3" s="1759" t="s">
        <v>495</v>
      </c>
      <c r="D3" s="1760"/>
    </row>
    <row r="4" spans="2:4" ht="64.5" customHeight="1">
      <c r="B4" s="529" t="s">
        <v>210</v>
      </c>
      <c r="C4" s="524" t="s">
        <v>211</v>
      </c>
      <c r="D4" s="528"/>
    </row>
    <row r="5" spans="2:4" ht="54" customHeight="1">
      <c r="B5" s="529" t="s">
        <v>212</v>
      </c>
      <c r="C5" s="1756" t="s">
        <v>474</v>
      </c>
      <c r="D5" s="528"/>
    </row>
    <row r="6" spans="2:4" ht="36" customHeight="1">
      <c r="B6" s="529" t="s">
        <v>8</v>
      </c>
      <c r="C6" s="1756" t="s">
        <v>472</v>
      </c>
      <c r="D6" s="528"/>
    </row>
    <row r="7" spans="2:4" ht="43.5" customHeight="1">
      <c r="B7" s="529" t="s">
        <v>77</v>
      </c>
      <c r="C7" s="1755" t="s">
        <v>475</v>
      </c>
      <c r="D7" s="1125"/>
    </row>
    <row r="8" spans="2:4" s="1652" customFormat="1" ht="79.150000000000006" customHeight="1">
      <c r="B8" s="3030" t="s">
        <v>1738</v>
      </c>
      <c r="C8" s="3029" t="s">
        <v>1739</v>
      </c>
      <c r="D8" s="1125"/>
    </row>
    <row r="9" spans="2:4" ht="42.75" customHeight="1">
      <c r="B9" s="529" t="s">
        <v>10</v>
      </c>
      <c r="C9" s="1756" t="s">
        <v>473</v>
      </c>
      <c r="D9" s="528"/>
    </row>
    <row r="10" spans="2:4" ht="52.5" customHeight="1">
      <c r="B10" s="530" t="s">
        <v>482</v>
      </c>
      <c r="C10" s="1757" t="s">
        <v>476</v>
      </c>
      <c r="D10" s="1125"/>
    </row>
    <row r="11" spans="2:4" ht="54.75" customHeight="1">
      <c r="B11" s="529" t="s">
        <v>11</v>
      </c>
      <c r="C11" s="1756" t="s">
        <v>477</v>
      </c>
      <c r="D11" s="528"/>
    </row>
    <row r="12" spans="2:4" ht="36.75" customHeight="1">
      <c r="B12" s="529" t="s">
        <v>12</v>
      </c>
      <c r="C12" s="1756" t="s">
        <v>478</v>
      </c>
      <c r="D12" s="528"/>
    </row>
    <row r="13" spans="2:4" ht="69" customHeight="1">
      <c r="B13" s="529" t="s">
        <v>13</v>
      </c>
      <c r="C13" s="1756" t="s">
        <v>479</v>
      </c>
      <c r="D13" s="528"/>
    </row>
    <row r="14" spans="2:4" ht="51.75" customHeight="1">
      <c r="B14" s="529" t="s">
        <v>14</v>
      </c>
      <c r="C14" s="1756" t="s">
        <v>595</v>
      </c>
      <c r="D14" s="528"/>
    </row>
    <row r="15" spans="2:4" ht="36.75" customHeight="1">
      <c r="B15" s="529" t="s">
        <v>213</v>
      </c>
      <c r="C15" s="523" t="s">
        <v>208</v>
      </c>
    </row>
  </sheetData>
  <customSheetViews>
    <customSheetView guid="{D9EFFE19-D14B-4C6F-BDF4-FF696F73968D}" showGridLines="0">
      <pane xSplit="2" ySplit="2" topLeftCell="C3" activePane="bottomRight" state="frozen"/>
      <selection pane="bottomRight"/>
      <pageMargins left="0.26" right="0.17" top="0.75" bottom="0.75" header="0.3" footer="0.3"/>
      <pageSetup scale="80" orientation="portrait" r:id="rId1"/>
    </customSheetView>
    <customSheetView guid="{074EB09C-6289-46D7-9513-012B68BCA7BF}" showGridLines="0">
      <pane xSplit="2" ySplit="2" topLeftCell="C4" activePane="bottomRight" state="frozen"/>
      <selection pane="bottomRight" activeCell="C4" sqref="C4"/>
      <pageMargins left="0.26" right="0.17" top="0.75" bottom="0.75" header="0.3" footer="0.3"/>
      <pageSetup paperSize="17" scale="80" orientation="landscape" r:id="rId2"/>
    </customSheetView>
  </customSheetViews>
  <pageMargins left="0.26" right="0.17" top="0.75" bottom="0.75" header="0.3" footer="0.3"/>
  <pageSetup paperSize="3" scale="80" orientation="landscape" r:id="rId3"/>
  <drawing r:id="rId4"/>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8DB4E3"/>
  </sheetPr>
  <dimension ref="A1:S86"/>
  <sheetViews>
    <sheetView showGridLines="0" zoomScaleNormal="100" workbookViewId="0">
      <pane xSplit="1" ySplit="1" topLeftCell="B2" activePane="bottomRight" state="frozen"/>
      <selection pane="topRight" activeCell="B1" sqref="B1"/>
      <selection pane="bottomLeft" activeCell="A2" sqref="A2"/>
      <selection pane="bottomRight" activeCell="B6" sqref="B6"/>
    </sheetView>
  </sheetViews>
  <sheetFormatPr defaultColWidth="98" defaultRowHeight="12.75"/>
  <cols>
    <col min="1" max="1" width="15.28515625" style="849" customWidth="1"/>
    <col min="2" max="2" width="62.140625" customWidth="1"/>
    <col min="3" max="3" width="19.42578125" customWidth="1"/>
    <col min="4" max="4" width="18.85546875" customWidth="1"/>
    <col min="5" max="5" width="22" customWidth="1"/>
    <col min="6" max="6" width="19" customWidth="1"/>
    <col min="7" max="7" width="20.5703125" customWidth="1"/>
    <col min="8" max="8" width="21.85546875" customWidth="1"/>
    <col min="9" max="9" width="23.140625" customWidth="1"/>
    <col min="10" max="10" width="24.140625" customWidth="1"/>
    <col min="11" max="11" width="23.5703125" customWidth="1"/>
    <col min="12" max="12" width="21.5703125" customWidth="1"/>
    <col min="13" max="13" width="19.5703125" customWidth="1"/>
    <col min="14" max="14" width="24.7109375" customWidth="1"/>
    <col min="15" max="15" width="19.7109375" customWidth="1"/>
    <col min="16" max="16" width="19.42578125" customWidth="1"/>
    <col min="17" max="17" width="18.7109375" customWidth="1"/>
    <col min="18" max="18" width="15.7109375" customWidth="1"/>
    <col min="19" max="19" width="16.140625" customWidth="1"/>
    <col min="20" max="23" width="11" customWidth="1"/>
  </cols>
  <sheetData>
    <row r="1" spans="1:19" ht="45" customHeight="1">
      <c r="B1" s="1384" t="s">
        <v>263</v>
      </c>
      <c r="C1" s="1361" t="s">
        <v>264</v>
      </c>
      <c r="D1" s="2024" t="s">
        <v>545</v>
      </c>
      <c r="E1" s="1380" t="s">
        <v>562</v>
      </c>
      <c r="F1" s="2025">
        <v>18230721</v>
      </c>
      <c r="G1" s="2026"/>
      <c r="H1" s="1666"/>
      <c r="J1" s="144"/>
      <c r="K1" s="1384" t="s">
        <v>263</v>
      </c>
      <c r="L1" s="1361" t="s">
        <v>264</v>
      </c>
      <c r="M1" s="1380" t="s">
        <v>562</v>
      </c>
      <c r="N1" s="2025">
        <v>18230721</v>
      </c>
      <c r="O1" s="2025"/>
      <c r="P1" s="2026"/>
      <c r="Q1" s="1666"/>
    </row>
    <row r="2" spans="1:19" ht="21" thickBot="1">
      <c r="B2" s="147"/>
      <c r="C2" s="159"/>
      <c r="D2" s="159"/>
      <c r="E2" s="159"/>
      <c r="F2" s="159"/>
      <c r="G2" s="166"/>
      <c r="H2" s="160"/>
      <c r="I2" s="160"/>
      <c r="J2" s="144"/>
      <c r="K2" s="144"/>
      <c r="L2" s="144"/>
      <c r="M2" s="144"/>
      <c r="N2" s="144"/>
    </row>
    <row r="3" spans="1:19" ht="51">
      <c r="A3" s="1389" t="s">
        <v>263</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693" t="s">
        <v>37</v>
      </c>
    </row>
    <row r="4" spans="1:19" ht="15.75">
      <c r="A4" s="1357" t="s">
        <v>264</v>
      </c>
      <c r="G4" s="2946" t="s">
        <v>1726</v>
      </c>
      <c r="H4" s="2972">
        <f>C18</f>
        <v>261604.82191059744</v>
      </c>
      <c r="I4" s="2973">
        <f>C20</f>
        <v>0</v>
      </c>
      <c r="J4" s="2973">
        <f>C42</f>
        <v>177237.26684442977</v>
      </c>
      <c r="K4" s="2973">
        <f>C37</f>
        <v>0</v>
      </c>
      <c r="L4" s="2973">
        <f>C28</f>
        <v>0</v>
      </c>
      <c r="M4" s="2973">
        <f>C47</f>
        <v>0</v>
      </c>
      <c r="N4" s="2973">
        <f>C35</f>
        <v>0</v>
      </c>
      <c r="O4" s="2973">
        <f>C30</f>
        <v>0</v>
      </c>
      <c r="P4" s="2973">
        <f>C13</f>
        <v>3187682.8</v>
      </c>
      <c r="Q4" s="2969"/>
      <c r="R4" s="2974">
        <f>SUM(H4:P4)</f>
        <v>3626524.8887550272</v>
      </c>
      <c r="S4" s="2975">
        <f>C56</f>
        <v>9597674</v>
      </c>
    </row>
    <row r="5" spans="1:19" ht="15.75">
      <c r="A5" s="1862" t="s">
        <v>545</v>
      </c>
      <c r="G5" s="3205" t="s">
        <v>1753</v>
      </c>
      <c r="H5" s="2703">
        <v>262230.10980282474</v>
      </c>
      <c r="I5" s="2704">
        <v>0</v>
      </c>
      <c r="J5" s="2704">
        <v>176611.97895220248</v>
      </c>
      <c r="K5" s="2704">
        <v>0</v>
      </c>
      <c r="L5" s="2704">
        <v>0</v>
      </c>
      <c r="M5" s="2704">
        <v>0</v>
      </c>
      <c r="N5" s="2705">
        <v>0</v>
      </c>
      <c r="O5" s="2705">
        <v>0</v>
      </c>
      <c r="P5" s="2706">
        <v>6813990.7999999998</v>
      </c>
      <c r="Q5" s="2675"/>
      <c r="R5" s="2707">
        <v>7252832.8887550272</v>
      </c>
      <c r="S5" s="2708">
        <v>22970706</v>
      </c>
    </row>
    <row r="6" spans="1:19" ht="16.5" thickBot="1">
      <c r="A6" s="1392" t="s">
        <v>562</v>
      </c>
      <c r="G6" s="3206" t="s">
        <v>1754</v>
      </c>
      <c r="H6" s="2709">
        <f>D18</f>
        <v>261604.82191059744</v>
      </c>
      <c r="I6" s="2710">
        <f>D20</f>
        <v>0</v>
      </c>
      <c r="J6" s="2710">
        <f>D42</f>
        <v>232174.27944565524</v>
      </c>
      <c r="K6" s="2710">
        <f>D37</f>
        <v>0</v>
      </c>
      <c r="L6" s="2710">
        <f>D28</f>
        <v>0</v>
      </c>
      <c r="M6" s="2710">
        <f>D47</f>
        <v>0</v>
      </c>
      <c r="N6" s="2711">
        <f>D35</f>
        <v>0</v>
      </c>
      <c r="O6" s="2711">
        <f>D30</f>
        <v>0</v>
      </c>
      <c r="P6" s="2712">
        <f>D13</f>
        <v>7948809</v>
      </c>
      <c r="Q6" s="2682"/>
      <c r="R6" s="2713">
        <f>SUM(H6:P6)</f>
        <v>8442588.101356253</v>
      </c>
      <c r="S6" s="2714">
        <f>D56</f>
        <v>17228029</v>
      </c>
    </row>
    <row r="7" spans="1:19" s="1173" customFormat="1">
      <c r="A7" s="2022">
        <v>18230721</v>
      </c>
      <c r="G7" s="1842"/>
      <c r="H7" s="2689"/>
      <c r="I7" s="2689"/>
      <c r="J7" s="2689"/>
      <c r="K7" s="2689"/>
      <c r="L7" s="2689"/>
      <c r="M7" s="2689"/>
      <c r="N7" s="2689"/>
      <c r="O7" s="2689"/>
      <c r="P7" s="2689"/>
      <c r="Q7" s="2668"/>
      <c r="R7" s="2689"/>
      <c r="S7" s="2690"/>
    </row>
    <row r="8" spans="1:19" ht="20.25">
      <c r="A8" s="2023"/>
      <c r="B8" s="147"/>
      <c r="C8" s="159"/>
      <c r="D8" s="159"/>
      <c r="E8" s="159"/>
      <c r="F8" s="159"/>
      <c r="G8" s="166"/>
      <c r="H8" s="160"/>
      <c r="I8" s="160"/>
      <c r="J8" s="144"/>
      <c r="K8" s="144"/>
      <c r="L8" s="144"/>
      <c r="M8" s="144"/>
      <c r="N8" s="150"/>
    </row>
    <row r="9" spans="1:19" ht="18">
      <c r="A9" s="1391"/>
      <c r="C9" s="166"/>
      <c r="D9" s="166"/>
      <c r="E9" s="166"/>
      <c r="F9" s="158"/>
      <c r="G9" s="158"/>
      <c r="H9" s="158"/>
      <c r="I9" s="158"/>
      <c r="J9" s="144"/>
      <c r="K9" s="144"/>
      <c r="L9" s="144"/>
      <c r="M9" s="144"/>
      <c r="N9" s="144"/>
    </row>
    <row r="10" spans="1:19" ht="18">
      <c r="B10" s="148"/>
      <c r="C10" s="2827">
        <v>2016</v>
      </c>
      <c r="D10" s="168">
        <v>2017</v>
      </c>
      <c r="E10" s="169" t="s">
        <v>20</v>
      </c>
      <c r="F10" s="153"/>
      <c r="G10" s="153"/>
      <c r="H10" s="1095"/>
      <c r="I10" s="1103"/>
      <c r="J10" s="1092"/>
      <c r="K10" s="1092"/>
      <c r="L10" s="150"/>
      <c r="M10" s="170"/>
      <c r="N10" s="144"/>
    </row>
    <row r="11" spans="1:19">
      <c r="A11" s="1652" t="s">
        <v>4</v>
      </c>
      <c r="B11" s="820" t="s">
        <v>80</v>
      </c>
      <c r="C11" s="2905">
        <v>2602560</v>
      </c>
      <c r="D11" s="1823">
        <v>7363686</v>
      </c>
      <c r="E11" s="1824">
        <f>C11+D11</f>
        <v>9966246</v>
      </c>
      <c r="F11" s="664"/>
      <c r="G11" s="153"/>
      <c r="H11" s="1095"/>
      <c r="I11" s="1095"/>
      <c r="J11" s="1097"/>
      <c r="K11" s="1092"/>
      <c r="L11" s="144"/>
      <c r="M11" s="144"/>
      <c r="N11" s="144"/>
    </row>
    <row r="12" spans="1:19" s="1652" customFormat="1" ht="15">
      <c r="B12" s="1822" t="s">
        <v>521</v>
      </c>
      <c r="C12" s="2906">
        <f>I54/2</f>
        <v>585122.80000000005</v>
      </c>
      <c r="D12" s="1865">
        <v>585123</v>
      </c>
      <c r="E12" s="1866">
        <f>SUM(C12:D12)</f>
        <v>1170245.8</v>
      </c>
      <c r="F12" s="825"/>
      <c r="G12" s="825"/>
      <c r="H12" s="1095"/>
      <c r="I12" s="1095"/>
      <c r="J12" s="1097"/>
      <c r="K12" s="1092"/>
      <c r="L12" s="1787"/>
      <c r="M12" s="1787"/>
      <c r="N12" s="1787"/>
    </row>
    <row r="13" spans="1:19" s="1652" customFormat="1">
      <c r="B13" s="1822"/>
      <c r="C13" s="2828">
        <f>SUM(C11:C12)</f>
        <v>3187682.8</v>
      </c>
      <c r="D13" s="665">
        <f>SUM(D11:D12)</f>
        <v>7948809</v>
      </c>
      <c r="E13" s="678">
        <f>SUM(C13:D13)</f>
        <v>11136491.800000001</v>
      </c>
      <c r="F13" s="825"/>
      <c r="G13" s="825"/>
      <c r="H13" s="1095"/>
      <c r="I13" s="1095"/>
      <c r="J13" s="1097"/>
      <c r="K13" s="1092"/>
      <c r="L13" s="1787"/>
      <c r="M13" s="1787"/>
      <c r="N13" s="1787"/>
    </row>
    <row r="14" spans="1:19" ht="18">
      <c r="B14" s="660"/>
      <c r="C14" s="2829"/>
      <c r="D14" s="664"/>
      <c r="E14" s="677"/>
      <c r="F14" s="664"/>
      <c r="G14" s="153"/>
      <c r="H14" s="1095"/>
      <c r="I14" s="2857">
        <v>2016</v>
      </c>
      <c r="J14" s="2575">
        <v>2017</v>
      </c>
      <c r="K14" s="2576" t="s">
        <v>1685</v>
      </c>
      <c r="L14" s="144"/>
      <c r="M14" s="144"/>
      <c r="N14" s="144"/>
    </row>
    <row r="15" spans="1:19">
      <c r="B15" s="658" t="s">
        <v>1747</v>
      </c>
      <c r="C15" s="2851"/>
      <c r="D15" s="911"/>
      <c r="E15" s="912"/>
      <c r="F15" s="662"/>
      <c r="G15" s="151"/>
      <c r="H15" s="1093"/>
      <c r="I15" s="2858">
        <v>2.7</v>
      </c>
      <c r="J15" s="1663">
        <v>2.6</v>
      </c>
      <c r="K15" s="1663">
        <f>(I15+J15)/2</f>
        <v>2.6500000000000004</v>
      </c>
      <c r="L15" s="553" t="s">
        <v>86</v>
      </c>
      <c r="M15" s="144"/>
      <c r="N15" s="144"/>
    </row>
    <row r="16" spans="1:19">
      <c r="B16" s="663" t="s">
        <v>85</v>
      </c>
      <c r="C16" s="2831"/>
      <c r="D16" s="689"/>
      <c r="E16" s="691">
        <f>SUM(C16:D16)</f>
        <v>0</v>
      </c>
      <c r="F16" s="671"/>
      <c r="G16" s="154"/>
      <c r="H16" s="1094"/>
      <c r="I16" s="2859">
        <v>0</v>
      </c>
      <c r="J16" s="1663">
        <v>0</v>
      </c>
      <c r="K16" s="1663">
        <f>(I16+J16)/2</f>
        <v>0</v>
      </c>
      <c r="L16" s="553" t="s">
        <v>86</v>
      </c>
      <c r="M16" s="144"/>
      <c r="N16" s="144"/>
    </row>
    <row r="17" spans="1:14" ht="15">
      <c r="A17"/>
      <c r="B17" s="1828" t="s">
        <v>522</v>
      </c>
      <c r="C17" s="3155">
        <f>I36/2</f>
        <v>261604.82191059744</v>
      </c>
      <c r="D17" s="3156">
        <f>I36/2</f>
        <v>261604.82191059744</v>
      </c>
      <c r="E17" s="3157">
        <f>SUM(C17:D17)</f>
        <v>523209.64382119488</v>
      </c>
      <c r="F17" s="831"/>
      <c r="G17" s="394"/>
      <c r="H17" s="1094"/>
      <c r="I17" s="1095"/>
      <c r="J17" s="1091"/>
      <c r="K17" s="1088"/>
      <c r="L17" s="144"/>
      <c r="M17" s="144"/>
      <c r="N17" s="144"/>
    </row>
    <row r="18" spans="1:14" s="1652" customFormat="1">
      <c r="B18" s="3153" t="s">
        <v>1746</v>
      </c>
      <c r="C18" s="3130">
        <f>C16+C17</f>
        <v>261604.82191059744</v>
      </c>
      <c r="D18" s="1541">
        <f>D16+D17</f>
        <v>261604.82191059744</v>
      </c>
      <c r="E18" s="3162">
        <f>E16+E17</f>
        <v>523209.64382119488</v>
      </c>
      <c r="F18" s="831"/>
      <c r="G18" s="394"/>
      <c r="H18" s="1094"/>
      <c r="I18" s="1095"/>
      <c r="J18" s="1091"/>
      <c r="K18" s="1088"/>
      <c r="L18" s="3027"/>
      <c r="M18" s="3027"/>
      <c r="N18" s="3027"/>
    </row>
    <row r="19" spans="1:14" s="1652" customFormat="1">
      <c r="B19" s="3152"/>
      <c r="C19" s="3154"/>
      <c r="D19" s="1625"/>
      <c r="E19" s="1829"/>
      <c r="F19" s="831"/>
      <c r="G19" s="394"/>
      <c r="H19" s="1094"/>
      <c r="I19" s="1095"/>
      <c r="J19" s="1091"/>
      <c r="K19" s="1088"/>
      <c r="L19" s="3027"/>
      <c r="M19" s="3027"/>
      <c r="N19" s="3027"/>
    </row>
    <row r="20" spans="1:14">
      <c r="A20"/>
      <c r="B20" s="3136" t="s">
        <v>1545</v>
      </c>
      <c r="C20" s="3062">
        <v>0</v>
      </c>
      <c r="D20" s="680">
        <v>0</v>
      </c>
      <c r="E20" s="3163">
        <f>SUM(C20:D20)</f>
        <v>0</v>
      </c>
      <c r="F20" s="671"/>
      <c r="G20" s="152"/>
      <c r="H20" s="1094"/>
      <c r="I20" s="1095"/>
      <c r="J20" s="1091"/>
      <c r="K20" s="1088"/>
      <c r="L20" s="144"/>
      <c r="M20" s="171"/>
    </row>
    <row r="21" spans="1:14" s="1652" customFormat="1">
      <c r="B21" s="824"/>
      <c r="C21" s="2831"/>
      <c r="D21" s="689"/>
      <c r="E21" s="691"/>
      <c r="F21" s="831"/>
      <c r="G21" s="801"/>
      <c r="H21" s="1094"/>
      <c r="I21" s="1095"/>
      <c r="J21" s="1091"/>
      <c r="K21" s="1088"/>
      <c r="L21" s="1787"/>
      <c r="M21" s="400"/>
    </row>
    <row r="22" spans="1:14">
      <c r="A22"/>
      <c r="B22" s="820" t="s">
        <v>483</v>
      </c>
      <c r="C22" s="2830"/>
      <c r="D22" s="667"/>
      <c r="E22" s="679"/>
      <c r="F22" s="662"/>
      <c r="G22" s="144"/>
      <c r="H22" s="1094"/>
      <c r="I22" s="1095"/>
      <c r="J22" s="1111"/>
      <c r="K22" s="1088"/>
      <c r="L22" s="144"/>
      <c r="M22" s="144"/>
    </row>
    <row r="23" spans="1:14">
      <c r="A23"/>
      <c r="B23" s="654" t="s">
        <v>90</v>
      </c>
      <c r="C23" s="2833">
        <v>0</v>
      </c>
      <c r="D23" s="689">
        <v>0</v>
      </c>
      <c r="E23" s="681">
        <v>0</v>
      </c>
      <c r="F23" s="672"/>
      <c r="G23" s="144"/>
      <c r="H23" s="1093"/>
      <c r="I23" s="1095"/>
      <c r="J23" s="1091"/>
      <c r="K23" s="1088"/>
      <c r="L23" s="144"/>
      <c r="M23" s="144"/>
    </row>
    <row r="24" spans="1:14">
      <c r="A24"/>
      <c r="B24" s="663" t="s">
        <v>91</v>
      </c>
      <c r="C24" s="2833">
        <v>0</v>
      </c>
      <c r="D24" s="689">
        <v>0</v>
      </c>
      <c r="E24" s="681">
        <v>0</v>
      </c>
      <c r="F24" s="654"/>
      <c r="G24" s="154"/>
      <c r="H24" s="1093"/>
      <c r="I24" s="1088"/>
      <c r="J24" s="1090"/>
      <c r="K24" s="1088"/>
      <c r="L24" s="144"/>
      <c r="M24" s="144"/>
    </row>
    <row r="25" spans="1:14">
      <c r="A25"/>
      <c r="B25" s="663" t="s">
        <v>94</v>
      </c>
      <c r="C25" s="2833">
        <v>0</v>
      </c>
      <c r="D25" s="689">
        <v>0</v>
      </c>
      <c r="E25" s="681">
        <v>0</v>
      </c>
      <c r="F25" s="662"/>
      <c r="G25" s="151"/>
      <c r="H25" s="1105"/>
      <c r="I25" s="1095"/>
      <c r="J25" s="1109"/>
      <c r="K25" s="1088"/>
      <c r="L25" s="144"/>
      <c r="M25" s="144"/>
    </row>
    <row r="26" spans="1:14" s="1652" customFormat="1">
      <c r="B26" s="824" t="s">
        <v>517</v>
      </c>
      <c r="C26" s="2833"/>
      <c r="D26" s="689"/>
      <c r="E26" s="866"/>
      <c r="F26" s="823"/>
      <c r="G26" s="393"/>
      <c r="H26" s="1105"/>
      <c r="I26" s="1095"/>
      <c r="J26" s="1109"/>
      <c r="K26" s="1088"/>
      <c r="L26" s="1787"/>
      <c r="M26" s="1787"/>
    </row>
    <row r="27" spans="1:14">
      <c r="A27"/>
      <c r="B27" s="663" t="s">
        <v>97</v>
      </c>
      <c r="C27" s="2833">
        <v>0</v>
      </c>
      <c r="D27" s="689">
        <v>0</v>
      </c>
      <c r="E27" s="690">
        <v>0</v>
      </c>
      <c r="F27" s="662"/>
      <c r="G27" s="161"/>
      <c r="H27" s="1093"/>
      <c r="I27" s="1101"/>
      <c r="J27" s="1107"/>
      <c r="K27" s="1099"/>
      <c r="L27" s="144"/>
      <c r="M27" s="144"/>
    </row>
    <row r="28" spans="1:14">
      <c r="A28"/>
      <c r="B28" s="3146" t="s">
        <v>1741</v>
      </c>
      <c r="C28" s="2835">
        <v>0</v>
      </c>
      <c r="D28" s="680">
        <v>0</v>
      </c>
      <c r="E28" s="684">
        <v>0</v>
      </c>
      <c r="F28" s="662"/>
      <c r="G28" s="151"/>
      <c r="H28" s="1106"/>
      <c r="I28" s="1101"/>
      <c r="J28" s="1104"/>
      <c r="K28" s="1102"/>
      <c r="L28" s="144"/>
      <c r="M28" s="144"/>
    </row>
    <row r="29" spans="1:14">
      <c r="A29"/>
      <c r="B29" s="655"/>
      <c r="C29" s="2836"/>
      <c r="D29" s="659"/>
      <c r="E29" s="683"/>
      <c r="F29" s="662"/>
      <c r="G29" s="151"/>
      <c r="H29" s="1106"/>
      <c r="I29" s="1101"/>
      <c r="J29" s="1104"/>
      <c r="K29" s="1102"/>
      <c r="L29" s="144"/>
      <c r="M29" s="144"/>
    </row>
    <row r="30" spans="1:14">
      <c r="A30"/>
      <c r="B30" s="658" t="s">
        <v>84</v>
      </c>
      <c r="C30" s="2835">
        <v>0</v>
      </c>
      <c r="D30" s="680">
        <v>0</v>
      </c>
      <c r="E30" s="682">
        <v>0</v>
      </c>
      <c r="F30" s="662"/>
      <c r="G30" s="151"/>
      <c r="H30" s="1106"/>
      <c r="I30" s="1100"/>
      <c r="J30" s="1108"/>
      <c r="K30" s="1088"/>
      <c r="L30" s="144"/>
      <c r="M30" s="144"/>
    </row>
    <row r="31" spans="1:14">
      <c r="A31"/>
      <c r="B31" s="655"/>
      <c r="C31" s="2836"/>
      <c r="D31" s="659"/>
      <c r="E31" s="683"/>
      <c r="F31" s="662"/>
      <c r="G31" s="151"/>
      <c r="H31" s="1106"/>
      <c r="I31" s="1088"/>
      <c r="J31" s="1088"/>
      <c r="K31" s="1088"/>
      <c r="L31" s="144"/>
      <c r="M31" s="144"/>
    </row>
    <row r="32" spans="1:14">
      <c r="A32"/>
      <c r="B32" s="657" t="s">
        <v>87</v>
      </c>
      <c r="C32" s="2836"/>
      <c r="D32" s="659"/>
      <c r="E32" s="683"/>
      <c r="F32" s="673"/>
      <c r="G32" s="151"/>
      <c r="H32" s="1106"/>
      <c r="I32" s="1088"/>
      <c r="J32" s="1088"/>
      <c r="K32" s="1088"/>
      <c r="L32" s="144"/>
      <c r="M32" s="144"/>
    </row>
    <row r="33" spans="1:13">
      <c r="A33"/>
      <c r="B33" s="654" t="s">
        <v>100</v>
      </c>
      <c r="C33" s="2836">
        <v>0</v>
      </c>
      <c r="D33" s="689">
        <v>0</v>
      </c>
      <c r="E33" s="683">
        <v>0</v>
      </c>
      <c r="F33" s="673"/>
      <c r="G33" s="151"/>
      <c r="H33" s="1106"/>
      <c r="I33" s="1088"/>
      <c r="J33" s="1088"/>
      <c r="K33" s="1088"/>
      <c r="L33" s="144"/>
      <c r="M33" s="144"/>
    </row>
    <row r="34" spans="1:13">
      <c r="A34"/>
      <c r="B34" s="655" t="s">
        <v>102</v>
      </c>
      <c r="C34" s="2836">
        <v>0</v>
      </c>
      <c r="D34" s="689">
        <v>0</v>
      </c>
      <c r="E34" s="683">
        <v>0</v>
      </c>
      <c r="F34" s="673"/>
      <c r="G34" s="1096" t="s">
        <v>523</v>
      </c>
      <c r="H34" s="1089"/>
      <c r="I34" s="1089"/>
      <c r="K34" s="1089"/>
      <c r="L34" s="144"/>
      <c r="M34" s="144"/>
    </row>
    <row r="35" spans="1:13">
      <c r="B35" s="3145" t="s">
        <v>103</v>
      </c>
      <c r="C35" s="2836">
        <v>0</v>
      </c>
      <c r="D35" s="689">
        <v>0</v>
      </c>
      <c r="E35" s="688">
        <v>0</v>
      </c>
      <c r="F35" s="673"/>
      <c r="G35" s="1112"/>
      <c r="H35" s="1557" t="s">
        <v>524</v>
      </c>
      <c r="I35" s="2509">
        <f>5851227.85006703*0.075*2</f>
        <v>877684.17751005443</v>
      </c>
      <c r="K35" s="1089"/>
      <c r="L35" s="144"/>
      <c r="M35" s="144"/>
    </row>
    <row r="36" spans="1:13">
      <c r="B36" s="655"/>
      <c r="C36" s="2836"/>
      <c r="D36" s="659"/>
      <c r="E36" s="683"/>
      <c r="F36" s="673"/>
      <c r="G36" s="1110"/>
      <c r="H36" s="1556" t="s">
        <v>525</v>
      </c>
      <c r="I36" s="2510">
        <f>I35/(1+AVERAGE(F39:F40))</f>
        <v>523209.64382119488</v>
      </c>
      <c r="K36" s="1089"/>
      <c r="L36" s="144"/>
      <c r="M36" s="144"/>
    </row>
    <row r="37" spans="1:13">
      <c r="B37" s="657" t="s">
        <v>88</v>
      </c>
      <c r="C37" s="2838">
        <v>0</v>
      </c>
      <c r="D37" s="680">
        <v>0</v>
      </c>
      <c r="E37" s="684">
        <v>0</v>
      </c>
      <c r="F37" s="673"/>
      <c r="G37" s="1114"/>
      <c r="H37" s="1827" t="s">
        <v>235</v>
      </c>
      <c r="I37" s="2512">
        <f>I35-I36</f>
        <v>354474.53368885955</v>
      </c>
      <c r="K37" s="1089"/>
    </row>
    <row r="38" spans="1:13">
      <c r="B38" s="655"/>
      <c r="C38" s="2836"/>
      <c r="D38" s="659"/>
      <c r="E38" s="683"/>
      <c r="F38" s="1407"/>
      <c r="G38" s="1089"/>
      <c r="H38" s="1826"/>
      <c r="I38" s="1825"/>
      <c r="J38" s="1201"/>
      <c r="K38" s="1089"/>
    </row>
    <row r="39" spans="1:13" s="1310" customFormat="1" ht="15" customHeight="1">
      <c r="B39" s="3016" t="s">
        <v>1736</v>
      </c>
      <c r="C39" s="3161">
        <f>E39/2</f>
        <v>177237.26684442977</v>
      </c>
      <c r="D39" s="3017">
        <f>E39/2</f>
        <v>177237.26684442977</v>
      </c>
      <c r="E39" s="3018">
        <f>I37</f>
        <v>354474.53368885955</v>
      </c>
      <c r="F39" s="2865">
        <v>0.66700000000000004</v>
      </c>
      <c r="G39" s="3086" t="s">
        <v>659</v>
      </c>
      <c r="H39" s="3020"/>
      <c r="J39" s="3021"/>
      <c r="K39" s="3021"/>
    </row>
    <row r="40" spans="1:13" ht="13.5" customHeight="1">
      <c r="B40" s="655"/>
      <c r="C40" s="2836"/>
      <c r="D40" s="659"/>
      <c r="E40" s="683"/>
      <c r="F40" s="2145">
        <v>0.68799999999999994</v>
      </c>
      <c r="G40" s="2144" t="s">
        <v>660</v>
      </c>
      <c r="K40" s="1088"/>
    </row>
    <row r="41" spans="1:13" s="1652" customFormat="1" ht="13.5" customHeight="1">
      <c r="B41" s="816" t="s">
        <v>1732</v>
      </c>
      <c r="C41" s="2837"/>
      <c r="D41" s="3159">
        <f>(D18+D20)*F41</f>
        <v>54937.012601225462</v>
      </c>
      <c r="E41" s="3160">
        <f>C41+D41</f>
        <v>54937.012601225462</v>
      </c>
      <c r="F41" s="3015">
        <v>0.21</v>
      </c>
      <c r="G41" s="2144" t="s">
        <v>1735</v>
      </c>
      <c r="K41" s="1088"/>
    </row>
    <row r="42" spans="1:13" s="1567" customFormat="1" ht="13.5" customHeight="1">
      <c r="B42" s="3158" t="s">
        <v>1743</v>
      </c>
      <c r="C42" s="2838">
        <f>C39+C41</f>
        <v>177237.26684442977</v>
      </c>
      <c r="D42" s="2377">
        <f>D39+D41</f>
        <v>232174.27944565524</v>
      </c>
      <c r="E42" s="2382">
        <f>E39+E41</f>
        <v>409411.54629008501</v>
      </c>
      <c r="F42" s="3023"/>
      <c r="G42" s="3024"/>
      <c r="K42" s="946"/>
    </row>
    <row r="43" spans="1:13" s="1652" customFormat="1">
      <c r="B43" s="816"/>
      <c r="C43" s="2836"/>
      <c r="D43" s="834"/>
      <c r="E43" s="841"/>
      <c r="F43" s="2145"/>
      <c r="G43" s="2144"/>
      <c r="H43" s="142"/>
      <c r="I43" s="545"/>
    </row>
    <row r="44" spans="1:13" s="1652" customFormat="1">
      <c r="B44" s="817" t="s">
        <v>11</v>
      </c>
      <c r="C44" s="2836"/>
      <c r="D44" s="834"/>
      <c r="E44" s="841"/>
      <c r="F44" s="860"/>
      <c r="G44" s="532"/>
      <c r="H44" s="142"/>
      <c r="I44" s="545"/>
    </row>
    <row r="45" spans="1:13" s="1652" customFormat="1">
      <c r="B45" s="1815"/>
      <c r="C45" s="2833">
        <v>0</v>
      </c>
      <c r="D45" s="864">
        <v>0</v>
      </c>
      <c r="E45" s="856">
        <f t="shared" ref="E45:E46" si="0">SUM(D45,C45)</f>
        <v>0</v>
      </c>
      <c r="F45" s="860"/>
      <c r="G45" s="532"/>
      <c r="H45" s="142"/>
      <c r="I45" s="545"/>
    </row>
    <row r="46" spans="1:13" s="1652" customFormat="1" ht="15">
      <c r="B46" s="1815"/>
      <c r="C46" s="2914">
        <v>0</v>
      </c>
      <c r="D46" s="1871">
        <v>0</v>
      </c>
      <c r="E46" s="1872">
        <f t="shared" si="0"/>
        <v>0</v>
      </c>
      <c r="F46" s="860"/>
      <c r="G46" s="532"/>
      <c r="H46" s="142"/>
      <c r="I46" s="545"/>
    </row>
    <row r="47" spans="1:13" s="1652" customFormat="1">
      <c r="B47" s="312" t="s">
        <v>107</v>
      </c>
      <c r="C47" s="2835">
        <f>SUM(C45:C46)</f>
        <v>0</v>
      </c>
      <c r="D47" s="830">
        <f>SUM(D45:D46)</f>
        <v>0</v>
      </c>
      <c r="E47" s="2382">
        <f>SUM(D47,C47)</f>
        <v>0</v>
      </c>
      <c r="F47" s="860"/>
      <c r="G47" s="532"/>
      <c r="H47" s="142"/>
      <c r="I47" s="545"/>
    </row>
    <row r="48" spans="1:13" s="1652" customFormat="1">
      <c r="B48" s="822"/>
      <c r="C48" s="2833"/>
      <c r="D48" s="861"/>
      <c r="E48" s="866"/>
      <c r="F48" s="860"/>
      <c r="G48" s="132"/>
      <c r="H48" s="142"/>
      <c r="I48" s="545"/>
    </row>
    <row r="49" spans="1:11" s="1652" customFormat="1" ht="13.5" customHeight="1">
      <c r="B49" s="816"/>
      <c r="C49" s="2836"/>
      <c r="D49" s="659"/>
      <c r="E49" s="841"/>
      <c r="F49" s="3015"/>
      <c r="G49" s="2144"/>
      <c r="K49" s="1088"/>
    </row>
    <row r="50" spans="1:11" ht="13.5" thickBot="1">
      <c r="B50" s="661"/>
      <c r="C50" s="2833"/>
      <c r="D50" s="674"/>
      <c r="E50" s="866"/>
      <c r="F50" s="673"/>
      <c r="G50" s="145"/>
      <c r="H50" s="162"/>
      <c r="I50" s="149"/>
    </row>
    <row r="51" spans="1:11" ht="13.5" thickBot="1">
      <c r="B51" s="668" t="s">
        <v>108</v>
      </c>
      <c r="C51" s="2839">
        <f>C13+C18+C42+C47</f>
        <v>3626524.8887550272</v>
      </c>
      <c r="D51" s="1831">
        <f>D13+D18+D42+D47</f>
        <v>8442588.101356253</v>
      </c>
      <c r="E51" s="1830">
        <f>E13+E15+E42+E47</f>
        <v>11545903.346290085</v>
      </c>
      <c r="F51" s="673"/>
      <c r="G51" s="145"/>
      <c r="H51" s="162"/>
      <c r="I51" s="149"/>
    </row>
    <row r="52" spans="1:11">
      <c r="B52" s="656"/>
      <c r="C52" s="2840"/>
      <c r="D52" s="674"/>
      <c r="E52" s="674"/>
      <c r="F52" s="673"/>
      <c r="G52" s="1096" t="s">
        <v>317</v>
      </c>
      <c r="H52" s="1089"/>
      <c r="I52" s="1089"/>
    </row>
    <row r="53" spans="1:11">
      <c r="B53" s="654"/>
      <c r="C53" s="2767"/>
      <c r="G53" s="1112"/>
      <c r="H53" s="1557" t="s">
        <v>318</v>
      </c>
      <c r="I53" s="1113">
        <v>11702456</v>
      </c>
    </row>
    <row r="54" spans="1:11">
      <c r="B54" s="961"/>
      <c r="C54" s="2767"/>
      <c r="G54" s="1114"/>
      <c r="H54" s="1115" t="s">
        <v>241</v>
      </c>
      <c r="I54" s="2511">
        <f>I53*0.1</f>
        <v>1170245.6000000001</v>
      </c>
      <c r="J54" s="1652" t="s">
        <v>596</v>
      </c>
    </row>
    <row r="55" spans="1:11">
      <c r="B55" s="657"/>
      <c r="C55" s="2841">
        <v>2016</v>
      </c>
      <c r="D55" s="686">
        <v>2017</v>
      </c>
      <c r="E55" s="686" t="s">
        <v>20</v>
      </c>
      <c r="F55" s="654"/>
      <c r="G55" s="163"/>
    </row>
    <row r="56" spans="1:11">
      <c r="A56" s="3594" t="s">
        <v>263</v>
      </c>
      <c r="B56" s="23" t="s">
        <v>109</v>
      </c>
      <c r="C56" s="2907">
        <v>9597674</v>
      </c>
      <c r="D56" s="597">
        <v>17228029</v>
      </c>
      <c r="E56" s="597">
        <f>SUM(C56:D56)</f>
        <v>26825703</v>
      </c>
      <c r="F56" s="596" t="s">
        <v>110</v>
      </c>
      <c r="G56" s="163"/>
    </row>
    <row r="57" spans="1:11">
      <c r="A57" s="3594"/>
      <c r="B57" s="144"/>
      <c r="C57" s="2908"/>
      <c r="D57" s="670"/>
      <c r="E57" s="670"/>
      <c r="F57" s="669"/>
      <c r="G57" s="163"/>
    </row>
    <row r="58" spans="1:11">
      <c r="A58" s="3594"/>
      <c r="B58" s="676" t="s">
        <v>112</v>
      </c>
      <c r="C58" s="2855"/>
      <c r="D58" s="687"/>
      <c r="E58" s="675"/>
      <c r="F58" s="666"/>
      <c r="G58" s="163"/>
      <c r="H58" s="156"/>
      <c r="I58" s="156"/>
      <c r="J58" s="146"/>
    </row>
    <row r="59" spans="1:11">
      <c r="A59" s="1361" t="s">
        <v>264</v>
      </c>
      <c r="B59" s="144"/>
      <c r="C59" s="2909"/>
      <c r="D59" s="167"/>
      <c r="E59" s="167"/>
      <c r="F59" s="156"/>
      <c r="G59" s="163"/>
      <c r="H59" s="156"/>
      <c r="I59" s="156"/>
      <c r="J59" s="146"/>
    </row>
    <row r="60" spans="1:11" ht="20.25">
      <c r="A60" s="1862" t="s">
        <v>545</v>
      </c>
      <c r="B60" s="147"/>
      <c r="C60" s="167"/>
      <c r="D60" s="167"/>
      <c r="E60" s="167"/>
      <c r="F60" s="156"/>
      <c r="G60" s="163"/>
      <c r="H60" s="156"/>
      <c r="I60" s="156"/>
      <c r="J60" s="146"/>
    </row>
    <row r="61" spans="1:11">
      <c r="A61" s="1392" t="s">
        <v>562</v>
      </c>
      <c r="B61" s="144"/>
      <c r="C61" s="167"/>
      <c r="D61" s="167"/>
      <c r="E61" s="167"/>
      <c r="F61" s="164"/>
      <c r="G61" s="162"/>
      <c r="H61" s="156"/>
      <c r="I61" s="156"/>
      <c r="J61" s="146"/>
    </row>
    <row r="62" spans="1:11">
      <c r="A62" s="2022">
        <v>18230721</v>
      </c>
      <c r="B62" s="165"/>
      <c r="C62" s="167"/>
      <c r="D62" s="167"/>
      <c r="E62" s="167"/>
      <c r="F62" s="164"/>
      <c r="G62" s="162"/>
      <c r="H62" s="156"/>
      <c r="I62" s="156"/>
      <c r="J62" s="146"/>
    </row>
    <row r="63" spans="1:11">
      <c r="A63" s="2023"/>
      <c r="B63" s="172"/>
      <c r="C63" s="167"/>
      <c r="D63" s="167"/>
      <c r="E63" s="167"/>
      <c r="F63" s="164"/>
      <c r="G63" s="164"/>
      <c r="H63" s="156"/>
      <c r="I63" s="156"/>
      <c r="J63" s="146"/>
    </row>
    <row r="64" spans="1:11">
      <c r="A64" s="1663"/>
      <c r="B64" s="167"/>
      <c r="C64" s="144"/>
      <c r="D64" s="144"/>
      <c r="E64" s="144"/>
      <c r="F64" s="164"/>
      <c r="G64" s="156"/>
      <c r="H64" s="164"/>
      <c r="I64" s="156"/>
      <c r="J64" s="146"/>
    </row>
    <row r="65" spans="1:10">
      <c r="A65" s="1663"/>
      <c r="B65" s="144"/>
      <c r="C65" s="144"/>
      <c r="D65" s="144"/>
      <c r="E65" s="144"/>
      <c r="F65" s="164"/>
      <c r="G65" s="156"/>
      <c r="H65" s="164"/>
      <c r="I65" s="155"/>
      <c r="J65" s="146"/>
    </row>
    <row r="66" spans="1:10">
      <c r="A66" s="1663" t="s">
        <v>4</v>
      </c>
      <c r="B66" s="144"/>
      <c r="C66" s="144"/>
      <c r="D66" s="144"/>
      <c r="E66" s="144"/>
      <c r="F66" s="164"/>
      <c r="G66" s="156"/>
      <c r="H66" s="164"/>
      <c r="I66" s="155"/>
      <c r="J66" s="146"/>
    </row>
    <row r="67" spans="1:10">
      <c r="B67" s="144"/>
      <c r="C67" s="144"/>
      <c r="D67" s="144"/>
      <c r="E67" s="144"/>
      <c r="F67" s="144"/>
      <c r="G67" s="156"/>
      <c r="H67" s="164"/>
      <c r="I67" s="155"/>
      <c r="J67" s="146"/>
    </row>
    <row r="68" spans="1:10">
      <c r="B68" s="144"/>
      <c r="C68" s="144"/>
      <c r="D68" s="144"/>
      <c r="E68" s="144"/>
      <c r="F68" s="144"/>
      <c r="G68" s="156"/>
      <c r="H68" s="164"/>
      <c r="I68" s="155"/>
      <c r="J68" s="146"/>
    </row>
    <row r="69" spans="1:10">
      <c r="F69" s="144"/>
      <c r="G69" s="156"/>
      <c r="H69" s="164"/>
      <c r="I69" s="155"/>
      <c r="J69" s="146"/>
    </row>
    <row r="70" spans="1:10">
      <c r="F70" s="144"/>
      <c r="G70" s="164"/>
      <c r="H70" s="164"/>
      <c r="I70" s="155"/>
      <c r="J70" s="146"/>
    </row>
    <row r="71" spans="1:10">
      <c r="F71" s="144"/>
      <c r="G71" s="164"/>
      <c r="H71" s="164"/>
      <c r="I71" s="155"/>
      <c r="J71" s="146"/>
    </row>
    <row r="72" spans="1:10">
      <c r="F72" s="144"/>
      <c r="G72" s="164"/>
      <c r="H72" s="164"/>
      <c r="I72" s="155"/>
      <c r="J72" s="146"/>
    </row>
    <row r="73" spans="1:10">
      <c r="F73" s="156"/>
      <c r="G73" s="164"/>
      <c r="H73" s="156"/>
      <c r="I73" s="156"/>
      <c r="J73" s="146"/>
    </row>
    <row r="74" spans="1:10">
      <c r="F74" s="156"/>
      <c r="G74" s="164"/>
      <c r="H74" s="156"/>
      <c r="I74" s="156"/>
      <c r="J74" s="146"/>
    </row>
    <row r="75" spans="1:10">
      <c r="F75" s="156"/>
      <c r="G75" s="164"/>
      <c r="H75" s="156"/>
      <c r="I75" s="156"/>
      <c r="J75" s="146"/>
    </row>
    <row r="76" spans="1:10" ht="15.75">
      <c r="A76"/>
      <c r="F76" s="157"/>
      <c r="G76" s="164"/>
      <c r="H76" s="156"/>
      <c r="I76" s="156"/>
      <c r="J76" s="146"/>
    </row>
    <row r="77" spans="1:10">
      <c r="A77"/>
      <c r="F77" s="146"/>
      <c r="G77" s="164"/>
      <c r="H77" s="156"/>
      <c r="I77" s="156"/>
      <c r="J77" s="146"/>
    </row>
    <row r="78" spans="1:10">
      <c r="A78"/>
      <c r="F78" s="144"/>
      <c r="G78" s="164"/>
      <c r="H78" s="156"/>
      <c r="I78" s="156"/>
      <c r="J78" s="146"/>
    </row>
    <row r="79" spans="1:10" ht="15.75">
      <c r="A79"/>
      <c r="F79" s="144"/>
      <c r="G79" s="156"/>
      <c r="H79" s="157"/>
      <c r="I79" s="157"/>
      <c r="J79" s="146"/>
    </row>
    <row r="80" spans="1:10">
      <c r="A80"/>
      <c r="F80" s="144"/>
      <c r="G80" s="156"/>
      <c r="H80" s="146"/>
      <c r="I80" s="146"/>
      <c r="J80" s="146"/>
    </row>
    <row r="81" spans="1:10">
      <c r="A81"/>
      <c r="F81" s="144"/>
      <c r="G81" s="156"/>
      <c r="H81" s="144"/>
      <c r="I81" s="144"/>
      <c r="J81" s="144"/>
    </row>
    <row r="82" spans="1:10">
      <c r="A82"/>
      <c r="F82" s="144"/>
      <c r="G82" s="156"/>
      <c r="H82" s="144"/>
      <c r="I82" s="144"/>
      <c r="J82" s="144"/>
    </row>
    <row r="83" spans="1:10">
      <c r="A83"/>
      <c r="F83" s="144"/>
      <c r="G83" s="156"/>
      <c r="H83" s="144"/>
      <c r="I83" s="144"/>
      <c r="J83" s="144"/>
    </row>
    <row r="84" spans="1:10">
      <c r="A84"/>
      <c r="F84" s="144"/>
      <c r="G84" s="156"/>
      <c r="H84" s="144"/>
      <c r="I84" s="144"/>
      <c r="J84" s="144"/>
    </row>
    <row r="85" spans="1:10" ht="15.75">
      <c r="A85"/>
      <c r="G85" s="157"/>
      <c r="H85" s="144"/>
      <c r="I85" s="144"/>
      <c r="J85" s="144"/>
    </row>
    <row r="86" spans="1:10">
      <c r="A86"/>
      <c r="G86" s="146"/>
      <c r="H86" s="144"/>
      <c r="I86" s="144"/>
      <c r="J86" s="144"/>
    </row>
  </sheetData>
  <customSheetViews>
    <customSheetView guid="{D9EFFE19-D14B-4C6F-BDF4-FF696F73968D}" showGridLines="0">
      <pane xSplit="1" ySplit="1" topLeftCell="B2" activePane="bottomRight" state="frozen"/>
      <selection pane="bottomRight"/>
      <pageMargins left="0.27" right="0.3" top="0.48"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27" right="0.3" top="0.48" bottom="0.75" header="0.3" footer="0.3"/>
      <pageSetup paperSize="17" scale="65" orientation="landscape" r:id="rId2"/>
    </customSheetView>
  </customSheetViews>
  <mergeCells count="1">
    <mergeCell ref="A56:A58"/>
  </mergeCells>
  <pageMargins left="0.27" right="0.3" top="0.48" bottom="0.75" header="0.3" footer="0.3"/>
  <pageSetup paperSize="3" scale="50" orientation="landscape" r:id="rId3"/>
  <ignoredErrors>
    <ignoredError sqref="C13:D13" formulaRange="1"/>
  </ignoredErrors>
  <drawing r:id="rId4"/>
  <legacyDrawing r:id="rId5"/>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1">
    <tabColor rgb="FF8DB4E3"/>
  </sheetPr>
  <dimension ref="A1:S86"/>
  <sheetViews>
    <sheetView showGridLines="0" zoomScaleNormal="100" workbookViewId="0">
      <pane xSplit="1" ySplit="1" topLeftCell="B32" activePane="bottomRight" state="frozen"/>
      <selection pane="topRight" activeCell="B1" sqref="B1"/>
      <selection pane="bottomLeft" activeCell="A2" sqref="A2"/>
      <selection pane="bottomRight" activeCell="E63" sqref="E63"/>
    </sheetView>
  </sheetViews>
  <sheetFormatPr defaultColWidth="98" defaultRowHeight="12.75"/>
  <cols>
    <col min="1" max="1" width="15.28515625" style="1652" customWidth="1"/>
    <col min="2" max="2" width="55.28515625" style="1652" customWidth="1"/>
    <col min="3" max="3" width="19.42578125" style="1652" customWidth="1"/>
    <col min="4" max="4" width="18.85546875" style="1652" customWidth="1"/>
    <col min="5" max="5" width="22" style="1652" customWidth="1"/>
    <col min="6" max="6" width="19" style="1652" customWidth="1"/>
    <col min="7" max="7" width="20.5703125" style="1652" customWidth="1"/>
    <col min="8" max="8" width="21.85546875" style="1652" customWidth="1"/>
    <col min="9" max="9" width="23.140625" style="1652" customWidth="1"/>
    <col min="10" max="10" width="24.140625" style="1652" customWidth="1"/>
    <col min="11" max="11" width="23.5703125" style="1652" customWidth="1"/>
    <col min="12" max="12" width="21.5703125" style="1652" customWidth="1"/>
    <col min="13" max="13" width="19.5703125" style="1652" customWidth="1"/>
    <col min="14" max="14" width="24.7109375" style="1652" customWidth="1"/>
    <col min="15" max="15" width="19.7109375" style="1652" customWidth="1"/>
    <col min="16" max="16" width="19.42578125" style="1652" customWidth="1"/>
    <col min="17" max="17" width="18.7109375" style="1652" customWidth="1"/>
    <col min="18" max="18" width="20.7109375" style="1652" customWidth="1"/>
    <col min="19" max="19" width="13.42578125" style="1652" customWidth="1"/>
    <col min="20" max="23" width="11" style="1652" customWidth="1"/>
    <col min="24" max="16384" width="98" style="1652"/>
  </cols>
  <sheetData>
    <row r="1" spans="1:19" ht="45" customHeight="1">
      <c r="B1" s="1384" t="s">
        <v>263</v>
      </c>
      <c r="C1" s="1361" t="s">
        <v>264</v>
      </c>
      <c r="D1" s="2024" t="s">
        <v>545</v>
      </c>
      <c r="E1" s="2026" t="s">
        <v>563</v>
      </c>
      <c r="F1" s="1666">
        <v>18230720</v>
      </c>
      <c r="J1" s="2363"/>
      <c r="K1" s="1384" t="s">
        <v>263</v>
      </c>
      <c r="L1" s="1361" t="s">
        <v>264</v>
      </c>
      <c r="M1" s="2026" t="s">
        <v>563</v>
      </c>
      <c r="N1" s="1666">
        <v>18230720</v>
      </c>
      <c r="O1" s="2025"/>
      <c r="P1" s="2026"/>
      <c r="Q1" s="1666"/>
    </row>
    <row r="2" spans="1:19" ht="21" thickBot="1">
      <c r="B2" s="391"/>
      <c r="C2" s="379"/>
      <c r="D2" s="379"/>
      <c r="E2" s="379"/>
      <c r="F2" s="379"/>
      <c r="G2" s="387"/>
      <c r="H2" s="380"/>
      <c r="I2" s="380"/>
      <c r="J2" s="2363"/>
      <c r="K2" s="2363"/>
      <c r="L2" s="2363"/>
      <c r="M2" s="2363"/>
      <c r="N2" s="2363"/>
    </row>
    <row r="3" spans="1:19" ht="51">
      <c r="A3" s="2362" t="s">
        <v>263</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693" t="s">
        <v>37</v>
      </c>
    </row>
    <row r="4" spans="1:19" ht="15.75">
      <c r="A4" s="2364" t="s">
        <v>264</v>
      </c>
      <c r="G4" s="2946" t="s">
        <v>1726</v>
      </c>
      <c r="H4" s="2972">
        <f>C18</f>
        <v>96952.212323283762</v>
      </c>
      <c r="I4" s="2973">
        <f>C20</f>
        <v>0</v>
      </c>
      <c r="J4" s="2973">
        <f>C42</f>
        <v>65685.123849024749</v>
      </c>
      <c r="K4" s="2973">
        <f>C37</f>
        <v>0</v>
      </c>
      <c r="L4" s="2973">
        <f>C28</f>
        <v>0</v>
      </c>
      <c r="M4" s="2973">
        <f>C47</f>
        <v>0</v>
      </c>
      <c r="N4" s="2973">
        <f>C35</f>
        <v>0</v>
      </c>
      <c r="O4" s="2973">
        <f>C30</f>
        <v>0</v>
      </c>
      <c r="P4" s="2973">
        <f>C13</f>
        <v>1178979.7815630781</v>
      </c>
      <c r="Q4" s="2969"/>
      <c r="R4" s="2974">
        <f>SUM(H4:P4)</f>
        <v>1341617.1177353866</v>
      </c>
      <c r="S4" s="2975">
        <f>C56</f>
        <v>3548127</v>
      </c>
    </row>
    <row r="5" spans="1:19" ht="15.75">
      <c r="A5" s="1862" t="s">
        <v>545</v>
      </c>
      <c r="G5" s="3205" t="s">
        <v>1753</v>
      </c>
      <c r="H5" s="2703">
        <v>97183.947518559013</v>
      </c>
      <c r="I5" s="2704">
        <v>0</v>
      </c>
      <c r="J5" s="2704">
        <v>65453.388653749498</v>
      </c>
      <c r="K5" s="2704">
        <v>0</v>
      </c>
      <c r="L5" s="2704">
        <v>0</v>
      </c>
      <c r="M5" s="2704">
        <v>0</v>
      </c>
      <c r="N5" s="2705">
        <v>0</v>
      </c>
      <c r="O5" s="2705">
        <v>0</v>
      </c>
      <c r="P5" s="2706">
        <v>2519575.7815630781</v>
      </c>
      <c r="Q5" s="2675"/>
      <c r="R5" s="2707">
        <v>2682213.1177353864</v>
      </c>
      <c r="S5" s="2708">
        <v>8491952</v>
      </c>
    </row>
    <row r="6" spans="1:19" ht="16.5" thickBot="1">
      <c r="A6" s="2023" t="s">
        <v>563</v>
      </c>
      <c r="G6" s="3206" t="s">
        <v>1754</v>
      </c>
      <c r="H6" s="2709">
        <f>D18</f>
        <v>96952.212323283762</v>
      </c>
      <c r="I6" s="2710">
        <f>D20</f>
        <v>0</v>
      </c>
      <c r="J6" s="2710">
        <f>D42</f>
        <v>86045.088436914346</v>
      </c>
      <c r="K6" s="2710">
        <f>D37</f>
        <v>0</v>
      </c>
      <c r="L6" s="2710">
        <f>D28</f>
        <v>0</v>
      </c>
      <c r="M6" s="2710">
        <f>D47</f>
        <v>0</v>
      </c>
      <c r="N6" s="2711">
        <f>D35</f>
        <v>0</v>
      </c>
      <c r="O6" s="2711">
        <f>D30</f>
        <v>0</v>
      </c>
      <c r="P6" s="2712">
        <f>D13</f>
        <v>2339840.7815630781</v>
      </c>
      <c r="Q6" s="2682"/>
      <c r="R6" s="2713">
        <f>SUM(H6:P6)</f>
        <v>2522838.082323276</v>
      </c>
      <c r="S6" s="2714">
        <f>D56</f>
        <v>4245976</v>
      </c>
    </row>
    <row r="7" spans="1:19" s="1173" customFormat="1">
      <c r="A7" s="1663">
        <v>18230720</v>
      </c>
      <c r="G7" s="1842"/>
      <c r="H7" s="2689"/>
      <c r="I7" s="2689"/>
      <c r="J7" s="2689"/>
      <c r="K7" s="2689"/>
      <c r="L7" s="2689"/>
      <c r="M7" s="2689"/>
      <c r="N7" s="2689"/>
      <c r="O7" s="2689"/>
      <c r="P7" s="2689"/>
      <c r="Q7" s="2668"/>
      <c r="R7" s="2689"/>
      <c r="S7" s="2690"/>
    </row>
    <row r="8" spans="1:19" ht="20.25">
      <c r="A8" s="1652" t="s">
        <v>4</v>
      </c>
      <c r="B8" s="391"/>
      <c r="C8" s="379"/>
      <c r="D8" s="379"/>
      <c r="E8" s="379"/>
      <c r="F8" s="379"/>
      <c r="G8" s="387"/>
      <c r="H8" s="380"/>
      <c r="I8" s="380"/>
      <c r="J8" s="2363"/>
      <c r="K8" s="2363"/>
      <c r="L8" s="2363"/>
      <c r="M8" s="2363"/>
      <c r="N8" s="1256"/>
    </row>
    <row r="9" spans="1:19" ht="18">
      <c r="C9" s="387"/>
      <c r="D9" s="387"/>
      <c r="E9" s="387"/>
      <c r="F9" s="378"/>
      <c r="G9" s="378"/>
      <c r="H9" s="378"/>
      <c r="I9" s="378"/>
      <c r="J9" s="2363"/>
      <c r="K9" s="2363"/>
      <c r="L9" s="2363"/>
      <c r="M9" s="2363"/>
      <c r="N9" s="2363"/>
    </row>
    <row r="10" spans="1:19" ht="18">
      <c r="B10" s="821"/>
      <c r="C10" s="2827">
        <v>2016</v>
      </c>
      <c r="D10" s="607">
        <v>2017</v>
      </c>
      <c r="E10" s="389" t="s">
        <v>20</v>
      </c>
      <c r="F10" s="1848"/>
      <c r="G10" s="1848"/>
      <c r="H10" s="1095"/>
      <c r="I10" s="1103"/>
      <c r="J10" s="1092"/>
      <c r="K10" s="1092"/>
      <c r="L10" s="1256"/>
      <c r="M10" s="399"/>
      <c r="N10" s="2363"/>
    </row>
    <row r="11" spans="1:19">
      <c r="B11" s="820" t="s">
        <v>80</v>
      </c>
      <c r="C11" s="3167">
        <v>962130</v>
      </c>
      <c r="D11" s="3168">
        <v>2122991</v>
      </c>
      <c r="E11" s="3169">
        <f>C11+D11</f>
        <v>3085121</v>
      </c>
      <c r="F11" s="1848"/>
      <c r="G11" s="1848"/>
      <c r="H11" s="1095"/>
      <c r="I11" s="1095"/>
      <c r="J11" s="1097"/>
      <c r="K11" s="1092"/>
      <c r="L11" s="2363"/>
      <c r="M11" s="2363"/>
      <c r="N11" s="2363"/>
    </row>
    <row r="12" spans="1:19" ht="15">
      <c r="B12" s="1822" t="s">
        <v>521</v>
      </c>
      <c r="C12" s="3170">
        <f>I54/2</f>
        <v>216849.78156307802</v>
      </c>
      <c r="D12" s="3171">
        <f>I54/2</f>
        <v>216849.78156307802</v>
      </c>
      <c r="E12" s="3172">
        <f>SUM(C12:D12)</f>
        <v>433699.56312615605</v>
      </c>
      <c r="F12" s="1848"/>
      <c r="G12" s="1848"/>
      <c r="H12" s="1095"/>
      <c r="I12" s="1095"/>
      <c r="J12" s="1097"/>
      <c r="K12" s="1092"/>
      <c r="L12" s="2363"/>
      <c r="M12" s="2363"/>
      <c r="N12" s="2363"/>
    </row>
    <row r="13" spans="1:19">
      <c r="B13" s="1822"/>
      <c r="C13" s="3173">
        <f>SUM(C11:C12)</f>
        <v>1178979.7815630781</v>
      </c>
      <c r="D13" s="3174">
        <f>SUM(D11:D12)</f>
        <v>2339840.7815630781</v>
      </c>
      <c r="E13" s="3175">
        <f>SUM(C13:D13)</f>
        <v>3518820.5631261561</v>
      </c>
      <c r="F13" s="1848"/>
      <c r="G13" s="1848"/>
      <c r="H13" s="1095"/>
      <c r="I13" s="1095"/>
      <c r="J13" s="1097"/>
      <c r="K13" s="1092"/>
      <c r="L13" s="2363"/>
      <c r="M13" s="2363"/>
      <c r="N13" s="2363"/>
    </row>
    <row r="14" spans="1:19" ht="18">
      <c r="B14" s="821"/>
      <c r="C14" s="3176"/>
      <c r="D14" s="3177"/>
      <c r="E14" s="3178"/>
      <c r="I14" s="2857">
        <v>2016</v>
      </c>
      <c r="J14" s="2575">
        <v>2017</v>
      </c>
      <c r="K14" s="2576" t="s">
        <v>1685</v>
      </c>
      <c r="L14" s="2363"/>
      <c r="M14" s="2363"/>
      <c r="N14" s="2363"/>
    </row>
    <row r="15" spans="1:19">
      <c r="B15" s="820" t="s">
        <v>1747</v>
      </c>
      <c r="C15" s="2851"/>
      <c r="D15" s="914"/>
      <c r="E15" s="915"/>
      <c r="I15" s="2858">
        <v>1.5</v>
      </c>
      <c r="J15" s="1663">
        <v>1.5</v>
      </c>
      <c r="K15" s="2577">
        <f>(I15+J15)</f>
        <v>3</v>
      </c>
      <c r="L15" s="553" t="s">
        <v>86</v>
      </c>
      <c r="M15" s="2363"/>
      <c r="N15" s="2363"/>
    </row>
    <row r="16" spans="1:19">
      <c r="B16" s="824" t="s">
        <v>85</v>
      </c>
      <c r="C16" s="2831"/>
      <c r="D16" s="689"/>
      <c r="E16" s="691">
        <f>SUM(C16:D16)</f>
        <v>0</v>
      </c>
      <c r="I16" s="2859">
        <v>0</v>
      </c>
      <c r="J16" s="1663">
        <v>0</v>
      </c>
      <c r="K16" s="2577">
        <f>(I16+J16)</f>
        <v>0</v>
      </c>
      <c r="L16" s="553" t="s">
        <v>86</v>
      </c>
      <c r="M16" s="2363"/>
      <c r="N16" s="2363"/>
    </row>
    <row r="17" spans="2:14" ht="15">
      <c r="B17" s="1828" t="s">
        <v>522</v>
      </c>
      <c r="C17" s="3155">
        <f>I36/2</f>
        <v>96952.212323283762</v>
      </c>
      <c r="D17" s="3156">
        <f>I36/2</f>
        <v>96952.212323283762</v>
      </c>
      <c r="E17" s="3157">
        <f>SUM(C17:D17)</f>
        <v>193904.42464656752</v>
      </c>
      <c r="F17" s="831"/>
      <c r="G17" s="394"/>
      <c r="H17" s="1094"/>
      <c r="I17" s="1095"/>
      <c r="J17" s="1091"/>
      <c r="K17" s="1088"/>
      <c r="L17" s="2363"/>
      <c r="M17" s="2363"/>
      <c r="N17" s="2363"/>
    </row>
    <row r="18" spans="2:14">
      <c r="B18" s="3153" t="s">
        <v>1746</v>
      </c>
      <c r="C18" s="3130">
        <f>C16+C17</f>
        <v>96952.212323283762</v>
      </c>
      <c r="D18" s="1541">
        <f>D16+D17</f>
        <v>96952.212323283762</v>
      </c>
      <c r="E18" s="3162">
        <f>E16+E17</f>
        <v>193904.42464656752</v>
      </c>
      <c r="F18" s="831"/>
      <c r="G18" s="394"/>
      <c r="H18" s="1094"/>
      <c r="I18" s="1095"/>
      <c r="J18" s="1091"/>
      <c r="K18" s="1088"/>
      <c r="L18" s="3027"/>
      <c r="M18" s="3027"/>
      <c r="N18" s="3027"/>
    </row>
    <row r="19" spans="2:14">
      <c r="B19" s="3152"/>
      <c r="C19" s="3154"/>
      <c r="D19" s="3179"/>
      <c r="E19" s="3180"/>
      <c r="F19" s="831"/>
      <c r="G19" s="394"/>
      <c r="H19" s="1094"/>
      <c r="I19" s="1095"/>
      <c r="J19" s="1091"/>
      <c r="K19" s="1088"/>
      <c r="L19" s="3027"/>
      <c r="M19" s="3027"/>
      <c r="N19" s="3027"/>
    </row>
    <row r="20" spans="2:14">
      <c r="B20" s="3136" t="s">
        <v>8</v>
      </c>
      <c r="C20" s="3062">
        <v>0</v>
      </c>
      <c r="D20" s="680">
        <v>0</v>
      </c>
      <c r="E20" s="3163">
        <f>SUM(C20:D20)</f>
        <v>0</v>
      </c>
      <c r="F20" s="831"/>
      <c r="G20" s="801"/>
      <c r="H20" s="1094"/>
      <c r="I20" s="1095"/>
      <c r="J20" s="1091"/>
      <c r="K20" s="1088"/>
      <c r="L20" s="2363"/>
      <c r="M20" s="400"/>
    </row>
    <row r="21" spans="2:14">
      <c r="B21" s="824"/>
      <c r="C21" s="2831"/>
      <c r="D21" s="689"/>
      <c r="E21" s="691"/>
      <c r="F21" s="831"/>
      <c r="G21" s="801"/>
      <c r="H21" s="1094"/>
      <c r="I21" s="1095"/>
      <c r="J21" s="1091"/>
      <c r="K21" s="1088"/>
      <c r="L21" s="2363"/>
      <c r="M21" s="400"/>
    </row>
    <row r="22" spans="2:14">
      <c r="B22" s="820" t="s">
        <v>483</v>
      </c>
      <c r="C22" s="2830"/>
      <c r="D22" s="667"/>
      <c r="E22" s="679"/>
      <c r="F22" s="823"/>
      <c r="G22" s="2363"/>
      <c r="H22" s="1094"/>
      <c r="I22" s="1095"/>
      <c r="J22" s="1111"/>
      <c r="K22" s="1088"/>
      <c r="L22" s="2363"/>
      <c r="M22" s="2363"/>
    </row>
    <row r="23" spans="2:14">
      <c r="B23" s="2363" t="s">
        <v>90</v>
      </c>
      <c r="C23" s="2833">
        <v>0</v>
      </c>
      <c r="D23" s="689">
        <v>0</v>
      </c>
      <c r="E23" s="856">
        <v>0</v>
      </c>
      <c r="F23" s="832"/>
      <c r="G23" s="2363"/>
      <c r="H23" s="1093"/>
      <c r="I23" s="1095"/>
      <c r="J23" s="1091"/>
      <c r="K23" s="1088"/>
      <c r="L23" s="2363"/>
      <c r="M23" s="2363"/>
    </row>
    <row r="24" spans="2:14">
      <c r="B24" s="824" t="s">
        <v>91</v>
      </c>
      <c r="C24" s="2833">
        <v>0</v>
      </c>
      <c r="D24" s="689">
        <v>0</v>
      </c>
      <c r="E24" s="856">
        <v>0</v>
      </c>
      <c r="F24" s="2363"/>
      <c r="G24" s="394"/>
      <c r="H24" s="1093"/>
      <c r="I24" s="1088"/>
      <c r="J24" s="1090"/>
      <c r="K24" s="1088"/>
      <c r="L24" s="2363"/>
      <c r="M24" s="2363"/>
    </row>
    <row r="25" spans="2:14">
      <c r="B25" s="824" t="s">
        <v>94</v>
      </c>
      <c r="C25" s="2833">
        <v>0</v>
      </c>
      <c r="D25" s="689">
        <v>0</v>
      </c>
      <c r="E25" s="856">
        <v>0</v>
      </c>
      <c r="F25" s="823"/>
      <c r="G25" s="393"/>
      <c r="H25" s="1105"/>
      <c r="I25" s="1095"/>
      <c r="J25" s="1109"/>
      <c r="K25" s="1088"/>
      <c r="L25" s="2363"/>
      <c r="M25" s="2363"/>
    </row>
    <row r="26" spans="2:14">
      <c r="B26" s="824" t="s">
        <v>517</v>
      </c>
      <c r="C26" s="2833"/>
      <c r="D26" s="689"/>
      <c r="E26" s="856"/>
      <c r="F26" s="823"/>
      <c r="G26" s="393"/>
      <c r="H26" s="1105"/>
      <c r="I26" s="1095"/>
      <c r="J26" s="1109"/>
      <c r="K26" s="1088"/>
      <c r="L26" s="2363"/>
      <c r="M26" s="2363"/>
    </row>
    <row r="27" spans="2:14" ht="15">
      <c r="B27" s="824" t="s">
        <v>97</v>
      </c>
      <c r="C27" s="3164">
        <v>0</v>
      </c>
      <c r="D27" s="3165">
        <v>0</v>
      </c>
      <c r="E27" s="3166">
        <v>0</v>
      </c>
      <c r="F27" s="823"/>
      <c r="G27" s="381"/>
      <c r="H27" s="1093"/>
      <c r="I27" s="1101"/>
      <c r="J27" s="1107"/>
      <c r="K27" s="1099"/>
      <c r="L27" s="2363"/>
      <c r="M27" s="2363"/>
    </row>
    <row r="28" spans="2:14">
      <c r="B28" s="3146" t="s">
        <v>1748</v>
      </c>
      <c r="C28" s="2835">
        <v>0</v>
      </c>
      <c r="D28" s="680">
        <v>0</v>
      </c>
      <c r="E28" s="2382">
        <v>0</v>
      </c>
      <c r="F28" s="823"/>
      <c r="G28" s="393"/>
      <c r="H28" s="1106"/>
      <c r="I28" s="1101"/>
      <c r="J28" s="1104"/>
      <c r="K28" s="1102"/>
      <c r="L28" s="2363"/>
      <c r="M28" s="2363"/>
    </row>
    <row r="29" spans="2:14">
      <c r="B29" s="816"/>
      <c r="C29" s="2836"/>
      <c r="D29" s="659"/>
      <c r="E29" s="688"/>
      <c r="F29" s="823"/>
      <c r="G29" s="393"/>
      <c r="H29" s="1106"/>
      <c r="I29" s="1101"/>
      <c r="J29" s="1104"/>
      <c r="K29" s="1102"/>
      <c r="L29" s="2363"/>
      <c r="M29" s="2363"/>
    </row>
    <row r="30" spans="2:14">
      <c r="B30" s="820" t="s">
        <v>84</v>
      </c>
      <c r="C30" s="2835">
        <v>0</v>
      </c>
      <c r="D30" s="680">
        <v>0</v>
      </c>
      <c r="E30" s="2379">
        <v>0</v>
      </c>
      <c r="F30" s="823"/>
      <c r="G30" s="393"/>
      <c r="H30" s="1106"/>
      <c r="I30" s="1100"/>
      <c r="J30" s="1108"/>
      <c r="K30" s="1088"/>
      <c r="L30" s="2363"/>
      <c r="M30" s="2363"/>
    </row>
    <row r="31" spans="2:14">
      <c r="B31" s="816"/>
      <c r="C31" s="2836"/>
      <c r="D31" s="659"/>
      <c r="E31" s="688"/>
      <c r="F31" s="823"/>
      <c r="G31" s="393"/>
      <c r="H31" s="1106"/>
      <c r="I31" s="1088"/>
      <c r="J31" s="1088"/>
      <c r="K31" s="1088"/>
      <c r="L31" s="2363"/>
      <c r="M31" s="2363"/>
    </row>
    <row r="32" spans="2:14">
      <c r="B32" s="819" t="s">
        <v>87</v>
      </c>
      <c r="C32" s="2836"/>
      <c r="D32" s="659"/>
      <c r="E32" s="688"/>
      <c r="F32" s="860"/>
      <c r="G32" s="393"/>
      <c r="H32" s="1106"/>
      <c r="I32" s="1088"/>
      <c r="J32" s="1088"/>
      <c r="K32" s="1088"/>
      <c r="L32" s="2363"/>
      <c r="M32" s="2363"/>
    </row>
    <row r="33" spans="2:13">
      <c r="B33" s="2363" t="s">
        <v>100</v>
      </c>
      <c r="C33" s="2836">
        <v>0</v>
      </c>
      <c r="D33" s="689">
        <v>0</v>
      </c>
      <c r="E33" s="688">
        <v>0</v>
      </c>
      <c r="F33" s="860"/>
      <c r="G33" s="393"/>
      <c r="H33" s="1106"/>
      <c r="I33" s="1088"/>
      <c r="J33" s="1088"/>
      <c r="K33" s="1088"/>
      <c r="L33" s="2363"/>
      <c r="M33" s="2363"/>
    </row>
    <row r="34" spans="2:13">
      <c r="B34" s="816" t="s">
        <v>102</v>
      </c>
      <c r="C34" s="2836">
        <v>0</v>
      </c>
      <c r="D34" s="689">
        <v>0</v>
      </c>
      <c r="E34" s="688">
        <v>0</v>
      </c>
      <c r="F34" s="860"/>
      <c r="G34" s="1096" t="s">
        <v>523</v>
      </c>
      <c r="H34" s="1089"/>
      <c r="I34" s="1089"/>
      <c r="K34" s="1089"/>
      <c r="L34" s="2363"/>
      <c r="M34" s="2363"/>
    </row>
    <row r="35" spans="2:13">
      <c r="B35" s="3145" t="s">
        <v>103</v>
      </c>
      <c r="C35" s="2836">
        <v>0</v>
      </c>
      <c r="D35" s="689">
        <v>0</v>
      </c>
      <c r="E35" s="688">
        <v>0</v>
      </c>
      <c r="F35" s="860"/>
      <c r="G35" s="1112"/>
      <c r="H35" s="1557" t="s">
        <v>524</v>
      </c>
      <c r="I35" s="2509">
        <f>2168497.81563078*0.075*2</f>
        <v>325274.67234461702</v>
      </c>
      <c r="K35" s="1089"/>
      <c r="L35" s="2363"/>
      <c r="M35" s="2363"/>
    </row>
    <row r="36" spans="2:13">
      <c r="B36" s="816"/>
      <c r="C36" s="2836"/>
      <c r="D36" s="659"/>
      <c r="E36" s="688"/>
      <c r="F36" s="860"/>
      <c r="G36" s="1110"/>
      <c r="H36" s="1556" t="s">
        <v>525</v>
      </c>
      <c r="I36" s="2510">
        <f>I35/(1+AVERAGE(F39:F40))</f>
        <v>193904.42464656752</v>
      </c>
      <c r="K36" s="1089"/>
      <c r="L36" s="2363"/>
      <c r="M36" s="2363"/>
    </row>
    <row r="37" spans="2:13">
      <c r="B37" s="819" t="s">
        <v>88</v>
      </c>
      <c r="C37" s="2838">
        <v>0</v>
      </c>
      <c r="D37" s="680">
        <v>0</v>
      </c>
      <c r="E37" s="2382">
        <v>0</v>
      </c>
      <c r="F37" s="860"/>
      <c r="G37" s="1114"/>
      <c r="H37" s="1827" t="s">
        <v>235</v>
      </c>
      <c r="I37" s="2512">
        <f>I35-I36</f>
        <v>131370.2476980495</v>
      </c>
      <c r="K37" s="1089"/>
    </row>
    <row r="38" spans="2:13">
      <c r="B38" s="816"/>
      <c r="C38" s="2836"/>
      <c r="D38" s="659"/>
      <c r="E38" s="688"/>
      <c r="F38" s="1407"/>
      <c r="G38" s="1089"/>
      <c r="H38" s="1826"/>
      <c r="I38" s="1825"/>
      <c r="J38" s="1201"/>
      <c r="K38" s="1089"/>
    </row>
    <row r="39" spans="2:13" s="1310" customFormat="1" ht="15" customHeight="1">
      <c r="B39" s="3016" t="s">
        <v>1736</v>
      </c>
      <c r="C39" s="2928">
        <f>E39/2</f>
        <v>65685.123849024749</v>
      </c>
      <c r="D39" s="3017">
        <f>E39/2</f>
        <v>65685.123849024749</v>
      </c>
      <c r="E39" s="3018">
        <f>I37</f>
        <v>131370.2476980495</v>
      </c>
      <c r="F39" s="2865">
        <v>0.66700000000000004</v>
      </c>
      <c r="G39" s="3086" t="s">
        <v>659</v>
      </c>
      <c r="H39" s="3020"/>
      <c r="J39" s="3021"/>
      <c r="K39" s="3021"/>
    </row>
    <row r="40" spans="2:13" ht="13.5" customHeight="1">
      <c r="B40" s="816"/>
      <c r="C40" s="2836"/>
      <c r="D40" s="659"/>
      <c r="E40" s="688"/>
      <c r="F40" s="2145">
        <v>0.68799999999999994</v>
      </c>
      <c r="G40" s="2144" t="s">
        <v>660</v>
      </c>
      <c r="K40" s="1088"/>
    </row>
    <row r="41" spans="2:13" ht="13.5" customHeight="1">
      <c r="B41" s="816" t="s">
        <v>1732</v>
      </c>
      <c r="C41" s="2837"/>
      <c r="D41" s="3159">
        <f>(D18+D20)*F41</f>
        <v>20359.96458788959</v>
      </c>
      <c r="E41" s="3160">
        <f>C41+D41</f>
        <v>20359.96458788959</v>
      </c>
      <c r="F41" s="3015">
        <v>0.21</v>
      </c>
      <c r="G41" s="2144" t="s">
        <v>1735</v>
      </c>
      <c r="K41" s="1088"/>
    </row>
    <row r="42" spans="2:13" s="1567" customFormat="1" ht="13.5" customHeight="1">
      <c r="B42" s="3158" t="s">
        <v>1743</v>
      </c>
      <c r="C42" s="2838">
        <f>C39+C41</f>
        <v>65685.123849024749</v>
      </c>
      <c r="D42" s="2377">
        <f>D39+D41</f>
        <v>86045.088436914346</v>
      </c>
      <c r="E42" s="2382">
        <f>E39+E41</f>
        <v>151730.21228593908</v>
      </c>
      <c r="F42" s="3023"/>
      <c r="G42" s="3024"/>
      <c r="K42" s="946"/>
    </row>
    <row r="43" spans="2:13">
      <c r="B43" s="816"/>
      <c r="C43" s="2836"/>
      <c r="D43" s="659"/>
      <c r="E43" s="688"/>
      <c r="F43" s="2145"/>
      <c r="G43" s="2144"/>
      <c r="H43" s="142"/>
      <c r="I43" s="545"/>
    </row>
    <row r="44" spans="2:13">
      <c r="B44" s="817" t="s">
        <v>11</v>
      </c>
      <c r="C44" s="2836"/>
      <c r="D44" s="659"/>
      <c r="E44" s="688"/>
      <c r="F44" s="860"/>
      <c r="G44" s="532"/>
      <c r="H44" s="142"/>
      <c r="I44" s="545"/>
    </row>
    <row r="45" spans="2:13">
      <c r="B45" s="1815"/>
      <c r="C45" s="2833">
        <v>0</v>
      </c>
      <c r="D45" s="864">
        <v>0</v>
      </c>
      <c r="E45" s="856">
        <f t="shared" ref="E45:E46" si="0">SUM(D45,C45)</f>
        <v>0</v>
      </c>
      <c r="F45" s="860"/>
      <c r="G45" s="532"/>
      <c r="H45" s="142"/>
      <c r="I45" s="545"/>
    </row>
    <row r="46" spans="2:13" ht="15">
      <c r="B46" s="1815"/>
      <c r="C46" s="3059">
        <v>0</v>
      </c>
      <c r="D46" s="3181">
        <v>0</v>
      </c>
      <c r="E46" s="3182">
        <f t="shared" si="0"/>
        <v>0</v>
      </c>
      <c r="F46" s="860"/>
      <c r="G46" s="532"/>
      <c r="H46" s="142"/>
      <c r="I46" s="545"/>
    </row>
    <row r="47" spans="2:13">
      <c r="B47" s="312" t="s">
        <v>107</v>
      </c>
      <c r="C47" s="2835">
        <f>SUM(C45:C46)</f>
        <v>0</v>
      </c>
      <c r="D47" s="1849">
        <f>SUM(D45:D46)</f>
        <v>0</v>
      </c>
      <c r="E47" s="2382">
        <f>SUM(D47,C47)</f>
        <v>0</v>
      </c>
      <c r="F47" s="860"/>
      <c r="G47" s="532"/>
      <c r="H47" s="142"/>
      <c r="I47" s="545"/>
    </row>
    <row r="48" spans="2:13">
      <c r="B48" s="822"/>
      <c r="C48" s="2833"/>
      <c r="D48" s="864"/>
      <c r="E48" s="856"/>
      <c r="F48" s="860"/>
      <c r="G48" s="132"/>
      <c r="H48" s="142"/>
      <c r="I48" s="545"/>
    </row>
    <row r="49" spans="1:11" ht="13.5" customHeight="1">
      <c r="B49" s="816"/>
      <c r="C49" s="2836"/>
      <c r="D49" s="659"/>
      <c r="E49" s="688"/>
      <c r="F49" s="3015"/>
      <c r="G49" s="2144"/>
      <c r="K49" s="1088"/>
    </row>
    <row r="50" spans="1:11" ht="13.5" thickBot="1">
      <c r="B50" s="822"/>
      <c r="C50" s="2833"/>
      <c r="D50" s="864"/>
      <c r="E50" s="856"/>
      <c r="F50" s="860"/>
      <c r="G50" s="859"/>
      <c r="H50" s="396"/>
      <c r="I50" s="392"/>
    </row>
    <row r="51" spans="1:11" ht="13.5" thickBot="1">
      <c r="B51" s="828" t="s">
        <v>108</v>
      </c>
      <c r="C51" s="2839">
        <f>C13+C18+C42+C47</f>
        <v>1341617.1177353866</v>
      </c>
      <c r="D51" s="3183">
        <f>D13+D18+D42+D47</f>
        <v>2522838.082323276</v>
      </c>
      <c r="E51" s="3184">
        <f>E13+E15+E42+E47</f>
        <v>3670550.7754120952</v>
      </c>
      <c r="F51" s="860"/>
      <c r="G51" s="859"/>
      <c r="H51" s="396"/>
      <c r="I51" s="392"/>
    </row>
    <row r="52" spans="1:11">
      <c r="B52" s="863"/>
      <c r="C52" s="2840"/>
      <c r="D52" s="861"/>
      <c r="E52" s="861"/>
      <c r="F52" s="860"/>
      <c r="G52" s="1096" t="s">
        <v>317</v>
      </c>
      <c r="H52" s="1089"/>
      <c r="I52" s="1089"/>
    </row>
    <row r="53" spans="1:11">
      <c r="B53" s="2363"/>
      <c r="C53" s="2767"/>
      <c r="G53" s="1112"/>
      <c r="H53" s="1557" t="s">
        <v>318</v>
      </c>
      <c r="I53" s="2509">
        <f>2168497.81563078*2</f>
        <v>4336995.6312615601</v>
      </c>
    </row>
    <row r="54" spans="1:11">
      <c r="B54" s="961"/>
      <c r="C54" s="2767"/>
      <c r="G54" s="1114"/>
      <c r="H54" s="1115" t="s">
        <v>241</v>
      </c>
      <c r="I54" s="2511">
        <f>0.1*I53</f>
        <v>433699.56312615605</v>
      </c>
      <c r="J54" s="1652" t="s">
        <v>596</v>
      </c>
    </row>
    <row r="55" spans="1:11">
      <c r="B55" s="819"/>
      <c r="C55" s="2841">
        <v>2016</v>
      </c>
      <c r="D55" s="844">
        <v>2017</v>
      </c>
      <c r="E55" s="844" t="s">
        <v>20</v>
      </c>
      <c r="F55" s="2363"/>
      <c r="G55" s="397"/>
    </row>
    <row r="56" spans="1:11" ht="51">
      <c r="A56" s="2362" t="s">
        <v>263</v>
      </c>
      <c r="B56" s="23" t="s">
        <v>109</v>
      </c>
      <c r="C56" s="2907">
        <v>3548127</v>
      </c>
      <c r="D56" s="597">
        <v>4245976</v>
      </c>
      <c r="E56" s="597">
        <f>SUM(C56:D56)</f>
        <v>7794103</v>
      </c>
      <c r="F56" s="596" t="s">
        <v>110</v>
      </c>
      <c r="G56" s="397"/>
    </row>
    <row r="57" spans="1:11">
      <c r="A57"/>
      <c r="B57" s="2363"/>
      <c r="C57" s="670"/>
      <c r="D57" s="670"/>
      <c r="E57" s="670"/>
      <c r="F57" s="830"/>
      <c r="G57" s="397"/>
    </row>
    <row r="58" spans="1:11">
      <c r="A58"/>
      <c r="B58" s="836" t="s">
        <v>112</v>
      </c>
      <c r="C58" s="1809"/>
      <c r="D58" s="1809"/>
      <c r="E58" s="865"/>
      <c r="F58" s="864"/>
      <c r="G58" s="397"/>
      <c r="H58" s="370"/>
      <c r="I58" s="370"/>
      <c r="J58" s="863"/>
    </row>
    <row r="59" spans="1:11">
      <c r="A59" s="1361" t="s">
        <v>264</v>
      </c>
      <c r="B59" s="2363"/>
      <c r="C59" s="167"/>
      <c r="D59" s="167"/>
      <c r="E59" s="167"/>
      <c r="F59" s="370"/>
      <c r="G59" s="397"/>
      <c r="H59" s="370"/>
      <c r="I59" s="370"/>
      <c r="J59" s="863"/>
    </row>
    <row r="60" spans="1:11" ht="20.25">
      <c r="A60" s="1862" t="s">
        <v>545</v>
      </c>
      <c r="B60" s="391"/>
      <c r="C60" s="167"/>
      <c r="D60" s="167"/>
      <c r="E60" s="167"/>
      <c r="F60" s="370"/>
      <c r="G60" s="397"/>
      <c r="H60" s="370"/>
      <c r="I60" s="370"/>
      <c r="J60" s="863"/>
    </row>
    <row r="61" spans="1:11">
      <c r="A61" s="2023" t="s">
        <v>563</v>
      </c>
      <c r="B61" s="2363"/>
      <c r="C61" s="167"/>
      <c r="D61" s="167"/>
      <c r="E61" s="167"/>
      <c r="F61" s="398"/>
      <c r="G61" s="396"/>
      <c r="H61" s="370"/>
      <c r="I61" s="370"/>
      <c r="J61" s="863"/>
    </row>
    <row r="62" spans="1:11">
      <c r="A62" s="1663">
        <v>18230720</v>
      </c>
      <c r="B62" s="165"/>
      <c r="C62" s="167"/>
      <c r="D62" s="167"/>
      <c r="E62" s="167"/>
      <c r="F62" s="398"/>
      <c r="G62" s="396"/>
      <c r="H62" s="370"/>
      <c r="I62" s="370"/>
      <c r="J62" s="863"/>
    </row>
    <row r="63" spans="1:11">
      <c r="A63" s="1663"/>
      <c r="B63" s="172"/>
      <c r="C63" s="167"/>
      <c r="D63" s="167"/>
      <c r="E63" s="167"/>
      <c r="F63" s="398"/>
      <c r="G63" s="398"/>
      <c r="H63" s="370"/>
      <c r="I63" s="370"/>
      <c r="J63" s="863"/>
    </row>
    <row r="64" spans="1:11">
      <c r="A64" s="1663" t="s">
        <v>4</v>
      </c>
      <c r="B64" s="167"/>
      <c r="C64" s="2363"/>
      <c r="D64" s="2363"/>
      <c r="E64" s="2363"/>
      <c r="F64" s="398"/>
      <c r="G64" s="370"/>
      <c r="H64" s="398"/>
      <c r="I64" s="370"/>
      <c r="J64" s="863"/>
    </row>
    <row r="65" spans="2:10">
      <c r="B65" s="2363"/>
      <c r="C65" s="2363"/>
      <c r="D65" s="2363"/>
      <c r="E65" s="2363"/>
      <c r="F65" s="398"/>
      <c r="G65" s="370"/>
      <c r="H65" s="398"/>
      <c r="I65" s="395"/>
      <c r="J65" s="863"/>
    </row>
    <row r="66" spans="2:10">
      <c r="B66" s="2363"/>
      <c r="C66" s="2363"/>
      <c r="D66" s="2363"/>
      <c r="E66" s="2363"/>
      <c r="F66" s="398"/>
      <c r="G66" s="370"/>
      <c r="H66" s="398"/>
      <c r="I66" s="395"/>
      <c r="J66" s="863"/>
    </row>
    <row r="67" spans="2:10">
      <c r="B67" s="2363"/>
      <c r="C67" s="2363"/>
      <c r="D67" s="2363"/>
      <c r="E67" s="2363"/>
      <c r="F67" s="2363"/>
      <c r="G67" s="370"/>
      <c r="H67" s="398"/>
      <c r="I67" s="395"/>
      <c r="J67" s="863"/>
    </row>
    <row r="68" spans="2:10">
      <c r="B68" s="2363"/>
      <c r="C68" s="2363"/>
      <c r="D68" s="2363"/>
      <c r="E68" s="2363"/>
      <c r="F68" s="2363"/>
      <c r="G68" s="370"/>
      <c r="H68" s="398"/>
      <c r="I68" s="395"/>
      <c r="J68" s="863"/>
    </row>
    <row r="69" spans="2:10">
      <c r="F69" s="2363"/>
      <c r="G69" s="370"/>
      <c r="H69" s="398"/>
      <c r="I69" s="395"/>
      <c r="J69" s="863"/>
    </row>
    <row r="70" spans="2:10">
      <c r="F70" s="2363"/>
      <c r="G70" s="398"/>
      <c r="H70" s="398"/>
      <c r="I70" s="395"/>
      <c r="J70" s="863"/>
    </row>
    <row r="71" spans="2:10">
      <c r="F71" s="2363"/>
      <c r="G71" s="398"/>
      <c r="H71" s="398"/>
      <c r="I71" s="395"/>
      <c r="J71" s="863"/>
    </row>
    <row r="72" spans="2:10">
      <c r="F72" s="2363"/>
      <c r="G72" s="398"/>
      <c r="H72" s="398"/>
      <c r="I72" s="395"/>
      <c r="J72" s="863"/>
    </row>
    <row r="73" spans="2:10">
      <c r="F73" s="370"/>
      <c r="G73" s="398"/>
      <c r="H73" s="370"/>
      <c r="I73" s="370"/>
      <c r="J73" s="863"/>
    </row>
    <row r="74" spans="2:10">
      <c r="F74" s="370"/>
      <c r="G74" s="398"/>
      <c r="H74" s="370"/>
      <c r="I74" s="370"/>
      <c r="J74" s="863"/>
    </row>
    <row r="75" spans="2:10">
      <c r="F75" s="370"/>
      <c r="G75" s="398"/>
      <c r="H75" s="370"/>
      <c r="I75" s="370"/>
      <c r="J75" s="863"/>
    </row>
    <row r="76" spans="2:10" ht="15.75">
      <c r="F76" s="372"/>
      <c r="G76" s="398"/>
      <c r="H76" s="370"/>
      <c r="I76" s="370"/>
      <c r="J76" s="863"/>
    </row>
    <row r="77" spans="2:10">
      <c r="F77" s="863"/>
      <c r="G77" s="398"/>
      <c r="H77" s="370"/>
      <c r="I77" s="370"/>
      <c r="J77" s="863"/>
    </row>
    <row r="78" spans="2:10">
      <c r="F78" s="2363"/>
      <c r="G78" s="398"/>
      <c r="H78" s="370"/>
      <c r="I78" s="370"/>
      <c r="J78" s="863"/>
    </row>
    <row r="79" spans="2:10" ht="15.75">
      <c r="F79" s="2363"/>
      <c r="G79" s="370"/>
      <c r="H79" s="372"/>
      <c r="I79" s="372"/>
      <c r="J79" s="863"/>
    </row>
    <row r="80" spans="2:10">
      <c r="F80" s="2363"/>
      <c r="G80" s="370"/>
      <c r="H80" s="863"/>
      <c r="I80" s="863"/>
      <c r="J80" s="863"/>
    </row>
    <row r="81" spans="6:10">
      <c r="F81" s="2363"/>
      <c r="G81" s="370"/>
      <c r="H81" s="2363"/>
      <c r="I81" s="2363"/>
      <c r="J81" s="2363"/>
    </row>
    <row r="82" spans="6:10">
      <c r="F82" s="2363"/>
      <c r="G82" s="370"/>
      <c r="H82" s="2363"/>
      <c r="I82" s="2363"/>
      <c r="J82" s="2363"/>
    </row>
    <row r="83" spans="6:10">
      <c r="F83" s="2363"/>
      <c r="G83" s="370"/>
      <c r="H83" s="2363"/>
      <c r="I83" s="2363"/>
      <c r="J83" s="2363"/>
    </row>
    <row r="84" spans="6:10">
      <c r="F84" s="2363"/>
      <c r="G84" s="370"/>
      <c r="H84" s="2363"/>
      <c r="I84" s="2363"/>
      <c r="J84" s="2363"/>
    </row>
    <row r="85" spans="6:10" ht="15.75">
      <c r="G85" s="372"/>
      <c r="H85" s="2363"/>
      <c r="I85" s="2363"/>
      <c r="J85" s="2363"/>
    </row>
    <row r="86" spans="6:10">
      <c r="G86" s="863"/>
      <c r="H86" s="2363"/>
      <c r="I86" s="2363"/>
      <c r="J86" s="2363"/>
    </row>
  </sheetData>
  <customSheetViews>
    <customSheetView guid="{D9EFFE19-D14B-4C6F-BDF4-FF696F73968D}" showGridLines="0">
      <pane xSplit="1" ySplit="1" topLeftCell="B2" activePane="bottomRight" state="frozen"/>
      <selection pane="bottomRight" activeCell="F14" sqref="F14:H16"/>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50" orientation="landscape" horizontalDpi="1200" verticalDpi="1200" r:id="rId1"/>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8DB4E3"/>
    <pageSetUpPr fitToPage="1"/>
  </sheetPr>
  <dimension ref="A1:S82"/>
  <sheetViews>
    <sheetView showGridLines="0" workbookViewId="0">
      <pane xSplit="1" ySplit="1" topLeftCell="B2" activePane="bottomRight" state="frozen"/>
      <selection pane="topRight" activeCell="B1" sqref="B1"/>
      <selection pane="bottomLeft" activeCell="A2" sqref="A2"/>
      <selection pane="bottomRight" activeCell="J22" sqref="J22"/>
    </sheetView>
  </sheetViews>
  <sheetFormatPr defaultRowHeight="12.75"/>
  <cols>
    <col min="1" max="1" width="19.28515625" style="849" customWidth="1"/>
    <col min="2" max="2" width="57.140625" customWidth="1"/>
    <col min="3" max="5" width="18" customWidth="1"/>
    <col min="6" max="6" width="14.140625" customWidth="1"/>
    <col min="7" max="7" width="17.85546875" bestFit="1" customWidth="1"/>
    <col min="8" max="8" width="16.28515625" customWidth="1"/>
    <col min="9" max="9" width="21.42578125" customWidth="1"/>
    <col min="10" max="10" width="18.140625" customWidth="1"/>
    <col min="11" max="11" width="19.85546875" customWidth="1"/>
    <col min="12" max="12" width="15.5703125" customWidth="1"/>
    <col min="13" max="13" width="14.5703125" customWidth="1"/>
    <col min="14" max="14" width="22.85546875" customWidth="1"/>
    <col min="15" max="15" width="17.7109375" customWidth="1"/>
    <col min="16" max="16" width="19.42578125" customWidth="1"/>
    <col min="17" max="17" width="18.7109375" customWidth="1"/>
    <col min="18" max="18" width="12.85546875" customWidth="1"/>
    <col min="19" max="19" width="13.42578125" customWidth="1"/>
  </cols>
  <sheetData>
    <row r="1" spans="1:19" ht="56.25" customHeight="1">
      <c r="B1" s="1384" t="s">
        <v>255</v>
      </c>
      <c r="C1" s="1361" t="s">
        <v>256</v>
      </c>
      <c r="D1" s="1384" t="s">
        <v>122</v>
      </c>
      <c r="E1" s="1359" t="s">
        <v>4</v>
      </c>
      <c r="H1" s="1361"/>
      <c r="I1" s="207"/>
      <c r="J1" s="176"/>
      <c r="K1" s="1384" t="s">
        <v>255</v>
      </c>
      <c r="L1" s="1361" t="s">
        <v>256</v>
      </c>
      <c r="M1" s="1384" t="s">
        <v>122</v>
      </c>
      <c r="N1" s="1359" t="s">
        <v>4</v>
      </c>
    </row>
    <row r="2" spans="1:19" ht="21" thickBot="1">
      <c r="B2" s="183"/>
      <c r="C2" s="206"/>
      <c r="D2" s="206"/>
      <c r="E2" s="206"/>
      <c r="F2" s="206"/>
      <c r="G2" s="214"/>
      <c r="H2" s="207"/>
      <c r="I2" s="207"/>
      <c r="J2" s="176"/>
      <c r="K2" s="176"/>
      <c r="L2" s="176"/>
      <c r="M2" s="176"/>
      <c r="N2" s="176"/>
    </row>
    <row r="3" spans="1:19" ht="38.25">
      <c r="A3" s="1389" t="s">
        <v>255</v>
      </c>
      <c r="C3" s="1201"/>
      <c r="D3" s="1201"/>
      <c r="E3" s="1201"/>
      <c r="F3" s="1201"/>
      <c r="G3" s="2172"/>
      <c r="H3" s="2691" t="s">
        <v>1747</v>
      </c>
      <c r="I3" s="2692" t="s">
        <v>8</v>
      </c>
      <c r="J3" s="2692" t="s">
        <v>77</v>
      </c>
      <c r="K3" s="2692" t="s">
        <v>10</v>
      </c>
      <c r="L3" s="2692" t="s">
        <v>482</v>
      </c>
      <c r="M3" s="2692" t="s">
        <v>11</v>
      </c>
      <c r="N3" s="2692" t="s">
        <v>12</v>
      </c>
      <c r="O3" s="2692" t="s">
        <v>13</v>
      </c>
      <c r="P3" s="2692" t="s">
        <v>78</v>
      </c>
      <c r="Q3" s="2692" t="s">
        <v>36</v>
      </c>
      <c r="R3" s="2692" t="s">
        <v>15</v>
      </c>
      <c r="S3" s="2715" t="s">
        <v>37</v>
      </c>
    </row>
    <row r="4" spans="1:19" ht="15.75">
      <c r="A4" s="1357" t="s">
        <v>256</v>
      </c>
      <c r="G4" s="1353" t="s">
        <v>1724</v>
      </c>
      <c r="H4" s="2703">
        <v>0</v>
      </c>
      <c r="I4" s="2704">
        <v>0</v>
      </c>
      <c r="J4" s="2704">
        <f>C38</f>
        <v>0</v>
      </c>
      <c r="K4" s="2704">
        <v>0</v>
      </c>
      <c r="L4" s="2704">
        <v>0</v>
      </c>
      <c r="M4" s="2716">
        <v>0</v>
      </c>
      <c r="N4" s="2705">
        <v>0</v>
      </c>
      <c r="O4" s="2705">
        <v>0</v>
      </c>
      <c r="P4" s="2706">
        <v>0</v>
      </c>
      <c r="Q4" s="2675"/>
      <c r="R4" s="2707">
        <v>0</v>
      </c>
      <c r="S4" s="2708">
        <v>0</v>
      </c>
    </row>
    <row r="5" spans="1:19" ht="26.25">
      <c r="A5" s="1389" t="s">
        <v>122</v>
      </c>
      <c r="G5" s="2946" t="s">
        <v>1726</v>
      </c>
      <c r="H5" s="2972">
        <f>C15</f>
        <v>0</v>
      </c>
      <c r="I5" s="2973">
        <f>C17</f>
        <v>0</v>
      </c>
      <c r="J5" s="2973">
        <f>C38</f>
        <v>0</v>
      </c>
      <c r="K5" s="2973">
        <f>C34</f>
        <v>0</v>
      </c>
      <c r="L5" s="2973">
        <f>C25</f>
        <v>0</v>
      </c>
      <c r="M5" s="2973">
        <f>C44</f>
        <v>0</v>
      </c>
      <c r="N5" s="2973">
        <f>C32</f>
        <v>0</v>
      </c>
      <c r="O5" s="2973">
        <f>C27</f>
        <v>0</v>
      </c>
      <c r="P5" s="2973">
        <f>C11</f>
        <v>0</v>
      </c>
      <c r="Q5" s="2969"/>
      <c r="R5" s="2974">
        <f>SUM(H5:P5)</f>
        <v>0</v>
      </c>
      <c r="S5" s="2975">
        <f>C51</f>
        <v>0</v>
      </c>
    </row>
    <row r="6" spans="1:19" ht="16.5" thickBot="1">
      <c r="A6" s="1391" t="s">
        <v>4</v>
      </c>
      <c r="G6" s="2606" t="s">
        <v>1725</v>
      </c>
      <c r="H6" s="2709">
        <f>D15</f>
        <v>0</v>
      </c>
      <c r="I6" s="2710">
        <f>D17</f>
        <v>0</v>
      </c>
      <c r="J6" s="2710">
        <f>D38</f>
        <v>0</v>
      </c>
      <c r="K6" s="2710">
        <f>D34</f>
        <v>0</v>
      </c>
      <c r="L6" s="2710">
        <f>D25</f>
        <v>0</v>
      </c>
      <c r="M6" s="2717">
        <f>D44</f>
        <v>0</v>
      </c>
      <c r="N6" s="2711">
        <f>D32</f>
        <v>0</v>
      </c>
      <c r="O6" s="2711">
        <f>D27</f>
        <v>0</v>
      </c>
      <c r="P6" s="2712">
        <f>D11</f>
        <v>0</v>
      </c>
      <c r="Q6" s="2682"/>
      <c r="R6" s="2713">
        <f>SUM(H6:P6)</f>
        <v>0</v>
      </c>
      <c r="S6" s="2714">
        <f>D51</f>
        <v>0</v>
      </c>
    </row>
    <row r="7" spans="1:19" s="1173" customFormat="1">
      <c r="G7" s="1842"/>
      <c r="H7" s="2689"/>
      <c r="I7" s="2689"/>
      <c r="J7" s="2689"/>
      <c r="K7" s="2689"/>
      <c r="L7" s="2689"/>
      <c r="M7" s="2689"/>
      <c r="N7" s="2689"/>
      <c r="O7" s="2689"/>
      <c r="P7" s="2689"/>
      <c r="Q7" s="2668"/>
      <c r="R7" s="2689"/>
      <c r="S7" s="2690"/>
    </row>
    <row r="8" spans="1:19" ht="20.25">
      <c r="A8" s="1357"/>
      <c r="B8" s="183"/>
      <c r="C8" s="206"/>
      <c r="D8" s="206"/>
      <c r="E8" s="206"/>
      <c r="F8" s="206"/>
      <c r="G8" s="214"/>
      <c r="H8" s="207"/>
      <c r="I8" s="207"/>
      <c r="J8" s="176"/>
      <c r="K8" s="176"/>
      <c r="L8" s="176"/>
      <c r="M8" s="176"/>
      <c r="N8" s="186"/>
    </row>
    <row r="9" spans="1:19" ht="18">
      <c r="C9" s="214"/>
      <c r="D9" s="214"/>
      <c r="E9" s="214"/>
      <c r="F9" s="205"/>
      <c r="G9" s="205"/>
      <c r="H9" s="205"/>
      <c r="I9" s="205"/>
      <c r="J9" s="176"/>
      <c r="K9" s="176"/>
      <c r="L9" s="176"/>
      <c r="M9" s="176"/>
      <c r="N9" s="176"/>
    </row>
    <row r="10" spans="1:19" ht="18">
      <c r="B10" s="184"/>
      <c r="C10" s="2827">
        <v>2016</v>
      </c>
      <c r="D10" s="221">
        <v>2017</v>
      </c>
      <c r="E10" s="222" t="s">
        <v>20</v>
      </c>
      <c r="F10" s="190"/>
      <c r="G10" s="190"/>
      <c r="H10" s="190"/>
      <c r="I10" s="702"/>
      <c r="J10" s="695"/>
      <c r="K10" s="186"/>
      <c r="L10" s="186"/>
      <c r="M10" s="186"/>
      <c r="N10" s="176"/>
    </row>
    <row r="11" spans="1:19">
      <c r="B11" s="182" t="s">
        <v>80</v>
      </c>
      <c r="C11" s="2828"/>
      <c r="D11" s="1832"/>
      <c r="E11" s="228">
        <f>SUM(C11:D11)</f>
        <v>0</v>
      </c>
      <c r="F11" s="190"/>
      <c r="G11" s="190"/>
      <c r="H11" s="190"/>
      <c r="I11" s="696"/>
      <c r="J11" s="697"/>
      <c r="K11" s="186"/>
      <c r="L11" s="176"/>
      <c r="M11" s="176"/>
      <c r="N11" s="176"/>
    </row>
    <row r="12" spans="1:19" ht="18">
      <c r="B12" s="184"/>
      <c r="C12" s="2829"/>
      <c r="D12" s="178"/>
      <c r="E12" s="216"/>
      <c r="F12" s="190"/>
      <c r="G12" s="190"/>
      <c r="H12" s="190"/>
      <c r="I12" s="696"/>
      <c r="J12" s="698"/>
      <c r="K12" s="186"/>
      <c r="L12" s="176"/>
      <c r="M12" s="176"/>
      <c r="N12" s="176"/>
    </row>
    <row r="13" spans="1:19">
      <c r="B13" s="182" t="s">
        <v>1747</v>
      </c>
      <c r="C13" s="2895"/>
      <c r="D13" s="854">
        <f>D14+D17</f>
        <v>0</v>
      </c>
      <c r="E13" s="867">
        <f>C13+D13</f>
        <v>0</v>
      </c>
      <c r="F13" s="187"/>
      <c r="G13" s="187"/>
      <c r="H13" s="187"/>
      <c r="I13" s="696"/>
      <c r="J13" s="698"/>
      <c r="K13" s="176"/>
      <c r="L13" s="176"/>
      <c r="M13" s="176"/>
      <c r="N13" s="176"/>
    </row>
    <row r="14" spans="1:19" ht="15">
      <c r="B14" s="189" t="s">
        <v>85</v>
      </c>
      <c r="C14" s="3185"/>
      <c r="D14" s="3186"/>
      <c r="E14" s="3031">
        <f>C14+D14</f>
        <v>0</v>
      </c>
      <c r="F14" s="204"/>
      <c r="G14" s="191" t="s">
        <v>86</v>
      </c>
      <c r="H14" s="188"/>
      <c r="I14" s="696"/>
      <c r="J14" s="698"/>
      <c r="K14" s="176"/>
      <c r="L14" s="176"/>
      <c r="M14" s="176"/>
      <c r="N14" s="176"/>
    </row>
    <row r="15" spans="1:19" s="1652" customFormat="1">
      <c r="B15" s="3136" t="s">
        <v>1746</v>
      </c>
      <c r="C15" s="2896">
        <f>C13+C14</f>
        <v>0</v>
      </c>
      <c r="D15" s="854">
        <f>D13+D14</f>
        <v>0</v>
      </c>
      <c r="E15" s="867">
        <f>E13+E14</f>
        <v>0</v>
      </c>
      <c r="F15" s="831"/>
      <c r="G15" s="394"/>
      <c r="H15" s="801"/>
      <c r="I15" s="1848"/>
      <c r="J15" s="740"/>
      <c r="K15" s="3027"/>
      <c r="L15" s="3027"/>
      <c r="M15" s="3027"/>
      <c r="N15" s="3027"/>
    </row>
    <row r="16" spans="1:19" s="1652" customFormat="1">
      <c r="B16" s="824"/>
      <c r="C16" s="2896"/>
      <c r="D16" s="854"/>
      <c r="E16" s="867"/>
      <c r="F16" s="831"/>
      <c r="G16" s="394"/>
      <c r="H16" s="801"/>
      <c r="I16" s="1848"/>
      <c r="J16" s="740"/>
      <c r="K16" s="3027"/>
      <c r="L16" s="3027"/>
      <c r="M16" s="3027"/>
      <c r="N16" s="3027"/>
    </row>
    <row r="17" spans="2:14">
      <c r="B17" s="3136" t="s">
        <v>8</v>
      </c>
      <c r="C17" s="2896"/>
      <c r="D17" s="225"/>
      <c r="E17" s="685">
        <f>SUM(C17:D17)</f>
        <v>0</v>
      </c>
      <c r="F17" s="204"/>
      <c r="G17" s="191" t="s">
        <v>86</v>
      </c>
      <c r="H17" s="188"/>
      <c r="I17" s="825"/>
      <c r="J17" s="694"/>
      <c r="K17" s="176"/>
      <c r="L17" s="176"/>
      <c r="M17" s="176"/>
      <c r="N17" s="176"/>
    </row>
    <row r="18" spans="2:14">
      <c r="B18" s="189"/>
      <c r="C18" s="2832"/>
      <c r="D18" s="178"/>
      <c r="E18" s="216"/>
      <c r="F18" s="188"/>
      <c r="G18" s="188"/>
      <c r="H18" s="188"/>
      <c r="I18" s="696"/>
      <c r="J18" s="694"/>
      <c r="K18" s="176"/>
      <c r="L18" s="176"/>
      <c r="M18" s="203"/>
    </row>
    <row r="19" spans="2:14">
      <c r="B19" s="820" t="s">
        <v>483</v>
      </c>
      <c r="C19" s="2895"/>
      <c r="D19" s="178"/>
      <c r="E19" s="216"/>
      <c r="F19" s="187"/>
      <c r="G19" s="187"/>
      <c r="H19" s="188"/>
      <c r="I19" s="696"/>
      <c r="J19" s="694"/>
      <c r="K19" s="176"/>
      <c r="L19" s="176"/>
      <c r="M19" s="176"/>
    </row>
    <row r="20" spans="2:14">
      <c r="B20" s="176" t="s">
        <v>90</v>
      </c>
      <c r="C20" s="2897"/>
      <c r="D20" s="225"/>
      <c r="E20" s="685">
        <f t="shared" ref="E20:E24" si="0">SUM(C20:D20)</f>
        <v>0</v>
      </c>
      <c r="F20" s="208"/>
      <c r="G20" s="208"/>
      <c r="H20" s="187"/>
      <c r="I20" s="696"/>
      <c r="J20" s="694"/>
      <c r="K20" s="176"/>
      <c r="L20" s="176"/>
      <c r="M20" s="176"/>
    </row>
    <row r="21" spans="2:14">
      <c r="B21" s="189" t="s">
        <v>91</v>
      </c>
      <c r="C21" s="2897"/>
      <c r="D21" s="225"/>
      <c r="E21" s="685">
        <f t="shared" si="0"/>
        <v>0</v>
      </c>
      <c r="F21" s="176"/>
      <c r="G21" s="187"/>
      <c r="H21" s="208"/>
      <c r="I21" s="696"/>
      <c r="J21" s="694"/>
      <c r="K21" s="176"/>
      <c r="L21" s="176"/>
      <c r="M21" s="176"/>
    </row>
    <row r="22" spans="2:14">
      <c r="B22" s="189" t="s">
        <v>94</v>
      </c>
      <c r="C22" s="2897"/>
      <c r="D22" s="225"/>
      <c r="E22" s="685">
        <f t="shared" si="0"/>
        <v>0</v>
      </c>
      <c r="F22" s="187"/>
      <c r="G22" s="187"/>
      <c r="H22" s="187"/>
      <c r="I22" s="696"/>
      <c r="J22" s="701"/>
      <c r="K22" s="176"/>
      <c r="L22" s="176"/>
      <c r="M22" s="176"/>
    </row>
    <row r="23" spans="2:14" s="1652" customFormat="1">
      <c r="B23" s="824" t="s">
        <v>517</v>
      </c>
      <c r="C23" s="2897"/>
      <c r="D23" s="854"/>
      <c r="E23" s="867">
        <f t="shared" si="0"/>
        <v>0</v>
      </c>
      <c r="F23" s="393"/>
      <c r="G23" s="393"/>
      <c r="H23" s="393"/>
      <c r="I23" s="825"/>
      <c r="J23" s="743"/>
      <c r="K23" s="1787"/>
      <c r="L23" s="1787"/>
      <c r="M23" s="1787"/>
    </row>
    <row r="24" spans="2:14" ht="15">
      <c r="B24" s="189" t="s">
        <v>97</v>
      </c>
      <c r="C24" s="2898"/>
      <c r="D24" s="1863"/>
      <c r="E24" s="1864">
        <f t="shared" si="0"/>
        <v>0</v>
      </c>
      <c r="F24" s="187"/>
      <c r="G24" s="187"/>
      <c r="H24" s="209"/>
      <c r="I24" s="692"/>
      <c r="J24" s="693"/>
      <c r="K24" s="176"/>
      <c r="L24" s="176"/>
      <c r="M24" s="176"/>
    </row>
    <row r="25" spans="2:14">
      <c r="B25" s="3146" t="s">
        <v>1741</v>
      </c>
      <c r="C25" s="2899">
        <f>SUM(C20:C24)</f>
        <v>0</v>
      </c>
      <c r="D25" s="200">
        <f>SUM(D20:D24)</f>
        <v>0</v>
      </c>
      <c r="E25" s="1833">
        <f>SUM(C25:D25)</f>
        <v>0</v>
      </c>
      <c r="F25" s="187"/>
      <c r="G25" s="187"/>
      <c r="H25" s="209"/>
      <c r="I25" s="696"/>
      <c r="J25" s="706"/>
      <c r="K25" s="176"/>
      <c r="L25" s="176"/>
      <c r="M25" s="176"/>
    </row>
    <row r="26" spans="2:14">
      <c r="B26" s="178"/>
      <c r="C26" s="2900"/>
      <c r="D26" s="178"/>
      <c r="E26" s="216"/>
      <c r="F26" s="187"/>
      <c r="G26" s="187"/>
      <c r="H26" s="209"/>
      <c r="I26" s="700"/>
      <c r="J26" s="704"/>
      <c r="K26" s="201"/>
      <c r="L26" s="176"/>
      <c r="M26" s="176"/>
    </row>
    <row r="27" spans="2:14">
      <c r="B27" s="182" t="s">
        <v>84</v>
      </c>
      <c r="C27" s="2899">
        <v>0</v>
      </c>
      <c r="D27" s="215">
        <v>0</v>
      </c>
      <c r="E27" s="229">
        <f>SUM(C27:D27)</f>
        <v>0</v>
      </c>
      <c r="F27" s="187"/>
      <c r="G27" s="187"/>
      <c r="H27" s="209"/>
      <c r="I27" s="700"/>
      <c r="J27" s="1836"/>
      <c r="K27" s="202"/>
      <c r="L27" s="176"/>
      <c r="M27" s="176"/>
    </row>
    <row r="28" spans="2:14">
      <c r="B28" s="178"/>
      <c r="C28" s="2900"/>
      <c r="D28" s="178"/>
      <c r="E28" s="216"/>
      <c r="F28" s="187"/>
      <c r="G28" s="187"/>
      <c r="H28" s="209"/>
      <c r="I28" s="700"/>
      <c r="J28" s="703"/>
      <c r="K28" s="202"/>
      <c r="L28" s="176"/>
      <c r="M28" s="176"/>
    </row>
    <row r="29" spans="2:14">
      <c r="B29" s="181" t="s">
        <v>87</v>
      </c>
      <c r="C29" s="2900"/>
      <c r="D29" s="178"/>
      <c r="E29" s="216"/>
      <c r="F29" s="209"/>
      <c r="G29" s="209"/>
      <c r="H29" s="209"/>
      <c r="I29" s="699"/>
      <c r="J29" s="705"/>
      <c r="K29" s="176"/>
      <c r="L29" s="176"/>
      <c r="M29" s="176"/>
    </row>
    <row r="30" spans="2:14">
      <c r="B30" s="176" t="s">
        <v>100</v>
      </c>
      <c r="C30" s="2900"/>
      <c r="D30" s="225"/>
      <c r="E30" s="223">
        <f>SUM(C30:D30)</f>
        <v>0</v>
      </c>
      <c r="F30" s="209"/>
      <c r="G30" s="209"/>
      <c r="H30" s="209"/>
      <c r="I30" s="190"/>
      <c r="J30" s="176"/>
      <c r="K30" s="176"/>
      <c r="L30" s="176"/>
      <c r="M30" s="176"/>
    </row>
    <row r="31" spans="2:14" ht="15">
      <c r="B31" s="178" t="s">
        <v>102</v>
      </c>
      <c r="C31" s="2901"/>
      <c r="D31" s="1853"/>
      <c r="E31" s="1854">
        <f>SUM(C31:D31)</f>
        <v>0</v>
      </c>
      <c r="F31" s="209"/>
      <c r="G31" s="209"/>
      <c r="H31" s="209"/>
      <c r="I31" s="190"/>
      <c r="J31" s="176"/>
      <c r="K31" s="176"/>
      <c r="L31" s="176"/>
      <c r="M31" s="176"/>
    </row>
    <row r="32" spans="2:14">
      <c r="B32" s="3145" t="s">
        <v>103</v>
      </c>
      <c r="C32" s="2902">
        <f>SUM(C30:C31)</f>
        <v>0</v>
      </c>
      <c r="D32" s="192">
        <f>SUM(D30:D31)</f>
        <v>0</v>
      </c>
      <c r="E32" s="229">
        <f>SUM(E30:E31)</f>
        <v>0</v>
      </c>
      <c r="F32" s="209"/>
      <c r="G32" s="209"/>
      <c r="H32" s="209"/>
      <c r="I32" s="190"/>
      <c r="J32" s="176"/>
      <c r="K32" s="176"/>
      <c r="L32" s="176"/>
      <c r="M32" s="176"/>
    </row>
    <row r="33" spans="1:13">
      <c r="B33" s="178"/>
      <c r="C33" s="2900"/>
      <c r="D33" s="178"/>
      <c r="E33" s="216"/>
      <c r="F33" s="209"/>
      <c r="G33" s="209"/>
      <c r="H33" s="209"/>
      <c r="I33" s="190"/>
      <c r="J33" s="176"/>
      <c r="K33" s="176"/>
      <c r="L33" s="176"/>
      <c r="M33" s="176"/>
    </row>
    <row r="34" spans="1:13" ht="38.25">
      <c r="A34" s="1389" t="s">
        <v>255</v>
      </c>
      <c r="B34" s="181" t="s">
        <v>88</v>
      </c>
      <c r="C34" s="2902">
        <v>0</v>
      </c>
      <c r="D34" s="226">
        <v>0</v>
      </c>
      <c r="E34" s="229">
        <f>SUM(C34:D34)</f>
        <v>0</v>
      </c>
      <c r="F34" s="209"/>
      <c r="G34" s="209"/>
      <c r="H34" s="209"/>
      <c r="I34" s="190"/>
    </row>
    <row r="35" spans="1:13">
      <c r="A35" s="1357" t="s">
        <v>256</v>
      </c>
      <c r="B35" s="178"/>
      <c r="C35" s="2900"/>
      <c r="D35" s="178"/>
      <c r="E35" s="216"/>
      <c r="F35" s="2865">
        <v>0.66700000000000004</v>
      </c>
      <c r="G35" s="3086" t="s">
        <v>659</v>
      </c>
      <c r="H35" s="209"/>
      <c r="I35" s="190"/>
    </row>
    <row r="36" spans="1:13" ht="25.5">
      <c r="A36" s="1389" t="s">
        <v>122</v>
      </c>
      <c r="B36" s="2371" t="s">
        <v>9</v>
      </c>
      <c r="C36" s="2900">
        <f>(C15+C17)*F35</f>
        <v>0</v>
      </c>
      <c r="D36" s="3025">
        <f>(D13+D17)*F36</f>
        <v>0</v>
      </c>
      <c r="E36" s="653">
        <f>SUM(C36:D36)</f>
        <v>0</v>
      </c>
      <c r="F36" s="2145">
        <v>0.68799999999999994</v>
      </c>
      <c r="G36" s="2144" t="s">
        <v>660</v>
      </c>
      <c r="H36" s="209"/>
      <c r="I36" s="190"/>
    </row>
    <row r="37" spans="1:13" s="1652" customFormat="1" ht="13.5" customHeight="1">
      <c r="A37" s="1663" t="s">
        <v>4</v>
      </c>
      <c r="B37" s="816" t="s">
        <v>1732</v>
      </c>
      <c r="C37" s="2837"/>
      <c r="D37" s="3159">
        <f>(D15+D17)*F37</f>
        <v>0</v>
      </c>
      <c r="E37" s="3160">
        <f>C37+D37</f>
        <v>0</v>
      </c>
      <c r="F37" s="3015">
        <v>0.21</v>
      </c>
      <c r="G37" s="2144" t="s">
        <v>1735</v>
      </c>
      <c r="K37" s="1088"/>
    </row>
    <row r="38" spans="1:13" s="1567" customFormat="1" ht="13.5" customHeight="1">
      <c r="B38" s="3158" t="s">
        <v>1743</v>
      </c>
      <c r="C38" s="2838"/>
      <c r="D38" s="2377">
        <f>D36+D37</f>
        <v>0</v>
      </c>
      <c r="E38" s="2382">
        <f>E36+E37</f>
        <v>0</v>
      </c>
      <c r="F38" s="3023"/>
      <c r="G38" s="3024"/>
      <c r="K38" s="946"/>
    </row>
    <row r="39" spans="1:13" s="1652" customFormat="1" ht="13.5" customHeight="1">
      <c r="B39" s="816"/>
      <c r="C39" s="2836"/>
      <c r="D39" s="659"/>
      <c r="E39" s="841"/>
      <c r="F39" s="3015"/>
      <c r="G39" s="2144"/>
      <c r="K39" s="1088"/>
    </row>
    <row r="40" spans="1:13">
      <c r="A40" s="1414"/>
      <c r="B40" s="178"/>
      <c r="C40" s="2900"/>
      <c r="D40" s="210"/>
      <c r="E40" s="218"/>
      <c r="H40" s="209"/>
      <c r="I40" s="190"/>
    </row>
    <row r="41" spans="1:13">
      <c r="B41" s="179" t="s">
        <v>11</v>
      </c>
      <c r="C41" s="2900"/>
      <c r="D41" s="210"/>
      <c r="E41" s="218"/>
      <c r="F41" s="209"/>
      <c r="G41" s="177"/>
      <c r="H41" s="209"/>
      <c r="I41" s="185"/>
    </row>
    <row r="42" spans="1:13">
      <c r="B42" s="829" t="s">
        <v>526</v>
      </c>
      <c r="C42" s="2897"/>
      <c r="D42" s="211"/>
      <c r="E42" s="217">
        <f>SUM(C42:D42)</f>
        <v>0</v>
      </c>
      <c r="F42" s="209"/>
      <c r="G42" s="177"/>
      <c r="H42" s="209"/>
      <c r="I42" s="185"/>
    </row>
    <row r="43" spans="1:13" s="1652" customFormat="1" ht="15">
      <c r="B43" s="829" t="s">
        <v>527</v>
      </c>
      <c r="C43" s="3187"/>
      <c r="D43" s="3188"/>
      <c r="E43" s="3189"/>
      <c r="F43" s="396"/>
      <c r="G43" s="859"/>
      <c r="H43" s="396"/>
      <c r="I43" s="392"/>
    </row>
    <row r="44" spans="1:13">
      <c r="B44" s="312" t="s">
        <v>107</v>
      </c>
      <c r="C44" s="2899">
        <f>SUM(C42:C43)</f>
        <v>0</v>
      </c>
      <c r="D44" s="200">
        <f>SUM(D42:D43)</f>
        <v>0</v>
      </c>
      <c r="E44" s="1834">
        <f>SUM(C44:D44)</f>
        <v>0</v>
      </c>
      <c r="F44" s="209"/>
      <c r="G44" s="177"/>
      <c r="H44" s="209"/>
      <c r="I44" s="185"/>
    </row>
    <row r="45" spans="1:13">
      <c r="B45" s="199"/>
      <c r="C45" s="2897"/>
      <c r="D45" s="211"/>
      <c r="E45" s="217"/>
      <c r="F45" s="209"/>
      <c r="G45" s="177"/>
      <c r="H45" s="209"/>
      <c r="I45" s="185"/>
    </row>
    <row r="46" spans="1:13" ht="13.5" thickBot="1">
      <c r="B46" s="199"/>
      <c r="C46" s="2897"/>
      <c r="D46" s="211"/>
      <c r="E46" s="217"/>
      <c r="F46" s="209"/>
      <c r="G46" s="177"/>
      <c r="H46" s="209"/>
      <c r="I46" s="185"/>
    </row>
    <row r="47" spans="1:13" ht="13.5" thickBot="1">
      <c r="B47" s="195" t="s">
        <v>108</v>
      </c>
      <c r="C47" s="2903">
        <f>C11+C15+C17+C25+C27+C32+C34+C38+C44</f>
        <v>0</v>
      </c>
      <c r="D47" s="881">
        <f>D11+D15+D17+D25+D32+D27+D34+D38+D44</f>
        <v>0</v>
      </c>
      <c r="E47" s="1835">
        <f>SUM(C47:D47)</f>
        <v>0</v>
      </c>
      <c r="F47" s="209"/>
      <c r="G47" s="210"/>
      <c r="H47" s="209"/>
      <c r="I47" s="185"/>
    </row>
    <row r="48" spans="1:13">
      <c r="B48" s="180"/>
      <c r="C48" s="2854"/>
      <c r="D48" s="211"/>
      <c r="E48" s="211"/>
      <c r="F48" s="209"/>
      <c r="G48" s="210"/>
      <c r="H48" s="209"/>
      <c r="I48" s="185"/>
    </row>
    <row r="49" spans="2:10">
      <c r="B49" s="176"/>
      <c r="C49" s="2767"/>
      <c r="G49" s="210"/>
      <c r="H49" s="209"/>
      <c r="I49" s="185"/>
    </row>
    <row r="50" spans="2:10">
      <c r="B50" s="337" t="s">
        <v>109</v>
      </c>
      <c r="C50" s="2841">
        <v>2016</v>
      </c>
      <c r="D50" s="224">
        <v>2017</v>
      </c>
      <c r="E50" s="224" t="s">
        <v>20</v>
      </c>
      <c r="F50" s="176"/>
      <c r="G50" s="210"/>
      <c r="H50" s="209"/>
      <c r="I50" s="185"/>
    </row>
    <row r="51" spans="2:10">
      <c r="B51" s="836" t="s">
        <v>528</v>
      </c>
      <c r="C51" s="2904"/>
      <c r="D51" s="219"/>
      <c r="E51" s="220">
        <f>SUM(C51:D51)</f>
        <v>0</v>
      </c>
      <c r="F51" s="200" t="s">
        <v>110</v>
      </c>
      <c r="G51" s="210"/>
      <c r="H51" s="209"/>
      <c r="I51" s="185"/>
    </row>
    <row r="52" spans="2:10">
      <c r="B52" s="213"/>
      <c r="C52" s="227"/>
      <c r="D52" s="227"/>
      <c r="E52" s="176"/>
      <c r="F52" s="176"/>
      <c r="G52" s="210"/>
      <c r="H52" s="209"/>
      <c r="I52" s="185"/>
    </row>
    <row r="53" spans="2:10">
      <c r="B53" s="176"/>
      <c r="C53" s="176"/>
      <c r="D53" s="176"/>
      <c r="E53" s="176"/>
      <c r="F53" s="176"/>
      <c r="G53" s="210"/>
      <c r="H53" s="209"/>
      <c r="I53" s="185"/>
    </row>
    <row r="54" spans="2:10">
      <c r="B54" s="176"/>
      <c r="C54" s="212"/>
      <c r="D54" s="212"/>
      <c r="E54" s="212"/>
      <c r="F54" s="193"/>
      <c r="G54" s="209"/>
      <c r="H54" s="209"/>
      <c r="I54" s="185"/>
      <c r="J54" s="176"/>
    </row>
    <row r="55" spans="2:10">
      <c r="B55" s="176"/>
      <c r="C55" s="212"/>
      <c r="D55" s="212"/>
      <c r="E55" s="212"/>
      <c r="F55" s="193"/>
      <c r="G55" s="209"/>
      <c r="H55" s="211"/>
      <c r="I55" s="194"/>
      <c r="J55" s="180"/>
    </row>
    <row r="56" spans="2:10">
      <c r="B56" s="176"/>
      <c r="C56" s="212"/>
      <c r="D56" s="212"/>
      <c r="E56" s="212"/>
      <c r="F56" s="193"/>
      <c r="G56" s="209"/>
      <c r="H56" s="196"/>
      <c r="I56" s="196"/>
      <c r="J56" s="180"/>
    </row>
    <row r="57" spans="2:10">
      <c r="B57" s="176"/>
      <c r="C57" s="212"/>
      <c r="D57" s="212"/>
      <c r="E57" s="212"/>
      <c r="F57" s="193"/>
      <c r="G57" s="209"/>
      <c r="H57" s="196"/>
      <c r="I57" s="196"/>
      <c r="J57" s="180"/>
    </row>
    <row r="58" spans="2:10" ht="20.25">
      <c r="B58" s="183" t="s">
        <v>113</v>
      </c>
      <c r="C58" s="212"/>
      <c r="D58" s="212"/>
      <c r="E58" s="212"/>
      <c r="F58" s="193"/>
      <c r="G58" s="211"/>
      <c r="H58" s="196"/>
      <c r="I58" s="196"/>
      <c r="J58" s="180"/>
    </row>
    <row r="59" spans="2:10">
      <c r="B59" s="179"/>
      <c r="C59" s="176"/>
      <c r="D59" s="176"/>
      <c r="E59" s="176"/>
      <c r="F59" s="176"/>
      <c r="G59" s="196"/>
      <c r="H59" s="196"/>
      <c r="I59" s="196"/>
      <c r="J59" s="180"/>
    </row>
    <row r="60" spans="2:10">
      <c r="B60" s="176"/>
      <c r="C60" s="211"/>
      <c r="D60" s="211"/>
      <c r="E60" s="211"/>
      <c r="F60" s="196"/>
      <c r="G60" s="196"/>
      <c r="H60" s="196"/>
      <c r="I60" s="196"/>
      <c r="J60" s="180"/>
    </row>
    <row r="61" spans="2:10">
      <c r="B61" s="176"/>
      <c r="C61" s="196"/>
      <c r="D61" s="196"/>
      <c r="E61" s="196"/>
      <c r="F61" s="196"/>
      <c r="G61" s="196"/>
      <c r="H61" s="196"/>
      <c r="I61" s="196"/>
      <c r="J61" s="180"/>
    </row>
    <row r="62" spans="2:10">
      <c r="B62" s="176"/>
      <c r="C62" s="196"/>
      <c r="D62" s="196"/>
      <c r="E62" s="196"/>
      <c r="F62" s="211"/>
      <c r="G62" s="196"/>
      <c r="H62" s="211"/>
      <c r="I62" s="196"/>
      <c r="J62" s="180"/>
    </row>
    <row r="63" spans="2:10" ht="15.75">
      <c r="B63" s="197"/>
      <c r="C63" s="198"/>
      <c r="D63" s="198"/>
      <c r="E63" s="198"/>
      <c r="F63" s="211"/>
      <c r="G63" s="196"/>
      <c r="H63" s="211"/>
      <c r="I63" s="194"/>
      <c r="J63" s="180"/>
    </row>
    <row r="64" spans="2:10">
      <c r="B64" s="180"/>
      <c r="C64" s="180"/>
      <c r="D64" s="180"/>
      <c r="E64" s="180"/>
      <c r="F64" s="211"/>
      <c r="G64" s="196"/>
      <c r="H64" s="211"/>
      <c r="I64" s="194"/>
      <c r="J64" s="180"/>
    </row>
    <row r="65" spans="2:10">
      <c r="B65" s="176"/>
      <c r="C65" s="176"/>
      <c r="D65" s="176"/>
      <c r="E65" s="176"/>
      <c r="F65" s="211"/>
      <c r="G65" s="211"/>
      <c r="H65" s="211"/>
      <c r="I65" s="194"/>
      <c r="J65" s="180"/>
    </row>
    <row r="66" spans="2:10">
      <c r="B66" s="176"/>
      <c r="C66" s="176"/>
      <c r="D66" s="176"/>
      <c r="E66" s="176"/>
      <c r="F66" s="211"/>
      <c r="G66" s="211"/>
      <c r="H66" s="211"/>
      <c r="I66" s="194"/>
      <c r="J66" s="180"/>
    </row>
    <row r="67" spans="2:10">
      <c r="B67" s="176"/>
      <c r="C67" s="176"/>
      <c r="D67" s="176"/>
      <c r="E67" s="176"/>
      <c r="F67" s="211"/>
      <c r="G67" s="211"/>
      <c r="H67" s="211"/>
      <c r="I67" s="194"/>
      <c r="J67" s="180"/>
    </row>
    <row r="68" spans="2:10">
      <c r="B68" s="176"/>
      <c r="C68" s="176"/>
      <c r="D68" s="176"/>
      <c r="E68" s="176"/>
      <c r="F68" s="176"/>
      <c r="G68" s="211"/>
      <c r="H68" s="211"/>
      <c r="I68" s="194"/>
      <c r="J68" s="180"/>
    </row>
    <row r="69" spans="2:10">
      <c r="F69" s="176"/>
      <c r="G69" s="211"/>
      <c r="H69" s="211"/>
      <c r="I69" s="194"/>
      <c r="J69" s="180"/>
    </row>
    <row r="70" spans="2:10">
      <c r="F70" s="176"/>
      <c r="G70" s="211"/>
      <c r="H70" s="211"/>
      <c r="I70" s="194"/>
      <c r="J70" s="180"/>
    </row>
    <row r="71" spans="2:10">
      <c r="F71" s="176"/>
      <c r="G71" s="211"/>
      <c r="H71" s="196"/>
      <c r="I71" s="196"/>
      <c r="J71" s="180"/>
    </row>
    <row r="72" spans="2:10">
      <c r="F72" s="176"/>
      <c r="G72" s="211"/>
      <c r="H72" s="196"/>
      <c r="I72" s="196"/>
      <c r="J72" s="180"/>
    </row>
    <row r="73" spans="2:10">
      <c r="F73" s="176"/>
      <c r="G73" s="211"/>
      <c r="H73" s="196"/>
      <c r="I73" s="196"/>
      <c r="J73" s="180"/>
    </row>
    <row r="74" spans="2:10">
      <c r="F74" s="196"/>
      <c r="G74" s="196"/>
      <c r="H74" s="196"/>
      <c r="I74" s="196"/>
      <c r="J74" s="180"/>
    </row>
    <row r="75" spans="2:10">
      <c r="F75" s="196"/>
      <c r="G75" s="196"/>
      <c r="H75" s="196"/>
      <c r="I75" s="196"/>
      <c r="J75" s="180"/>
    </row>
    <row r="76" spans="2:10">
      <c r="F76" s="196"/>
      <c r="G76" s="196"/>
      <c r="H76" s="196"/>
      <c r="I76" s="196"/>
      <c r="J76" s="180"/>
    </row>
    <row r="77" spans="2:10" ht="15.75">
      <c r="F77" s="198"/>
      <c r="G77" s="196"/>
      <c r="H77" s="198"/>
      <c r="I77" s="198"/>
      <c r="J77" s="180"/>
    </row>
    <row r="78" spans="2:10">
      <c r="F78" s="180"/>
      <c r="G78" s="196"/>
      <c r="H78" s="180"/>
      <c r="I78" s="180"/>
      <c r="J78" s="180"/>
    </row>
    <row r="79" spans="2:10">
      <c r="F79" s="176"/>
      <c r="G79" s="196"/>
      <c r="H79" s="176"/>
      <c r="I79" s="176"/>
      <c r="J79" s="176"/>
    </row>
    <row r="80" spans="2:10" ht="15.75">
      <c r="F80" s="176"/>
      <c r="G80" s="198"/>
      <c r="H80" s="176"/>
      <c r="I80" s="176"/>
      <c r="J80" s="176"/>
    </row>
    <row r="81" spans="6:10">
      <c r="F81" s="176"/>
      <c r="G81" s="180"/>
      <c r="H81" s="176"/>
      <c r="I81" s="176"/>
      <c r="J81" s="176"/>
    </row>
    <row r="82" spans="6:10">
      <c r="H82" s="176"/>
      <c r="I82" s="176"/>
      <c r="J82" s="176"/>
    </row>
  </sheetData>
  <customSheetViews>
    <customSheetView guid="{D9EFFE19-D14B-4C6F-BDF4-FF696F73968D}" showGridLines="0" fitToPage="1">
      <pane xSplit="1" ySplit="1" topLeftCell="B17" activePane="bottomRight" state="frozen"/>
      <selection pane="bottomRight"/>
      <pageMargins left="0.31" right="0.25" top="0.38" bottom="0.75" header="0.3" footer="0.3"/>
      <pageSetup paperSize="17" scale="74" orientation="landscape" r:id="rId1"/>
    </customSheetView>
    <customSheetView guid="{074EB09C-6289-46D7-9513-012B68BCA7BF}" showGridLines="0" fitToPage="1">
      <pane xSplit="1" ySplit="1" topLeftCell="B2" activePane="bottomRight" state="frozen"/>
      <selection pane="bottomRight" activeCell="F37" sqref="F37"/>
      <pageMargins left="0.31" right="0.25" top="0.38" bottom="0.75" header="0.3" footer="0.3"/>
      <pageSetup paperSize="17" scale="74" orientation="landscape" r:id="rId2"/>
    </customSheetView>
  </customSheetViews>
  <pageMargins left="0.31" right="0.25" top="0.38" bottom="0.75" header="0.3" footer="0.3"/>
  <pageSetup paperSize="3" scale="56" orientation="landscape" r:id="rId3"/>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8DB4E3"/>
  </sheetPr>
  <dimension ref="A1:AA114"/>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1.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4.2851562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44.25" customHeight="1" thickBot="1">
      <c r="C1" s="1361" t="s">
        <v>634</v>
      </c>
      <c r="D1" s="1361" t="s">
        <v>262</v>
      </c>
      <c r="E1" s="1361" t="s">
        <v>5</v>
      </c>
      <c r="F1" s="1361">
        <v>18230714</v>
      </c>
      <c r="G1" s="1361" t="s">
        <v>4</v>
      </c>
      <c r="J1" s="1190"/>
      <c r="M1" s="1361" t="s">
        <v>634</v>
      </c>
      <c r="N1" s="1361" t="s">
        <v>262</v>
      </c>
      <c r="O1" s="1361" t="s">
        <v>5</v>
      </c>
      <c r="P1" s="1361">
        <v>18230714</v>
      </c>
      <c r="Q1" s="1361" t="s">
        <v>4</v>
      </c>
      <c r="V1" s="1361" t="s">
        <v>634</v>
      </c>
      <c r="W1" s="1361" t="s">
        <v>262</v>
      </c>
      <c r="X1" s="1361" t="s">
        <v>5</v>
      </c>
      <c r="Y1" s="1361">
        <v>18230714</v>
      </c>
      <c r="Z1" s="1361" t="s">
        <v>4</v>
      </c>
    </row>
    <row r="2" spans="1:27" ht="16.5" thickBot="1">
      <c r="C2" s="1190"/>
      <c r="D2" s="1177"/>
      <c r="I2" s="1178" t="s">
        <v>627</v>
      </c>
      <c r="S2" s="3575"/>
      <c r="T2" s="3575"/>
      <c r="U2" s="3576" t="s">
        <v>33</v>
      </c>
      <c r="V2" s="3577"/>
      <c r="W2" s="3578"/>
      <c r="X2" s="3579" t="s">
        <v>34</v>
      </c>
    </row>
    <row r="3" spans="1:27" ht="26.25" thickBot="1">
      <c r="A3" s="2143" t="s">
        <v>635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637</v>
      </c>
      <c r="B4" s="2143"/>
      <c r="C4" s="1190"/>
      <c r="H4" s="2946" t="s">
        <v>1726</v>
      </c>
      <c r="I4" s="2959">
        <f>D15</f>
        <v>120455.4</v>
      </c>
      <c r="J4" s="2960">
        <f>D21</f>
        <v>20000</v>
      </c>
      <c r="K4" s="2960">
        <f>D27</f>
        <v>93683.751799999998</v>
      </c>
      <c r="L4" s="2960">
        <f>D37</f>
        <v>50000</v>
      </c>
      <c r="M4" s="2960">
        <f>D43</f>
        <v>2750</v>
      </c>
      <c r="N4" s="2960">
        <f>D49</f>
        <v>180000</v>
      </c>
      <c r="O4" s="2960">
        <f>D55</f>
        <v>2800</v>
      </c>
      <c r="P4" s="2960">
        <f>D61</f>
        <v>500</v>
      </c>
      <c r="Q4" s="2960">
        <f>D67</f>
        <v>745533</v>
      </c>
      <c r="R4" s="2960">
        <f>D68</f>
        <v>0</v>
      </c>
      <c r="S4" s="2961">
        <f>SUM(I4:R4)</f>
        <v>1215722.1518000001</v>
      </c>
      <c r="T4" s="2962">
        <f>T15</f>
        <v>9083978</v>
      </c>
      <c r="U4" s="2954">
        <f>Q4/S4</f>
        <v>0.61324291812579268</v>
      </c>
      <c r="V4" s="2954">
        <f>(L4+(J4*1.63))/S4</f>
        <v>6.7943156154309028E-2</v>
      </c>
      <c r="W4" s="2954">
        <f>N4/S4</f>
        <v>0.14806014658324002</v>
      </c>
      <c r="X4" s="2953">
        <f>S4/T4</f>
        <v>0.13383147248925528</v>
      </c>
    </row>
    <row r="5" spans="1:27" ht="27" thickBot="1">
      <c r="A5" s="2143" t="s">
        <v>636</v>
      </c>
      <c r="B5" s="2143"/>
      <c r="C5" s="1177"/>
      <c r="H5" s="3205" t="s">
        <v>1753</v>
      </c>
      <c r="I5" s="2617">
        <v>123466.78499999999</v>
      </c>
      <c r="J5" s="2618">
        <v>20500</v>
      </c>
      <c r="K5" s="2618">
        <v>97897.413799999995</v>
      </c>
      <c r="L5" s="2618">
        <v>50000</v>
      </c>
      <c r="M5" s="2618">
        <v>2750</v>
      </c>
      <c r="N5" s="2618">
        <v>200000</v>
      </c>
      <c r="O5" s="2618">
        <v>2800</v>
      </c>
      <c r="P5" s="2618">
        <v>500</v>
      </c>
      <c r="Q5" s="2618">
        <v>894650</v>
      </c>
      <c r="R5" s="2618">
        <v>0</v>
      </c>
      <c r="S5" s="2619">
        <v>1392564.1987999999</v>
      </c>
      <c r="T5" s="2620">
        <v>10900868</v>
      </c>
      <c r="U5" s="1187">
        <f>Q5/S5</f>
        <v>0.64244793939908662</v>
      </c>
      <c r="V5" s="1187">
        <f>(L5+(J5*1.63))/S5</f>
        <v>5.9900290465517037E-2</v>
      </c>
      <c r="W5" s="1187">
        <f>N5/S5</f>
        <v>0.14361994956666554</v>
      </c>
      <c r="X5" s="1155">
        <f>S5/T5</f>
        <v>0.12774801041531739</v>
      </c>
    </row>
    <row r="6" spans="1:27" ht="16.5" thickBot="1">
      <c r="A6" s="2143" t="s">
        <v>262</v>
      </c>
      <c r="B6" s="2143"/>
      <c r="D6" s="1190"/>
      <c r="H6" s="3206" t="s">
        <v>1754</v>
      </c>
      <c r="I6" s="2621">
        <f>E15</f>
        <v>72515.867499999993</v>
      </c>
      <c r="J6" s="2622">
        <f>E21</f>
        <v>19437.5</v>
      </c>
      <c r="K6" s="2623">
        <f>E27</f>
        <v>82574.124014999979</v>
      </c>
      <c r="L6" s="2622">
        <f>E37</f>
        <v>50000</v>
      </c>
      <c r="M6" s="2622">
        <f>E43</f>
        <v>6750</v>
      </c>
      <c r="N6" s="2622">
        <f>E49</f>
        <v>182963</v>
      </c>
      <c r="O6" s="2622">
        <f>E55</f>
        <v>3000</v>
      </c>
      <c r="P6" s="2622">
        <f>E61</f>
        <v>500</v>
      </c>
      <c r="Q6" s="2622">
        <f>E67</f>
        <v>803490</v>
      </c>
      <c r="R6" s="2622">
        <f>E68</f>
        <v>0</v>
      </c>
      <c r="S6" s="2624">
        <f>SUM(I6:R6)</f>
        <v>1221230.4915149999</v>
      </c>
      <c r="T6" s="2625">
        <f>U15</f>
        <v>10447837</v>
      </c>
      <c r="U6" s="2631">
        <f>Q6/S6</f>
        <v>0.65793476791037941</v>
      </c>
      <c r="V6" s="2631">
        <f>(L6+(J6*1.63))/S6</f>
        <v>6.6885920035183399E-2</v>
      </c>
      <c r="W6" s="2631">
        <f>N6/S6</f>
        <v>0.14981856518586012</v>
      </c>
      <c r="X6" s="2626">
        <f>S6/T6</f>
        <v>0.11688835607934923</v>
      </c>
    </row>
    <row r="7" spans="1:27" ht="15.75">
      <c r="A7" s="2143" t="s">
        <v>5</v>
      </c>
      <c r="B7" s="2143"/>
      <c r="D7" s="1190"/>
      <c r="G7" s="2606"/>
      <c r="H7" s="2607"/>
      <c r="I7" s="2607"/>
      <c r="J7" s="2607"/>
      <c r="K7" s="2607"/>
      <c r="L7" s="2607"/>
      <c r="M7" s="2607"/>
      <c r="N7" s="2607"/>
      <c r="O7" s="2607"/>
      <c r="P7" s="2607"/>
      <c r="Q7" s="2607"/>
      <c r="R7" s="2607"/>
      <c r="S7" s="2608"/>
      <c r="T7" s="2630"/>
      <c r="U7" s="2630"/>
      <c r="V7" s="2630"/>
      <c r="W7" s="2610"/>
    </row>
    <row r="8" spans="1:27" ht="15.75">
      <c r="A8" s="1663">
        <v>18230714</v>
      </c>
      <c r="B8" s="2143"/>
      <c r="D8" s="1190"/>
    </row>
    <row r="9" spans="1:27" ht="20.25" customHeight="1">
      <c r="A9" s="2143" t="s">
        <v>4</v>
      </c>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1215722.1518000001</v>
      </c>
      <c r="E12" s="1484">
        <f>E15+E21+E27+E37+E43+E49+E55+E61+E67</f>
        <v>1221230.4915149999</v>
      </c>
      <c r="F12" s="1638">
        <f>D12+E12</f>
        <v>2436952.643315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1473">
        <v>2016</v>
      </c>
      <c r="U13" s="1473">
        <v>2017</v>
      </c>
      <c r="V13" s="1473" t="s">
        <v>306</v>
      </c>
      <c r="W13" s="1474">
        <v>2016</v>
      </c>
      <c r="X13" s="1474">
        <v>2017</v>
      </c>
      <c r="Y13" s="1474" t="s">
        <v>306</v>
      </c>
      <c r="Z13" s="2244" t="s">
        <v>1045</v>
      </c>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1473"/>
      <c r="U14" s="1473"/>
      <c r="V14" s="1473"/>
      <c r="W14" s="1474"/>
      <c r="X14" s="1474"/>
      <c r="Y14" s="1474"/>
      <c r="Z14" s="1458" t="s">
        <v>307</v>
      </c>
      <c r="AA14" s="1456"/>
    </row>
    <row r="15" spans="1:27">
      <c r="B15" s="1433" t="s">
        <v>296</v>
      </c>
      <c r="C15" s="1597" t="s">
        <v>43</v>
      </c>
      <c r="D15" s="2771">
        <f>SUM(D16:D19)</f>
        <v>120455.4</v>
      </c>
      <c r="E15" s="1464">
        <f>SUM(E16:E19)</f>
        <v>72515.867499999993</v>
      </c>
      <c r="F15" s="1638">
        <f>D15+E15</f>
        <v>192971.26749999999</v>
      </c>
      <c r="H15" s="1475" t="s">
        <v>308</v>
      </c>
      <c r="I15" s="1476"/>
      <c r="J15" s="1476"/>
      <c r="K15" s="1477"/>
      <c r="L15" s="1478">
        <f>SUMPRODUCT(L16:L179,S16:S179)</f>
        <v>1439852</v>
      </c>
      <c r="M15" s="1478">
        <f>SUM(M16:M179)</f>
        <v>54</v>
      </c>
      <c r="N15" s="1479" t="s">
        <v>229</v>
      </c>
      <c r="O15" s="1477">
        <v>5</v>
      </c>
      <c r="P15" s="1477"/>
      <c r="Q15" s="3225"/>
      <c r="R15" s="1477"/>
      <c r="S15" s="1477"/>
      <c r="T15" s="2983">
        <v>9083978</v>
      </c>
      <c r="U15" s="1480">
        <f>SUM(U16:U65)</f>
        <v>10447837</v>
      </c>
      <c r="V15" s="1480">
        <f>SUM(V16:V65)</f>
        <v>19531815</v>
      </c>
      <c r="W15" s="2987">
        <v>745533</v>
      </c>
      <c r="X15" s="1478">
        <f>SUM(X16:X23)</f>
        <v>803490</v>
      </c>
      <c r="Y15" s="1478">
        <f>SUM(Y16:Y23)</f>
        <v>1549023</v>
      </c>
      <c r="Z15" s="1481">
        <v>0</v>
      </c>
      <c r="AA15" s="1456"/>
    </row>
    <row r="16" spans="1:27">
      <c r="B16" s="1982">
        <v>0.68</v>
      </c>
      <c r="C16" s="1667" t="s">
        <v>735</v>
      </c>
      <c r="D16" s="2772">
        <v>92658</v>
      </c>
      <c r="E16" s="1669">
        <v>52870</v>
      </c>
      <c r="F16" s="1426">
        <f>SUM(D16:E16)</f>
        <v>145528</v>
      </c>
      <c r="H16" s="1460" t="s">
        <v>1198</v>
      </c>
      <c r="I16" s="1466">
        <v>110</v>
      </c>
      <c r="J16" s="1470" t="s">
        <v>110</v>
      </c>
      <c r="K16" s="1460" t="s">
        <v>845</v>
      </c>
      <c r="L16" s="1467">
        <v>12</v>
      </c>
      <c r="M16" s="1467">
        <v>12</v>
      </c>
      <c r="N16" s="1461">
        <v>7.1957982399485143E-2</v>
      </c>
      <c r="O16" s="1460">
        <v>7</v>
      </c>
      <c r="P16" s="1463" t="s">
        <v>996</v>
      </c>
      <c r="Q16" s="3233">
        <v>4625</v>
      </c>
      <c r="R16" s="1466">
        <v>8152</v>
      </c>
      <c r="S16" s="1469">
        <f t="shared" ref="S16:S23" si="0">Q16+R16</f>
        <v>12777</v>
      </c>
      <c r="T16" s="2991">
        <v>508750</v>
      </c>
      <c r="U16" s="1469">
        <f t="shared" ref="U16:U23" si="1">I16*R16</f>
        <v>896720</v>
      </c>
      <c r="V16" s="1469">
        <f t="shared" ref="V16:V23" si="2">T16+U16</f>
        <v>1405470</v>
      </c>
      <c r="W16" s="2993">
        <v>69375</v>
      </c>
      <c r="X16" s="1459">
        <f t="shared" ref="X16:X23" si="3">M16*R16</f>
        <v>97824</v>
      </c>
      <c r="Y16" s="1459">
        <f t="shared" ref="Y16:Y23" si="4">W16+X16</f>
        <v>167199</v>
      </c>
      <c r="Z16" s="1482"/>
      <c r="AA16" s="1456"/>
    </row>
    <row r="17" spans="2:27">
      <c r="B17" s="1982">
        <v>0.1</v>
      </c>
      <c r="C17" s="1667" t="s">
        <v>734</v>
      </c>
      <c r="D17" s="2784">
        <v>13898.699999999999</v>
      </c>
      <c r="E17" s="1668">
        <v>5399.7</v>
      </c>
      <c r="F17" s="1661">
        <f t="shared" ref="F17:F30" si="5">SUM(D17:E17)</f>
        <v>19298.399999999998</v>
      </c>
      <c r="H17" s="1460" t="s">
        <v>1199</v>
      </c>
      <c r="I17" s="1466">
        <v>57</v>
      </c>
      <c r="J17" s="1470" t="s">
        <v>110</v>
      </c>
      <c r="K17" s="1460" t="s">
        <v>845</v>
      </c>
      <c r="L17" s="1467">
        <v>4</v>
      </c>
      <c r="M17" s="1467">
        <v>4</v>
      </c>
      <c r="N17" s="1461">
        <v>3.1287261322104472E-2</v>
      </c>
      <c r="O17" s="1460">
        <v>7</v>
      </c>
      <c r="P17" s="1463" t="s">
        <v>996</v>
      </c>
      <c r="Q17" s="3233">
        <v>6239</v>
      </c>
      <c r="R17" s="1466">
        <v>4482</v>
      </c>
      <c r="S17" s="1469">
        <f t="shared" si="0"/>
        <v>10721</v>
      </c>
      <c r="T17" s="2991">
        <v>355623</v>
      </c>
      <c r="U17" s="1469">
        <f t="shared" si="1"/>
        <v>255474</v>
      </c>
      <c r="V17" s="1469">
        <f t="shared" si="2"/>
        <v>611097</v>
      </c>
      <c r="W17" s="2993">
        <v>24956</v>
      </c>
      <c r="X17" s="1459">
        <f t="shared" si="3"/>
        <v>17928</v>
      </c>
      <c r="Y17" s="1459">
        <f t="shared" si="4"/>
        <v>42884</v>
      </c>
      <c r="Z17" s="1482"/>
      <c r="AA17" s="1456"/>
    </row>
    <row r="18" spans="2:27">
      <c r="B18" s="1982">
        <v>0.1</v>
      </c>
      <c r="C18" s="1667" t="s">
        <v>737</v>
      </c>
      <c r="D18" s="2784">
        <v>13898.699999999999</v>
      </c>
      <c r="E18" s="1668">
        <v>14246.1675</v>
      </c>
      <c r="F18" s="1661">
        <f t="shared" si="5"/>
        <v>28144.8675</v>
      </c>
      <c r="H18" s="1460" t="s">
        <v>1200</v>
      </c>
      <c r="I18" s="1466">
        <v>80</v>
      </c>
      <c r="J18" s="1470" t="s">
        <v>110</v>
      </c>
      <c r="K18" s="1460" t="s">
        <v>845</v>
      </c>
      <c r="L18" s="1467">
        <v>4</v>
      </c>
      <c r="M18" s="1467">
        <v>4</v>
      </c>
      <c r="N18" s="1461">
        <v>0.37264330017461256</v>
      </c>
      <c r="O18" s="1460">
        <v>7</v>
      </c>
      <c r="P18" s="1463" t="s">
        <v>996</v>
      </c>
      <c r="Q18" s="3233">
        <v>46882</v>
      </c>
      <c r="R18" s="1466">
        <v>44098</v>
      </c>
      <c r="S18" s="1469">
        <f t="shared" si="0"/>
        <v>90980</v>
      </c>
      <c r="T18" s="2991">
        <v>3750560</v>
      </c>
      <c r="U18" s="1469">
        <f t="shared" si="1"/>
        <v>3527840</v>
      </c>
      <c r="V18" s="1469">
        <f t="shared" si="2"/>
        <v>7278400</v>
      </c>
      <c r="W18" s="2993">
        <v>187528</v>
      </c>
      <c r="X18" s="1459">
        <f t="shared" si="3"/>
        <v>176392</v>
      </c>
      <c r="Y18" s="1459">
        <f t="shared" si="4"/>
        <v>363920</v>
      </c>
      <c r="Z18" s="1482"/>
      <c r="AA18" s="1456"/>
    </row>
    <row r="19" spans="2:27">
      <c r="B19" s="1982"/>
      <c r="C19" s="1667"/>
      <c r="D19" s="2786"/>
      <c r="E19" s="1446"/>
      <c r="F19" s="1661">
        <f t="shared" si="5"/>
        <v>0</v>
      </c>
      <c r="H19" s="1460" t="s">
        <v>1201</v>
      </c>
      <c r="I19" s="1466">
        <v>99</v>
      </c>
      <c r="J19" s="1470" t="s">
        <v>110</v>
      </c>
      <c r="K19" s="1460" t="s">
        <v>845</v>
      </c>
      <c r="L19" s="1467">
        <v>8</v>
      </c>
      <c r="M19" s="1467">
        <v>8</v>
      </c>
      <c r="N19" s="1461">
        <v>6.5806326754579647E-2</v>
      </c>
      <c r="O19" s="1460">
        <v>7</v>
      </c>
      <c r="P19" s="1463" t="s">
        <v>996</v>
      </c>
      <c r="Q19" s="3233">
        <v>6031</v>
      </c>
      <c r="R19" s="1466">
        <v>6952</v>
      </c>
      <c r="S19" s="1469">
        <f t="shared" si="0"/>
        <v>12983</v>
      </c>
      <c r="T19" s="2991">
        <v>597069</v>
      </c>
      <c r="U19" s="1469">
        <f t="shared" si="1"/>
        <v>688248</v>
      </c>
      <c r="V19" s="1469">
        <f t="shared" si="2"/>
        <v>1285317</v>
      </c>
      <c r="W19" s="2993">
        <v>48248</v>
      </c>
      <c r="X19" s="1459">
        <f t="shared" si="3"/>
        <v>55616</v>
      </c>
      <c r="Y19" s="1459">
        <f t="shared" si="4"/>
        <v>103864</v>
      </c>
      <c r="Z19" s="1482"/>
      <c r="AA19" s="1456"/>
    </row>
    <row r="20" spans="2:27">
      <c r="B20" s="1449">
        <f>SUM(B16:B19)</f>
        <v>0.88</v>
      </c>
      <c r="C20" s="1488"/>
      <c r="D20" s="2770"/>
      <c r="E20" s="1490"/>
      <c r="F20" s="1492"/>
      <c r="H20" s="1460" t="s">
        <v>1202</v>
      </c>
      <c r="I20" s="1466">
        <v>100</v>
      </c>
      <c r="J20" s="1470" t="s">
        <v>110</v>
      </c>
      <c r="K20" s="1460" t="s">
        <v>845</v>
      </c>
      <c r="L20" s="1467">
        <v>8</v>
      </c>
      <c r="M20" s="1467">
        <v>8</v>
      </c>
      <c r="N20" s="1461">
        <v>0.28037332936032827</v>
      </c>
      <c r="O20" s="1460">
        <v>7</v>
      </c>
      <c r="P20" s="1463" t="s">
        <v>996</v>
      </c>
      <c r="Q20" s="3233">
        <v>25862</v>
      </c>
      <c r="R20" s="1466">
        <v>28900</v>
      </c>
      <c r="S20" s="1469">
        <f t="shared" si="0"/>
        <v>54762</v>
      </c>
      <c r="T20" s="2991">
        <v>2586200</v>
      </c>
      <c r="U20" s="1469">
        <f t="shared" si="1"/>
        <v>2890000</v>
      </c>
      <c r="V20" s="1469">
        <f t="shared" si="2"/>
        <v>5476200</v>
      </c>
      <c r="W20" s="2993">
        <v>258620</v>
      </c>
      <c r="X20" s="1459">
        <f t="shared" si="3"/>
        <v>231200</v>
      </c>
      <c r="Y20" s="1459">
        <f t="shared" si="4"/>
        <v>489820</v>
      </c>
      <c r="Z20" s="1482"/>
      <c r="AA20" s="1456"/>
    </row>
    <row r="21" spans="2:27">
      <c r="B21" s="1433" t="s">
        <v>296</v>
      </c>
      <c r="C21" s="1597" t="s">
        <v>44</v>
      </c>
      <c r="D21" s="2771">
        <f>SUM(D22:D25)</f>
        <v>20000</v>
      </c>
      <c r="E21" s="1464">
        <f>SUM(E22:E25)</f>
        <v>19437.5</v>
      </c>
      <c r="F21" s="1638">
        <f>D21+E21</f>
        <v>39437.5</v>
      </c>
      <c r="H21" s="1460" t="s">
        <v>1203</v>
      </c>
      <c r="I21" s="1466">
        <v>129</v>
      </c>
      <c r="J21" s="1470" t="s">
        <v>110</v>
      </c>
      <c r="K21" s="1460" t="s">
        <v>845</v>
      </c>
      <c r="L21" s="1467">
        <v>8</v>
      </c>
      <c r="M21" s="1467">
        <v>8</v>
      </c>
      <c r="N21" s="1461">
        <v>5.2790639272387127E-2</v>
      </c>
      <c r="O21" s="1460">
        <v>7</v>
      </c>
      <c r="P21" s="1463" t="s">
        <v>996</v>
      </c>
      <c r="Q21" s="3233">
        <v>3588</v>
      </c>
      <c r="R21" s="1466">
        <v>4405</v>
      </c>
      <c r="S21" s="1469">
        <f t="shared" si="0"/>
        <v>7993</v>
      </c>
      <c r="T21" s="2991">
        <v>462852</v>
      </c>
      <c r="U21" s="1469">
        <f t="shared" si="1"/>
        <v>568245</v>
      </c>
      <c r="V21" s="1469">
        <f t="shared" si="2"/>
        <v>1031097</v>
      </c>
      <c r="W21" s="2993">
        <v>35880</v>
      </c>
      <c r="X21" s="1459">
        <f t="shared" si="3"/>
        <v>35240</v>
      </c>
      <c r="Y21" s="1459">
        <f t="shared" si="4"/>
        <v>71120</v>
      </c>
      <c r="Z21" s="1482"/>
      <c r="AA21" s="1456"/>
    </row>
    <row r="22" spans="2:27">
      <c r="B22" s="1982">
        <f>(SUM(D22:E22)/2)/((80000+(80000*1.025))/2)</f>
        <v>0.24344135802469136</v>
      </c>
      <c r="C22" s="1667" t="s">
        <v>1195</v>
      </c>
      <c r="D22" s="2772">
        <v>20000</v>
      </c>
      <c r="E22" s="1669">
        <v>19437.5</v>
      </c>
      <c r="F22" s="1426">
        <f t="shared" si="5"/>
        <v>39437.5</v>
      </c>
      <c r="H22" s="1460" t="s">
        <v>1204</v>
      </c>
      <c r="I22" s="1466">
        <v>94</v>
      </c>
      <c r="J22" s="1470" t="s">
        <v>110</v>
      </c>
      <c r="K22" s="1460" t="s">
        <v>845</v>
      </c>
      <c r="L22" s="1467">
        <v>6</v>
      </c>
      <c r="M22" s="1467">
        <v>6</v>
      </c>
      <c r="N22" s="1461">
        <v>4.804960522102017E-2</v>
      </c>
      <c r="O22" s="1460">
        <v>7</v>
      </c>
      <c r="P22" s="1463" t="s">
        <v>996</v>
      </c>
      <c r="Q22" s="3233">
        <v>5869</v>
      </c>
      <c r="R22" s="1466">
        <v>4115</v>
      </c>
      <c r="S22" s="1469">
        <f t="shared" si="0"/>
        <v>9984</v>
      </c>
      <c r="T22" s="2991">
        <v>551686</v>
      </c>
      <c r="U22" s="1469">
        <f t="shared" si="1"/>
        <v>386810</v>
      </c>
      <c r="V22" s="1469">
        <f t="shared" si="2"/>
        <v>938496</v>
      </c>
      <c r="W22" s="2993">
        <v>46952</v>
      </c>
      <c r="X22" s="1459">
        <f t="shared" si="3"/>
        <v>24690</v>
      </c>
      <c r="Y22" s="1459">
        <f t="shared" si="4"/>
        <v>71642</v>
      </c>
      <c r="Z22" s="1482"/>
      <c r="AA22" s="1456"/>
    </row>
    <row r="23" spans="2:27">
      <c r="B23" s="1982"/>
      <c r="C23" s="1667"/>
      <c r="D23" s="2773"/>
      <c r="E23" s="1444"/>
      <c r="F23" s="1661">
        <f t="shared" si="5"/>
        <v>0</v>
      </c>
      <c r="H23" s="1460" t="s">
        <v>1205</v>
      </c>
      <c r="I23" s="1466">
        <v>30</v>
      </c>
      <c r="J23" s="1470" t="s">
        <v>110</v>
      </c>
      <c r="K23" s="1460" t="s">
        <v>845</v>
      </c>
      <c r="L23" s="1467">
        <v>4</v>
      </c>
      <c r="M23" s="1467">
        <v>4</v>
      </c>
      <c r="N23" s="1461">
        <v>7.7091555495482633E-2</v>
      </c>
      <c r="O23" s="1460">
        <v>12</v>
      </c>
      <c r="P23" s="1463" t="s">
        <v>996</v>
      </c>
      <c r="Q23" s="3233">
        <v>12329</v>
      </c>
      <c r="R23" s="1466">
        <v>41150</v>
      </c>
      <c r="S23" s="1469">
        <f t="shared" si="0"/>
        <v>53479</v>
      </c>
      <c r="T23" s="2991">
        <v>271238</v>
      </c>
      <c r="U23" s="1469">
        <f t="shared" si="1"/>
        <v>1234500</v>
      </c>
      <c r="V23" s="1469">
        <f t="shared" si="2"/>
        <v>1505738</v>
      </c>
      <c r="W23" s="2993">
        <v>73974</v>
      </c>
      <c r="X23" s="1459">
        <f t="shared" si="3"/>
        <v>164600</v>
      </c>
      <c r="Y23" s="1459">
        <f t="shared" si="4"/>
        <v>238574</v>
      </c>
      <c r="Z23" s="1482"/>
      <c r="AA23" s="1456"/>
    </row>
    <row r="24" spans="2:27">
      <c r="B24" s="1982"/>
      <c r="C24" s="1667"/>
      <c r="D24" s="2774"/>
      <c r="E24" s="1443"/>
      <c r="F24" s="1661">
        <f t="shared" si="5"/>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5"/>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0.24344135802469136</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93683.751799999998</v>
      </c>
      <c r="E27" s="1657">
        <f>SUM(E29:E31)+SUM(E33:E35)</f>
        <v>82574.124014999979</v>
      </c>
      <c r="F27" s="1638">
        <f>D27+E27</f>
        <v>176257.87581499998</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80343.751799999998</v>
      </c>
      <c r="E29" s="1641">
        <f>E15*E28</f>
        <v>49890.916839999991</v>
      </c>
      <c r="F29" s="1661">
        <f t="shared" si="5"/>
        <v>130234.66863999999</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13340</v>
      </c>
      <c r="E30" s="1641">
        <f>E21*E28</f>
        <v>13372.999999999998</v>
      </c>
      <c r="F30" s="1661">
        <f t="shared" si="5"/>
        <v>26713</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15228.332174999998</v>
      </c>
      <c r="F33" s="1661">
        <f>SUM(D33:E33)</f>
        <v>15228.332174999998</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635</v>
      </c>
      <c r="C34" s="1667" t="s">
        <v>720</v>
      </c>
      <c r="D34" s="2785"/>
      <c r="E34" s="1641">
        <f>E21*E32</f>
        <v>4081.875</v>
      </c>
      <c r="F34" s="1661">
        <f t="shared" ref="F34" si="6">SUM(D34:E34)</f>
        <v>4081.875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ht="25.5">
      <c r="A35" s="2143" t="s">
        <v>636</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637</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t="s">
        <v>262</v>
      </c>
      <c r="C37" s="1597" t="s">
        <v>46</v>
      </c>
      <c r="D37" s="2771">
        <f>SUM(D38:D41)</f>
        <v>50000</v>
      </c>
      <c r="E37" s="1464">
        <f>SUM(E38:E41)</f>
        <v>50000</v>
      </c>
      <c r="F37" s="1638">
        <f>D37+E37</f>
        <v>100000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5</v>
      </c>
      <c r="C38" s="1667" t="s">
        <v>1000</v>
      </c>
      <c r="D38" s="2778">
        <v>50000</v>
      </c>
      <c r="E38" s="1672">
        <v>50000</v>
      </c>
      <c r="F38" s="1661">
        <f t="shared" ref="F38:F47" si="7">SUM(D38:E38)</f>
        <v>100000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v>18230714</v>
      </c>
      <c r="C39" s="1667"/>
      <c r="D39" s="2778"/>
      <c r="E39" s="1672"/>
      <c r="F39" s="1661">
        <f t="shared" si="7"/>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t="s">
        <v>4</v>
      </c>
      <c r="C40" s="1667"/>
      <c r="D40" s="2778"/>
      <c r="E40" s="1672"/>
      <c r="F40" s="1661">
        <f t="shared" si="7"/>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7"/>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2750</v>
      </c>
      <c r="E43" s="1464">
        <f>SUM(E44:E47)</f>
        <v>6750</v>
      </c>
      <c r="F43" s="1638">
        <f>D43+E43</f>
        <v>9500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t="s">
        <v>1196</v>
      </c>
      <c r="D44" s="2778">
        <v>2500</v>
      </c>
      <c r="E44" s="1672">
        <v>6000</v>
      </c>
      <c r="F44" s="1661">
        <f t="shared" si="7"/>
        <v>8500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t="s">
        <v>1060</v>
      </c>
      <c r="D45" s="2778">
        <v>250</v>
      </c>
      <c r="E45" s="1672">
        <v>750</v>
      </c>
      <c r="F45" s="1661">
        <f t="shared" si="7"/>
        <v>1000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7"/>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7"/>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180000</v>
      </c>
      <c r="E49" s="1464">
        <f>SUM(E50:E53)</f>
        <v>182963</v>
      </c>
      <c r="F49" s="1638">
        <f>D49+E49</f>
        <v>362963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t="s">
        <v>833</v>
      </c>
      <c r="D50" s="2778">
        <v>125000</v>
      </c>
      <c r="E50" s="1672">
        <v>100000</v>
      </c>
      <c r="F50" s="1661">
        <f t="shared" ref="F50:F65" si="8">SUM(D50:E50)</f>
        <v>225000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t="s">
        <v>832</v>
      </c>
      <c r="D51" s="2778">
        <v>50000</v>
      </c>
      <c r="E51" s="1672">
        <v>72963</v>
      </c>
      <c r="F51" s="1661">
        <f t="shared" si="8"/>
        <v>122963</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t="s">
        <v>1197</v>
      </c>
      <c r="D52" s="2778">
        <v>5000</v>
      </c>
      <c r="E52" s="1672">
        <v>10000</v>
      </c>
      <c r="F52" s="1661">
        <f t="shared" si="8"/>
        <v>15000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8"/>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2800</v>
      </c>
      <c r="E55" s="1464">
        <f>SUM(E56:E59)</f>
        <v>3000</v>
      </c>
      <c r="F55" s="1638">
        <f>D55+E55</f>
        <v>5800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2800</v>
      </c>
      <c r="E56" s="1641">
        <v>3000</v>
      </c>
      <c r="F56" s="1661">
        <f t="shared" si="8"/>
        <v>5800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8"/>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8"/>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8"/>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500</v>
      </c>
      <c r="E61" s="1464">
        <f>SUM(E62:E65)</f>
        <v>500</v>
      </c>
      <c r="F61" s="1638">
        <f>D61+E61</f>
        <v>1000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500</v>
      </c>
      <c r="E62" s="1672">
        <v>500</v>
      </c>
      <c r="F62" s="1661">
        <f t="shared" si="8"/>
        <v>1000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635</v>
      </c>
      <c r="C64" s="1667"/>
      <c r="D64" s="2778"/>
      <c r="E64" s="1672"/>
      <c r="F64" s="1437">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ht="25.5">
      <c r="A65" s="2143" t="s">
        <v>636</v>
      </c>
      <c r="C65" s="1667"/>
      <c r="D65" s="2778"/>
      <c r="E65" s="1672"/>
      <c r="F65" s="1661">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637</v>
      </c>
      <c r="C66" s="1488"/>
      <c r="D66" s="2779"/>
      <c r="E66" s="1490"/>
      <c r="F66" s="1493"/>
    </row>
    <row r="67" spans="1:27">
      <c r="A67" s="2143" t="s">
        <v>262</v>
      </c>
      <c r="C67" s="1597" t="s">
        <v>50</v>
      </c>
      <c r="D67" s="2771">
        <f>W15</f>
        <v>745533</v>
      </c>
      <c r="E67" s="1464">
        <f>X15</f>
        <v>803490</v>
      </c>
      <c r="F67" s="1638">
        <f>D67+E67</f>
        <v>1549023</v>
      </c>
    </row>
    <row r="68" spans="1:27">
      <c r="A68" s="2143" t="s">
        <v>5</v>
      </c>
      <c r="C68" s="1500" t="s">
        <v>297</v>
      </c>
      <c r="D68" s="2781"/>
      <c r="E68" s="1496"/>
      <c r="F68" s="1499"/>
    </row>
    <row r="69" spans="1:27">
      <c r="A69" s="1663">
        <v>18230714</v>
      </c>
      <c r="C69" s="1501"/>
      <c r="D69" s="2782"/>
      <c r="E69" s="1497"/>
      <c r="F69" s="1498"/>
    </row>
    <row r="70" spans="1:27">
      <c r="A70" s="1663" t="s">
        <v>4</v>
      </c>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O16" sqref="O16"/>
      <pageMargins left="0.7" right="0.7" top="0.75" bottom="0.75" header="0.3" footer="0.3"/>
    </customSheetView>
    <customSheetView guid="{074EB09C-6289-46D7-9513-012B68BCA7BF}" showGridLines="0">
      <pane xSplit="1" ySplit="1" topLeftCell="B2" activePane="bottomRight" state="frozen"/>
      <selection pane="bottomRight"/>
      <pageMargins left="0.7" right="0.7" top="0.75" bottom="0.75" header="0.3" footer="0.3"/>
    </customSheetView>
  </customSheetViews>
  <mergeCells count="8">
    <mergeCell ref="S2:T2"/>
    <mergeCell ref="U2:W2"/>
    <mergeCell ref="X2:X3"/>
    <mergeCell ref="H10:P10"/>
    <mergeCell ref="H12:P12"/>
    <mergeCell ref="Q12:S12"/>
    <mergeCell ref="T12:V12"/>
    <mergeCell ref="W12:Y12"/>
  </mergeCells>
  <pageMargins left="0.45" right="0.2" top="0.75" bottom="0.75" header="0.3" footer="0.3"/>
  <pageSetup paperSize="3" scale="45"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rgb="FF8DB4E3"/>
  </sheetPr>
  <dimension ref="A1:AA128"/>
  <sheetViews>
    <sheetView showGridLines="0" zoomScaleNormal="100" workbookViewId="0">
      <pane xSplit="1" ySplit="1" topLeftCell="B13" activePane="bottomRight" state="frozen"/>
      <selection pane="topRight" activeCell="B1" sqref="B1"/>
      <selection pane="bottomLeft" activeCell="A2" sqref="A2"/>
      <selection pane="bottomRight" activeCell="D79" sqref="D79"/>
    </sheetView>
  </sheetViews>
  <sheetFormatPr defaultRowHeight="12.75"/>
  <cols>
    <col min="1" max="1" width="18.5703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33.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hidden="1" customWidth="1"/>
    <col min="16" max="16" width="13.85546875" style="1652" hidden="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6.25" customHeight="1" thickBot="1">
      <c r="C1" s="1361" t="s">
        <v>625</v>
      </c>
      <c r="D1" s="1361" t="s">
        <v>262</v>
      </c>
      <c r="E1" s="1361" t="s">
        <v>5</v>
      </c>
      <c r="F1" s="1361">
        <v>18230716</v>
      </c>
      <c r="G1" s="1361" t="s">
        <v>4</v>
      </c>
      <c r="J1" s="1190"/>
      <c r="M1" s="1361" t="s">
        <v>625</v>
      </c>
      <c r="N1" s="1361" t="s">
        <v>262</v>
      </c>
      <c r="O1" s="1361" t="s">
        <v>5</v>
      </c>
      <c r="P1" s="1361">
        <v>18230716</v>
      </c>
      <c r="Q1" s="1361" t="s">
        <v>4</v>
      </c>
      <c r="V1" s="1361" t="s">
        <v>625</v>
      </c>
      <c r="W1" s="1361" t="s">
        <v>262</v>
      </c>
      <c r="X1" s="1361" t="s">
        <v>5</v>
      </c>
      <c r="Y1" s="1361">
        <v>18230716</v>
      </c>
      <c r="Z1" s="1361" t="s">
        <v>4</v>
      </c>
    </row>
    <row r="2" spans="1:27" ht="16.5" thickBot="1">
      <c r="C2" s="1190"/>
      <c r="D2" s="1177"/>
      <c r="I2" s="1178" t="s">
        <v>627</v>
      </c>
      <c r="S2" s="3575"/>
      <c r="T2" s="3575"/>
      <c r="U2" s="3576" t="s">
        <v>33</v>
      </c>
      <c r="V2" s="3577"/>
      <c r="W2" s="3578"/>
      <c r="X2" s="3579" t="s">
        <v>34</v>
      </c>
    </row>
    <row r="3" spans="1:27" ht="26.25" thickBot="1">
      <c r="A3" s="2143" t="s">
        <v>625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34440.54</v>
      </c>
      <c r="J4" s="2960">
        <f>D21</f>
        <v>6400</v>
      </c>
      <c r="K4" s="2960">
        <f>D27</f>
        <v>27240.640180000002</v>
      </c>
      <c r="L4" s="2960">
        <f>D37</f>
        <v>15000</v>
      </c>
      <c r="M4" s="2960">
        <f>D43</f>
        <v>5225</v>
      </c>
      <c r="N4" s="2960">
        <f>D49</f>
        <v>1200</v>
      </c>
      <c r="O4" s="2960">
        <f>D55</f>
        <v>240</v>
      </c>
      <c r="P4" s="2960">
        <f>D61</f>
        <v>0</v>
      </c>
      <c r="Q4" s="2960">
        <f>D67</f>
        <v>0</v>
      </c>
      <c r="R4" s="2960">
        <f>D68</f>
        <v>0</v>
      </c>
      <c r="S4" s="2961">
        <f>SUM(I4:R4)</f>
        <v>89746.180179999996</v>
      </c>
      <c r="T4" s="2962">
        <f>T90</f>
        <v>1011436</v>
      </c>
      <c r="U4" s="2954">
        <f>Q4/S4</f>
        <v>0</v>
      </c>
      <c r="V4" s="2954">
        <f>(L4+(J4*1.63))/S4</f>
        <v>0.28337696321996264</v>
      </c>
      <c r="W4" s="2954">
        <f>N4/S4</f>
        <v>1.3371042618117144E-2</v>
      </c>
      <c r="X4" s="2953">
        <f>S4/T4</f>
        <v>8.8731447348126824E-2</v>
      </c>
    </row>
    <row r="5" spans="1:27" ht="16.5" thickBot="1">
      <c r="A5" s="2143" t="s">
        <v>5</v>
      </c>
      <c r="B5" s="2143"/>
      <c r="H5" s="3205" t="s">
        <v>1753</v>
      </c>
      <c r="I5" s="2617">
        <v>35301.620000000003</v>
      </c>
      <c r="J5" s="2618">
        <v>6560</v>
      </c>
      <c r="K5" s="2618">
        <v>28465.901600000001</v>
      </c>
      <c r="L5" s="2618">
        <v>15000</v>
      </c>
      <c r="M5" s="2618">
        <v>5225</v>
      </c>
      <c r="N5" s="2618">
        <v>1200</v>
      </c>
      <c r="O5" s="2618">
        <v>240</v>
      </c>
      <c r="P5" s="2618">
        <v>0</v>
      </c>
      <c r="Q5" s="2618">
        <v>147470</v>
      </c>
      <c r="R5" s="2618">
        <v>0</v>
      </c>
      <c r="S5" s="2619">
        <v>239462.52160000001</v>
      </c>
      <c r="T5" s="2620">
        <v>1112579.5999999999</v>
      </c>
      <c r="U5" s="1187">
        <f>Q5/S5</f>
        <v>0.61583749730296</v>
      </c>
      <c r="V5" s="1187">
        <f>(L5+(J5*1.63))/S5</f>
        <v>0.10729361667258079</v>
      </c>
      <c r="W5" s="1187">
        <f>N5/S5</f>
        <v>5.0112225996036619E-3</v>
      </c>
      <c r="X5" s="1155">
        <f>S5/T5</f>
        <v>0.21523181047001044</v>
      </c>
    </row>
    <row r="6" spans="1:27" ht="16.5" thickBot="1">
      <c r="A6" s="2143">
        <v>18230716</v>
      </c>
      <c r="B6" s="2143"/>
      <c r="D6" s="1190"/>
      <c r="H6" s="3206" t="s">
        <v>1754</v>
      </c>
      <c r="I6" s="2621">
        <f>E15</f>
        <v>27869.7</v>
      </c>
      <c r="J6" s="2622">
        <f>E21</f>
        <v>6560</v>
      </c>
      <c r="K6" s="2623">
        <f>E27</f>
        <v>30917.870599999995</v>
      </c>
      <c r="L6" s="2622">
        <f>E37</f>
        <v>15000</v>
      </c>
      <c r="M6" s="2622">
        <f>E43</f>
        <v>5225</v>
      </c>
      <c r="N6" s="2622">
        <f>E49</f>
        <v>1200</v>
      </c>
      <c r="O6" s="2622">
        <f>E55</f>
        <v>240</v>
      </c>
      <c r="P6" s="2622">
        <f>E61</f>
        <v>0</v>
      </c>
      <c r="Q6" s="2622">
        <f>E67</f>
        <v>148190</v>
      </c>
      <c r="R6" s="2622">
        <f>E68</f>
        <v>0</v>
      </c>
      <c r="S6" s="2624">
        <f>SUM(I6:R6)</f>
        <v>235202.57059999998</v>
      </c>
      <c r="T6" s="2625">
        <f>U15</f>
        <v>1112601</v>
      </c>
      <c r="U6" s="2631">
        <f>Q6/S6</f>
        <v>0.63005263769850994</v>
      </c>
      <c r="V6" s="2631">
        <f>(L6+(J6*1.63))/S6</f>
        <v>0.10923690134192778</v>
      </c>
      <c r="W6" s="2631">
        <f>N6/S6</f>
        <v>5.1019850545800122E-3</v>
      </c>
      <c r="X6" s="2626">
        <f>S6/T6</f>
        <v>0.2113988488236124</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89746.180179999996</v>
      </c>
      <c r="E12" s="1484">
        <f>E15+E21+E27+E37+E43+E49+E55+E61+E67</f>
        <v>235202.57059999998</v>
      </c>
      <c r="F12" s="1638">
        <f>D12+E12</f>
        <v>324948.75078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c r="R14" s="1458" t="s">
        <v>307</v>
      </c>
      <c r="S14" s="1472"/>
      <c r="T14" s="1473"/>
      <c r="U14" s="1473"/>
      <c r="V14" s="1473"/>
      <c r="W14" s="1474"/>
      <c r="X14" s="1474"/>
      <c r="Y14" s="1474"/>
      <c r="Z14" s="2244"/>
      <c r="AA14" s="1456"/>
    </row>
    <row r="15" spans="1:27">
      <c r="B15" s="1433" t="s">
        <v>296</v>
      </c>
      <c r="C15" s="1597" t="s">
        <v>43</v>
      </c>
      <c r="D15" s="2771">
        <f>SUM(D16:D19)</f>
        <v>34440.54</v>
      </c>
      <c r="E15" s="1464">
        <f>SUM(E16:E19)</f>
        <v>27869.7</v>
      </c>
      <c r="F15" s="1638">
        <f>D15+E15</f>
        <v>62310.240000000005</v>
      </c>
      <c r="H15" s="1475" t="s">
        <v>308</v>
      </c>
      <c r="I15" s="1476"/>
      <c r="J15" s="1476"/>
      <c r="K15" s="1477"/>
      <c r="L15" s="1478">
        <f>SUMPRODUCT(L16:L78,R16:R78)</f>
        <v>218760.99999999997</v>
      </c>
      <c r="M15" s="1478">
        <f>SUM(M16:M78)</f>
        <v>56480</v>
      </c>
      <c r="N15" s="1479" t="s">
        <v>229</v>
      </c>
      <c r="O15" s="1477">
        <v>11</v>
      </c>
      <c r="P15" s="1477"/>
      <c r="Q15" s="1477"/>
      <c r="R15" s="1477"/>
      <c r="S15" s="1477"/>
      <c r="T15" s="1480"/>
      <c r="U15" s="1480">
        <f>SUM(U16:U78)</f>
        <v>1112601</v>
      </c>
      <c r="V15" s="1480"/>
      <c r="W15" s="2983"/>
      <c r="X15" s="1480">
        <f>SUM(X16:X78)</f>
        <v>148190</v>
      </c>
      <c r="Y15" s="1480"/>
      <c r="Z15" s="1481">
        <v>0</v>
      </c>
      <c r="AA15" s="1456"/>
    </row>
    <row r="16" spans="1:27">
      <c r="B16" s="1982">
        <v>0.33</v>
      </c>
      <c r="C16" s="1667" t="s">
        <v>735</v>
      </c>
      <c r="D16" s="2772">
        <v>29908.890000000003</v>
      </c>
      <c r="E16" s="1669">
        <v>23224.75</v>
      </c>
      <c r="F16" s="1426">
        <f>SUM(D16:E16)</f>
        <v>53133.64</v>
      </c>
      <c r="H16" s="2420" t="s">
        <v>1869</v>
      </c>
      <c r="I16" s="2416">
        <v>2449</v>
      </c>
      <c r="J16" s="1470" t="s">
        <v>110</v>
      </c>
      <c r="K16" s="1460" t="s">
        <v>845</v>
      </c>
      <c r="L16" s="2427">
        <v>769</v>
      </c>
      <c r="M16" s="2427">
        <v>1000</v>
      </c>
      <c r="N16" s="2457">
        <v>1.2985501303625253E-2</v>
      </c>
      <c r="O16" s="1460">
        <v>12</v>
      </c>
      <c r="P16" s="1463" t="s">
        <v>1252</v>
      </c>
      <c r="Q16" s="2422"/>
      <c r="R16" s="2422">
        <v>5.5</v>
      </c>
      <c r="S16" s="1469"/>
      <c r="T16" s="1469"/>
      <c r="U16" s="1469">
        <f>I16*R16</f>
        <v>13469.5</v>
      </c>
      <c r="V16" s="1469"/>
      <c r="W16" s="2993"/>
      <c r="X16" s="1459">
        <f t="shared" ref="X16:X52" si="0">M16*R16</f>
        <v>5500</v>
      </c>
      <c r="Y16" s="1459"/>
      <c r="Z16" s="1482">
        <v>1357</v>
      </c>
      <c r="AA16" s="1456"/>
    </row>
    <row r="17" spans="2:27">
      <c r="B17" s="1982">
        <v>0.05</v>
      </c>
      <c r="C17" s="1667" t="s">
        <v>734</v>
      </c>
      <c r="D17" s="2784">
        <v>4531.6500000000005</v>
      </c>
      <c r="E17" s="1668">
        <v>4644.95</v>
      </c>
      <c r="F17" s="1661">
        <f t="shared" ref="F17:F30" si="1">SUM(D17:E17)</f>
        <v>9176.6</v>
      </c>
      <c r="H17" s="2420" t="s">
        <v>1870</v>
      </c>
      <c r="I17" s="2416">
        <v>19482</v>
      </c>
      <c r="J17" s="1470" t="s">
        <v>110</v>
      </c>
      <c r="K17" s="1460" t="s">
        <v>845</v>
      </c>
      <c r="L17" s="2427">
        <v>304</v>
      </c>
      <c r="M17" s="2427">
        <v>250</v>
      </c>
      <c r="N17" s="2457">
        <v>4.2718105367663725E-2</v>
      </c>
      <c r="O17" s="1460">
        <v>12</v>
      </c>
      <c r="P17" s="1463" t="s">
        <v>1252</v>
      </c>
      <c r="Q17" s="2422"/>
      <c r="R17" s="2422">
        <v>2.2000000000000002</v>
      </c>
      <c r="S17" s="1469"/>
      <c r="T17" s="1469"/>
      <c r="U17" s="1469">
        <f t="shared" ref="U17:U52" si="2">I17*R17</f>
        <v>42860.4</v>
      </c>
      <c r="V17" s="1469"/>
      <c r="W17" s="2993"/>
      <c r="X17" s="1459">
        <f t="shared" si="0"/>
        <v>550</v>
      </c>
      <c r="Y17" s="1459"/>
      <c r="Z17" s="1482">
        <v>0</v>
      </c>
      <c r="AA17" s="1456"/>
    </row>
    <row r="18" spans="2:27">
      <c r="B18" s="1982"/>
      <c r="C18" s="1667"/>
      <c r="D18" s="2784"/>
      <c r="E18" s="1668"/>
      <c r="F18" s="1661">
        <f t="shared" si="1"/>
        <v>0</v>
      </c>
      <c r="H18" s="2420" t="s">
        <v>1871</v>
      </c>
      <c r="I18" s="2416">
        <v>29092</v>
      </c>
      <c r="J18" s="1470" t="s">
        <v>110</v>
      </c>
      <c r="K18" s="1460" t="s">
        <v>845</v>
      </c>
      <c r="L18" s="2427">
        <v>406</v>
      </c>
      <c r="M18" s="2427">
        <v>350</v>
      </c>
      <c r="N18" s="2457">
        <v>3.0279657032683295E-2</v>
      </c>
      <c r="O18" s="1460">
        <v>12</v>
      </c>
      <c r="P18" s="1463" t="s">
        <v>1252</v>
      </c>
      <c r="Q18" s="2422"/>
      <c r="R18" s="2422">
        <v>1.1000000000000001</v>
      </c>
      <c r="S18" s="1469"/>
      <c r="T18" s="1469"/>
      <c r="U18" s="1469">
        <f t="shared" si="2"/>
        <v>32001.200000000004</v>
      </c>
      <c r="V18" s="1469"/>
      <c r="W18" s="2993"/>
      <c r="X18" s="1459">
        <f t="shared" si="0"/>
        <v>385.00000000000006</v>
      </c>
      <c r="Y18" s="1459"/>
      <c r="Z18" s="1482">
        <v>0</v>
      </c>
      <c r="AA18" s="1456"/>
    </row>
    <row r="19" spans="2:27">
      <c r="B19" s="1982"/>
      <c r="C19" s="1667"/>
      <c r="D19" s="2786"/>
      <c r="E19" s="1446"/>
      <c r="F19" s="1661">
        <f t="shared" si="1"/>
        <v>0</v>
      </c>
      <c r="H19" s="2420" t="s">
        <v>1872</v>
      </c>
      <c r="I19" s="2416">
        <v>32702</v>
      </c>
      <c r="J19" s="1470" t="s">
        <v>110</v>
      </c>
      <c r="K19" s="1460" t="s">
        <v>845</v>
      </c>
      <c r="L19" s="2427">
        <v>508</v>
      </c>
      <c r="M19" s="2427">
        <v>450</v>
      </c>
      <c r="N19" s="2457">
        <v>3.586784880875972E-2</v>
      </c>
      <c r="O19" s="1460">
        <v>12</v>
      </c>
      <c r="P19" s="1463" t="s">
        <v>1252</v>
      </c>
      <c r="Q19" s="2422"/>
      <c r="R19" s="2422">
        <v>1.1000000000000001</v>
      </c>
      <c r="S19" s="1469"/>
      <c r="T19" s="1469"/>
      <c r="U19" s="1469">
        <f t="shared" si="2"/>
        <v>35972.200000000004</v>
      </c>
      <c r="V19" s="1469"/>
      <c r="W19" s="2993"/>
      <c r="X19" s="1459">
        <f t="shared" si="0"/>
        <v>495.00000000000006</v>
      </c>
      <c r="Y19" s="1459"/>
      <c r="Z19" s="1482">
        <v>0</v>
      </c>
      <c r="AA19" s="1456"/>
    </row>
    <row r="20" spans="2:27">
      <c r="B20" s="1449">
        <f>SUM(B16:B19)</f>
        <v>0.38</v>
      </c>
      <c r="C20" s="1488"/>
      <c r="D20" s="2770"/>
      <c r="E20" s="1490"/>
      <c r="F20" s="1492"/>
      <c r="H20" s="2420" t="s">
        <v>1873</v>
      </c>
      <c r="I20" s="2416">
        <v>39311</v>
      </c>
      <c r="J20" s="1470" t="s">
        <v>110</v>
      </c>
      <c r="K20" s="1460" t="s">
        <v>845</v>
      </c>
      <c r="L20" s="2427">
        <v>608</v>
      </c>
      <c r="M20" s="2427">
        <v>550</v>
      </c>
      <c r="N20" s="2457">
        <v>0.21560971939359078</v>
      </c>
      <c r="O20" s="1460">
        <v>12</v>
      </c>
      <c r="P20" s="1463" t="s">
        <v>1252</v>
      </c>
      <c r="Q20" s="2422"/>
      <c r="R20" s="2422">
        <v>5.5</v>
      </c>
      <c r="S20" s="1469"/>
      <c r="T20" s="1469"/>
      <c r="U20" s="1469">
        <f t="shared" si="2"/>
        <v>216210.5</v>
      </c>
      <c r="V20" s="1469"/>
      <c r="W20" s="2993"/>
      <c r="X20" s="1459">
        <f t="shared" si="0"/>
        <v>3025</v>
      </c>
      <c r="Y20" s="1459"/>
      <c r="Z20" s="1482">
        <v>0</v>
      </c>
      <c r="AA20" s="1456"/>
    </row>
    <row r="21" spans="2:27">
      <c r="B21" s="1433" t="s">
        <v>296</v>
      </c>
      <c r="C21" s="1597" t="s">
        <v>44</v>
      </c>
      <c r="D21" s="2771">
        <f>SUM(D22:D25)</f>
        <v>6400</v>
      </c>
      <c r="E21" s="1464">
        <f>SUM(E22:E25)</f>
        <v>6560</v>
      </c>
      <c r="F21" s="1638">
        <f>D21+E21</f>
        <v>12960</v>
      </c>
      <c r="H21" s="2420" t="s">
        <v>1874</v>
      </c>
      <c r="I21" s="2416">
        <v>65751</v>
      </c>
      <c r="J21" s="1470" t="s">
        <v>110</v>
      </c>
      <c r="K21" s="1460" t="s">
        <v>845</v>
      </c>
      <c r="L21" s="2427">
        <v>1014</v>
      </c>
      <c r="M21" s="2427">
        <v>950</v>
      </c>
      <c r="N21" s="2457">
        <v>0.14428008223216598</v>
      </c>
      <c r="O21" s="1460">
        <v>12</v>
      </c>
      <c r="P21" s="1463" t="s">
        <v>1252</v>
      </c>
      <c r="Q21" s="2422"/>
      <c r="R21" s="2422">
        <v>2.2000000000000002</v>
      </c>
      <c r="S21" s="1469"/>
      <c r="T21" s="1469"/>
      <c r="U21" s="1469">
        <f t="shared" si="2"/>
        <v>144652.20000000001</v>
      </c>
      <c r="V21" s="1469"/>
      <c r="W21" s="2993"/>
      <c r="X21" s="1459">
        <f t="shared" si="0"/>
        <v>2090</v>
      </c>
      <c r="Y21" s="1459"/>
      <c r="Z21" s="1482">
        <v>0</v>
      </c>
      <c r="AA21" s="1456"/>
    </row>
    <row r="22" spans="2:27">
      <c r="B22" s="1982">
        <f>(SUM(D22:E22)/2)/((80000+(80000*1.025))/2)</f>
        <v>0.05</v>
      </c>
      <c r="C22" s="1667" t="s">
        <v>1214</v>
      </c>
      <c r="D22" s="2772">
        <v>4000</v>
      </c>
      <c r="E22" s="1669">
        <v>4100</v>
      </c>
      <c r="F22" s="1426">
        <f t="shared" si="1"/>
        <v>8100</v>
      </c>
      <c r="H22" s="2420" t="s">
        <v>1225</v>
      </c>
      <c r="I22" s="2416">
        <v>805</v>
      </c>
      <c r="J22" s="1470" t="s">
        <v>110</v>
      </c>
      <c r="K22" s="1460" t="s">
        <v>845</v>
      </c>
      <c r="L22" s="2427">
        <v>286</v>
      </c>
      <c r="M22" s="2427">
        <v>100</v>
      </c>
      <c r="N22" s="2457" t="s">
        <v>229</v>
      </c>
      <c r="O22" s="1460">
        <v>10</v>
      </c>
      <c r="P22" s="1463" t="s">
        <v>1253</v>
      </c>
      <c r="Q22" s="2422"/>
      <c r="R22" s="2422"/>
      <c r="S22" s="1469"/>
      <c r="T22" s="1469"/>
      <c r="U22" s="1469">
        <f t="shared" si="2"/>
        <v>0</v>
      </c>
      <c r="V22" s="1469"/>
      <c r="W22" s="2993"/>
      <c r="X22" s="1459">
        <f t="shared" si="0"/>
        <v>0</v>
      </c>
      <c r="Y22" s="1459"/>
      <c r="Z22" s="1482">
        <v>0</v>
      </c>
      <c r="AA22" s="1456"/>
    </row>
    <row r="23" spans="2:27">
      <c r="B23" s="1982">
        <f>(SUM(D23:E23)/2)/((80000+(80000*1.025))/2)</f>
        <v>0.03</v>
      </c>
      <c r="C23" s="1667" t="s">
        <v>1206</v>
      </c>
      <c r="D23" s="2772">
        <v>2400</v>
      </c>
      <c r="E23" s="1669">
        <v>2460</v>
      </c>
      <c r="F23" s="1661">
        <f t="shared" si="1"/>
        <v>4860</v>
      </c>
      <c r="H23" s="2420" t="s">
        <v>1226</v>
      </c>
      <c r="I23" s="2416">
        <v>1117</v>
      </c>
      <c r="J23" s="1470" t="s">
        <v>110</v>
      </c>
      <c r="K23" s="1460" t="s">
        <v>845</v>
      </c>
      <c r="L23" s="2427">
        <v>266</v>
      </c>
      <c r="M23" s="2427">
        <v>100</v>
      </c>
      <c r="N23" s="2457" t="s">
        <v>229</v>
      </c>
      <c r="O23" s="1460">
        <v>10</v>
      </c>
      <c r="P23" s="1463" t="s">
        <v>1253</v>
      </c>
      <c r="Q23" s="2422"/>
      <c r="R23" s="2422"/>
      <c r="S23" s="1469"/>
      <c r="T23" s="1469"/>
      <c r="U23" s="1469">
        <f t="shared" si="2"/>
        <v>0</v>
      </c>
      <c r="V23" s="1469"/>
      <c r="W23" s="2993"/>
      <c r="X23" s="1459">
        <f t="shared" si="0"/>
        <v>0</v>
      </c>
      <c r="Y23" s="1459"/>
      <c r="Z23" s="1482">
        <v>0</v>
      </c>
      <c r="AA23" s="1456"/>
    </row>
    <row r="24" spans="2:27">
      <c r="B24" s="1982"/>
      <c r="C24" s="1667"/>
      <c r="D24" s="2774"/>
      <c r="E24" s="1443"/>
      <c r="F24" s="1661">
        <f t="shared" si="1"/>
        <v>0</v>
      </c>
      <c r="H24" s="2420" t="s">
        <v>1227</v>
      </c>
      <c r="I24" s="2416">
        <v>1807</v>
      </c>
      <c r="J24" s="1470" t="s">
        <v>110</v>
      </c>
      <c r="K24" s="1460" t="s">
        <v>845</v>
      </c>
      <c r="L24" s="2427">
        <v>592</v>
      </c>
      <c r="M24" s="2427">
        <v>300</v>
      </c>
      <c r="N24" s="2457" t="s">
        <v>229</v>
      </c>
      <c r="O24" s="1460">
        <v>10</v>
      </c>
      <c r="P24" s="1463" t="s">
        <v>1253</v>
      </c>
      <c r="Q24" s="2422"/>
      <c r="R24" s="2422"/>
      <c r="S24" s="1469"/>
      <c r="T24" s="1469"/>
      <c r="U24" s="1469">
        <f t="shared" si="2"/>
        <v>0</v>
      </c>
      <c r="V24" s="1469"/>
      <c r="W24" s="2993"/>
      <c r="X24" s="1459">
        <f t="shared" si="0"/>
        <v>0</v>
      </c>
      <c r="Y24" s="1459"/>
      <c r="Z24" s="1482">
        <v>0</v>
      </c>
      <c r="AA24" s="1456"/>
    </row>
    <row r="25" spans="2:27">
      <c r="B25" s="1982"/>
      <c r="C25" s="1667"/>
      <c r="D25" s="2775"/>
      <c r="E25" s="1444"/>
      <c r="F25" s="1661">
        <f t="shared" si="1"/>
        <v>0</v>
      </c>
      <c r="H25" s="2420" t="s">
        <v>1228</v>
      </c>
      <c r="I25" s="2416">
        <v>2601</v>
      </c>
      <c r="J25" s="1470" t="s">
        <v>110</v>
      </c>
      <c r="K25" s="1460" t="s">
        <v>845</v>
      </c>
      <c r="L25" s="2427">
        <v>589</v>
      </c>
      <c r="M25" s="2427">
        <v>300</v>
      </c>
      <c r="N25" s="2457" t="s">
        <v>229</v>
      </c>
      <c r="O25" s="1460">
        <v>10</v>
      </c>
      <c r="P25" s="1463" t="s">
        <v>1253</v>
      </c>
      <c r="Q25" s="2422"/>
      <c r="R25" s="2422"/>
      <c r="S25" s="1469"/>
      <c r="T25" s="1469"/>
      <c r="U25" s="1469">
        <f t="shared" si="2"/>
        <v>0</v>
      </c>
      <c r="V25" s="1469"/>
      <c r="W25" s="2993"/>
      <c r="X25" s="1459">
        <f t="shared" si="0"/>
        <v>0</v>
      </c>
      <c r="Y25" s="1459"/>
      <c r="Z25" s="1482">
        <v>0</v>
      </c>
      <c r="AA25" s="1456"/>
    </row>
    <row r="26" spans="2:27">
      <c r="B26" s="1449">
        <f>SUM(B22:B25)</f>
        <v>0.08</v>
      </c>
      <c r="C26" s="1424"/>
      <c r="D26" s="2776"/>
      <c r="E26" s="1431"/>
      <c r="F26" s="1439"/>
      <c r="H26" s="2420" t="s">
        <v>1229</v>
      </c>
      <c r="I26" s="2416">
        <v>3641</v>
      </c>
      <c r="J26" s="1470" t="s">
        <v>110</v>
      </c>
      <c r="K26" s="1460" t="s">
        <v>845</v>
      </c>
      <c r="L26" s="2427">
        <v>939</v>
      </c>
      <c r="M26" s="2427">
        <v>300</v>
      </c>
      <c r="N26" s="2457" t="s">
        <v>229</v>
      </c>
      <c r="O26" s="1460">
        <v>10</v>
      </c>
      <c r="P26" s="1463" t="s">
        <v>1253</v>
      </c>
      <c r="Q26" s="2422"/>
      <c r="R26" s="2422"/>
      <c r="S26" s="1469"/>
      <c r="T26" s="1469"/>
      <c r="U26" s="1469">
        <f t="shared" si="2"/>
        <v>0</v>
      </c>
      <c r="V26" s="1469"/>
      <c r="W26" s="2993"/>
      <c r="X26" s="1459">
        <f t="shared" si="0"/>
        <v>0</v>
      </c>
      <c r="Y26" s="1459"/>
      <c r="Z26" s="1482">
        <v>0</v>
      </c>
      <c r="AA26" s="1456"/>
    </row>
    <row r="27" spans="2:27">
      <c r="C27" s="1597" t="s">
        <v>1737</v>
      </c>
      <c r="D27" s="2771">
        <f>SUM(D29:D35)</f>
        <v>27240.640180000002</v>
      </c>
      <c r="E27" s="1657">
        <f>SUM(E29:E31)+SUM(E33:E35)</f>
        <v>30917.870599999995</v>
      </c>
      <c r="F27" s="1638">
        <f>D27+E27</f>
        <v>58158.510779999997</v>
      </c>
      <c r="H27" s="2420" t="s">
        <v>1230</v>
      </c>
      <c r="I27" s="2416">
        <v>2518</v>
      </c>
      <c r="J27" s="1470" t="s">
        <v>110</v>
      </c>
      <c r="K27" s="1460" t="s">
        <v>845</v>
      </c>
      <c r="L27" s="2427">
        <v>793</v>
      </c>
      <c r="M27" s="2427">
        <v>500</v>
      </c>
      <c r="N27" s="2457">
        <v>2.6702729507985619E-3</v>
      </c>
      <c r="O27" s="1460">
        <v>12</v>
      </c>
      <c r="P27" s="1463" t="s">
        <v>1252</v>
      </c>
      <c r="Q27" s="2422"/>
      <c r="R27" s="2422">
        <v>1.1000000000000001</v>
      </c>
      <c r="S27" s="1469"/>
      <c r="T27" s="1469"/>
      <c r="U27" s="1469">
        <f t="shared" si="2"/>
        <v>2769.8</v>
      </c>
      <c r="V27" s="1469"/>
      <c r="W27" s="2993"/>
      <c r="X27" s="1459">
        <f t="shared" si="0"/>
        <v>550</v>
      </c>
      <c r="Y27" s="1459"/>
      <c r="Z27" s="1482">
        <v>0</v>
      </c>
      <c r="AA27" s="1456"/>
    </row>
    <row r="28" spans="2:27">
      <c r="C28" s="1450" t="s">
        <v>1733</v>
      </c>
      <c r="D28" s="2777">
        <v>0.66700000000000004</v>
      </c>
      <c r="E28" s="1452">
        <v>0.68799999999999994</v>
      </c>
      <c r="F28" s="1485"/>
      <c r="H28" s="2420" t="s">
        <v>1231</v>
      </c>
      <c r="I28" s="2416">
        <v>2774</v>
      </c>
      <c r="J28" s="1470" t="s">
        <v>110</v>
      </c>
      <c r="K28" s="1460" t="s">
        <v>845</v>
      </c>
      <c r="L28" s="2427">
        <v>1007</v>
      </c>
      <c r="M28" s="2427">
        <v>1000</v>
      </c>
      <c r="N28" s="2457">
        <v>8.8252627071269379E-2</v>
      </c>
      <c r="O28" s="1460">
        <v>12</v>
      </c>
      <c r="P28" s="1463" t="s">
        <v>1252</v>
      </c>
      <c r="Q28" s="2422"/>
      <c r="R28" s="2422">
        <v>33</v>
      </c>
      <c r="S28" s="1469"/>
      <c r="T28" s="1469"/>
      <c r="U28" s="1469">
        <f t="shared" si="2"/>
        <v>91542</v>
      </c>
      <c r="V28" s="1469"/>
      <c r="W28" s="2993"/>
      <c r="X28" s="1459">
        <f t="shared" si="0"/>
        <v>33000</v>
      </c>
      <c r="Y28" s="1459"/>
      <c r="Z28" s="1482">
        <v>0</v>
      </c>
      <c r="AA28" s="1456"/>
    </row>
    <row r="29" spans="2:27">
      <c r="C29" s="1667" t="s">
        <v>719</v>
      </c>
      <c r="D29" s="2778">
        <f>D15*D28</f>
        <v>22971.840180000003</v>
      </c>
      <c r="E29" s="1641">
        <f>E15*E28</f>
        <v>19174.353599999999</v>
      </c>
      <c r="F29" s="1661">
        <f t="shared" si="1"/>
        <v>42146.193780000001</v>
      </c>
      <c r="H29" s="2420" t="s">
        <v>1232</v>
      </c>
      <c r="I29" s="2416">
        <v>5548</v>
      </c>
      <c r="J29" s="1470" t="s">
        <v>110</v>
      </c>
      <c r="K29" s="1460" t="s">
        <v>845</v>
      </c>
      <c r="L29" s="2427">
        <v>2014</v>
      </c>
      <c r="M29" s="2427">
        <v>2000</v>
      </c>
      <c r="N29" s="2457">
        <v>5.8835084714179586E-2</v>
      </c>
      <c r="O29" s="1460">
        <v>12</v>
      </c>
      <c r="P29" s="1463" t="s">
        <v>1252</v>
      </c>
      <c r="Q29" s="2422"/>
      <c r="R29" s="2422">
        <v>11</v>
      </c>
      <c r="S29" s="1469"/>
      <c r="T29" s="1469"/>
      <c r="U29" s="1469">
        <f t="shared" si="2"/>
        <v>61028</v>
      </c>
      <c r="V29" s="1469"/>
      <c r="W29" s="2993"/>
      <c r="X29" s="1459">
        <f t="shared" si="0"/>
        <v>22000</v>
      </c>
      <c r="Y29" s="1459"/>
      <c r="Z29" s="1482">
        <v>0</v>
      </c>
      <c r="AA29" s="1456"/>
    </row>
    <row r="30" spans="2:27">
      <c r="C30" s="1667" t="s">
        <v>720</v>
      </c>
      <c r="D30" s="2785">
        <f>D21*D28</f>
        <v>4268.8</v>
      </c>
      <c r="E30" s="1641">
        <f>E21*E28</f>
        <v>4513.28</v>
      </c>
      <c r="F30" s="1661">
        <f t="shared" si="1"/>
        <v>8782.08</v>
      </c>
      <c r="H30" s="2420" t="s">
        <v>1887</v>
      </c>
      <c r="I30" s="2416">
        <v>11497</v>
      </c>
      <c r="J30" s="1470" t="s">
        <v>110</v>
      </c>
      <c r="K30" s="1460" t="s">
        <v>845</v>
      </c>
      <c r="L30" s="2427">
        <v>1054</v>
      </c>
      <c r="M30" s="2427">
        <v>1000</v>
      </c>
      <c r="N30" s="2457">
        <v>1.2192266924277627E-2</v>
      </c>
      <c r="O30" s="1460">
        <v>12</v>
      </c>
      <c r="P30" s="1463" t="s">
        <v>1252</v>
      </c>
      <c r="Q30" s="2422"/>
      <c r="R30" s="2422">
        <v>1.1000000000000001</v>
      </c>
      <c r="S30" s="1469"/>
      <c r="T30" s="1469"/>
      <c r="U30" s="1469">
        <f t="shared" si="2"/>
        <v>12646.7</v>
      </c>
      <c r="V30" s="1469"/>
      <c r="W30" s="2993"/>
      <c r="X30" s="1459">
        <f t="shared" si="0"/>
        <v>1100</v>
      </c>
      <c r="Y30" s="1459"/>
      <c r="Z30" s="1482">
        <v>0</v>
      </c>
      <c r="AA30" s="1456"/>
    </row>
    <row r="31" spans="2:27">
      <c r="C31" s="1667"/>
      <c r="D31" s="2774"/>
      <c r="E31" s="1443"/>
      <c r="F31" s="1436"/>
      <c r="H31" s="2420" t="s">
        <v>1234</v>
      </c>
      <c r="I31" s="2416">
        <v>2254</v>
      </c>
      <c r="J31" s="1470" t="s">
        <v>110</v>
      </c>
      <c r="K31" s="1460" t="s">
        <v>845</v>
      </c>
      <c r="L31" s="2427">
        <v>232</v>
      </c>
      <c r="M31" s="2427">
        <v>150</v>
      </c>
      <c r="N31" s="2457">
        <v>5.0341194810546355E-3</v>
      </c>
      <c r="O31" s="1460">
        <v>10</v>
      </c>
      <c r="P31" s="1463" t="s">
        <v>997</v>
      </c>
      <c r="Q31" s="2422"/>
      <c r="R31" s="2422">
        <v>2.2000000000000002</v>
      </c>
      <c r="S31" s="1469"/>
      <c r="T31" s="1469"/>
      <c r="U31" s="1469">
        <f t="shared" si="2"/>
        <v>4958.8</v>
      </c>
      <c r="V31" s="1469"/>
      <c r="W31" s="2993"/>
      <c r="X31" s="1459">
        <f t="shared" si="0"/>
        <v>330</v>
      </c>
      <c r="Y31" s="1459"/>
      <c r="Z31" s="1482">
        <v>1126.21</v>
      </c>
      <c r="AA31" s="1456"/>
    </row>
    <row r="32" spans="2:27">
      <c r="C32" s="1450" t="s">
        <v>1734</v>
      </c>
      <c r="D32" s="2777"/>
      <c r="E32" s="1452">
        <v>0.21</v>
      </c>
      <c r="F32" s="1485"/>
      <c r="H32" s="2420" t="s">
        <v>1235</v>
      </c>
      <c r="I32" s="2416">
        <v>2309</v>
      </c>
      <c r="J32" s="1470" t="s">
        <v>110</v>
      </c>
      <c r="K32" s="1460" t="s">
        <v>845</v>
      </c>
      <c r="L32" s="2427">
        <v>232</v>
      </c>
      <c r="M32" s="2427">
        <v>150</v>
      </c>
      <c r="N32" s="2457">
        <v>3.8676235843306414E-2</v>
      </c>
      <c r="O32" s="1460">
        <v>10</v>
      </c>
      <c r="P32" s="1463" t="s">
        <v>997</v>
      </c>
      <c r="Q32" s="2422"/>
      <c r="R32" s="2422">
        <v>16.5</v>
      </c>
      <c r="S32" s="1469"/>
      <c r="T32" s="1469"/>
      <c r="U32" s="1469">
        <f t="shared" si="2"/>
        <v>38098.5</v>
      </c>
      <c r="V32" s="1469"/>
      <c r="W32" s="2993"/>
      <c r="X32" s="1459">
        <f t="shared" si="0"/>
        <v>2475</v>
      </c>
      <c r="Y32" s="1459"/>
      <c r="Z32" s="1482">
        <v>479.68</v>
      </c>
      <c r="AA32" s="1456"/>
    </row>
    <row r="33" spans="1:27">
      <c r="C33" s="1667" t="s">
        <v>719</v>
      </c>
      <c r="D33" s="2778"/>
      <c r="E33" s="1641">
        <f>E15*E32</f>
        <v>5852.6369999999997</v>
      </c>
      <c r="F33" s="1661">
        <f>SUM(D33:E33)</f>
        <v>5852.6369999999997</v>
      </c>
      <c r="H33" s="2420" t="s">
        <v>1236</v>
      </c>
      <c r="I33" s="2416">
        <v>1349</v>
      </c>
      <c r="J33" s="1470" t="s">
        <v>110</v>
      </c>
      <c r="K33" s="1460" t="s">
        <v>845</v>
      </c>
      <c r="L33" s="2427">
        <v>192</v>
      </c>
      <c r="M33" s="2427">
        <v>150</v>
      </c>
      <c r="N33" s="2457">
        <v>7.5316362049784686E-3</v>
      </c>
      <c r="O33" s="1460">
        <v>10</v>
      </c>
      <c r="P33" s="1463" t="s">
        <v>997</v>
      </c>
      <c r="Q33" s="2422"/>
      <c r="R33" s="2422">
        <v>5.5</v>
      </c>
      <c r="S33" s="1469"/>
      <c r="T33" s="1469"/>
      <c r="U33" s="1469">
        <f t="shared" si="2"/>
        <v>7419.5</v>
      </c>
      <c r="V33" s="1469"/>
      <c r="W33" s="2993"/>
      <c r="X33" s="1459">
        <f t="shared" si="0"/>
        <v>825</v>
      </c>
      <c r="Y33" s="1459"/>
      <c r="Z33" s="1482">
        <v>398.25414259025149</v>
      </c>
      <c r="AA33" s="1456"/>
    </row>
    <row r="34" spans="1:27" ht="25.5">
      <c r="A34" s="2143" t="s">
        <v>625</v>
      </c>
      <c r="C34" s="1667" t="s">
        <v>720</v>
      </c>
      <c r="D34" s="2785"/>
      <c r="E34" s="1641">
        <f>E21*E32</f>
        <v>1377.6</v>
      </c>
      <c r="F34" s="1661">
        <f t="shared" ref="F34" si="3">SUM(D34:E34)</f>
        <v>1377.6</v>
      </c>
      <c r="H34" s="2456" t="s">
        <v>1237</v>
      </c>
      <c r="I34" s="2416">
        <v>14338</v>
      </c>
      <c r="J34" s="1470" t="s">
        <v>110</v>
      </c>
      <c r="K34" s="1460" t="s">
        <v>845</v>
      </c>
      <c r="L34" s="2427">
        <v>2659</v>
      </c>
      <c r="M34" s="2427">
        <v>750</v>
      </c>
      <c r="N34" s="2457">
        <v>1.6009518004572156E-2</v>
      </c>
      <c r="O34" s="1460">
        <v>15</v>
      </c>
      <c r="P34" s="1463" t="s">
        <v>997</v>
      </c>
      <c r="Q34" s="2422"/>
      <c r="R34" s="2422">
        <v>1.1000000000000001</v>
      </c>
      <c r="S34" s="1469"/>
      <c r="T34" s="1469"/>
      <c r="U34" s="1469">
        <f t="shared" si="2"/>
        <v>15771.800000000001</v>
      </c>
      <c r="V34" s="1469"/>
      <c r="W34" s="2993"/>
      <c r="X34" s="1459">
        <f t="shared" si="0"/>
        <v>825.00000000000011</v>
      </c>
      <c r="Y34" s="1459"/>
      <c r="Z34" s="1482">
        <v>9597.84</v>
      </c>
      <c r="AA34" s="1456"/>
    </row>
    <row r="35" spans="1:27">
      <c r="A35" s="2143" t="s">
        <v>262</v>
      </c>
      <c r="C35" s="1445"/>
      <c r="D35" s="2775"/>
      <c r="E35" s="1444"/>
      <c r="F35" s="1437"/>
      <c r="H35" s="2420" t="s">
        <v>1238</v>
      </c>
      <c r="I35" s="2416">
        <v>10200</v>
      </c>
      <c r="J35" s="1470" t="s">
        <v>110</v>
      </c>
      <c r="K35" s="1460" t="s">
        <v>845</v>
      </c>
      <c r="L35" s="2427">
        <v>2659</v>
      </c>
      <c r="M35" s="2427">
        <v>750</v>
      </c>
      <c r="N35" s="2457">
        <v>4.8648476679929317E-2</v>
      </c>
      <c r="O35" s="1460">
        <v>15</v>
      </c>
      <c r="P35" s="1463" t="s">
        <v>997</v>
      </c>
      <c r="Q35" s="2422"/>
      <c r="R35" s="2422">
        <v>5</v>
      </c>
      <c r="S35" s="1469"/>
      <c r="T35" s="1469"/>
      <c r="U35" s="1469">
        <f t="shared" si="2"/>
        <v>51000</v>
      </c>
      <c r="V35" s="1469"/>
      <c r="W35" s="2993"/>
      <c r="X35" s="1459">
        <f t="shared" si="0"/>
        <v>3750</v>
      </c>
      <c r="Y35" s="1459"/>
      <c r="Z35" s="1482">
        <v>4172.99</v>
      </c>
      <c r="AA35" s="1456"/>
    </row>
    <row r="36" spans="1:27">
      <c r="A36" s="2143" t="s">
        <v>5</v>
      </c>
      <c r="C36" s="1488"/>
      <c r="D36" s="2779"/>
      <c r="E36" s="1490"/>
      <c r="F36" s="1493"/>
      <c r="H36" s="2420" t="s">
        <v>1239</v>
      </c>
      <c r="I36" s="2416">
        <v>3966</v>
      </c>
      <c r="J36" s="1470" t="s">
        <v>110</v>
      </c>
      <c r="K36" s="1460" t="s">
        <v>845</v>
      </c>
      <c r="L36" s="2427">
        <v>1813</v>
      </c>
      <c r="M36" s="2427">
        <v>500</v>
      </c>
      <c r="N36" s="2457">
        <v>1.3285615380303567E-2</v>
      </c>
      <c r="O36" s="1460">
        <v>15</v>
      </c>
      <c r="P36" s="1463" t="s">
        <v>997</v>
      </c>
      <c r="Q36" s="2422"/>
      <c r="R36" s="2422">
        <v>3.3</v>
      </c>
      <c r="S36" s="1469"/>
      <c r="T36" s="1469"/>
      <c r="U36" s="1469">
        <f t="shared" si="2"/>
        <v>13087.8</v>
      </c>
      <c r="V36" s="1469"/>
      <c r="W36" s="2993"/>
      <c r="X36" s="1459">
        <f t="shared" si="0"/>
        <v>1650</v>
      </c>
      <c r="Y36" s="1459"/>
      <c r="Z36" s="1482">
        <v>2834.0272187112746</v>
      </c>
      <c r="AA36" s="1456"/>
    </row>
    <row r="37" spans="1:27">
      <c r="A37" s="2143">
        <v>18230716</v>
      </c>
      <c r="C37" s="1597" t="s">
        <v>46</v>
      </c>
      <c r="D37" s="2771">
        <f>SUM(D38:D41)</f>
        <v>15000</v>
      </c>
      <c r="E37" s="1464">
        <f>SUM(E38:E41)</f>
        <v>15000</v>
      </c>
      <c r="F37" s="1638">
        <f>D37+E37</f>
        <v>30000</v>
      </c>
      <c r="H37" s="2420" t="s">
        <v>1240</v>
      </c>
      <c r="I37" s="2416">
        <v>11901</v>
      </c>
      <c r="J37" s="1470" t="s">
        <v>110</v>
      </c>
      <c r="K37" s="1460" t="s">
        <v>845</v>
      </c>
      <c r="L37" s="2427">
        <v>5882</v>
      </c>
      <c r="M37" s="2427">
        <v>1000</v>
      </c>
      <c r="N37" s="2457">
        <v>1.3288796801611109E-2</v>
      </c>
      <c r="O37" s="1460">
        <v>20</v>
      </c>
      <c r="P37" s="1463" t="s">
        <v>997</v>
      </c>
      <c r="Q37" s="2422"/>
      <c r="R37" s="2422">
        <v>1.1000000000000001</v>
      </c>
      <c r="S37" s="1469"/>
      <c r="T37" s="1469"/>
      <c r="U37" s="1469">
        <f t="shared" si="2"/>
        <v>13091.1</v>
      </c>
      <c r="V37" s="1469"/>
      <c r="W37" s="2993"/>
      <c r="X37" s="1459">
        <f t="shared" si="0"/>
        <v>1100</v>
      </c>
      <c r="Y37" s="1459"/>
      <c r="Z37" s="1482">
        <v>5558.01</v>
      </c>
      <c r="AA37" s="1456"/>
    </row>
    <row r="38" spans="1:27">
      <c r="A38" s="2143" t="s">
        <v>4</v>
      </c>
      <c r="C38" s="1667"/>
      <c r="D38" s="2778">
        <v>15000</v>
      </c>
      <c r="E38" s="1672">
        <v>15000</v>
      </c>
      <c r="F38" s="1661">
        <f t="shared" ref="F38:F47" si="4">SUM(D38:E38)</f>
        <v>30000</v>
      </c>
      <c r="H38" s="2420" t="s">
        <v>1241</v>
      </c>
      <c r="I38" s="2416">
        <v>324</v>
      </c>
      <c r="J38" s="1470" t="s">
        <v>110</v>
      </c>
      <c r="K38" s="1460" t="s">
        <v>845</v>
      </c>
      <c r="L38" s="2427">
        <v>497</v>
      </c>
      <c r="M38" s="2427">
        <v>0</v>
      </c>
      <c r="N38" s="2457">
        <v>3.6177305154357005E-4</v>
      </c>
      <c r="O38" s="1460">
        <v>20</v>
      </c>
      <c r="P38" s="1463" t="s">
        <v>997</v>
      </c>
      <c r="Q38" s="2422"/>
      <c r="R38" s="2422">
        <v>1.1000000000000001</v>
      </c>
      <c r="S38" s="1469"/>
      <c r="T38" s="1469"/>
      <c r="U38" s="1469">
        <f t="shared" si="2"/>
        <v>356.40000000000003</v>
      </c>
      <c r="V38" s="1469"/>
      <c r="W38" s="2993"/>
      <c r="X38" s="1459">
        <f t="shared" si="0"/>
        <v>0</v>
      </c>
      <c r="Y38" s="1459"/>
      <c r="Z38" s="1482">
        <v>463.96148814177002</v>
      </c>
      <c r="AA38" s="1456"/>
    </row>
    <row r="39" spans="1:27">
      <c r="A39" s="1663"/>
      <c r="C39" s="1667"/>
      <c r="D39" s="2778"/>
      <c r="E39" s="1672"/>
      <c r="F39" s="1661">
        <f t="shared" si="4"/>
        <v>0</v>
      </c>
      <c r="H39" s="2420" t="s">
        <v>1242</v>
      </c>
      <c r="I39" s="2416">
        <v>7341</v>
      </c>
      <c r="J39" s="1470" t="s">
        <v>110</v>
      </c>
      <c r="K39" s="1460" t="s">
        <v>845</v>
      </c>
      <c r="L39" s="2427">
        <v>5882</v>
      </c>
      <c r="M39" s="2427">
        <v>1000</v>
      </c>
      <c r="N39" s="2457">
        <v>1.9359706137668683E-2</v>
      </c>
      <c r="O39" s="1460">
        <v>20</v>
      </c>
      <c r="P39" s="1463" t="s">
        <v>997</v>
      </c>
      <c r="Q39" s="2422"/>
      <c r="R39" s="2422">
        <v>3</v>
      </c>
      <c r="S39" s="1469"/>
      <c r="T39" s="1469"/>
      <c r="U39" s="1469">
        <f t="shared" si="2"/>
        <v>22023</v>
      </c>
      <c r="V39" s="1469"/>
      <c r="W39" s="2993"/>
      <c r="X39" s="1459">
        <f t="shared" si="0"/>
        <v>3000</v>
      </c>
      <c r="Y39" s="1459"/>
      <c r="Z39" s="1482">
        <v>1817.04</v>
      </c>
      <c r="AA39" s="1456"/>
    </row>
    <row r="40" spans="1:27">
      <c r="A40" s="1663"/>
      <c r="C40" s="1667"/>
      <c r="D40" s="2778"/>
      <c r="E40" s="1672"/>
      <c r="F40" s="1661">
        <f t="shared" si="4"/>
        <v>0</v>
      </c>
      <c r="H40" s="2420" t="s">
        <v>1243</v>
      </c>
      <c r="I40" s="2416">
        <v>3556</v>
      </c>
      <c r="J40" s="1470" t="s">
        <v>110</v>
      </c>
      <c r="K40" s="1460" t="s">
        <v>845</v>
      </c>
      <c r="L40" s="2427">
        <v>4446</v>
      </c>
      <c r="M40" s="2427">
        <v>750</v>
      </c>
      <c r="N40" s="2457">
        <v>7.9410295786333726E-3</v>
      </c>
      <c r="O40" s="1460">
        <v>20</v>
      </c>
      <c r="P40" s="1463" t="s">
        <v>997</v>
      </c>
      <c r="Q40" s="2422"/>
      <c r="R40" s="2422">
        <v>2.2000000000000002</v>
      </c>
      <c r="S40" s="1469"/>
      <c r="T40" s="1469"/>
      <c r="U40" s="1469">
        <f t="shared" si="2"/>
        <v>7823.2000000000007</v>
      </c>
      <c r="V40" s="1469"/>
      <c r="W40" s="2993"/>
      <c r="X40" s="1459">
        <f t="shared" si="0"/>
        <v>1650.0000000000002</v>
      </c>
      <c r="Y40" s="1459"/>
      <c r="Z40" s="1482">
        <v>1369.7280686319259</v>
      </c>
      <c r="AA40" s="1456"/>
    </row>
    <row r="41" spans="1:27">
      <c r="C41" s="1667"/>
      <c r="D41" s="2778"/>
      <c r="E41" s="1672"/>
      <c r="F41" s="1661">
        <f t="shared" si="4"/>
        <v>0</v>
      </c>
      <c r="H41" s="2420" t="s">
        <v>1244</v>
      </c>
      <c r="I41" s="2416">
        <v>16698</v>
      </c>
      <c r="J41" s="1470" t="s">
        <v>110</v>
      </c>
      <c r="K41" s="1460" t="s">
        <v>845</v>
      </c>
      <c r="L41" s="2427">
        <v>3394</v>
      </c>
      <c r="M41" s="2427">
        <v>1500</v>
      </c>
      <c r="N41" s="2457">
        <v>3.7290095629484606E-2</v>
      </c>
      <c r="O41" s="1460">
        <v>20</v>
      </c>
      <c r="P41" s="1463" t="s">
        <v>997</v>
      </c>
      <c r="Q41" s="2422"/>
      <c r="R41" s="2422">
        <v>2.2000000000000002</v>
      </c>
      <c r="S41" s="1469"/>
      <c r="T41" s="1469"/>
      <c r="U41" s="1469">
        <f t="shared" si="2"/>
        <v>36735.600000000006</v>
      </c>
      <c r="V41" s="1469"/>
      <c r="W41" s="2993"/>
      <c r="X41" s="1459">
        <f t="shared" si="0"/>
        <v>3300.0000000000005</v>
      </c>
      <c r="Y41" s="1459"/>
      <c r="Z41" s="1482">
        <v>8016.35</v>
      </c>
      <c r="AA41" s="1456"/>
    </row>
    <row r="42" spans="1:27">
      <c r="C42" s="1488"/>
      <c r="D42" s="2779"/>
      <c r="E42" s="1490"/>
      <c r="F42" s="1493"/>
      <c r="H42" s="2420" t="s">
        <v>1245</v>
      </c>
      <c r="I42" s="2416">
        <v>23668</v>
      </c>
      <c r="J42" s="1470" t="s">
        <v>110</v>
      </c>
      <c r="K42" s="1460" t="s">
        <v>845</v>
      </c>
      <c r="L42" s="2427">
        <v>3394</v>
      </c>
      <c r="M42" s="2427">
        <v>1500</v>
      </c>
      <c r="N42" s="2457">
        <v>4.9136294613752726E-2</v>
      </c>
      <c r="O42" s="1460">
        <v>20</v>
      </c>
      <c r="P42" s="1463" t="s">
        <v>997</v>
      </c>
      <c r="Q42" s="2422"/>
      <c r="R42" s="2422">
        <v>3</v>
      </c>
      <c r="S42" s="1469"/>
      <c r="T42" s="1469"/>
      <c r="U42" s="1469">
        <f t="shared" si="2"/>
        <v>71004</v>
      </c>
      <c r="V42" s="1469"/>
      <c r="W42" s="2993"/>
      <c r="X42" s="1459">
        <f t="shared" si="0"/>
        <v>4500</v>
      </c>
      <c r="Y42" s="1459"/>
      <c r="Z42" s="1482">
        <v>6894.07</v>
      </c>
      <c r="AA42" s="1456"/>
    </row>
    <row r="43" spans="1:27">
      <c r="C43" s="1597" t="s">
        <v>483</v>
      </c>
      <c r="D43" s="2771">
        <f>SUM(D44:D47)</f>
        <v>5225</v>
      </c>
      <c r="E43" s="1464">
        <f>SUM(E44:E47)</f>
        <v>5225</v>
      </c>
      <c r="F43" s="1638">
        <f>D43+E43</f>
        <v>10450</v>
      </c>
      <c r="H43" s="2420" t="s">
        <v>1246</v>
      </c>
      <c r="I43" s="2416">
        <v>9308</v>
      </c>
      <c r="J43" s="1470" t="s">
        <v>110</v>
      </c>
      <c r="K43" s="1460" t="s">
        <v>845</v>
      </c>
      <c r="L43" s="2427">
        <v>2312</v>
      </c>
      <c r="M43" s="2427">
        <v>1000</v>
      </c>
      <c r="N43" s="2457">
        <v>1.0393046927984236E-2</v>
      </c>
      <c r="O43" s="1460">
        <v>20</v>
      </c>
      <c r="P43" s="1463" t="s">
        <v>997</v>
      </c>
      <c r="Q43" s="2422"/>
      <c r="R43" s="2422">
        <v>1.1000000000000001</v>
      </c>
      <c r="S43" s="1469"/>
      <c r="T43" s="1469"/>
      <c r="U43" s="1469">
        <f t="shared" si="2"/>
        <v>10238.800000000001</v>
      </c>
      <c r="V43" s="1469"/>
      <c r="W43" s="2993"/>
      <c r="X43" s="1459">
        <f t="shared" si="0"/>
        <v>1100</v>
      </c>
      <c r="Y43" s="1459"/>
      <c r="Z43" s="1482">
        <v>4677.8185253208203</v>
      </c>
      <c r="AA43" s="1456"/>
    </row>
    <row r="44" spans="1:27">
      <c r="C44" s="1667"/>
      <c r="D44" s="2778">
        <v>5000</v>
      </c>
      <c r="E44" s="1672">
        <v>5000</v>
      </c>
      <c r="F44" s="1661">
        <f t="shared" si="4"/>
        <v>10000</v>
      </c>
      <c r="H44" s="2420" t="s">
        <v>1247</v>
      </c>
      <c r="I44" s="2416">
        <v>0</v>
      </c>
      <c r="J44" s="1470" t="s">
        <v>110</v>
      </c>
      <c r="K44" s="1460" t="s">
        <v>845</v>
      </c>
      <c r="L44" s="2427">
        <v>30</v>
      </c>
      <c r="M44" s="2427">
        <v>30</v>
      </c>
      <c r="N44" s="2457">
        <v>0</v>
      </c>
      <c r="O44" s="1460">
        <v>0</v>
      </c>
      <c r="P44" s="1463"/>
      <c r="Q44" s="2422"/>
      <c r="R44" s="2422">
        <v>2.2000000000000002</v>
      </c>
      <c r="S44" s="1469"/>
      <c r="T44" s="1469"/>
      <c r="U44" s="1469">
        <f t="shared" si="2"/>
        <v>0</v>
      </c>
      <c r="V44" s="1469"/>
      <c r="W44" s="2993"/>
      <c r="X44" s="1459">
        <f t="shared" si="0"/>
        <v>66</v>
      </c>
      <c r="Y44" s="1459"/>
      <c r="Z44" s="1482">
        <v>0</v>
      </c>
      <c r="AA44" s="1456"/>
    </row>
    <row r="45" spans="1:27">
      <c r="C45" s="1667" t="s">
        <v>1362</v>
      </c>
      <c r="D45" s="2778">
        <v>225</v>
      </c>
      <c r="E45" s="1672">
        <v>225</v>
      </c>
      <c r="F45" s="1661">
        <f t="shared" si="4"/>
        <v>450</v>
      </c>
      <c r="H45" s="2420" t="s">
        <v>1248</v>
      </c>
      <c r="I45" s="2416">
        <v>0</v>
      </c>
      <c r="J45" s="1470" t="s">
        <v>110</v>
      </c>
      <c r="K45" s="1460" t="s">
        <v>845</v>
      </c>
      <c r="L45" s="2427">
        <v>30</v>
      </c>
      <c r="M45" s="2427">
        <v>30</v>
      </c>
      <c r="N45" s="2457">
        <v>0</v>
      </c>
      <c r="O45" s="1460">
        <v>0</v>
      </c>
      <c r="P45" s="1463"/>
      <c r="Q45" s="2422"/>
      <c r="R45" s="2422">
        <v>2.2000000000000002</v>
      </c>
      <c r="S45" s="1469"/>
      <c r="T45" s="1469"/>
      <c r="U45" s="1469">
        <f t="shared" si="2"/>
        <v>0</v>
      </c>
      <c r="V45" s="1469"/>
      <c r="W45" s="2993"/>
      <c r="X45" s="1459">
        <f t="shared" si="0"/>
        <v>66</v>
      </c>
      <c r="Y45" s="1459"/>
      <c r="Z45" s="1482">
        <v>0</v>
      </c>
      <c r="AA45" s="1456"/>
    </row>
    <row r="46" spans="1:27">
      <c r="C46" s="1667"/>
      <c r="D46" s="2778"/>
      <c r="E46" s="1672"/>
      <c r="F46" s="1661">
        <f t="shared" si="4"/>
        <v>0</v>
      </c>
      <c r="H46" s="2420" t="s">
        <v>1249</v>
      </c>
      <c r="I46" s="2416">
        <v>0</v>
      </c>
      <c r="J46" s="1470" t="s">
        <v>110</v>
      </c>
      <c r="K46" s="1460" t="s">
        <v>845</v>
      </c>
      <c r="L46" s="2427">
        <v>30</v>
      </c>
      <c r="M46" s="2427">
        <v>30</v>
      </c>
      <c r="N46" s="2457">
        <v>0</v>
      </c>
      <c r="O46" s="1460">
        <v>0</v>
      </c>
      <c r="P46" s="1463"/>
      <c r="Q46" s="2422"/>
      <c r="R46" s="2422">
        <v>11</v>
      </c>
      <c r="S46" s="1469"/>
      <c r="T46" s="1469"/>
      <c r="U46" s="1469">
        <f t="shared" si="2"/>
        <v>0</v>
      </c>
      <c r="V46" s="1469"/>
      <c r="W46" s="2993"/>
      <c r="X46" s="1459">
        <f t="shared" si="0"/>
        <v>330</v>
      </c>
      <c r="Y46" s="1459"/>
      <c r="Z46" s="1482">
        <v>0</v>
      </c>
      <c r="AA46" s="1456"/>
    </row>
    <row r="47" spans="1:27">
      <c r="C47" s="1667"/>
      <c r="D47" s="2778"/>
      <c r="E47" s="1672"/>
      <c r="F47" s="1661">
        <f t="shared" si="4"/>
        <v>0</v>
      </c>
      <c r="H47" s="2420" t="s">
        <v>1250</v>
      </c>
      <c r="I47" s="2416">
        <v>0</v>
      </c>
      <c r="J47" s="1470" t="s">
        <v>110</v>
      </c>
      <c r="K47" s="1460" t="s">
        <v>845</v>
      </c>
      <c r="L47" s="2427">
        <v>50</v>
      </c>
      <c r="M47" s="2427">
        <v>50</v>
      </c>
      <c r="N47" s="2457">
        <v>0</v>
      </c>
      <c r="O47" s="1460">
        <v>0</v>
      </c>
      <c r="P47" s="1463"/>
      <c r="Q47" s="2422"/>
      <c r="R47" s="2422">
        <v>22</v>
      </c>
      <c r="S47" s="1469"/>
      <c r="T47" s="1469"/>
      <c r="U47" s="1469">
        <f t="shared" si="2"/>
        <v>0</v>
      </c>
      <c r="V47" s="1469"/>
      <c r="W47" s="2993"/>
      <c r="X47" s="1459">
        <f t="shared" si="0"/>
        <v>1100</v>
      </c>
      <c r="Y47" s="1459"/>
      <c r="Z47" s="1482">
        <v>0</v>
      </c>
      <c r="AA47" s="1456"/>
    </row>
    <row r="48" spans="1:27">
      <c r="C48" s="1488"/>
      <c r="D48" s="2779"/>
      <c r="E48" s="1490"/>
      <c r="F48" s="1493"/>
      <c r="H48" s="2420" t="s">
        <v>1251</v>
      </c>
      <c r="I48" s="2416">
        <v>0</v>
      </c>
      <c r="J48" s="1470" t="s">
        <v>110</v>
      </c>
      <c r="K48" s="1460" t="s">
        <v>845</v>
      </c>
      <c r="L48" s="2427">
        <v>30</v>
      </c>
      <c r="M48" s="2427">
        <v>30</v>
      </c>
      <c r="N48" s="2457">
        <v>0</v>
      </c>
      <c r="O48" s="1460">
        <v>0</v>
      </c>
      <c r="P48" s="1463"/>
      <c r="Q48" s="2422"/>
      <c r="R48" s="2422">
        <v>6.6</v>
      </c>
      <c r="S48" s="1469"/>
      <c r="T48" s="1469"/>
      <c r="U48" s="1469">
        <f t="shared" si="2"/>
        <v>0</v>
      </c>
      <c r="V48" s="1469"/>
      <c r="W48" s="2993"/>
      <c r="X48" s="1459">
        <f t="shared" si="0"/>
        <v>198</v>
      </c>
      <c r="Y48" s="1459"/>
      <c r="Z48" s="1482">
        <v>0</v>
      </c>
      <c r="AA48" s="1456"/>
    </row>
    <row r="49" spans="1:27">
      <c r="C49" s="1597" t="s">
        <v>47</v>
      </c>
      <c r="D49" s="2771">
        <f>SUM(D50:D53)</f>
        <v>1200</v>
      </c>
      <c r="E49" s="1464">
        <f>SUM(E50:E53)</f>
        <v>1200</v>
      </c>
      <c r="F49" s="1638">
        <f>D49+E49</f>
        <v>2400</v>
      </c>
      <c r="H49" s="2420" t="s">
        <v>1215</v>
      </c>
      <c r="I49" s="2416">
        <v>0</v>
      </c>
      <c r="J49" s="1470" t="s">
        <v>110</v>
      </c>
      <c r="K49" s="1460" t="s">
        <v>845</v>
      </c>
      <c r="L49" s="2427">
        <v>50</v>
      </c>
      <c r="M49" s="2427">
        <v>50</v>
      </c>
      <c r="N49" s="2457">
        <v>0</v>
      </c>
      <c r="O49" s="1460">
        <v>0</v>
      </c>
      <c r="P49" s="1463"/>
      <c r="Q49" s="2422"/>
      <c r="R49" s="2422">
        <v>1.1000000000000001</v>
      </c>
      <c r="S49" s="1469"/>
      <c r="T49" s="1469"/>
      <c r="U49" s="1469">
        <f t="shared" si="2"/>
        <v>0</v>
      </c>
      <c r="V49" s="1469"/>
      <c r="W49" s="2993"/>
      <c r="X49" s="1459">
        <f t="shared" si="0"/>
        <v>55.000000000000007</v>
      </c>
      <c r="Y49" s="1459"/>
      <c r="Z49" s="1482">
        <v>0</v>
      </c>
      <c r="AA49" s="1456"/>
    </row>
    <row r="50" spans="1:27">
      <c r="C50" s="1667"/>
      <c r="D50" s="2778">
        <v>1200</v>
      </c>
      <c r="E50" s="1672">
        <v>1200</v>
      </c>
      <c r="F50" s="1661">
        <f t="shared" ref="F50:F65" si="5">SUM(D50:E50)</f>
        <v>2400</v>
      </c>
      <c r="H50" s="2420" t="s">
        <v>1216</v>
      </c>
      <c r="I50" s="2416">
        <v>750</v>
      </c>
      <c r="J50" s="1470" t="s">
        <v>110</v>
      </c>
      <c r="K50" s="1460" t="s">
        <v>845</v>
      </c>
      <c r="L50" s="2427">
        <v>210</v>
      </c>
      <c r="M50" s="2427">
        <v>200</v>
      </c>
      <c r="N50" s="2457">
        <v>3.9767766344299465E-3</v>
      </c>
      <c r="O50" s="1460">
        <v>7</v>
      </c>
      <c r="P50" s="1463" t="s">
        <v>997</v>
      </c>
      <c r="Q50" s="2422"/>
      <c r="R50" s="2422">
        <v>5.5</v>
      </c>
      <c r="S50" s="1469"/>
      <c r="T50" s="1469"/>
      <c r="U50" s="1469">
        <f t="shared" si="2"/>
        <v>4125</v>
      </c>
      <c r="V50" s="1469"/>
      <c r="W50" s="2993"/>
      <c r="X50" s="1459">
        <f t="shared" si="0"/>
        <v>1100</v>
      </c>
      <c r="Y50" s="1459"/>
      <c r="Z50" s="1482">
        <v>951.67</v>
      </c>
      <c r="AA50" s="1456"/>
    </row>
    <row r="51" spans="1:27">
      <c r="C51" s="1667"/>
      <c r="D51" s="2778"/>
      <c r="E51" s="1672"/>
      <c r="F51" s="1661">
        <f t="shared" si="5"/>
        <v>0</v>
      </c>
      <c r="H51" s="2420" t="s">
        <v>1217</v>
      </c>
      <c r="I51" s="2416">
        <v>430</v>
      </c>
      <c r="J51" s="1470" t="s">
        <v>110</v>
      </c>
      <c r="K51" s="1460" t="s">
        <v>845</v>
      </c>
      <c r="L51" s="2427">
        <v>177</v>
      </c>
      <c r="M51" s="2427">
        <v>170</v>
      </c>
      <c r="N51" s="2457">
        <v>2.2800186037398363E-3</v>
      </c>
      <c r="O51" s="1460">
        <v>7</v>
      </c>
      <c r="P51" s="1463" t="s">
        <v>997</v>
      </c>
      <c r="Q51" s="2422"/>
      <c r="R51" s="2422">
        <v>5.5</v>
      </c>
      <c r="S51" s="1469"/>
      <c r="T51" s="1469"/>
      <c r="U51" s="1469">
        <f t="shared" si="2"/>
        <v>2365</v>
      </c>
      <c r="V51" s="1469"/>
      <c r="W51" s="2993"/>
      <c r="X51" s="1459">
        <f t="shared" si="0"/>
        <v>935</v>
      </c>
      <c r="Y51" s="1459"/>
      <c r="Z51" s="1482">
        <v>804.16</v>
      </c>
      <c r="AA51" s="1456"/>
    </row>
    <row r="52" spans="1:27">
      <c r="C52" s="1667"/>
      <c r="D52" s="2778"/>
      <c r="E52" s="1672"/>
      <c r="F52" s="1661">
        <f t="shared" si="5"/>
        <v>0</v>
      </c>
      <c r="H52" s="2420" t="s">
        <v>1218</v>
      </c>
      <c r="I52" s="2416">
        <v>320</v>
      </c>
      <c r="J52" s="1470" t="s">
        <v>110</v>
      </c>
      <c r="K52" s="1460" t="s">
        <v>845</v>
      </c>
      <c r="L52" s="2427">
        <v>149</v>
      </c>
      <c r="M52" s="2427">
        <v>140</v>
      </c>
      <c r="N52" s="2457">
        <v>3.3935160613802213E-3</v>
      </c>
      <c r="O52" s="1460">
        <v>7</v>
      </c>
      <c r="P52" s="1463" t="s">
        <v>997</v>
      </c>
      <c r="Q52" s="2422"/>
      <c r="R52" s="2422">
        <v>11</v>
      </c>
      <c r="S52" s="1469"/>
      <c r="T52" s="1469"/>
      <c r="U52" s="1469">
        <f t="shared" si="2"/>
        <v>3520</v>
      </c>
      <c r="V52" s="1469"/>
      <c r="W52" s="2993"/>
      <c r="X52" s="1459">
        <f t="shared" si="0"/>
        <v>1540</v>
      </c>
      <c r="Y52" s="1459"/>
      <c r="Z52" s="1482">
        <v>673.78</v>
      </c>
      <c r="AA52" s="1456"/>
    </row>
    <row r="53" spans="1:27">
      <c r="C53" s="1667"/>
      <c r="D53" s="2778"/>
      <c r="E53" s="1672"/>
      <c r="F53" s="1661">
        <f t="shared" si="5"/>
        <v>0</v>
      </c>
      <c r="H53" s="2420" t="s">
        <v>1586</v>
      </c>
      <c r="I53" s="2416">
        <v>0</v>
      </c>
      <c r="J53" s="1470" t="s">
        <v>110</v>
      </c>
      <c r="K53" s="1460" t="s">
        <v>991</v>
      </c>
      <c r="L53" s="2427">
        <v>0</v>
      </c>
      <c r="M53" s="2427">
        <v>20000</v>
      </c>
      <c r="N53" s="2457">
        <v>0</v>
      </c>
      <c r="O53" s="1460">
        <v>15</v>
      </c>
      <c r="P53" s="1463" t="s">
        <v>1252</v>
      </c>
      <c r="Q53" s="2422"/>
      <c r="R53" s="2422">
        <v>0.5</v>
      </c>
      <c r="S53" s="1469"/>
      <c r="T53" s="1469"/>
      <c r="U53" s="1469">
        <f t="shared" ref="U53:U78" si="6">I53*R53</f>
        <v>0</v>
      </c>
      <c r="V53" s="1469"/>
      <c r="W53" s="2993"/>
      <c r="X53" s="1459">
        <f t="shared" ref="X53:X78" si="7">M53*R53</f>
        <v>10000</v>
      </c>
      <c r="Y53" s="1459"/>
      <c r="Z53" s="1482">
        <v>0</v>
      </c>
      <c r="AA53" s="1456"/>
    </row>
    <row r="54" spans="1:27">
      <c r="C54" s="1488"/>
      <c r="D54" s="2779"/>
      <c r="E54" s="1490"/>
      <c r="F54" s="1493"/>
      <c r="H54" s="1460"/>
      <c r="I54" s="1466"/>
      <c r="J54" s="1470" t="s">
        <v>110</v>
      </c>
      <c r="K54" s="1460"/>
      <c r="L54" s="1467"/>
      <c r="M54" s="1467"/>
      <c r="N54" s="1461" t="s">
        <v>229</v>
      </c>
      <c r="O54" s="1460"/>
      <c r="P54" s="1463"/>
      <c r="Q54" s="1466"/>
      <c r="R54" s="1466"/>
      <c r="S54" s="1469" t="s">
        <v>229</v>
      </c>
      <c r="T54" s="1469" t="s">
        <v>229</v>
      </c>
      <c r="U54" s="1469">
        <f t="shared" si="6"/>
        <v>0</v>
      </c>
      <c r="V54" s="1469" t="s">
        <v>229</v>
      </c>
      <c r="W54" s="1459" t="s">
        <v>229</v>
      </c>
      <c r="X54" s="1459">
        <f t="shared" si="7"/>
        <v>0</v>
      </c>
      <c r="Y54" s="1459" t="s">
        <v>229</v>
      </c>
      <c r="Z54" s="1482">
        <v>0</v>
      </c>
      <c r="AA54" s="1456"/>
    </row>
    <row r="55" spans="1:27">
      <c r="C55" s="1597" t="s">
        <v>48</v>
      </c>
      <c r="D55" s="2771">
        <f>SUM(D56:D59)</f>
        <v>240</v>
      </c>
      <c r="E55" s="1464">
        <f>SUM(E56:E59)</f>
        <v>240</v>
      </c>
      <c r="F55" s="1638">
        <f>D55+E55</f>
        <v>480</v>
      </c>
      <c r="H55" s="1460" t="s">
        <v>1878</v>
      </c>
      <c r="I55" s="1466">
        <v>2686</v>
      </c>
      <c r="J55" s="1470" t="s">
        <v>110</v>
      </c>
      <c r="K55" s="1460" t="s">
        <v>845</v>
      </c>
      <c r="L55" s="1467">
        <v>428</v>
      </c>
      <c r="M55" s="1467">
        <v>400</v>
      </c>
      <c r="N55" s="1461">
        <v>5.4255857981352828E-3</v>
      </c>
      <c r="O55" s="1460">
        <v>12</v>
      </c>
      <c r="P55" s="1463" t="s">
        <v>1252</v>
      </c>
      <c r="Q55" s="1466"/>
      <c r="R55" s="1466">
        <v>4</v>
      </c>
      <c r="S55" s="1469" t="s">
        <v>229</v>
      </c>
      <c r="T55" s="1469" t="s">
        <v>229</v>
      </c>
      <c r="U55" s="1469">
        <f t="shared" si="6"/>
        <v>10744</v>
      </c>
      <c r="V55" s="1469" t="s">
        <v>229</v>
      </c>
      <c r="W55" s="1459" t="s">
        <v>229</v>
      </c>
      <c r="X55" s="1459">
        <f t="shared" si="7"/>
        <v>1600</v>
      </c>
      <c r="Y55" s="1459" t="s">
        <v>229</v>
      </c>
      <c r="Z55" s="1482">
        <v>1357</v>
      </c>
      <c r="AA55" s="1456"/>
    </row>
    <row r="56" spans="1:27">
      <c r="C56" s="1667"/>
      <c r="D56" s="2778">
        <v>240</v>
      </c>
      <c r="E56" s="1641">
        <v>240</v>
      </c>
      <c r="F56" s="1661">
        <f t="shared" si="5"/>
        <v>480</v>
      </c>
      <c r="H56" s="1460" t="s">
        <v>1888</v>
      </c>
      <c r="I56" s="1466">
        <v>1850</v>
      </c>
      <c r="J56" s="1470" t="s">
        <v>110</v>
      </c>
      <c r="K56" s="1460" t="s">
        <v>845</v>
      </c>
      <c r="L56" s="1467">
        <v>374</v>
      </c>
      <c r="M56" s="1467">
        <v>200</v>
      </c>
      <c r="N56" s="1461">
        <v>1.8684537837956577E-3</v>
      </c>
      <c r="O56" s="1460">
        <v>12</v>
      </c>
      <c r="P56" s="1463" t="s">
        <v>1252</v>
      </c>
      <c r="Q56" s="1466"/>
      <c r="R56" s="1466">
        <v>2</v>
      </c>
      <c r="S56" s="1469" t="s">
        <v>229</v>
      </c>
      <c r="T56" s="1469" t="s">
        <v>229</v>
      </c>
      <c r="U56" s="1469">
        <f t="shared" si="6"/>
        <v>3700</v>
      </c>
      <c r="V56" s="1469" t="s">
        <v>229</v>
      </c>
      <c r="W56" s="1459" t="s">
        <v>229</v>
      </c>
      <c r="X56" s="1459">
        <f t="shared" si="7"/>
        <v>400</v>
      </c>
      <c r="Y56" s="1459" t="s">
        <v>229</v>
      </c>
      <c r="Z56" s="1482">
        <v>0</v>
      </c>
      <c r="AA56" s="1456"/>
    </row>
    <row r="57" spans="1:27">
      <c r="C57" s="1667"/>
      <c r="D57" s="2778"/>
      <c r="E57" s="1641"/>
      <c r="F57" s="1661">
        <f t="shared" si="5"/>
        <v>0</v>
      </c>
      <c r="H57" s="1460" t="s">
        <v>1889</v>
      </c>
      <c r="I57" s="1466">
        <v>2775</v>
      </c>
      <c r="J57" s="1470" t="s">
        <v>110</v>
      </c>
      <c r="K57" s="1460" t="s">
        <v>845</v>
      </c>
      <c r="L57" s="1467">
        <v>561</v>
      </c>
      <c r="M57" s="1467">
        <v>300</v>
      </c>
      <c r="N57" s="1461">
        <v>2.8026806756934865E-3</v>
      </c>
      <c r="O57" s="1460">
        <v>12</v>
      </c>
      <c r="P57" s="1463" t="s">
        <v>1252</v>
      </c>
      <c r="Q57" s="1466"/>
      <c r="R57" s="1466">
        <v>2</v>
      </c>
      <c r="S57" s="1469" t="s">
        <v>229</v>
      </c>
      <c r="T57" s="1469" t="s">
        <v>229</v>
      </c>
      <c r="U57" s="1469">
        <f t="shared" si="6"/>
        <v>5550</v>
      </c>
      <c r="V57" s="1469" t="s">
        <v>229</v>
      </c>
      <c r="W57" s="1459" t="s">
        <v>229</v>
      </c>
      <c r="X57" s="1459">
        <f t="shared" si="7"/>
        <v>600</v>
      </c>
      <c r="Y57" s="1459" t="s">
        <v>229</v>
      </c>
      <c r="Z57" s="1482">
        <v>0</v>
      </c>
      <c r="AA57" s="1456"/>
    </row>
    <row r="58" spans="1:27">
      <c r="C58" s="1667"/>
      <c r="D58" s="2778"/>
      <c r="E58" s="1641"/>
      <c r="F58" s="1661">
        <f t="shared" si="5"/>
        <v>0</v>
      </c>
      <c r="H58" s="1460" t="s">
        <v>1890</v>
      </c>
      <c r="I58" s="1466">
        <v>3700</v>
      </c>
      <c r="J58" s="1470" t="s">
        <v>110</v>
      </c>
      <c r="K58" s="1460" t="s">
        <v>845</v>
      </c>
      <c r="L58" s="1467">
        <v>748</v>
      </c>
      <c r="M58" s="1467">
        <v>400</v>
      </c>
      <c r="N58" s="1461">
        <v>5.605361351386973E-3</v>
      </c>
      <c r="O58" s="1460">
        <v>12</v>
      </c>
      <c r="P58" s="1463" t="s">
        <v>1252</v>
      </c>
      <c r="Q58" s="1466"/>
      <c r="R58" s="1466">
        <v>3</v>
      </c>
      <c r="S58" s="1469" t="s">
        <v>229</v>
      </c>
      <c r="T58" s="1469" t="s">
        <v>229</v>
      </c>
      <c r="U58" s="1469">
        <f t="shared" si="6"/>
        <v>11100</v>
      </c>
      <c r="V58" s="1469" t="s">
        <v>229</v>
      </c>
      <c r="W58" s="1459" t="s">
        <v>229</v>
      </c>
      <c r="X58" s="1459">
        <f t="shared" si="7"/>
        <v>1200</v>
      </c>
      <c r="Y58" s="1459" t="s">
        <v>229</v>
      </c>
      <c r="Z58" s="1482">
        <v>0</v>
      </c>
      <c r="AA58" s="1456"/>
    </row>
    <row r="59" spans="1:27">
      <c r="C59" s="1667"/>
      <c r="D59" s="2778"/>
      <c r="E59" s="1641"/>
      <c r="F59" s="1661">
        <f t="shared" si="5"/>
        <v>0</v>
      </c>
      <c r="H59" s="1460" t="s">
        <v>1891</v>
      </c>
      <c r="I59" s="1466">
        <v>4625</v>
      </c>
      <c r="J59" s="1470" t="s">
        <v>110</v>
      </c>
      <c r="K59" s="1460" t="s">
        <v>845</v>
      </c>
      <c r="L59" s="1467">
        <v>935</v>
      </c>
      <c r="M59" s="1467">
        <v>500</v>
      </c>
      <c r="N59" s="1461">
        <v>4.6711344594891442E-3</v>
      </c>
      <c r="O59" s="1460">
        <v>12</v>
      </c>
      <c r="P59" s="1463" t="s">
        <v>1252</v>
      </c>
      <c r="Q59" s="1466"/>
      <c r="R59" s="1466">
        <v>2</v>
      </c>
      <c r="S59" s="1469" t="s">
        <v>229</v>
      </c>
      <c r="T59" s="1469" t="s">
        <v>229</v>
      </c>
      <c r="U59" s="1469">
        <f t="shared" si="6"/>
        <v>9250</v>
      </c>
      <c r="V59" s="1469" t="s">
        <v>229</v>
      </c>
      <c r="W59" s="1459" t="s">
        <v>229</v>
      </c>
      <c r="X59" s="1459">
        <f t="shared" si="7"/>
        <v>1000</v>
      </c>
      <c r="Y59" s="1459" t="s">
        <v>229</v>
      </c>
      <c r="Z59" s="1482">
        <v>0</v>
      </c>
      <c r="AA59" s="1456"/>
    </row>
    <row r="60" spans="1:27">
      <c r="C60" s="1488"/>
      <c r="D60" s="2779"/>
      <c r="E60" s="1490"/>
      <c r="F60" s="1493"/>
      <c r="H60" s="1460" t="s">
        <v>1892</v>
      </c>
      <c r="I60" s="1466">
        <v>5550</v>
      </c>
      <c r="J60" s="1470" t="s">
        <v>110</v>
      </c>
      <c r="K60" s="1460" t="s">
        <v>845</v>
      </c>
      <c r="L60" s="1467">
        <v>1122</v>
      </c>
      <c r="M60" s="1467">
        <v>600</v>
      </c>
      <c r="N60" s="1461">
        <v>5.605361351386973E-3</v>
      </c>
      <c r="O60" s="1460">
        <v>12</v>
      </c>
      <c r="P60" s="1463" t="s">
        <v>1252</v>
      </c>
      <c r="Q60" s="1466"/>
      <c r="R60" s="1466">
        <v>2</v>
      </c>
      <c r="S60" s="1469" t="s">
        <v>229</v>
      </c>
      <c r="T60" s="1469" t="s">
        <v>229</v>
      </c>
      <c r="U60" s="1469">
        <f t="shared" si="6"/>
        <v>11100</v>
      </c>
      <c r="V60" s="1469" t="s">
        <v>229</v>
      </c>
      <c r="W60" s="1459" t="s">
        <v>229</v>
      </c>
      <c r="X60" s="1459">
        <f t="shared" si="7"/>
        <v>1200</v>
      </c>
      <c r="Y60" s="1459" t="s">
        <v>229</v>
      </c>
      <c r="Z60" s="1482">
        <v>0</v>
      </c>
      <c r="AA60" s="1456"/>
    </row>
    <row r="61" spans="1:27">
      <c r="C61" s="1597" t="s">
        <v>49</v>
      </c>
      <c r="D61" s="2771">
        <f>SUM(D62:D65)</f>
        <v>0</v>
      </c>
      <c r="E61" s="1464">
        <f>SUM(E62:E65)</f>
        <v>0</v>
      </c>
      <c r="F61" s="1638">
        <f>D61+E61</f>
        <v>0</v>
      </c>
      <c r="H61" s="1460" t="s">
        <v>1893</v>
      </c>
      <c r="I61" s="1466">
        <v>439</v>
      </c>
      <c r="J61" s="1470" t="s">
        <v>110</v>
      </c>
      <c r="K61" s="1460" t="s">
        <v>845</v>
      </c>
      <c r="L61" s="1467">
        <v>167</v>
      </c>
      <c r="M61" s="1467">
        <v>150</v>
      </c>
      <c r="N61" s="1461">
        <v>1.1084475825490455E-3</v>
      </c>
      <c r="O61" s="1460">
        <v>12</v>
      </c>
      <c r="P61" s="1463" t="s">
        <v>1252</v>
      </c>
      <c r="Q61" s="1466"/>
      <c r="R61" s="1466">
        <v>5</v>
      </c>
      <c r="S61" s="1469" t="s">
        <v>229</v>
      </c>
      <c r="T61" s="1469" t="s">
        <v>229</v>
      </c>
      <c r="U61" s="1469">
        <f t="shared" si="6"/>
        <v>2195</v>
      </c>
      <c r="V61" s="1469" t="s">
        <v>229</v>
      </c>
      <c r="W61" s="1459" t="s">
        <v>229</v>
      </c>
      <c r="X61" s="1459">
        <f t="shared" si="7"/>
        <v>750</v>
      </c>
      <c r="Y61" s="1459" t="s">
        <v>229</v>
      </c>
      <c r="Z61" s="1482">
        <v>0</v>
      </c>
      <c r="AA61" s="1456"/>
    </row>
    <row r="62" spans="1:27">
      <c r="C62" s="1667"/>
      <c r="D62" s="2778"/>
      <c r="E62" s="1672"/>
      <c r="F62" s="1661">
        <f t="shared" si="5"/>
        <v>0</v>
      </c>
      <c r="H62" s="1460" t="s">
        <v>1894</v>
      </c>
      <c r="I62" s="1466">
        <v>934</v>
      </c>
      <c r="J62" s="1470" t="s">
        <v>110</v>
      </c>
      <c r="K62" s="1460" t="s">
        <v>845</v>
      </c>
      <c r="L62" s="1467">
        <v>710</v>
      </c>
      <c r="M62" s="1467">
        <v>500</v>
      </c>
      <c r="N62" s="1461">
        <v>4.7165833353112006E-3</v>
      </c>
      <c r="O62" s="1460">
        <v>12</v>
      </c>
      <c r="P62" s="1463" t="s">
        <v>1252</v>
      </c>
      <c r="Q62" s="1466"/>
      <c r="R62" s="1466">
        <v>10</v>
      </c>
      <c r="S62" s="1469" t="s">
        <v>229</v>
      </c>
      <c r="T62" s="1469" t="s">
        <v>229</v>
      </c>
      <c r="U62" s="1469">
        <f t="shared" si="6"/>
        <v>9340</v>
      </c>
      <c r="V62" s="1469" t="s">
        <v>229</v>
      </c>
      <c r="W62" s="1459" t="s">
        <v>229</v>
      </c>
      <c r="X62" s="1459">
        <f t="shared" si="7"/>
        <v>5000</v>
      </c>
      <c r="Y62" s="1459" t="s">
        <v>229</v>
      </c>
      <c r="Z62" s="1482">
        <v>0</v>
      </c>
      <c r="AA62" s="1456"/>
    </row>
    <row r="63" spans="1:27">
      <c r="C63" s="1667"/>
      <c r="D63" s="2778"/>
      <c r="E63" s="1672"/>
      <c r="F63" s="1661">
        <f t="shared" si="5"/>
        <v>0</v>
      </c>
      <c r="H63" s="1460" t="s">
        <v>1895</v>
      </c>
      <c r="I63" s="1466">
        <v>1113</v>
      </c>
      <c r="J63" s="1470" t="s">
        <v>110</v>
      </c>
      <c r="K63" s="1460" t="s">
        <v>845</v>
      </c>
      <c r="L63" s="1467">
        <v>1751</v>
      </c>
      <c r="M63" s="1467">
        <v>750</v>
      </c>
      <c r="N63" s="1461">
        <v>2.8102554883304956E-3</v>
      </c>
      <c r="O63" s="1460">
        <v>12</v>
      </c>
      <c r="P63" s="1463" t="s">
        <v>1252</v>
      </c>
      <c r="Q63" s="1466"/>
      <c r="R63" s="1466">
        <v>5</v>
      </c>
      <c r="S63" s="1469" t="s">
        <v>229</v>
      </c>
      <c r="T63" s="1469" t="s">
        <v>229</v>
      </c>
      <c r="U63" s="1469">
        <f t="shared" si="6"/>
        <v>5565</v>
      </c>
      <c r="V63" s="1469" t="s">
        <v>229</v>
      </c>
      <c r="W63" s="1459" t="s">
        <v>229</v>
      </c>
      <c r="X63" s="1459">
        <f t="shared" si="7"/>
        <v>3750</v>
      </c>
      <c r="Y63" s="1459" t="s">
        <v>229</v>
      </c>
      <c r="Z63" s="1482">
        <v>0</v>
      </c>
      <c r="AA63" s="1456"/>
    </row>
    <row r="64" spans="1:27" ht="25.5">
      <c r="A64" s="2143" t="s">
        <v>625</v>
      </c>
      <c r="C64" s="1667"/>
      <c r="D64" s="2778"/>
      <c r="E64" s="1672"/>
      <c r="F64" s="1437">
        <f t="shared" si="5"/>
        <v>0</v>
      </c>
      <c r="H64" s="1460" t="s">
        <v>1896</v>
      </c>
      <c r="I64" s="1466">
        <v>429</v>
      </c>
      <c r="J64" s="1470" t="s">
        <v>110</v>
      </c>
      <c r="K64" s="1460" t="s">
        <v>845</v>
      </c>
      <c r="L64" s="1467">
        <v>306</v>
      </c>
      <c r="M64" s="1467">
        <v>200</v>
      </c>
      <c r="N64" s="1461">
        <v>1.299837848510817E-3</v>
      </c>
      <c r="O64" s="1460">
        <v>10</v>
      </c>
      <c r="P64" s="1463" t="s">
        <v>1253</v>
      </c>
      <c r="Q64" s="1466"/>
      <c r="R64" s="1466">
        <v>6</v>
      </c>
      <c r="S64" s="1469" t="s">
        <v>229</v>
      </c>
      <c r="T64" s="1469" t="s">
        <v>229</v>
      </c>
      <c r="U64" s="1469">
        <f t="shared" si="6"/>
        <v>2574</v>
      </c>
      <c r="V64" s="1469" t="s">
        <v>229</v>
      </c>
      <c r="W64" s="1459" t="s">
        <v>229</v>
      </c>
      <c r="X64" s="1459">
        <f t="shared" si="7"/>
        <v>1200</v>
      </c>
      <c r="Y64" s="1459" t="s">
        <v>229</v>
      </c>
      <c r="Z64" s="1482">
        <v>77.23</v>
      </c>
      <c r="AA64" s="1456"/>
    </row>
    <row r="65" spans="1:27">
      <c r="A65" s="2143" t="s">
        <v>262</v>
      </c>
      <c r="C65" s="1667"/>
      <c r="D65" s="2778"/>
      <c r="E65" s="1672"/>
      <c r="F65" s="1661">
        <f t="shared" si="5"/>
        <v>0</v>
      </c>
      <c r="H65" s="1460" t="s">
        <v>1897</v>
      </c>
      <c r="I65" s="1466">
        <v>1517</v>
      </c>
      <c r="J65" s="1470" t="s">
        <v>110</v>
      </c>
      <c r="K65" s="1460" t="s">
        <v>845</v>
      </c>
      <c r="L65" s="1467">
        <v>286</v>
      </c>
      <c r="M65" s="1467">
        <v>200</v>
      </c>
      <c r="N65" s="1461">
        <v>6.1285284108497573E-3</v>
      </c>
      <c r="O65" s="1460">
        <v>10</v>
      </c>
      <c r="P65" s="1463" t="s">
        <v>1253</v>
      </c>
      <c r="Q65" s="1466"/>
      <c r="R65" s="1466">
        <v>8</v>
      </c>
      <c r="S65" s="1469" t="s">
        <v>229</v>
      </c>
      <c r="T65" s="1469" t="s">
        <v>229</v>
      </c>
      <c r="U65" s="1469">
        <f t="shared" si="6"/>
        <v>12136</v>
      </c>
      <c r="V65" s="1469" t="s">
        <v>229</v>
      </c>
      <c r="W65" s="1459" t="s">
        <v>229</v>
      </c>
      <c r="X65" s="1459">
        <f t="shared" si="7"/>
        <v>1600</v>
      </c>
      <c r="Y65" s="1459" t="s">
        <v>229</v>
      </c>
      <c r="Z65" s="1482">
        <v>245.92</v>
      </c>
      <c r="AA65" s="1456"/>
    </row>
    <row r="66" spans="1:27">
      <c r="A66" s="2143" t="s">
        <v>5</v>
      </c>
      <c r="C66" s="1488"/>
      <c r="D66" s="2779"/>
      <c r="E66" s="1490"/>
      <c r="F66" s="1493"/>
      <c r="H66" s="1460" t="s">
        <v>1898</v>
      </c>
      <c r="I66" s="1466">
        <v>1361</v>
      </c>
      <c r="J66" s="1470" t="s">
        <v>110</v>
      </c>
      <c r="K66" s="1460" t="s">
        <v>845</v>
      </c>
      <c r="L66" s="1467">
        <v>249</v>
      </c>
      <c r="M66" s="1467">
        <v>200</v>
      </c>
      <c r="N66" s="1461">
        <v>4.1237279995879296E-3</v>
      </c>
      <c r="O66" s="1460">
        <v>10</v>
      </c>
      <c r="P66" s="1463" t="s">
        <v>1253</v>
      </c>
      <c r="Q66" s="1466"/>
      <c r="R66" s="1466">
        <v>6</v>
      </c>
      <c r="S66" s="1469"/>
      <c r="T66" s="1469"/>
      <c r="U66" s="1469">
        <f t="shared" si="6"/>
        <v>8166</v>
      </c>
      <c r="V66" s="1469"/>
      <c r="W66" s="1459"/>
      <c r="X66" s="1459">
        <f t="shared" si="7"/>
        <v>1200</v>
      </c>
      <c r="Y66" s="1459"/>
      <c r="Z66" s="1482">
        <v>509.9</v>
      </c>
    </row>
    <row r="67" spans="1:27">
      <c r="A67" s="2143">
        <v>18230716</v>
      </c>
      <c r="C67" s="1597" t="s">
        <v>50</v>
      </c>
      <c r="D67" s="2771">
        <f>W15</f>
        <v>0</v>
      </c>
      <c r="E67" s="1464">
        <f>X15</f>
        <v>148190</v>
      </c>
      <c r="F67" s="1638">
        <f>D67+E67</f>
        <v>148190</v>
      </c>
      <c r="H67" s="1460" t="s">
        <v>1899</v>
      </c>
      <c r="I67" s="1466">
        <v>2044</v>
      </c>
      <c r="J67" s="1470" t="s">
        <v>110</v>
      </c>
      <c r="K67" s="1460" t="s">
        <v>845</v>
      </c>
      <c r="L67" s="1467">
        <v>764</v>
      </c>
      <c r="M67" s="1467">
        <v>500</v>
      </c>
      <c r="N67" s="1461">
        <v>7.225361280688721E-3</v>
      </c>
      <c r="O67" s="1460">
        <v>10</v>
      </c>
      <c r="P67" s="1463" t="s">
        <v>1253</v>
      </c>
      <c r="Q67" s="1466"/>
      <c r="R67" s="1466">
        <v>7</v>
      </c>
      <c r="S67" s="1469"/>
      <c r="T67" s="1469"/>
      <c r="U67" s="1469">
        <f t="shared" si="6"/>
        <v>14308</v>
      </c>
      <c r="V67" s="1469"/>
      <c r="W67" s="1459"/>
      <c r="X67" s="1459">
        <f t="shared" si="7"/>
        <v>3500</v>
      </c>
      <c r="Y67" s="1459"/>
      <c r="Z67" s="1482">
        <v>570.04999999999995</v>
      </c>
    </row>
    <row r="68" spans="1:27">
      <c r="A68" s="2143" t="s">
        <v>4</v>
      </c>
      <c r="C68" s="1500" t="s">
        <v>297</v>
      </c>
      <c r="D68" s="2781"/>
      <c r="E68" s="1496"/>
      <c r="F68" s="1499"/>
      <c r="H68" s="1460" t="s">
        <v>1900</v>
      </c>
      <c r="I68" s="1466">
        <v>481</v>
      </c>
      <c r="J68" s="1470" t="s">
        <v>110</v>
      </c>
      <c r="K68" s="1460" t="s">
        <v>845</v>
      </c>
      <c r="L68" s="1467">
        <v>274</v>
      </c>
      <c r="M68" s="1467">
        <v>200</v>
      </c>
      <c r="N68" s="1461">
        <v>1.4573939513606129E-3</v>
      </c>
      <c r="O68" s="1460">
        <v>10</v>
      </c>
      <c r="P68" s="1463" t="s">
        <v>1253</v>
      </c>
      <c r="Q68" s="1466"/>
      <c r="R68" s="1466">
        <v>6</v>
      </c>
      <c r="S68" s="1469"/>
      <c r="T68" s="1469"/>
      <c r="U68" s="1469">
        <f t="shared" si="6"/>
        <v>2886</v>
      </c>
      <c r="V68" s="1469"/>
      <c r="W68" s="1459"/>
      <c r="X68" s="1459">
        <f t="shared" si="7"/>
        <v>1200</v>
      </c>
      <c r="Y68" s="1459"/>
      <c r="Z68" s="1482">
        <v>0</v>
      </c>
    </row>
    <row r="69" spans="1:27">
      <c r="A69" s="1663"/>
      <c r="C69" s="1501"/>
      <c r="D69" s="2782"/>
      <c r="E69" s="1497"/>
      <c r="F69" s="1498"/>
      <c r="H69" s="1460" t="s">
        <v>1901</v>
      </c>
      <c r="I69" s="1466">
        <v>1314</v>
      </c>
      <c r="J69" s="1470" t="s">
        <v>110</v>
      </c>
      <c r="K69" s="1460" t="s">
        <v>845</v>
      </c>
      <c r="L69" s="1467">
        <v>764</v>
      </c>
      <c r="M69" s="1467">
        <v>500</v>
      </c>
      <c r="N69" s="1461">
        <v>3.9813215220121526E-3</v>
      </c>
      <c r="O69" s="1460">
        <v>10</v>
      </c>
      <c r="P69" s="1463" t="s">
        <v>1253</v>
      </c>
      <c r="Q69" s="1466"/>
      <c r="R69" s="1466">
        <v>6</v>
      </c>
      <c r="S69" s="1469"/>
      <c r="T69" s="1469"/>
      <c r="U69" s="1469">
        <f t="shared" si="6"/>
        <v>7884</v>
      </c>
      <c r="V69" s="1469"/>
      <c r="W69" s="1459"/>
      <c r="X69" s="1459">
        <f t="shared" si="7"/>
        <v>3000</v>
      </c>
      <c r="Y69" s="1459"/>
      <c r="Z69" s="1482">
        <v>0</v>
      </c>
    </row>
    <row r="70" spans="1:27">
      <c r="A70" s="1663"/>
      <c r="C70" s="1494" t="s">
        <v>51</v>
      </c>
      <c r="D70" s="2778">
        <v>0</v>
      </c>
      <c r="E70" s="1671">
        <v>0</v>
      </c>
      <c r="F70" s="1491">
        <v>0</v>
      </c>
      <c r="H70" s="1460" t="s">
        <v>1902</v>
      </c>
      <c r="I70" s="1466">
        <v>287</v>
      </c>
      <c r="J70" s="1470" t="s">
        <v>110</v>
      </c>
      <c r="K70" s="1460" t="s">
        <v>845</v>
      </c>
      <c r="L70" s="1467">
        <v>306</v>
      </c>
      <c r="M70" s="1467">
        <v>200</v>
      </c>
      <c r="N70" s="1461">
        <v>1.4493141512144695E-3</v>
      </c>
      <c r="O70" s="1460">
        <v>10</v>
      </c>
      <c r="P70" s="1463" t="s">
        <v>1253</v>
      </c>
      <c r="Q70" s="1466"/>
      <c r="R70" s="1466">
        <v>10</v>
      </c>
      <c r="S70" s="1469"/>
      <c r="T70" s="1469"/>
      <c r="U70" s="1469">
        <f t="shared" si="6"/>
        <v>2870</v>
      </c>
      <c r="V70" s="1469"/>
      <c r="W70" s="1459"/>
      <c r="X70" s="1459">
        <f t="shared" si="7"/>
        <v>2000</v>
      </c>
      <c r="Y70" s="1459"/>
      <c r="Z70" s="1482">
        <v>28.38</v>
      </c>
    </row>
    <row r="71" spans="1:27">
      <c r="A71" s="1663"/>
      <c r="C71" s="3201"/>
      <c r="D71" s="3202"/>
      <c r="E71" s="3203"/>
      <c r="F71" s="3204"/>
      <c r="H71" s="1460" t="s">
        <v>1903</v>
      </c>
      <c r="I71" s="1466">
        <v>1436</v>
      </c>
      <c r="J71" s="1470" t="s">
        <v>110</v>
      </c>
      <c r="K71" s="1460" t="s">
        <v>845</v>
      </c>
      <c r="L71" s="1467">
        <v>286</v>
      </c>
      <c r="M71" s="1467">
        <v>200</v>
      </c>
      <c r="N71" s="1461">
        <v>7.2516206311636876E-3</v>
      </c>
      <c r="O71" s="1460">
        <v>10</v>
      </c>
      <c r="P71" s="1463" t="s">
        <v>1253</v>
      </c>
      <c r="Q71" s="1466"/>
      <c r="R71" s="1466">
        <v>10</v>
      </c>
      <c r="S71" s="1469"/>
      <c r="T71" s="1469"/>
      <c r="U71" s="1469">
        <f t="shared" si="6"/>
        <v>14360</v>
      </c>
      <c r="V71" s="1469"/>
      <c r="W71" s="1459"/>
      <c r="X71" s="1459">
        <f t="shared" si="7"/>
        <v>2000</v>
      </c>
      <c r="Y71" s="1459"/>
      <c r="Z71" s="1482">
        <v>294.10000000000002</v>
      </c>
    </row>
    <row r="72" spans="1:27">
      <c r="D72" s="2767"/>
      <c r="H72" s="1460" t="s">
        <v>1904</v>
      </c>
      <c r="I72" s="1466">
        <v>385</v>
      </c>
      <c r="J72" s="1470" t="s">
        <v>110</v>
      </c>
      <c r="K72" s="1460" t="s">
        <v>845</v>
      </c>
      <c r="L72" s="1467">
        <v>249</v>
      </c>
      <c r="M72" s="1467">
        <v>200</v>
      </c>
      <c r="N72" s="1461">
        <v>1.1665211460994511E-3</v>
      </c>
      <c r="O72" s="1460">
        <v>10</v>
      </c>
      <c r="P72" s="1463" t="s">
        <v>1253</v>
      </c>
      <c r="Q72" s="1466"/>
      <c r="R72" s="1466">
        <v>6</v>
      </c>
      <c r="S72" s="1469"/>
      <c r="T72" s="1469"/>
      <c r="U72" s="1469">
        <f t="shared" si="6"/>
        <v>2310</v>
      </c>
      <c r="V72" s="1469"/>
      <c r="W72" s="1459"/>
      <c r="X72" s="1459">
        <f t="shared" si="7"/>
        <v>1200</v>
      </c>
      <c r="Y72" s="1459"/>
      <c r="Z72" s="1482">
        <v>221.76</v>
      </c>
    </row>
    <row r="73" spans="1:27">
      <c r="D73" s="2767"/>
      <c r="H73" s="1460" t="s">
        <v>1905</v>
      </c>
      <c r="I73" s="1466">
        <v>1903</v>
      </c>
      <c r="J73" s="1470" t="s">
        <v>110</v>
      </c>
      <c r="K73" s="1460" t="s">
        <v>845</v>
      </c>
      <c r="L73" s="1467">
        <v>764</v>
      </c>
      <c r="M73" s="1467">
        <v>500</v>
      </c>
      <c r="N73" s="1461">
        <v>5.7659473792915725E-3</v>
      </c>
      <c r="O73" s="1460">
        <v>10</v>
      </c>
      <c r="P73" s="1463" t="s">
        <v>1253</v>
      </c>
      <c r="Q73" s="1466"/>
      <c r="R73" s="1466">
        <v>6</v>
      </c>
      <c r="S73" s="1469"/>
      <c r="T73" s="1469"/>
      <c r="U73" s="1469">
        <f t="shared" si="6"/>
        <v>11418</v>
      </c>
      <c r="V73" s="1469"/>
      <c r="W73" s="1459"/>
      <c r="X73" s="1459">
        <f t="shared" si="7"/>
        <v>3000</v>
      </c>
      <c r="Y73" s="1459"/>
      <c r="Z73" s="1482">
        <v>485.58</v>
      </c>
    </row>
    <row r="74" spans="1:27">
      <c r="D74" s="2767"/>
      <c r="H74" s="1460" t="s">
        <v>1906</v>
      </c>
      <c r="I74" s="1466">
        <v>456</v>
      </c>
      <c r="J74" s="1470" t="s">
        <v>110</v>
      </c>
      <c r="K74" s="1460" t="s">
        <v>845</v>
      </c>
      <c r="L74" s="1467">
        <v>274</v>
      </c>
      <c r="M74" s="1467">
        <v>200</v>
      </c>
      <c r="N74" s="1461">
        <v>1.3816458249905187E-3</v>
      </c>
      <c r="O74" s="1460">
        <v>10</v>
      </c>
      <c r="P74" s="1463" t="s">
        <v>1253</v>
      </c>
      <c r="Q74" s="1466"/>
      <c r="R74" s="1466">
        <v>6</v>
      </c>
      <c r="S74" s="1469"/>
      <c r="T74" s="1469"/>
      <c r="U74" s="1469">
        <f t="shared" si="6"/>
        <v>2736</v>
      </c>
      <c r="V74" s="1469"/>
      <c r="W74" s="1459"/>
      <c r="X74" s="1459">
        <f t="shared" si="7"/>
        <v>1200</v>
      </c>
      <c r="Y74" s="1459"/>
      <c r="Z74" s="1482">
        <v>0</v>
      </c>
    </row>
    <row r="75" spans="1:27">
      <c r="D75" s="2767"/>
      <c r="H75" s="1460" t="s">
        <v>1907</v>
      </c>
      <c r="I75" s="1466">
        <v>1273</v>
      </c>
      <c r="J75" s="1470" t="s">
        <v>110</v>
      </c>
      <c r="K75" s="1460" t="s">
        <v>845</v>
      </c>
      <c r="L75" s="1467">
        <v>764</v>
      </c>
      <c r="M75" s="1467">
        <v>500</v>
      </c>
      <c r="N75" s="1461">
        <v>3.8570945947651982E-3</v>
      </c>
      <c r="O75" s="1460">
        <v>10</v>
      </c>
      <c r="P75" s="1463" t="s">
        <v>1253</v>
      </c>
      <c r="Q75" s="1466"/>
      <c r="R75" s="1466">
        <v>6</v>
      </c>
      <c r="S75" s="1469"/>
      <c r="T75" s="1469"/>
      <c r="U75" s="1469">
        <f t="shared" si="6"/>
        <v>7638</v>
      </c>
      <c r="V75" s="1469"/>
      <c r="W75" s="1459"/>
      <c r="X75" s="1459">
        <f t="shared" si="7"/>
        <v>3000</v>
      </c>
      <c r="Y75" s="1459"/>
      <c r="Z75" s="1482">
        <v>0</v>
      </c>
    </row>
    <row r="76" spans="1:27">
      <c r="D76" s="2767"/>
      <c r="H76" s="1460" t="s">
        <v>1908</v>
      </c>
      <c r="I76" s="1466">
        <v>15074</v>
      </c>
      <c r="J76" s="1470" t="s">
        <v>110</v>
      </c>
      <c r="K76" s="1460" t="s">
        <v>845</v>
      </c>
      <c r="L76" s="1467">
        <v>1584</v>
      </c>
      <c r="M76" s="1467">
        <v>1500</v>
      </c>
      <c r="N76" s="1461" t="s">
        <v>229</v>
      </c>
      <c r="O76" s="1460">
        <v>12</v>
      </c>
      <c r="P76" s="1463" t="s">
        <v>1252</v>
      </c>
      <c r="Q76" s="1466"/>
      <c r="R76" s="1466"/>
      <c r="S76" s="1469"/>
      <c r="T76" s="1469"/>
      <c r="U76" s="1469">
        <f t="shared" si="6"/>
        <v>0</v>
      </c>
      <c r="V76" s="1469"/>
      <c r="W76" s="1459"/>
      <c r="X76" s="1459">
        <f t="shared" si="7"/>
        <v>0</v>
      </c>
      <c r="Y76" s="1459"/>
      <c r="Z76" s="1482"/>
    </row>
    <row r="77" spans="1:27">
      <c r="D77" s="2767"/>
      <c r="H77" s="1460" t="s">
        <v>1909</v>
      </c>
      <c r="I77" s="1466">
        <v>22009</v>
      </c>
      <c r="J77" s="1470" t="s">
        <v>110</v>
      </c>
      <c r="K77" s="1460" t="s">
        <v>845</v>
      </c>
      <c r="L77" s="1467">
        <v>7048</v>
      </c>
      <c r="M77" s="1467">
        <v>7000</v>
      </c>
      <c r="N77" s="1461" t="s">
        <v>229</v>
      </c>
      <c r="O77" s="1460">
        <v>12</v>
      </c>
      <c r="P77" s="1463" t="s">
        <v>1252</v>
      </c>
      <c r="Q77" s="1466"/>
      <c r="R77" s="1466"/>
      <c r="S77" s="1469"/>
      <c r="T77" s="1469"/>
      <c r="U77" s="1469">
        <f t="shared" si="6"/>
        <v>0</v>
      </c>
      <c r="V77" s="1469"/>
      <c r="W77" s="1459"/>
      <c r="X77" s="1459">
        <f t="shared" si="7"/>
        <v>0</v>
      </c>
      <c r="Y77" s="1459"/>
      <c r="Z77" s="1482"/>
    </row>
    <row r="78" spans="1:27">
      <c r="D78" s="2767"/>
      <c r="H78" s="1460" t="s">
        <v>1910</v>
      </c>
      <c r="I78" s="1466">
        <v>7313</v>
      </c>
      <c r="J78" s="1470" t="s">
        <v>110</v>
      </c>
      <c r="K78" s="1460" t="s">
        <v>845</v>
      </c>
      <c r="L78" s="1467">
        <v>1574</v>
      </c>
      <c r="M78" s="1467">
        <v>1500</v>
      </c>
      <c r="N78" s="1461" t="s">
        <v>229</v>
      </c>
      <c r="O78" s="1460">
        <v>12</v>
      </c>
      <c r="P78" s="1463" t="s">
        <v>1252</v>
      </c>
      <c r="Q78" s="1466"/>
      <c r="R78" s="1466"/>
      <c r="S78" s="1469"/>
      <c r="T78" s="1469"/>
      <c r="U78" s="1469">
        <f t="shared" si="6"/>
        <v>0</v>
      </c>
      <c r="V78" s="1469"/>
      <c r="W78" s="1459"/>
      <c r="X78" s="1459">
        <f t="shared" si="7"/>
        <v>0</v>
      </c>
      <c r="Y78" s="1459"/>
      <c r="Z78" s="1482"/>
    </row>
    <row r="79" spans="1:27">
      <c r="D79" s="2767"/>
      <c r="I79" s="1466"/>
      <c r="J79" s="1470"/>
      <c r="K79" s="1460"/>
      <c r="L79" s="1467"/>
      <c r="M79" s="1467"/>
      <c r="N79" s="1461"/>
      <c r="O79" s="1460"/>
      <c r="P79" s="1463"/>
      <c r="Q79" s="1466"/>
      <c r="R79" s="1466"/>
      <c r="S79" s="1469"/>
      <c r="T79" s="1469"/>
      <c r="U79" s="1469"/>
      <c r="V79" s="1469"/>
      <c r="W79" s="1459"/>
      <c r="X79" s="1459"/>
      <c r="Y79" s="1459"/>
      <c r="Z79" s="1482"/>
    </row>
    <row r="80" spans="1:27">
      <c r="D80" s="2767"/>
    </row>
    <row r="81" spans="4:27">
      <c r="D81" s="2767"/>
    </row>
    <row r="82" spans="4:27">
      <c r="D82" s="2767"/>
    </row>
    <row r="83" spans="4:27">
      <c r="E83" s="1652"/>
    </row>
    <row r="84" spans="4:27">
      <c r="E84" s="1652"/>
      <c r="H84" s="3003" t="s">
        <v>1751</v>
      </c>
    </row>
    <row r="85" spans="4:27">
      <c r="E85" s="1652"/>
      <c r="H85" s="3562" t="s">
        <v>300</v>
      </c>
      <c r="I85" s="3562"/>
      <c r="J85" s="3562"/>
      <c r="K85" s="3562"/>
      <c r="L85" s="3562"/>
      <c r="M85" s="3562"/>
      <c r="N85" s="3562"/>
      <c r="O85" s="3562"/>
      <c r="P85" s="3562"/>
      <c r="Q85" s="1465"/>
      <c r="R85" s="1465"/>
      <c r="S85" s="1465"/>
      <c r="T85" s="1465"/>
      <c r="U85" s="1465"/>
      <c r="V85" s="1465"/>
      <c r="W85" s="3191" t="s">
        <v>300</v>
      </c>
      <c r="X85" s="1465"/>
      <c r="Y85" s="1465"/>
      <c r="Z85" s="3191" t="s">
        <v>300</v>
      </c>
      <c r="AA85" s="1465"/>
    </row>
    <row r="86" spans="4:27">
      <c r="E86" s="1652"/>
      <c r="H86" s="1456"/>
      <c r="I86" s="1457"/>
      <c r="J86" s="1457"/>
      <c r="K86" s="1456"/>
      <c r="L86" s="1456"/>
      <c r="M86" s="1456"/>
      <c r="N86" s="1456"/>
      <c r="O86" s="1456"/>
      <c r="P86" s="1456"/>
      <c r="Q86" s="1456"/>
      <c r="R86" s="1456"/>
      <c r="S86" s="1456"/>
      <c r="T86" s="1456"/>
      <c r="U86" s="1456"/>
      <c r="V86" s="1456"/>
      <c r="W86" s="1456"/>
      <c r="X86" s="1456"/>
      <c r="Y86" s="1456"/>
      <c r="Z86" s="1456"/>
      <c r="AA86" s="1456"/>
    </row>
    <row r="87" spans="4:27">
      <c r="E87" s="1652"/>
      <c r="H87" s="3563" t="s">
        <v>301</v>
      </c>
      <c r="I87" s="3563"/>
      <c r="J87" s="3563"/>
      <c r="K87" s="3563"/>
      <c r="L87" s="3563"/>
      <c r="M87" s="3563"/>
      <c r="N87" s="3563"/>
      <c r="O87" s="3563"/>
      <c r="P87" s="3563"/>
      <c r="Q87" s="3565" t="s">
        <v>40</v>
      </c>
      <c r="R87" s="3565"/>
      <c r="S87" s="3565"/>
      <c r="T87" s="3574" t="s">
        <v>41</v>
      </c>
      <c r="U87" s="3574"/>
      <c r="V87" s="3574"/>
      <c r="W87" s="3564" t="s">
        <v>52</v>
      </c>
      <c r="X87" s="3564"/>
      <c r="Y87" s="3564"/>
      <c r="Z87" s="3567" t="s">
        <v>1728</v>
      </c>
      <c r="AA87" s="1456"/>
    </row>
    <row r="88" spans="4:27">
      <c r="E88" s="1652"/>
      <c r="H88" s="1471" t="s">
        <v>302</v>
      </c>
      <c r="I88" s="1471" t="s">
        <v>228</v>
      </c>
      <c r="J88" s="1471" t="s">
        <v>303</v>
      </c>
      <c r="K88" s="1471" t="s">
        <v>304</v>
      </c>
      <c r="L88" s="1471" t="s">
        <v>53</v>
      </c>
      <c r="M88" s="1471" t="s">
        <v>54</v>
      </c>
      <c r="N88" s="1471" t="s">
        <v>305</v>
      </c>
      <c r="O88" s="1471" t="s">
        <v>55</v>
      </c>
      <c r="P88" s="1471" t="s">
        <v>56</v>
      </c>
      <c r="Q88" s="1472">
        <v>2016</v>
      </c>
      <c r="R88" s="1472">
        <v>2017</v>
      </c>
      <c r="S88" s="1472" t="s">
        <v>306</v>
      </c>
      <c r="T88" s="1473">
        <v>2016</v>
      </c>
      <c r="U88" s="1473">
        <v>2017</v>
      </c>
      <c r="V88" s="1473" t="s">
        <v>306</v>
      </c>
      <c r="W88" s="1474">
        <v>2016</v>
      </c>
      <c r="X88" s="1474">
        <v>2017</v>
      </c>
      <c r="Y88" s="1474" t="s">
        <v>306</v>
      </c>
      <c r="Z88" s="3567"/>
      <c r="AA88" s="1456"/>
    </row>
    <row r="89" spans="4:27">
      <c r="E89" s="1652"/>
      <c r="H89" s="1458" t="s">
        <v>307</v>
      </c>
      <c r="I89" s="1458" t="s">
        <v>307</v>
      </c>
      <c r="J89" s="1471"/>
      <c r="K89" s="1458" t="s">
        <v>307</v>
      </c>
      <c r="L89" s="1458" t="s">
        <v>307</v>
      </c>
      <c r="M89" s="1458" t="s">
        <v>307</v>
      </c>
      <c r="N89" s="1458" t="s">
        <v>307</v>
      </c>
      <c r="O89" s="1458" t="s">
        <v>307</v>
      </c>
      <c r="P89" s="1458" t="s">
        <v>307</v>
      </c>
      <c r="Q89" s="1458" t="s">
        <v>307</v>
      </c>
      <c r="R89" s="1458" t="s">
        <v>307</v>
      </c>
      <c r="S89" s="1472"/>
      <c r="T89" s="1473"/>
      <c r="U89" s="1473"/>
      <c r="V89" s="1473"/>
      <c r="W89" s="1474"/>
      <c r="X89" s="1474"/>
      <c r="Y89" s="1474"/>
      <c r="Z89" s="2244"/>
      <c r="AA89" s="1456"/>
    </row>
    <row r="90" spans="4:27">
      <c r="E90" s="1652"/>
      <c r="H90" s="1475" t="s">
        <v>308</v>
      </c>
      <c r="I90" s="1476"/>
      <c r="J90" s="1476"/>
      <c r="K90" s="1477"/>
      <c r="L90" s="1478">
        <f>SUMPRODUCT(L91:L254,S91:S254)</f>
        <v>356827.80000000005</v>
      </c>
      <c r="M90" s="1478">
        <f>SUM(M91:M254)</f>
        <v>97530</v>
      </c>
      <c r="N90" s="1479" t="s">
        <v>229</v>
      </c>
      <c r="O90" s="1477">
        <v>11</v>
      </c>
      <c r="P90" s="1477"/>
      <c r="Q90" s="1477"/>
      <c r="R90" s="1477"/>
      <c r="S90" s="1477"/>
      <c r="T90" s="1480">
        <v>1011436</v>
      </c>
      <c r="U90" s="1480">
        <f t="shared" ref="U90:V90" si="8">SUM(U91:U140)</f>
        <v>1112579.5999999999</v>
      </c>
      <c r="V90" s="1480">
        <f t="shared" si="8"/>
        <v>2124015.6</v>
      </c>
      <c r="W90" s="2983">
        <v>137700</v>
      </c>
      <c r="X90" s="1480">
        <f t="shared" ref="X90:Y90" si="9">SUM(X91:X140)</f>
        <v>147470</v>
      </c>
      <c r="Y90" s="1480">
        <f t="shared" si="9"/>
        <v>285170</v>
      </c>
      <c r="Z90" s="1481">
        <v>0</v>
      </c>
      <c r="AA90" s="1456"/>
    </row>
    <row r="91" spans="4:27">
      <c r="E91" s="1652"/>
      <c r="H91" s="2420" t="s">
        <v>1219</v>
      </c>
      <c r="I91" s="2416">
        <v>2449</v>
      </c>
      <c r="J91" s="1470" t="s">
        <v>110</v>
      </c>
      <c r="K91" s="1460" t="s">
        <v>845</v>
      </c>
      <c r="L91" s="2427">
        <v>769</v>
      </c>
      <c r="M91" s="2427">
        <v>250</v>
      </c>
      <c r="N91" s="2457">
        <v>1.2106549499918929E-2</v>
      </c>
      <c r="O91" s="1460">
        <v>8</v>
      </c>
      <c r="P91" s="1463" t="s">
        <v>1252</v>
      </c>
      <c r="Q91" s="2422">
        <v>5</v>
      </c>
      <c r="R91" s="2422">
        <v>5.5</v>
      </c>
      <c r="S91" s="1469">
        <f t="shared" ref="S91:S128" si="10">Q91+R91</f>
        <v>10.5</v>
      </c>
      <c r="T91" s="1469">
        <v>12245</v>
      </c>
      <c r="U91" s="1469">
        <f t="shared" ref="U91:U128" si="11">I91*R91</f>
        <v>13469.5</v>
      </c>
      <c r="V91" s="1469">
        <f t="shared" ref="V91:V128" si="12">T91+U91</f>
        <v>25714.5</v>
      </c>
      <c r="W91" s="2993">
        <v>1250</v>
      </c>
      <c r="X91" s="1459">
        <f t="shared" ref="X91:X128" si="13">M91*R91</f>
        <v>1375</v>
      </c>
      <c r="Y91" s="1459">
        <f t="shared" ref="Y91:Y128" si="14">W91+X91</f>
        <v>2625</v>
      </c>
      <c r="Z91" s="1482">
        <v>0</v>
      </c>
      <c r="AA91" s="1456"/>
    </row>
    <row r="92" spans="4:27">
      <c r="E92" s="1652"/>
      <c r="H92" s="2420" t="s">
        <v>1220</v>
      </c>
      <c r="I92" s="2416">
        <v>20866</v>
      </c>
      <c r="J92" s="1470" t="s">
        <v>110</v>
      </c>
      <c r="K92" s="1460" t="s">
        <v>845</v>
      </c>
      <c r="L92" s="2427">
        <v>304</v>
      </c>
      <c r="M92" s="2427">
        <v>250</v>
      </c>
      <c r="N92" s="2457">
        <v>4.1260148936759229E-2</v>
      </c>
      <c r="O92" s="1460">
        <v>9</v>
      </c>
      <c r="P92" s="1463" t="s">
        <v>1252</v>
      </c>
      <c r="Q92" s="2422">
        <v>2</v>
      </c>
      <c r="R92" s="2422">
        <v>2.2000000000000002</v>
      </c>
      <c r="S92" s="1469">
        <f t="shared" si="10"/>
        <v>4.2</v>
      </c>
      <c r="T92" s="1469">
        <v>41732</v>
      </c>
      <c r="U92" s="1469">
        <f t="shared" si="11"/>
        <v>45905.200000000004</v>
      </c>
      <c r="V92" s="1469">
        <f t="shared" si="12"/>
        <v>87637.200000000012</v>
      </c>
      <c r="W92" s="2993">
        <v>500</v>
      </c>
      <c r="X92" s="1459">
        <f t="shared" si="13"/>
        <v>550</v>
      </c>
      <c r="Y92" s="1459">
        <f t="shared" si="14"/>
        <v>1050</v>
      </c>
      <c r="Z92" s="1482">
        <v>0</v>
      </c>
      <c r="AA92" s="1456"/>
    </row>
    <row r="93" spans="4:27">
      <c r="E93" s="1652"/>
      <c r="H93" s="2420" t="s">
        <v>1221</v>
      </c>
      <c r="I93" s="2416">
        <v>27960</v>
      </c>
      <c r="J93" s="1470" t="s">
        <v>110</v>
      </c>
      <c r="K93" s="1460" t="s">
        <v>845</v>
      </c>
      <c r="L93" s="2427">
        <v>406</v>
      </c>
      <c r="M93" s="2427">
        <v>250</v>
      </c>
      <c r="N93" s="2457">
        <v>2.7643864762575198E-2</v>
      </c>
      <c r="O93" s="1460">
        <v>9</v>
      </c>
      <c r="P93" s="1463" t="s">
        <v>1252</v>
      </c>
      <c r="Q93" s="2422">
        <v>1</v>
      </c>
      <c r="R93" s="2422">
        <v>1.1000000000000001</v>
      </c>
      <c r="S93" s="1469">
        <f t="shared" si="10"/>
        <v>2.1</v>
      </c>
      <c r="T93" s="1469">
        <v>27960</v>
      </c>
      <c r="U93" s="1469">
        <f t="shared" si="11"/>
        <v>30756.000000000004</v>
      </c>
      <c r="V93" s="1469">
        <f t="shared" si="12"/>
        <v>58716</v>
      </c>
      <c r="W93" s="2993">
        <v>250</v>
      </c>
      <c r="X93" s="1459">
        <f t="shared" si="13"/>
        <v>275</v>
      </c>
      <c r="Y93" s="1459">
        <f t="shared" si="14"/>
        <v>525</v>
      </c>
      <c r="Z93" s="1482">
        <v>0</v>
      </c>
      <c r="AA93" s="1456"/>
    </row>
    <row r="94" spans="4:27">
      <c r="E94" s="1652"/>
      <c r="H94" s="2420" t="s">
        <v>1222</v>
      </c>
      <c r="I94" s="2416">
        <v>35055</v>
      </c>
      <c r="J94" s="1470" t="s">
        <v>110</v>
      </c>
      <c r="K94" s="1460" t="s">
        <v>845</v>
      </c>
      <c r="L94" s="2427">
        <v>508</v>
      </c>
      <c r="M94" s="2427">
        <v>250</v>
      </c>
      <c r="N94" s="2457">
        <v>3.4658643750074158E-2</v>
      </c>
      <c r="O94" s="1460">
        <v>9</v>
      </c>
      <c r="P94" s="1463" t="s">
        <v>1252</v>
      </c>
      <c r="Q94" s="2422">
        <v>1</v>
      </c>
      <c r="R94" s="2422">
        <v>1.1000000000000001</v>
      </c>
      <c r="S94" s="1469">
        <f t="shared" si="10"/>
        <v>2.1</v>
      </c>
      <c r="T94" s="1469">
        <v>35055</v>
      </c>
      <c r="U94" s="1469">
        <f t="shared" si="11"/>
        <v>38560.5</v>
      </c>
      <c r="V94" s="1469">
        <f t="shared" si="12"/>
        <v>73615.5</v>
      </c>
      <c r="W94" s="2993">
        <v>250</v>
      </c>
      <c r="X94" s="1459">
        <f t="shared" si="13"/>
        <v>275</v>
      </c>
      <c r="Y94" s="1459">
        <f t="shared" si="14"/>
        <v>525</v>
      </c>
      <c r="Z94" s="1482">
        <v>0</v>
      </c>
      <c r="AA94" s="1456"/>
    </row>
    <row r="95" spans="4:27">
      <c r="E95" s="1652"/>
      <c r="H95" s="2420" t="s">
        <v>1223</v>
      </c>
      <c r="I95" s="2416">
        <v>42150</v>
      </c>
      <c r="J95" s="1470" t="s">
        <v>229</v>
      </c>
      <c r="K95" s="1460" t="s">
        <v>845</v>
      </c>
      <c r="L95" s="2427">
        <v>608</v>
      </c>
      <c r="M95" s="2427">
        <v>500</v>
      </c>
      <c r="N95" s="2457">
        <v>0.20836711368786559</v>
      </c>
      <c r="O95" s="1460">
        <v>9</v>
      </c>
      <c r="P95" s="1463" t="s">
        <v>1252</v>
      </c>
      <c r="Q95" s="2422">
        <v>5</v>
      </c>
      <c r="R95" s="2422">
        <v>5.5</v>
      </c>
      <c r="S95" s="1469">
        <f t="shared" si="10"/>
        <v>10.5</v>
      </c>
      <c r="T95" s="1469">
        <v>210750</v>
      </c>
      <c r="U95" s="1469">
        <f t="shared" si="11"/>
        <v>231825</v>
      </c>
      <c r="V95" s="1469">
        <f t="shared" si="12"/>
        <v>442575</v>
      </c>
      <c r="W95" s="2993">
        <v>2500</v>
      </c>
      <c r="X95" s="1459">
        <f t="shared" si="13"/>
        <v>2750</v>
      </c>
      <c r="Y95" s="1459">
        <f t="shared" si="14"/>
        <v>5250</v>
      </c>
      <c r="Z95" s="1482">
        <v>0</v>
      </c>
      <c r="AA95" s="1456"/>
    </row>
    <row r="96" spans="4:27">
      <c r="E96" s="1652"/>
      <c r="H96" s="2420" t="s">
        <v>1224</v>
      </c>
      <c r="I96" s="2416">
        <v>70529</v>
      </c>
      <c r="J96" s="1470" t="s">
        <v>229</v>
      </c>
      <c r="K96" s="1460" t="s">
        <v>845</v>
      </c>
      <c r="L96" s="2427">
        <v>1014</v>
      </c>
      <c r="M96" s="2427">
        <v>500</v>
      </c>
      <c r="N96" s="2457">
        <v>0.13946309998853118</v>
      </c>
      <c r="O96" s="1460">
        <v>9</v>
      </c>
      <c r="P96" s="1463" t="s">
        <v>1252</v>
      </c>
      <c r="Q96" s="2422">
        <v>2</v>
      </c>
      <c r="R96" s="2422">
        <v>2.2000000000000002</v>
      </c>
      <c r="S96" s="1469">
        <f t="shared" si="10"/>
        <v>4.2</v>
      </c>
      <c r="T96" s="1469">
        <v>141058</v>
      </c>
      <c r="U96" s="1469">
        <f t="shared" si="11"/>
        <v>155163.80000000002</v>
      </c>
      <c r="V96" s="1469">
        <f t="shared" si="12"/>
        <v>296221.80000000005</v>
      </c>
      <c r="W96" s="2993">
        <v>1000</v>
      </c>
      <c r="X96" s="1459">
        <f t="shared" si="13"/>
        <v>1100</v>
      </c>
      <c r="Y96" s="1459">
        <f t="shared" si="14"/>
        <v>2100</v>
      </c>
      <c r="Z96" s="1482">
        <v>0</v>
      </c>
      <c r="AA96" s="1456"/>
    </row>
    <row r="97" spans="5:27">
      <c r="E97" s="1652"/>
      <c r="H97" s="2420" t="s">
        <v>1225</v>
      </c>
      <c r="I97" s="2416">
        <v>805</v>
      </c>
      <c r="J97" s="1470" t="s">
        <v>229</v>
      </c>
      <c r="K97" s="1460" t="s">
        <v>845</v>
      </c>
      <c r="L97" s="2427">
        <v>286</v>
      </c>
      <c r="M97" s="2427">
        <v>100</v>
      </c>
      <c r="N97" s="2457">
        <v>7.9589810922292663E-3</v>
      </c>
      <c r="O97" s="1460">
        <v>10</v>
      </c>
      <c r="P97" s="1463" t="s">
        <v>1253</v>
      </c>
      <c r="Q97" s="2422">
        <v>10</v>
      </c>
      <c r="R97" s="2422">
        <v>11</v>
      </c>
      <c r="S97" s="1469">
        <f t="shared" si="10"/>
        <v>21</v>
      </c>
      <c r="T97" s="1469">
        <v>8050</v>
      </c>
      <c r="U97" s="1469">
        <f t="shared" si="11"/>
        <v>8855</v>
      </c>
      <c r="V97" s="1469">
        <f t="shared" si="12"/>
        <v>16905</v>
      </c>
      <c r="W97" s="2993">
        <v>1000</v>
      </c>
      <c r="X97" s="1459">
        <f t="shared" si="13"/>
        <v>1100</v>
      </c>
      <c r="Y97" s="1459">
        <f t="shared" si="14"/>
        <v>2100</v>
      </c>
      <c r="Z97" s="1482">
        <v>0</v>
      </c>
      <c r="AA97" s="1456"/>
    </row>
    <row r="98" spans="5:27">
      <c r="E98" s="1652"/>
      <c r="H98" s="2420" t="s">
        <v>1226</v>
      </c>
      <c r="I98" s="2416">
        <v>1117</v>
      </c>
      <c r="J98" s="1470" t="s">
        <v>229</v>
      </c>
      <c r="K98" s="1460" t="s">
        <v>845</v>
      </c>
      <c r="L98" s="2427">
        <v>266</v>
      </c>
      <c r="M98" s="2427">
        <v>100</v>
      </c>
      <c r="N98" s="2457">
        <v>1.1043704198782723E-2</v>
      </c>
      <c r="O98" s="1460">
        <v>10</v>
      </c>
      <c r="P98" s="1463" t="s">
        <v>1253</v>
      </c>
      <c r="Q98" s="2422">
        <v>10</v>
      </c>
      <c r="R98" s="2422">
        <v>11</v>
      </c>
      <c r="S98" s="1469">
        <f t="shared" si="10"/>
        <v>21</v>
      </c>
      <c r="T98" s="1469">
        <v>11170</v>
      </c>
      <c r="U98" s="1469">
        <f t="shared" si="11"/>
        <v>12287</v>
      </c>
      <c r="V98" s="1469">
        <f t="shared" si="12"/>
        <v>23457</v>
      </c>
      <c r="W98" s="2993">
        <v>1000</v>
      </c>
      <c r="X98" s="1459">
        <f t="shared" si="13"/>
        <v>1100</v>
      </c>
      <c r="Y98" s="1459">
        <f t="shared" si="14"/>
        <v>2100</v>
      </c>
      <c r="Z98" s="1482">
        <v>0</v>
      </c>
      <c r="AA98" s="1456"/>
    </row>
    <row r="99" spans="5:27">
      <c r="E99" s="1652"/>
      <c r="H99" s="2420" t="s">
        <v>1227</v>
      </c>
      <c r="I99" s="2416">
        <v>1807</v>
      </c>
      <c r="J99" s="1470" t="s">
        <v>229</v>
      </c>
      <c r="K99" s="1460" t="s">
        <v>845</v>
      </c>
      <c r="L99" s="2427">
        <v>592</v>
      </c>
      <c r="M99" s="2427">
        <v>300</v>
      </c>
      <c r="N99" s="2457">
        <v>3.5731375984244189E-2</v>
      </c>
      <c r="O99" s="1460">
        <v>10</v>
      </c>
      <c r="P99" s="1463" t="s">
        <v>1253</v>
      </c>
      <c r="Q99" s="2422">
        <v>20</v>
      </c>
      <c r="R99" s="2422">
        <v>22</v>
      </c>
      <c r="S99" s="1469">
        <f t="shared" si="10"/>
        <v>42</v>
      </c>
      <c r="T99" s="1469">
        <v>36140</v>
      </c>
      <c r="U99" s="1469">
        <f t="shared" si="11"/>
        <v>39754</v>
      </c>
      <c r="V99" s="1469">
        <f t="shared" si="12"/>
        <v>75894</v>
      </c>
      <c r="W99" s="2993">
        <v>6000</v>
      </c>
      <c r="X99" s="1459">
        <f t="shared" si="13"/>
        <v>6600</v>
      </c>
      <c r="Y99" s="1459">
        <f t="shared" si="14"/>
        <v>12600</v>
      </c>
      <c r="Z99" s="1482">
        <v>0</v>
      </c>
      <c r="AA99" s="1456"/>
    </row>
    <row r="100" spans="5:27">
      <c r="E100" s="1652"/>
      <c r="H100" s="2420" t="s">
        <v>1228</v>
      </c>
      <c r="I100" s="2416">
        <v>2601</v>
      </c>
      <c r="J100" s="1470" t="s">
        <v>229</v>
      </c>
      <c r="K100" s="1460" t="s">
        <v>845</v>
      </c>
      <c r="L100" s="2427">
        <v>589</v>
      </c>
      <c r="M100" s="2427">
        <v>300</v>
      </c>
      <c r="N100" s="2457">
        <v>5.143182564195857E-2</v>
      </c>
      <c r="O100" s="1460">
        <v>10</v>
      </c>
      <c r="P100" s="1463" t="s">
        <v>1253</v>
      </c>
      <c r="Q100" s="2422">
        <v>20</v>
      </c>
      <c r="R100" s="2422">
        <v>22</v>
      </c>
      <c r="S100" s="1469">
        <f t="shared" si="10"/>
        <v>42</v>
      </c>
      <c r="T100" s="1469">
        <v>52020</v>
      </c>
      <c r="U100" s="1469">
        <f t="shared" si="11"/>
        <v>57222</v>
      </c>
      <c r="V100" s="1469">
        <f t="shared" si="12"/>
        <v>109242</v>
      </c>
      <c r="W100" s="2993">
        <v>6000</v>
      </c>
      <c r="X100" s="1459">
        <f t="shared" si="13"/>
        <v>6600</v>
      </c>
      <c r="Y100" s="1459">
        <f t="shared" si="14"/>
        <v>12600</v>
      </c>
      <c r="Z100" s="1482">
        <v>0</v>
      </c>
      <c r="AA100" s="1456"/>
    </row>
    <row r="101" spans="5:27">
      <c r="E101" s="1652"/>
      <c r="H101" s="2420" t="s">
        <v>1229</v>
      </c>
      <c r="I101" s="2416">
        <v>3641</v>
      </c>
      <c r="J101" s="1470" t="s">
        <v>229</v>
      </c>
      <c r="K101" s="1460" t="s">
        <v>845</v>
      </c>
      <c r="L101" s="2427">
        <v>939</v>
      </c>
      <c r="M101" s="2427">
        <v>300</v>
      </c>
      <c r="N101" s="2457">
        <v>3.5998323176157469E-2</v>
      </c>
      <c r="O101" s="1460">
        <v>10</v>
      </c>
      <c r="P101" s="1463" t="s">
        <v>1253</v>
      </c>
      <c r="Q101" s="2422">
        <v>10</v>
      </c>
      <c r="R101" s="2422">
        <v>11</v>
      </c>
      <c r="S101" s="1469">
        <f t="shared" si="10"/>
        <v>21</v>
      </c>
      <c r="T101" s="1469">
        <v>36410</v>
      </c>
      <c r="U101" s="1469">
        <f t="shared" si="11"/>
        <v>40051</v>
      </c>
      <c r="V101" s="1469">
        <f t="shared" si="12"/>
        <v>76461</v>
      </c>
      <c r="W101" s="2993">
        <v>3000</v>
      </c>
      <c r="X101" s="1459">
        <f t="shared" si="13"/>
        <v>3300</v>
      </c>
      <c r="Y101" s="1459">
        <f t="shared" si="14"/>
        <v>6300</v>
      </c>
      <c r="Z101" s="1482">
        <v>0</v>
      </c>
      <c r="AA101" s="1456"/>
    </row>
    <row r="102" spans="5:27">
      <c r="E102" s="1652"/>
      <c r="H102" s="2420" t="s">
        <v>1230</v>
      </c>
      <c r="I102" s="2416">
        <v>2518</v>
      </c>
      <c r="J102" s="1470" t="s">
        <v>229</v>
      </c>
      <c r="K102" s="1460" t="s">
        <v>845</v>
      </c>
      <c r="L102" s="2427">
        <v>793</v>
      </c>
      <c r="M102" s="2427">
        <v>500</v>
      </c>
      <c r="N102" s="2457">
        <v>2.4895297379171795E-3</v>
      </c>
      <c r="O102" s="1460">
        <v>12</v>
      </c>
      <c r="P102" s="1463" t="s">
        <v>1252</v>
      </c>
      <c r="Q102" s="2422">
        <v>1</v>
      </c>
      <c r="R102" s="2422">
        <v>1.1000000000000001</v>
      </c>
      <c r="S102" s="1469">
        <f t="shared" si="10"/>
        <v>2.1</v>
      </c>
      <c r="T102" s="1469">
        <v>2518</v>
      </c>
      <c r="U102" s="1469">
        <f t="shared" si="11"/>
        <v>2769.8</v>
      </c>
      <c r="V102" s="1469">
        <f t="shared" si="12"/>
        <v>5287.8</v>
      </c>
      <c r="W102" s="2993">
        <v>500</v>
      </c>
      <c r="X102" s="1459">
        <f t="shared" si="13"/>
        <v>550</v>
      </c>
      <c r="Y102" s="1459">
        <f t="shared" si="14"/>
        <v>1050</v>
      </c>
      <c r="Z102" s="1482">
        <v>0</v>
      </c>
      <c r="AA102" s="1456"/>
    </row>
    <row r="103" spans="5:27">
      <c r="E103" s="1652"/>
      <c r="H103" s="2420" t="s">
        <v>1231</v>
      </c>
      <c r="I103" s="2416">
        <v>2774</v>
      </c>
      <c r="J103" s="1470" t="s">
        <v>229</v>
      </c>
      <c r="K103" s="1460" t="s">
        <v>845</v>
      </c>
      <c r="L103" s="2427">
        <v>1007</v>
      </c>
      <c r="M103" s="2427">
        <v>1000</v>
      </c>
      <c r="N103" s="2457">
        <v>8.2279056707493123E-2</v>
      </c>
      <c r="O103" s="1460">
        <v>12</v>
      </c>
      <c r="P103" s="1463" t="s">
        <v>1252</v>
      </c>
      <c r="Q103" s="2422">
        <v>30</v>
      </c>
      <c r="R103" s="2422">
        <v>33</v>
      </c>
      <c r="S103" s="1469">
        <f t="shared" si="10"/>
        <v>63</v>
      </c>
      <c r="T103" s="1469">
        <v>83220</v>
      </c>
      <c r="U103" s="1469">
        <f t="shared" si="11"/>
        <v>91542</v>
      </c>
      <c r="V103" s="1469">
        <f t="shared" si="12"/>
        <v>174762</v>
      </c>
      <c r="W103" s="2993">
        <v>30000</v>
      </c>
      <c r="X103" s="1459">
        <f t="shared" si="13"/>
        <v>33000</v>
      </c>
      <c r="Y103" s="1459">
        <f t="shared" si="14"/>
        <v>63000</v>
      </c>
      <c r="Z103" s="1482">
        <v>0</v>
      </c>
      <c r="AA103" s="1456"/>
    </row>
    <row r="104" spans="5:27">
      <c r="E104" s="1652"/>
      <c r="H104" s="2420" t="s">
        <v>1232</v>
      </c>
      <c r="I104" s="2416">
        <v>5548</v>
      </c>
      <c r="J104" s="1470" t="s">
        <v>229</v>
      </c>
      <c r="K104" s="1460" t="s">
        <v>845</v>
      </c>
      <c r="L104" s="2427">
        <v>2014</v>
      </c>
      <c r="M104" s="2427">
        <v>2000</v>
      </c>
      <c r="N104" s="2457">
        <v>5.485270447166208E-2</v>
      </c>
      <c r="O104" s="1460">
        <v>12</v>
      </c>
      <c r="P104" s="1463" t="s">
        <v>1252</v>
      </c>
      <c r="Q104" s="2422">
        <v>10</v>
      </c>
      <c r="R104" s="2422">
        <v>11</v>
      </c>
      <c r="S104" s="1469">
        <f t="shared" si="10"/>
        <v>21</v>
      </c>
      <c r="T104" s="1469">
        <v>55480</v>
      </c>
      <c r="U104" s="1469">
        <f t="shared" si="11"/>
        <v>61028</v>
      </c>
      <c r="V104" s="1469">
        <f t="shared" si="12"/>
        <v>116508</v>
      </c>
      <c r="W104" s="2993">
        <v>20000</v>
      </c>
      <c r="X104" s="1459">
        <f t="shared" si="13"/>
        <v>22000</v>
      </c>
      <c r="Y104" s="1459">
        <f t="shared" si="14"/>
        <v>42000</v>
      </c>
      <c r="Z104" s="1482">
        <v>0</v>
      </c>
      <c r="AA104" s="1456"/>
    </row>
    <row r="105" spans="5:27">
      <c r="H105" s="2420" t="s">
        <v>1233</v>
      </c>
      <c r="I105" s="2416">
        <v>11497</v>
      </c>
      <c r="J105" s="1470" t="s">
        <v>229</v>
      </c>
      <c r="K105" s="1460" t="s">
        <v>845</v>
      </c>
      <c r="L105" s="2427">
        <v>1568</v>
      </c>
      <c r="M105" s="2427">
        <v>1000</v>
      </c>
      <c r="N105" s="2457">
        <v>1.1367006908988807E-2</v>
      </c>
      <c r="O105" s="1460">
        <v>12</v>
      </c>
      <c r="P105" s="1463" t="s">
        <v>1252</v>
      </c>
      <c r="Q105" s="2422">
        <v>1</v>
      </c>
      <c r="R105" s="2422">
        <v>1.1000000000000001</v>
      </c>
      <c r="S105" s="1469">
        <f t="shared" si="10"/>
        <v>2.1</v>
      </c>
      <c r="T105" s="1469">
        <v>11497</v>
      </c>
      <c r="U105" s="1469">
        <f t="shared" si="11"/>
        <v>12646.7</v>
      </c>
      <c r="V105" s="1469">
        <f t="shared" si="12"/>
        <v>24143.7</v>
      </c>
      <c r="W105" s="2993">
        <v>1000</v>
      </c>
      <c r="X105" s="1459">
        <f t="shared" si="13"/>
        <v>1100</v>
      </c>
      <c r="Y105" s="1459">
        <f t="shared" si="14"/>
        <v>2100</v>
      </c>
      <c r="Z105" s="1482">
        <v>0</v>
      </c>
      <c r="AA105" s="1456"/>
    </row>
    <row r="106" spans="5:27">
      <c r="H106" s="2420" t="s">
        <v>1234</v>
      </c>
      <c r="I106" s="2416">
        <v>2505</v>
      </c>
      <c r="J106" s="1470" t="s">
        <v>229</v>
      </c>
      <c r="K106" s="1460" t="s">
        <v>845</v>
      </c>
      <c r="L106" s="2427">
        <v>232</v>
      </c>
      <c r="M106" s="2427">
        <v>150</v>
      </c>
      <c r="N106" s="2457">
        <v>4.9533534499464132E-3</v>
      </c>
      <c r="O106" s="1460">
        <v>10</v>
      </c>
      <c r="P106" s="1463" t="s">
        <v>997</v>
      </c>
      <c r="Q106" s="2422">
        <v>2</v>
      </c>
      <c r="R106" s="2422">
        <v>2.2000000000000002</v>
      </c>
      <c r="S106" s="1469">
        <f t="shared" si="10"/>
        <v>4.2</v>
      </c>
      <c r="T106" s="1469">
        <v>5010</v>
      </c>
      <c r="U106" s="1469">
        <f t="shared" si="11"/>
        <v>5511</v>
      </c>
      <c r="V106" s="1469">
        <f t="shared" si="12"/>
        <v>10521</v>
      </c>
      <c r="W106" s="2993">
        <v>300</v>
      </c>
      <c r="X106" s="1459">
        <f t="shared" si="13"/>
        <v>330</v>
      </c>
      <c r="Y106" s="1459">
        <f t="shared" si="14"/>
        <v>630</v>
      </c>
      <c r="Z106" s="1482">
        <v>0</v>
      </c>
      <c r="AA106" s="1456"/>
    </row>
    <row r="107" spans="5:27">
      <c r="H107" s="2420" t="s">
        <v>1235</v>
      </c>
      <c r="I107" s="2416">
        <v>2566</v>
      </c>
      <c r="J107" s="1470" t="s">
        <v>229</v>
      </c>
      <c r="K107" s="1460" t="s">
        <v>845</v>
      </c>
      <c r="L107" s="2427">
        <v>232</v>
      </c>
      <c r="M107" s="2427">
        <v>150</v>
      </c>
      <c r="N107" s="2457">
        <v>3.8054805247193103E-2</v>
      </c>
      <c r="O107" s="1460">
        <v>10</v>
      </c>
      <c r="P107" s="1463" t="s">
        <v>997</v>
      </c>
      <c r="Q107" s="2422">
        <v>15</v>
      </c>
      <c r="R107" s="2422">
        <v>16.5</v>
      </c>
      <c r="S107" s="1469">
        <f t="shared" si="10"/>
        <v>31.5</v>
      </c>
      <c r="T107" s="1469">
        <v>38490</v>
      </c>
      <c r="U107" s="1469">
        <f t="shared" si="11"/>
        <v>42339</v>
      </c>
      <c r="V107" s="1469">
        <f t="shared" si="12"/>
        <v>80829</v>
      </c>
      <c r="W107" s="2993">
        <v>2250</v>
      </c>
      <c r="X107" s="1459">
        <f t="shared" si="13"/>
        <v>2475</v>
      </c>
      <c r="Y107" s="1459">
        <f t="shared" si="14"/>
        <v>4725</v>
      </c>
      <c r="Z107" s="1482">
        <v>0</v>
      </c>
      <c r="AA107" s="1456"/>
    </row>
    <row r="108" spans="5:27">
      <c r="H108" s="2420" t="s">
        <v>1236</v>
      </c>
      <c r="I108" s="2416">
        <v>1499</v>
      </c>
      <c r="J108" s="1470" t="s">
        <v>229</v>
      </c>
      <c r="K108" s="1460" t="s">
        <v>845</v>
      </c>
      <c r="L108" s="2427">
        <v>192</v>
      </c>
      <c r="M108" s="2427">
        <v>150</v>
      </c>
      <c r="N108" s="2457">
        <v>7.4102563088519697E-3</v>
      </c>
      <c r="O108" s="1460">
        <v>10</v>
      </c>
      <c r="P108" s="1463" t="s">
        <v>997</v>
      </c>
      <c r="Q108" s="2422">
        <v>5</v>
      </c>
      <c r="R108" s="2422">
        <v>5.5</v>
      </c>
      <c r="S108" s="1469">
        <f t="shared" si="10"/>
        <v>10.5</v>
      </c>
      <c r="T108" s="1469">
        <v>7495</v>
      </c>
      <c r="U108" s="1469">
        <f t="shared" si="11"/>
        <v>8244.5</v>
      </c>
      <c r="V108" s="1469">
        <f t="shared" si="12"/>
        <v>15739.5</v>
      </c>
      <c r="W108" s="2993">
        <v>750</v>
      </c>
      <c r="X108" s="1459">
        <f t="shared" si="13"/>
        <v>825</v>
      </c>
      <c r="Y108" s="1459">
        <f t="shared" si="14"/>
        <v>1575</v>
      </c>
      <c r="Z108" s="1482">
        <v>0</v>
      </c>
      <c r="AA108" s="1456"/>
    </row>
    <row r="109" spans="5:27" ht="24">
      <c r="H109" s="2456" t="s">
        <v>1237</v>
      </c>
      <c r="I109" s="2416">
        <v>15931</v>
      </c>
      <c r="J109" s="1470" t="s">
        <v>229</v>
      </c>
      <c r="K109" s="1460" t="s">
        <v>845</v>
      </c>
      <c r="L109" s="2427">
        <v>2659</v>
      </c>
      <c r="M109" s="2427">
        <v>750</v>
      </c>
      <c r="N109" s="2457">
        <v>1.5750873016186891E-2</v>
      </c>
      <c r="O109" s="1460">
        <v>15</v>
      </c>
      <c r="P109" s="1463" t="s">
        <v>997</v>
      </c>
      <c r="Q109" s="2422">
        <v>1</v>
      </c>
      <c r="R109" s="2422">
        <v>1.1000000000000001</v>
      </c>
      <c r="S109" s="1469">
        <f t="shared" si="10"/>
        <v>2.1</v>
      </c>
      <c r="T109" s="1469">
        <v>15931</v>
      </c>
      <c r="U109" s="1469">
        <f t="shared" si="11"/>
        <v>17524.100000000002</v>
      </c>
      <c r="V109" s="1469">
        <f t="shared" si="12"/>
        <v>33455.100000000006</v>
      </c>
      <c r="W109" s="2993">
        <v>750</v>
      </c>
      <c r="X109" s="1459">
        <f t="shared" si="13"/>
        <v>825.00000000000011</v>
      </c>
      <c r="Y109" s="1459">
        <f t="shared" si="14"/>
        <v>1575</v>
      </c>
      <c r="Z109" s="1482">
        <v>0</v>
      </c>
      <c r="AA109" s="1456"/>
    </row>
    <row r="110" spans="5:27">
      <c r="H110" s="2420" t="s">
        <v>1238</v>
      </c>
      <c r="I110" s="2416">
        <v>11334</v>
      </c>
      <c r="J110" s="1470" t="s">
        <v>229</v>
      </c>
      <c r="K110" s="1460" t="s">
        <v>845</v>
      </c>
      <c r="L110" s="2427">
        <v>2659</v>
      </c>
      <c r="M110" s="2427">
        <v>750</v>
      </c>
      <c r="N110" s="2457">
        <v>4.4823399602149823E-2</v>
      </c>
      <c r="O110" s="1460">
        <v>15</v>
      </c>
      <c r="P110" s="1463" t="s">
        <v>997</v>
      </c>
      <c r="Q110" s="2422">
        <v>4</v>
      </c>
      <c r="R110" s="2422">
        <v>4.4000000000000004</v>
      </c>
      <c r="S110" s="1469">
        <f t="shared" si="10"/>
        <v>8.4</v>
      </c>
      <c r="T110" s="1469">
        <v>45336</v>
      </c>
      <c r="U110" s="1469">
        <f t="shared" si="11"/>
        <v>49869.600000000006</v>
      </c>
      <c r="V110" s="1469">
        <f t="shared" si="12"/>
        <v>95205.6</v>
      </c>
      <c r="W110" s="2993">
        <v>3000</v>
      </c>
      <c r="X110" s="1459">
        <f t="shared" si="13"/>
        <v>3300.0000000000005</v>
      </c>
      <c r="Y110" s="1459">
        <f t="shared" si="14"/>
        <v>6300</v>
      </c>
      <c r="Z110" s="1482">
        <v>0</v>
      </c>
      <c r="AA110" s="1456"/>
    </row>
    <row r="111" spans="5:27">
      <c r="H111" s="2420" t="s">
        <v>1239</v>
      </c>
      <c r="I111" s="2416">
        <v>4407</v>
      </c>
      <c r="J111" s="1470" t="s">
        <v>229</v>
      </c>
      <c r="K111" s="1460" t="s">
        <v>845</v>
      </c>
      <c r="L111" s="2427">
        <v>1813</v>
      </c>
      <c r="M111" s="2427">
        <v>500</v>
      </c>
      <c r="N111" s="2457">
        <v>1.3071514164020264E-2</v>
      </c>
      <c r="O111" s="1460">
        <v>15</v>
      </c>
      <c r="P111" s="1463" t="s">
        <v>997</v>
      </c>
      <c r="Q111" s="2422">
        <v>3</v>
      </c>
      <c r="R111" s="2422">
        <v>3.3</v>
      </c>
      <c r="S111" s="1469">
        <f t="shared" si="10"/>
        <v>6.3</v>
      </c>
      <c r="T111" s="1469">
        <v>13221</v>
      </c>
      <c r="U111" s="1469">
        <f t="shared" si="11"/>
        <v>14543.099999999999</v>
      </c>
      <c r="V111" s="1469">
        <f t="shared" si="12"/>
        <v>27764.1</v>
      </c>
      <c r="W111" s="2993">
        <v>1500</v>
      </c>
      <c r="X111" s="1459">
        <f t="shared" si="13"/>
        <v>1650</v>
      </c>
      <c r="Y111" s="1459">
        <f t="shared" si="14"/>
        <v>3150</v>
      </c>
      <c r="Z111" s="1482">
        <v>0</v>
      </c>
      <c r="AA111" s="1456"/>
    </row>
    <row r="112" spans="5:27">
      <c r="H112" s="2420" t="s">
        <v>1240</v>
      </c>
      <c r="I112" s="2416">
        <v>13224</v>
      </c>
      <c r="J112" s="1470" t="s">
        <v>229</v>
      </c>
      <c r="K112" s="1460" t="s">
        <v>845</v>
      </c>
      <c r="L112" s="2427">
        <v>5882</v>
      </c>
      <c r="M112" s="2427">
        <v>1000</v>
      </c>
      <c r="N112" s="2457">
        <v>1.3074480243930415E-2</v>
      </c>
      <c r="O112" s="1460">
        <v>20</v>
      </c>
      <c r="P112" s="1463" t="s">
        <v>997</v>
      </c>
      <c r="Q112" s="2422">
        <v>1</v>
      </c>
      <c r="R112" s="2422">
        <v>1.1000000000000001</v>
      </c>
      <c r="S112" s="1469">
        <f t="shared" si="10"/>
        <v>2.1</v>
      </c>
      <c r="T112" s="1469">
        <v>13224</v>
      </c>
      <c r="U112" s="1469">
        <f t="shared" si="11"/>
        <v>14546.400000000001</v>
      </c>
      <c r="V112" s="1469">
        <f t="shared" si="12"/>
        <v>27770.400000000001</v>
      </c>
      <c r="W112" s="2993">
        <v>1000</v>
      </c>
      <c r="X112" s="1459">
        <f t="shared" si="13"/>
        <v>1100</v>
      </c>
      <c r="Y112" s="1459">
        <f t="shared" si="14"/>
        <v>2100</v>
      </c>
      <c r="Z112" s="1482">
        <v>0</v>
      </c>
      <c r="AA112" s="1456"/>
    </row>
    <row r="113" spans="8:27">
      <c r="H113" s="2420" t="s">
        <v>1241</v>
      </c>
      <c r="I113" s="2416">
        <v>360</v>
      </c>
      <c r="J113" s="1470" t="s">
        <v>229</v>
      </c>
      <c r="K113" s="1460" t="s">
        <v>845</v>
      </c>
      <c r="L113" s="2427">
        <v>497</v>
      </c>
      <c r="M113" s="2427">
        <v>0</v>
      </c>
      <c r="N113" s="2457">
        <v>3.5592958921770642E-4</v>
      </c>
      <c r="O113" s="1460">
        <v>20</v>
      </c>
      <c r="P113" s="1463" t="s">
        <v>997</v>
      </c>
      <c r="Q113" s="2422">
        <v>1</v>
      </c>
      <c r="R113" s="2422">
        <v>1.1000000000000001</v>
      </c>
      <c r="S113" s="1469">
        <f t="shared" si="10"/>
        <v>2.1</v>
      </c>
      <c r="T113" s="1469">
        <v>360</v>
      </c>
      <c r="U113" s="1469">
        <f t="shared" si="11"/>
        <v>396.00000000000006</v>
      </c>
      <c r="V113" s="1469">
        <f t="shared" si="12"/>
        <v>756</v>
      </c>
      <c r="W113" s="2993">
        <v>0</v>
      </c>
      <c r="X113" s="1459">
        <f t="shared" si="13"/>
        <v>0</v>
      </c>
      <c r="Y113" s="1459">
        <f t="shared" si="14"/>
        <v>0</v>
      </c>
      <c r="Z113" s="1482">
        <v>0</v>
      </c>
      <c r="AA113" s="1456"/>
    </row>
    <row r="114" spans="8:27">
      <c r="H114" s="2420" t="s">
        <v>1242</v>
      </c>
      <c r="I114" s="2416">
        <v>8157</v>
      </c>
      <c r="J114" s="1470" t="s">
        <v>229</v>
      </c>
      <c r="K114" s="1460" t="s">
        <v>845</v>
      </c>
      <c r="L114" s="2427">
        <v>5882</v>
      </c>
      <c r="M114" s="2427">
        <v>1000</v>
      </c>
      <c r="N114" s="2457">
        <v>1.6129542551382395E-2</v>
      </c>
      <c r="O114" s="1460">
        <v>20</v>
      </c>
      <c r="P114" s="1463" t="s">
        <v>997</v>
      </c>
      <c r="Q114" s="2422">
        <v>2</v>
      </c>
      <c r="R114" s="2422">
        <v>2.2000000000000002</v>
      </c>
      <c r="S114" s="1469">
        <f t="shared" si="10"/>
        <v>4.2</v>
      </c>
      <c r="T114" s="1469">
        <v>16314</v>
      </c>
      <c r="U114" s="1469">
        <f t="shared" si="11"/>
        <v>17945.400000000001</v>
      </c>
      <c r="V114" s="1469">
        <f t="shared" si="12"/>
        <v>34259.4</v>
      </c>
      <c r="W114" s="2993">
        <v>2000</v>
      </c>
      <c r="X114" s="1459">
        <f t="shared" si="13"/>
        <v>2200</v>
      </c>
      <c r="Y114" s="1459">
        <f t="shared" si="14"/>
        <v>4200</v>
      </c>
      <c r="Z114" s="1482">
        <v>0</v>
      </c>
      <c r="AA114" s="1456"/>
    </row>
    <row r="115" spans="8:27">
      <c r="H115" s="2420" t="s">
        <v>1243</v>
      </c>
      <c r="I115" s="2416">
        <v>3951</v>
      </c>
      <c r="J115" s="1470" t="s">
        <v>229</v>
      </c>
      <c r="K115" s="1460" t="s">
        <v>845</v>
      </c>
      <c r="L115" s="2427">
        <v>4446</v>
      </c>
      <c r="M115" s="2427">
        <v>750</v>
      </c>
      <c r="N115" s="2457">
        <v>7.8126544833286553E-3</v>
      </c>
      <c r="O115" s="1460">
        <v>20</v>
      </c>
      <c r="P115" s="1463" t="s">
        <v>997</v>
      </c>
      <c r="Q115" s="2422">
        <v>2</v>
      </c>
      <c r="R115" s="2422">
        <v>2.2000000000000002</v>
      </c>
      <c r="S115" s="1469">
        <f t="shared" si="10"/>
        <v>4.2</v>
      </c>
      <c r="T115" s="1469">
        <v>7902</v>
      </c>
      <c r="U115" s="1469">
        <f t="shared" si="11"/>
        <v>8692.2000000000007</v>
      </c>
      <c r="V115" s="1469">
        <f t="shared" si="12"/>
        <v>16594.2</v>
      </c>
      <c r="W115" s="2993">
        <v>1500</v>
      </c>
      <c r="X115" s="1459">
        <f t="shared" si="13"/>
        <v>1650.0000000000002</v>
      </c>
      <c r="Y115" s="1459">
        <f t="shared" si="14"/>
        <v>3150</v>
      </c>
      <c r="Z115" s="1482">
        <v>0</v>
      </c>
      <c r="AA115" s="1456"/>
    </row>
    <row r="116" spans="8:27">
      <c r="H116" s="2420" t="s">
        <v>1244</v>
      </c>
      <c r="I116" s="2416">
        <v>18554</v>
      </c>
      <c r="J116" s="1470" t="s">
        <v>229</v>
      </c>
      <c r="K116" s="1460" t="s">
        <v>845</v>
      </c>
      <c r="L116" s="2427">
        <v>3394</v>
      </c>
      <c r="M116" s="2427">
        <v>1500</v>
      </c>
      <c r="N116" s="2457">
        <v>3.6688431101918467E-2</v>
      </c>
      <c r="O116" s="1460">
        <v>20</v>
      </c>
      <c r="P116" s="1463" t="s">
        <v>997</v>
      </c>
      <c r="Q116" s="2422">
        <v>2</v>
      </c>
      <c r="R116" s="2422">
        <v>2.2000000000000002</v>
      </c>
      <c r="S116" s="1469">
        <f t="shared" si="10"/>
        <v>4.2</v>
      </c>
      <c r="T116" s="1469">
        <v>37108</v>
      </c>
      <c r="U116" s="1469">
        <f t="shared" si="11"/>
        <v>40818.800000000003</v>
      </c>
      <c r="V116" s="1469">
        <f t="shared" si="12"/>
        <v>77926.8</v>
      </c>
      <c r="W116" s="2993">
        <v>3000</v>
      </c>
      <c r="X116" s="1459">
        <f t="shared" si="13"/>
        <v>3300.0000000000005</v>
      </c>
      <c r="Y116" s="1459">
        <f t="shared" si="14"/>
        <v>6300</v>
      </c>
      <c r="Z116" s="1482">
        <v>1469</v>
      </c>
      <c r="AA116" s="1456"/>
    </row>
    <row r="117" spans="8:27">
      <c r="H117" s="2420" t="s">
        <v>1245</v>
      </c>
      <c r="I117" s="2416">
        <v>26298</v>
      </c>
      <c r="J117" s="1470" t="s">
        <v>229</v>
      </c>
      <c r="K117" s="1460" t="s">
        <v>845</v>
      </c>
      <c r="L117" s="2427">
        <v>3394</v>
      </c>
      <c r="M117" s="2427">
        <v>1500</v>
      </c>
      <c r="N117" s="2457">
        <v>2.600065649235345E-2</v>
      </c>
      <c r="O117" s="1460">
        <v>20</v>
      </c>
      <c r="P117" s="1463" t="s">
        <v>997</v>
      </c>
      <c r="Q117" s="2422">
        <v>1</v>
      </c>
      <c r="R117" s="2422">
        <v>1.1000000000000001</v>
      </c>
      <c r="S117" s="1469">
        <f t="shared" si="10"/>
        <v>2.1</v>
      </c>
      <c r="T117" s="1469">
        <v>26298</v>
      </c>
      <c r="U117" s="1469">
        <f t="shared" si="11"/>
        <v>28927.800000000003</v>
      </c>
      <c r="V117" s="1469">
        <f t="shared" si="12"/>
        <v>55225.8</v>
      </c>
      <c r="W117" s="2993">
        <v>1500</v>
      </c>
      <c r="X117" s="1459">
        <f t="shared" si="13"/>
        <v>1650.0000000000002</v>
      </c>
      <c r="Y117" s="1459">
        <f t="shared" si="14"/>
        <v>3150</v>
      </c>
      <c r="Z117" s="1482">
        <v>0</v>
      </c>
      <c r="AA117" s="1456"/>
    </row>
    <row r="118" spans="8:27">
      <c r="H118" s="2420" t="s">
        <v>1246</v>
      </c>
      <c r="I118" s="2416">
        <v>10342</v>
      </c>
      <c r="J118" s="1470" t="s">
        <v>229</v>
      </c>
      <c r="K118" s="1460" t="s">
        <v>845</v>
      </c>
      <c r="L118" s="2427">
        <v>2312</v>
      </c>
      <c r="M118" s="2427">
        <v>1000</v>
      </c>
      <c r="N118" s="2457">
        <v>1.0225066143581998E-2</v>
      </c>
      <c r="O118" s="1460">
        <v>20</v>
      </c>
      <c r="P118" s="1463" t="s">
        <v>997</v>
      </c>
      <c r="Q118" s="2422">
        <v>1</v>
      </c>
      <c r="R118" s="2422">
        <v>1.1000000000000001</v>
      </c>
      <c r="S118" s="1469">
        <f t="shared" si="10"/>
        <v>2.1</v>
      </c>
      <c r="T118" s="1469">
        <v>10342</v>
      </c>
      <c r="U118" s="1469">
        <f t="shared" si="11"/>
        <v>11376.2</v>
      </c>
      <c r="V118" s="1469">
        <f t="shared" si="12"/>
        <v>21718.2</v>
      </c>
      <c r="W118" s="2993">
        <v>1000</v>
      </c>
      <c r="X118" s="1459">
        <f t="shared" si="13"/>
        <v>1100</v>
      </c>
      <c r="Y118" s="1459">
        <f t="shared" si="14"/>
        <v>2100</v>
      </c>
      <c r="Z118" s="1482">
        <v>0</v>
      </c>
      <c r="AA118" s="1456"/>
    </row>
    <row r="119" spans="8:27">
      <c r="H119" s="2420" t="s">
        <v>1247</v>
      </c>
      <c r="I119" s="2416">
        <v>0</v>
      </c>
      <c r="J119" s="1470" t="s">
        <v>229</v>
      </c>
      <c r="K119" s="1460" t="s">
        <v>845</v>
      </c>
      <c r="L119" s="2427">
        <v>30</v>
      </c>
      <c r="M119" s="2427">
        <v>30</v>
      </c>
      <c r="N119" s="2457">
        <v>0</v>
      </c>
      <c r="O119" s="1460">
        <v>0</v>
      </c>
      <c r="P119" s="1463"/>
      <c r="Q119" s="2422">
        <v>2</v>
      </c>
      <c r="R119" s="2422">
        <v>2.2000000000000002</v>
      </c>
      <c r="S119" s="1469">
        <f t="shared" si="10"/>
        <v>4.2</v>
      </c>
      <c r="T119" s="1469">
        <v>0</v>
      </c>
      <c r="U119" s="1469">
        <f t="shared" si="11"/>
        <v>0</v>
      </c>
      <c r="V119" s="1469">
        <f t="shared" si="12"/>
        <v>0</v>
      </c>
      <c r="W119" s="2993">
        <v>60</v>
      </c>
      <c r="X119" s="1459">
        <f t="shared" si="13"/>
        <v>66</v>
      </c>
      <c r="Y119" s="1459">
        <f t="shared" si="14"/>
        <v>126</v>
      </c>
      <c r="Z119" s="1482">
        <v>0</v>
      </c>
      <c r="AA119" s="1456"/>
    </row>
    <row r="120" spans="8:27">
      <c r="H120" s="2420" t="s">
        <v>1248</v>
      </c>
      <c r="I120" s="2416">
        <v>0</v>
      </c>
      <c r="J120" s="1470" t="s">
        <v>229</v>
      </c>
      <c r="K120" s="1460" t="s">
        <v>845</v>
      </c>
      <c r="L120" s="2427">
        <v>30</v>
      </c>
      <c r="M120" s="2427">
        <v>30</v>
      </c>
      <c r="N120" s="2457">
        <v>0</v>
      </c>
      <c r="O120" s="1460">
        <v>0</v>
      </c>
      <c r="P120" s="1463"/>
      <c r="Q120" s="2422">
        <v>2</v>
      </c>
      <c r="R120" s="2422">
        <v>2.2000000000000002</v>
      </c>
      <c r="S120" s="1469">
        <f t="shared" si="10"/>
        <v>4.2</v>
      </c>
      <c r="T120" s="1469">
        <v>0</v>
      </c>
      <c r="U120" s="1469">
        <f t="shared" si="11"/>
        <v>0</v>
      </c>
      <c r="V120" s="1469">
        <f t="shared" si="12"/>
        <v>0</v>
      </c>
      <c r="W120" s="2993">
        <v>60</v>
      </c>
      <c r="X120" s="1459">
        <f t="shared" si="13"/>
        <v>66</v>
      </c>
      <c r="Y120" s="1459">
        <f t="shared" si="14"/>
        <v>126</v>
      </c>
      <c r="Z120" s="1482">
        <v>0</v>
      </c>
      <c r="AA120" s="1456"/>
    </row>
    <row r="121" spans="8:27">
      <c r="H121" s="2420" t="s">
        <v>1249</v>
      </c>
      <c r="I121" s="2416">
        <v>0</v>
      </c>
      <c r="J121" s="1470" t="s">
        <v>229</v>
      </c>
      <c r="K121" s="1460" t="s">
        <v>845</v>
      </c>
      <c r="L121" s="2427">
        <v>30</v>
      </c>
      <c r="M121" s="2427">
        <v>30</v>
      </c>
      <c r="N121" s="2457">
        <v>0</v>
      </c>
      <c r="O121" s="1460">
        <v>0</v>
      </c>
      <c r="P121" s="1463"/>
      <c r="Q121" s="2422">
        <v>10</v>
      </c>
      <c r="R121" s="2422">
        <v>11</v>
      </c>
      <c r="S121" s="1469">
        <f t="shared" si="10"/>
        <v>21</v>
      </c>
      <c r="T121" s="1469">
        <v>0</v>
      </c>
      <c r="U121" s="1469">
        <f t="shared" si="11"/>
        <v>0</v>
      </c>
      <c r="V121" s="1469">
        <f t="shared" si="12"/>
        <v>0</v>
      </c>
      <c r="W121" s="2993">
        <v>300</v>
      </c>
      <c r="X121" s="1459">
        <f t="shared" si="13"/>
        <v>330</v>
      </c>
      <c r="Y121" s="1459">
        <f t="shared" si="14"/>
        <v>630</v>
      </c>
      <c r="Z121" s="1482">
        <v>0</v>
      </c>
      <c r="AA121" s="1456"/>
    </row>
    <row r="122" spans="8:27">
      <c r="H122" s="2420" t="s">
        <v>1250</v>
      </c>
      <c r="I122" s="2416">
        <v>0</v>
      </c>
      <c r="J122" s="1470" t="s">
        <v>229</v>
      </c>
      <c r="K122" s="1460" t="s">
        <v>845</v>
      </c>
      <c r="L122" s="2427">
        <v>50</v>
      </c>
      <c r="M122" s="2427">
        <v>50</v>
      </c>
      <c r="N122" s="2457">
        <v>0</v>
      </c>
      <c r="O122" s="1460">
        <v>0</v>
      </c>
      <c r="P122" s="1463"/>
      <c r="Q122" s="2422">
        <v>20</v>
      </c>
      <c r="R122" s="2422">
        <v>22</v>
      </c>
      <c r="S122" s="1469">
        <f t="shared" si="10"/>
        <v>42</v>
      </c>
      <c r="T122" s="1469">
        <v>0</v>
      </c>
      <c r="U122" s="1469">
        <f t="shared" si="11"/>
        <v>0</v>
      </c>
      <c r="V122" s="1469">
        <f t="shared" si="12"/>
        <v>0</v>
      </c>
      <c r="W122" s="2993">
        <v>1000</v>
      </c>
      <c r="X122" s="1459">
        <f t="shared" si="13"/>
        <v>1100</v>
      </c>
      <c r="Y122" s="1459">
        <f t="shared" si="14"/>
        <v>2100</v>
      </c>
      <c r="Z122" s="1482">
        <v>0</v>
      </c>
      <c r="AA122" s="1456"/>
    </row>
    <row r="123" spans="8:27">
      <c r="H123" s="2420" t="s">
        <v>1251</v>
      </c>
      <c r="I123" s="2416">
        <v>0</v>
      </c>
      <c r="J123" s="1470" t="s">
        <v>229</v>
      </c>
      <c r="K123" s="1460" t="s">
        <v>845</v>
      </c>
      <c r="L123" s="2427">
        <v>30</v>
      </c>
      <c r="M123" s="2427">
        <v>30</v>
      </c>
      <c r="N123" s="2457">
        <v>0</v>
      </c>
      <c r="O123" s="1460">
        <v>0</v>
      </c>
      <c r="P123" s="1463"/>
      <c r="Q123" s="2422">
        <v>6</v>
      </c>
      <c r="R123" s="2422">
        <v>6.6</v>
      </c>
      <c r="S123" s="1469">
        <f t="shared" si="10"/>
        <v>12.6</v>
      </c>
      <c r="T123" s="1469">
        <v>0</v>
      </c>
      <c r="U123" s="1469">
        <f t="shared" si="11"/>
        <v>0</v>
      </c>
      <c r="V123" s="1469">
        <f t="shared" si="12"/>
        <v>0</v>
      </c>
      <c r="W123" s="2993">
        <v>180</v>
      </c>
      <c r="X123" s="1459">
        <f t="shared" si="13"/>
        <v>198</v>
      </c>
      <c r="Y123" s="1459">
        <f t="shared" si="14"/>
        <v>378</v>
      </c>
      <c r="Z123" s="1482">
        <v>0</v>
      </c>
      <c r="AA123" s="1456"/>
    </row>
    <row r="124" spans="8:27">
      <c r="H124" s="2420" t="s">
        <v>1215</v>
      </c>
      <c r="I124" s="2416">
        <v>0</v>
      </c>
      <c r="J124" s="1470" t="s">
        <v>229</v>
      </c>
      <c r="K124" s="1460" t="s">
        <v>845</v>
      </c>
      <c r="L124" s="2427">
        <v>50</v>
      </c>
      <c r="M124" s="2427">
        <v>50</v>
      </c>
      <c r="N124" s="2457">
        <v>0</v>
      </c>
      <c r="O124" s="1460">
        <v>0</v>
      </c>
      <c r="P124" s="1463"/>
      <c r="Q124" s="2422">
        <v>1</v>
      </c>
      <c r="R124" s="2422">
        <v>1.1000000000000001</v>
      </c>
      <c r="S124" s="1469">
        <f t="shared" si="10"/>
        <v>2.1</v>
      </c>
      <c r="T124" s="1469">
        <v>0</v>
      </c>
      <c r="U124" s="1469">
        <f t="shared" si="11"/>
        <v>0</v>
      </c>
      <c r="V124" s="1469">
        <f t="shared" si="12"/>
        <v>0</v>
      </c>
      <c r="W124" s="2993">
        <v>50</v>
      </c>
      <c r="X124" s="1459">
        <f t="shared" si="13"/>
        <v>55.000000000000007</v>
      </c>
      <c r="Y124" s="1459">
        <f t="shared" si="14"/>
        <v>105</v>
      </c>
      <c r="Z124" s="1482">
        <v>0</v>
      </c>
      <c r="AA124" s="1456"/>
    </row>
    <row r="125" spans="8:27">
      <c r="H125" s="2420" t="s">
        <v>1216</v>
      </c>
      <c r="I125" s="2416">
        <v>750</v>
      </c>
      <c r="J125" s="1470" t="s">
        <v>229</v>
      </c>
      <c r="K125" s="1460" t="s">
        <v>845</v>
      </c>
      <c r="L125" s="2427">
        <v>210</v>
      </c>
      <c r="M125" s="2427">
        <v>200</v>
      </c>
      <c r="N125" s="2457">
        <v>3.7075998876844414E-3</v>
      </c>
      <c r="O125" s="1460">
        <v>7</v>
      </c>
      <c r="P125" s="1463" t="s">
        <v>997</v>
      </c>
      <c r="Q125" s="2422">
        <v>5</v>
      </c>
      <c r="R125" s="2422">
        <v>5.5</v>
      </c>
      <c r="S125" s="1469">
        <f t="shared" si="10"/>
        <v>10.5</v>
      </c>
      <c r="T125" s="1469">
        <v>3750</v>
      </c>
      <c r="U125" s="1469">
        <f t="shared" si="11"/>
        <v>4125</v>
      </c>
      <c r="V125" s="1469">
        <f t="shared" si="12"/>
        <v>7875</v>
      </c>
      <c r="W125" s="2993">
        <v>1000</v>
      </c>
      <c r="X125" s="1459">
        <f t="shared" si="13"/>
        <v>1100</v>
      </c>
      <c r="Y125" s="1459">
        <f t="shared" si="14"/>
        <v>2100</v>
      </c>
      <c r="Z125" s="1482">
        <v>951.67</v>
      </c>
      <c r="AA125" s="1456"/>
    </row>
    <row r="126" spans="8:27">
      <c r="H126" s="2420" t="s">
        <v>1217</v>
      </c>
      <c r="I126" s="2416">
        <v>430</v>
      </c>
      <c r="J126" s="1470" t="s">
        <v>229</v>
      </c>
      <c r="K126" s="1460" t="s">
        <v>845</v>
      </c>
      <c r="L126" s="2427">
        <v>177</v>
      </c>
      <c r="M126" s="2427">
        <v>170</v>
      </c>
      <c r="N126" s="2457">
        <v>2.1256906022724129E-3</v>
      </c>
      <c r="O126" s="1460">
        <v>7</v>
      </c>
      <c r="P126" s="1463" t="s">
        <v>997</v>
      </c>
      <c r="Q126" s="2422">
        <v>5</v>
      </c>
      <c r="R126" s="2422">
        <v>5.5</v>
      </c>
      <c r="S126" s="1469">
        <f t="shared" si="10"/>
        <v>10.5</v>
      </c>
      <c r="T126" s="1469">
        <v>2150</v>
      </c>
      <c r="U126" s="1469">
        <f t="shared" si="11"/>
        <v>2365</v>
      </c>
      <c r="V126" s="1469">
        <f t="shared" si="12"/>
        <v>4515</v>
      </c>
      <c r="W126" s="2993">
        <v>850</v>
      </c>
      <c r="X126" s="1459">
        <f t="shared" si="13"/>
        <v>935</v>
      </c>
      <c r="Y126" s="1459">
        <f t="shared" si="14"/>
        <v>1785</v>
      </c>
      <c r="Z126" s="1482">
        <v>804.16</v>
      </c>
      <c r="AA126" s="1456"/>
    </row>
    <row r="127" spans="8:27">
      <c r="H127" s="2420" t="s">
        <v>1218</v>
      </c>
      <c r="I127" s="2416">
        <v>320</v>
      </c>
      <c r="J127" s="1470" t="s">
        <v>229</v>
      </c>
      <c r="K127" s="1460" t="s">
        <v>845</v>
      </c>
      <c r="L127" s="2427">
        <v>149</v>
      </c>
      <c r="M127" s="2427">
        <v>140</v>
      </c>
      <c r="N127" s="2457">
        <v>3.1638185708240565E-3</v>
      </c>
      <c r="O127" s="1460">
        <v>7</v>
      </c>
      <c r="P127" s="1463" t="s">
        <v>997</v>
      </c>
      <c r="Q127" s="2422">
        <v>10</v>
      </c>
      <c r="R127" s="2422">
        <v>11</v>
      </c>
      <c r="S127" s="1469">
        <f t="shared" si="10"/>
        <v>21</v>
      </c>
      <c r="T127" s="1469">
        <v>3200</v>
      </c>
      <c r="U127" s="1469">
        <f t="shared" si="11"/>
        <v>3520</v>
      </c>
      <c r="V127" s="1469">
        <f t="shared" si="12"/>
        <v>6720</v>
      </c>
      <c r="W127" s="2993">
        <v>1400</v>
      </c>
      <c r="X127" s="1459">
        <f t="shared" si="13"/>
        <v>1540</v>
      </c>
      <c r="Y127" s="1459">
        <f t="shared" si="14"/>
        <v>2940</v>
      </c>
      <c r="Z127" s="1482">
        <v>673.78</v>
      </c>
      <c r="AA127" s="1456"/>
    </row>
    <row r="128" spans="8:27">
      <c r="H128" s="2420" t="s">
        <v>1586</v>
      </c>
      <c r="I128" s="2416">
        <v>0</v>
      </c>
      <c r="J128" s="1470" t="s">
        <v>229</v>
      </c>
      <c r="K128" s="1460"/>
      <c r="L128" s="2427">
        <v>0</v>
      </c>
      <c r="M128" s="2427">
        <v>80000</v>
      </c>
      <c r="N128" s="2457">
        <v>3.1638185708240565E-3</v>
      </c>
      <c r="O128" s="1460">
        <v>15</v>
      </c>
      <c r="P128" s="1463" t="s">
        <v>1252</v>
      </c>
      <c r="Q128" s="2422">
        <v>0.5</v>
      </c>
      <c r="R128" s="2422">
        <v>0.5</v>
      </c>
      <c r="S128" s="1469">
        <f t="shared" si="10"/>
        <v>1</v>
      </c>
      <c r="T128" s="1469">
        <v>0</v>
      </c>
      <c r="U128" s="1469">
        <f t="shared" si="11"/>
        <v>0</v>
      </c>
      <c r="V128" s="1469">
        <f t="shared" si="12"/>
        <v>0</v>
      </c>
      <c r="W128" s="2993">
        <v>40000</v>
      </c>
      <c r="X128" s="1459">
        <f t="shared" si="13"/>
        <v>40000</v>
      </c>
      <c r="Y128" s="1459">
        <f t="shared" si="14"/>
        <v>80000</v>
      </c>
      <c r="Z128" s="1482">
        <v>0</v>
      </c>
      <c r="AA128" s="1456"/>
    </row>
  </sheetData>
  <customSheetViews>
    <customSheetView guid="{D9EFFE19-D14B-4C6F-BDF4-FF696F73968D}" showGridLines="0">
      <pane xSplit="1" ySplit="1" topLeftCell="D2" activePane="bottomRight" state="frozen"/>
      <selection pane="bottomRight" activeCell="L15" sqref="L15:M15"/>
      <pageMargins left="0.7" right="0.7" top="0.75" bottom="0.75" header="0.3" footer="0.3"/>
    </customSheetView>
    <customSheetView guid="{074EB09C-6289-46D7-9513-012B68BCA7BF}" showGridLines="0" hiddenColumns="1">
      <pane xSplit="1" ySplit="1" topLeftCell="M51" activePane="bottomRight" state="frozen"/>
      <selection pane="bottomRight" activeCell="AB68" sqref="AB68"/>
      <pageMargins left="0.7" right="0.7" top="0.75" bottom="0.75" header="0.3" footer="0.3"/>
      <pageSetup orientation="portrait" r:id="rId1"/>
    </customSheetView>
  </customSheetViews>
  <mergeCells count="15">
    <mergeCell ref="Z87:Z88"/>
    <mergeCell ref="H85:P85"/>
    <mergeCell ref="H87:P87"/>
    <mergeCell ref="Q87:S87"/>
    <mergeCell ref="T87:V87"/>
    <mergeCell ref="W87:Y87"/>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r:id="rId2"/>
  <rowBreaks count="1" manualBreakCount="1">
    <brk id="80" max="16383" man="1"/>
  </rowBreaks>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rgb="FFFF0000"/>
  </sheetPr>
  <dimension ref="A1:AA114"/>
  <sheetViews>
    <sheetView showGridLines="0" workbookViewId="0">
      <pane xSplit="1" ySplit="1" topLeftCell="B2" activePane="bottomRight" state="frozen"/>
      <selection pane="topRight" activeCell="B1" sqref="B1"/>
      <selection pane="bottomLeft" activeCell="A2" sqref="A2"/>
      <selection pane="bottomRight" activeCell="G21" sqref="G21"/>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638</v>
      </c>
      <c r="D1" s="1361" t="s">
        <v>262</v>
      </c>
      <c r="E1" s="1361" t="s">
        <v>5</v>
      </c>
      <c r="F1" s="1361">
        <v>18230717</v>
      </c>
      <c r="G1" s="1361" t="s">
        <v>4</v>
      </c>
      <c r="J1" s="1190"/>
      <c r="M1" s="1361" t="s">
        <v>638</v>
      </c>
      <c r="N1" s="1361" t="s">
        <v>262</v>
      </c>
      <c r="O1" s="1361" t="s">
        <v>5</v>
      </c>
      <c r="P1" s="1361">
        <v>18230717</v>
      </c>
      <c r="Q1" s="1361" t="s">
        <v>4</v>
      </c>
      <c r="V1" s="1361" t="s">
        <v>638</v>
      </c>
      <c r="W1" s="1361" t="s">
        <v>262</v>
      </c>
      <c r="X1" s="1361" t="s">
        <v>5</v>
      </c>
      <c r="Y1" s="1361">
        <v>18230717</v>
      </c>
      <c r="Z1" s="1361" t="s">
        <v>4</v>
      </c>
    </row>
    <row r="2" spans="1:27" ht="16.5" thickBot="1">
      <c r="C2" s="1190"/>
      <c r="D2" s="1177"/>
      <c r="I2" s="1178" t="s">
        <v>627</v>
      </c>
      <c r="S2" s="3575"/>
      <c r="T2" s="3575"/>
      <c r="U2" s="3576" t="s">
        <v>33</v>
      </c>
      <c r="V2" s="3577"/>
      <c r="W2" s="3578"/>
      <c r="X2" s="3579" t="s">
        <v>34</v>
      </c>
    </row>
    <row r="3" spans="1:27" ht="26.25" thickBot="1">
      <c r="A3" s="2143" t="s">
        <v>639</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0</v>
      </c>
      <c r="J4" s="2960">
        <f>D21</f>
        <v>0</v>
      </c>
      <c r="K4" s="2960">
        <f>D27</f>
        <v>0</v>
      </c>
      <c r="L4" s="2960">
        <f>D37</f>
        <v>0</v>
      </c>
      <c r="M4" s="2960">
        <f>D43</f>
        <v>0</v>
      </c>
      <c r="N4" s="2960">
        <f>D49</f>
        <v>0</v>
      </c>
      <c r="O4" s="2960">
        <f>D55</f>
        <v>0</v>
      </c>
      <c r="P4" s="2960">
        <f>D61</f>
        <v>0</v>
      </c>
      <c r="Q4" s="2960">
        <f>D67</f>
        <v>0</v>
      </c>
      <c r="R4" s="2960">
        <f>D68</f>
        <v>0</v>
      </c>
      <c r="S4" s="2961">
        <f>SUM(I4:R4)</f>
        <v>0</v>
      </c>
      <c r="T4" s="2962">
        <f>T15</f>
        <v>0</v>
      </c>
      <c r="U4" s="2954" t="e">
        <f>Q4/S4</f>
        <v>#DIV/0!</v>
      </c>
      <c r="V4" s="2954" t="e">
        <f>(L4+(J4*1.63))/S4</f>
        <v>#DIV/0!</v>
      </c>
      <c r="W4" s="2954" t="e">
        <f>N4/S4</f>
        <v>#DIV/0!</v>
      </c>
      <c r="X4" s="2953" t="e">
        <f>S4/T4</f>
        <v>#DIV/0!</v>
      </c>
    </row>
    <row r="5" spans="1:27" ht="16.5" thickBot="1">
      <c r="A5" s="2143"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row>
    <row r="6" spans="1:27" ht="16.5" thickBot="1">
      <c r="A6" s="2143">
        <v>18230717</v>
      </c>
      <c r="B6" s="2143"/>
      <c r="D6" s="1190"/>
      <c r="H6" s="3206" t="s">
        <v>1754</v>
      </c>
      <c r="I6" s="2627">
        <f>E15</f>
        <v>0</v>
      </c>
      <c r="J6" s="2628">
        <f>E21</f>
        <v>0</v>
      </c>
      <c r="K6" s="2629">
        <f>E27</f>
        <v>0</v>
      </c>
      <c r="L6" s="2628">
        <f>E37</f>
        <v>0</v>
      </c>
      <c r="M6" s="2628">
        <f>E43</f>
        <v>0</v>
      </c>
      <c r="N6" s="2628">
        <f>E49</f>
        <v>0</v>
      </c>
      <c r="O6" s="2628">
        <f>E55</f>
        <v>0</v>
      </c>
      <c r="P6" s="2628">
        <f>E61</f>
        <v>0</v>
      </c>
      <c r="Q6" s="2628">
        <f>E67</f>
        <v>0</v>
      </c>
      <c r="R6" s="2628">
        <f>E68</f>
        <v>0</v>
      </c>
      <c r="S6" s="2624">
        <f>SUM(I6:R6)</f>
        <v>0</v>
      </c>
      <c r="T6" s="2625">
        <f>U15</f>
        <v>0</v>
      </c>
      <c r="U6" s="2631" t="e">
        <f>Q6/S6</f>
        <v>#DIV/0!</v>
      </c>
      <c r="V6" s="2631" t="e">
        <f>(L6+(J6*1.63))/S6</f>
        <v>#DIV/0!</v>
      </c>
      <c r="W6" s="2631" t="e">
        <f>N6/S6</f>
        <v>#DIV/0!</v>
      </c>
      <c r="X6" s="2718" t="e">
        <f>S6/T6</f>
        <v>#DIV/0!</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667"/>
      <c r="D22" s="2772"/>
      <c r="E22" s="1669"/>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639</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18230717</v>
      </c>
      <c r="C37" s="1597"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c r="E38" s="1672"/>
      <c r="F38" s="1661">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639</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18230717</v>
      </c>
      <c r="C67" s="1597" t="s">
        <v>50</v>
      </c>
      <c r="D67" s="2771">
        <f>W15</f>
        <v>0</v>
      </c>
      <c r="E67" s="1464">
        <f>X15*1.15</f>
        <v>0</v>
      </c>
      <c r="F67" s="1638">
        <f>D67+E67</f>
        <v>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8DB4E3"/>
  </sheetPr>
  <dimension ref="A1:AA128"/>
  <sheetViews>
    <sheetView showGridLines="0" workbookViewId="0">
      <pane xSplit="1" ySplit="1" topLeftCell="B2" activePane="bottomRight" state="frozen"/>
      <selection pane="topRight" activeCell="B1" sqref="B1"/>
      <selection pane="bottomLeft" activeCell="A2" sqref="A2"/>
      <selection pane="bottomRight" activeCell="E83" sqref="E83"/>
    </sheetView>
  </sheetViews>
  <sheetFormatPr defaultRowHeight="12.75"/>
  <cols>
    <col min="1" max="1" width="18.42578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1.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6.14062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7" customHeight="1" thickBot="1">
      <c r="C1" s="1361" t="s">
        <v>621</v>
      </c>
      <c r="D1" s="1361" t="s">
        <v>262</v>
      </c>
      <c r="E1" s="1361" t="s">
        <v>5</v>
      </c>
      <c r="F1" s="1361">
        <v>18230718</v>
      </c>
      <c r="G1" s="1361" t="s">
        <v>4</v>
      </c>
      <c r="J1" s="1190"/>
      <c r="M1" s="1361" t="s">
        <v>621</v>
      </c>
      <c r="N1" s="1361" t="s">
        <v>262</v>
      </c>
      <c r="O1" s="1361" t="s">
        <v>5</v>
      </c>
      <c r="P1" s="1361">
        <v>18230718</v>
      </c>
      <c r="Q1" s="1361" t="s">
        <v>4</v>
      </c>
      <c r="V1" s="1361" t="s">
        <v>621</v>
      </c>
      <c r="W1" s="1361" t="s">
        <v>262</v>
      </c>
      <c r="X1" s="1361" t="s">
        <v>5</v>
      </c>
      <c r="Y1" s="1361">
        <v>18230718</v>
      </c>
      <c r="Z1" s="1361" t="s">
        <v>4</v>
      </c>
    </row>
    <row r="2" spans="1:27" ht="16.5" thickBot="1">
      <c r="C2" s="1190"/>
      <c r="D2" s="1177"/>
      <c r="I2" s="1178" t="s">
        <v>627</v>
      </c>
      <c r="S2" s="3575"/>
      <c r="T2" s="3575"/>
      <c r="U2" s="3576" t="s">
        <v>33</v>
      </c>
      <c r="V2" s="3577"/>
      <c r="W2" s="3578"/>
      <c r="X2" s="3579" t="s">
        <v>34</v>
      </c>
    </row>
    <row r="3" spans="1:27" ht="26.25" thickBot="1">
      <c r="A3" s="2143" t="s">
        <v>621</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58911.450000000004</v>
      </c>
      <c r="J4" s="2960">
        <f>D21</f>
        <v>4000</v>
      </c>
      <c r="K4" s="2960">
        <f>D27</f>
        <v>41961.937150000005</v>
      </c>
      <c r="L4" s="2960">
        <f>D37</f>
        <v>42500</v>
      </c>
      <c r="M4" s="2960">
        <f>D43</f>
        <v>5000</v>
      </c>
      <c r="N4" s="2960">
        <f>D49</f>
        <v>60919</v>
      </c>
      <c r="O4" s="2960">
        <f>D55</f>
        <v>5000</v>
      </c>
      <c r="P4" s="2960">
        <f>D61</f>
        <v>1000</v>
      </c>
      <c r="Q4" s="2960">
        <f>D67</f>
        <v>0</v>
      </c>
      <c r="R4" s="2960">
        <f>D68</f>
        <v>0</v>
      </c>
      <c r="S4" s="2961">
        <f>SUM(I4:R4)</f>
        <v>219292.38715000002</v>
      </c>
      <c r="T4" s="2962">
        <f>T78</f>
        <v>2975025</v>
      </c>
      <c r="U4" s="2954">
        <f>Q4/S4</f>
        <v>0</v>
      </c>
      <c r="V4" s="2954">
        <f>(L4+(J4*1.63))/S4</f>
        <v>0.22353717170523307</v>
      </c>
      <c r="W4" s="2954">
        <f>N4/S4</f>
        <v>0.27779806126297618</v>
      </c>
      <c r="X4" s="2953">
        <f>S4/T4</f>
        <v>7.3711107352039063E-2</v>
      </c>
    </row>
    <row r="5" spans="1:27" ht="16.5" thickBot="1">
      <c r="A5" s="2143" t="s">
        <v>5</v>
      </c>
      <c r="B5" s="2143"/>
      <c r="C5" s="1177"/>
      <c r="H5" s="3205" t="s">
        <v>1753</v>
      </c>
      <c r="I5" s="2617">
        <v>60384.35</v>
      </c>
      <c r="J5" s="2618">
        <v>4100</v>
      </c>
      <c r="K5" s="2618">
        <v>43849.358</v>
      </c>
      <c r="L5" s="2618">
        <v>42500</v>
      </c>
      <c r="M5" s="2618">
        <v>5000</v>
      </c>
      <c r="N5" s="2618">
        <v>60919</v>
      </c>
      <c r="O5" s="2618">
        <v>5000</v>
      </c>
      <c r="P5" s="2618">
        <v>1000</v>
      </c>
      <c r="Q5" s="2618">
        <v>629250</v>
      </c>
      <c r="R5" s="2618">
        <v>0</v>
      </c>
      <c r="S5" s="2619">
        <v>852002.70799999998</v>
      </c>
      <c r="T5" s="2620">
        <v>3690100</v>
      </c>
      <c r="U5" s="1187">
        <f>Q5/S5</f>
        <v>0.7385539906053914</v>
      </c>
      <c r="V5" s="1187">
        <f>(L5+(J5*1.63))/S5</f>
        <v>5.7726342343972926E-2</v>
      </c>
      <c r="W5" s="1187">
        <f>N5/S5</f>
        <v>7.1500946450043443E-2</v>
      </c>
      <c r="X5" s="1155">
        <f>S5/T5</f>
        <v>0.23088878566976503</v>
      </c>
    </row>
    <row r="6" spans="1:27" ht="16.5" thickBot="1">
      <c r="A6" s="2143">
        <v>18230718</v>
      </c>
      <c r="B6" s="2143"/>
      <c r="D6" s="1190"/>
      <c r="H6" s="3206" t="s">
        <v>1754</v>
      </c>
      <c r="I6" s="2621">
        <f>E15</f>
        <v>60384.35</v>
      </c>
      <c r="J6" s="2622">
        <f>E21</f>
        <v>4100</v>
      </c>
      <c r="K6" s="2623">
        <f>E27</f>
        <v>57906.946299999996</v>
      </c>
      <c r="L6" s="2622">
        <f>E37</f>
        <v>42500</v>
      </c>
      <c r="M6" s="2622">
        <f>E43</f>
        <v>5000</v>
      </c>
      <c r="N6" s="2622">
        <f>E49</f>
        <v>258595.13</v>
      </c>
      <c r="O6" s="2622">
        <f>E55</f>
        <v>5000</v>
      </c>
      <c r="P6" s="2622">
        <f>E61</f>
        <v>1000</v>
      </c>
      <c r="Q6" s="2622">
        <f>E67</f>
        <v>730500</v>
      </c>
      <c r="R6" s="2622">
        <f>E68</f>
        <v>0</v>
      </c>
      <c r="S6" s="2624">
        <f>SUM(I6:R6)</f>
        <v>1164986.4262999999</v>
      </c>
      <c r="T6" s="2625">
        <f>U15</f>
        <v>3448522</v>
      </c>
      <c r="U6" s="2631">
        <f>Q6/S6</f>
        <v>0.62704593247499885</v>
      </c>
      <c r="V6" s="2631">
        <f>(L6+(J6*1.63))/S6</f>
        <v>4.2217659270250334E-2</v>
      </c>
      <c r="W6" s="2631">
        <f>N6/S6</f>
        <v>0.22197265492723278</v>
      </c>
      <c r="X6" s="2626">
        <f>S6/T6</f>
        <v>0.33782194989621639</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c r="I8" s="3003"/>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219292.38715000002</v>
      </c>
      <c r="E12" s="1484">
        <f>E15+E21+E27+E37+E43+E49+E55+E61+E67</f>
        <v>1164986.4262999999</v>
      </c>
      <c r="F12" s="1638">
        <f>D12+E12</f>
        <v>1384278.81345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44" t="s">
        <v>1033</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c r="R13" s="1472">
        <v>2017</v>
      </c>
      <c r="S13" s="1472" t="s">
        <v>306</v>
      </c>
      <c r="T13" s="1473">
        <v>2016</v>
      </c>
      <c r="U13" s="1473">
        <v>2017</v>
      </c>
      <c r="V13" s="1473" t="s">
        <v>306</v>
      </c>
      <c r="W13" s="1474">
        <v>2016</v>
      </c>
      <c r="X13" s="1474">
        <v>2017</v>
      </c>
      <c r="Y13" s="1474" t="s">
        <v>306</v>
      </c>
      <c r="Z13" s="2244" t="s">
        <v>1045</v>
      </c>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c r="R14" s="1458" t="s">
        <v>307</v>
      </c>
      <c r="S14" s="1472"/>
      <c r="T14" s="1473"/>
      <c r="U14" s="1473"/>
      <c r="V14" s="1473"/>
      <c r="W14" s="1474"/>
      <c r="X14" s="1474"/>
      <c r="Y14" s="1474"/>
      <c r="Z14" s="1458" t="s">
        <v>307</v>
      </c>
      <c r="AA14" s="1456"/>
    </row>
    <row r="15" spans="1:27">
      <c r="B15" s="1433" t="s">
        <v>296</v>
      </c>
      <c r="C15" s="1597" t="s">
        <v>43</v>
      </c>
      <c r="D15" s="2771">
        <f>SUM(D16:D19)</f>
        <v>58911.450000000004</v>
      </c>
      <c r="E15" s="1464">
        <f>SUM(E16:E19)</f>
        <v>60384.35</v>
      </c>
      <c r="F15" s="1638">
        <f>D15+E15</f>
        <v>119295.8</v>
      </c>
      <c r="H15" s="1475" t="s">
        <v>308</v>
      </c>
      <c r="I15" s="1476"/>
      <c r="J15" s="1476"/>
      <c r="K15" s="1477"/>
      <c r="L15" s="1478">
        <f>SUMPRODUCT(L16:L24,R16:R24)</f>
        <v>2411228.5</v>
      </c>
      <c r="M15" s="1478">
        <f>SUM(M16:M179)</f>
        <v>1215425</v>
      </c>
      <c r="N15" s="1479" t="s">
        <v>229</v>
      </c>
      <c r="O15" s="1477">
        <v>11</v>
      </c>
      <c r="P15" s="1477"/>
      <c r="Q15" s="1477"/>
      <c r="R15" s="1477"/>
      <c r="S15" s="1477"/>
      <c r="T15" s="2983"/>
      <c r="U15" s="1480">
        <f t="shared" ref="U15" si="0">SUM(U16:U65)</f>
        <v>3448522</v>
      </c>
      <c r="V15" s="1480"/>
      <c r="W15" s="3000"/>
      <c r="X15" s="1478">
        <f>SUM(X16:X24)</f>
        <v>730500</v>
      </c>
      <c r="Y15" s="2458"/>
      <c r="Z15" s="1481">
        <v>0</v>
      </c>
      <c r="AA15" s="1456"/>
    </row>
    <row r="16" spans="1:27">
      <c r="B16" s="1982">
        <v>0.5</v>
      </c>
      <c r="C16" s="1667" t="s">
        <v>735</v>
      </c>
      <c r="D16" s="2772">
        <v>45316.5</v>
      </c>
      <c r="E16" s="1669">
        <v>46449.5</v>
      </c>
      <c r="F16" s="1426">
        <f>SUM(D16:E16)</f>
        <v>91766</v>
      </c>
      <c r="H16" s="1460" t="s">
        <v>1207</v>
      </c>
      <c r="I16" s="1466">
        <v>1475</v>
      </c>
      <c r="J16" s="1470" t="s">
        <v>110</v>
      </c>
      <c r="K16" s="1460" t="s">
        <v>845</v>
      </c>
      <c r="L16" s="1467">
        <v>677</v>
      </c>
      <c r="M16" s="1467">
        <v>450</v>
      </c>
      <c r="N16" s="1461">
        <v>1.9518032638353857E-2</v>
      </c>
      <c r="O16" s="1460">
        <v>10</v>
      </c>
      <c r="P16" s="1463" t="s">
        <v>1160</v>
      </c>
      <c r="Q16" s="1466"/>
      <c r="R16" s="1466">
        <v>10</v>
      </c>
      <c r="S16" s="1469"/>
      <c r="T16" s="2991"/>
      <c r="U16" s="1469">
        <f t="shared" ref="U16:U24" si="1">I16*R16</f>
        <v>14750</v>
      </c>
      <c r="V16" s="1469"/>
      <c r="W16" s="2993"/>
      <c r="X16" s="1459">
        <f t="shared" ref="X16:X24" si="2">M16*R16</f>
        <v>4500</v>
      </c>
      <c r="Y16" s="1459"/>
      <c r="Z16" s="1482"/>
      <c r="AA16" s="1456"/>
    </row>
    <row r="17" spans="2:27">
      <c r="B17" s="1982">
        <v>0.1</v>
      </c>
      <c r="C17" s="1667" t="s">
        <v>894</v>
      </c>
      <c r="D17" s="2784">
        <v>9063.3000000000011</v>
      </c>
      <c r="E17" s="1668">
        <v>9289.9</v>
      </c>
      <c r="F17" s="1661">
        <f t="shared" ref="F17:F30" si="3">SUM(D17:E17)</f>
        <v>18353.2</v>
      </c>
      <c r="H17" s="1460" t="s">
        <v>1208</v>
      </c>
      <c r="I17" s="1466">
        <v>600000</v>
      </c>
      <c r="J17" s="1470" t="s">
        <v>110</v>
      </c>
      <c r="K17" s="1460" t="s">
        <v>991</v>
      </c>
      <c r="L17" s="1467">
        <v>1776000</v>
      </c>
      <c r="M17" s="1467">
        <v>225000</v>
      </c>
      <c r="N17" s="1461">
        <v>0.28800287442436401</v>
      </c>
      <c r="O17" s="1460">
        <v>15</v>
      </c>
      <c r="P17" s="1463" t="s">
        <v>1160</v>
      </c>
      <c r="Q17" s="1466"/>
      <c r="R17" s="1466">
        <v>1</v>
      </c>
      <c r="S17" s="1469"/>
      <c r="T17" s="2991"/>
      <c r="U17" s="1469">
        <f t="shared" si="1"/>
        <v>600000</v>
      </c>
      <c r="V17" s="1469"/>
      <c r="W17" s="2993"/>
      <c r="X17" s="1459">
        <f t="shared" si="2"/>
        <v>225000</v>
      </c>
      <c r="Y17" s="1459"/>
      <c r="Z17" s="1482"/>
      <c r="AA17" s="1456"/>
    </row>
    <row r="18" spans="2:27">
      <c r="B18" s="1982">
        <v>0.1</v>
      </c>
      <c r="C18" s="1667" t="s">
        <v>734</v>
      </c>
      <c r="D18" s="2784">
        <v>4531.6500000000005</v>
      </c>
      <c r="E18" s="1668">
        <v>4644.95</v>
      </c>
      <c r="F18" s="1661">
        <f t="shared" si="3"/>
        <v>9176.6</v>
      </c>
      <c r="H18" s="1460" t="s">
        <v>1209</v>
      </c>
      <c r="I18" s="1466">
        <v>2601522</v>
      </c>
      <c r="J18" s="1470" t="s">
        <v>110</v>
      </c>
      <c r="K18" s="1460" t="s">
        <v>991</v>
      </c>
      <c r="L18" s="1467">
        <v>570000</v>
      </c>
      <c r="M18" s="1467">
        <v>475000</v>
      </c>
      <c r="N18" s="1461">
        <v>0.4439170445861142</v>
      </c>
      <c r="O18" s="1460">
        <v>5</v>
      </c>
      <c r="P18" s="1463" t="s">
        <v>1160</v>
      </c>
      <c r="Q18" s="1466"/>
      <c r="R18" s="1466">
        <v>1</v>
      </c>
      <c r="S18" s="1469"/>
      <c r="T18" s="2991"/>
      <c r="U18" s="1469">
        <f t="shared" si="1"/>
        <v>2601522</v>
      </c>
      <c r="V18" s="1469"/>
      <c r="W18" s="2993"/>
      <c r="X18" s="1459">
        <f t="shared" si="2"/>
        <v>475000</v>
      </c>
      <c r="Y18" s="1459"/>
      <c r="Z18" s="1482"/>
      <c r="AA18" s="1456"/>
    </row>
    <row r="19" spans="2:27">
      <c r="B19" s="1982"/>
      <c r="C19" s="1667"/>
      <c r="D19" s="2786"/>
      <c r="E19" s="1446"/>
      <c r="F19" s="1661">
        <f t="shared" si="3"/>
        <v>0</v>
      </c>
      <c r="H19" s="1460" t="s">
        <v>1210</v>
      </c>
      <c r="I19" s="1466">
        <v>1782</v>
      </c>
      <c r="J19" s="1470" t="s">
        <v>110</v>
      </c>
      <c r="K19" s="1460" t="s">
        <v>845</v>
      </c>
      <c r="L19" s="1467">
        <v>167.5</v>
      </c>
      <c r="M19" s="1467">
        <v>150</v>
      </c>
      <c r="N19" s="1461">
        <v>8.3225046847170261E-2</v>
      </c>
      <c r="O19" s="1460">
        <v>5</v>
      </c>
      <c r="P19" s="1463" t="s">
        <v>1160</v>
      </c>
      <c r="Q19" s="1466"/>
      <c r="R19" s="1466">
        <v>100</v>
      </c>
      <c r="S19" s="1469"/>
      <c r="T19" s="2991"/>
      <c r="U19" s="1469">
        <f t="shared" si="1"/>
        <v>178200</v>
      </c>
      <c r="V19" s="1469"/>
      <c r="W19" s="2993"/>
      <c r="X19" s="1459">
        <f t="shared" si="2"/>
        <v>15000</v>
      </c>
      <c r="Y19" s="1459"/>
      <c r="Z19" s="1482"/>
      <c r="AA19" s="1456"/>
    </row>
    <row r="20" spans="2:27">
      <c r="B20" s="1449">
        <f>SUM(B16:B19)</f>
        <v>0.7</v>
      </c>
      <c r="C20" s="1488"/>
      <c r="D20" s="2770"/>
      <c r="E20" s="1490"/>
      <c r="F20" s="1492"/>
      <c r="H20" s="1460" t="s">
        <v>1211</v>
      </c>
      <c r="I20" s="1466">
        <v>400</v>
      </c>
      <c r="J20" s="1470" t="s">
        <v>110</v>
      </c>
      <c r="K20" s="1460" t="s">
        <v>845</v>
      </c>
      <c r="L20" s="1467">
        <v>200</v>
      </c>
      <c r="M20" s="1467">
        <v>100</v>
      </c>
      <c r="N20" s="1461">
        <v>1.8681267530229015E-3</v>
      </c>
      <c r="O20" s="1460">
        <v>10</v>
      </c>
      <c r="P20" s="1463" t="s">
        <v>1160</v>
      </c>
      <c r="Q20" s="1466"/>
      <c r="R20" s="1466">
        <v>10</v>
      </c>
      <c r="S20" s="1469"/>
      <c r="T20" s="2991"/>
      <c r="U20" s="1469">
        <f t="shared" si="1"/>
        <v>4000</v>
      </c>
      <c r="V20" s="1469"/>
      <c r="W20" s="2993"/>
      <c r="X20" s="1459">
        <f t="shared" si="2"/>
        <v>1000</v>
      </c>
      <c r="Y20" s="1459"/>
      <c r="Z20" s="1482"/>
      <c r="AA20" s="1456"/>
    </row>
    <row r="21" spans="2:27">
      <c r="B21" s="1433" t="s">
        <v>296</v>
      </c>
      <c r="C21" s="1597" t="s">
        <v>44</v>
      </c>
      <c r="D21" s="2771">
        <f>SUM(D22:D25)</f>
        <v>4000</v>
      </c>
      <c r="E21" s="1464">
        <f>SUM(E22:E25)</f>
        <v>4100</v>
      </c>
      <c r="F21" s="1638">
        <f>D21+E21</f>
        <v>8100</v>
      </c>
      <c r="H21" s="1460" t="s">
        <v>1212</v>
      </c>
      <c r="I21" s="1466">
        <v>800</v>
      </c>
      <c r="J21" s="1470" t="s">
        <v>110</v>
      </c>
      <c r="K21" s="1460" t="s">
        <v>845</v>
      </c>
      <c r="L21" s="1467">
        <v>300</v>
      </c>
      <c r="M21" s="1467">
        <v>150</v>
      </c>
      <c r="N21" s="1461">
        <v>6.2270891767430052E-2</v>
      </c>
      <c r="O21" s="1460">
        <v>10</v>
      </c>
      <c r="P21" s="1463" t="s">
        <v>1160</v>
      </c>
      <c r="Q21" s="1466"/>
      <c r="R21" s="1466">
        <v>0</v>
      </c>
      <c r="S21" s="1469"/>
      <c r="T21" s="2991"/>
      <c r="U21" s="1469">
        <f t="shared" si="1"/>
        <v>0</v>
      </c>
      <c r="V21" s="1469"/>
      <c r="W21" s="2993"/>
      <c r="X21" s="1459">
        <f t="shared" si="2"/>
        <v>0</v>
      </c>
      <c r="Y21" s="1459"/>
      <c r="Z21" s="1482"/>
      <c r="AA21" s="1456"/>
    </row>
    <row r="22" spans="2:27">
      <c r="B22" s="1982">
        <f>(SUM(D22:E22)/2)/((80000+(80000*1.025))/2)</f>
        <v>0.05</v>
      </c>
      <c r="C22" s="1667"/>
      <c r="D22" s="2772">
        <v>4000</v>
      </c>
      <c r="E22" s="1669">
        <v>4100</v>
      </c>
      <c r="F22" s="1426">
        <f t="shared" si="3"/>
        <v>8100</v>
      </c>
      <c r="H22" s="1460" t="s">
        <v>1213</v>
      </c>
      <c r="I22" s="1466">
        <v>1200</v>
      </c>
      <c r="J22" s="1470" t="s">
        <v>110</v>
      </c>
      <c r="K22" s="1460" t="s">
        <v>845</v>
      </c>
      <c r="L22" s="1467">
        <v>300</v>
      </c>
      <c r="M22" s="1467">
        <v>225</v>
      </c>
      <c r="N22" s="1461">
        <v>9.3406337651145074E-2</v>
      </c>
      <c r="O22" s="1460">
        <v>10</v>
      </c>
      <c r="P22" s="1463" t="s">
        <v>1160</v>
      </c>
      <c r="Q22" s="1466"/>
      <c r="R22" s="1466">
        <v>0</v>
      </c>
      <c r="S22" s="1469"/>
      <c r="T22" s="2991"/>
      <c r="U22" s="1469">
        <f t="shared" si="1"/>
        <v>0</v>
      </c>
      <c r="V22" s="1469"/>
      <c r="W22" s="2993"/>
      <c r="X22" s="1459">
        <f t="shared" si="2"/>
        <v>0</v>
      </c>
      <c r="Y22" s="1459"/>
      <c r="Z22" s="1482"/>
      <c r="AA22" s="1456"/>
    </row>
    <row r="23" spans="2:27">
      <c r="B23" s="1982"/>
      <c r="C23" s="1667"/>
      <c r="D23" s="2773"/>
      <c r="E23" s="1444"/>
      <c r="F23" s="1661">
        <f t="shared" si="3"/>
        <v>0</v>
      </c>
      <c r="H23" s="1460" t="s">
        <v>1911</v>
      </c>
      <c r="I23" s="1466">
        <v>264</v>
      </c>
      <c r="J23" s="1470" t="s">
        <v>229</v>
      </c>
      <c r="K23" s="1460" t="s">
        <v>845</v>
      </c>
      <c r="L23" s="1467">
        <v>186.09</v>
      </c>
      <c r="M23" s="1467">
        <v>100</v>
      </c>
      <c r="N23" s="1461">
        <v>2.0549394283251917E-3</v>
      </c>
      <c r="O23" s="1460">
        <v>10</v>
      </c>
      <c r="P23" s="1463" t="s">
        <v>1160</v>
      </c>
      <c r="Q23" s="1466"/>
      <c r="R23" s="1466">
        <v>50</v>
      </c>
      <c r="S23" s="1469" t="s">
        <v>229</v>
      </c>
      <c r="T23" s="1469" t="s">
        <v>229</v>
      </c>
      <c r="U23" s="1469">
        <f t="shared" si="1"/>
        <v>13200</v>
      </c>
      <c r="V23" s="1469" t="s">
        <v>229</v>
      </c>
      <c r="W23" s="1459" t="s">
        <v>229</v>
      </c>
      <c r="X23" s="1459">
        <f t="shared" si="2"/>
        <v>5000</v>
      </c>
      <c r="Y23" s="1459"/>
      <c r="Z23" s="1482"/>
      <c r="AA23" s="1456"/>
    </row>
    <row r="24" spans="2:27">
      <c r="B24" s="1982"/>
      <c r="C24" s="1667"/>
      <c r="D24" s="2774"/>
      <c r="E24" s="1443"/>
      <c r="F24" s="1661">
        <f t="shared" si="3"/>
        <v>0</v>
      </c>
      <c r="H24" s="1460" t="s">
        <v>1912</v>
      </c>
      <c r="I24" s="1466">
        <v>737</v>
      </c>
      <c r="J24" s="1470" t="s">
        <v>229</v>
      </c>
      <c r="K24" s="1460" t="s">
        <v>845</v>
      </c>
      <c r="L24" s="1467">
        <v>608.08000000000004</v>
      </c>
      <c r="M24" s="1467">
        <v>100</v>
      </c>
      <c r="N24" s="1461">
        <v>5.7367059040744931E-3</v>
      </c>
      <c r="O24" s="1460">
        <v>15</v>
      </c>
      <c r="P24" s="1463" t="s">
        <v>1160</v>
      </c>
      <c r="Q24" s="1466"/>
      <c r="R24" s="1466">
        <v>50</v>
      </c>
      <c r="S24" s="1469" t="s">
        <v>229</v>
      </c>
      <c r="T24" s="1469" t="s">
        <v>229</v>
      </c>
      <c r="U24" s="1469">
        <f t="shared" si="1"/>
        <v>36850</v>
      </c>
      <c r="V24" s="1469" t="s">
        <v>229</v>
      </c>
      <c r="W24" s="1459" t="s">
        <v>229</v>
      </c>
      <c r="X24" s="1459">
        <f t="shared" si="2"/>
        <v>5000</v>
      </c>
      <c r="Y24" s="1459" t="s">
        <v>229</v>
      </c>
      <c r="Z24" s="1482"/>
      <c r="AA24" s="1456"/>
    </row>
    <row r="25" spans="2:27">
      <c r="B25" s="1982"/>
      <c r="C25" s="1667"/>
      <c r="D25" s="2775"/>
      <c r="E25" s="1444"/>
      <c r="F25" s="1661">
        <f t="shared" si="3"/>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0.05</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41961.937150000005</v>
      </c>
      <c r="E27" s="1657">
        <f>SUM(E29:E31)+SUM(E33:E35)</f>
        <v>57906.946299999996</v>
      </c>
      <c r="F27" s="1638">
        <f>D27+E27</f>
        <v>99868.883449999994</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39293.937150000005</v>
      </c>
      <c r="E29" s="1641">
        <f>E15*E28</f>
        <v>41544.432799999995</v>
      </c>
      <c r="F29" s="1661">
        <f t="shared" si="3"/>
        <v>80838.369949999993</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2668</v>
      </c>
      <c r="E30" s="1641">
        <f>E21*E28</f>
        <v>2820.7999999999997</v>
      </c>
      <c r="F30" s="1661">
        <f t="shared" si="3"/>
        <v>5488.7999999999993</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12680.7135</v>
      </c>
      <c r="F33" s="1661">
        <f>SUM(D33:E33)</f>
        <v>12680.7135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621</v>
      </c>
      <c r="C34" s="1667" t="s">
        <v>720</v>
      </c>
      <c r="D34" s="2785"/>
      <c r="E34" s="1641">
        <f>E21*E32</f>
        <v>861</v>
      </c>
      <c r="F34" s="1661">
        <f t="shared" ref="F34" si="4">SUM(D34:E34)</f>
        <v>861</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18230718</v>
      </c>
      <c r="C37" s="1597" t="s">
        <v>46</v>
      </c>
      <c r="D37" s="2771">
        <f>SUM(D38:D41)</f>
        <v>42500</v>
      </c>
      <c r="E37" s="1464">
        <f>SUM(E38:E41)</f>
        <v>42500</v>
      </c>
      <c r="F37" s="1638">
        <f>D37+E37</f>
        <v>85000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v>42500</v>
      </c>
      <c r="E38" s="1672">
        <v>42500</v>
      </c>
      <c r="F38" s="1661">
        <f t="shared" ref="F38:F47" si="5">SUM(D38:E38)</f>
        <v>85000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5"/>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5"/>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5"/>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5000</v>
      </c>
      <c r="E43" s="1464">
        <f>SUM(E44:E47)</f>
        <v>5000</v>
      </c>
      <c r="F43" s="1638">
        <f>D43+E43</f>
        <v>10000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v>5000</v>
      </c>
      <c r="E44" s="1672">
        <v>5000</v>
      </c>
      <c r="F44" s="1661">
        <f t="shared" si="5"/>
        <v>10000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5"/>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5"/>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5"/>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60919</v>
      </c>
      <c r="E49" s="1464">
        <f>SUM(E50:E53)</f>
        <v>258595.13</v>
      </c>
      <c r="F49" s="1638">
        <f>D49+E49</f>
        <v>319514.13</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t="s">
        <v>1589</v>
      </c>
      <c r="D50" s="2778">
        <v>60919</v>
      </c>
      <c r="E50" s="1672">
        <v>258595.13</v>
      </c>
      <c r="F50" s="1661">
        <f t="shared" ref="F50:F65" si="6">SUM(D50:E50)</f>
        <v>319514.13</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6"/>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6"/>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6"/>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5000</v>
      </c>
      <c r="E55" s="1464">
        <f>SUM(E56:E59)</f>
        <v>5000</v>
      </c>
      <c r="F55" s="1638">
        <f>D55+E55</f>
        <v>10000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5000</v>
      </c>
      <c r="E56" s="1641">
        <v>5000</v>
      </c>
      <c r="F56" s="1661">
        <f t="shared" si="6"/>
        <v>10000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6"/>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6"/>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6"/>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1000</v>
      </c>
      <c r="E61" s="1464">
        <f>SUM(E62:E65)</f>
        <v>1000</v>
      </c>
      <c r="F61" s="1638">
        <f>D61+E61</f>
        <v>2000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1000</v>
      </c>
      <c r="E62" s="1672">
        <v>1000</v>
      </c>
      <c r="F62" s="1661">
        <f t="shared" si="6"/>
        <v>2000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6"/>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621</v>
      </c>
      <c r="C64" s="1667"/>
      <c r="D64" s="2778"/>
      <c r="E64" s="1672"/>
      <c r="F64" s="1437">
        <f t="shared" si="6"/>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6"/>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18230718</v>
      </c>
      <c r="C67" s="1597" t="s">
        <v>50</v>
      </c>
      <c r="D67" s="2771">
        <f>W15</f>
        <v>0</v>
      </c>
      <c r="E67" s="1464">
        <f>X15</f>
        <v>730500</v>
      </c>
      <c r="F67" s="1638">
        <f>D67+E67</f>
        <v>730500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72" spans="1:27">
      <c r="H72" s="3003" t="s">
        <v>1751</v>
      </c>
    </row>
    <row r="73" spans="1:27">
      <c r="H73" s="3562" t="s">
        <v>300</v>
      </c>
      <c r="I73" s="3562"/>
      <c r="J73" s="3562"/>
      <c r="K73" s="3562"/>
      <c r="L73" s="3562"/>
      <c r="M73" s="3562"/>
      <c r="N73" s="3562"/>
      <c r="O73" s="3562"/>
      <c r="P73" s="3562"/>
      <c r="Q73" s="1465"/>
      <c r="R73" s="1465"/>
      <c r="S73" s="1465"/>
      <c r="T73" s="1465"/>
      <c r="U73" s="1465"/>
      <c r="V73" s="1465"/>
      <c r="W73" s="3191" t="s">
        <v>300</v>
      </c>
      <c r="X73" s="1465"/>
      <c r="Y73" s="1465"/>
      <c r="Z73" s="3191" t="s">
        <v>300</v>
      </c>
      <c r="AA73" s="1465"/>
    </row>
    <row r="74" spans="1:27">
      <c r="H74" s="1456"/>
      <c r="I74" s="1457"/>
      <c r="J74" s="1457"/>
      <c r="K74" s="1456"/>
      <c r="L74" s="1456"/>
      <c r="M74" s="1456"/>
      <c r="N74" s="1456"/>
      <c r="O74" s="1456"/>
      <c r="P74" s="1456"/>
      <c r="Q74" s="1456"/>
      <c r="R74" s="1456"/>
      <c r="S74" s="1456"/>
      <c r="T74" s="1456"/>
      <c r="U74" s="1456"/>
      <c r="V74" s="1456"/>
      <c r="W74" s="1456"/>
      <c r="X74" s="1456"/>
      <c r="Y74" s="1456"/>
      <c r="Z74" s="1456"/>
      <c r="AA74" s="1456"/>
    </row>
    <row r="75" spans="1:27">
      <c r="H75" s="3563" t="s">
        <v>301</v>
      </c>
      <c r="I75" s="3563"/>
      <c r="J75" s="3563"/>
      <c r="K75" s="3563"/>
      <c r="L75" s="3563"/>
      <c r="M75" s="3563"/>
      <c r="N75" s="3563"/>
      <c r="O75" s="3563"/>
      <c r="P75" s="3563"/>
      <c r="Q75" s="3565" t="s">
        <v>40</v>
      </c>
      <c r="R75" s="3565"/>
      <c r="S75" s="3565"/>
      <c r="T75" s="3574" t="s">
        <v>41</v>
      </c>
      <c r="U75" s="3574"/>
      <c r="V75" s="3574"/>
      <c r="W75" s="3564" t="s">
        <v>52</v>
      </c>
      <c r="X75" s="3564"/>
      <c r="Y75" s="3564"/>
      <c r="Z75" s="2244" t="s">
        <v>1033</v>
      </c>
      <c r="AA75" s="1456"/>
    </row>
    <row r="76" spans="1:27">
      <c r="H76" s="1471" t="s">
        <v>302</v>
      </c>
      <c r="I76" s="1471" t="s">
        <v>228</v>
      </c>
      <c r="J76" s="1471" t="s">
        <v>303</v>
      </c>
      <c r="K76" s="1471" t="s">
        <v>304</v>
      </c>
      <c r="L76" s="1471" t="s">
        <v>53</v>
      </c>
      <c r="M76" s="1471" t="s">
        <v>54</v>
      </c>
      <c r="N76" s="1471" t="s">
        <v>305</v>
      </c>
      <c r="O76" s="1471" t="s">
        <v>55</v>
      </c>
      <c r="P76" s="1471" t="s">
        <v>56</v>
      </c>
      <c r="Q76" s="1472">
        <v>2016</v>
      </c>
      <c r="R76" s="1472">
        <v>2017</v>
      </c>
      <c r="S76" s="1472" t="s">
        <v>306</v>
      </c>
      <c r="T76" s="1473">
        <v>2016</v>
      </c>
      <c r="U76" s="1473">
        <v>2017</v>
      </c>
      <c r="V76" s="1473" t="s">
        <v>306</v>
      </c>
      <c r="W76" s="1474">
        <v>2016</v>
      </c>
      <c r="X76" s="1474">
        <v>2017</v>
      </c>
      <c r="Y76" s="1474" t="s">
        <v>306</v>
      </c>
      <c r="Z76" s="2244" t="s">
        <v>1045</v>
      </c>
      <c r="AA76" s="1456"/>
    </row>
    <row r="77" spans="1:27">
      <c r="H77" s="1458" t="s">
        <v>307</v>
      </c>
      <c r="I77" s="1458" t="s">
        <v>307</v>
      </c>
      <c r="J77" s="1471"/>
      <c r="K77" s="1458" t="s">
        <v>307</v>
      </c>
      <c r="L77" s="1458" t="s">
        <v>307</v>
      </c>
      <c r="M77" s="1458" t="s">
        <v>307</v>
      </c>
      <c r="N77" s="1458" t="s">
        <v>307</v>
      </c>
      <c r="O77" s="1458" t="s">
        <v>307</v>
      </c>
      <c r="P77" s="1458" t="s">
        <v>307</v>
      </c>
      <c r="Q77" s="1458" t="s">
        <v>307</v>
      </c>
      <c r="R77" s="1458" t="s">
        <v>307</v>
      </c>
      <c r="S77" s="1472"/>
      <c r="T77" s="1473"/>
      <c r="U77" s="1473"/>
      <c r="V77" s="1473"/>
      <c r="W77" s="1474"/>
      <c r="X77" s="1474"/>
      <c r="Y77" s="1474"/>
      <c r="Z77" s="1458" t="s">
        <v>307</v>
      </c>
      <c r="AA77" s="1456"/>
    </row>
    <row r="78" spans="1:27">
      <c r="H78" s="1475" t="s">
        <v>308</v>
      </c>
      <c r="I78" s="1476"/>
      <c r="J78" s="1476"/>
      <c r="K78" s="1477"/>
      <c r="L78" s="1478">
        <f>SUMPRODUCT(L79:L242,S79:S242)</f>
        <v>2381318</v>
      </c>
      <c r="M78" s="1478">
        <f>SUM(M79:M242)</f>
        <v>257075</v>
      </c>
      <c r="N78" s="1479" t="s">
        <v>229</v>
      </c>
      <c r="O78" s="1477">
        <v>11</v>
      </c>
      <c r="P78" s="1477"/>
      <c r="Q78" s="1477"/>
      <c r="R78" s="1477"/>
      <c r="S78" s="1477"/>
      <c r="T78" s="2983">
        <v>2975025</v>
      </c>
      <c r="U78" s="1480">
        <f t="shared" ref="U78:V78" si="7">SUM(U79:U128)</f>
        <v>3690100</v>
      </c>
      <c r="V78" s="1480">
        <f t="shared" si="7"/>
        <v>6665125</v>
      </c>
      <c r="W78" s="3000">
        <v>509250</v>
      </c>
      <c r="X78" s="2458">
        <f t="shared" ref="X78:Y78" si="8">SUM(X79:X128)</f>
        <v>629250</v>
      </c>
      <c r="Y78" s="2458">
        <f t="shared" si="8"/>
        <v>1138500</v>
      </c>
      <c r="Z78" s="1481">
        <v>0</v>
      </c>
      <c r="AA78" s="1456"/>
    </row>
    <row r="79" spans="1:27">
      <c r="H79" s="1460" t="s">
        <v>1207</v>
      </c>
      <c r="I79" s="1466">
        <v>1475</v>
      </c>
      <c r="J79" s="1470" t="s">
        <v>110</v>
      </c>
      <c r="K79" s="1460" t="s">
        <v>845</v>
      </c>
      <c r="L79" s="1467">
        <v>677</v>
      </c>
      <c r="M79" s="1467">
        <v>450</v>
      </c>
      <c r="N79" s="1461">
        <v>3.9971816481938156E-2</v>
      </c>
      <c r="O79" s="1460">
        <v>10</v>
      </c>
      <c r="P79" s="1463" t="s">
        <v>1160</v>
      </c>
      <c r="Q79" s="1466">
        <v>75</v>
      </c>
      <c r="R79" s="1466">
        <v>100</v>
      </c>
      <c r="S79" s="1469">
        <f t="shared" ref="S79:S85" si="9">Q79+R79</f>
        <v>175</v>
      </c>
      <c r="T79" s="2991">
        <v>110625</v>
      </c>
      <c r="U79" s="1469">
        <f t="shared" ref="U79:U85" si="10">I79*R79</f>
        <v>147500</v>
      </c>
      <c r="V79" s="1469">
        <f t="shared" ref="V79:V85" si="11">T79+U79</f>
        <v>258125</v>
      </c>
      <c r="W79" s="2993">
        <v>33750</v>
      </c>
      <c r="X79" s="1459">
        <f t="shared" ref="X79:X85" si="12">M79*R79</f>
        <v>45000</v>
      </c>
      <c r="Y79" s="1459">
        <f t="shared" ref="Y79:Y85" si="13">W79+X79</f>
        <v>78750</v>
      </c>
      <c r="Z79" s="1482"/>
      <c r="AA79" s="1456"/>
    </row>
    <row r="80" spans="1:27">
      <c r="H80" s="1460" t="s">
        <v>1208</v>
      </c>
      <c r="I80" s="1466">
        <v>1250000</v>
      </c>
      <c r="J80" s="1470" t="s">
        <v>110</v>
      </c>
      <c r="K80" s="1460" t="s">
        <v>991</v>
      </c>
      <c r="L80" s="1467">
        <v>630046.5</v>
      </c>
      <c r="M80" s="1467">
        <v>175500</v>
      </c>
      <c r="N80" s="1461">
        <v>0.33874420747405221</v>
      </c>
      <c r="O80" s="1460">
        <v>15</v>
      </c>
      <c r="P80" s="1463" t="s">
        <v>1160</v>
      </c>
      <c r="Q80" s="1466">
        <v>1</v>
      </c>
      <c r="R80" s="1466">
        <v>1</v>
      </c>
      <c r="S80" s="1469">
        <f t="shared" si="9"/>
        <v>2</v>
      </c>
      <c r="T80" s="2991">
        <v>1250000</v>
      </c>
      <c r="U80" s="1469">
        <f t="shared" si="10"/>
        <v>1250000</v>
      </c>
      <c r="V80" s="1469">
        <f t="shared" si="11"/>
        <v>2500000</v>
      </c>
      <c r="W80" s="2993">
        <v>175500</v>
      </c>
      <c r="X80" s="1459">
        <f t="shared" si="12"/>
        <v>175500</v>
      </c>
      <c r="Y80" s="1459">
        <f t="shared" si="13"/>
        <v>351000</v>
      </c>
      <c r="Z80" s="1482"/>
      <c r="AA80" s="1456"/>
    </row>
    <row r="81" spans="5:27">
      <c r="H81" s="1460" t="s">
        <v>1209</v>
      </c>
      <c r="I81" s="1466">
        <v>250000</v>
      </c>
      <c r="J81" s="1470" t="s">
        <v>110</v>
      </c>
      <c r="K81" s="1460" t="s">
        <v>991</v>
      </c>
      <c r="L81" s="1467">
        <v>80500</v>
      </c>
      <c r="M81" s="1467">
        <v>80500</v>
      </c>
      <c r="N81" s="1461">
        <v>6.7748841494810433E-2</v>
      </c>
      <c r="O81" s="1460">
        <v>5</v>
      </c>
      <c r="P81" s="1463" t="s">
        <v>1160</v>
      </c>
      <c r="Q81" s="1466">
        <v>1</v>
      </c>
      <c r="R81" s="1466">
        <v>1</v>
      </c>
      <c r="S81" s="1469">
        <f t="shared" si="9"/>
        <v>2</v>
      </c>
      <c r="T81" s="2991">
        <v>250000</v>
      </c>
      <c r="U81" s="1469">
        <f t="shared" si="10"/>
        <v>250000</v>
      </c>
      <c r="V81" s="1469">
        <f t="shared" si="11"/>
        <v>500000</v>
      </c>
      <c r="W81" s="2993">
        <v>80500</v>
      </c>
      <c r="X81" s="1459">
        <f t="shared" si="12"/>
        <v>80500</v>
      </c>
      <c r="Y81" s="1459">
        <f t="shared" si="13"/>
        <v>161000</v>
      </c>
      <c r="Z81" s="1482"/>
      <c r="AA81" s="1456"/>
    </row>
    <row r="82" spans="5:27">
      <c r="H82" s="1460" t="s">
        <v>1210</v>
      </c>
      <c r="I82" s="1466">
        <v>1782</v>
      </c>
      <c r="J82" s="1470" t="s">
        <v>110</v>
      </c>
      <c r="K82" s="1460" t="s">
        <v>845</v>
      </c>
      <c r="L82" s="1467">
        <v>167.5</v>
      </c>
      <c r="M82" s="1467">
        <v>150</v>
      </c>
      <c r="N82" s="1461">
        <v>0.14487412265250263</v>
      </c>
      <c r="O82" s="1460">
        <v>5</v>
      </c>
      <c r="P82" s="1463" t="s">
        <v>1160</v>
      </c>
      <c r="Q82" s="1466">
        <v>200</v>
      </c>
      <c r="R82" s="1466">
        <v>300</v>
      </c>
      <c r="S82" s="1469">
        <f t="shared" si="9"/>
        <v>500</v>
      </c>
      <c r="T82" s="2991">
        <v>356400</v>
      </c>
      <c r="U82" s="1469">
        <f t="shared" si="10"/>
        <v>534600</v>
      </c>
      <c r="V82" s="1469">
        <f t="shared" si="11"/>
        <v>891000</v>
      </c>
      <c r="W82" s="2993">
        <v>30000</v>
      </c>
      <c r="X82" s="1459">
        <f t="shared" si="12"/>
        <v>45000</v>
      </c>
      <c r="Y82" s="1459">
        <f t="shared" si="13"/>
        <v>75000</v>
      </c>
      <c r="Z82" s="1482"/>
      <c r="AA82" s="1456"/>
    </row>
    <row r="83" spans="5:27">
      <c r="H83" s="1460" t="s">
        <v>1211</v>
      </c>
      <c r="I83" s="1466">
        <v>400</v>
      </c>
      <c r="J83" s="1470" t="s">
        <v>110</v>
      </c>
      <c r="K83" s="1460" t="s">
        <v>845</v>
      </c>
      <c r="L83" s="1467">
        <v>200</v>
      </c>
      <c r="M83" s="1467">
        <v>100</v>
      </c>
      <c r="N83" s="1461">
        <v>2.1679629278339341E-3</v>
      </c>
      <c r="O83" s="1460">
        <v>10</v>
      </c>
      <c r="P83" s="1463" t="s">
        <v>1160</v>
      </c>
      <c r="Q83" s="1466">
        <v>20</v>
      </c>
      <c r="R83" s="1466">
        <v>20</v>
      </c>
      <c r="S83" s="1469">
        <f t="shared" si="9"/>
        <v>40</v>
      </c>
      <c r="T83" s="2991">
        <v>8000</v>
      </c>
      <c r="U83" s="1469">
        <f t="shared" si="10"/>
        <v>8000</v>
      </c>
      <c r="V83" s="1469">
        <f t="shared" si="11"/>
        <v>16000</v>
      </c>
      <c r="W83" s="2993">
        <v>2000</v>
      </c>
      <c r="X83" s="1459">
        <f t="shared" si="12"/>
        <v>2000</v>
      </c>
      <c r="Y83" s="1459">
        <f t="shared" si="13"/>
        <v>4000</v>
      </c>
      <c r="Z83" s="1482"/>
      <c r="AA83" s="1456"/>
    </row>
    <row r="84" spans="5:27">
      <c r="E84" s="1652"/>
      <c r="H84" s="1460" t="s">
        <v>1212</v>
      </c>
      <c r="I84" s="1466">
        <v>800</v>
      </c>
      <c r="J84" s="1470" t="s">
        <v>110</v>
      </c>
      <c r="K84" s="1460" t="s">
        <v>845</v>
      </c>
      <c r="L84" s="1467">
        <v>300</v>
      </c>
      <c r="M84" s="1467">
        <v>150</v>
      </c>
      <c r="N84" s="1461">
        <v>0.16259721958754506</v>
      </c>
      <c r="O84" s="1460">
        <v>10</v>
      </c>
      <c r="P84" s="1463" t="s">
        <v>1160</v>
      </c>
      <c r="Q84" s="1466">
        <v>500</v>
      </c>
      <c r="R84" s="1466">
        <v>750</v>
      </c>
      <c r="S84" s="1469">
        <f t="shared" si="9"/>
        <v>1250</v>
      </c>
      <c r="T84" s="2991">
        <v>400000</v>
      </c>
      <c r="U84" s="1469">
        <f t="shared" si="10"/>
        <v>600000</v>
      </c>
      <c r="V84" s="1469">
        <f t="shared" si="11"/>
        <v>1000000</v>
      </c>
      <c r="W84" s="2993">
        <v>75000</v>
      </c>
      <c r="X84" s="1459">
        <f t="shared" si="12"/>
        <v>112500</v>
      </c>
      <c r="Y84" s="1459">
        <f t="shared" si="13"/>
        <v>187500</v>
      </c>
      <c r="Z84" s="1482"/>
      <c r="AA84" s="1456"/>
    </row>
    <row r="85" spans="5:27">
      <c r="E85" s="1652"/>
      <c r="H85" s="1460" t="s">
        <v>1213</v>
      </c>
      <c r="I85" s="1466">
        <v>1200</v>
      </c>
      <c r="J85" s="1470" t="s">
        <v>110</v>
      </c>
      <c r="K85" s="1460" t="s">
        <v>845</v>
      </c>
      <c r="L85" s="1467">
        <v>300</v>
      </c>
      <c r="M85" s="1467">
        <v>225</v>
      </c>
      <c r="N85" s="1461">
        <v>0.24389582938131757</v>
      </c>
      <c r="O85" s="1460">
        <v>10</v>
      </c>
      <c r="P85" s="1463" t="s">
        <v>1160</v>
      </c>
      <c r="Q85" s="1466">
        <v>500</v>
      </c>
      <c r="R85" s="1466">
        <v>750</v>
      </c>
      <c r="S85" s="1469">
        <f t="shared" si="9"/>
        <v>1250</v>
      </c>
      <c r="T85" s="2991">
        <v>600000</v>
      </c>
      <c r="U85" s="1469">
        <f t="shared" si="10"/>
        <v>900000</v>
      </c>
      <c r="V85" s="1469">
        <f t="shared" si="11"/>
        <v>1500000</v>
      </c>
      <c r="W85" s="2993">
        <v>112500</v>
      </c>
      <c r="X85" s="1459">
        <f t="shared" si="12"/>
        <v>168750</v>
      </c>
      <c r="Y85" s="1459">
        <f t="shared" si="13"/>
        <v>281250</v>
      </c>
      <c r="Z85" s="1482"/>
      <c r="AA85" s="1456"/>
    </row>
    <row r="86" spans="5:27">
      <c r="E86" s="1652"/>
      <c r="H86" s="1460"/>
      <c r="I86" s="1466"/>
      <c r="J86" s="1470" t="s">
        <v>229</v>
      </c>
      <c r="K86" s="1460"/>
      <c r="L86" s="1467"/>
      <c r="M86" s="1467"/>
      <c r="N86" s="1461"/>
      <c r="O86" s="1460"/>
      <c r="P86" s="1463"/>
      <c r="Q86" s="1466"/>
      <c r="R86" s="1466"/>
      <c r="S86" s="1469" t="s">
        <v>229</v>
      </c>
      <c r="T86" s="1469" t="s">
        <v>229</v>
      </c>
      <c r="U86" s="1469" t="s">
        <v>229</v>
      </c>
      <c r="V86" s="1469" t="s">
        <v>229</v>
      </c>
      <c r="W86" s="1459" t="s">
        <v>229</v>
      </c>
      <c r="X86" s="1459" t="s">
        <v>229</v>
      </c>
      <c r="Y86" s="1459" t="s">
        <v>229</v>
      </c>
      <c r="Z86" s="1482"/>
      <c r="AA86" s="1456"/>
    </row>
    <row r="87" spans="5:27">
      <c r="E87" s="1652"/>
      <c r="H87" s="1460"/>
      <c r="I87" s="1466"/>
      <c r="J87" s="1470" t="s">
        <v>229</v>
      </c>
      <c r="K87" s="1460"/>
      <c r="L87" s="1467"/>
      <c r="M87" s="1467"/>
      <c r="N87" s="1461"/>
      <c r="O87" s="1460"/>
      <c r="P87" s="1463"/>
      <c r="Q87" s="1466"/>
      <c r="R87" s="1466"/>
      <c r="S87" s="1469" t="s">
        <v>229</v>
      </c>
      <c r="T87" s="1469" t="s">
        <v>229</v>
      </c>
      <c r="U87" s="1469" t="s">
        <v>229</v>
      </c>
      <c r="V87" s="1469" t="s">
        <v>229</v>
      </c>
      <c r="W87" s="1459" t="s">
        <v>229</v>
      </c>
      <c r="X87" s="1459" t="s">
        <v>229</v>
      </c>
      <c r="Y87" s="1459" t="s">
        <v>229</v>
      </c>
      <c r="Z87" s="1482"/>
      <c r="AA87" s="1456"/>
    </row>
    <row r="88" spans="5:27">
      <c r="E88" s="1652"/>
      <c r="H88" s="1460"/>
      <c r="I88" s="1466"/>
      <c r="J88" s="1470" t="s">
        <v>229</v>
      </c>
      <c r="K88" s="1460"/>
      <c r="L88" s="1467"/>
      <c r="M88" s="1467"/>
      <c r="N88" s="1461"/>
      <c r="O88" s="1460"/>
      <c r="P88" s="1463"/>
      <c r="Q88" s="1466"/>
      <c r="R88" s="1466"/>
      <c r="S88" s="1469" t="s">
        <v>229</v>
      </c>
      <c r="T88" s="1469" t="s">
        <v>229</v>
      </c>
      <c r="U88" s="1469" t="s">
        <v>229</v>
      </c>
      <c r="V88" s="1469" t="s">
        <v>229</v>
      </c>
      <c r="W88" s="1459" t="s">
        <v>229</v>
      </c>
      <c r="X88" s="1459" t="s">
        <v>229</v>
      </c>
      <c r="Y88" s="1459" t="s">
        <v>229</v>
      </c>
      <c r="Z88" s="1482"/>
      <c r="AA88" s="1456"/>
    </row>
    <row r="89" spans="5:27">
      <c r="E89" s="1652"/>
      <c r="H89" s="1460"/>
      <c r="I89" s="1466"/>
      <c r="J89" s="1470" t="s">
        <v>229</v>
      </c>
      <c r="K89" s="1460"/>
      <c r="L89" s="1467"/>
      <c r="M89" s="1467"/>
      <c r="N89" s="1461"/>
      <c r="O89" s="1460"/>
      <c r="P89" s="1463"/>
      <c r="Q89" s="1466"/>
      <c r="R89" s="1466"/>
      <c r="S89" s="1469" t="s">
        <v>229</v>
      </c>
      <c r="T89" s="1469" t="s">
        <v>229</v>
      </c>
      <c r="U89" s="1469" t="s">
        <v>229</v>
      </c>
      <c r="V89" s="1469" t="s">
        <v>229</v>
      </c>
      <c r="W89" s="1459" t="s">
        <v>229</v>
      </c>
      <c r="X89" s="1459" t="s">
        <v>229</v>
      </c>
      <c r="Y89" s="1459" t="s">
        <v>229</v>
      </c>
      <c r="Z89" s="1482"/>
      <c r="AA89" s="1456"/>
    </row>
    <row r="90" spans="5:27">
      <c r="E90" s="1652"/>
      <c r="H90" s="1460"/>
      <c r="I90" s="1466"/>
      <c r="J90" s="1470" t="s">
        <v>229</v>
      </c>
      <c r="K90" s="1460"/>
      <c r="L90" s="1467"/>
      <c r="M90" s="1467"/>
      <c r="N90" s="1461"/>
      <c r="O90" s="1460"/>
      <c r="P90" s="1463"/>
      <c r="Q90" s="1466"/>
      <c r="R90" s="1466"/>
      <c r="S90" s="1469" t="s">
        <v>229</v>
      </c>
      <c r="T90" s="1469" t="s">
        <v>229</v>
      </c>
      <c r="U90" s="1469" t="s">
        <v>229</v>
      </c>
      <c r="V90" s="1469" t="s">
        <v>229</v>
      </c>
      <c r="W90" s="1459" t="s">
        <v>229</v>
      </c>
      <c r="X90" s="1459" t="s">
        <v>229</v>
      </c>
      <c r="Y90" s="1459" t="s">
        <v>229</v>
      </c>
      <c r="Z90" s="1482"/>
      <c r="AA90" s="1456"/>
    </row>
    <row r="91" spans="5:27">
      <c r="E91" s="1652"/>
      <c r="H91" s="1460"/>
      <c r="I91" s="1466"/>
      <c r="J91" s="1470" t="s">
        <v>229</v>
      </c>
      <c r="K91" s="1460"/>
      <c r="L91" s="1467"/>
      <c r="M91" s="1467"/>
      <c r="N91" s="1461"/>
      <c r="O91" s="1460"/>
      <c r="P91" s="1463"/>
      <c r="Q91" s="1466"/>
      <c r="R91" s="1466"/>
      <c r="S91" s="1469" t="s">
        <v>229</v>
      </c>
      <c r="T91" s="1469" t="s">
        <v>229</v>
      </c>
      <c r="U91" s="1469" t="s">
        <v>229</v>
      </c>
      <c r="V91" s="1469" t="s">
        <v>229</v>
      </c>
      <c r="W91" s="1459" t="s">
        <v>229</v>
      </c>
      <c r="X91" s="1459" t="s">
        <v>229</v>
      </c>
      <c r="Y91" s="1459" t="s">
        <v>229</v>
      </c>
      <c r="Z91" s="1482"/>
      <c r="AA91" s="1456"/>
    </row>
    <row r="92" spans="5:27">
      <c r="E92" s="1652"/>
      <c r="H92" s="1460"/>
      <c r="I92" s="1466"/>
      <c r="J92" s="1470" t="s">
        <v>229</v>
      </c>
      <c r="K92" s="1460"/>
      <c r="L92" s="1467"/>
      <c r="M92" s="1467"/>
      <c r="N92" s="1461"/>
      <c r="O92" s="1460"/>
      <c r="P92" s="1463"/>
      <c r="Q92" s="1466"/>
      <c r="R92" s="1466"/>
      <c r="S92" s="1469" t="s">
        <v>229</v>
      </c>
      <c r="T92" s="1469" t="s">
        <v>229</v>
      </c>
      <c r="U92" s="1469" t="s">
        <v>229</v>
      </c>
      <c r="V92" s="1469" t="s">
        <v>229</v>
      </c>
      <c r="W92" s="1459" t="s">
        <v>229</v>
      </c>
      <c r="X92" s="1459" t="s">
        <v>229</v>
      </c>
      <c r="Y92" s="1459" t="s">
        <v>229</v>
      </c>
      <c r="Z92" s="1482"/>
      <c r="AA92" s="1456"/>
    </row>
    <row r="93" spans="5:27">
      <c r="E93" s="1652"/>
      <c r="H93" s="1460"/>
      <c r="I93" s="1466"/>
      <c r="J93" s="1470" t="s">
        <v>229</v>
      </c>
      <c r="K93" s="1460"/>
      <c r="L93" s="1467"/>
      <c r="M93" s="1467"/>
      <c r="N93" s="1461"/>
      <c r="O93" s="1460"/>
      <c r="P93" s="1463"/>
      <c r="Q93" s="1466"/>
      <c r="R93" s="1466"/>
      <c r="S93" s="1469" t="s">
        <v>229</v>
      </c>
      <c r="T93" s="1469" t="s">
        <v>229</v>
      </c>
      <c r="U93" s="1469" t="s">
        <v>229</v>
      </c>
      <c r="V93" s="1469" t="s">
        <v>229</v>
      </c>
      <c r="W93" s="1459" t="s">
        <v>229</v>
      </c>
      <c r="X93" s="1459" t="s">
        <v>229</v>
      </c>
      <c r="Y93" s="1459" t="s">
        <v>229</v>
      </c>
      <c r="Z93" s="1482"/>
      <c r="AA93" s="1456"/>
    </row>
    <row r="94" spans="5:27">
      <c r="E94" s="1652"/>
      <c r="H94" s="1460"/>
      <c r="I94" s="1466"/>
      <c r="J94" s="1470" t="s">
        <v>229</v>
      </c>
      <c r="K94" s="1460"/>
      <c r="L94" s="1467"/>
      <c r="M94" s="1467"/>
      <c r="N94" s="1461"/>
      <c r="O94" s="1460"/>
      <c r="P94" s="1463"/>
      <c r="Q94" s="1466"/>
      <c r="R94" s="1466"/>
      <c r="S94" s="1469" t="s">
        <v>229</v>
      </c>
      <c r="T94" s="1469" t="s">
        <v>229</v>
      </c>
      <c r="U94" s="1469" t="s">
        <v>229</v>
      </c>
      <c r="V94" s="1469" t="s">
        <v>229</v>
      </c>
      <c r="W94" s="1459" t="s">
        <v>229</v>
      </c>
      <c r="X94" s="1459" t="s">
        <v>229</v>
      </c>
      <c r="Y94" s="1459" t="s">
        <v>229</v>
      </c>
      <c r="Z94" s="1482"/>
      <c r="AA94" s="1456"/>
    </row>
    <row r="95" spans="5:27">
      <c r="E95" s="1652"/>
      <c r="H95" s="1460"/>
      <c r="I95" s="1466"/>
      <c r="J95" s="1470" t="s">
        <v>229</v>
      </c>
      <c r="K95" s="1460"/>
      <c r="L95" s="1467"/>
      <c r="M95" s="1467"/>
      <c r="N95" s="1461"/>
      <c r="O95" s="1460"/>
      <c r="P95" s="1463"/>
      <c r="Q95" s="1466"/>
      <c r="R95" s="1466"/>
      <c r="S95" s="1469" t="s">
        <v>229</v>
      </c>
      <c r="T95" s="1469" t="s">
        <v>229</v>
      </c>
      <c r="U95" s="1469" t="s">
        <v>229</v>
      </c>
      <c r="V95" s="1469" t="s">
        <v>229</v>
      </c>
      <c r="W95" s="1459" t="s">
        <v>229</v>
      </c>
      <c r="X95" s="1459" t="s">
        <v>229</v>
      </c>
      <c r="Y95" s="1459" t="s">
        <v>229</v>
      </c>
      <c r="Z95" s="1482"/>
      <c r="AA95" s="1456"/>
    </row>
    <row r="96" spans="5:27">
      <c r="E96" s="1652"/>
      <c r="H96" s="1460"/>
      <c r="I96" s="1466"/>
      <c r="J96" s="1470" t="s">
        <v>229</v>
      </c>
      <c r="K96" s="1460"/>
      <c r="L96" s="1467"/>
      <c r="M96" s="1467"/>
      <c r="N96" s="1461"/>
      <c r="O96" s="1460"/>
      <c r="P96" s="1463"/>
      <c r="Q96" s="1466"/>
      <c r="R96" s="1466"/>
      <c r="S96" s="1469" t="s">
        <v>229</v>
      </c>
      <c r="T96" s="1469" t="s">
        <v>229</v>
      </c>
      <c r="U96" s="1469" t="s">
        <v>229</v>
      </c>
      <c r="V96" s="1469" t="s">
        <v>229</v>
      </c>
      <c r="W96" s="1459" t="s">
        <v>229</v>
      </c>
      <c r="X96" s="1459" t="s">
        <v>229</v>
      </c>
      <c r="Y96" s="1459" t="s">
        <v>229</v>
      </c>
      <c r="Z96" s="1482"/>
      <c r="AA96" s="1456"/>
    </row>
    <row r="97" spans="5:27">
      <c r="E97" s="1652"/>
      <c r="H97" s="1460"/>
      <c r="I97" s="1466"/>
      <c r="J97" s="1470" t="s">
        <v>229</v>
      </c>
      <c r="K97" s="1460"/>
      <c r="L97" s="1467"/>
      <c r="M97" s="1467"/>
      <c r="N97" s="1461"/>
      <c r="O97" s="1460"/>
      <c r="P97" s="1463"/>
      <c r="Q97" s="1466"/>
      <c r="R97" s="1466"/>
      <c r="S97" s="1469" t="s">
        <v>229</v>
      </c>
      <c r="T97" s="1469" t="s">
        <v>229</v>
      </c>
      <c r="U97" s="1469" t="s">
        <v>229</v>
      </c>
      <c r="V97" s="1469" t="s">
        <v>229</v>
      </c>
      <c r="W97" s="1459" t="s">
        <v>229</v>
      </c>
      <c r="X97" s="1459" t="s">
        <v>229</v>
      </c>
      <c r="Y97" s="1459" t="s">
        <v>229</v>
      </c>
      <c r="Z97" s="1482"/>
      <c r="AA97" s="1456"/>
    </row>
    <row r="98" spans="5:27">
      <c r="E98" s="1652"/>
      <c r="H98" s="1460"/>
      <c r="I98" s="1466"/>
      <c r="J98" s="1470" t="s">
        <v>229</v>
      </c>
      <c r="K98" s="1460"/>
      <c r="L98" s="1467"/>
      <c r="M98" s="1467"/>
      <c r="N98" s="1461"/>
      <c r="O98" s="1460"/>
      <c r="P98" s="1463"/>
      <c r="Q98" s="1466"/>
      <c r="R98" s="1466"/>
      <c r="S98" s="1469" t="s">
        <v>229</v>
      </c>
      <c r="T98" s="1469" t="s">
        <v>229</v>
      </c>
      <c r="U98" s="1469" t="s">
        <v>229</v>
      </c>
      <c r="V98" s="1469" t="s">
        <v>229</v>
      </c>
      <c r="W98" s="1459" t="s">
        <v>229</v>
      </c>
      <c r="X98" s="1459" t="s">
        <v>229</v>
      </c>
      <c r="Y98" s="1459" t="s">
        <v>229</v>
      </c>
      <c r="Z98" s="1482"/>
      <c r="AA98" s="1456"/>
    </row>
    <row r="99" spans="5:27">
      <c r="E99" s="1652"/>
      <c r="H99" s="1460"/>
      <c r="I99" s="1466"/>
      <c r="J99" s="1470" t="s">
        <v>229</v>
      </c>
      <c r="K99" s="1460"/>
      <c r="L99" s="1467"/>
      <c r="M99" s="1467"/>
      <c r="N99" s="1461"/>
      <c r="O99" s="1460"/>
      <c r="P99" s="1463"/>
      <c r="Q99" s="1466"/>
      <c r="R99" s="1466"/>
      <c r="S99" s="1469" t="s">
        <v>229</v>
      </c>
      <c r="T99" s="1469" t="s">
        <v>229</v>
      </c>
      <c r="U99" s="1469" t="s">
        <v>229</v>
      </c>
      <c r="V99" s="1469" t="s">
        <v>229</v>
      </c>
      <c r="W99" s="1459" t="s">
        <v>229</v>
      </c>
      <c r="X99" s="1459" t="s">
        <v>229</v>
      </c>
      <c r="Y99" s="1459" t="s">
        <v>229</v>
      </c>
      <c r="Z99" s="1482"/>
      <c r="AA99" s="1456"/>
    </row>
    <row r="100" spans="5:27">
      <c r="E100" s="1652"/>
      <c r="H100" s="1460"/>
      <c r="I100" s="1466"/>
      <c r="J100" s="1470" t="s">
        <v>229</v>
      </c>
      <c r="K100" s="1460"/>
      <c r="L100" s="1467"/>
      <c r="M100" s="1467"/>
      <c r="N100" s="1461"/>
      <c r="O100" s="1460"/>
      <c r="P100" s="1463"/>
      <c r="Q100" s="1466"/>
      <c r="R100" s="1466"/>
      <c r="S100" s="1469" t="s">
        <v>229</v>
      </c>
      <c r="T100" s="1469" t="s">
        <v>229</v>
      </c>
      <c r="U100" s="1469" t="s">
        <v>229</v>
      </c>
      <c r="V100" s="1469" t="s">
        <v>229</v>
      </c>
      <c r="W100" s="1459" t="s">
        <v>229</v>
      </c>
      <c r="X100" s="1459" t="s">
        <v>229</v>
      </c>
      <c r="Y100" s="1459" t="s">
        <v>229</v>
      </c>
      <c r="Z100" s="1482"/>
      <c r="AA100" s="1456"/>
    </row>
    <row r="101" spans="5:27">
      <c r="E101" s="1652"/>
      <c r="H101" s="1460"/>
      <c r="I101" s="1466"/>
      <c r="J101" s="1470" t="s">
        <v>229</v>
      </c>
      <c r="K101" s="1460"/>
      <c r="L101" s="1467"/>
      <c r="M101" s="1467"/>
      <c r="N101" s="1461"/>
      <c r="O101" s="1460"/>
      <c r="P101" s="1463"/>
      <c r="Q101" s="1466"/>
      <c r="R101" s="1466"/>
      <c r="S101" s="1469" t="s">
        <v>229</v>
      </c>
      <c r="T101" s="1469" t="s">
        <v>229</v>
      </c>
      <c r="U101" s="1469" t="s">
        <v>229</v>
      </c>
      <c r="V101" s="1469" t="s">
        <v>229</v>
      </c>
      <c r="W101" s="1459" t="s">
        <v>229</v>
      </c>
      <c r="X101" s="1459" t="s">
        <v>229</v>
      </c>
      <c r="Y101" s="1459" t="s">
        <v>229</v>
      </c>
      <c r="Z101" s="1482"/>
      <c r="AA101" s="1456"/>
    </row>
    <row r="102" spans="5:27">
      <c r="E102" s="1652"/>
      <c r="H102" s="1460"/>
      <c r="I102" s="1466"/>
      <c r="J102" s="1470" t="s">
        <v>229</v>
      </c>
      <c r="K102" s="1460"/>
      <c r="L102" s="1467"/>
      <c r="M102" s="1467"/>
      <c r="N102" s="1461"/>
      <c r="O102" s="1460"/>
      <c r="P102" s="1463"/>
      <c r="Q102" s="1466"/>
      <c r="R102" s="1466"/>
      <c r="S102" s="1469" t="s">
        <v>229</v>
      </c>
      <c r="T102" s="1469" t="s">
        <v>229</v>
      </c>
      <c r="U102" s="1469" t="s">
        <v>229</v>
      </c>
      <c r="V102" s="1469" t="s">
        <v>229</v>
      </c>
      <c r="W102" s="1459" t="s">
        <v>229</v>
      </c>
      <c r="X102" s="1459" t="s">
        <v>229</v>
      </c>
      <c r="Y102" s="1459" t="s">
        <v>229</v>
      </c>
      <c r="Z102" s="1482"/>
      <c r="AA102" s="1456"/>
    </row>
    <row r="103" spans="5:27">
      <c r="E103" s="1652"/>
      <c r="H103" s="1460"/>
      <c r="I103" s="1466"/>
      <c r="J103" s="1470" t="s">
        <v>229</v>
      </c>
      <c r="K103" s="1460"/>
      <c r="L103" s="1467"/>
      <c r="M103" s="1467"/>
      <c r="N103" s="1461"/>
      <c r="O103" s="1460"/>
      <c r="P103" s="1463"/>
      <c r="Q103" s="1466"/>
      <c r="R103" s="1466"/>
      <c r="S103" s="1469" t="s">
        <v>229</v>
      </c>
      <c r="T103" s="1469" t="s">
        <v>229</v>
      </c>
      <c r="U103" s="1469" t="s">
        <v>229</v>
      </c>
      <c r="V103" s="1469" t="s">
        <v>229</v>
      </c>
      <c r="W103" s="1459" t="s">
        <v>229</v>
      </c>
      <c r="X103" s="1459" t="s">
        <v>229</v>
      </c>
      <c r="Y103" s="1459" t="s">
        <v>229</v>
      </c>
      <c r="Z103" s="1482"/>
      <c r="AA103" s="1456"/>
    </row>
    <row r="104" spans="5:27">
      <c r="E104" s="1652"/>
      <c r="H104" s="1460"/>
      <c r="I104" s="1466"/>
      <c r="J104" s="1470" t="s">
        <v>229</v>
      </c>
      <c r="K104" s="1460"/>
      <c r="L104" s="1467"/>
      <c r="M104" s="1467"/>
      <c r="N104" s="1461"/>
      <c r="O104" s="1460"/>
      <c r="P104" s="1463"/>
      <c r="Q104" s="1466"/>
      <c r="R104" s="1466"/>
      <c r="S104" s="1469" t="s">
        <v>229</v>
      </c>
      <c r="T104" s="1469" t="s">
        <v>229</v>
      </c>
      <c r="U104" s="1469" t="s">
        <v>229</v>
      </c>
      <c r="V104" s="1469" t="s">
        <v>229</v>
      </c>
      <c r="W104" s="1459" t="s">
        <v>229</v>
      </c>
      <c r="X104" s="1459" t="s">
        <v>229</v>
      </c>
      <c r="Y104" s="1459" t="s">
        <v>229</v>
      </c>
      <c r="Z104" s="1482"/>
      <c r="AA104" s="1456"/>
    </row>
    <row r="105" spans="5:27">
      <c r="E105" s="1652"/>
      <c r="H105" s="1460"/>
      <c r="I105" s="1466"/>
      <c r="J105" s="1470" t="s">
        <v>229</v>
      </c>
      <c r="K105" s="1460"/>
      <c r="L105" s="1467"/>
      <c r="M105" s="1467"/>
      <c r="N105" s="1461"/>
      <c r="O105" s="1460"/>
      <c r="P105" s="1463"/>
      <c r="Q105" s="1466"/>
      <c r="R105" s="1466"/>
      <c r="S105" s="1469" t="s">
        <v>229</v>
      </c>
      <c r="T105" s="1469" t="s">
        <v>229</v>
      </c>
      <c r="U105" s="1469" t="s">
        <v>229</v>
      </c>
      <c r="V105" s="1469" t="s">
        <v>229</v>
      </c>
      <c r="W105" s="1459" t="s">
        <v>229</v>
      </c>
      <c r="X105" s="1459" t="s">
        <v>229</v>
      </c>
      <c r="Y105" s="1459" t="s">
        <v>229</v>
      </c>
      <c r="Z105" s="1482"/>
      <c r="AA105" s="1456"/>
    </row>
    <row r="106" spans="5:27">
      <c r="E106" s="1652"/>
      <c r="H106" s="1460"/>
      <c r="I106" s="1466"/>
      <c r="J106" s="1470" t="s">
        <v>229</v>
      </c>
      <c r="K106" s="1460"/>
      <c r="L106" s="1467"/>
      <c r="M106" s="1467"/>
      <c r="N106" s="1461"/>
      <c r="O106" s="1460"/>
      <c r="P106" s="1463"/>
      <c r="Q106" s="1466"/>
      <c r="R106" s="1466"/>
      <c r="S106" s="1469" t="s">
        <v>229</v>
      </c>
      <c r="T106" s="1469" t="s">
        <v>229</v>
      </c>
      <c r="U106" s="1469" t="s">
        <v>229</v>
      </c>
      <c r="V106" s="1469" t="s">
        <v>229</v>
      </c>
      <c r="W106" s="1459" t="s">
        <v>229</v>
      </c>
      <c r="X106" s="1459" t="s">
        <v>229</v>
      </c>
      <c r="Y106" s="1459" t="s">
        <v>229</v>
      </c>
      <c r="Z106" s="1482"/>
      <c r="AA106" s="1456"/>
    </row>
    <row r="107" spans="5:27">
      <c r="E107" s="1652"/>
      <c r="H107" s="1460"/>
      <c r="I107" s="1466"/>
      <c r="J107" s="1470" t="s">
        <v>229</v>
      </c>
      <c r="K107" s="1460"/>
      <c r="L107" s="1467"/>
      <c r="M107" s="1467"/>
      <c r="N107" s="1461"/>
      <c r="O107" s="1460"/>
      <c r="P107" s="1463"/>
      <c r="Q107" s="1466"/>
      <c r="R107" s="1466"/>
      <c r="S107" s="1469" t="s">
        <v>229</v>
      </c>
      <c r="T107" s="1469" t="s">
        <v>229</v>
      </c>
      <c r="U107" s="1469" t="s">
        <v>229</v>
      </c>
      <c r="V107" s="1469" t="s">
        <v>229</v>
      </c>
      <c r="W107" s="1459" t="s">
        <v>229</v>
      </c>
      <c r="X107" s="1459" t="s">
        <v>229</v>
      </c>
      <c r="Y107" s="1459" t="s">
        <v>229</v>
      </c>
      <c r="Z107" s="1482"/>
      <c r="AA107" s="1456"/>
    </row>
    <row r="108" spans="5:27">
      <c r="E108" s="1652"/>
      <c r="H108" s="1460"/>
      <c r="I108" s="1466"/>
      <c r="J108" s="1470" t="s">
        <v>229</v>
      </c>
      <c r="K108" s="1460"/>
      <c r="L108" s="1467"/>
      <c r="M108" s="1467"/>
      <c r="N108" s="1461"/>
      <c r="O108" s="1460"/>
      <c r="P108" s="1463"/>
      <c r="Q108" s="1466"/>
      <c r="R108" s="1466"/>
      <c r="S108" s="1469" t="s">
        <v>229</v>
      </c>
      <c r="T108" s="1469" t="s">
        <v>229</v>
      </c>
      <c r="U108" s="1469" t="s">
        <v>229</v>
      </c>
      <c r="V108" s="1469" t="s">
        <v>229</v>
      </c>
      <c r="W108" s="1459" t="s">
        <v>229</v>
      </c>
      <c r="X108" s="1459" t="s">
        <v>229</v>
      </c>
      <c r="Y108" s="1459" t="s">
        <v>229</v>
      </c>
      <c r="Z108" s="1482"/>
      <c r="AA108" s="1456"/>
    </row>
    <row r="109" spans="5:27">
      <c r="E109" s="1652"/>
      <c r="H109" s="1460"/>
      <c r="I109" s="1466"/>
      <c r="J109" s="1470" t="s">
        <v>229</v>
      </c>
      <c r="K109" s="1460"/>
      <c r="L109" s="1467"/>
      <c r="M109" s="1467"/>
      <c r="N109" s="1461"/>
      <c r="O109" s="1460"/>
      <c r="P109" s="1463"/>
      <c r="Q109" s="1466"/>
      <c r="R109" s="1466"/>
      <c r="S109" s="1469" t="s">
        <v>229</v>
      </c>
      <c r="T109" s="1469" t="s">
        <v>229</v>
      </c>
      <c r="U109" s="1469" t="s">
        <v>229</v>
      </c>
      <c r="V109" s="1469" t="s">
        <v>229</v>
      </c>
      <c r="W109" s="1459" t="s">
        <v>229</v>
      </c>
      <c r="X109" s="1459" t="s">
        <v>229</v>
      </c>
      <c r="Y109" s="1459" t="s">
        <v>229</v>
      </c>
      <c r="Z109" s="1482"/>
      <c r="AA109" s="1456"/>
    </row>
    <row r="110" spans="5:27">
      <c r="E110" s="1652"/>
      <c r="H110" s="1460"/>
      <c r="I110" s="1466"/>
      <c r="J110" s="1470" t="s">
        <v>229</v>
      </c>
      <c r="K110" s="1460"/>
      <c r="L110" s="1467"/>
      <c r="M110" s="1467"/>
      <c r="N110" s="1461"/>
      <c r="O110" s="1460"/>
      <c r="P110" s="1463"/>
      <c r="Q110" s="1466"/>
      <c r="R110" s="1466"/>
      <c r="S110" s="1469" t="s">
        <v>229</v>
      </c>
      <c r="T110" s="1469" t="s">
        <v>229</v>
      </c>
      <c r="U110" s="1469" t="s">
        <v>229</v>
      </c>
      <c r="V110" s="1469" t="s">
        <v>229</v>
      </c>
      <c r="W110" s="1459" t="s">
        <v>229</v>
      </c>
      <c r="X110" s="1459" t="s">
        <v>229</v>
      </c>
      <c r="Y110" s="1459" t="s">
        <v>229</v>
      </c>
      <c r="Z110" s="1482"/>
      <c r="AA110" s="1456"/>
    </row>
    <row r="111" spans="5:27">
      <c r="E111" s="1652"/>
      <c r="H111" s="1460"/>
      <c r="I111" s="1466"/>
      <c r="J111" s="1470" t="s">
        <v>229</v>
      </c>
      <c r="K111" s="1460"/>
      <c r="L111" s="1467"/>
      <c r="M111" s="1467"/>
      <c r="N111" s="1461"/>
      <c r="O111" s="1460"/>
      <c r="P111" s="1463"/>
      <c r="Q111" s="1466"/>
      <c r="R111" s="1466"/>
      <c r="S111" s="1469" t="s">
        <v>229</v>
      </c>
      <c r="T111" s="1469" t="s">
        <v>229</v>
      </c>
      <c r="U111" s="1469" t="s">
        <v>229</v>
      </c>
      <c r="V111" s="1469" t="s">
        <v>229</v>
      </c>
      <c r="W111" s="1459" t="s">
        <v>229</v>
      </c>
      <c r="X111" s="1459" t="s">
        <v>229</v>
      </c>
      <c r="Y111" s="1459" t="s">
        <v>229</v>
      </c>
      <c r="Z111" s="1482"/>
      <c r="AA111" s="1456"/>
    </row>
    <row r="112" spans="5:27">
      <c r="E112" s="1652"/>
      <c r="H112" s="1460"/>
      <c r="I112" s="1466"/>
      <c r="J112" s="1470" t="s">
        <v>229</v>
      </c>
      <c r="K112" s="1460"/>
      <c r="L112" s="1467"/>
      <c r="M112" s="1467"/>
      <c r="N112" s="1461"/>
      <c r="O112" s="1460"/>
      <c r="P112" s="1463"/>
      <c r="Q112" s="1466"/>
      <c r="R112" s="1466"/>
      <c r="S112" s="1469" t="s">
        <v>229</v>
      </c>
      <c r="T112" s="1469" t="s">
        <v>229</v>
      </c>
      <c r="U112" s="1469" t="s">
        <v>229</v>
      </c>
      <c r="V112" s="1469" t="s">
        <v>229</v>
      </c>
      <c r="W112" s="1459" t="s">
        <v>229</v>
      </c>
      <c r="X112" s="1459" t="s">
        <v>229</v>
      </c>
      <c r="Y112" s="1459" t="s">
        <v>229</v>
      </c>
      <c r="Z112" s="1482"/>
      <c r="AA112" s="1456"/>
    </row>
    <row r="113" spans="5:27">
      <c r="E113" s="1652"/>
      <c r="H113" s="1460"/>
      <c r="I113" s="1466"/>
      <c r="J113" s="1470" t="s">
        <v>229</v>
      </c>
      <c r="K113" s="1460"/>
      <c r="L113" s="1467"/>
      <c r="M113" s="1467"/>
      <c r="N113" s="1461"/>
      <c r="O113" s="1460"/>
      <c r="P113" s="1463"/>
      <c r="Q113" s="1466"/>
      <c r="R113" s="1466"/>
      <c r="S113" s="1469" t="s">
        <v>229</v>
      </c>
      <c r="T113" s="1469" t="s">
        <v>229</v>
      </c>
      <c r="U113" s="1469" t="s">
        <v>229</v>
      </c>
      <c r="V113" s="1469" t="s">
        <v>229</v>
      </c>
      <c r="W113" s="1459" t="s">
        <v>229</v>
      </c>
      <c r="X113" s="1459" t="s">
        <v>229</v>
      </c>
      <c r="Y113" s="1459" t="s">
        <v>229</v>
      </c>
      <c r="Z113" s="1482"/>
      <c r="AA113" s="1456"/>
    </row>
    <row r="114" spans="5:27">
      <c r="E114" s="1652"/>
      <c r="H114" s="1460"/>
      <c r="I114" s="1466"/>
      <c r="J114" s="1470" t="s">
        <v>229</v>
      </c>
      <c r="K114" s="1460"/>
      <c r="L114" s="1467"/>
      <c r="M114" s="1467"/>
      <c r="N114" s="1461"/>
      <c r="O114" s="1460"/>
      <c r="P114" s="1463"/>
      <c r="Q114" s="1466"/>
      <c r="R114" s="1466"/>
      <c r="S114" s="1469" t="s">
        <v>229</v>
      </c>
      <c r="T114" s="1469" t="s">
        <v>229</v>
      </c>
      <c r="U114" s="1469" t="s">
        <v>229</v>
      </c>
      <c r="V114" s="1469" t="s">
        <v>229</v>
      </c>
      <c r="W114" s="1459" t="s">
        <v>229</v>
      </c>
      <c r="X114" s="1459" t="s">
        <v>229</v>
      </c>
      <c r="Y114" s="1459" t="s">
        <v>229</v>
      </c>
      <c r="Z114" s="1482"/>
      <c r="AA114" s="1456"/>
    </row>
    <row r="115" spans="5:27">
      <c r="H115" s="1460"/>
      <c r="I115" s="1466"/>
      <c r="J115" s="1470" t="s">
        <v>229</v>
      </c>
      <c r="K115" s="1460"/>
      <c r="L115" s="1467"/>
      <c r="M115" s="1467"/>
      <c r="N115" s="1461"/>
      <c r="O115" s="1460"/>
      <c r="P115" s="1463"/>
      <c r="Q115" s="1466"/>
      <c r="R115" s="1466"/>
      <c r="S115" s="1469" t="s">
        <v>229</v>
      </c>
      <c r="T115" s="1469" t="s">
        <v>229</v>
      </c>
      <c r="U115" s="1469" t="s">
        <v>229</v>
      </c>
      <c r="V115" s="1469" t="s">
        <v>229</v>
      </c>
      <c r="W115" s="1459" t="s">
        <v>229</v>
      </c>
      <c r="X115" s="1459" t="s">
        <v>229</v>
      </c>
      <c r="Y115" s="1459" t="s">
        <v>229</v>
      </c>
      <c r="Z115" s="1482"/>
      <c r="AA115" s="1456"/>
    </row>
    <row r="116" spans="5:27">
      <c r="H116" s="1460"/>
      <c r="I116" s="1466"/>
      <c r="J116" s="1470" t="s">
        <v>229</v>
      </c>
      <c r="K116" s="1460"/>
      <c r="L116" s="1467"/>
      <c r="M116" s="1467"/>
      <c r="N116" s="1461"/>
      <c r="O116" s="1460"/>
      <c r="P116" s="1463"/>
      <c r="Q116" s="1466"/>
      <c r="R116" s="1466"/>
      <c r="S116" s="1469" t="s">
        <v>229</v>
      </c>
      <c r="T116" s="1469" t="s">
        <v>229</v>
      </c>
      <c r="U116" s="1469" t="s">
        <v>229</v>
      </c>
      <c r="V116" s="1469" t="s">
        <v>229</v>
      </c>
      <c r="W116" s="1459" t="s">
        <v>229</v>
      </c>
      <c r="X116" s="1459" t="s">
        <v>229</v>
      </c>
      <c r="Y116" s="1459" t="s">
        <v>229</v>
      </c>
      <c r="Z116" s="1482"/>
      <c r="AA116" s="1456"/>
    </row>
    <row r="117" spans="5:27">
      <c r="H117" s="1460"/>
      <c r="I117" s="1466"/>
      <c r="J117" s="1470" t="s">
        <v>229</v>
      </c>
      <c r="K117" s="1460"/>
      <c r="L117" s="1467"/>
      <c r="M117" s="1467"/>
      <c r="N117" s="1461"/>
      <c r="O117" s="1460"/>
      <c r="P117" s="1463"/>
      <c r="Q117" s="1466"/>
      <c r="R117" s="1466"/>
      <c r="S117" s="1469" t="s">
        <v>229</v>
      </c>
      <c r="T117" s="1469" t="s">
        <v>229</v>
      </c>
      <c r="U117" s="1469" t="s">
        <v>229</v>
      </c>
      <c r="V117" s="1469" t="s">
        <v>229</v>
      </c>
      <c r="W117" s="1459" t="s">
        <v>229</v>
      </c>
      <c r="X117" s="1459" t="s">
        <v>229</v>
      </c>
      <c r="Y117" s="1459" t="s">
        <v>229</v>
      </c>
      <c r="Z117" s="1482"/>
      <c r="AA117" s="1456"/>
    </row>
    <row r="118" spans="5:27">
      <c r="H118" s="1460"/>
      <c r="I118" s="1466"/>
      <c r="J118" s="1470" t="s">
        <v>229</v>
      </c>
      <c r="K118" s="1460"/>
      <c r="L118" s="1467"/>
      <c r="M118" s="1467"/>
      <c r="N118" s="1461"/>
      <c r="O118" s="1460"/>
      <c r="P118" s="1463"/>
      <c r="Q118" s="1466"/>
      <c r="R118" s="1466"/>
      <c r="S118" s="1469" t="s">
        <v>229</v>
      </c>
      <c r="T118" s="1469" t="s">
        <v>229</v>
      </c>
      <c r="U118" s="1469" t="s">
        <v>229</v>
      </c>
      <c r="V118" s="1469" t="s">
        <v>229</v>
      </c>
      <c r="W118" s="1459" t="s">
        <v>229</v>
      </c>
      <c r="X118" s="1459" t="s">
        <v>229</v>
      </c>
      <c r="Y118" s="1459" t="s">
        <v>229</v>
      </c>
      <c r="Z118" s="1482"/>
      <c r="AA118" s="1456"/>
    </row>
    <row r="119" spans="5:27">
      <c r="H119" s="1460"/>
      <c r="I119" s="1466"/>
      <c r="J119" s="1470" t="s">
        <v>229</v>
      </c>
      <c r="K119" s="1460"/>
      <c r="L119" s="1467"/>
      <c r="M119" s="1467"/>
      <c r="N119" s="1461"/>
      <c r="O119" s="1460"/>
      <c r="P119" s="1463"/>
      <c r="Q119" s="1466"/>
      <c r="R119" s="1466"/>
      <c r="S119" s="1469" t="s">
        <v>229</v>
      </c>
      <c r="T119" s="1469" t="s">
        <v>229</v>
      </c>
      <c r="U119" s="1469" t="s">
        <v>229</v>
      </c>
      <c r="V119" s="1469" t="s">
        <v>229</v>
      </c>
      <c r="W119" s="1459" t="s">
        <v>229</v>
      </c>
      <c r="X119" s="1459" t="s">
        <v>229</v>
      </c>
      <c r="Y119" s="1459" t="s">
        <v>229</v>
      </c>
      <c r="Z119" s="1482"/>
      <c r="AA119" s="1456"/>
    </row>
    <row r="120" spans="5:27">
      <c r="H120" s="1460"/>
      <c r="I120" s="1466"/>
      <c r="J120" s="1470" t="s">
        <v>229</v>
      </c>
      <c r="K120" s="1460"/>
      <c r="L120" s="1467"/>
      <c r="M120" s="1467"/>
      <c r="N120" s="1461"/>
      <c r="O120" s="1460"/>
      <c r="P120" s="1463"/>
      <c r="Q120" s="1466"/>
      <c r="R120" s="1466"/>
      <c r="S120" s="1469" t="s">
        <v>229</v>
      </c>
      <c r="T120" s="1469" t="s">
        <v>229</v>
      </c>
      <c r="U120" s="1469" t="s">
        <v>229</v>
      </c>
      <c r="V120" s="1469" t="s">
        <v>229</v>
      </c>
      <c r="W120" s="1459" t="s">
        <v>229</v>
      </c>
      <c r="X120" s="1459" t="s">
        <v>229</v>
      </c>
      <c r="Y120" s="1459" t="s">
        <v>229</v>
      </c>
      <c r="Z120" s="1482"/>
      <c r="AA120" s="1456"/>
    </row>
    <row r="121" spans="5:27">
      <c r="H121" s="1460"/>
      <c r="I121" s="1466"/>
      <c r="J121" s="1470" t="s">
        <v>229</v>
      </c>
      <c r="K121" s="1460"/>
      <c r="L121" s="1467"/>
      <c r="M121" s="1467"/>
      <c r="N121" s="1461"/>
      <c r="O121" s="1460"/>
      <c r="P121" s="1463"/>
      <c r="Q121" s="1466"/>
      <c r="R121" s="1466"/>
      <c r="S121" s="1469" t="s">
        <v>229</v>
      </c>
      <c r="T121" s="1469" t="s">
        <v>229</v>
      </c>
      <c r="U121" s="1469" t="s">
        <v>229</v>
      </c>
      <c r="V121" s="1469" t="s">
        <v>229</v>
      </c>
      <c r="W121" s="1459" t="s">
        <v>229</v>
      </c>
      <c r="X121" s="1459" t="s">
        <v>229</v>
      </c>
      <c r="Y121" s="1459" t="s">
        <v>229</v>
      </c>
      <c r="Z121" s="1482"/>
      <c r="AA121" s="1456"/>
    </row>
    <row r="122" spans="5:27">
      <c r="H122" s="1460"/>
      <c r="I122" s="1466"/>
      <c r="J122" s="1470" t="s">
        <v>229</v>
      </c>
      <c r="K122" s="1460"/>
      <c r="L122" s="1467"/>
      <c r="M122" s="1467"/>
      <c r="N122" s="1461"/>
      <c r="O122" s="1460"/>
      <c r="P122" s="1463"/>
      <c r="Q122" s="1466"/>
      <c r="R122" s="1466"/>
      <c r="S122" s="1469" t="s">
        <v>229</v>
      </c>
      <c r="T122" s="1469" t="s">
        <v>229</v>
      </c>
      <c r="U122" s="1469" t="s">
        <v>229</v>
      </c>
      <c r="V122" s="1469" t="s">
        <v>229</v>
      </c>
      <c r="W122" s="1459" t="s">
        <v>229</v>
      </c>
      <c r="X122" s="1459" t="s">
        <v>229</v>
      </c>
      <c r="Y122" s="1459" t="s">
        <v>229</v>
      </c>
      <c r="Z122" s="1482"/>
      <c r="AA122" s="1456"/>
    </row>
    <row r="123" spans="5:27">
      <c r="H123" s="1460"/>
      <c r="I123" s="1466"/>
      <c r="J123" s="1470" t="s">
        <v>229</v>
      </c>
      <c r="K123" s="1460"/>
      <c r="L123" s="1467"/>
      <c r="M123" s="1467"/>
      <c r="N123" s="1461"/>
      <c r="O123" s="1460"/>
      <c r="P123" s="1463"/>
      <c r="Q123" s="1466"/>
      <c r="R123" s="1466"/>
      <c r="S123" s="1469" t="s">
        <v>229</v>
      </c>
      <c r="T123" s="1469" t="s">
        <v>229</v>
      </c>
      <c r="U123" s="1469" t="s">
        <v>229</v>
      </c>
      <c r="V123" s="1469" t="s">
        <v>229</v>
      </c>
      <c r="W123" s="1459" t="s">
        <v>229</v>
      </c>
      <c r="X123" s="1459" t="s">
        <v>229</v>
      </c>
      <c r="Y123" s="1459" t="s">
        <v>229</v>
      </c>
      <c r="Z123" s="1482"/>
      <c r="AA123" s="1456"/>
    </row>
    <row r="124" spans="5:27">
      <c r="H124" s="1460"/>
      <c r="I124" s="1466"/>
      <c r="J124" s="1470" t="s">
        <v>229</v>
      </c>
      <c r="K124" s="1460"/>
      <c r="L124" s="1467"/>
      <c r="M124" s="1467"/>
      <c r="N124" s="1461"/>
      <c r="O124" s="1460"/>
      <c r="P124" s="1463"/>
      <c r="Q124" s="1466"/>
      <c r="R124" s="1466"/>
      <c r="S124" s="1469" t="s">
        <v>229</v>
      </c>
      <c r="T124" s="1469" t="s">
        <v>229</v>
      </c>
      <c r="U124" s="1469" t="s">
        <v>229</v>
      </c>
      <c r="V124" s="1469" t="s">
        <v>229</v>
      </c>
      <c r="W124" s="1459" t="s">
        <v>229</v>
      </c>
      <c r="X124" s="1459" t="s">
        <v>229</v>
      </c>
      <c r="Y124" s="1459" t="s">
        <v>229</v>
      </c>
      <c r="Z124" s="1482"/>
      <c r="AA124" s="1456"/>
    </row>
    <row r="125" spans="5:27">
      <c r="H125" s="1460"/>
      <c r="I125" s="1466"/>
      <c r="J125" s="1470" t="s">
        <v>229</v>
      </c>
      <c r="K125" s="1460"/>
      <c r="L125" s="1467"/>
      <c r="M125" s="1467"/>
      <c r="N125" s="1461"/>
      <c r="O125" s="1460"/>
      <c r="P125" s="1463"/>
      <c r="Q125" s="1466"/>
      <c r="R125" s="1466"/>
      <c r="S125" s="1469" t="s">
        <v>229</v>
      </c>
      <c r="T125" s="1469" t="s">
        <v>229</v>
      </c>
      <c r="U125" s="1469" t="s">
        <v>229</v>
      </c>
      <c r="V125" s="1469" t="s">
        <v>229</v>
      </c>
      <c r="W125" s="1459" t="s">
        <v>229</v>
      </c>
      <c r="X125" s="1459" t="s">
        <v>229</v>
      </c>
      <c r="Y125" s="1459" t="s">
        <v>229</v>
      </c>
      <c r="Z125" s="1482"/>
      <c r="AA125" s="1456"/>
    </row>
    <row r="126" spans="5:27">
      <c r="H126" s="1460"/>
      <c r="I126" s="1466"/>
      <c r="J126" s="1470" t="s">
        <v>229</v>
      </c>
      <c r="K126" s="1460"/>
      <c r="L126" s="1467"/>
      <c r="M126" s="1467"/>
      <c r="N126" s="1461"/>
      <c r="O126" s="1460"/>
      <c r="P126" s="1463"/>
      <c r="Q126" s="1466"/>
      <c r="R126" s="1466"/>
      <c r="S126" s="1469" t="s">
        <v>229</v>
      </c>
      <c r="T126" s="1469" t="s">
        <v>229</v>
      </c>
      <c r="U126" s="1469" t="s">
        <v>229</v>
      </c>
      <c r="V126" s="1469" t="s">
        <v>229</v>
      </c>
      <c r="W126" s="1459" t="s">
        <v>229</v>
      </c>
      <c r="X126" s="1459" t="s">
        <v>229</v>
      </c>
      <c r="Y126" s="1459" t="s">
        <v>229</v>
      </c>
      <c r="Z126" s="1482"/>
      <c r="AA126" s="1456"/>
    </row>
    <row r="127" spans="5:27">
      <c r="H127" s="1460"/>
      <c r="I127" s="1466"/>
      <c r="J127" s="1470" t="s">
        <v>229</v>
      </c>
      <c r="K127" s="1460"/>
      <c r="L127" s="1467"/>
      <c r="M127" s="1467"/>
      <c r="N127" s="1461"/>
      <c r="O127" s="1460"/>
      <c r="P127" s="1463"/>
      <c r="Q127" s="1466"/>
      <c r="R127" s="1466"/>
      <c r="S127" s="1469" t="s">
        <v>229</v>
      </c>
      <c r="T127" s="1469" t="s">
        <v>229</v>
      </c>
      <c r="U127" s="1469" t="s">
        <v>229</v>
      </c>
      <c r="V127" s="1469" t="s">
        <v>229</v>
      </c>
      <c r="W127" s="1459" t="s">
        <v>229</v>
      </c>
      <c r="X127" s="1459" t="s">
        <v>229</v>
      </c>
      <c r="Y127" s="1459" t="s">
        <v>229</v>
      </c>
      <c r="Z127" s="1482"/>
      <c r="AA127" s="1456"/>
    </row>
    <row r="128" spans="5:27">
      <c r="H128" s="1460"/>
      <c r="I128" s="1466"/>
      <c r="J128" s="1470" t="s">
        <v>229</v>
      </c>
      <c r="K128" s="1460"/>
      <c r="L128" s="1467"/>
      <c r="M128" s="1467"/>
      <c r="N128" s="1461"/>
      <c r="O128" s="1460"/>
      <c r="P128" s="1463"/>
      <c r="Q128" s="1466"/>
      <c r="R128" s="1466"/>
      <c r="S128" s="1469" t="s">
        <v>229</v>
      </c>
      <c r="T128" s="1469" t="s">
        <v>229</v>
      </c>
      <c r="U128" s="1469" t="s">
        <v>229</v>
      </c>
      <c r="V128" s="1469" t="s">
        <v>229</v>
      </c>
      <c r="W128" s="1459" t="s">
        <v>229</v>
      </c>
      <c r="X128" s="1459" t="s">
        <v>229</v>
      </c>
      <c r="Y128" s="1459" t="s">
        <v>229</v>
      </c>
      <c r="Z128" s="1482"/>
      <c r="AA128" s="1456"/>
    </row>
  </sheetData>
  <customSheetViews>
    <customSheetView guid="{D9EFFE19-D14B-4C6F-BDF4-FF696F73968D}" showGridLines="0">
      <pane xSplit="1" ySplit="1" topLeftCell="C2" activePane="bottomRight" state="frozen"/>
      <selection pane="bottomRight" activeCell="L15" sqref="L15:M15"/>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13">
    <mergeCell ref="H73:P73"/>
    <mergeCell ref="H75:P75"/>
    <mergeCell ref="Q75:S75"/>
    <mergeCell ref="T75:V75"/>
    <mergeCell ref="W75:Y75"/>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rowBreaks count="1" manualBreakCount="1">
    <brk id="71" max="16383"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8DB4E3"/>
  </sheetPr>
  <dimension ref="A1:AA114"/>
  <sheetViews>
    <sheetView showGridLines="0" workbookViewId="0">
      <pane xSplit="1" ySplit="1" topLeftCell="B2" activePane="bottomRight" state="frozen"/>
      <selection pane="topRight" activeCell="B1" sqref="B1"/>
      <selection pane="bottomLeft" activeCell="A2" sqref="A2"/>
      <selection pane="bottomRight" activeCell="G17" sqref="G17"/>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622</v>
      </c>
      <c r="D1" s="1361" t="s">
        <v>262</v>
      </c>
      <c r="E1" s="1361" t="s">
        <v>5</v>
      </c>
      <c r="F1" s="1361">
        <v>18230722</v>
      </c>
      <c r="G1" s="1361" t="s">
        <v>4</v>
      </c>
      <c r="J1" s="1190"/>
      <c r="M1" s="1361" t="s">
        <v>622</v>
      </c>
      <c r="N1" s="1361" t="s">
        <v>262</v>
      </c>
      <c r="O1" s="1361" t="s">
        <v>5</v>
      </c>
      <c r="P1" s="1361">
        <v>18230722</v>
      </c>
      <c r="Q1" s="1361" t="s">
        <v>4</v>
      </c>
      <c r="V1" s="1361" t="s">
        <v>622</v>
      </c>
      <c r="W1" s="1361" t="s">
        <v>262</v>
      </c>
      <c r="X1" s="1361" t="s">
        <v>5</v>
      </c>
      <c r="Y1" s="1361">
        <v>18230722</v>
      </c>
      <c r="Z1" s="1361" t="s">
        <v>4</v>
      </c>
    </row>
    <row r="2" spans="1:27" ht="16.5" thickBot="1">
      <c r="C2" s="1190"/>
      <c r="D2" s="1177"/>
      <c r="I2" s="1178" t="s">
        <v>627</v>
      </c>
      <c r="S2" s="3575"/>
      <c r="T2" s="3575"/>
      <c r="U2" s="3576" t="s">
        <v>33</v>
      </c>
      <c r="V2" s="3577"/>
      <c r="W2" s="3578"/>
      <c r="X2" s="3579" t="s">
        <v>34</v>
      </c>
    </row>
    <row r="3" spans="1:27" ht="26.25" thickBot="1">
      <c r="A3" s="2143" t="s">
        <v>622</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0</v>
      </c>
      <c r="J4" s="2960">
        <f>D21</f>
        <v>0</v>
      </c>
      <c r="K4" s="2960">
        <f>D27</f>
        <v>0</v>
      </c>
      <c r="L4" s="2960">
        <f>D37</f>
        <v>0</v>
      </c>
      <c r="M4" s="2960">
        <f>D43</f>
        <v>0</v>
      </c>
      <c r="N4" s="2960">
        <f>D49</f>
        <v>0</v>
      </c>
      <c r="O4" s="2960">
        <f>D55</f>
        <v>0</v>
      </c>
      <c r="P4" s="2960">
        <f>D61</f>
        <v>0</v>
      </c>
      <c r="Q4" s="2960">
        <f>D67</f>
        <v>0</v>
      </c>
      <c r="R4" s="2960">
        <f>D68</f>
        <v>0</v>
      </c>
      <c r="S4" s="2961">
        <f>SUM(I4:R4)</f>
        <v>0</v>
      </c>
      <c r="T4" s="2962">
        <f>T15</f>
        <v>0</v>
      </c>
      <c r="U4" s="2954" t="e">
        <f>Q4/S4</f>
        <v>#DIV/0!</v>
      </c>
      <c r="V4" s="2954" t="e">
        <f>(L4+(J4*1.63))/S4</f>
        <v>#DIV/0!</v>
      </c>
      <c r="W4" s="2954" t="e">
        <f>N4/S4</f>
        <v>#DIV/0!</v>
      </c>
      <c r="X4" s="2953" t="e">
        <f>S4/T4</f>
        <v>#DIV/0!</v>
      </c>
    </row>
    <row r="5" spans="1:27" ht="16.5" thickBot="1">
      <c r="A5" s="2143"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row>
    <row r="6" spans="1:27" ht="16.5" thickBot="1">
      <c r="A6" s="2143">
        <v>18230722</v>
      </c>
      <c r="B6" s="2143"/>
      <c r="D6" s="1190"/>
      <c r="H6" s="3206" t="s">
        <v>1754</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c r="C22" s="1667"/>
      <c r="D22" s="2772"/>
      <c r="E22" s="1669"/>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622</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18230722</v>
      </c>
      <c r="C37" s="1597" t="s">
        <v>46</v>
      </c>
      <c r="D37" s="2771">
        <f>SUM(D38:D41)</f>
        <v>0</v>
      </c>
      <c r="E37" s="1464">
        <f>SUM(E38:E41)</f>
        <v>0</v>
      </c>
      <c r="F37" s="1638">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4</v>
      </c>
      <c r="C38" s="1667"/>
      <c r="D38" s="2778"/>
      <c r="E38" s="1672"/>
      <c r="F38" s="1661">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622</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18230722</v>
      </c>
      <c r="C67" s="1597" t="s">
        <v>50</v>
      </c>
      <c r="D67" s="2771">
        <f>W15</f>
        <v>0</v>
      </c>
      <c r="E67" s="1464">
        <f>X15*1.15</f>
        <v>0</v>
      </c>
      <c r="F67" s="1638">
        <f>D67+E67</f>
        <v>0</v>
      </c>
    </row>
    <row r="68" spans="1:27">
      <c r="A68" s="2143" t="s">
        <v>4</v>
      </c>
      <c r="C68" s="1500" t="s">
        <v>297</v>
      </c>
      <c r="D68" s="2781"/>
      <c r="E68" s="1496"/>
      <c r="F68" s="1499"/>
    </row>
    <row r="69" spans="1:27">
      <c r="A69" s="1663"/>
      <c r="C69" s="1501"/>
      <c r="D69" s="2782"/>
      <c r="E69" s="1497"/>
      <c r="F69" s="1498"/>
    </row>
    <row r="70" spans="1:27">
      <c r="A70" s="1663"/>
      <c r="C70" s="1494" t="s">
        <v>51</v>
      </c>
      <c r="D70" s="2778">
        <v>0</v>
      </c>
      <c r="E70" s="1671">
        <v>0</v>
      </c>
      <c r="F70" s="1491">
        <v>0</v>
      </c>
    </row>
    <row r="71" spans="1:27">
      <c r="D71" s="2767"/>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activeCell="E31" sqref="E31"/>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7" right="0.7" top="0.75" bottom="0.75" header="0.3" footer="0.3"/>
  <pageSetup paperSize="3" scale="45" orientation="landscape" horizontalDpi="1200" verticalDpi="1200" r:id="rId1"/>
  <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8DB4E3"/>
  </sheetPr>
  <dimension ref="A1:AB459"/>
  <sheetViews>
    <sheetView showGridLines="0" workbookViewId="0">
      <pane xSplit="1" ySplit="1" topLeftCell="B2" activePane="bottomRight" state="frozen"/>
      <selection pane="topRight" activeCell="B1" sqref="B1"/>
      <selection pane="bottomLeft" activeCell="A2" sqref="A2"/>
      <selection pane="bottomRight" activeCell="G8" sqref="G8"/>
    </sheetView>
  </sheetViews>
  <sheetFormatPr defaultRowHeight="12.75"/>
  <cols>
    <col min="1" max="1" width="17.42578125" customWidth="1"/>
    <col min="2" max="2" width="15.5703125" customWidth="1"/>
    <col min="3" max="3" width="27.28515625" customWidth="1"/>
    <col min="4" max="4" width="15.28515625" customWidth="1"/>
    <col min="5" max="5" width="15.28515625" style="2266" customWidth="1"/>
    <col min="6" max="7" width="15.28515625" customWidth="1"/>
    <col min="8" max="8" width="50.5703125" style="2209" customWidth="1"/>
    <col min="9" max="26" width="15.28515625" customWidth="1"/>
  </cols>
  <sheetData>
    <row r="1" spans="1:28" ht="54" customHeight="1" thickBot="1">
      <c r="C1" s="1380" t="s">
        <v>1463</v>
      </c>
      <c r="D1" s="1380" t="s">
        <v>262</v>
      </c>
      <c r="E1" s="3221" t="s">
        <v>5</v>
      </c>
      <c r="F1" s="1380">
        <v>18230521</v>
      </c>
      <c r="G1" s="1380" t="s">
        <v>4</v>
      </c>
      <c r="J1" s="1190"/>
      <c r="M1" s="3514" t="s">
        <v>1463</v>
      </c>
      <c r="N1" s="1380" t="s">
        <v>262</v>
      </c>
      <c r="O1" s="1380" t="s">
        <v>5</v>
      </c>
      <c r="P1" s="1380">
        <v>18230521</v>
      </c>
      <c r="Q1" s="1380" t="s">
        <v>4</v>
      </c>
      <c r="V1" s="3514" t="s">
        <v>1463</v>
      </c>
      <c r="W1" s="1380" t="s">
        <v>262</v>
      </c>
      <c r="X1" s="1380" t="s">
        <v>5</v>
      </c>
      <c r="Y1" s="1380">
        <v>18230521</v>
      </c>
      <c r="Z1" s="1380" t="s">
        <v>4</v>
      </c>
    </row>
    <row r="2" spans="1:28" ht="16.5" thickBot="1">
      <c r="C2" s="1190"/>
      <c r="D2" s="2265"/>
      <c r="G2" s="1652"/>
      <c r="H2"/>
      <c r="I2" s="2345" t="s">
        <v>627</v>
      </c>
      <c r="S2" s="2267"/>
      <c r="U2" s="2268" t="s">
        <v>33</v>
      </c>
      <c r="X2" s="2269" t="s">
        <v>34</v>
      </c>
    </row>
    <row r="3" spans="1:28" ht="26.25" thickBot="1">
      <c r="A3" s="3514" t="s">
        <v>1463</v>
      </c>
      <c r="B3" s="2276"/>
      <c r="G3" s="1652"/>
      <c r="H3"/>
      <c r="I3" s="2720" t="s">
        <v>7</v>
      </c>
      <c r="J3" s="2721" t="s">
        <v>8</v>
      </c>
      <c r="K3" s="2721" t="s">
        <v>9</v>
      </c>
      <c r="L3" s="2721" t="s">
        <v>10</v>
      </c>
      <c r="M3" s="2722" t="s">
        <v>482</v>
      </c>
      <c r="N3" s="2721" t="s">
        <v>11</v>
      </c>
      <c r="O3" s="2721" t="s">
        <v>12</v>
      </c>
      <c r="P3" s="2721" t="s">
        <v>13</v>
      </c>
      <c r="Q3" s="2721" t="s">
        <v>35</v>
      </c>
      <c r="R3" s="2721" t="s">
        <v>36</v>
      </c>
      <c r="S3" s="2721" t="s">
        <v>15</v>
      </c>
      <c r="T3" s="2723" t="s">
        <v>37</v>
      </c>
      <c r="U3" s="2724" t="s">
        <v>38</v>
      </c>
      <c r="V3" s="2724" t="s">
        <v>10</v>
      </c>
      <c r="W3" s="2725" t="s">
        <v>39</v>
      </c>
    </row>
    <row r="4" spans="1:28" ht="16.5" thickBot="1">
      <c r="A4" s="2276" t="s">
        <v>262</v>
      </c>
      <c r="B4" s="2276"/>
      <c r="C4" s="1190"/>
      <c r="G4" s="1652"/>
      <c r="H4" s="2946" t="s">
        <v>1726</v>
      </c>
      <c r="I4" s="2976">
        <f>D15</f>
        <v>19939.260000000002</v>
      </c>
      <c r="J4" s="2960">
        <f>D21</f>
        <v>0</v>
      </c>
      <c r="K4" s="2960">
        <f>D27</f>
        <v>13299.486420000003</v>
      </c>
      <c r="L4" s="2960">
        <f>D37</f>
        <v>0</v>
      </c>
      <c r="M4" s="2960">
        <f>D43</f>
        <v>0</v>
      </c>
      <c r="N4" s="2960">
        <f>D49</f>
        <v>10185</v>
      </c>
      <c r="O4" s="2960">
        <f>D55</f>
        <v>0</v>
      </c>
      <c r="P4" s="2960">
        <f>D61</f>
        <v>152775</v>
      </c>
      <c r="Q4" s="2960">
        <f>D67</f>
        <v>175731.375</v>
      </c>
      <c r="R4" s="2960">
        <f>D68</f>
        <v>0</v>
      </c>
      <c r="S4" s="2961">
        <f>SUM(I4:R4)</f>
        <v>371930.12141999998</v>
      </c>
      <c r="T4" s="2962">
        <f>T15</f>
        <v>1082872.5</v>
      </c>
      <c r="U4" s="2977">
        <f>Q4/S4</f>
        <v>0.47248492359013949</v>
      </c>
      <c r="V4" s="2977">
        <f>(L4+(J4*1.63))/S4</f>
        <v>0</v>
      </c>
      <c r="W4" s="2977">
        <f>N4/S4</f>
        <v>2.7384176256320596E-2</v>
      </c>
      <c r="X4" s="2956">
        <f>S4/T4</f>
        <v>0.3434662173247543</v>
      </c>
    </row>
    <row r="5" spans="1:28" ht="16.5" thickBot="1">
      <c r="A5" s="2276" t="s">
        <v>5</v>
      </c>
      <c r="C5" s="2265"/>
      <c r="G5" s="1652"/>
      <c r="H5" s="3205" t="s">
        <v>1753</v>
      </c>
      <c r="I5" s="2726">
        <v>20437.780000000002</v>
      </c>
      <c r="J5" s="2618">
        <v>0</v>
      </c>
      <c r="K5" s="2618">
        <v>13897.690400000003</v>
      </c>
      <c r="L5" s="2618">
        <v>0</v>
      </c>
      <c r="M5" s="2618">
        <v>0</v>
      </c>
      <c r="N5" s="2618">
        <v>10185</v>
      </c>
      <c r="O5" s="2618">
        <v>0</v>
      </c>
      <c r="P5" s="2618">
        <v>152775</v>
      </c>
      <c r="Q5" s="2618">
        <v>327270.625</v>
      </c>
      <c r="R5" s="2618">
        <v>0</v>
      </c>
      <c r="S5" s="2619">
        <v>524566.09539999999</v>
      </c>
      <c r="T5" s="2620">
        <v>1912897.5</v>
      </c>
      <c r="U5" s="2727">
        <f>Q5/S5</f>
        <v>0.62388825330093955</v>
      </c>
      <c r="V5" s="2727">
        <f>(L5+(J5*1.63))/S5</f>
        <v>0</v>
      </c>
      <c r="W5" s="2727">
        <f>N5/S5</f>
        <v>1.9416047070738685E-2</v>
      </c>
      <c r="X5" s="2278">
        <f>S5/T5</f>
        <v>0.27422592972179638</v>
      </c>
    </row>
    <row r="6" spans="1:28" ht="16.5" thickBot="1">
      <c r="A6" s="2276">
        <v>18230521</v>
      </c>
      <c r="B6" s="2276"/>
      <c r="D6" s="1190"/>
      <c r="G6" s="1652"/>
      <c r="H6" s="3206" t="s">
        <v>1754</v>
      </c>
      <c r="I6" s="2729">
        <f>E15</f>
        <v>20437.780000000002</v>
      </c>
      <c r="J6" s="2622">
        <f>E21</f>
        <v>0</v>
      </c>
      <c r="K6" s="2623">
        <f>E27</f>
        <v>18353.12644</v>
      </c>
      <c r="L6" s="2622">
        <f>E37</f>
        <v>0</v>
      </c>
      <c r="M6" s="2622">
        <f>E43</f>
        <v>0</v>
      </c>
      <c r="N6" s="2622">
        <f>E49</f>
        <v>10185</v>
      </c>
      <c r="O6" s="2622">
        <f>E55</f>
        <v>0</v>
      </c>
      <c r="P6" s="2622">
        <f>E61</f>
        <v>152775</v>
      </c>
      <c r="Q6" s="2622">
        <f>E67</f>
        <v>412054.92500000022</v>
      </c>
      <c r="R6" s="2622">
        <f>E68</f>
        <v>0</v>
      </c>
      <c r="S6" s="2624">
        <f>SUM(I6:R6)</f>
        <v>613805.83144000021</v>
      </c>
      <c r="T6" s="2625">
        <f>U15</f>
        <v>2880131.8429096136</v>
      </c>
      <c r="U6" s="2728">
        <f>Q6/S6</f>
        <v>0.67131151887773943</v>
      </c>
      <c r="V6" s="2728">
        <f>(L6+(J6*1.63))/S6</f>
        <v>0</v>
      </c>
      <c r="W6" s="2728">
        <f>N6/S6</f>
        <v>1.6593195239129277E-2</v>
      </c>
      <c r="X6" s="2636">
        <f>S6/T6</f>
        <v>0.21311726855528645</v>
      </c>
    </row>
    <row r="7" spans="1:28" ht="15.75">
      <c r="A7" s="2276" t="s">
        <v>4</v>
      </c>
      <c r="B7" s="2276"/>
      <c r="D7" s="1190"/>
      <c r="G7" s="2632"/>
      <c r="H7" s="2719"/>
      <c r="I7" s="2607"/>
      <c r="J7" s="2607"/>
      <c r="K7" s="2607"/>
      <c r="L7" s="2607"/>
      <c r="M7" s="2607"/>
      <c r="N7" s="2607"/>
      <c r="O7" s="2607"/>
      <c r="P7" s="2607"/>
      <c r="Q7" s="2607"/>
      <c r="R7" s="2607"/>
      <c r="S7" s="2608"/>
      <c r="T7" s="2633"/>
      <c r="U7" s="2633"/>
      <c r="V7" s="2633"/>
      <c r="W7" s="2634"/>
    </row>
    <row r="8" spans="1:28" ht="15.75">
      <c r="A8" s="2266"/>
      <c r="B8" s="2276"/>
      <c r="D8" s="1190"/>
    </row>
    <row r="9" spans="1:28" ht="15.75">
      <c r="A9" s="2276"/>
      <c r="B9" s="2276"/>
      <c r="D9" s="1190"/>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B9" s="1652"/>
    </row>
    <row r="10" spans="1:28">
      <c r="A10" s="2276"/>
      <c r="B10" s="2276"/>
      <c r="C10" s="2279" t="s">
        <v>310</v>
      </c>
      <c r="D10" s="2279"/>
      <c r="E10" s="2321"/>
      <c r="F10" s="2279"/>
      <c r="H10" s="2280" t="s">
        <v>300</v>
      </c>
      <c r="Q10" s="2279"/>
      <c r="R10" s="2279"/>
      <c r="S10" s="2279"/>
      <c r="T10" s="2279"/>
      <c r="U10" s="2279"/>
      <c r="V10" s="2279"/>
      <c r="W10" s="2280" t="s">
        <v>300</v>
      </c>
      <c r="X10" s="2279"/>
      <c r="Y10" s="2279"/>
      <c r="Z10" s="2280" t="s">
        <v>300</v>
      </c>
      <c r="AA10" s="2279"/>
    </row>
    <row r="11" spans="1:28">
      <c r="A11" s="2276"/>
      <c r="B11" s="2276"/>
      <c r="H11" s="2346"/>
      <c r="I11" s="2282"/>
      <c r="J11" s="2282"/>
      <c r="K11" s="2281"/>
      <c r="L11" s="2281"/>
      <c r="M11" s="2281"/>
      <c r="N11" s="2281"/>
      <c r="O11" s="2281"/>
      <c r="P11" s="2281"/>
      <c r="Q11" s="2281"/>
      <c r="R11" s="2281"/>
      <c r="S11" s="2281"/>
      <c r="T11" s="2281"/>
      <c r="U11" s="2281"/>
      <c r="V11" s="2281"/>
      <c r="W11" s="2281"/>
      <c r="X11" s="2281"/>
      <c r="Y11" s="2281"/>
      <c r="Z11" s="2281"/>
      <c r="AA11" s="2281"/>
    </row>
    <row r="12" spans="1:28">
      <c r="A12" s="2276"/>
      <c r="B12" s="2276"/>
      <c r="C12" s="2283" t="s">
        <v>298</v>
      </c>
      <c r="D12" s="2881">
        <f>D15+D21+D27+D37+D43+D49+D55+D61+D67</f>
        <v>371930.12141999998</v>
      </c>
      <c r="E12" s="2322">
        <f>E15+E21+E27+E37+E43+E49+E55+E61+E67</f>
        <v>613805.83144000021</v>
      </c>
      <c r="F12" s="2284">
        <f>D12+E12</f>
        <v>985735.95286000019</v>
      </c>
      <c r="H12" s="2347" t="s">
        <v>301</v>
      </c>
      <c r="Q12" s="2286" t="s">
        <v>40</v>
      </c>
      <c r="T12" s="2287" t="s">
        <v>41</v>
      </c>
      <c r="W12" s="2288" t="s">
        <v>52</v>
      </c>
      <c r="Z12" s="3567" t="s">
        <v>1728</v>
      </c>
      <c r="AA12" s="2281"/>
    </row>
    <row r="13" spans="1:28">
      <c r="C13" s="2289"/>
      <c r="D13" s="2767"/>
      <c r="E13" s="2323"/>
      <c r="H13" s="2348" t="s">
        <v>302</v>
      </c>
      <c r="I13" s="2290" t="s">
        <v>228</v>
      </c>
      <c r="J13" s="2290" t="s">
        <v>303</v>
      </c>
      <c r="K13" s="2290" t="s">
        <v>304</v>
      </c>
      <c r="L13" s="2290" t="s">
        <v>53</v>
      </c>
      <c r="M13" s="2290" t="s">
        <v>54</v>
      </c>
      <c r="N13" s="2290" t="s">
        <v>305</v>
      </c>
      <c r="O13" s="2290" t="s">
        <v>55</v>
      </c>
      <c r="P13" s="2290" t="s">
        <v>56</v>
      </c>
      <c r="Q13" s="2291">
        <v>2016</v>
      </c>
      <c r="R13" s="2291">
        <v>2017</v>
      </c>
      <c r="S13" s="2291" t="s">
        <v>306</v>
      </c>
      <c r="T13" s="2292">
        <v>2016</v>
      </c>
      <c r="U13" s="2292">
        <v>2017</v>
      </c>
      <c r="V13" s="2292" t="s">
        <v>306</v>
      </c>
      <c r="W13" s="2293">
        <v>2016</v>
      </c>
      <c r="X13" s="2293">
        <v>2017</v>
      </c>
      <c r="Y13" s="2293" t="s">
        <v>306</v>
      </c>
      <c r="Z13" s="3567"/>
      <c r="AA13" s="2281"/>
    </row>
    <row r="14" spans="1:28" ht="15.75">
      <c r="C14" s="1435" t="s">
        <v>42</v>
      </c>
      <c r="D14" s="2882">
        <v>2016</v>
      </c>
      <c r="E14" s="2294">
        <v>2017</v>
      </c>
      <c r="F14" s="2295" t="s">
        <v>20</v>
      </c>
      <c r="H14" s="2349" t="s">
        <v>307</v>
      </c>
      <c r="I14" s="2296" t="s">
        <v>307</v>
      </c>
      <c r="J14" s="2290"/>
      <c r="K14" s="2296" t="s">
        <v>307</v>
      </c>
      <c r="L14" s="2296" t="s">
        <v>307</v>
      </c>
      <c r="M14" s="2296" t="s">
        <v>307</v>
      </c>
      <c r="N14" s="2296" t="s">
        <v>307</v>
      </c>
      <c r="O14" s="2296" t="s">
        <v>307</v>
      </c>
      <c r="P14" s="2296" t="s">
        <v>307</v>
      </c>
      <c r="Q14" s="2296" t="s">
        <v>307</v>
      </c>
      <c r="R14" s="2296" t="s">
        <v>307</v>
      </c>
      <c r="S14" s="2291"/>
      <c r="T14" s="2292"/>
      <c r="U14" s="2292"/>
      <c r="V14" s="2292"/>
      <c r="W14" s="2293"/>
      <c r="X14" s="2293"/>
      <c r="Y14" s="2293"/>
      <c r="Z14" s="2338"/>
      <c r="AA14" s="2281"/>
    </row>
    <row r="15" spans="1:28">
      <c r="B15" s="2297" t="s">
        <v>296</v>
      </c>
      <c r="C15" s="2298" t="s">
        <v>43</v>
      </c>
      <c r="D15" s="2883">
        <f>SUM(D16:D19)</f>
        <v>19939.260000000002</v>
      </c>
      <c r="E15" s="2324">
        <f>SUM(E16:E19)</f>
        <v>20437.780000000002</v>
      </c>
      <c r="F15" s="2284">
        <f>D15+E15</f>
        <v>40377.040000000008</v>
      </c>
      <c r="H15" s="2350" t="s">
        <v>308</v>
      </c>
      <c r="I15" s="2300"/>
      <c r="J15" s="2300"/>
      <c r="K15" s="2301"/>
      <c r="L15" s="2302">
        <f>SUMPRODUCT(L16:L120,S16:S120)</f>
        <v>0</v>
      </c>
      <c r="M15" s="2302">
        <f>SUM(M16:M120)</f>
        <v>57363.704999999987</v>
      </c>
      <c r="N15" s="2303" t="s">
        <v>229</v>
      </c>
      <c r="O15" s="2301">
        <v>7</v>
      </c>
      <c r="P15" s="2301"/>
      <c r="Q15" s="2301"/>
      <c r="R15" s="2301"/>
      <c r="S15" s="2301"/>
      <c r="T15" s="2996">
        <v>1082872.5</v>
      </c>
      <c r="U15" s="2304">
        <f>SUM(U16:U341)</f>
        <v>2880131.8429096136</v>
      </c>
      <c r="V15" s="2304">
        <f>SUM(V16:V341)</f>
        <v>0</v>
      </c>
      <c r="W15" s="3001">
        <v>175731.375</v>
      </c>
      <c r="X15" s="2302">
        <f>SUM(X16:X341)</f>
        <v>412054.92500000022</v>
      </c>
      <c r="Y15" s="2302">
        <f>SUM(Y16:Y341)</f>
        <v>0</v>
      </c>
      <c r="Z15" s="2301">
        <v>0</v>
      </c>
      <c r="AA15" s="2281"/>
    </row>
    <row r="16" spans="1:28">
      <c r="B16" s="2305">
        <v>0.17</v>
      </c>
      <c r="C16" s="2306" t="s">
        <v>735</v>
      </c>
      <c r="D16" s="2794">
        <v>15407.61</v>
      </c>
      <c r="E16" s="2325">
        <v>15792.830000000002</v>
      </c>
      <c r="F16" s="2307">
        <f>SUM(D16:E16)</f>
        <v>31200.440000000002</v>
      </c>
      <c r="H16" s="2351" t="s">
        <v>1399</v>
      </c>
      <c r="I16" s="2229">
        <v>20</v>
      </c>
      <c r="J16" s="2226" t="s">
        <v>110</v>
      </c>
      <c r="K16" s="2224" t="s">
        <v>845</v>
      </c>
      <c r="L16" s="2227">
        <v>5.67</v>
      </c>
      <c r="M16" s="2227">
        <v>5.67</v>
      </c>
      <c r="N16" s="2250">
        <v>1.7947843566595473E-4</v>
      </c>
      <c r="O16" s="2224">
        <v>4</v>
      </c>
      <c r="P16" s="2225" t="s">
        <v>1426</v>
      </c>
      <c r="Q16" s="2229"/>
      <c r="R16" s="2229">
        <v>10</v>
      </c>
      <c r="S16" s="2228"/>
      <c r="T16" s="2997"/>
      <c r="U16" s="2228">
        <f>I16*R16</f>
        <v>200</v>
      </c>
      <c r="V16" s="2228"/>
      <c r="W16" s="2999"/>
      <c r="X16" s="2230">
        <f t="shared" ref="X16:X47" si="0">M16*R16</f>
        <v>56.7</v>
      </c>
      <c r="Y16" s="2230"/>
      <c r="Z16" s="2256">
        <v>0</v>
      </c>
      <c r="AA16" s="2281"/>
    </row>
    <row r="17" spans="2:27">
      <c r="B17" s="2305">
        <v>0.05</v>
      </c>
      <c r="C17" s="2306" t="s">
        <v>734</v>
      </c>
      <c r="D17" s="2791">
        <v>4531.6500000000005</v>
      </c>
      <c r="E17" s="2326">
        <v>4644.95</v>
      </c>
      <c r="F17" s="2342">
        <f>SUM(D17:E17)</f>
        <v>9176.6</v>
      </c>
      <c r="H17" s="2351" t="s">
        <v>1400</v>
      </c>
      <c r="I17" s="2229">
        <v>20</v>
      </c>
      <c r="J17" s="2226" t="s">
        <v>110</v>
      </c>
      <c r="K17" s="2224" t="s">
        <v>845</v>
      </c>
      <c r="L17" s="2227">
        <v>2.12</v>
      </c>
      <c r="M17" s="2227">
        <v>2.12</v>
      </c>
      <c r="N17" s="2250">
        <v>1.7947843566595473E-4</v>
      </c>
      <c r="O17" s="2224">
        <v>4</v>
      </c>
      <c r="P17" s="2225" t="s">
        <v>1426</v>
      </c>
      <c r="Q17" s="2229"/>
      <c r="R17" s="2229">
        <v>10</v>
      </c>
      <c r="S17" s="2228"/>
      <c r="T17" s="2997"/>
      <c r="U17" s="2228">
        <f t="shared" ref="U17:U47" si="1">I17*R17</f>
        <v>200</v>
      </c>
      <c r="V17" s="2228"/>
      <c r="W17" s="2999"/>
      <c r="X17" s="2230">
        <f t="shared" si="0"/>
        <v>21.200000000000003</v>
      </c>
      <c r="Y17" s="2230"/>
      <c r="Z17" s="2256">
        <v>0</v>
      </c>
      <c r="AA17" s="2281"/>
    </row>
    <row r="18" spans="2:27">
      <c r="B18" s="2305"/>
      <c r="C18" s="2306"/>
      <c r="D18" s="2791"/>
      <c r="E18" s="2326"/>
      <c r="F18" s="2342">
        <f>SUM(D18:E18)</f>
        <v>0</v>
      </c>
      <c r="H18" s="2351" t="s">
        <v>1401</v>
      </c>
      <c r="I18" s="2229">
        <v>18</v>
      </c>
      <c r="J18" s="2226" t="s">
        <v>110</v>
      </c>
      <c r="K18" s="2224" t="s">
        <v>845</v>
      </c>
      <c r="L18" s="2227">
        <v>12.33</v>
      </c>
      <c r="M18" s="2227">
        <v>12.33</v>
      </c>
      <c r="N18" s="2250">
        <v>1.6153059209935927E-4</v>
      </c>
      <c r="O18" s="2224">
        <v>5</v>
      </c>
      <c r="P18" s="2225" t="s">
        <v>1426</v>
      </c>
      <c r="Q18" s="2229"/>
      <c r="R18" s="2229">
        <v>10</v>
      </c>
      <c r="S18" s="2228"/>
      <c r="T18" s="2997"/>
      <c r="U18" s="2228">
        <f t="shared" si="1"/>
        <v>180</v>
      </c>
      <c r="V18" s="2228"/>
      <c r="W18" s="2999"/>
      <c r="X18" s="2230">
        <f t="shared" si="0"/>
        <v>123.3</v>
      </c>
      <c r="Y18" s="2230"/>
      <c r="Z18" s="2256">
        <v>0</v>
      </c>
      <c r="AA18" s="2281"/>
    </row>
    <row r="19" spans="2:27">
      <c r="B19" s="2305"/>
      <c r="C19" s="2306"/>
      <c r="D19" s="2884"/>
      <c r="E19" s="2327"/>
      <c r="F19" s="2342">
        <f>SUM(D19:E19)</f>
        <v>0</v>
      </c>
      <c r="H19" s="2351" t="s">
        <v>1402</v>
      </c>
      <c r="I19" s="2229">
        <v>106</v>
      </c>
      <c r="J19" s="2226" t="s">
        <v>110</v>
      </c>
      <c r="K19" s="2224" t="s">
        <v>845</v>
      </c>
      <c r="L19" s="2227">
        <v>3.92</v>
      </c>
      <c r="M19" s="2227">
        <v>3.92</v>
      </c>
      <c r="N19" s="2250">
        <v>9.5123570902956014E-4</v>
      </c>
      <c r="O19" s="2224">
        <v>5</v>
      </c>
      <c r="P19" s="2225" t="s">
        <v>1426</v>
      </c>
      <c r="Q19" s="2229"/>
      <c r="R19" s="2229">
        <v>10</v>
      </c>
      <c r="S19" s="2228"/>
      <c r="T19" s="2997"/>
      <c r="U19" s="2228">
        <f t="shared" si="1"/>
        <v>1060</v>
      </c>
      <c r="V19" s="2228"/>
      <c r="W19" s="2999"/>
      <c r="X19" s="2230">
        <f t="shared" si="0"/>
        <v>39.200000000000003</v>
      </c>
      <c r="Y19" s="2230"/>
      <c r="Z19" s="2256">
        <v>0</v>
      </c>
      <c r="AA19" s="2281"/>
    </row>
    <row r="20" spans="2:27">
      <c r="B20" s="1449">
        <f>SUM(B16:B19)</f>
        <v>0.22000000000000003</v>
      </c>
      <c r="C20" s="2308"/>
      <c r="D20" s="2885"/>
      <c r="E20" s="2328"/>
      <c r="F20" s="2309"/>
      <c r="H20" s="2351" t="s">
        <v>1403</v>
      </c>
      <c r="I20" s="2229">
        <v>110</v>
      </c>
      <c r="J20" s="2226" t="s">
        <v>110</v>
      </c>
      <c r="K20" s="2224" t="s">
        <v>845</v>
      </c>
      <c r="L20" s="2227">
        <v>13.67</v>
      </c>
      <c r="M20" s="2227">
        <v>13.67</v>
      </c>
      <c r="N20" s="2250">
        <v>9.8713139616275107E-4</v>
      </c>
      <c r="O20" s="2224">
        <v>5</v>
      </c>
      <c r="P20" s="2225" t="s">
        <v>1426</v>
      </c>
      <c r="Q20" s="2229"/>
      <c r="R20" s="2229">
        <v>10</v>
      </c>
      <c r="S20" s="2228"/>
      <c r="T20" s="2997"/>
      <c r="U20" s="2228">
        <f t="shared" si="1"/>
        <v>1100</v>
      </c>
      <c r="V20" s="2228"/>
      <c r="W20" s="2999"/>
      <c r="X20" s="2230">
        <f t="shared" si="0"/>
        <v>136.69999999999999</v>
      </c>
      <c r="Y20" s="2230"/>
      <c r="Z20" s="2256">
        <v>0</v>
      </c>
      <c r="AA20" s="2281"/>
    </row>
    <row r="21" spans="2:27">
      <c r="B21" s="2297" t="s">
        <v>296</v>
      </c>
      <c r="C21" s="2298" t="s">
        <v>44</v>
      </c>
      <c r="D21" s="2883">
        <f>SUM(D22:D25)</f>
        <v>0</v>
      </c>
      <c r="E21" s="2324">
        <f>SUM(E22:E25)</f>
        <v>0</v>
      </c>
      <c r="F21" s="2284">
        <f>D21+E21</f>
        <v>0</v>
      </c>
      <c r="H21" s="2351" t="s">
        <v>1404</v>
      </c>
      <c r="I21" s="2229">
        <v>53</v>
      </c>
      <c r="J21" s="2226" t="s">
        <v>110</v>
      </c>
      <c r="K21" s="2224" t="s">
        <v>845</v>
      </c>
      <c r="L21" s="2227">
        <v>18</v>
      </c>
      <c r="M21" s="2227">
        <v>18</v>
      </c>
      <c r="N21" s="2250">
        <v>4.7561785451478007E-4</v>
      </c>
      <c r="O21" s="2224">
        <v>8</v>
      </c>
      <c r="P21" s="2225" t="s">
        <v>1426</v>
      </c>
      <c r="Q21" s="2229"/>
      <c r="R21" s="2229">
        <v>10</v>
      </c>
      <c r="S21" s="2228"/>
      <c r="T21" s="2997"/>
      <c r="U21" s="2228">
        <f t="shared" si="1"/>
        <v>530</v>
      </c>
      <c r="V21" s="2228"/>
      <c r="W21" s="2999"/>
      <c r="X21" s="2230">
        <f>M21*R21</f>
        <v>180</v>
      </c>
      <c r="Y21" s="2230"/>
      <c r="Z21" s="2256">
        <v>0</v>
      </c>
      <c r="AA21" s="2281"/>
    </row>
    <row r="22" spans="2:27">
      <c r="B22" s="2305">
        <f>(SUM(D22:E22)/2)/((80000+(80000*1.025))/2)</f>
        <v>0</v>
      </c>
      <c r="C22" s="2306"/>
      <c r="D22" s="2794"/>
      <c r="E22" s="2325"/>
      <c r="F22" s="2307">
        <f>SUM(D22:E22)</f>
        <v>0</v>
      </c>
      <c r="H22" s="2351" t="s">
        <v>1405</v>
      </c>
      <c r="I22" s="2229">
        <v>46</v>
      </c>
      <c r="J22" s="2226" t="s">
        <v>110</v>
      </c>
      <c r="K22" s="2224" t="s">
        <v>845</v>
      </c>
      <c r="L22" s="2227">
        <v>50</v>
      </c>
      <c r="M22" s="2227">
        <v>50</v>
      </c>
      <c r="N22" s="2250">
        <v>4.1280040203169592E-4</v>
      </c>
      <c r="O22" s="2224">
        <v>10</v>
      </c>
      <c r="P22" s="2225" t="s">
        <v>1426</v>
      </c>
      <c r="Q22" s="2229"/>
      <c r="R22" s="2229">
        <v>10</v>
      </c>
      <c r="S22" s="2228"/>
      <c r="T22" s="2997"/>
      <c r="U22" s="2228">
        <f t="shared" si="1"/>
        <v>460</v>
      </c>
      <c r="V22" s="2228"/>
      <c r="W22" s="2999"/>
      <c r="X22" s="2230">
        <f t="shared" si="0"/>
        <v>500</v>
      </c>
      <c r="Y22" s="2230"/>
      <c r="Z22" s="2256">
        <v>0</v>
      </c>
      <c r="AA22" s="2281"/>
    </row>
    <row r="23" spans="2:27">
      <c r="B23" s="2305"/>
      <c r="C23" s="2306"/>
      <c r="D23" s="2886"/>
      <c r="E23" s="2330"/>
      <c r="F23" s="2342">
        <f>SUM(D23:E23)</f>
        <v>0</v>
      </c>
      <c r="H23" s="2351" t="s">
        <v>1406</v>
      </c>
      <c r="I23" s="2229">
        <v>26</v>
      </c>
      <c r="J23" s="2226" t="s">
        <v>110</v>
      </c>
      <c r="K23" s="2224" t="s">
        <v>845</v>
      </c>
      <c r="L23" s="2227">
        <v>3.25</v>
      </c>
      <c r="M23" s="2227">
        <v>3.25</v>
      </c>
      <c r="N23" s="2250">
        <v>2.3332196636574116E-4</v>
      </c>
      <c r="O23" s="2224">
        <v>5</v>
      </c>
      <c r="P23" s="2225" t="s">
        <v>1426</v>
      </c>
      <c r="Q23" s="2229"/>
      <c r="R23" s="2229">
        <v>10</v>
      </c>
      <c r="S23" s="2228"/>
      <c r="T23" s="2997"/>
      <c r="U23" s="2228">
        <f t="shared" si="1"/>
        <v>260</v>
      </c>
      <c r="V23" s="2228"/>
      <c r="W23" s="2999"/>
      <c r="X23" s="2230">
        <f t="shared" si="0"/>
        <v>32.5</v>
      </c>
      <c r="Y23" s="2230"/>
      <c r="Z23" s="2256">
        <v>0</v>
      </c>
      <c r="AA23" s="2281"/>
    </row>
    <row r="24" spans="2:27">
      <c r="B24" s="2305"/>
      <c r="C24" s="2306"/>
      <c r="D24" s="2887"/>
      <c r="E24" s="2331"/>
      <c r="F24" s="2342">
        <f>SUM(D24:E24)</f>
        <v>0</v>
      </c>
      <c r="H24" s="2351" t="s">
        <v>1407</v>
      </c>
      <c r="I24" s="2229">
        <v>59</v>
      </c>
      <c r="J24" s="2226" t="s">
        <v>110</v>
      </c>
      <c r="K24" s="2224" t="s">
        <v>845</v>
      </c>
      <c r="L24" s="2227">
        <v>25.53</v>
      </c>
      <c r="M24" s="2227">
        <v>25.53</v>
      </c>
      <c r="N24" s="2250">
        <v>5.2946138521456647E-4</v>
      </c>
      <c r="O24" s="2224">
        <v>5</v>
      </c>
      <c r="P24" s="2225" t="s">
        <v>1426</v>
      </c>
      <c r="Q24" s="2229"/>
      <c r="R24" s="2229">
        <v>10</v>
      </c>
      <c r="S24" s="2228"/>
      <c r="T24" s="2997"/>
      <c r="U24" s="2228">
        <f t="shared" si="1"/>
        <v>590</v>
      </c>
      <c r="V24" s="2228"/>
      <c r="W24" s="2999"/>
      <c r="X24" s="2230">
        <f t="shared" si="0"/>
        <v>255.3</v>
      </c>
      <c r="Y24" s="2230"/>
      <c r="Z24" s="2256">
        <v>0</v>
      </c>
      <c r="AA24" s="2281"/>
    </row>
    <row r="25" spans="2:27">
      <c r="B25" s="2305"/>
      <c r="C25" s="2306"/>
      <c r="D25" s="2888"/>
      <c r="E25" s="2330"/>
      <c r="F25" s="2342">
        <f>SUM(D25:E25)</f>
        <v>0</v>
      </c>
      <c r="H25" s="2351" t="s">
        <v>1408</v>
      </c>
      <c r="I25" s="2229">
        <v>4</v>
      </c>
      <c r="J25" s="2226" t="s">
        <v>110</v>
      </c>
      <c r="K25" s="2224" t="s">
        <v>845</v>
      </c>
      <c r="L25" s="2227">
        <v>4.17</v>
      </c>
      <c r="M25" s="2227">
        <v>4.17</v>
      </c>
      <c r="N25" s="2250">
        <v>3.5895687133190944E-5</v>
      </c>
      <c r="O25" s="2224">
        <v>15</v>
      </c>
      <c r="P25" s="2225" t="s">
        <v>1426</v>
      </c>
      <c r="Q25" s="2229"/>
      <c r="R25" s="2229">
        <v>10</v>
      </c>
      <c r="S25" s="2228"/>
      <c r="T25" s="2997"/>
      <c r="U25" s="2228">
        <f t="shared" si="1"/>
        <v>40</v>
      </c>
      <c r="V25" s="2228"/>
      <c r="W25" s="2999"/>
      <c r="X25" s="2230">
        <f t="shared" si="0"/>
        <v>41.7</v>
      </c>
      <c r="Y25" s="2230"/>
      <c r="Z25" s="2256">
        <v>0</v>
      </c>
      <c r="AA25" s="2281"/>
    </row>
    <row r="26" spans="2:27">
      <c r="B26" s="1449">
        <f>SUM(B22:B25)</f>
        <v>0</v>
      </c>
      <c r="C26" s="2311"/>
      <c r="D26" s="2889"/>
      <c r="E26" s="2332"/>
      <c r="F26" s="2312"/>
      <c r="H26" s="2351" t="s">
        <v>1409</v>
      </c>
      <c r="I26" s="2229">
        <v>4</v>
      </c>
      <c r="J26" s="2226" t="s">
        <v>110</v>
      </c>
      <c r="K26" s="2224" t="s">
        <v>845</v>
      </c>
      <c r="L26" s="2227">
        <v>6.5</v>
      </c>
      <c r="M26" s="2227">
        <v>6.5</v>
      </c>
      <c r="N26" s="2250">
        <v>3.5895687133190944E-5</v>
      </c>
      <c r="O26" s="2224">
        <v>10</v>
      </c>
      <c r="P26" s="2225" t="s">
        <v>1426</v>
      </c>
      <c r="Q26" s="2229"/>
      <c r="R26" s="2229">
        <v>10</v>
      </c>
      <c r="S26" s="2228"/>
      <c r="T26" s="2997"/>
      <c r="U26" s="2228">
        <f t="shared" si="1"/>
        <v>40</v>
      </c>
      <c r="V26" s="2228"/>
      <c r="W26" s="2999"/>
      <c r="X26" s="2230">
        <f t="shared" si="0"/>
        <v>65</v>
      </c>
      <c r="Y26" s="2230"/>
      <c r="Z26" s="2256">
        <v>0</v>
      </c>
      <c r="AA26" s="2281"/>
    </row>
    <row r="27" spans="2:27">
      <c r="C27" s="1597" t="s">
        <v>1737</v>
      </c>
      <c r="D27" s="2883">
        <f>SUM(D29:D35)</f>
        <v>13299.486420000003</v>
      </c>
      <c r="E27" s="3012">
        <f>SUM(E29:E31)+SUM(E33:E35)</f>
        <v>18353.12644</v>
      </c>
      <c r="F27" s="2284">
        <f>D27+E27</f>
        <v>31652.612860000001</v>
      </c>
      <c r="H27" s="2351" t="s">
        <v>1410</v>
      </c>
      <c r="I27" s="2229">
        <v>856</v>
      </c>
      <c r="J27" s="2226" t="s">
        <v>110</v>
      </c>
      <c r="K27" s="2224" t="s">
        <v>845</v>
      </c>
      <c r="L27" s="2227">
        <v>250</v>
      </c>
      <c r="M27" s="2227">
        <v>250</v>
      </c>
      <c r="N27" s="2250">
        <v>7.6816770465028628E-3</v>
      </c>
      <c r="O27" s="2224">
        <v>8</v>
      </c>
      <c r="P27" s="2225" t="s">
        <v>1426</v>
      </c>
      <c r="Q27" s="2229"/>
      <c r="R27" s="2229">
        <v>10</v>
      </c>
      <c r="S27" s="2228"/>
      <c r="T27" s="2997"/>
      <c r="U27" s="2228">
        <f t="shared" si="1"/>
        <v>8560</v>
      </c>
      <c r="V27" s="2228"/>
      <c r="W27" s="2999"/>
      <c r="X27" s="2230">
        <f t="shared" si="0"/>
        <v>2500</v>
      </c>
      <c r="Y27" s="2230"/>
      <c r="Z27" s="2256">
        <v>0</v>
      </c>
      <c r="AA27" s="2281"/>
    </row>
    <row r="28" spans="2:27">
      <c r="C28" s="1450" t="s">
        <v>1733</v>
      </c>
      <c r="D28" s="2890">
        <v>0.66700000000000004</v>
      </c>
      <c r="E28" s="2333">
        <v>0.68799999999999994</v>
      </c>
      <c r="F28" s="2313"/>
      <c r="H28" s="2351" t="s">
        <v>1411</v>
      </c>
      <c r="I28" s="2229">
        <v>21</v>
      </c>
      <c r="J28" s="2226" t="s">
        <v>110</v>
      </c>
      <c r="K28" s="2224" t="s">
        <v>845</v>
      </c>
      <c r="L28" s="2227">
        <v>53.7</v>
      </c>
      <c r="M28" s="2227">
        <v>53.7</v>
      </c>
      <c r="N28" s="2250">
        <v>1.8845235744925247E-4</v>
      </c>
      <c r="O28" s="2224">
        <v>8</v>
      </c>
      <c r="P28" s="2225" t="s">
        <v>1426</v>
      </c>
      <c r="Q28" s="2229"/>
      <c r="R28" s="2229">
        <v>10</v>
      </c>
      <c r="S28" s="2228"/>
      <c r="T28" s="2997"/>
      <c r="U28" s="2228">
        <f t="shared" si="1"/>
        <v>210</v>
      </c>
      <c r="V28" s="2228"/>
      <c r="W28" s="2999"/>
      <c r="X28" s="2230">
        <f t="shared" si="0"/>
        <v>537</v>
      </c>
      <c r="Y28" s="2230"/>
      <c r="Z28" s="2256">
        <v>0</v>
      </c>
      <c r="AA28" s="2281"/>
    </row>
    <row r="29" spans="2:27">
      <c r="C29" s="1667" t="s">
        <v>719</v>
      </c>
      <c r="D29" s="2891">
        <f>D15*D28</f>
        <v>13299.486420000003</v>
      </c>
      <c r="E29" s="2334">
        <f>E15*E28</f>
        <v>14061.192640000001</v>
      </c>
      <c r="F29" s="2342">
        <f>SUM(D29:E29)</f>
        <v>27360.679060000002</v>
      </c>
      <c r="H29" s="2351" t="s">
        <v>1412</v>
      </c>
      <c r="I29" s="2229">
        <v>376</v>
      </c>
      <c r="J29" s="2226" t="s">
        <v>110</v>
      </c>
      <c r="K29" s="2224" t="s">
        <v>845</v>
      </c>
      <c r="L29" s="2227">
        <v>377</v>
      </c>
      <c r="M29" s="2227">
        <v>94</v>
      </c>
      <c r="N29" s="2250">
        <v>1.7714521600229731E-2</v>
      </c>
      <c r="O29" s="2224">
        <v>10</v>
      </c>
      <c r="P29" s="2225" t="s">
        <v>997</v>
      </c>
      <c r="Q29" s="2229"/>
      <c r="R29" s="2229">
        <v>5</v>
      </c>
      <c r="S29" s="2228"/>
      <c r="T29" s="2997"/>
      <c r="U29" s="2228">
        <f t="shared" si="1"/>
        <v>1880</v>
      </c>
      <c r="V29" s="2228"/>
      <c r="W29" s="2999"/>
      <c r="X29" s="2230">
        <f t="shared" si="0"/>
        <v>470</v>
      </c>
      <c r="Y29" s="2230"/>
      <c r="Z29" s="2256">
        <v>0</v>
      </c>
      <c r="AA29" s="2281"/>
    </row>
    <row r="30" spans="2:27">
      <c r="C30" s="1667" t="s">
        <v>720</v>
      </c>
      <c r="D30" s="2892">
        <f>D21*D28</f>
        <v>0</v>
      </c>
      <c r="E30" s="2334">
        <f>E21*E28</f>
        <v>0</v>
      </c>
      <c r="F30" s="2342">
        <f>SUM(D30:E30)</f>
        <v>0</v>
      </c>
      <c r="H30" s="2351" t="s">
        <v>1413</v>
      </c>
      <c r="I30" s="2229">
        <v>774</v>
      </c>
      <c r="J30" s="2226" t="s">
        <v>110</v>
      </c>
      <c r="K30" s="2224" t="s">
        <v>845</v>
      </c>
      <c r="L30" s="2227">
        <v>377</v>
      </c>
      <c r="M30" s="2227">
        <v>193.5</v>
      </c>
      <c r="N30" s="2250">
        <v>3.6465531166430351E-2</v>
      </c>
      <c r="O30" s="2224">
        <v>10</v>
      </c>
      <c r="P30" s="2225" t="s">
        <v>997</v>
      </c>
      <c r="Q30" s="2229"/>
      <c r="R30" s="2229">
        <v>5</v>
      </c>
      <c r="S30" s="2228"/>
      <c r="T30" s="2997"/>
      <c r="U30" s="2228">
        <f t="shared" si="1"/>
        <v>3870</v>
      </c>
      <c r="V30" s="2228"/>
      <c r="W30" s="2999"/>
      <c r="X30" s="2230">
        <f t="shared" si="0"/>
        <v>967.5</v>
      </c>
      <c r="Y30" s="2230"/>
      <c r="Z30" s="2256">
        <v>0</v>
      </c>
      <c r="AA30" s="2281"/>
    </row>
    <row r="31" spans="2:27">
      <c r="C31" s="1667"/>
      <c r="D31" s="2887"/>
      <c r="E31" s="2331"/>
      <c r="F31" s="2343"/>
      <c r="H31" s="2351" t="s">
        <v>1414</v>
      </c>
      <c r="I31" s="2229">
        <v>5963.5</v>
      </c>
      <c r="J31" s="2226" t="s">
        <v>110</v>
      </c>
      <c r="K31" s="2224" t="s">
        <v>845</v>
      </c>
      <c r="L31" s="2227">
        <v>5866.5499999999993</v>
      </c>
      <c r="M31" s="2227">
        <v>1490.875</v>
      </c>
      <c r="N31" s="2250">
        <v>5.3515982554696055E-3</v>
      </c>
      <c r="O31" s="2224">
        <v>10</v>
      </c>
      <c r="P31" s="2225" t="s">
        <v>1427</v>
      </c>
      <c r="Q31" s="2229"/>
      <c r="R31" s="2229">
        <v>1</v>
      </c>
      <c r="S31" s="2228"/>
      <c r="T31" s="2997"/>
      <c r="U31" s="2228">
        <f t="shared" si="1"/>
        <v>5963.5</v>
      </c>
      <c r="V31" s="2228"/>
      <c r="W31" s="2999"/>
      <c r="X31" s="2230">
        <f t="shared" si="0"/>
        <v>1490.875</v>
      </c>
      <c r="Y31" s="2230"/>
      <c r="Z31" s="2256">
        <v>0</v>
      </c>
      <c r="AA31" s="2281"/>
    </row>
    <row r="32" spans="2:27">
      <c r="C32" s="1450" t="s">
        <v>1734</v>
      </c>
      <c r="D32" s="2777"/>
      <c r="E32" s="1452">
        <v>0.21</v>
      </c>
      <c r="F32" s="1485"/>
      <c r="H32" s="2351" t="s">
        <v>1415</v>
      </c>
      <c r="I32" s="2229">
        <v>11927</v>
      </c>
      <c r="J32" s="2226" t="s">
        <v>110</v>
      </c>
      <c r="K32" s="2224" t="s">
        <v>845</v>
      </c>
      <c r="L32" s="2227">
        <v>7011.9</v>
      </c>
      <c r="M32" s="2227">
        <v>2981.75</v>
      </c>
      <c r="N32" s="2250">
        <v>1.0703196510939211E-2</v>
      </c>
      <c r="O32" s="2224">
        <v>10</v>
      </c>
      <c r="P32" s="2225" t="s">
        <v>1427</v>
      </c>
      <c r="Q32" s="2229"/>
      <c r="R32" s="2229">
        <v>1</v>
      </c>
      <c r="S32" s="2228"/>
      <c r="T32" s="2997"/>
      <c r="U32" s="2228">
        <f t="shared" si="1"/>
        <v>11927</v>
      </c>
      <c r="V32" s="2228"/>
      <c r="W32" s="2999"/>
      <c r="X32" s="2230">
        <f t="shared" si="0"/>
        <v>2981.75</v>
      </c>
      <c r="Y32" s="2230"/>
      <c r="Z32" s="2256">
        <v>0</v>
      </c>
      <c r="AA32" s="2281"/>
    </row>
    <row r="33" spans="1:27">
      <c r="C33" s="1667" t="s">
        <v>719</v>
      </c>
      <c r="D33" s="2778"/>
      <c r="E33" s="1641">
        <f>E15*E32</f>
        <v>4291.9338000000007</v>
      </c>
      <c r="F33" s="1661">
        <f>SUM(D33:E33)</f>
        <v>4291.9338000000007</v>
      </c>
      <c r="H33" s="2351" t="s">
        <v>1416</v>
      </c>
      <c r="I33" s="2229">
        <v>17890.5</v>
      </c>
      <c r="J33" s="2226" t="s">
        <v>110</v>
      </c>
      <c r="K33" s="2224" t="s">
        <v>845</v>
      </c>
      <c r="L33" s="2227">
        <v>8157.25</v>
      </c>
      <c r="M33" s="2227">
        <v>4472.625</v>
      </c>
      <c r="N33" s="2250">
        <v>1.6054794766408816E-2</v>
      </c>
      <c r="O33" s="2224">
        <v>10</v>
      </c>
      <c r="P33" s="2225" t="s">
        <v>1427</v>
      </c>
      <c r="Q33" s="2229"/>
      <c r="R33" s="2229">
        <v>1</v>
      </c>
      <c r="S33" s="2228"/>
      <c r="T33" s="2997"/>
      <c r="U33" s="2228">
        <f t="shared" si="1"/>
        <v>17890.5</v>
      </c>
      <c r="V33" s="2228"/>
      <c r="W33" s="2999"/>
      <c r="X33" s="2230">
        <f t="shared" si="0"/>
        <v>4472.625</v>
      </c>
      <c r="Y33" s="2230"/>
      <c r="Z33" s="2256">
        <v>0</v>
      </c>
      <c r="AA33" s="2281"/>
    </row>
    <row r="34" spans="1:27" ht="25.5">
      <c r="A34" s="3514" t="s">
        <v>1463</v>
      </c>
      <c r="C34" s="1667" t="s">
        <v>720</v>
      </c>
      <c r="D34" s="2785"/>
      <c r="E34" s="1641">
        <f>E21*E32</f>
        <v>0</v>
      </c>
      <c r="F34" s="1661">
        <f t="shared" ref="F34" si="2">SUM(D34:E34)</f>
        <v>0</v>
      </c>
      <c r="H34" s="2351" t="s">
        <v>1417</v>
      </c>
      <c r="I34" s="2229">
        <v>23854</v>
      </c>
      <c r="J34" s="2226" t="s">
        <v>110</v>
      </c>
      <c r="K34" s="2224" t="s">
        <v>845</v>
      </c>
      <c r="L34" s="2227">
        <v>9302.5999999999985</v>
      </c>
      <c r="M34" s="2227">
        <v>4651.2999999999993</v>
      </c>
      <c r="N34" s="2250">
        <v>2.1406393021878422E-2</v>
      </c>
      <c r="O34" s="2224">
        <v>10</v>
      </c>
      <c r="P34" s="2225" t="s">
        <v>1427</v>
      </c>
      <c r="Q34" s="2229"/>
      <c r="R34" s="2229">
        <v>1</v>
      </c>
      <c r="S34" s="2228"/>
      <c r="T34" s="2997"/>
      <c r="U34" s="2228">
        <f t="shared" si="1"/>
        <v>23854</v>
      </c>
      <c r="V34" s="2228"/>
      <c r="W34" s="2999"/>
      <c r="X34" s="2230">
        <f t="shared" si="0"/>
        <v>4651.2999999999993</v>
      </c>
      <c r="Y34" s="2230"/>
      <c r="Z34" s="2256">
        <v>0</v>
      </c>
      <c r="AA34" s="2281"/>
    </row>
    <row r="35" spans="1:27">
      <c r="A35" s="2276" t="s">
        <v>262</v>
      </c>
      <c r="C35" s="2314"/>
      <c r="D35" s="2888"/>
      <c r="E35" s="2330"/>
      <c r="F35" s="2344"/>
      <c r="H35" s="2351" t="s">
        <v>1418</v>
      </c>
      <c r="I35" s="2229">
        <v>29817.5</v>
      </c>
      <c r="J35" s="2226" t="s">
        <v>110</v>
      </c>
      <c r="K35" s="2224" t="s">
        <v>845</v>
      </c>
      <c r="L35" s="2227">
        <v>10447.950000000001</v>
      </c>
      <c r="M35" s="2227">
        <v>5223.9750000000004</v>
      </c>
      <c r="N35" s="2250">
        <v>2.6757991277348028E-2</v>
      </c>
      <c r="O35" s="2224">
        <v>10</v>
      </c>
      <c r="P35" s="2225" t="s">
        <v>1427</v>
      </c>
      <c r="Q35" s="2229"/>
      <c r="R35" s="2229">
        <v>1</v>
      </c>
      <c r="S35" s="2228"/>
      <c r="T35" s="2997"/>
      <c r="U35" s="2228">
        <f t="shared" si="1"/>
        <v>29817.5</v>
      </c>
      <c r="V35" s="2228"/>
      <c r="W35" s="2999"/>
      <c r="X35" s="2230">
        <f t="shared" si="0"/>
        <v>5223.9750000000004</v>
      </c>
      <c r="Y35" s="2230"/>
      <c r="Z35" s="2256">
        <v>0</v>
      </c>
      <c r="AA35" s="2281"/>
    </row>
    <row r="36" spans="1:27">
      <c r="A36" s="2276" t="s">
        <v>5</v>
      </c>
      <c r="C36" s="2308"/>
      <c r="D36" s="2893"/>
      <c r="E36" s="2328"/>
      <c r="F36" s="2315"/>
      <c r="H36" s="2351" t="s">
        <v>1419</v>
      </c>
      <c r="I36" s="2229">
        <v>35781</v>
      </c>
      <c r="J36" s="2226" t="s">
        <v>110</v>
      </c>
      <c r="K36" s="2224" t="s">
        <v>845</v>
      </c>
      <c r="L36" s="2227">
        <v>11593.3</v>
      </c>
      <c r="M36" s="2227">
        <v>5796.65</v>
      </c>
      <c r="N36" s="2250">
        <v>3.2109589532817631E-2</v>
      </c>
      <c r="O36" s="2224">
        <v>10</v>
      </c>
      <c r="P36" s="2225" t="s">
        <v>1427</v>
      </c>
      <c r="Q36" s="2229"/>
      <c r="R36" s="2229">
        <v>1</v>
      </c>
      <c r="S36" s="2228"/>
      <c r="T36" s="2997"/>
      <c r="U36" s="2228">
        <f t="shared" si="1"/>
        <v>35781</v>
      </c>
      <c r="V36" s="2228"/>
      <c r="W36" s="2999"/>
      <c r="X36" s="2230">
        <f t="shared" si="0"/>
        <v>5796.65</v>
      </c>
      <c r="Y36" s="2230"/>
      <c r="Z36" s="2256">
        <v>0</v>
      </c>
      <c r="AA36" s="2281"/>
    </row>
    <row r="37" spans="1:27">
      <c r="A37" s="2276">
        <v>18230521</v>
      </c>
      <c r="C37" s="2298" t="s">
        <v>46</v>
      </c>
      <c r="D37" s="2883">
        <f>SUM(D38:D41)</f>
        <v>0</v>
      </c>
      <c r="E37" s="2324">
        <f>SUM(E38:E41)</f>
        <v>0</v>
      </c>
      <c r="F37" s="2284">
        <f>D37+E37</f>
        <v>0</v>
      </c>
      <c r="H37" s="2351" t="s">
        <v>1420</v>
      </c>
      <c r="I37" s="2229">
        <v>41744.5</v>
      </c>
      <c r="J37" s="2226" t="s">
        <v>110</v>
      </c>
      <c r="K37" s="2224" t="s">
        <v>845</v>
      </c>
      <c r="L37" s="2227">
        <v>12738.65</v>
      </c>
      <c r="M37" s="2227">
        <v>6369.3249999999998</v>
      </c>
      <c r="N37" s="2250">
        <v>3.7461187788287234E-2</v>
      </c>
      <c r="O37" s="2224">
        <v>10</v>
      </c>
      <c r="P37" s="2225" t="s">
        <v>1427</v>
      </c>
      <c r="Q37" s="2229"/>
      <c r="R37" s="2229">
        <v>1</v>
      </c>
      <c r="S37" s="2228"/>
      <c r="T37" s="2997"/>
      <c r="U37" s="2228">
        <f t="shared" si="1"/>
        <v>41744.5</v>
      </c>
      <c r="V37" s="2228"/>
      <c r="W37" s="2999"/>
      <c r="X37" s="2230">
        <f t="shared" si="0"/>
        <v>6369.3249999999998</v>
      </c>
      <c r="Y37" s="2230"/>
      <c r="Z37" s="2256">
        <v>0</v>
      </c>
      <c r="AA37" s="2281"/>
    </row>
    <row r="38" spans="1:27">
      <c r="A38" s="2276" t="s">
        <v>4</v>
      </c>
      <c r="C38" s="2306"/>
      <c r="D38" s="2891"/>
      <c r="E38" s="2335"/>
      <c r="F38" s="2342">
        <f>SUM(D38:E38)</f>
        <v>0</v>
      </c>
      <c r="H38" s="2351" t="s">
        <v>1421</v>
      </c>
      <c r="I38" s="2229">
        <v>47708</v>
      </c>
      <c r="J38" s="2226" t="s">
        <v>110</v>
      </c>
      <c r="K38" s="2224" t="s">
        <v>845</v>
      </c>
      <c r="L38" s="2227">
        <v>13884</v>
      </c>
      <c r="M38" s="2227">
        <v>6942</v>
      </c>
      <c r="N38" s="2250">
        <v>4.2812786043756844E-2</v>
      </c>
      <c r="O38" s="2224">
        <v>10</v>
      </c>
      <c r="P38" s="2225" t="s">
        <v>1427</v>
      </c>
      <c r="Q38" s="2229"/>
      <c r="R38" s="2229">
        <v>1</v>
      </c>
      <c r="S38" s="2228"/>
      <c r="T38" s="2997"/>
      <c r="U38" s="2228">
        <f t="shared" si="1"/>
        <v>47708</v>
      </c>
      <c r="V38" s="2228"/>
      <c r="W38" s="2999"/>
      <c r="X38" s="2230">
        <f t="shared" si="0"/>
        <v>6942</v>
      </c>
      <c r="Y38" s="2230"/>
      <c r="Z38" s="2256">
        <v>0</v>
      </c>
      <c r="AA38" s="2281"/>
    </row>
    <row r="39" spans="1:27">
      <c r="A39" s="2266"/>
      <c r="C39" s="2306"/>
      <c r="D39" s="2891"/>
      <c r="E39" s="2335"/>
      <c r="F39" s="2342">
        <f>SUM(D39:E39)</f>
        <v>0</v>
      </c>
      <c r="H39" s="2351" t="s">
        <v>1422</v>
      </c>
      <c r="I39" s="2229">
        <v>53671.5</v>
      </c>
      <c r="J39" s="2226" t="s">
        <v>110</v>
      </c>
      <c r="K39" s="2224" t="s">
        <v>845</v>
      </c>
      <c r="L39" s="2227">
        <v>15029.349999999999</v>
      </c>
      <c r="M39" s="2227">
        <v>7514.6749999999993</v>
      </c>
      <c r="N39" s="2250">
        <v>4.8164384299226447E-2</v>
      </c>
      <c r="O39" s="2224">
        <v>10</v>
      </c>
      <c r="P39" s="2225" t="s">
        <v>1427</v>
      </c>
      <c r="Q39" s="2229"/>
      <c r="R39" s="2229">
        <v>1</v>
      </c>
      <c r="S39" s="2228"/>
      <c r="T39" s="2997"/>
      <c r="U39" s="2228">
        <f t="shared" si="1"/>
        <v>53671.5</v>
      </c>
      <c r="V39" s="2228"/>
      <c r="W39" s="2999"/>
      <c r="X39" s="2230">
        <f t="shared" si="0"/>
        <v>7514.6749999999993</v>
      </c>
      <c r="Y39" s="2230"/>
      <c r="Z39" s="2256">
        <v>0</v>
      </c>
      <c r="AA39" s="2281"/>
    </row>
    <row r="40" spans="1:27">
      <c r="A40" s="2266"/>
      <c r="C40" s="2306"/>
      <c r="D40" s="2891"/>
      <c r="E40" s="2335"/>
      <c r="F40" s="2342">
        <f>SUM(D40:E40)</f>
        <v>0</v>
      </c>
      <c r="H40" s="2351" t="s">
        <v>1423</v>
      </c>
      <c r="I40" s="2229">
        <v>59635</v>
      </c>
      <c r="J40" s="2226" t="s">
        <v>110</v>
      </c>
      <c r="K40" s="2224" t="s">
        <v>845</v>
      </c>
      <c r="L40" s="2227">
        <v>16174.7</v>
      </c>
      <c r="M40" s="2227">
        <v>8087.35</v>
      </c>
      <c r="N40" s="2250">
        <v>5.3515982554696057E-2</v>
      </c>
      <c r="O40" s="2224">
        <v>10</v>
      </c>
      <c r="P40" s="2225" t="s">
        <v>1427</v>
      </c>
      <c r="Q40" s="2229"/>
      <c r="R40" s="2229">
        <v>1</v>
      </c>
      <c r="S40" s="2228"/>
      <c r="T40" s="2997"/>
      <c r="U40" s="2228">
        <f t="shared" si="1"/>
        <v>59635</v>
      </c>
      <c r="V40" s="2228"/>
      <c r="W40" s="2999"/>
      <c r="X40" s="2230">
        <f t="shared" si="0"/>
        <v>8087.35</v>
      </c>
      <c r="Y40" s="2230"/>
      <c r="Z40" s="2256">
        <v>0</v>
      </c>
      <c r="AA40" s="2281"/>
    </row>
    <row r="41" spans="1:27">
      <c r="C41" s="2306"/>
      <c r="D41" s="2891"/>
      <c r="E41" s="2335"/>
      <c r="F41" s="2342">
        <f>SUM(D41:E41)</f>
        <v>0</v>
      </c>
      <c r="H41" s="2351" t="s">
        <v>1424</v>
      </c>
      <c r="I41" s="2229">
        <v>243</v>
      </c>
      <c r="J41" s="2226" t="s">
        <v>110</v>
      </c>
      <c r="K41" s="2224" t="s">
        <v>845</v>
      </c>
      <c r="L41" s="2227">
        <v>525.41</v>
      </c>
      <c r="M41" s="2227">
        <v>262.70499999999998</v>
      </c>
      <c r="N41" s="2250">
        <v>3.270994490012025E-3</v>
      </c>
      <c r="O41" s="2224">
        <v>16</v>
      </c>
      <c r="P41" s="2225" t="s">
        <v>1253</v>
      </c>
      <c r="Q41" s="2229"/>
      <c r="R41" s="2229">
        <v>5</v>
      </c>
      <c r="S41" s="2228"/>
      <c r="T41" s="2997"/>
      <c r="U41" s="2228">
        <f t="shared" si="1"/>
        <v>1215</v>
      </c>
      <c r="V41" s="2228"/>
      <c r="W41" s="2999"/>
      <c r="X41" s="2230">
        <f t="shared" si="0"/>
        <v>1313.5249999999999</v>
      </c>
      <c r="Y41" s="2230"/>
      <c r="Z41" s="2256">
        <v>0</v>
      </c>
      <c r="AA41" s="2281"/>
    </row>
    <row r="42" spans="1:27">
      <c r="C42" s="2308"/>
      <c r="D42" s="2893"/>
      <c r="E42" s="2328"/>
      <c r="F42" s="2315"/>
      <c r="H42" s="2351" t="s">
        <v>1425</v>
      </c>
      <c r="I42" s="2229">
        <v>114</v>
      </c>
      <c r="J42" s="2226" t="s">
        <v>110</v>
      </c>
      <c r="K42" s="2224" t="s">
        <v>845</v>
      </c>
      <c r="L42" s="2227">
        <v>194.77</v>
      </c>
      <c r="M42" s="2227">
        <v>97.385000000000005</v>
      </c>
      <c r="N42" s="2250">
        <v>1.5345406249439131E-3</v>
      </c>
      <c r="O42" s="2224">
        <v>16</v>
      </c>
      <c r="P42" s="2225" t="s">
        <v>1253</v>
      </c>
      <c r="Q42" s="2229"/>
      <c r="R42" s="2229">
        <v>5</v>
      </c>
      <c r="S42" s="2228"/>
      <c r="T42" s="2997"/>
      <c r="U42" s="2228">
        <f t="shared" si="1"/>
        <v>570</v>
      </c>
      <c r="V42" s="2228"/>
      <c r="W42" s="2999"/>
      <c r="X42" s="2230">
        <f t="shared" si="0"/>
        <v>486.92500000000001</v>
      </c>
      <c r="Y42" s="2230"/>
      <c r="Z42" s="2256">
        <v>0</v>
      </c>
      <c r="AA42" s="2281"/>
    </row>
    <row r="43" spans="1:27">
      <c r="C43" s="2298" t="s">
        <v>483</v>
      </c>
      <c r="D43" s="2883">
        <f>SUM(D44:D47)</f>
        <v>0</v>
      </c>
      <c r="E43" s="2324">
        <f>SUM(E44:E47)</f>
        <v>0</v>
      </c>
      <c r="F43" s="2284">
        <f>D43+E43</f>
        <v>0</v>
      </c>
      <c r="H43" s="2351" t="s">
        <v>1347</v>
      </c>
      <c r="I43" s="2229">
        <v>800</v>
      </c>
      <c r="J43" s="2226" t="s">
        <v>110</v>
      </c>
      <c r="K43" s="2224" t="s">
        <v>845</v>
      </c>
      <c r="L43" s="2227">
        <v>237.25</v>
      </c>
      <c r="M43" s="2227">
        <v>118.25</v>
      </c>
      <c r="N43" s="2250">
        <v>3.5895687133190947E-2</v>
      </c>
      <c r="O43" s="2224">
        <v>10</v>
      </c>
      <c r="P43" s="2225" t="s">
        <v>1160</v>
      </c>
      <c r="Q43" s="2229"/>
      <c r="R43" s="2229">
        <v>0</v>
      </c>
      <c r="S43" s="2228"/>
      <c r="T43" s="2997"/>
      <c r="U43" s="2228">
        <f t="shared" si="1"/>
        <v>0</v>
      </c>
      <c r="V43" s="2228"/>
      <c r="W43" s="2999"/>
      <c r="X43" s="2230">
        <f t="shared" si="0"/>
        <v>0</v>
      </c>
      <c r="Y43" s="2230"/>
      <c r="Z43" s="2256">
        <v>0</v>
      </c>
      <c r="AA43" s="2281"/>
    </row>
    <row r="44" spans="1:27">
      <c r="C44" s="2306"/>
      <c r="D44" s="2891"/>
      <c r="E44" s="2335"/>
      <c r="F44" s="2342">
        <f>SUM(D44:E44)</f>
        <v>0</v>
      </c>
      <c r="H44" s="2351" t="s">
        <v>1310</v>
      </c>
      <c r="I44" s="2229">
        <v>1200</v>
      </c>
      <c r="J44" s="2226" t="s">
        <v>110</v>
      </c>
      <c r="K44" s="2224" t="s">
        <v>845</v>
      </c>
      <c r="L44" s="2227">
        <v>10.95</v>
      </c>
      <c r="M44" s="2227">
        <v>10.95</v>
      </c>
      <c r="N44" s="2250">
        <v>0.10768706139957285</v>
      </c>
      <c r="O44" s="2224">
        <v>5</v>
      </c>
      <c r="P44" s="2225" t="s">
        <v>997</v>
      </c>
      <c r="Q44" s="2229"/>
      <c r="R44" s="2229">
        <v>100</v>
      </c>
      <c r="S44" s="2228"/>
      <c r="T44" s="2997"/>
      <c r="U44" s="2228">
        <f t="shared" si="1"/>
        <v>120000</v>
      </c>
      <c r="V44" s="2228"/>
      <c r="W44" s="2999"/>
      <c r="X44" s="2230">
        <f t="shared" si="0"/>
        <v>1095</v>
      </c>
      <c r="Y44" s="2230"/>
      <c r="Z44" s="2256">
        <v>0</v>
      </c>
      <c r="AA44" s="2281"/>
    </row>
    <row r="45" spans="1:27">
      <c r="C45" s="2306"/>
      <c r="D45" s="2891"/>
      <c r="E45" s="2335"/>
      <c r="F45" s="2342">
        <f>SUM(D45:E45)</f>
        <v>0</v>
      </c>
      <c r="H45" s="2351" t="s">
        <v>1311</v>
      </c>
      <c r="I45" s="2229">
        <v>1208</v>
      </c>
      <c r="J45" s="2226" t="s">
        <v>110</v>
      </c>
      <c r="K45" s="2224" t="s">
        <v>845</v>
      </c>
      <c r="L45" s="2227">
        <v>70.42</v>
      </c>
      <c r="M45" s="2227">
        <v>70.42</v>
      </c>
      <c r="N45" s="2250">
        <v>2.7101243785559163E-2</v>
      </c>
      <c r="O45" s="2224">
        <v>5</v>
      </c>
      <c r="P45" s="2225" t="s">
        <v>997</v>
      </c>
      <c r="Q45" s="2229"/>
      <c r="R45" s="2229">
        <v>25</v>
      </c>
      <c r="S45" s="2228"/>
      <c r="T45" s="2997"/>
      <c r="U45" s="2228">
        <f t="shared" si="1"/>
        <v>30200</v>
      </c>
      <c r="V45" s="2228"/>
      <c r="W45" s="2999"/>
      <c r="X45" s="2230">
        <f t="shared" si="0"/>
        <v>1760.5</v>
      </c>
      <c r="Y45" s="2230"/>
      <c r="Z45" s="2256">
        <v>0</v>
      </c>
      <c r="AA45" s="2281"/>
    </row>
    <row r="46" spans="1:27">
      <c r="C46" s="2306"/>
      <c r="D46" s="2891"/>
      <c r="E46" s="2335"/>
      <c r="F46" s="2342">
        <f>SUM(D46:E46)</f>
        <v>0</v>
      </c>
      <c r="H46" s="2351" t="s">
        <v>1312</v>
      </c>
      <c r="I46" s="2229">
        <v>839</v>
      </c>
      <c r="J46" s="2226" t="s">
        <v>110</v>
      </c>
      <c r="K46" s="2224" t="s">
        <v>845</v>
      </c>
      <c r="L46" s="2227">
        <v>70.42</v>
      </c>
      <c r="M46" s="2227">
        <v>70.42</v>
      </c>
      <c r="N46" s="2250">
        <v>2.8234201410700505E-2</v>
      </c>
      <c r="O46" s="2224">
        <v>5</v>
      </c>
      <c r="P46" s="2225" t="s">
        <v>997</v>
      </c>
      <c r="Q46" s="2229"/>
      <c r="R46" s="2229">
        <v>50</v>
      </c>
      <c r="S46" s="2228"/>
      <c r="T46" s="2997"/>
      <c r="U46" s="2228">
        <f t="shared" si="1"/>
        <v>41950</v>
      </c>
      <c r="V46" s="2228"/>
      <c r="W46" s="2999"/>
      <c r="X46" s="2230">
        <f t="shared" si="0"/>
        <v>3521</v>
      </c>
      <c r="Y46" s="2230"/>
      <c r="Z46" s="2256">
        <v>0</v>
      </c>
      <c r="AA46" s="2281"/>
    </row>
    <row r="47" spans="1:27">
      <c r="C47" s="2306"/>
      <c r="D47" s="2891"/>
      <c r="E47" s="2335"/>
      <c r="F47" s="2342">
        <f>SUM(D47:E47)</f>
        <v>0</v>
      </c>
      <c r="H47" s="2351" t="s">
        <v>1313</v>
      </c>
      <c r="I47" s="2229">
        <v>1322</v>
      </c>
      <c r="J47" s="2226" t="s">
        <v>110</v>
      </c>
      <c r="K47" s="2224" t="s">
        <v>845</v>
      </c>
      <c r="L47" s="2227">
        <v>70.42</v>
      </c>
      <c r="M47" s="2227">
        <v>70.42</v>
      </c>
      <c r="N47" s="2250">
        <v>2.9658811493799019E-2</v>
      </c>
      <c r="O47" s="2224">
        <v>5</v>
      </c>
      <c r="P47" s="2225" t="s">
        <v>997</v>
      </c>
      <c r="Q47" s="2229"/>
      <c r="R47" s="2229">
        <v>25</v>
      </c>
      <c r="S47" s="2228"/>
      <c r="T47" s="2997"/>
      <c r="U47" s="2228">
        <f t="shared" si="1"/>
        <v>33050</v>
      </c>
      <c r="V47" s="2228"/>
      <c r="W47" s="2999"/>
      <c r="X47" s="2230">
        <f t="shared" si="0"/>
        <v>1760.5</v>
      </c>
      <c r="Y47" s="2230"/>
      <c r="Z47" s="2256">
        <v>0</v>
      </c>
      <c r="AA47" s="2281"/>
    </row>
    <row r="48" spans="1:27">
      <c r="C48" s="2308"/>
      <c r="D48" s="2893"/>
      <c r="E48" s="2328"/>
      <c r="F48" s="2315"/>
      <c r="H48" s="2351" t="s">
        <v>1308</v>
      </c>
      <c r="I48" s="2229">
        <v>46</v>
      </c>
      <c r="J48" s="2226" t="s">
        <v>110</v>
      </c>
      <c r="K48" s="2224" t="s">
        <v>845</v>
      </c>
      <c r="L48" s="2227">
        <v>13.68</v>
      </c>
      <c r="M48" s="2227">
        <v>13.68</v>
      </c>
      <c r="N48" s="2250" t="s">
        <v>229</v>
      </c>
      <c r="O48" s="2224">
        <v>3</v>
      </c>
      <c r="P48" s="2225" t="s">
        <v>997</v>
      </c>
      <c r="Q48" s="2229"/>
      <c r="R48" s="2229"/>
      <c r="S48" s="2228"/>
      <c r="T48" s="2997"/>
      <c r="U48" s="2228">
        <f t="shared" ref="U48:U79" si="3">I48*R48</f>
        <v>0</v>
      </c>
      <c r="V48" s="2228"/>
      <c r="W48" s="2999"/>
      <c r="X48" s="2230">
        <f t="shared" ref="X48:X79" si="4">M48*R48</f>
        <v>0</v>
      </c>
      <c r="Y48" s="2230"/>
      <c r="Z48" s="2256">
        <v>0</v>
      </c>
      <c r="AA48" s="2281"/>
    </row>
    <row r="49" spans="1:27">
      <c r="C49" s="2298" t="s">
        <v>47</v>
      </c>
      <c r="D49" s="2883">
        <f>SUM(D50:D53)</f>
        <v>10185</v>
      </c>
      <c r="E49" s="2324">
        <f>SUM(E50:E53)</f>
        <v>10185</v>
      </c>
      <c r="F49" s="2284">
        <f>D49+E49</f>
        <v>20370</v>
      </c>
      <c r="H49" s="2351" t="s">
        <v>1309</v>
      </c>
      <c r="I49" s="2229">
        <v>712</v>
      </c>
      <c r="J49" s="2226" t="s">
        <v>110</v>
      </c>
      <c r="K49" s="2224" t="s">
        <v>845</v>
      </c>
      <c r="L49" s="2227">
        <v>10.95</v>
      </c>
      <c r="M49" s="2227">
        <v>10.95</v>
      </c>
      <c r="N49" s="2250" t="s">
        <v>229</v>
      </c>
      <c r="O49" s="2224">
        <v>5</v>
      </c>
      <c r="P49" s="2225" t="s">
        <v>997</v>
      </c>
      <c r="Q49" s="2229"/>
      <c r="R49" s="2229"/>
      <c r="S49" s="2228"/>
      <c r="T49" s="2997"/>
      <c r="U49" s="2228">
        <f t="shared" si="3"/>
        <v>0</v>
      </c>
      <c r="V49" s="2228"/>
      <c r="W49" s="2999"/>
      <c r="X49" s="2230">
        <f t="shared" si="4"/>
        <v>0</v>
      </c>
      <c r="Y49" s="2230"/>
      <c r="Z49" s="2256">
        <v>0</v>
      </c>
      <c r="AA49" s="2281"/>
    </row>
    <row r="50" spans="1:27">
      <c r="C50" s="2306" t="s">
        <v>1184</v>
      </c>
      <c r="D50" s="2891">
        <v>10185</v>
      </c>
      <c r="E50" s="2335">
        <v>10185</v>
      </c>
      <c r="F50" s="2342">
        <f>SUM(D50:E50)</f>
        <v>20370</v>
      </c>
      <c r="H50" s="2351" t="s">
        <v>1314</v>
      </c>
      <c r="I50" s="2229">
        <v>2187</v>
      </c>
      <c r="J50" s="2226" t="s">
        <v>110</v>
      </c>
      <c r="K50" s="2224" t="s">
        <v>845</v>
      </c>
      <c r="L50" s="2227">
        <v>70.42</v>
      </c>
      <c r="M50" s="2227">
        <v>70.42</v>
      </c>
      <c r="N50" s="2250">
        <v>4.9064917350180377E-2</v>
      </c>
      <c r="O50" s="2224">
        <v>5</v>
      </c>
      <c r="P50" s="2225" t="s">
        <v>997</v>
      </c>
      <c r="Q50" s="2229"/>
      <c r="R50" s="2229">
        <v>25</v>
      </c>
      <c r="S50" s="2228"/>
      <c r="T50" s="2997"/>
      <c r="U50" s="2228">
        <f t="shared" si="3"/>
        <v>54675</v>
      </c>
      <c r="V50" s="2228"/>
      <c r="W50" s="2999"/>
      <c r="X50" s="2230">
        <f t="shared" si="4"/>
        <v>1760.5</v>
      </c>
      <c r="Y50" s="2230"/>
      <c r="Z50" s="2256">
        <v>0</v>
      </c>
      <c r="AA50" s="2281"/>
    </row>
    <row r="51" spans="1:27">
      <c r="C51" s="2306"/>
      <c r="D51" s="2891"/>
      <c r="E51" s="2335"/>
      <c r="F51" s="2342">
        <f>SUM(D51:E51)</f>
        <v>0</v>
      </c>
      <c r="H51" s="2351" t="s">
        <v>1315</v>
      </c>
      <c r="I51" s="2229">
        <v>228</v>
      </c>
      <c r="J51" s="2226" t="s">
        <v>110</v>
      </c>
      <c r="K51" s="2224" t="s">
        <v>845</v>
      </c>
      <c r="L51" s="2227">
        <v>21.67</v>
      </c>
      <c r="M51" s="2227">
        <v>21.67</v>
      </c>
      <c r="N51" s="2250">
        <v>5.1151354164797099E-3</v>
      </c>
      <c r="O51" s="2224">
        <v>10</v>
      </c>
      <c r="P51" s="2225" t="s">
        <v>997</v>
      </c>
      <c r="Q51" s="2229"/>
      <c r="R51" s="2229">
        <v>25</v>
      </c>
      <c r="S51" s="2228"/>
      <c r="T51" s="2997"/>
      <c r="U51" s="2228">
        <f t="shared" si="3"/>
        <v>5700</v>
      </c>
      <c r="V51" s="2228"/>
      <c r="W51" s="2999"/>
      <c r="X51" s="2230">
        <f t="shared" si="4"/>
        <v>541.75</v>
      </c>
      <c r="Y51" s="2230"/>
      <c r="Z51" s="2256">
        <v>0</v>
      </c>
      <c r="AA51" s="2281"/>
    </row>
    <row r="52" spans="1:27">
      <c r="C52" s="2306"/>
      <c r="D52" s="2891"/>
      <c r="E52" s="2335"/>
      <c r="F52" s="2342">
        <f>SUM(D52:E52)</f>
        <v>0</v>
      </c>
      <c r="H52" s="2351" t="s">
        <v>1257</v>
      </c>
      <c r="I52" s="2229">
        <v>100</v>
      </c>
      <c r="J52" s="2226" t="s">
        <v>110</v>
      </c>
      <c r="K52" s="2224" t="s">
        <v>845</v>
      </c>
      <c r="L52" s="2227">
        <v>54.6</v>
      </c>
      <c r="M52" s="2227">
        <v>54.6</v>
      </c>
      <c r="N52" s="2250">
        <v>2.2434804458244342E-3</v>
      </c>
      <c r="O52" s="2224">
        <v>5</v>
      </c>
      <c r="P52" s="2225" t="s">
        <v>996</v>
      </c>
      <c r="Q52" s="2229"/>
      <c r="R52" s="2229">
        <v>25</v>
      </c>
      <c r="S52" s="2228"/>
      <c r="T52" s="2997"/>
      <c r="U52" s="2228">
        <f t="shared" si="3"/>
        <v>2500</v>
      </c>
      <c r="V52" s="2228"/>
      <c r="W52" s="2999"/>
      <c r="X52" s="2230">
        <f t="shared" si="4"/>
        <v>1365</v>
      </c>
      <c r="Y52" s="2230"/>
      <c r="Z52" s="2256">
        <v>0</v>
      </c>
      <c r="AA52" s="2281"/>
    </row>
    <row r="53" spans="1:27">
      <c r="C53" s="2306"/>
      <c r="D53" s="2891"/>
      <c r="E53" s="2335"/>
      <c r="F53" s="2342">
        <f>SUM(D53:E53)</f>
        <v>0</v>
      </c>
      <c r="H53" s="2351" t="s">
        <v>1296</v>
      </c>
      <c r="I53" s="2229">
        <v>793</v>
      </c>
      <c r="J53" s="2226" t="s">
        <v>110</v>
      </c>
      <c r="K53" s="2224" t="s">
        <v>845</v>
      </c>
      <c r="L53" s="2227">
        <v>87.75</v>
      </c>
      <c r="M53" s="2227">
        <v>87.75</v>
      </c>
      <c r="N53" s="2250">
        <v>3.5581599870775527E-2</v>
      </c>
      <c r="O53" s="2224">
        <v>12</v>
      </c>
      <c r="P53" s="2225" t="s">
        <v>996</v>
      </c>
      <c r="Q53" s="2229"/>
      <c r="R53" s="2229">
        <v>50</v>
      </c>
      <c r="S53" s="2228"/>
      <c r="T53" s="2997"/>
      <c r="U53" s="2228">
        <f t="shared" si="3"/>
        <v>39650</v>
      </c>
      <c r="V53" s="2228"/>
      <c r="W53" s="2999"/>
      <c r="X53" s="2230">
        <f t="shared" si="4"/>
        <v>4387.5</v>
      </c>
      <c r="Y53" s="2230"/>
      <c r="Z53" s="2256">
        <v>0</v>
      </c>
      <c r="AA53" s="2281"/>
    </row>
    <row r="54" spans="1:27">
      <c r="C54" s="2308"/>
      <c r="D54" s="2893"/>
      <c r="E54" s="2328"/>
      <c r="F54" s="2315"/>
      <c r="H54" s="2351" t="s">
        <v>1297</v>
      </c>
      <c r="I54" s="2229">
        <v>685</v>
      </c>
      <c r="J54" s="2226" t="s">
        <v>110</v>
      </c>
      <c r="K54" s="2224" t="s">
        <v>845</v>
      </c>
      <c r="L54" s="2227">
        <v>196.3</v>
      </c>
      <c r="M54" s="2227">
        <v>171.25</v>
      </c>
      <c r="N54" s="2250">
        <v>2.3051761580846063E-2</v>
      </c>
      <c r="O54" s="2224">
        <v>12</v>
      </c>
      <c r="P54" s="2225" t="s">
        <v>996</v>
      </c>
      <c r="Q54" s="2229"/>
      <c r="R54" s="2229">
        <v>50</v>
      </c>
      <c r="S54" s="2228"/>
      <c r="T54" s="2997"/>
      <c r="U54" s="2228">
        <f t="shared" si="3"/>
        <v>34250</v>
      </c>
      <c r="V54" s="2228"/>
      <c r="W54" s="2999"/>
      <c r="X54" s="2230">
        <f t="shared" si="4"/>
        <v>8562.5</v>
      </c>
      <c r="Y54" s="2230"/>
      <c r="Z54" s="2256">
        <v>0</v>
      </c>
      <c r="AA54" s="2281"/>
    </row>
    <row r="55" spans="1:27">
      <c r="C55" s="2298" t="s">
        <v>48</v>
      </c>
      <c r="D55" s="2883">
        <f>SUM(D56:D59)</f>
        <v>0</v>
      </c>
      <c r="E55" s="2324">
        <f>SUM(E56:E59)</f>
        <v>0</v>
      </c>
      <c r="F55" s="2284">
        <f>D55+E55</f>
        <v>0</v>
      </c>
      <c r="H55" s="2351" t="s">
        <v>1298</v>
      </c>
      <c r="I55" s="2229">
        <v>685</v>
      </c>
      <c r="J55" s="2226" t="s">
        <v>110</v>
      </c>
      <c r="K55" s="2224" t="s">
        <v>845</v>
      </c>
      <c r="L55" s="2227">
        <v>430.4</v>
      </c>
      <c r="M55" s="2227">
        <v>171.25</v>
      </c>
      <c r="N55" s="2250">
        <v>2.3051761580846063E-2</v>
      </c>
      <c r="O55" s="2224">
        <v>12</v>
      </c>
      <c r="P55" s="2225" t="s">
        <v>996</v>
      </c>
      <c r="Q55" s="2229"/>
      <c r="R55" s="2229">
        <v>50</v>
      </c>
      <c r="S55" s="2228"/>
      <c r="T55" s="2997"/>
      <c r="U55" s="2228">
        <f t="shared" si="3"/>
        <v>34250</v>
      </c>
      <c r="V55" s="2228"/>
      <c r="W55" s="2999"/>
      <c r="X55" s="2230">
        <f t="shared" si="4"/>
        <v>8562.5</v>
      </c>
      <c r="Y55" s="2230"/>
      <c r="Z55" s="2256">
        <v>0</v>
      </c>
      <c r="AA55" s="2281"/>
    </row>
    <row r="56" spans="1:27">
      <c r="C56" s="2306"/>
      <c r="D56" s="2891"/>
      <c r="E56" s="2334"/>
      <c r="F56" s="2342">
        <f>SUM(D56:E56)</f>
        <v>0</v>
      </c>
      <c r="H56" s="2351" t="s">
        <v>1299</v>
      </c>
      <c r="I56" s="2229">
        <v>109</v>
      </c>
      <c r="J56" s="2226" t="s">
        <v>110</v>
      </c>
      <c r="K56" s="2224" t="s">
        <v>845</v>
      </c>
      <c r="L56" s="2227">
        <v>150.80000000000001</v>
      </c>
      <c r="M56" s="2227">
        <v>150.80000000000001</v>
      </c>
      <c r="N56" s="2250">
        <v>9.1870524256510572E-3</v>
      </c>
      <c r="O56" s="2224">
        <v>12</v>
      </c>
      <c r="P56" s="2225" t="s">
        <v>996</v>
      </c>
      <c r="Q56" s="2229"/>
      <c r="R56" s="2229">
        <v>50</v>
      </c>
      <c r="S56" s="2228"/>
      <c r="T56" s="2997"/>
      <c r="U56" s="2228">
        <f t="shared" si="3"/>
        <v>5450</v>
      </c>
      <c r="V56" s="2228"/>
      <c r="W56" s="2999"/>
      <c r="X56" s="2230">
        <f t="shared" si="4"/>
        <v>7540.0000000000009</v>
      </c>
      <c r="Y56" s="2230"/>
      <c r="Z56" s="2256">
        <v>0</v>
      </c>
      <c r="AA56" s="2281"/>
    </row>
    <row r="57" spans="1:27">
      <c r="C57" s="2306"/>
      <c r="D57" s="2891"/>
      <c r="E57" s="2334"/>
      <c r="F57" s="2342">
        <f>SUM(D57:E57)</f>
        <v>0</v>
      </c>
      <c r="H57" s="2351" t="s">
        <v>1913</v>
      </c>
      <c r="I57" s="2229">
        <v>43</v>
      </c>
      <c r="J57" s="2226" t="s">
        <v>110</v>
      </c>
      <c r="K57" s="2224" t="s">
        <v>845</v>
      </c>
      <c r="L57" s="2227">
        <v>81.900000000000006</v>
      </c>
      <c r="M57" s="2227">
        <v>81.900000000000006</v>
      </c>
      <c r="N57" s="2250">
        <v>3.096003015237719E-3</v>
      </c>
      <c r="O57" s="2224">
        <v>3</v>
      </c>
      <c r="P57" s="2225" t="s">
        <v>996</v>
      </c>
      <c r="Q57" s="2229"/>
      <c r="R57" s="2229">
        <v>50</v>
      </c>
      <c r="S57" s="2228"/>
      <c r="T57" s="2997"/>
      <c r="U57" s="2228">
        <f t="shared" si="3"/>
        <v>2150</v>
      </c>
      <c r="V57" s="2228"/>
      <c r="W57" s="2999"/>
      <c r="X57" s="2230">
        <f t="shared" si="4"/>
        <v>4095.0000000000005</v>
      </c>
      <c r="Y57" s="2230"/>
      <c r="Z57" s="2256">
        <v>0</v>
      </c>
      <c r="AA57" s="2281"/>
    </row>
    <row r="58" spans="1:27">
      <c r="C58" s="2306"/>
      <c r="D58" s="2891"/>
      <c r="E58" s="2334"/>
      <c r="F58" s="2342">
        <f>SUM(D58:E58)</f>
        <v>0</v>
      </c>
      <c r="H58" s="2351" t="s">
        <v>1914</v>
      </c>
      <c r="I58" s="2229">
        <v>44</v>
      </c>
      <c r="J58" s="2226" t="s">
        <v>110</v>
      </c>
      <c r="K58" s="2224" t="s">
        <v>845</v>
      </c>
      <c r="L58" s="2227">
        <v>16.8</v>
      </c>
      <c r="M58" s="2227">
        <v>16.8</v>
      </c>
      <c r="N58" s="2250">
        <v>2.7482635461349319E-3</v>
      </c>
      <c r="O58" s="2224">
        <v>3</v>
      </c>
      <c r="P58" s="2225" t="s">
        <v>996</v>
      </c>
      <c r="Q58" s="2229"/>
      <c r="R58" s="2229">
        <v>50</v>
      </c>
      <c r="S58" s="2228"/>
      <c r="T58" s="2997"/>
      <c r="U58" s="2228">
        <f t="shared" si="3"/>
        <v>2200</v>
      </c>
      <c r="V58" s="2228"/>
      <c r="W58" s="2999"/>
      <c r="X58" s="2230">
        <f t="shared" si="4"/>
        <v>840</v>
      </c>
      <c r="Y58" s="2230"/>
      <c r="Z58" s="2256">
        <v>0</v>
      </c>
      <c r="AA58" s="2281"/>
    </row>
    <row r="59" spans="1:27">
      <c r="C59" s="2306"/>
      <c r="D59" s="2891"/>
      <c r="E59" s="2334"/>
      <c r="F59" s="2342">
        <f>SUM(D59:E59)</f>
        <v>0</v>
      </c>
      <c r="H59" s="2351" t="s">
        <v>1915</v>
      </c>
      <c r="I59" s="2229">
        <v>46</v>
      </c>
      <c r="J59" s="2226" t="s">
        <v>110</v>
      </c>
      <c r="K59" s="2224" t="s">
        <v>845</v>
      </c>
      <c r="L59" s="2227">
        <v>16.8</v>
      </c>
      <c r="M59" s="2227">
        <v>16.8</v>
      </c>
      <c r="N59" s="2250">
        <v>1.6826103343683257E-3</v>
      </c>
      <c r="O59" s="2224">
        <v>3</v>
      </c>
      <c r="P59" s="2225" t="s">
        <v>996</v>
      </c>
      <c r="Q59" s="2229"/>
      <c r="R59" s="2229">
        <v>50</v>
      </c>
      <c r="S59" s="2228"/>
      <c r="T59" s="2997"/>
      <c r="U59" s="2228">
        <f t="shared" si="3"/>
        <v>2300</v>
      </c>
      <c r="V59" s="2228"/>
      <c r="W59" s="2999"/>
      <c r="X59" s="2230">
        <f t="shared" si="4"/>
        <v>840</v>
      </c>
      <c r="Y59" s="2230"/>
      <c r="Z59" s="2256">
        <v>0</v>
      </c>
      <c r="AA59" s="2281"/>
    </row>
    <row r="60" spans="1:27">
      <c r="C60" s="2308"/>
      <c r="D60" s="2893"/>
      <c r="E60" s="2328"/>
      <c r="F60" s="2315"/>
      <c r="H60" s="2351" t="s">
        <v>1916</v>
      </c>
      <c r="I60" s="2229">
        <v>58</v>
      </c>
      <c r="J60" s="2226" t="s">
        <v>110</v>
      </c>
      <c r="K60" s="2224" t="s">
        <v>845</v>
      </c>
      <c r="L60" s="2227">
        <v>16.8</v>
      </c>
      <c r="M60" s="2227">
        <v>16.8</v>
      </c>
      <c r="N60" s="2250">
        <v>1.7835669544304252E-3</v>
      </c>
      <c r="O60" s="2224">
        <v>3</v>
      </c>
      <c r="P60" s="2225" t="s">
        <v>996</v>
      </c>
      <c r="Q60" s="2229"/>
      <c r="R60" s="2229">
        <v>50</v>
      </c>
      <c r="S60" s="2228"/>
      <c r="T60" s="2997"/>
      <c r="U60" s="2228">
        <f t="shared" si="3"/>
        <v>2900</v>
      </c>
      <c r="V60" s="2228"/>
      <c r="W60" s="2999"/>
      <c r="X60" s="2230">
        <f t="shared" si="4"/>
        <v>840</v>
      </c>
      <c r="Y60" s="2230"/>
      <c r="Z60" s="2256">
        <v>0</v>
      </c>
      <c r="AA60" s="2281"/>
    </row>
    <row r="61" spans="1:27">
      <c r="C61" s="2298" t="s">
        <v>49</v>
      </c>
      <c r="D61" s="2883">
        <f>SUM(D62:D65)</f>
        <v>152775</v>
      </c>
      <c r="E61" s="2324">
        <f>SUM(E62:E65)</f>
        <v>152775</v>
      </c>
      <c r="F61" s="2284">
        <f>D61+E61</f>
        <v>305550</v>
      </c>
      <c r="H61" s="2351" t="s">
        <v>1917</v>
      </c>
      <c r="I61" s="2229">
        <v>64</v>
      </c>
      <c r="J61" s="2226" t="s">
        <v>110</v>
      </c>
      <c r="K61" s="2224" t="s">
        <v>845</v>
      </c>
      <c r="L61" s="2227">
        <v>16.8</v>
      </c>
      <c r="M61" s="2227">
        <v>16.8</v>
      </c>
      <c r="N61" s="2250">
        <v>2.3780892725739004E-3</v>
      </c>
      <c r="O61" s="2224">
        <v>3</v>
      </c>
      <c r="P61" s="2225" t="s">
        <v>996</v>
      </c>
      <c r="Q61" s="2229"/>
      <c r="R61" s="2229">
        <v>50</v>
      </c>
      <c r="S61" s="2228"/>
      <c r="T61" s="2997"/>
      <c r="U61" s="2228">
        <f t="shared" si="3"/>
        <v>3200</v>
      </c>
      <c r="V61" s="2228"/>
      <c r="W61" s="2999"/>
      <c r="X61" s="2230">
        <f t="shared" si="4"/>
        <v>840</v>
      </c>
      <c r="Y61" s="2230"/>
      <c r="Z61" s="2256">
        <v>0</v>
      </c>
      <c r="AA61" s="2281"/>
    </row>
    <row r="62" spans="1:27">
      <c r="C62" s="2306" t="s">
        <v>1185</v>
      </c>
      <c r="D62" s="2891">
        <v>152775</v>
      </c>
      <c r="E62" s="2335">
        <v>152775</v>
      </c>
      <c r="F62" s="2342">
        <f>SUM(D62:E62)</f>
        <v>305550</v>
      </c>
      <c r="H62" s="2351" t="s">
        <v>1918</v>
      </c>
      <c r="I62" s="2229">
        <v>70</v>
      </c>
      <c r="J62" s="2226" t="s">
        <v>110</v>
      </c>
      <c r="K62" s="2224" t="s">
        <v>845</v>
      </c>
      <c r="L62" s="2227">
        <v>16.8</v>
      </c>
      <c r="M62" s="2227">
        <v>16.8</v>
      </c>
      <c r="N62" s="2250">
        <v>2.3444370658865336E-3</v>
      </c>
      <c r="O62" s="2224">
        <v>3</v>
      </c>
      <c r="P62" s="2225" t="s">
        <v>996</v>
      </c>
      <c r="Q62" s="2229"/>
      <c r="R62" s="2229">
        <v>50</v>
      </c>
      <c r="S62" s="2228"/>
      <c r="T62" s="2997"/>
      <c r="U62" s="2228">
        <f t="shared" si="3"/>
        <v>3500</v>
      </c>
      <c r="V62" s="2228"/>
      <c r="W62" s="2999"/>
      <c r="X62" s="2230">
        <f t="shared" si="4"/>
        <v>840</v>
      </c>
      <c r="Y62" s="2230"/>
      <c r="Z62" s="2256">
        <v>0</v>
      </c>
      <c r="AA62" s="2281"/>
    </row>
    <row r="63" spans="1:27">
      <c r="C63" s="2384"/>
      <c r="D63" s="2891"/>
      <c r="E63" s="2335"/>
      <c r="F63" s="2342">
        <f>SUM(D63:E63)</f>
        <v>0</v>
      </c>
      <c r="H63" s="2351" t="s">
        <v>1919</v>
      </c>
      <c r="I63" s="2229">
        <v>85</v>
      </c>
      <c r="J63" s="2226" t="s">
        <v>110</v>
      </c>
      <c r="K63" s="2224" t="s">
        <v>845</v>
      </c>
      <c r="L63" s="2227">
        <v>16.8</v>
      </c>
      <c r="M63" s="2227">
        <v>16.8</v>
      </c>
      <c r="N63" s="2250">
        <v>2.6136547193854657E-3</v>
      </c>
      <c r="O63" s="2224">
        <v>3</v>
      </c>
      <c r="P63" s="2225" t="s">
        <v>996</v>
      </c>
      <c r="Q63" s="2229"/>
      <c r="R63" s="2229">
        <v>50</v>
      </c>
      <c r="S63" s="2228"/>
      <c r="T63" s="2997"/>
      <c r="U63" s="2228">
        <f t="shared" si="3"/>
        <v>4250</v>
      </c>
      <c r="V63" s="2228"/>
      <c r="W63" s="2999"/>
      <c r="X63" s="2230">
        <f t="shared" si="4"/>
        <v>840</v>
      </c>
      <c r="Y63" s="2230"/>
      <c r="Z63" s="2256">
        <v>0</v>
      </c>
      <c r="AA63" s="2281"/>
    </row>
    <row r="64" spans="1:27" ht="25.5">
      <c r="A64" s="3514" t="s">
        <v>1463</v>
      </c>
      <c r="C64" s="2384"/>
      <c r="D64" s="2891"/>
      <c r="E64" s="2335"/>
      <c r="F64" s="2344">
        <f>SUM(D64:E64)</f>
        <v>0</v>
      </c>
      <c r="H64" s="2351" t="s">
        <v>1920</v>
      </c>
      <c r="I64" s="2229">
        <v>158</v>
      </c>
      <c r="J64" s="2226" t="s">
        <v>110</v>
      </c>
      <c r="K64" s="2224" t="s">
        <v>845</v>
      </c>
      <c r="L64" s="2227">
        <v>16.8</v>
      </c>
      <c r="M64" s="2227">
        <v>16.8</v>
      </c>
      <c r="N64" s="2250">
        <v>4.0382648024839818E-3</v>
      </c>
      <c r="O64" s="2224">
        <v>3</v>
      </c>
      <c r="P64" s="2225" t="s">
        <v>996</v>
      </c>
      <c r="Q64" s="2229"/>
      <c r="R64" s="2229">
        <v>50</v>
      </c>
      <c r="S64" s="2228"/>
      <c r="T64" s="2997"/>
      <c r="U64" s="2228">
        <f t="shared" si="3"/>
        <v>7900</v>
      </c>
      <c r="V64" s="2228"/>
      <c r="W64" s="2999"/>
      <c r="X64" s="2230">
        <f t="shared" si="4"/>
        <v>840</v>
      </c>
      <c r="Y64" s="2230"/>
      <c r="Z64" s="2256">
        <v>0</v>
      </c>
      <c r="AA64" s="2281"/>
    </row>
    <row r="65" spans="1:27">
      <c r="A65" s="2276" t="s">
        <v>262</v>
      </c>
      <c r="C65" s="2306"/>
      <c r="D65" s="2891"/>
      <c r="E65" s="2335"/>
      <c r="F65" s="2342">
        <f>SUM(D65:E65)</f>
        <v>0</v>
      </c>
      <c r="H65" s="2351" t="s">
        <v>1921</v>
      </c>
      <c r="I65" s="2229">
        <v>68</v>
      </c>
      <c r="J65" s="2226" t="s">
        <v>110</v>
      </c>
      <c r="K65" s="2224" t="s">
        <v>845</v>
      </c>
      <c r="L65" s="2227">
        <v>16.8</v>
      </c>
      <c r="M65" s="2227">
        <v>16.8</v>
      </c>
      <c r="N65" s="2250">
        <v>2.0415672057002353E-3</v>
      </c>
      <c r="O65" s="2224">
        <v>3</v>
      </c>
      <c r="P65" s="2225" t="s">
        <v>996</v>
      </c>
      <c r="Q65" s="2229"/>
      <c r="R65" s="2229">
        <v>50</v>
      </c>
      <c r="S65" s="2228"/>
      <c r="T65" s="2997"/>
      <c r="U65" s="2228">
        <f t="shared" si="3"/>
        <v>3400</v>
      </c>
      <c r="V65" s="2228"/>
      <c r="W65" s="2999"/>
      <c r="X65" s="2230">
        <f t="shared" si="4"/>
        <v>840</v>
      </c>
      <c r="Y65" s="2230"/>
      <c r="Z65" s="2256">
        <v>0</v>
      </c>
      <c r="AA65" s="2281"/>
    </row>
    <row r="66" spans="1:27">
      <c r="A66" s="2276" t="s">
        <v>5</v>
      </c>
      <c r="C66" s="2308"/>
      <c r="D66" s="2893"/>
      <c r="E66" s="2328"/>
      <c r="F66" s="2315"/>
      <c r="H66" s="2351" t="s">
        <v>1922</v>
      </c>
      <c r="I66" s="2229">
        <v>70</v>
      </c>
      <c r="J66" s="2226" t="s">
        <v>110</v>
      </c>
      <c r="K66" s="2224" t="s">
        <v>845</v>
      </c>
      <c r="L66" s="2227">
        <v>15.81</v>
      </c>
      <c r="M66" s="2227">
        <v>15.81</v>
      </c>
      <c r="N66" s="2250">
        <v>4.3411346626702806E-3</v>
      </c>
      <c r="O66" s="2224">
        <v>3</v>
      </c>
      <c r="P66" s="2225" t="s">
        <v>996</v>
      </c>
      <c r="Q66" s="2229"/>
      <c r="R66" s="2229">
        <v>50</v>
      </c>
      <c r="S66" s="2228"/>
      <c r="T66" s="2997"/>
      <c r="U66" s="2228">
        <f t="shared" si="3"/>
        <v>3500</v>
      </c>
      <c r="V66" s="2228"/>
      <c r="W66" s="2999"/>
      <c r="X66" s="2230">
        <f t="shared" si="4"/>
        <v>790.5</v>
      </c>
      <c r="Y66" s="2230"/>
      <c r="Z66" s="2256">
        <v>0</v>
      </c>
    </row>
    <row r="67" spans="1:27">
      <c r="A67" s="2276">
        <v>18230521</v>
      </c>
      <c r="C67" s="2298" t="s">
        <v>50</v>
      </c>
      <c r="D67" s="2883">
        <f>W15</f>
        <v>175731.375</v>
      </c>
      <c r="E67" s="2395">
        <f>X15</f>
        <v>412054.92500000022</v>
      </c>
      <c r="F67" s="2284">
        <f>D67+E67</f>
        <v>587786.30000000028</v>
      </c>
      <c r="H67" s="2351" t="s">
        <v>1923</v>
      </c>
      <c r="I67" s="2229">
        <v>72</v>
      </c>
      <c r="J67" s="2226" t="s">
        <v>110</v>
      </c>
      <c r="K67" s="2224" t="s">
        <v>845</v>
      </c>
      <c r="L67" s="2227">
        <v>15.81</v>
      </c>
      <c r="M67" s="2227">
        <v>15.81</v>
      </c>
      <c r="N67" s="2250">
        <v>2.6248721216145881E-3</v>
      </c>
      <c r="O67" s="2224">
        <v>3</v>
      </c>
      <c r="P67" s="2225" t="s">
        <v>996</v>
      </c>
      <c r="Q67" s="2229"/>
      <c r="R67" s="2229">
        <v>50</v>
      </c>
      <c r="S67" s="2228"/>
      <c r="T67" s="2997"/>
      <c r="U67" s="2228">
        <f t="shared" si="3"/>
        <v>3600</v>
      </c>
      <c r="V67" s="2228"/>
      <c r="W67" s="2999"/>
      <c r="X67" s="2230">
        <f t="shared" si="4"/>
        <v>790.5</v>
      </c>
      <c r="Y67" s="2230"/>
      <c r="Z67" s="2256">
        <v>0</v>
      </c>
    </row>
    <row r="68" spans="1:27">
      <c r="A68" s="2276" t="s">
        <v>4</v>
      </c>
      <c r="C68" s="2316" t="s">
        <v>297</v>
      </c>
      <c r="D68" s="2894"/>
      <c r="E68" s="2336"/>
      <c r="F68" s="2317"/>
      <c r="H68" s="2351" t="s">
        <v>1924</v>
      </c>
      <c r="I68" s="2229">
        <v>91</v>
      </c>
      <c r="J68" s="2226" t="s">
        <v>110</v>
      </c>
      <c r="K68" s="2224" t="s">
        <v>845</v>
      </c>
      <c r="L68" s="2227">
        <v>15.81</v>
      </c>
      <c r="M68" s="2227">
        <v>15.81</v>
      </c>
      <c r="N68" s="2250">
        <v>2.8043505572805426E-3</v>
      </c>
      <c r="O68" s="2224">
        <v>3</v>
      </c>
      <c r="P68" s="2225" t="s">
        <v>996</v>
      </c>
      <c r="Q68" s="2229"/>
      <c r="R68" s="2229">
        <v>50</v>
      </c>
      <c r="S68" s="2228"/>
      <c r="T68" s="2997"/>
      <c r="U68" s="2228">
        <f t="shared" si="3"/>
        <v>4550</v>
      </c>
      <c r="V68" s="2228"/>
      <c r="W68" s="2999"/>
      <c r="X68" s="2230">
        <f t="shared" si="4"/>
        <v>790.5</v>
      </c>
      <c r="Y68" s="2230"/>
      <c r="Z68" s="2256">
        <v>0</v>
      </c>
    </row>
    <row r="69" spans="1:27">
      <c r="A69" s="2266"/>
      <c r="C69" s="2318"/>
      <c r="D69" s="2885"/>
      <c r="E69" s="2328"/>
      <c r="F69" s="2315"/>
      <c r="H69" s="2351" t="s">
        <v>1925</v>
      </c>
      <c r="I69" s="2229">
        <v>100</v>
      </c>
      <c r="J69" s="2226" t="s">
        <v>110</v>
      </c>
      <c r="K69" s="2224" t="s">
        <v>845</v>
      </c>
      <c r="L69" s="2227">
        <v>15.81</v>
      </c>
      <c r="M69" s="2227">
        <v>15.81</v>
      </c>
      <c r="N69" s="2250">
        <v>3.735394942297683E-3</v>
      </c>
      <c r="O69" s="2224">
        <v>3</v>
      </c>
      <c r="P69" s="2225" t="s">
        <v>996</v>
      </c>
      <c r="Q69" s="2229"/>
      <c r="R69" s="2229">
        <v>50</v>
      </c>
      <c r="S69" s="2228"/>
      <c r="T69" s="2997"/>
      <c r="U69" s="2228">
        <f t="shared" si="3"/>
        <v>5000</v>
      </c>
      <c r="V69" s="2228"/>
      <c r="W69" s="2999"/>
      <c r="X69" s="2230">
        <f t="shared" si="4"/>
        <v>790.5</v>
      </c>
      <c r="Y69" s="2230"/>
      <c r="Z69" s="2256">
        <v>0</v>
      </c>
    </row>
    <row r="70" spans="1:27">
      <c r="A70" s="2266"/>
      <c r="C70" s="2319" t="s">
        <v>51</v>
      </c>
      <c r="D70" s="2891">
        <v>0</v>
      </c>
      <c r="E70" s="2337">
        <v>0</v>
      </c>
      <c r="F70" s="2320">
        <v>0</v>
      </c>
      <c r="H70" s="2351" t="s">
        <v>1926</v>
      </c>
      <c r="I70" s="2229">
        <v>109</v>
      </c>
      <c r="J70" s="2226" t="s">
        <v>110</v>
      </c>
      <c r="K70" s="2224" t="s">
        <v>845</v>
      </c>
      <c r="L70" s="2227">
        <v>15.81</v>
      </c>
      <c r="M70" s="2227">
        <v>15.81</v>
      </c>
      <c r="N70" s="2250">
        <v>3.6568731266938279E-3</v>
      </c>
      <c r="O70" s="2224">
        <v>3</v>
      </c>
      <c r="P70" s="2225" t="s">
        <v>996</v>
      </c>
      <c r="Q70" s="2229"/>
      <c r="R70" s="2229">
        <v>50</v>
      </c>
      <c r="S70" s="2228"/>
      <c r="T70" s="2997"/>
      <c r="U70" s="2228">
        <f t="shared" si="3"/>
        <v>5450</v>
      </c>
      <c r="V70" s="2228"/>
      <c r="W70" s="2999"/>
      <c r="X70" s="2230">
        <f t="shared" si="4"/>
        <v>790.5</v>
      </c>
      <c r="Y70" s="2230"/>
      <c r="Z70" s="2256">
        <v>0</v>
      </c>
    </row>
    <row r="71" spans="1:27">
      <c r="D71" s="2767"/>
      <c r="H71" s="2351" t="s">
        <v>1927</v>
      </c>
      <c r="I71" s="2229">
        <v>134</v>
      </c>
      <c r="J71" s="2226" t="s">
        <v>110</v>
      </c>
      <c r="K71" s="2224" t="s">
        <v>845</v>
      </c>
      <c r="L71" s="2227">
        <v>15.81</v>
      </c>
      <c r="M71" s="2227">
        <v>15.81</v>
      </c>
      <c r="N71" s="2250">
        <v>4.1167866180878369E-3</v>
      </c>
      <c r="O71" s="2224">
        <v>3</v>
      </c>
      <c r="P71" s="2225" t="s">
        <v>996</v>
      </c>
      <c r="Q71" s="2229"/>
      <c r="R71" s="2229">
        <v>50</v>
      </c>
      <c r="S71" s="2228"/>
      <c r="T71" s="2997"/>
      <c r="U71" s="2228">
        <f t="shared" si="3"/>
        <v>6700</v>
      </c>
      <c r="V71" s="2228"/>
      <c r="W71" s="2999"/>
      <c r="X71" s="2230">
        <f t="shared" si="4"/>
        <v>790.5</v>
      </c>
      <c r="Y71" s="2230"/>
      <c r="Z71" s="2256">
        <v>0</v>
      </c>
    </row>
    <row r="72" spans="1:27">
      <c r="D72" s="2767"/>
      <c r="H72" s="2351" t="s">
        <v>1928</v>
      </c>
      <c r="I72" s="2229">
        <v>247</v>
      </c>
      <c r="J72" s="2226" t="s">
        <v>110</v>
      </c>
      <c r="K72" s="2224" t="s">
        <v>845</v>
      </c>
      <c r="L72" s="2227">
        <v>15.81</v>
      </c>
      <c r="M72" s="2227">
        <v>15.81</v>
      </c>
      <c r="N72" s="2250">
        <v>6.3153974549957819E-3</v>
      </c>
      <c r="O72" s="2224">
        <v>3</v>
      </c>
      <c r="P72" s="2225" t="s">
        <v>996</v>
      </c>
      <c r="Q72" s="2229"/>
      <c r="R72" s="2229">
        <v>50</v>
      </c>
      <c r="S72" s="2228"/>
      <c r="T72" s="2997"/>
      <c r="U72" s="2228">
        <f t="shared" si="3"/>
        <v>12350</v>
      </c>
      <c r="V72" s="2228"/>
      <c r="W72" s="2999"/>
      <c r="X72" s="2230">
        <f t="shared" si="4"/>
        <v>790.5</v>
      </c>
      <c r="Y72" s="2230"/>
      <c r="Z72" s="2256">
        <v>0</v>
      </c>
    </row>
    <row r="73" spans="1:27">
      <c r="D73" s="2767"/>
      <c r="H73" s="2351" t="s">
        <v>1929</v>
      </c>
      <c r="I73" s="2229">
        <v>31</v>
      </c>
      <c r="J73" s="2226" t="s">
        <v>110</v>
      </c>
      <c r="K73" s="2224" t="s">
        <v>845</v>
      </c>
      <c r="L73" s="2227">
        <v>15.81</v>
      </c>
      <c r="M73" s="2227">
        <v>15.81</v>
      </c>
      <c r="N73" s="2250">
        <v>1.503131898702371E-3</v>
      </c>
      <c r="O73" s="2224">
        <v>3</v>
      </c>
      <c r="P73" s="2225" t="s">
        <v>996</v>
      </c>
      <c r="Q73" s="2229"/>
      <c r="R73" s="2229">
        <v>50</v>
      </c>
      <c r="S73" s="2228"/>
      <c r="T73" s="2997"/>
      <c r="U73" s="2228">
        <f t="shared" si="3"/>
        <v>1550</v>
      </c>
      <c r="V73" s="2228"/>
      <c r="W73" s="2999"/>
      <c r="X73" s="2230">
        <f t="shared" si="4"/>
        <v>790.5</v>
      </c>
      <c r="Y73" s="2230"/>
      <c r="Z73" s="2256">
        <v>0</v>
      </c>
    </row>
    <row r="74" spans="1:27">
      <c r="D74" s="2767"/>
      <c r="H74" s="2351" t="s">
        <v>1930</v>
      </c>
      <c r="I74" s="2229">
        <v>32</v>
      </c>
      <c r="J74" s="2226" t="s">
        <v>110</v>
      </c>
      <c r="K74" s="2224" t="s">
        <v>845</v>
      </c>
      <c r="L74" s="2227">
        <v>23.33</v>
      </c>
      <c r="M74" s="2227">
        <v>23.33</v>
      </c>
      <c r="N74" s="2250">
        <v>1.9742627923255021E-3</v>
      </c>
      <c r="O74" s="2224">
        <v>3</v>
      </c>
      <c r="P74" s="2225" t="s">
        <v>996</v>
      </c>
      <c r="Q74" s="2229"/>
      <c r="R74" s="2229">
        <v>50</v>
      </c>
      <c r="S74" s="2228"/>
      <c r="T74" s="2997"/>
      <c r="U74" s="2228">
        <f t="shared" si="3"/>
        <v>1600</v>
      </c>
      <c r="V74" s="2228"/>
      <c r="W74" s="2999"/>
      <c r="X74" s="2230">
        <f t="shared" si="4"/>
        <v>1166.5</v>
      </c>
      <c r="Y74" s="2230"/>
      <c r="Z74" s="2256">
        <v>0</v>
      </c>
    </row>
    <row r="75" spans="1:27">
      <c r="D75" s="2767"/>
      <c r="H75" s="2351" t="s">
        <v>1931</v>
      </c>
      <c r="I75" s="2229">
        <v>33</v>
      </c>
      <c r="J75" s="2226" t="s">
        <v>110</v>
      </c>
      <c r="K75" s="2224" t="s">
        <v>845</v>
      </c>
      <c r="L75" s="2227">
        <v>23.33</v>
      </c>
      <c r="M75" s="2227">
        <v>23.33</v>
      </c>
      <c r="N75" s="2250">
        <v>1.2002620385160724E-3</v>
      </c>
      <c r="O75" s="2224">
        <v>3</v>
      </c>
      <c r="P75" s="2225" t="s">
        <v>996</v>
      </c>
      <c r="Q75" s="2229"/>
      <c r="R75" s="2229">
        <v>50</v>
      </c>
      <c r="S75" s="2228"/>
      <c r="T75" s="2997"/>
      <c r="U75" s="2228">
        <f t="shared" si="3"/>
        <v>1650</v>
      </c>
      <c r="V75" s="2228"/>
      <c r="W75" s="2999"/>
      <c r="X75" s="2230">
        <f t="shared" si="4"/>
        <v>1166.5</v>
      </c>
      <c r="Y75" s="2230"/>
      <c r="Z75" s="2256">
        <v>0</v>
      </c>
    </row>
    <row r="76" spans="1:27">
      <c r="D76" s="2767"/>
      <c r="H76" s="2351" t="s">
        <v>1932</v>
      </c>
      <c r="I76" s="2229">
        <v>41</v>
      </c>
      <c r="J76" s="2226" t="s">
        <v>110</v>
      </c>
      <c r="K76" s="2224" t="s">
        <v>845</v>
      </c>
      <c r="L76" s="2227">
        <v>23.33</v>
      </c>
      <c r="M76" s="2227">
        <v>23.33</v>
      </c>
      <c r="N76" s="2250">
        <v>1.2675664518908053E-3</v>
      </c>
      <c r="O76" s="2224">
        <v>3</v>
      </c>
      <c r="P76" s="2225" t="s">
        <v>996</v>
      </c>
      <c r="Q76" s="2229"/>
      <c r="R76" s="2229">
        <v>50</v>
      </c>
      <c r="S76" s="2228"/>
      <c r="T76" s="2997"/>
      <c r="U76" s="2228">
        <f t="shared" si="3"/>
        <v>2050</v>
      </c>
      <c r="V76" s="2228"/>
      <c r="W76" s="2999"/>
      <c r="X76" s="2230">
        <f t="shared" si="4"/>
        <v>1166.5</v>
      </c>
      <c r="Y76" s="2230"/>
      <c r="Z76" s="2256">
        <v>0</v>
      </c>
    </row>
    <row r="77" spans="1:27">
      <c r="D77" s="2767"/>
      <c r="H77" s="2351" t="s">
        <v>1933</v>
      </c>
      <c r="I77" s="2229">
        <v>46</v>
      </c>
      <c r="J77" s="2226" t="s">
        <v>110</v>
      </c>
      <c r="K77" s="2224" t="s">
        <v>845</v>
      </c>
      <c r="L77" s="2227">
        <v>23.33</v>
      </c>
      <c r="M77" s="2227">
        <v>23.33</v>
      </c>
      <c r="N77" s="2250">
        <v>1.7050451388265699E-3</v>
      </c>
      <c r="O77" s="2224">
        <v>3</v>
      </c>
      <c r="P77" s="2225" t="s">
        <v>996</v>
      </c>
      <c r="Q77" s="2229"/>
      <c r="R77" s="2229">
        <v>50</v>
      </c>
      <c r="S77" s="2228"/>
      <c r="T77" s="2997"/>
      <c r="U77" s="2228">
        <f t="shared" si="3"/>
        <v>2300</v>
      </c>
      <c r="V77" s="2228"/>
      <c r="W77" s="2999"/>
      <c r="X77" s="2230">
        <f t="shared" si="4"/>
        <v>1166.5</v>
      </c>
      <c r="Y77" s="2230"/>
      <c r="Z77" s="2256">
        <v>0</v>
      </c>
    </row>
    <row r="78" spans="1:27">
      <c r="D78" s="2767"/>
      <c r="H78" s="2351" t="s">
        <v>1934</v>
      </c>
      <c r="I78" s="2229">
        <v>50</v>
      </c>
      <c r="J78" s="2226" t="s">
        <v>110</v>
      </c>
      <c r="K78" s="2224" t="s">
        <v>845</v>
      </c>
      <c r="L78" s="2227">
        <v>23.33</v>
      </c>
      <c r="M78" s="2227">
        <v>23.33</v>
      </c>
      <c r="N78" s="2250">
        <v>1.6713929321392036E-3</v>
      </c>
      <c r="O78" s="2224">
        <v>3</v>
      </c>
      <c r="P78" s="2225" t="s">
        <v>996</v>
      </c>
      <c r="Q78" s="2229"/>
      <c r="R78" s="2229">
        <v>50</v>
      </c>
      <c r="S78" s="2228"/>
      <c r="T78" s="2997"/>
      <c r="U78" s="2228">
        <f t="shared" si="3"/>
        <v>2500</v>
      </c>
      <c r="V78" s="2228"/>
      <c r="W78" s="2999"/>
      <c r="X78" s="2230">
        <f t="shared" si="4"/>
        <v>1166.5</v>
      </c>
      <c r="Y78" s="2230"/>
      <c r="Z78" s="2256">
        <v>0</v>
      </c>
    </row>
    <row r="79" spans="1:27">
      <c r="D79" s="2767"/>
      <c r="H79" s="2351" t="s">
        <v>1935</v>
      </c>
      <c r="I79" s="2229">
        <v>61</v>
      </c>
      <c r="J79" s="2226" t="s">
        <v>110</v>
      </c>
      <c r="K79" s="2224" t="s">
        <v>845</v>
      </c>
      <c r="L79" s="2227">
        <v>23.33</v>
      </c>
      <c r="M79" s="2227">
        <v>23.33</v>
      </c>
      <c r="N79" s="2250">
        <v>1.8733061722634025E-3</v>
      </c>
      <c r="O79" s="2224">
        <v>3</v>
      </c>
      <c r="P79" s="2225" t="s">
        <v>996</v>
      </c>
      <c r="Q79" s="2229"/>
      <c r="R79" s="2229">
        <v>50</v>
      </c>
      <c r="S79" s="2228"/>
      <c r="T79" s="2997"/>
      <c r="U79" s="2228">
        <f t="shared" si="3"/>
        <v>3050</v>
      </c>
      <c r="V79" s="2228"/>
      <c r="W79" s="2999"/>
      <c r="X79" s="2230">
        <f t="shared" si="4"/>
        <v>1166.5</v>
      </c>
      <c r="Y79" s="2230"/>
      <c r="Z79" s="2256">
        <v>0</v>
      </c>
    </row>
    <row r="80" spans="1:27">
      <c r="D80" s="2767"/>
      <c r="H80" s="2351" t="s">
        <v>1936</v>
      </c>
      <c r="I80" s="2229">
        <v>113</v>
      </c>
      <c r="J80" s="2226" t="s">
        <v>110</v>
      </c>
      <c r="K80" s="2224" t="s">
        <v>845</v>
      </c>
      <c r="L80" s="2227">
        <v>23.33</v>
      </c>
      <c r="M80" s="2227">
        <v>23.33</v>
      </c>
      <c r="N80" s="2250">
        <v>2.8828723728843981E-3</v>
      </c>
      <c r="O80" s="2224">
        <v>3</v>
      </c>
      <c r="P80" s="2225" t="s">
        <v>996</v>
      </c>
      <c r="Q80" s="2229"/>
      <c r="R80" s="2229">
        <v>50</v>
      </c>
      <c r="S80" s="2228"/>
      <c r="T80" s="2997"/>
      <c r="U80" s="2228">
        <f t="shared" ref="U80:U111" si="5">I80*R80</f>
        <v>5650</v>
      </c>
      <c r="V80" s="2228"/>
      <c r="W80" s="2999"/>
      <c r="X80" s="2230">
        <f t="shared" ref="X80:X111" si="6">M80*R80</f>
        <v>1166.5</v>
      </c>
      <c r="Y80" s="2230"/>
      <c r="Z80" s="2256">
        <v>0</v>
      </c>
    </row>
    <row r="81" spans="4:26">
      <c r="D81" s="2767"/>
      <c r="H81" s="2351" t="s">
        <v>1937</v>
      </c>
      <c r="I81" s="2229">
        <v>58</v>
      </c>
      <c r="J81" s="2226" t="s">
        <v>110</v>
      </c>
      <c r="K81" s="2224" t="s">
        <v>845</v>
      </c>
      <c r="L81" s="2227">
        <v>23.33</v>
      </c>
      <c r="M81" s="2227">
        <v>23.33</v>
      </c>
      <c r="N81" s="2250">
        <v>1.6713929321392036E-3</v>
      </c>
      <c r="O81" s="2224">
        <v>3</v>
      </c>
      <c r="P81" s="2225" t="s">
        <v>996</v>
      </c>
      <c r="Q81" s="2229"/>
      <c r="R81" s="2229">
        <v>50</v>
      </c>
      <c r="S81" s="2228"/>
      <c r="T81" s="2997"/>
      <c r="U81" s="2228">
        <f t="shared" si="5"/>
        <v>2900</v>
      </c>
      <c r="V81" s="2228"/>
      <c r="W81" s="2999"/>
      <c r="X81" s="2230">
        <f t="shared" si="6"/>
        <v>1166.5</v>
      </c>
      <c r="Y81" s="2230"/>
      <c r="Z81" s="2256">
        <v>0</v>
      </c>
    </row>
    <row r="82" spans="4:26">
      <c r="D82" s="2767"/>
      <c r="H82" s="2351" t="s">
        <v>1938</v>
      </c>
      <c r="I82" s="2229">
        <v>59</v>
      </c>
      <c r="J82" s="2226" t="s">
        <v>110</v>
      </c>
      <c r="K82" s="2224" t="s">
        <v>845</v>
      </c>
      <c r="L82" s="2227">
        <v>24.29</v>
      </c>
      <c r="M82" s="2227">
        <v>24.29</v>
      </c>
      <c r="N82" s="2250">
        <v>3.6793079311520723E-3</v>
      </c>
      <c r="O82" s="2224">
        <v>3</v>
      </c>
      <c r="P82" s="2225" t="s">
        <v>996</v>
      </c>
      <c r="Q82" s="2229"/>
      <c r="R82" s="2229">
        <v>50</v>
      </c>
      <c r="S82" s="2228"/>
      <c r="T82" s="2997"/>
      <c r="U82" s="2228">
        <f t="shared" si="5"/>
        <v>2950</v>
      </c>
      <c r="V82" s="2228"/>
      <c r="W82" s="2999"/>
      <c r="X82" s="2230">
        <f t="shared" si="6"/>
        <v>1214.5</v>
      </c>
      <c r="Y82" s="2230"/>
      <c r="Z82" s="2256">
        <v>0</v>
      </c>
    </row>
    <row r="83" spans="4:26">
      <c r="D83" s="2767"/>
      <c r="H83" s="2351" t="s">
        <v>1939</v>
      </c>
      <c r="I83" s="2229">
        <v>61</v>
      </c>
      <c r="J83" s="2226" t="s">
        <v>110</v>
      </c>
      <c r="K83" s="2224" t="s">
        <v>845</v>
      </c>
      <c r="L83" s="2227">
        <v>24.29</v>
      </c>
      <c r="M83" s="2227">
        <v>24.29</v>
      </c>
      <c r="N83" s="2250">
        <v>2.2322630435953122E-3</v>
      </c>
      <c r="O83" s="2224">
        <v>3</v>
      </c>
      <c r="P83" s="2225" t="s">
        <v>996</v>
      </c>
      <c r="Q83" s="2229"/>
      <c r="R83" s="2229">
        <v>50</v>
      </c>
      <c r="S83" s="2228"/>
      <c r="T83" s="2997"/>
      <c r="U83" s="2228">
        <f t="shared" si="5"/>
        <v>3050</v>
      </c>
      <c r="V83" s="2228"/>
      <c r="W83" s="2999"/>
      <c r="X83" s="2230">
        <f t="shared" si="6"/>
        <v>1214.5</v>
      </c>
      <c r="Y83" s="2230"/>
      <c r="Z83" s="2256">
        <v>0</v>
      </c>
    </row>
    <row r="84" spans="4:26">
      <c r="H84" s="2351" t="s">
        <v>1940</v>
      </c>
      <c r="I84" s="2229">
        <v>77</v>
      </c>
      <c r="J84" s="2226" t="s">
        <v>110</v>
      </c>
      <c r="K84" s="2224" t="s">
        <v>845</v>
      </c>
      <c r="L84" s="2227">
        <v>24.29</v>
      </c>
      <c r="M84" s="2227">
        <v>24.29</v>
      </c>
      <c r="N84" s="2250">
        <v>2.3780892725739004E-3</v>
      </c>
      <c r="O84" s="2224">
        <v>3</v>
      </c>
      <c r="P84" s="2225" t="s">
        <v>996</v>
      </c>
      <c r="Q84" s="2229"/>
      <c r="R84" s="2229">
        <v>50</v>
      </c>
      <c r="S84" s="2228"/>
      <c r="T84" s="2997"/>
      <c r="U84" s="2228">
        <f t="shared" si="5"/>
        <v>3850</v>
      </c>
      <c r="V84" s="2228"/>
      <c r="W84" s="2999"/>
      <c r="X84" s="2230">
        <f t="shared" si="6"/>
        <v>1214.5</v>
      </c>
      <c r="Y84" s="2230"/>
      <c r="Z84" s="2256">
        <v>0</v>
      </c>
    </row>
    <row r="85" spans="4:26">
      <c r="H85" s="2351" t="s">
        <v>1941</v>
      </c>
      <c r="I85" s="2229">
        <v>84</v>
      </c>
      <c r="J85" s="2226" t="s">
        <v>110</v>
      </c>
      <c r="K85" s="2224" t="s">
        <v>845</v>
      </c>
      <c r="L85" s="2227">
        <v>24.29</v>
      </c>
      <c r="M85" s="2227">
        <v>24.29</v>
      </c>
      <c r="N85" s="2250">
        <v>3.1520900263833302E-3</v>
      </c>
      <c r="O85" s="2224">
        <v>3</v>
      </c>
      <c r="P85" s="2225" t="s">
        <v>996</v>
      </c>
      <c r="Q85" s="2229"/>
      <c r="R85" s="2229">
        <v>50</v>
      </c>
      <c r="S85" s="2228"/>
      <c r="T85" s="2997"/>
      <c r="U85" s="2228">
        <f t="shared" si="5"/>
        <v>4200</v>
      </c>
      <c r="V85" s="2228"/>
      <c r="W85" s="2999"/>
      <c r="X85" s="2230">
        <f t="shared" si="6"/>
        <v>1214.5</v>
      </c>
      <c r="Y85" s="2230"/>
      <c r="Z85" s="2256">
        <v>0</v>
      </c>
    </row>
    <row r="86" spans="4:26">
      <c r="H86" s="2351" t="s">
        <v>1942</v>
      </c>
      <c r="I86" s="2229">
        <v>92</v>
      </c>
      <c r="J86" s="2226" t="s">
        <v>110</v>
      </c>
      <c r="K86" s="2224" t="s">
        <v>845</v>
      </c>
      <c r="L86" s="2227">
        <v>24.29</v>
      </c>
      <c r="M86" s="2227">
        <v>24.29</v>
      </c>
      <c r="N86" s="2250">
        <v>3.096003015237719E-3</v>
      </c>
      <c r="O86" s="2224">
        <v>3</v>
      </c>
      <c r="P86" s="2225" t="s">
        <v>996</v>
      </c>
      <c r="Q86" s="2229"/>
      <c r="R86" s="2229">
        <v>50</v>
      </c>
      <c r="S86" s="2228"/>
      <c r="T86" s="2997"/>
      <c r="U86" s="2228">
        <f t="shared" si="5"/>
        <v>4600</v>
      </c>
      <c r="V86" s="2228"/>
      <c r="W86" s="2999"/>
      <c r="X86" s="2230">
        <f t="shared" si="6"/>
        <v>1214.5</v>
      </c>
      <c r="Y86" s="2230"/>
      <c r="Z86" s="2256">
        <v>0</v>
      </c>
    </row>
    <row r="87" spans="4:26">
      <c r="H87" s="2351" t="s">
        <v>1943</v>
      </c>
      <c r="I87" s="2229">
        <v>113</v>
      </c>
      <c r="J87" s="2226" t="s">
        <v>110</v>
      </c>
      <c r="K87" s="2224" t="s">
        <v>845</v>
      </c>
      <c r="L87" s="2227">
        <v>24.29</v>
      </c>
      <c r="M87" s="2227">
        <v>24.29</v>
      </c>
      <c r="N87" s="2250">
        <v>3.4773946910278729E-3</v>
      </c>
      <c r="O87" s="2224">
        <v>3</v>
      </c>
      <c r="P87" s="2225" t="s">
        <v>996</v>
      </c>
      <c r="Q87" s="2229"/>
      <c r="R87" s="2229">
        <v>50</v>
      </c>
      <c r="S87" s="2228"/>
      <c r="T87" s="2997"/>
      <c r="U87" s="2228">
        <f t="shared" si="5"/>
        <v>5650</v>
      </c>
      <c r="V87" s="2228"/>
      <c r="W87" s="2999"/>
      <c r="X87" s="2230">
        <f t="shared" si="6"/>
        <v>1214.5</v>
      </c>
      <c r="Y87" s="2230"/>
      <c r="Z87" s="2256">
        <v>0</v>
      </c>
    </row>
    <row r="88" spans="4:26">
      <c r="H88" s="2351" t="s">
        <v>1944</v>
      </c>
      <c r="I88" s="2229">
        <v>210</v>
      </c>
      <c r="J88" s="2226" t="s">
        <v>110</v>
      </c>
      <c r="K88" s="2224" t="s">
        <v>845</v>
      </c>
      <c r="L88" s="2227">
        <v>24.29</v>
      </c>
      <c r="M88" s="2227">
        <v>24.29</v>
      </c>
      <c r="N88" s="2250">
        <v>5.37313566774952E-3</v>
      </c>
      <c r="O88" s="2224">
        <v>3</v>
      </c>
      <c r="P88" s="2225" t="s">
        <v>996</v>
      </c>
      <c r="Q88" s="2229"/>
      <c r="R88" s="2229">
        <v>50</v>
      </c>
      <c r="S88" s="2228"/>
      <c r="T88" s="2997"/>
      <c r="U88" s="2228">
        <f t="shared" si="5"/>
        <v>10500</v>
      </c>
      <c r="V88" s="2228"/>
      <c r="W88" s="2999"/>
      <c r="X88" s="2230">
        <f t="shared" si="6"/>
        <v>1214.5</v>
      </c>
      <c r="Y88" s="2230"/>
      <c r="Z88" s="2256">
        <v>0</v>
      </c>
    </row>
    <row r="89" spans="4:26">
      <c r="H89" s="2351" t="s">
        <v>1945</v>
      </c>
      <c r="I89" s="2229">
        <v>82</v>
      </c>
      <c r="J89" s="2226" t="s">
        <v>110</v>
      </c>
      <c r="K89" s="2224" t="s">
        <v>845</v>
      </c>
      <c r="L89" s="2227">
        <v>24.29</v>
      </c>
      <c r="M89" s="2227">
        <v>24.29</v>
      </c>
      <c r="N89" s="2250">
        <v>2.5239155015524886E-3</v>
      </c>
      <c r="O89" s="2224">
        <v>3</v>
      </c>
      <c r="P89" s="2225" t="s">
        <v>996</v>
      </c>
      <c r="Q89" s="2229"/>
      <c r="R89" s="2229">
        <v>50</v>
      </c>
      <c r="S89" s="2228"/>
      <c r="T89" s="2997"/>
      <c r="U89" s="2228">
        <f t="shared" si="5"/>
        <v>4100</v>
      </c>
      <c r="V89" s="2228"/>
      <c r="W89" s="2999"/>
      <c r="X89" s="2230">
        <f t="shared" si="6"/>
        <v>1214.5</v>
      </c>
      <c r="Y89" s="2230"/>
      <c r="Z89" s="2256">
        <v>0</v>
      </c>
    </row>
    <row r="90" spans="4:26">
      <c r="H90" s="2351" t="s">
        <v>1946</v>
      </c>
      <c r="I90" s="2229">
        <v>84</v>
      </c>
      <c r="J90" s="2226" t="s">
        <v>110</v>
      </c>
      <c r="K90" s="2224" t="s">
        <v>845</v>
      </c>
      <c r="L90" s="2227">
        <v>31.63</v>
      </c>
      <c r="M90" s="2227">
        <v>31.63</v>
      </c>
      <c r="N90" s="2250">
        <v>5.2385268410000537E-3</v>
      </c>
      <c r="O90" s="2224">
        <v>3</v>
      </c>
      <c r="P90" s="2225" t="s">
        <v>996</v>
      </c>
      <c r="Q90" s="2229"/>
      <c r="R90" s="2229">
        <v>50</v>
      </c>
      <c r="S90" s="2228"/>
      <c r="T90" s="2997"/>
      <c r="U90" s="2228">
        <f t="shared" si="5"/>
        <v>4200</v>
      </c>
      <c r="V90" s="2228"/>
      <c r="W90" s="2999"/>
      <c r="X90" s="2230">
        <f t="shared" si="6"/>
        <v>1581.5</v>
      </c>
      <c r="Y90" s="2230"/>
      <c r="Z90" s="2256">
        <v>0</v>
      </c>
    </row>
    <row r="91" spans="4:26">
      <c r="H91" s="2351" t="s">
        <v>1947</v>
      </c>
      <c r="I91" s="2229">
        <v>87</v>
      </c>
      <c r="J91" s="2226" t="s">
        <v>110</v>
      </c>
      <c r="K91" s="2224" t="s">
        <v>845</v>
      </c>
      <c r="L91" s="2227">
        <v>31.63</v>
      </c>
      <c r="M91" s="2227">
        <v>31.63</v>
      </c>
      <c r="N91" s="2250">
        <v>3.1857422330706965E-3</v>
      </c>
      <c r="O91" s="2224">
        <v>3</v>
      </c>
      <c r="P91" s="2225" t="s">
        <v>996</v>
      </c>
      <c r="Q91" s="2229"/>
      <c r="R91" s="2229">
        <v>50</v>
      </c>
      <c r="S91" s="2228"/>
      <c r="T91" s="2997"/>
      <c r="U91" s="2228">
        <f t="shared" si="5"/>
        <v>4350</v>
      </c>
      <c r="V91" s="2228"/>
      <c r="W91" s="2999"/>
      <c r="X91" s="2230">
        <f t="shared" si="6"/>
        <v>1581.5</v>
      </c>
      <c r="Y91" s="2230"/>
      <c r="Z91" s="2256">
        <v>0</v>
      </c>
    </row>
    <row r="92" spans="4:26">
      <c r="H92" s="2351" t="s">
        <v>1948</v>
      </c>
      <c r="I92" s="2229">
        <v>110</v>
      </c>
      <c r="J92" s="2226" t="s">
        <v>110</v>
      </c>
      <c r="K92" s="2224" t="s">
        <v>845</v>
      </c>
      <c r="L92" s="2227">
        <v>31.63</v>
      </c>
      <c r="M92" s="2227">
        <v>31.63</v>
      </c>
      <c r="N92" s="2250">
        <v>3.3876554731948954E-3</v>
      </c>
      <c r="O92" s="2224">
        <v>3</v>
      </c>
      <c r="P92" s="2225" t="s">
        <v>996</v>
      </c>
      <c r="Q92" s="2229"/>
      <c r="R92" s="2229">
        <v>50</v>
      </c>
      <c r="S92" s="2228"/>
      <c r="T92" s="2997"/>
      <c r="U92" s="2228">
        <f t="shared" si="5"/>
        <v>5500</v>
      </c>
      <c r="V92" s="2228"/>
      <c r="W92" s="2999"/>
      <c r="X92" s="2230">
        <f t="shared" si="6"/>
        <v>1581.5</v>
      </c>
      <c r="Y92" s="2230"/>
      <c r="Z92" s="2256">
        <v>0</v>
      </c>
    </row>
    <row r="93" spans="4:26">
      <c r="H93" s="2351" t="s">
        <v>1949</v>
      </c>
      <c r="I93" s="2229">
        <v>120</v>
      </c>
      <c r="J93" s="2226" t="s">
        <v>110</v>
      </c>
      <c r="K93" s="2224" t="s">
        <v>845</v>
      </c>
      <c r="L93" s="2227">
        <v>31.63</v>
      </c>
      <c r="M93" s="2227">
        <v>31.63</v>
      </c>
      <c r="N93" s="2250">
        <v>4.4981782938779908E-3</v>
      </c>
      <c r="O93" s="2224">
        <v>3</v>
      </c>
      <c r="P93" s="2225" t="s">
        <v>996</v>
      </c>
      <c r="Q93" s="2229"/>
      <c r="R93" s="2229">
        <v>50</v>
      </c>
      <c r="S93" s="2228"/>
      <c r="T93" s="2997"/>
      <c r="U93" s="2228">
        <f t="shared" si="5"/>
        <v>6000</v>
      </c>
      <c r="V93" s="2228"/>
      <c r="W93" s="2999"/>
      <c r="X93" s="2230">
        <f t="shared" si="6"/>
        <v>1581.5</v>
      </c>
      <c r="Y93" s="2230"/>
      <c r="Z93" s="2256">
        <v>0</v>
      </c>
    </row>
    <row r="94" spans="4:26">
      <c r="H94" s="2351" t="s">
        <v>1950</v>
      </c>
      <c r="I94" s="2229">
        <v>131</v>
      </c>
      <c r="J94" s="2226" t="s">
        <v>110</v>
      </c>
      <c r="K94" s="2224" t="s">
        <v>845</v>
      </c>
      <c r="L94" s="2227">
        <v>31.63</v>
      </c>
      <c r="M94" s="2227">
        <v>31.63</v>
      </c>
      <c r="N94" s="2250">
        <v>4.4084390760450133E-3</v>
      </c>
      <c r="O94" s="2224">
        <v>3</v>
      </c>
      <c r="P94" s="2225" t="s">
        <v>996</v>
      </c>
      <c r="Q94" s="2229"/>
      <c r="R94" s="2229">
        <v>50</v>
      </c>
      <c r="S94" s="2228"/>
      <c r="T94" s="2997"/>
      <c r="U94" s="2228">
        <f t="shared" si="5"/>
        <v>6550</v>
      </c>
      <c r="V94" s="2228"/>
      <c r="W94" s="2999"/>
      <c r="X94" s="2230">
        <f t="shared" si="6"/>
        <v>1581.5</v>
      </c>
      <c r="Y94" s="2230"/>
      <c r="Z94" s="2256">
        <v>0</v>
      </c>
    </row>
    <row r="95" spans="4:26">
      <c r="H95" s="2351" t="s">
        <v>1951</v>
      </c>
      <c r="I95" s="2229">
        <v>161</v>
      </c>
      <c r="J95" s="2226" t="s">
        <v>110</v>
      </c>
      <c r="K95" s="2224" t="s">
        <v>845</v>
      </c>
      <c r="L95" s="2227">
        <v>31.63</v>
      </c>
      <c r="M95" s="2227">
        <v>31.63</v>
      </c>
      <c r="N95" s="2250">
        <v>4.9580917852719997E-3</v>
      </c>
      <c r="O95" s="2224">
        <v>3</v>
      </c>
      <c r="P95" s="2225" t="s">
        <v>996</v>
      </c>
      <c r="Q95" s="2229"/>
      <c r="R95" s="2229">
        <v>50</v>
      </c>
      <c r="S95" s="2228"/>
      <c r="T95" s="2997"/>
      <c r="U95" s="2228">
        <f t="shared" si="5"/>
        <v>8050</v>
      </c>
      <c r="V95" s="2228"/>
      <c r="W95" s="2999"/>
      <c r="X95" s="2230">
        <f t="shared" si="6"/>
        <v>1581.5</v>
      </c>
      <c r="Y95" s="2230"/>
      <c r="Z95" s="2256">
        <v>0</v>
      </c>
    </row>
    <row r="96" spans="4:26">
      <c r="H96" s="2351" t="s">
        <v>1952</v>
      </c>
      <c r="I96" s="2229">
        <v>299</v>
      </c>
      <c r="J96" s="2226" t="s">
        <v>110</v>
      </c>
      <c r="K96" s="2224" t="s">
        <v>845</v>
      </c>
      <c r="L96" s="2227">
        <v>31.63</v>
      </c>
      <c r="M96" s="2227">
        <v>31.63</v>
      </c>
      <c r="N96" s="2250">
        <v>7.6502683202613209E-3</v>
      </c>
      <c r="O96" s="2224">
        <v>3</v>
      </c>
      <c r="P96" s="2225" t="s">
        <v>996</v>
      </c>
      <c r="Q96" s="2229"/>
      <c r="R96" s="2229">
        <v>50</v>
      </c>
      <c r="S96" s="2228"/>
      <c r="T96" s="2997"/>
      <c r="U96" s="2228">
        <f t="shared" si="5"/>
        <v>14950</v>
      </c>
      <c r="V96" s="2228"/>
      <c r="W96" s="2999"/>
      <c r="X96" s="2230">
        <f t="shared" si="6"/>
        <v>1581.5</v>
      </c>
      <c r="Y96" s="2230"/>
      <c r="Z96" s="2256">
        <v>0</v>
      </c>
    </row>
    <row r="97" spans="8:26">
      <c r="H97" s="2351" t="s">
        <v>1953</v>
      </c>
      <c r="I97" s="2229">
        <v>70</v>
      </c>
      <c r="J97" s="2226" t="s">
        <v>110</v>
      </c>
      <c r="K97" s="2224" t="s">
        <v>845</v>
      </c>
      <c r="L97" s="2227">
        <v>31.63</v>
      </c>
      <c r="M97" s="2227">
        <v>31.63</v>
      </c>
      <c r="N97" s="2250">
        <v>2.546350306010733E-3</v>
      </c>
      <c r="O97" s="2224">
        <v>3</v>
      </c>
      <c r="P97" s="2225" t="s">
        <v>996</v>
      </c>
      <c r="Q97" s="2229"/>
      <c r="R97" s="2229">
        <v>50</v>
      </c>
      <c r="S97" s="2228"/>
      <c r="T97" s="2997"/>
      <c r="U97" s="2228">
        <f t="shared" si="5"/>
        <v>3500</v>
      </c>
      <c r="V97" s="2228"/>
      <c r="W97" s="2999"/>
      <c r="X97" s="2230">
        <f t="shared" si="6"/>
        <v>1581.5</v>
      </c>
      <c r="Y97" s="2230"/>
      <c r="Z97" s="2256">
        <v>0</v>
      </c>
    </row>
    <row r="98" spans="8:26">
      <c r="H98" s="2351" t="s">
        <v>1954</v>
      </c>
      <c r="I98" s="2229">
        <v>71</v>
      </c>
      <c r="J98" s="2226" t="s">
        <v>110</v>
      </c>
      <c r="K98" s="2224" t="s">
        <v>845</v>
      </c>
      <c r="L98" s="2227">
        <v>35.71</v>
      </c>
      <c r="M98" s="2227">
        <v>35.71</v>
      </c>
      <c r="N98" s="2250">
        <v>4.453308684961502E-3</v>
      </c>
      <c r="O98" s="2224">
        <v>3</v>
      </c>
      <c r="P98" s="2225" t="s">
        <v>996</v>
      </c>
      <c r="Q98" s="2229"/>
      <c r="R98" s="2229">
        <v>50</v>
      </c>
      <c r="S98" s="2228"/>
      <c r="T98" s="2997"/>
      <c r="U98" s="2228">
        <f t="shared" si="5"/>
        <v>3550</v>
      </c>
      <c r="V98" s="2228"/>
      <c r="W98" s="2999"/>
      <c r="X98" s="2230">
        <f t="shared" si="6"/>
        <v>1785.5</v>
      </c>
      <c r="Y98" s="2230"/>
      <c r="Z98" s="2256">
        <v>0</v>
      </c>
    </row>
    <row r="99" spans="8:26">
      <c r="H99" s="2351" t="s">
        <v>1955</v>
      </c>
      <c r="I99" s="2229">
        <v>74</v>
      </c>
      <c r="J99" s="2226" t="s">
        <v>110</v>
      </c>
      <c r="K99" s="2224" t="s">
        <v>845</v>
      </c>
      <c r="L99" s="2227">
        <v>35.71</v>
      </c>
      <c r="M99" s="2227">
        <v>35.71</v>
      </c>
      <c r="N99" s="2250">
        <v>2.7033939372184432E-3</v>
      </c>
      <c r="O99" s="2224">
        <v>3</v>
      </c>
      <c r="P99" s="2225" t="s">
        <v>996</v>
      </c>
      <c r="Q99" s="2229"/>
      <c r="R99" s="2229">
        <v>50</v>
      </c>
      <c r="S99" s="2228"/>
      <c r="T99" s="2997"/>
      <c r="U99" s="2228">
        <f t="shared" si="5"/>
        <v>3700</v>
      </c>
      <c r="V99" s="2228"/>
      <c r="W99" s="2999"/>
      <c r="X99" s="2230">
        <f t="shared" si="6"/>
        <v>1785.5</v>
      </c>
      <c r="Y99" s="2230"/>
      <c r="Z99" s="2256">
        <v>0</v>
      </c>
    </row>
    <row r="100" spans="8:26">
      <c r="H100" s="2351" t="s">
        <v>1956</v>
      </c>
      <c r="I100" s="2229">
        <v>93</v>
      </c>
      <c r="J100" s="2226" t="s">
        <v>110</v>
      </c>
      <c r="K100" s="2224" t="s">
        <v>845</v>
      </c>
      <c r="L100" s="2227">
        <v>35.71</v>
      </c>
      <c r="M100" s="2227">
        <v>35.71</v>
      </c>
      <c r="N100" s="2250">
        <v>2.8716549706552757E-3</v>
      </c>
      <c r="O100" s="2224">
        <v>3</v>
      </c>
      <c r="P100" s="2225" t="s">
        <v>996</v>
      </c>
      <c r="Q100" s="2229"/>
      <c r="R100" s="2229">
        <v>50</v>
      </c>
      <c r="S100" s="2228"/>
      <c r="T100" s="2997"/>
      <c r="U100" s="2228">
        <f t="shared" si="5"/>
        <v>4650</v>
      </c>
      <c r="V100" s="2228"/>
      <c r="W100" s="2999"/>
      <c r="X100" s="2230">
        <f t="shared" si="6"/>
        <v>1785.5</v>
      </c>
      <c r="Y100" s="2230"/>
      <c r="Z100" s="2256">
        <v>0</v>
      </c>
    </row>
    <row r="101" spans="8:26">
      <c r="H101" s="2351" t="s">
        <v>1957</v>
      </c>
      <c r="I101" s="2229">
        <v>103</v>
      </c>
      <c r="J101" s="2226" t="s">
        <v>110</v>
      </c>
      <c r="K101" s="2224" t="s">
        <v>845</v>
      </c>
      <c r="L101" s="2227">
        <v>35.71</v>
      </c>
      <c r="M101" s="2227">
        <v>35.71</v>
      </c>
      <c r="N101" s="2250">
        <v>3.8475689645889048E-3</v>
      </c>
      <c r="O101" s="2224">
        <v>3</v>
      </c>
      <c r="P101" s="2225" t="s">
        <v>996</v>
      </c>
      <c r="Q101" s="2229"/>
      <c r="R101" s="2229">
        <v>50</v>
      </c>
      <c r="S101" s="2228"/>
      <c r="T101" s="2997"/>
      <c r="U101" s="2228">
        <f t="shared" si="5"/>
        <v>5150</v>
      </c>
      <c r="V101" s="2228"/>
      <c r="W101" s="2999"/>
      <c r="X101" s="2230">
        <f t="shared" si="6"/>
        <v>1785.5</v>
      </c>
      <c r="Y101" s="2230"/>
      <c r="Z101" s="2256">
        <v>0</v>
      </c>
    </row>
    <row r="102" spans="8:26">
      <c r="H102" s="2351" t="s">
        <v>1958</v>
      </c>
      <c r="I102" s="2229">
        <v>112</v>
      </c>
      <c r="J102" s="2226" t="s">
        <v>110</v>
      </c>
      <c r="K102" s="2224" t="s">
        <v>845</v>
      </c>
      <c r="L102" s="2227">
        <v>35.71</v>
      </c>
      <c r="M102" s="2227">
        <v>35.71</v>
      </c>
      <c r="N102" s="2250">
        <v>3.7690471489850493E-3</v>
      </c>
      <c r="O102" s="2224">
        <v>3</v>
      </c>
      <c r="P102" s="2225" t="s">
        <v>996</v>
      </c>
      <c r="Q102" s="2229"/>
      <c r="R102" s="2229">
        <v>50</v>
      </c>
      <c r="S102" s="2228"/>
      <c r="T102" s="2997"/>
      <c r="U102" s="2228">
        <f t="shared" si="5"/>
        <v>5600</v>
      </c>
      <c r="V102" s="2228"/>
      <c r="W102" s="2999"/>
      <c r="X102" s="2230">
        <f t="shared" si="6"/>
        <v>1785.5</v>
      </c>
      <c r="Y102" s="2230"/>
      <c r="Z102" s="2256">
        <v>0</v>
      </c>
    </row>
    <row r="103" spans="8:26">
      <c r="H103" s="2351" t="s">
        <v>1959</v>
      </c>
      <c r="I103" s="2229">
        <v>137</v>
      </c>
      <c r="J103" s="2226" t="s">
        <v>110</v>
      </c>
      <c r="K103" s="2224" t="s">
        <v>845</v>
      </c>
      <c r="L103" s="2227">
        <v>35.71</v>
      </c>
      <c r="M103" s="2227">
        <v>35.71</v>
      </c>
      <c r="N103" s="2250">
        <v>4.2289606403790583E-3</v>
      </c>
      <c r="O103" s="2224">
        <v>3</v>
      </c>
      <c r="P103" s="2225" t="s">
        <v>996</v>
      </c>
      <c r="Q103" s="2229"/>
      <c r="R103" s="2229">
        <v>50</v>
      </c>
      <c r="S103" s="2228"/>
      <c r="T103" s="2997"/>
      <c r="U103" s="2228">
        <f t="shared" si="5"/>
        <v>6850</v>
      </c>
      <c r="V103" s="2228"/>
      <c r="W103" s="2999"/>
      <c r="X103" s="2230">
        <f t="shared" si="6"/>
        <v>1785.5</v>
      </c>
      <c r="Y103" s="2230"/>
      <c r="Z103" s="2256">
        <v>0</v>
      </c>
    </row>
    <row r="104" spans="8:26">
      <c r="H104" s="2351" t="s">
        <v>1960</v>
      </c>
      <c r="I104" s="2229">
        <v>255</v>
      </c>
      <c r="J104" s="2226" t="s">
        <v>110</v>
      </c>
      <c r="K104" s="2224" t="s">
        <v>845</v>
      </c>
      <c r="L104" s="2227">
        <v>35.71</v>
      </c>
      <c r="M104" s="2227">
        <v>35.71</v>
      </c>
      <c r="N104" s="2250">
        <v>6.5173106951199817E-3</v>
      </c>
      <c r="O104" s="2224">
        <v>3</v>
      </c>
      <c r="P104" s="2225" t="s">
        <v>996</v>
      </c>
      <c r="Q104" s="2229"/>
      <c r="R104" s="2229">
        <v>50</v>
      </c>
      <c r="S104" s="2228"/>
      <c r="T104" s="2997"/>
      <c r="U104" s="2228">
        <f t="shared" si="5"/>
        <v>12750</v>
      </c>
      <c r="V104" s="2228"/>
      <c r="W104" s="2999"/>
      <c r="X104" s="2230">
        <f t="shared" si="6"/>
        <v>1785.5</v>
      </c>
      <c r="Y104" s="2230"/>
      <c r="Z104" s="2256">
        <v>0</v>
      </c>
    </row>
    <row r="105" spans="8:26">
      <c r="H105" s="2351" t="s">
        <v>1961</v>
      </c>
      <c r="I105" s="2229">
        <v>95</v>
      </c>
      <c r="J105" s="2226" t="s">
        <v>110</v>
      </c>
      <c r="K105" s="2224" t="s">
        <v>845</v>
      </c>
      <c r="L105" s="2227">
        <v>35.71</v>
      </c>
      <c r="M105" s="2227">
        <v>35.71</v>
      </c>
      <c r="N105" s="2250">
        <v>2.9613941884882532E-3</v>
      </c>
      <c r="O105" s="2224">
        <v>3</v>
      </c>
      <c r="P105" s="2225" t="s">
        <v>996</v>
      </c>
      <c r="Q105" s="2229"/>
      <c r="R105" s="2229">
        <v>50</v>
      </c>
      <c r="S105" s="2228"/>
      <c r="T105" s="2997"/>
      <c r="U105" s="2228">
        <f t="shared" si="5"/>
        <v>4750</v>
      </c>
      <c r="V105" s="2228"/>
      <c r="W105" s="2999"/>
      <c r="X105" s="2230">
        <f t="shared" si="6"/>
        <v>1785.5</v>
      </c>
      <c r="Y105" s="2230"/>
      <c r="Z105" s="2256">
        <v>0</v>
      </c>
    </row>
    <row r="106" spans="8:26">
      <c r="H106" s="2351" t="s">
        <v>1962</v>
      </c>
      <c r="I106" s="2229">
        <v>96</v>
      </c>
      <c r="J106" s="2226" t="s">
        <v>110</v>
      </c>
      <c r="K106" s="2224" t="s">
        <v>845</v>
      </c>
      <c r="L106" s="2227">
        <v>35.71</v>
      </c>
      <c r="M106" s="2227">
        <v>35.71</v>
      </c>
      <c r="N106" s="2250">
        <v>6.0125275948094839E-3</v>
      </c>
      <c r="O106" s="2224">
        <v>3</v>
      </c>
      <c r="P106" s="2225" t="s">
        <v>996</v>
      </c>
      <c r="Q106" s="2229"/>
      <c r="R106" s="2229">
        <v>50</v>
      </c>
      <c r="S106" s="2228"/>
      <c r="T106" s="2997"/>
      <c r="U106" s="2228">
        <f t="shared" si="5"/>
        <v>4800</v>
      </c>
      <c r="V106" s="2228"/>
      <c r="W106" s="2999"/>
      <c r="X106" s="2230">
        <f t="shared" si="6"/>
        <v>1785.5</v>
      </c>
      <c r="Y106" s="2230"/>
      <c r="Z106" s="2256">
        <v>0</v>
      </c>
    </row>
    <row r="107" spans="8:26">
      <c r="H107" s="2351" t="s">
        <v>1963</v>
      </c>
      <c r="I107" s="2229">
        <v>100</v>
      </c>
      <c r="J107" s="2226" t="s">
        <v>110</v>
      </c>
      <c r="K107" s="2224" t="s">
        <v>845</v>
      </c>
      <c r="L107" s="2227">
        <v>35.71</v>
      </c>
      <c r="M107" s="2227">
        <v>35.71</v>
      </c>
      <c r="N107" s="2250">
        <v>3.6568731266938279E-3</v>
      </c>
      <c r="O107" s="2224">
        <v>3</v>
      </c>
      <c r="P107" s="2225" t="s">
        <v>996</v>
      </c>
      <c r="Q107" s="2229"/>
      <c r="R107" s="2229">
        <v>50</v>
      </c>
      <c r="S107" s="2228"/>
      <c r="T107" s="2997"/>
      <c r="U107" s="2228">
        <f t="shared" si="5"/>
        <v>5000</v>
      </c>
      <c r="V107" s="2228"/>
      <c r="W107" s="2999"/>
      <c r="X107" s="2230">
        <f t="shared" si="6"/>
        <v>1785.5</v>
      </c>
      <c r="Y107" s="2230"/>
      <c r="Z107" s="2256">
        <v>0</v>
      </c>
    </row>
    <row r="108" spans="8:26">
      <c r="H108" s="2351" t="s">
        <v>1964</v>
      </c>
      <c r="I108" s="2229">
        <v>126</v>
      </c>
      <c r="J108" s="2226" t="s">
        <v>110</v>
      </c>
      <c r="K108" s="2224" t="s">
        <v>845</v>
      </c>
      <c r="L108" s="2227">
        <v>35.71</v>
      </c>
      <c r="M108" s="2227">
        <v>35.71</v>
      </c>
      <c r="N108" s="2250">
        <v>3.8924385735053931E-3</v>
      </c>
      <c r="O108" s="2224">
        <v>3</v>
      </c>
      <c r="P108" s="2225" t="s">
        <v>996</v>
      </c>
      <c r="Q108" s="2229"/>
      <c r="R108" s="2229">
        <v>50</v>
      </c>
      <c r="S108" s="2228"/>
      <c r="T108" s="2997"/>
      <c r="U108" s="2228">
        <f t="shared" si="5"/>
        <v>6300</v>
      </c>
      <c r="V108" s="2228"/>
      <c r="W108" s="2999"/>
      <c r="X108" s="2230">
        <f t="shared" si="6"/>
        <v>1785.5</v>
      </c>
      <c r="Y108" s="2230"/>
      <c r="Z108" s="2256">
        <v>0</v>
      </c>
    </row>
    <row r="109" spans="8:26">
      <c r="H109" s="2351" t="s">
        <v>1965</v>
      </c>
      <c r="I109" s="2229">
        <v>139</v>
      </c>
      <c r="J109" s="2226" t="s">
        <v>110</v>
      </c>
      <c r="K109" s="2224" t="s">
        <v>845</v>
      </c>
      <c r="L109" s="2227">
        <v>35.71</v>
      </c>
      <c r="M109" s="2227">
        <v>35.71</v>
      </c>
      <c r="N109" s="2250">
        <v>5.193657232083565E-3</v>
      </c>
      <c r="O109" s="2224">
        <v>3</v>
      </c>
      <c r="P109" s="2225" t="s">
        <v>996</v>
      </c>
      <c r="Q109" s="2229"/>
      <c r="R109" s="2229">
        <v>50</v>
      </c>
      <c r="S109" s="2228"/>
      <c r="T109" s="2997"/>
      <c r="U109" s="2228">
        <f t="shared" si="5"/>
        <v>6950</v>
      </c>
      <c r="V109" s="2228"/>
      <c r="W109" s="2999"/>
      <c r="X109" s="2230">
        <f t="shared" si="6"/>
        <v>1785.5</v>
      </c>
      <c r="Y109" s="2230"/>
      <c r="Z109" s="2256">
        <v>0</v>
      </c>
    </row>
    <row r="110" spans="8:26">
      <c r="H110" s="2351" t="s">
        <v>1966</v>
      </c>
      <c r="I110" s="2229">
        <v>151</v>
      </c>
      <c r="J110" s="2226" t="s">
        <v>110</v>
      </c>
      <c r="K110" s="2224" t="s">
        <v>845</v>
      </c>
      <c r="L110" s="2227">
        <v>35.71</v>
      </c>
      <c r="M110" s="2227">
        <v>35.71</v>
      </c>
      <c r="N110" s="2250">
        <v>5.0814832097923436E-3</v>
      </c>
      <c r="O110" s="2224">
        <v>3</v>
      </c>
      <c r="P110" s="2225" t="s">
        <v>996</v>
      </c>
      <c r="Q110" s="2229"/>
      <c r="R110" s="2229">
        <v>50</v>
      </c>
      <c r="S110" s="2228"/>
      <c r="T110" s="2997"/>
      <c r="U110" s="2228">
        <f t="shared" si="5"/>
        <v>7550</v>
      </c>
      <c r="V110" s="2228"/>
      <c r="W110" s="2999"/>
      <c r="X110" s="2230">
        <f t="shared" si="6"/>
        <v>1785.5</v>
      </c>
      <c r="Y110" s="2230"/>
      <c r="Z110" s="2256">
        <v>0</v>
      </c>
    </row>
    <row r="111" spans="8:26">
      <c r="H111" s="2351" t="s">
        <v>1967</v>
      </c>
      <c r="I111" s="2229">
        <v>185</v>
      </c>
      <c r="J111" s="2226" t="s">
        <v>110</v>
      </c>
      <c r="K111" s="2224" t="s">
        <v>845</v>
      </c>
      <c r="L111" s="2227">
        <v>35.71</v>
      </c>
      <c r="M111" s="2227">
        <v>35.71</v>
      </c>
      <c r="N111" s="2250">
        <v>5.7096577346231851E-3</v>
      </c>
      <c r="O111" s="2224">
        <v>3</v>
      </c>
      <c r="P111" s="2225" t="s">
        <v>996</v>
      </c>
      <c r="Q111" s="2229"/>
      <c r="R111" s="2229">
        <v>50</v>
      </c>
      <c r="S111" s="2228"/>
      <c r="T111" s="2997"/>
      <c r="U111" s="2228">
        <f t="shared" si="5"/>
        <v>9250</v>
      </c>
      <c r="V111" s="2228"/>
      <c r="W111" s="2999"/>
      <c r="X111" s="2230">
        <f t="shared" si="6"/>
        <v>1785.5</v>
      </c>
      <c r="Y111" s="2230"/>
      <c r="Z111" s="2256">
        <v>0</v>
      </c>
    </row>
    <row r="112" spans="8:26">
      <c r="H112" s="2351" t="s">
        <v>1968</v>
      </c>
      <c r="I112" s="2229">
        <v>344</v>
      </c>
      <c r="J112" s="2226" t="s">
        <v>110</v>
      </c>
      <c r="K112" s="2224" t="s">
        <v>845</v>
      </c>
      <c r="L112" s="2227">
        <v>35.71</v>
      </c>
      <c r="M112" s="2227">
        <v>35.71</v>
      </c>
      <c r="N112" s="2250">
        <v>8.7944433476317817E-3</v>
      </c>
      <c r="O112" s="2224">
        <v>3</v>
      </c>
      <c r="P112" s="2225" t="s">
        <v>996</v>
      </c>
      <c r="Q112" s="2229"/>
      <c r="R112" s="2229">
        <v>50</v>
      </c>
      <c r="S112" s="2228"/>
      <c r="T112" s="2997"/>
      <c r="U112" s="2228">
        <f t="shared" ref="U112:U143" si="7">I112*R112</f>
        <v>17200</v>
      </c>
      <c r="V112" s="2228"/>
      <c r="W112" s="2999"/>
      <c r="X112" s="2230">
        <f t="shared" ref="X112:X143" si="8">M112*R112</f>
        <v>1785.5</v>
      </c>
      <c r="Y112" s="2230"/>
      <c r="Z112" s="2256">
        <v>0</v>
      </c>
    </row>
    <row r="113" spans="8:26">
      <c r="H113" s="2351" t="s">
        <v>1969</v>
      </c>
      <c r="I113" s="2229">
        <v>159</v>
      </c>
      <c r="J113" s="2226" t="s">
        <v>110</v>
      </c>
      <c r="K113" s="2224" t="s">
        <v>845</v>
      </c>
      <c r="L113" s="2227">
        <v>35.71</v>
      </c>
      <c r="M113" s="2227">
        <v>35.71</v>
      </c>
      <c r="N113" s="2250">
        <v>4.6888741317730673E-3</v>
      </c>
      <c r="O113" s="2224">
        <v>3</v>
      </c>
      <c r="P113" s="2225" t="s">
        <v>996</v>
      </c>
      <c r="Q113" s="2229"/>
      <c r="R113" s="2229">
        <v>50</v>
      </c>
      <c r="S113" s="2228"/>
      <c r="T113" s="2997"/>
      <c r="U113" s="2228">
        <f t="shared" si="7"/>
        <v>7950</v>
      </c>
      <c r="V113" s="2228"/>
      <c r="W113" s="2999"/>
      <c r="X113" s="2230">
        <f t="shared" si="8"/>
        <v>1785.5</v>
      </c>
      <c r="Y113" s="2230"/>
      <c r="Z113" s="2256">
        <v>0</v>
      </c>
    </row>
    <row r="114" spans="8:26">
      <c r="H114" s="2351" t="s">
        <v>1970</v>
      </c>
      <c r="I114" s="2229">
        <v>58</v>
      </c>
      <c r="J114" s="2226" t="s">
        <v>110</v>
      </c>
      <c r="K114" s="2224" t="s">
        <v>845</v>
      </c>
      <c r="L114" s="2227">
        <v>13.68</v>
      </c>
      <c r="M114" s="2227">
        <v>13.68</v>
      </c>
      <c r="N114" s="2250">
        <v>3.0847856130085971E-3</v>
      </c>
      <c r="O114" s="2224">
        <v>3</v>
      </c>
      <c r="P114" s="2225" t="s">
        <v>996</v>
      </c>
      <c r="Q114" s="2229"/>
      <c r="R114" s="2229">
        <v>50</v>
      </c>
      <c r="S114" s="2228"/>
      <c r="T114" s="2997"/>
      <c r="U114" s="2228">
        <f t="shared" si="7"/>
        <v>2900</v>
      </c>
      <c r="V114" s="2228"/>
      <c r="W114" s="2999"/>
      <c r="X114" s="2230">
        <f t="shared" si="8"/>
        <v>684</v>
      </c>
      <c r="Y114" s="2230"/>
      <c r="Z114" s="2256">
        <v>0</v>
      </c>
    </row>
    <row r="115" spans="8:26">
      <c r="H115" s="2351" t="s">
        <v>1971</v>
      </c>
      <c r="I115" s="2229">
        <v>44</v>
      </c>
      <c r="J115" s="2226" t="s">
        <v>110</v>
      </c>
      <c r="K115" s="2224" t="s">
        <v>845</v>
      </c>
      <c r="L115" s="2227">
        <v>13.68</v>
      </c>
      <c r="M115" s="2227">
        <v>13.68</v>
      </c>
      <c r="N115" s="2250">
        <v>1.637740725451837E-3</v>
      </c>
      <c r="O115" s="2224">
        <v>3</v>
      </c>
      <c r="P115" s="2225" t="s">
        <v>996</v>
      </c>
      <c r="Q115" s="2229"/>
      <c r="R115" s="2229">
        <v>50</v>
      </c>
      <c r="S115" s="2228"/>
      <c r="T115" s="2997"/>
      <c r="U115" s="2228">
        <f t="shared" si="7"/>
        <v>2200</v>
      </c>
      <c r="V115" s="2228"/>
      <c r="W115" s="2999"/>
      <c r="X115" s="2230">
        <f t="shared" si="8"/>
        <v>684</v>
      </c>
      <c r="Y115" s="2230"/>
      <c r="Z115" s="2256">
        <v>0</v>
      </c>
    </row>
    <row r="116" spans="8:26">
      <c r="H116" s="2351" t="s">
        <v>1972</v>
      </c>
      <c r="I116" s="2229">
        <v>86</v>
      </c>
      <c r="J116" s="2226" t="s">
        <v>110</v>
      </c>
      <c r="K116" s="2224" t="s">
        <v>845</v>
      </c>
      <c r="L116" s="2227">
        <v>13.68</v>
      </c>
      <c r="M116" s="2227">
        <v>13.68</v>
      </c>
      <c r="N116" s="2250">
        <v>2.4229588814903887E-3</v>
      </c>
      <c r="O116" s="2224">
        <v>3</v>
      </c>
      <c r="P116" s="2225" t="s">
        <v>996</v>
      </c>
      <c r="Q116" s="2229"/>
      <c r="R116" s="2229">
        <v>50</v>
      </c>
      <c r="S116" s="2228"/>
      <c r="T116" s="2997"/>
      <c r="U116" s="2228">
        <f t="shared" si="7"/>
        <v>4300</v>
      </c>
      <c r="V116" s="2228"/>
      <c r="W116" s="2999"/>
      <c r="X116" s="2230">
        <f t="shared" si="8"/>
        <v>684</v>
      </c>
      <c r="Y116" s="2230"/>
      <c r="Z116" s="2256">
        <v>0</v>
      </c>
    </row>
    <row r="117" spans="8:26">
      <c r="H117" s="2351" t="s">
        <v>1973</v>
      </c>
      <c r="I117" s="2229">
        <v>70</v>
      </c>
      <c r="J117" s="2226" t="s">
        <v>110</v>
      </c>
      <c r="K117" s="2224" t="s">
        <v>845</v>
      </c>
      <c r="L117" s="2227">
        <v>13.68</v>
      </c>
      <c r="M117" s="2227">
        <v>13.68</v>
      </c>
      <c r="N117" s="2250">
        <v>2.5351329037816106E-3</v>
      </c>
      <c r="O117" s="2224">
        <v>3</v>
      </c>
      <c r="P117" s="2225" t="s">
        <v>996</v>
      </c>
      <c r="Q117" s="2229"/>
      <c r="R117" s="2229">
        <v>50</v>
      </c>
      <c r="S117" s="2228"/>
      <c r="T117" s="2997"/>
      <c r="U117" s="2228">
        <f t="shared" si="7"/>
        <v>3500</v>
      </c>
      <c r="V117" s="2228"/>
      <c r="W117" s="2999"/>
      <c r="X117" s="2230">
        <f t="shared" si="8"/>
        <v>684</v>
      </c>
      <c r="Y117" s="2230"/>
      <c r="Z117" s="2256">
        <v>0</v>
      </c>
    </row>
    <row r="118" spans="8:26">
      <c r="H118" s="2351" t="s">
        <v>1974</v>
      </c>
      <c r="I118" s="2229">
        <v>64</v>
      </c>
      <c r="J118" s="2226" t="s">
        <v>110</v>
      </c>
      <c r="K118" s="2224" t="s">
        <v>845</v>
      </c>
      <c r="L118" s="2227">
        <v>13.68</v>
      </c>
      <c r="M118" s="2227">
        <v>13.68</v>
      </c>
      <c r="N118" s="2250">
        <v>2.2210456413661898E-3</v>
      </c>
      <c r="O118" s="2224">
        <v>3</v>
      </c>
      <c r="P118" s="2225" t="s">
        <v>996</v>
      </c>
      <c r="Q118" s="2229"/>
      <c r="R118" s="2229">
        <v>50</v>
      </c>
      <c r="S118" s="2228"/>
      <c r="T118" s="2997"/>
      <c r="U118" s="2228">
        <f t="shared" si="7"/>
        <v>3200</v>
      </c>
      <c r="V118" s="2228"/>
      <c r="W118" s="2999"/>
      <c r="X118" s="2230">
        <f t="shared" si="8"/>
        <v>684</v>
      </c>
      <c r="Y118" s="2230"/>
      <c r="Z118" s="2256">
        <v>0</v>
      </c>
    </row>
    <row r="119" spans="8:26">
      <c r="H119" s="2351" t="s">
        <v>1975</v>
      </c>
      <c r="I119" s="2229">
        <v>45</v>
      </c>
      <c r="J119" s="2226" t="s">
        <v>110</v>
      </c>
      <c r="K119" s="2224" t="s">
        <v>845</v>
      </c>
      <c r="L119" s="2227">
        <v>13.68</v>
      </c>
      <c r="M119" s="2227">
        <v>13.68</v>
      </c>
      <c r="N119" s="2250">
        <v>1.7274799432848143E-3</v>
      </c>
      <c r="O119" s="2224">
        <v>3</v>
      </c>
      <c r="P119" s="2225" t="s">
        <v>996</v>
      </c>
      <c r="Q119" s="2229"/>
      <c r="R119" s="2229">
        <v>50</v>
      </c>
      <c r="S119" s="2228"/>
      <c r="T119" s="2997"/>
      <c r="U119" s="2228">
        <f t="shared" si="7"/>
        <v>2250</v>
      </c>
      <c r="V119" s="2228"/>
      <c r="W119" s="2999"/>
      <c r="X119" s="2230">
        <f t="shared" si="8"/>
        <v>684</v>
      </c>
      <c r="Y119" s="2230"/>
      <c r="Z119" s="2256">
        <v>0</v>
      </c>
    </row>
    <row r="120" spans="8:26">
      <c r="H120" s="2351" t="s">
        <v>1976</v>
      </c>
      <c r="I120" s="2229">
        <v>46</v>
      </c>
      <c r="J120" s="2226" t="s">
        <v>110</v>
      </c>
      <c r="K120" s="2224" t="s">
        <v>845</v>
      </c>
      <c r="L120" s="2227">
        <v>13.68</v>
      </c>
      <c r="M120" s="2227">
        <v>13.68</v>
      </c>
      <c r="N120" s="2250" t="s">
        <v>229</v>
      </c>
      <c r="O120" s="2224">
        <v>3</v>
      </c>
      <c r="P120" s="2225" t="s">
        <v>1253</v>
      </c>
      <c r="Q120" s="2229"/>
      <c r="R120" s="2229"/>
      <c r="S120" s="2228"/>
      <c r="T120" s="2228"/>
      <c r="U120" s="2228">
        <f t="shared" si="7"/>
        <v>0</v>
      </c>
      <c r="V120" s="2228"/>
      <c r="W120" s="2230"/>
      <c r="X120" s="2230">
        <f t="shared" si="8"/>
        <v>0</v>
      </c>
      <c r="Y120" s="2230"/>
      <c r="Z120" s="2256"/>
    </row>
    <row r="121" spans="8:26">
      <c r="H121" s="2351" t="s">
        <v>1328</v>
      </c>
      <c r="I121" s="2229">
        <v>535</v>
      </c>
      <c r="J121" s="2226" t="s">
        <v>110</v>
      </c>
      <c r="K121" s="2224" t="s">
        <v>845</v>
      </c>
      <c r="L121" s="2227">
        <v>16.100000000000001</v>
      </c>
      <c r="M121" s="2227">
        <v>16.100000000000001</v>
      </c>
      <c r="N121" s="2250" t="s">
        <v>229</v>
      </c>
      <c r="O121" s="2224">
        <v>2</v>
      </c>
      <c r="P121" s="2225" t="s">
        <v>1253</v>
      </c>
      <c r="Q121" s="2229"/>
      <c r="R121" s="2229"/>
      <c r="S121" s="2228"/>
      <c r="T121" s="2228"/>
      <c r="U121" s="2228">
        <f t="shared" si="7"/>
        <v>0</v>
      </c>
      <c r="V121" s="2228"/>
      <c r="W121" s="2230"/>
      <c r="X121" s="2230">
        <f t="shared" si="8"/>
        <v>0</v>
      </c>
      <c r="Y121" s="2230"/>
      <c r="Z121" s="2256"/>
    </row>
    <row r="122" spans="8:26">
      <c r="H122" s="2351" t="s">
        <v>1329</v>
      </c>
      <c r="I122" s="2229">
        <v>123</v>
      </c>
      <c r="J122" s="2226" t="s">
        <v>110</v>
      </c>
      <c r="K122" s="2224" t="s">
        <v>845</v>
      </c>
      <c r="L122" s="2227">
        <v>16.100000000000001</v>
      </c>
      <c r="M122" s="2227">
        <v>16.100000000000001</v>
      </c>
      <c r="N122" s="2250" t="s">
        <v>229</v>
      </c>
      <c r="O122" s="2224">
        <v>2</v>
      </c>
      <c r="P122" s="2225" t="s">
        <v>1253</v>
      </c>
      <c r="Q122" s="2229"/>
      <c r="R122" s="2229"/>
      <c r="S122" s="2228"/>
      <c r="T122" s="2228"/>
      <c r="U122" s="2228">
        <f t="shared" si="7"/>
        <v>0</v>
      </c>
      <c r="V122" s="2228"/>
      <c r="W122" s="2230"/>
      <c r="X122" s="2230">
        <f t="shared" si="8"/>
        <v>0</v>
      </c>
      <c r="Y122" s="2230"/>
      <c r="Z122" s="2256"/>
    </row>
    <row r="123" spans="8:26">
      <c r="H123" s="2351" t="s">
        <v>1330</v>
      </c>
      <c r="I123" s="2229">
        <v>31</v>
      </c>
      <c r="J123" s="2226" t="s">
        <v>110</v>
      </c>
      <c r="K123" s="2224" t="s">
        <v>845</v>
      </c>
      <c r="L123" s="2227">
        <v>16.100000000000001</v>
      </c>
      <c r="M123" s="2227">
        <v>16.100000000000001</v>
      </c>
      <c r="N123" s="2250" t="s">
        <v>229</v>
      </c>
      <c r="O123" s="2224">
        <v>2</v>
      </c>
      <c r="P123" s="2225" t="s">
        <v>1253</v>
      </c>
      <c r="Q123" s="2229"/>
      <c r="R123" s="2229"/>
      <c r="S123" s="2228"/>
      <c r="T123" s="2228"/>
      <c r="U123" s="2228">
        <f t="shared" si="7"/>
        <v>0</v>
      </c>
      <c r="V123" s="2228"/>
      <c r="W123" s="2230"/>
      <c r="X123" s="2230">
        <f t="shared" si="8"/>
        <v>0</v>
      </c>
      <c r="Y123" s="2230"/>
      <c r="Z123" s="2256"/>
    </row>
    <row r="124" spans="8:26">
      <c r="H124" s="2351" t="s">
        <v>1331</v>
      </c>
      <c r="I124" s="2229">
        <v>129</v>
      </c>
      <c r="J124" s="2226" t="s">
        <v>110</v>
      </c>
      <c r="K124" s="2224" t="s">
        <v>845</v>
      </c>
      <c r="L124" s="2227">
        <v>16.100000000000001</v>
      </c>
      <c r="M124" s="2227">
        <v>16.100000000000001</v>
      </c>
      <c r="N124" s="2250" t="s">
        <v>229</v>
      </c>
      <c r="O124" s="2224">
        <v>2</v>
      </c>
      <c r="P124" s="2225" t="s">
        <v>1253</v>
      </c>
      <c r="Q124" s="2229"/>
      <c r="R124" s="2229"/>
      <c r="S124" s="2228"/>
      <c r="T124" s="2228"/>
      <c r="U124" s="2228">
        <f t="shared" si="7"/>
        <v>0</v>
      </c>
      <c r="V124" s="2228"/>
      <c r="W124" s="2230"/>
      <c r="X124" s="2230">
        <f t="shared" si="8"/>
        <v>0</v>
      </c>
      <c r="Y124" s="2230"/>
      <c r="Z124" s="2256"/>
    </row>
    <row r="125" spans="8:26">
      <c r="H125" s="2351" t="s">
        <v>1332</v>
      </c>
      <c r="I125" s="2229">
        <v>685</v>
      </c>
      <c r="J125" s="2226" t="s">
        <v>110</v>
      </c>
      <c r="K125" s="2224" t="s">
        <v>845</v>
      </c>
      <c r="L125" s="2227">
        <v>190.4</v>
      </c>
      <c r="M125" s="2227">
        <v>133.28</v>
      </c>
      <c r="N125" s="2250" t="s">
        <v>229</v>
      </c>
      <c r="O125" s="2224">
        <v>15</v>
      </c>
      <c r="P125" s="2225" t="s">
        <v>1253</v>
      </c>
      <c r="Q125" s="2229"/>
      <c r="R125" s="2229"/>
      <c r="S125" s="2228"/>
      <c r="T125" s="2228"/>
      <c r="U125" s="2228">
        <f t="shared" si="7"/>
        <v>0</v>
      </c>
      <c r="V125" s="2228"/>
      <c r="W125" s="2230"/>
      <c r="X125" s="2230">
        <f t="shared" si="8"/>
        <v>0</v>
      </c>
      <c r="Y125" s="2230"/>
      <c r="Z125" s="2256"/>
    </row>
    <row r="126" spans="8:26">
      <c r="H126" s="2351" t="s">
        <v>1335</v>
      </c>
      <c r="I126" s="2229">
        <v>369</v>
      </c>
      <c r="J126" s="2226" t="s">
        <v>110</v>
      </c>
      <c r="K126" s="2224" t="s">
        <v>845</v>
      </c>
      <c r="L126" s="2227">
        <v>42.24</v>
      </c>
      <c r="M126" s="2227">
        <v>42.4</v>
      </c>
      <c r="N126" s="2250" t="s">
        <v>229</v>
      </c>
      <c r="O126" s="2224">
        <v>8</v>
      </c>
      <c r="P126" s="2225" t="s">
        <v>1253</v>
      </c>
      <c r="Q126" s="2229"/>
      <c r="R126" s="2229"/>
      <c r="S126" s="2228"/>
      <c r="T126" s="2228"/>
      <c r="U126" s="2228">
        <f t="shared" si="7"/>
        <v>0</v>
      </c>
      <c r="V126" s="2228"/>
      <c r="W126" s="2230"/>
      <c r="X126" s="2230">
        <f t="shared" si="8"/>
        <v>0</v>
      </c>
      <c r="Y126" s="2230"/>
      <c r="Z126" s="2256"/>
    </row>
    <row r="127" spans="8:26">
      <c r="H127" s="2351" t="s">
        <v>1336</v>
      </c>
      <c r="I127" s="2229">
        <v>230</v>
      </c>
      <c r="J127" s="2226" t="s">
        <v>110</v>
      </c>
      <c r="K127" s="2224" t="s">
        <v>845</v>
      </c>
      <c r="L127" s="2227">
        <v>42.4</v>
      </c>
      <c r="M127" s="2227">
        <v>42.4</v>
      </c>
      <c r="N127" s="2250" t="s">
        <v>229</v>
      </c>
      <c r="O127" s="2224">
        <v>8</v>
      </c>
      <c r="P127" s="2225" t="s">
        <v>1253</v>
      </c>
      <c r="Q127" s="2229"/>
      <c r="R127" s="2229"/>
      <c r="S127" s="2228"/>
      <c r="T127" s="2228"/>
      <c r="U127" s="2228">
        <f t="shared" si="7"/>
        <v>0</v>
      </c>
      <c r="V127" s="2228"/>
      <c r="W127" s="2230"/>
      <c r="X127" s="2230">
        <f t="shared" si="8"/>
        <v>0</v>
      </c>
      <c r="Y127" s="2230"/>
      <c r="Z127" s="2256"/>
    </row>
    <row r="128" spans="8:26">
      <c r="H128" s="2351" t="s">
        <v>1337</v>
      </c>
      <c r="I128" s="2229">
        <v>200</v>
      </c>
      <c r="J128" s="2226" t="s">
        <v>110</v>
      </c>
      <c r="K128" s="2224" t="s">
        <v>845</v>
      </c>
      <c r="L128" s="2227">
        <v>104</v>
      </c>
      <c r="M128" s="2227">
        <v>50</v>
      </c>
      <c r="N128" s="2250" t="s">
        <v>229</v>
      </c>
      <c r="O128" s="2224">
        <v>8</v>
      </c>
      <c r="P128" s="2225" t="s">
        <v>1253</v>
      </c>
      <c r="Q128" s="2229"/>
      <c r="R128" s="2229"/>
      <c r="S128" s="2228"/>
      <c r="T128" s="2228"/>
      <c r="U128" s="2228">
        <f t="shared" si="7"/>
        <v>0</v>
      </c>
      <c r="V128" s="2228"/>
      <c r="W128" s="2230"/>
      <c r="X128" s="2230">
        <f t="shared" si="8"/>
        <v>0</v>
      </c>
      <c r="Y128" s="2230"/>
      <c r="Z128" s="2256"/>
    </row>
    <row r="129" spans="8:26">
      <c r="H129" s="2351" t="s">
        <v>1347</v>
      </c>
      <c r="I129" s="2229">
        <v>473</v>
      </c>
      <c r="J129" s="2226" t="s">
        <v>110</v>
      </c>
      <c r="K129" s="2224" t="s">
        <v>845</v>
      </c>
      <c r="L129" s="2227">
        <v>160</v>
      </c>
      <c r="M129" s="2227">
        <v>160</v>
      </c>
      <c r="N129" s="2250">
        <v>5.3058312543747873E-3</v>
      </c>
      <c r="O129" s="2224">
        <v>10</v>
      </c>
      <c r="P129" s="2225" t="s">
        <v>1160</v>
      </c>
      <c r="Q129" s="2229"/>
      <c r="R129" s="2229">
        <v>25</v>
      </c>
      <c r="S129" s="2228"/>
      <c r="T129" s="2228"/>
      <c r="U129" s="2228">
        <f t="shared" si="7"/>
        <v>11825</v>
      </c>
      <c r="V129" s="2228"/>
      <c r="W129" s="2230"/>
      <c r="X129" s="2230">
        <f t="shared" si="8"/>
        <v>4000</v>
      </c>
      <c r="Y129" s="2230"/>
      <c r="Z129" s="2256"/>
    </row>
    <row r="130" spans="8:26">
      <c r="H130" s="2351" t="s">
        <v>1614</v>
      </c>
      <c r="I130" s="2229">
        <v>158</v>
      </c>
      <c r="J130" s="2226" t="s">
        <v>110</v>
      </c>
      <c r="K130" s="2224" t="s">
        <v>845</v>
      </c>
      <c r="L130" s="2227">
        <v>52.23</v>
      </c>
      <c r="M130" s="2227">
        <v>39.5</v>
      </c>
      <c r="N130" s="2250">
        <v>7.0893982088052123E-4</v>
      </c>
      <c r="O130" s="2224">
        <v>12</v>
      </c>
      <c r="P130" s="2225" t="s">
        <v>996</v>
      </c>
      <c r="Q130" s="2229"/>
      <c r="R130" s="2229">
        <v>10</v>
      </c>
      <c r="S130" s="2228"/>
      <c r="T130" s="2228"/>
      <c r="U130" s="2228">
        <f t="shared" si="7"/>
        <v>1580</v>
      </c>
      <c r="V130" s="2228"/>
      <c r="W130" s="2230"/>
      <c r="X130" s="2230">
        <f t="shared" si="8"/>
        <v>395</v>
      </c>
      <c r="Y130" s="2230"/>
      <c r="Z130" s="2256"/>
    </row>
    <row r="131" spans="8:26">
      <c r="H131" s="2351" t="s">
        <v>1977</v>
      </c>
      <c r="I131" s="2229">
        <v>92.4</v>
      </c>
      <c r="J131" s="2226" t="s">
        <v>110</v>
      </c>
      <c r="K131" s="2224" t="s">
        <v>845</v>
      </c>
      <c r="L131" s="2227">
        <v>43.85</v>
      </c>
      <c r="M131" s="2227">
        <v>19.07</v>
      </c>
      <c r="N131" s="2250">
        <v>4.1459518638835546E-4</v>
      </c>
      <c r="O131" s="2224">
        <v>12</v>
      </c>
      <c r="P131" s="2225" t="s">
        <v>996</v>
      </c>
      <c r="Q131" s="2229"/>
      <c r="R131" s="2229">
        <v>10</v>
      </c>
      <c r="S131" s="2228"/>
      <c r="T131" s="2228"/>
      <c r="U131" s="2228">
        <f t="shared" si="7"/>
        <v>924</v>
      </c>
      <c r="V131" s="2228"/>
      <c r="W131" s="2230"/>
      <c r="X131" s="2230">
        <f t="shared" si="8"/>
        <v>190.7</v>
      </c>
      <c r="Y131" s="2230"/>
      <c r="Z131" s="2256"/>
    </row>
    <row r="132" spans="8:26">
      <c r="H132" s="2351" t="s">
        <v>1978</v>
      </c>
      <c r="I132" s="2229">
        <v>42.9</v>
      </c>
      <c r="J132" s="2226" t="s">
        <v>110</v>
      </c>
      <c r="K132" s="2224" t="s">
        <v>845</v>
      </c>
      <c r="L132" s="2227">
        <v>43.85</v>
      </c>
      <c r="M132" s="2227">
        <v>19.07</v>
      </c>
      <c r="N132" s="2250">
        <v>1.9249062225173646E-4</v>
      </c>
      <c r="O132" s="2224">
        <v>12</v>
      </c>
      <c r="P132" s="2225" t="s">
        <v>996</v>
      </c>
      <c r="Q132" s="2229"/>
      <c r="R132" s="2229">
        <v>10</v>
      </c>
      <c r="S132" s="2228"/>
      <c r="T132" s="2228"/>
      <c r="U132" s="2228">
        <f t="shared" si="7"/>
        <v>429</v>
      </c>
      <c r="V132" s="2228"/>
      <c r="W132" s="2230"/>
      <c r="X132" s="2230">
        <f t="shared" si="8"/>
        <v>190.7</v>
      </c>
      <c r="Y132" s="2230"/>
      <c r="Z132" s="2256"/>
    </row>
    <row r="133" spans="8:26">
      <c r="H133" s="2351" t="s">
        <v>1979</v>
      </c>
      <c r="I133" s="2229">
        <v>79.2</v>
      </c>
      <c r="J133" s="2226" t="s">
        <v>110</v>
      </c>
      <c r="K133" s="2224" t="s">
        <v>845</v>
      </c>
      <c r="L133" s="2227">
        <v>58.59</v>
      </c>
      <c r="M133" s="2227">
        <v>29.3</v>
      </c>
      <c r="N133" s="2250">
        <v>3.5536730261859038E-4</v>
      </c>
      <c r="O133" s="2224">
        <v>12</v>
      </c>
      <c r="P133" s="2225" t="s">
        <v>996</v>
      </c>
      <c r="Q133" s="2229"/>
      <c r="R133" s="2229">
        <v>10</v>
      </c>
      <c r="S133" s="2228"/>
      <c r="T133" s="2228"/>
      <c r="U133" s="2228">
        <f t="shared" si="7"/>
        <v>792</v>
      </c>
      <c r="V133" s="2228"/>
      <c r="W133" s="2230"/>
      <c r="X133" s="2230">
        <f t="shared" si="8"/>
        <v>293</v>
      </c>
      <c r="Y133" s="2230"/>
      <c r="Z133" s="2256"/>
    </row>
    <row r="134" spans="8:26">
      <c r="H134" s="2351" t="s">
        <v>1980</v>
      </c>
      <c r="I134" s="2229">
        <v>158.4</v>
      </c>
      <c r="J134" s="2226" t="s">
        <v>110</v>
      </c>
      <c r="K134" s="2224" t="s">
        <v>845</v>
      </c>
      <c r="L134" s="2227">
        <v>59.01</v>
      </c>
      <c r="M134" s="2227">
        <v>41.3</v>
      </c>
      <c r="N134" s="2250">
        <v>7.1073460523718077E-4</v>
      </c>
      <c r="O134" s="2224">
        <v>12</v>
      </c>
      <c r="P134" s="2225" t="s">
        <v>996</v>
      </c>
      <c r="Q134" s="2229"/>
      <c r="R134" s="2229">
        <v>10</v>
      </c>
      <c r="S134" s="2228"/>
      <c r="T134" s="2228"/>
      <c r="U134" s="2228">
        <f t="shared" si="7"/>
        <v>1584</v>
      </c>
      <c r="V134" s="2228"/>
      <c r="W134" s="2230"/>
      <c r="X134" s="2230">
        <f t="shared" si="8"/>
        <v>413</v>
      </c>
      <c r="Y134" s="2230"/>
      <c r="Z134" s="2256"/>
    </row>
    <row r="135" spans="8:26">
      <c r="H135" s="2351" t="s">
        <v>1981</v>
      </c>
      <c r="I135" s="2229">
        <v>389.4</v>
      </c>
      <c r="J135" s="2226" t="s">
        <v>110</v>
      </c>
      <c r="K135" s="2224" t="s">
        <v>845</v>
      </c>
      <c r="L135" s="2227">
        <v>66.349999999999994</v>
      </c>
      <c r="M135" s="2227">
        <v>33.17</v>
      </c>
      <c r="N135" s="2250">
        <v>1.7472225712080694E-3</v>
      </c>
      <c r="O135" s="2224">
        <v>12</v>
      </c>
      <c r="P135" s="2225" t="s">
        <v>996</v>
      </c>
      <c r="Q135" s="2229"/>
      <c r="R135" s="2229">
        <v>10</v>
      </c>
      <c r="S135" s="2228"/>
      <c r="T135" s="2228"/>
      <c r="U135" s="2228">
        <f t="shared" si="7"/>
        <v>3894</v>
      </c>
      <c r="V135" s="2228"/>
      <c r="W135" s="2230"/>
      <c r="X135" s="2230">
        <f t="shared" si="8"/>
        <v>331.70000000000005</v>
      </c>
      <c r="Y135" s="2230"/>
      <c r="Z135" s="2256"/>
    </row>
    <row r="136" spans="8:26">
      <c r="H136" s="2351" t="s">
        <v>1982</v>
      </c>
      <c r="I136" s="2229">
        <v>237.6</v>
      </c>
      <c r="J136" s="2226" t="s">
        <v>110</v>
      </c>
      <c r="K136" s="2224" t="s">
        <v>845</v>
      </c>
      <c r="L136" s="2227">
        <v>80.790000000000006</v>
      </c>
      <c r="M136" s="2227">
        <v>56.56</v>
      </c>
      <c r="N136" s="2250">
        <v>1.0661019078557711E-3</v>
      </c>
      <c r="O136" s="2224">
        <v>12</v>
      </c>
      <c r="P136" s="2225" t="s">
        <v>996</v>
      </c>
      <c r="Q136" s="2229"/>
      <c r="R136" s="2229">
        <v>10</v>
      </c>
      <c r="S136" s="2228"/>
      <c r="T136" s="2228"/>
      <c r="U136" s="2228">
        <f t="shared" si="7"/>
        <v>2376</v>
      </c>
      <c r="V136" s="2228"/>
      <c r="W136" s="2230"/>
      <c r="X136" s="2230">
        <f t="shared" si="8"/>
        <v>565.6</v>
      </c>
      <c r="Y136" s="2230"/>
      <c r="Z136" s="2256"/>
    </row>
    <row r="137" spans="8:26">
      <c r="H137" s="2351" t="s">
        <v>1983</v>
      </c>
      <c r="I137" s="2229">
        <v>584.1</v>
      </c>
      <c r="J137" s="2226" t="s">
        <v>110</v>
      </c>
      <c r="K137" s="2224" t="s">
        <v>845</v>
      </c>
      <c r="L137" s="2227">
        <v>81.11</v>
      </c>
      <c r="M137" s="2227">
        <v>40.549999999999997</v>
      </c>
      <c r="N137" s="2250">
        <v>2.6208338568121038E-3</v>
      </c>
      <c r="O137" s="2224">
        <v>12</v>
      </c>
      <c r="P137" s="2225" t="s">
        <v>996</v>
      </c>
      <c r="Q137" s="2229"/>
      <c r="R137" s="2229">
        <v>10</v>
      </c>
      <c r="S137" s="2228"/>
      <c r="T137" s="2228"/>
      <c r="U137" s="2228">
        <f t="shared" si="7"/>
        <v>5841</v>
      </c>
      <c r="V137" s="2228"/>
      <c r="W137" s="2230"/>
      <c r="X137" s="2230">
        <f t="shared" si="8"/>
        <v>405.5</v>
      </c>
      <c r="Y137" s="2230"/>
      <c r="Z137" s="2256"/>
    </row>
    <row r="138" spans="8:26">
      <c r="H138" s="2351" t="s">
        <v>1984</v>
      </c>
      <c r="I138" s="2229">
        <v>280.5</v>
      </c>
      <c r="J138" s="2226" t="s">
        <v>110</v>
      </c>
      <c r="K138" s="2224" t="s">
        <v>845</v>
      </c>
      <c r="L138" s="2227">
        <v>87.05</v>
      </c>
      <c r="M138" s="2227">
        <v>60.93</v>
      </c>
      <c r="N138" s="2250">
        <v>1.2585925301075076E-3</v>
      </c>
      <c r="O138" s="2224">
        <v>12</v>
      </c>
      <c r="P138" s="2225" t="s">
        <v>996</v>
      </c>
      <c r="Q138" s="2229"/>
      <c r="R138" s="2229">
        <v>10</v>
      </c>
      <c r="S138" s="2228"/>
      <c r="T138" s="2228"/>
      <c r="U138" s="2228">
        <f t="shared" si="7"/>
        <v>2805</v>
      </c>
      <c r="V138" s="2228"/>
      <c r="W138" s="2230"/>
      <c r="X138" s="2230">
        <f t="shared" si="8"/>
        <v>609.29999999999995</v>
      </c>
      <c r="Y138" s="2230"/>
      <c r="Z138" s="2256"/>
    </row>
    <row r="139" spans="8:26">
      <c r="H139" s="2351" t="s">
        <v>1985</v>
      </c>
      <c r="I139" s="2229">
        <v>627</v>
      </c>
      <c r="J139" s="2226" t="s">
        <v>110</v>
      </c>
      <c r="K139" s="2224" t="s">
        <v>845</v>
      </c>
      <c r="L139" s="2227">
        <v>87.46</v>
      </c>
      <c r="M139" s="2227">
        <v>43.73</v>
      </c>
      <c r="N139" s="2250">
        <v>2.8133244790638405E-3</v>
      </c>
      <c r="O139" s="2224">
        <v>12</v>
      </c>
      <c r="P139" s="2225" t="s">
        <v>996</v>
      </c>
      <c r="Q139" s="2229"/>
      <c r="R139" s="2229">
        <v>10</v>
      </c>
      <c r="S139" s="2228"/>
      <c r="T139" s="2228"/>
      <c r="U139" s="2228">
        <f t="shared" si="7"/>
        <v>6270</v>
      </c>
      <c r="V139" s="2228"/>
      <c r="W139" s="2230"/>
      <c r="X139" s="2230">
        <f t="shared" si="8"/>
        <v>437.29999999999995</v>
      </c>
      <c r="Y139" s="2230"/>
      <c r="Z139" s="2256"/>
    </row>
    <row r="140" spans="8:26">
      <c r="H140" s="2351" t="s">
        <v>1986</v>
      </c>
      <c r="I140" s="2229">
        <v>316.8</v>
      </c>
      <c r="J140" s="2226" t="s">
        <v>110</v>
      </c>
      <c r="K140" s="2224" t="s">
        <v>845</v>
      </c>
      <c r="L140" s="2227">
        <v>93.31</v>
      </c>
      <c r="M140" s="2227">
        <v>65.319999999999993</v>
      </c>
      <c r="N140" s="2250">
        <v>1.4214692104743615E-3</v>
      </c>
      <c r="O140" s="2224">
        <v>12</v>
      </c>
      <c r="P140" s="2225" t="s">
        <v>996</v>
      </c>
      <c r="Q140" s="2229"/>
      <c r="R140" s="2229">
        <v>10</v>
      </c>
      <c r="S140" s="2228"/>
      <c r="T140" s="2228"/>
      <c r="U140" s="2228">
        <f t="shared" si="7"/>
        <v>3168</v>
      </c>
      <c r="V140" s="2228"/>
      <c r="W140" s="2230"/>
      <c r="X140" s="2230">
        <f t="shared" si="8"/>
        <v>653.19999999999993</v>
      </c>
      <c r="Y140" s="2230"/>
      <c r="Z140" s="2256"/>
    </row>
    <row r="141" spans="8:26">
      <c r="H141" s="2351" t="s">
        <v>1987</v>
      </c>
      <c r="I141" s="2229">
        <v>778.8</v>
      </c>
      <c r="J141" s="2226" t="s">
        <v>110</v>
      </c>
      <c r="K141" s="2224" t="s">
        <v>845</v>
      </c>
      <c r="L141" s="2227">
        <v>89.32</v>
      </c>
      <c r="M141" s="2227">
        <v>44.66</v>
      </c>
      <c r="N141" s="2250">
        <v>3.4944451424161389E-3</v>
      </c>
      <c r="O141" s="2224">
        <v>12</v>
      </c>
      <c r="P141" s="2225" t="s">
        <v>996</v>
      </c>
      <c r="Q141" s="2229"/>
      <c r="R141" s="2229">
        <v>10</v>
      </c>
      <c r="S141" s="2228"/>
      <c r="T141" s="2228"/>
      <c r="U141" s="2228">
        <f t="shared" si="7"/>
        <v>7788</v>
      </c>
      <c r="V141" s="2228"/>
      <c r="W141" s="2230"/>
      <c r="X141" s="2230">
        <f t="shared" si="8"/>
        <v>446.59999999999997</v>
      </c>
      <c r="Y141" s="2230"/>
      <c r="Z141" s="2256"/>
    </row>
    <row r="142" spans="8:26">
      <c r="H142" s="2351" t="s">
        <v>1988</v>
      </c>
      <c r="I142" s="2229">
        <v>359.7</v>
      </c>
      <c r="J142" s="2226" t="s">
        <v>110</v>
      </c>
      <c r="K142" s="2224" t="s">
        <v>845</v>
      </c>
      <c r="L142" s="2227">
        <v>79.010000000000005</v>
      </c>
      <c r="M142" s="2227">
        <v>55.31</v>
      </c>
      <c r="N142" s="2250">
        <v>1.613959832726098E-3</v>
      </c>
      <c r="O142" s="2224">
        <v>12</v>
      </c>
      <c r="P142" s="2225" t="s">
        <v>996</v>
      </c>
      <c r="Q142" s="2229"/>
      <c r="R142" s="2229">
        <v>10</v>
      </c>
      <c r="S142" s="2228"/>
      <c r="T142" s="2228"/>
      <c r="U142" s="2228">
        <f t="shared" si="7"/>
        <v>3597</v>
      </c>
      <c r="V142" s="2228"/>
      <c r="W142" s="2230"/>
      <c r="X142" s="2230">
        <f t="shared" si="8"/>
        <v>553.1</v>
      </c>
      <c r="Y142" s="2230"/>
      <c r="Z142" s="2256"/>
    </row>
    <row r="143" spans="8:26">
      <c r="H143" s="2351" t="s">
        <v>1989</v>
      </c>
      <c r="I143" s="2229">
        <v>821.7</v>
      </c>
      <c r="J143" s="2226" t="s">
        <v>110</v>
      </c>
      <c r="K143" s="2224" t="s">
        <v>845</v>
      </c>
      <c r="L143" s="2227">
        <v>75.02</v>
      </c>
      <c r="M143" s="2227">
        <v>37.51</v>
      </c>
      <c r="N143" s="2250">
        <v>3.6869357646678752E-3</v>
      </c>
      <c r="O143" s="2224">
        <v>12</v>
      </c>
      <c r="P143" s="2225" t="s">
        <v>996</v>
      </c>
      <c r="Q143" s="2229"/>
      <c r="R143" s="2229">
        <v>10</v>
      </c>
      <c r="S143" s="2228"/>
      <c r="T143" s="2228"/>
      <c r="U143" s="2228">
        <f t="shared" si="7"/>
        <v>8217</v>
      </c>
      <c r="V143" s="2228"/>
      <c r="W143" s="2230"/>
      <c r="X143" s="2230">
        <f t="shared" si="8"/>
        <v>375.09999999999997</v>
      </c>
      <c r="Y143" s="2230"/>
      <c r="Z143" s="2256"/>
    </row>
    <row r="144" spans="8:26">
      <c r="H144" s="2351" t="s">
        <v>1990</v>
      </c>
      <c r="I144" s="2229">
        <v>402.6</v>
      </c>
      <c r="J144" s="2226" t="s">
        <v>110</v>
      </c>
      <c r="K144" s="2224" t="s">
        <v>845</v>
      </c>
      <c r="L144" s="2227">
        <v>87.46</v>
      </c>
      <c r="M144" s="2227">
        <v>61.22</v>
      </c>
      <c r="N144" s="2250">
        <v>1.8064504549778345E-3</v>
      </c>
      <c r="O144" s="2224">
        <v>12</v>
      </c>
      <c r="P144" s="2225" t="s">
        <v>996</v>
      </c>
      <c r="Q144" s="2229"/>
      <c r="R144" s="2229">
        <v>10</v>
      </c>
      <c r="S144" s="2228"/>
      <c r="T144" s="2228"/>
      <c r="U144" s="2228">
        <f t="shared" ref="U144:U341" si="9">I144*R144</f>
        <v>4026</v>
      </c>
      <c r="V144" s="2228"/>
      <c r="W144" s="2230"/>
      <c r="X144" s="2230">
        <f t="shared" ref="X144:X341" si="10">M144*R144</f>
        <v>612.20000000000005</v>
      </c>
      <c r="Y144" s="2230"/>
      <c r="Z144" s="2256"/>
    </row>
    <row r="145" spans="8:26">
      <c r="H145" s="2351" t="s">
        <v>1991</v>
      </c>
      <c r="I145" s="2229">
        <v>864.6</v>
      </c>
      <c r="J145" s="2226" t="s">
        <v>110</v>
      </c>
      <c r="K145" s="2224" t="s">
        <v>845</v>
      </c>
      <c r="L145" s="2227">
        <v>87.46</v>
      </c>
      <c r="M145" s="2227">
        <v>43.73</v>
      </c>
      <c r="N145" s="2250">
        <v>3.8794263869196114E-3</v>
      </c>
      <c r="O145" s="2224">
        <v>12</v>
      </c>
      <c r="P145" s="2225" t="s">
        <v>996</v>
      </c>
      <c r="Q145" s="2229"/>
      <c r="R145" s="2229">
        <v>10</v>
      </c>
      <c r="S145" s="2228"/>
      <c r="T145" s="2228"/>
      <c r="U145" s="2228">
        <f t="shared" si="9"/>
        <v>8646</v>
      </c>
      <c r="V145" s="2228"/>
      <c r="W145" s="2230"/>
      <c r="X145" s="2230">
        <f t="shared" si="10"/>
        <v>437.29999999999995</v>
      </c>
      <c r="Y145" s="2230"/>
      <c r="Z145" s="2256"/>
    </row>
    <row r="146" spans="8:26">
      <c r="H146" s="2351" t="s">
        <v>1992</v>
      </c>
      <c r="I146" s="2229">
        <v>36.299999999999997</v>
      </c>
      <c r="J146" s="2226" t="s">
        <v>110</v>
      </c>
      <c r="K146" s="2224" t="s">
        <v>845</v>
      </c>
      <c r="L146" s="2227">
        <v>58.95</v>
      </c>
      <c r="M146" s="2227">
        <v>29.3</v>
      </c>
      <c r="N146" s="2250">
        <v>1.6287668036685392E-4</v>
      </c>
      <c r="O146" s="2224">
        <v>12</v>
      </c>
      <c r="P146" s="2225" t="s">
        <v>996</v>
      </c>
      <c r="Q146" s="2229"/>
      <c r="R146" s="2229">
        <v>10</v>
      </c>
      <c r="S146" s="2228"/>
      <c r="T146" s="2228"/>
      <c r="U146" s="2228">
        <f t="shared" si="9"/>
        <v>363</v>
      </c>
      <c r="V146" s="2228"/>
      <c r="W146" s="2230"/>
      <c r="X146" s="2230">
        <f t="shared" si="10"/>
        <v>293</v>
      </c>
      <c r="Y146" s="2230"/>
      <c r="Z146" s="2256"/>
    </row>
    <row r="147" spans="8:26">
      <c r="H147" s="2351" t="s">
        <v>1993</v>
      </c>
      <c r="I147" s="2229">
        <v>46.2</v>
      </c>
      <c r="J147" s="2226" t="s">
        <v>110</v>
      </c>
      <c r="K147" s="2224" t="s">
        <v>845</v>
      </c>
      <c r="L147" s="2227">
        <v>58.59</v>
      </c>
      <c r="M147" s="2227">
        <v>29.3</v>
      </c>
      <c r="N147" s="2250">
        <v>2.0729759319417773E-4</v>
      </c>
      <c r="O147" s="2224">
        <v>12</v>
      </c>
      <c r="P147" s="2225" t="s">
        <v>996</v>
      </c>
      <c r="Q147" s="2229"/>
      <c r="R147" s="2229">
        <v>10</v>
      </c>
      <c r="S147" s="2228"/>
      <c r="T147" s="2228"/>
      <c r="U147" s="2228">
        <f t="shared" si="9"/>
        <v>462</v>
      </c>
      <c r="V147" s="2228"/>
      <c r="W147" s="2230"/>
      <c r="X147" s="2230">
        <f t="shared" si="10"/>
        <v>293</v>
      </c>
      <c r="Y147" s="2230"/>
      <c r="Z147" s="2256"/>
    </row>
    <row r="148" spans="8:26">
      <c r="H148" s="2351" t="s">
        <v>1994</v>
      </c>
      <c r="I148" s="2229">
        <v>75.900000000000006</v>
      </c>
      <c r="J148" s="2226" t="s">
        <v>110</v>
      </c>
      <c r="K148" s="2224" t="s">
        <v>845</v>
      </c>
      <c r="L148" s="2227">
        <v>58.59</v>
      </c>
      <c r="M148" s="2227">
        <v>29.3</v>
      </c>
      <c r="N148" s="2250">
        <v>3.4056033167614912E-4</v>
      </c>
      <c r="O148" s="2224">
        <v>12</v>
      </c>
      <c r="P148" s="2225" t="s">
        <v>996</v>
      </c>
      <c r="Q148" s="2229"/>
      <c r="R148" s="2229">
        <v>10</v>
      </c>
      <c r="S148" s="2228"/>
      <c r="T148" s="2228"/>
      <c r="U148" s="2228">
        <f t="shared" si="9"/>
        <v>759</v>
      </c>
      <c r="V148" s="2228"/>
      <c r="W148" s="2230"/>
      <c r="X148" s="2230">
        <f t="shared" si="10"/>
        <v>293</v>
      </c>
      <c r="Y148" s="2230"/>
      <c r="Z148" s="2256"/>
    </row>
    <row r="149" spans="8:26">
      <c r="H149" s="2351" t="s">
        <v>1995</v>
      </c>
      <c r="I149" s="2229">
        <v>26.4</v>
      </c>
      <c r="J149" s="2226" t="s">
        <v>110</v>
      </c>
      <c r="K149" s="2224" t="s">
        <v>845</v>
      </c>
      <c r="L149" s="2227">
        <v>58.59</v>
      </c>
      <c r="M149" s="2227">
        <v>29.3</v>
      </c>
      <c r="N149" s="2250">
        <v>1.1845576753953012E-4</v>
      </c>
      <c r="O149" s="2224">
        <v>12</v>
      </c>
      <c r="P149" s="2225" t="s">
        <v>996</v>
      </c>
      <c r="Q149" s="2229"/>
      <c r="R149" s="2229">
        <v>10</v>
      </c>
      <c r="S149" s="2228"/>
      <c r="T149" s="2228"/>
      <c r="U149" s="2228">
        <f t="shared" si="9"/>
        <v>264</v>
      </c>
      <c r="V149" s="2228"/>
      <c r="W149" s="2230"/>
      <c r="X149" s="2230">
        <f t="shared" si="10"/>
        <v>293</v>
      </c>
      <c r="Y149" s="2230"/>
      <c r="Z149" s="2256"/>
    </row>
    <row r="150" spans="8:26">
      <c r="H150" s="2351" t="s">
        <v>1996</v>
      </c>
      <c r="I150" s="2229">
        <v>36.299999999999997</v>
      </c>
      <c r="J150" s="2226" t="s">
        <v>110</v>
      </c>
      <c r="K150" s="2224" t="s">
        <v>845</v>
      </c>
      <c r="L150" s="2227">
        <v>58.59</v>
      </c>
      <c r="M150" s="2227">
        <v>29.3</v>
      </c>
      <c r="N150" s="2250">
        <v>1.6287668036685392E-4</v>
      </c>
      <c r="O150" s="2224">
        <v>12</v>
      </c>
      <c r="P150" s="2225" t="s">
        <v>996</v>
      </c>
      <c r="Q150" s="2229"/>
      <c r="R150" s="2229">
        <v>10</v>
      </c>
      <c r="S150" s="2228"/>
      <c r="T150" s="2228"/>
      <c r="U150" s="2228">
        <f t="shared" si="9"/>
        <v>363</v>
      </c>
      <c r="V150" s="2228"/>
      <c r="W150" s="2230"/>
      <c r="X150" s="2230">
        <f t="shared" si="10"/>
        <v>293</v>
      </c>
      <c r="Y150" s="2230"/>
      <c r="Z150" s="2256"/>
    </row>
    <row r="151" spans="8:26">
      <c r="H151" s="2351" t="s">
        <v>1997</v>
      </c>
      <c r="I151" s="2229">
        <v>72.599999999999994</v>
      </c>
      <c r="J151" s="2226" t="s">
        <v>110</v>
      </c>
      <c r="K151" s="2224" t="s">
        <v>845</v>
      </c>
      <c r="L151" s="2227">
        <v>58.59</v>
      </c>
      <c r="M151" s="2227">
        <v>29.3</v>
      </c>
      <c r="N151" s="2250">
        <v>3.2575336073370785E-4</v>
      </c>
      <c r="O151" s="2224">
        <v>12</v>
      </c>
      <c r="P151" s="2225" t="s">
        <v>996</v>
      </c>
      <c r="Q151" s="2229"/>
      <c r="R151" s="2229">
        <v>10</v>
      </c>
      <c r="S151" s="2228"/>
      <c r="T151" s="2228"/>
      <c r="U151" s="2228">
        <f t="shared" si="9"/>
        <v>726</v>
      </c>
      <c r="V151" s="2228"/>
      <c r="W151" s="2230"/>
      <c r="X151" s="2230">
        <f t="shared" si="10"/>
        <v>293</v>
      </c>
      <c r="Y151" s="2230"/>
      <c r="Z151" s="2256"/>
    </row>
    <row r="152" spans="8:26">
      <c r="H152" s="2351" t="s">
        <v>1998</v>
      </c>
      <c r="I152" s="2229">
        <v>92.4</v>
      </c>
      <c r="J152" s="2226" t="s">
        <v>110</v>
      </c>
      <c r="K152" s="2224" t="s">
        <v>845</v>
      </c>
      <c r="L152" s="2227">
        <v>61.19</v>
      </c>
      <c r="M152" s="2227">
        <v>42.83</v>
      </c>
      <c r="N152" s="2250">
        <v>4.1459518638835546E-4</v>
      </c>
      <c r="O152" s="2224">
        <v>12</v>
      </c>
      <c r="P152" s="2225" t="s">
        <v>996</v>
      </c>
      <c r="Q152" s="2229"/>
      <c r="R152" s="2229">
        <v>10</v>
      </c>
      <c r="S152" s="2228"/>
      <c r="T152" s="2228"/>
      <c r="U152" s="2228">
        <f t="shared" si="9"/>
        <v>924</v>
      </c>
      <c r="V152" s="2228"/>
      <c r="W152" s="2230"/>
      <c r="X152" s="2230">
        <f t="shared" si="10"/>
        <v>428.29999999999995</v>
      </c>
      <c r="Y152" s="2230"/>
      <c r="Z152" s="2256"/>
    </row>
    <row r="153" spans="8:26">
      <c r="H153" s="2351" t="s">
        <v>1999</v>
      </c>
      <c r="I153" s="2229">
        <v>151.80000000000001</v>
      </c>
      <c r="J153" s="2226" t="s">
        <v>110</v>
      </c>
      <c r="K153" s="2224" t="s">
        <v>845</v>
      </c>
      <c r="L153" s="2227">
        <v>61.19</v>
      </c>
      <c r="M153" s="2227">
        <v>42.83</v>
      </c>
      <c r="N153" s="2250">
        <v>6.8112066335229823E-4</v>
      </c>
      <c r="O153" s="2224">
        <v>12</v>
      </c>
      <c r="P153" s="2225" t="s">
        <v>996</v>
      </c>
      <c r="Q153" s="2229"/>
      <c r="R153" s="2229">
        <v>10</v>
      </c>
      <c r="S153" s="2228"/>
      <c r="T153" s="2228"/>
      <c r="U153" s="2228">
        <f t="shared" si="9"/>
        <v>1518</v>
      </c>
      <c r="V153" s="2228"/>
      <c r="W153" s="2230"/>
      <c r="X153" s="2230">
        <f t="shared" si="10"/>
        <v>428.29999999999995</v>
      </c>
      <c r="Y153" s="2230"/>
      <c r="Z153" s="2256"/>
    </row>
    <row r="154" spans="8:26">
      <c r="H154" s="2351" t="s">
        <v>2000</v>
      </c>
      <c r="I154" s="2229">
        <v>52.8</v>
      </c>
      <c r="J154" s="2226" t="s">
        <v>110</v>
      </c>
      <c r="K154" s="2224" t="s">
        <v>845</v>
      </c>
      <c r="L154" s="2227">
        <v>58.59</v>
      </c>
      <c r="M154" s="2227">
        <v>29.3</v>
      </c>
      <c r="N154" s="2250">
        <v>2.3691153507906024E-4</v>
      </c>
      <c r="O154" s="2224">
        <v>12</v>
      </c>
      <c r="P154" s="2225" t="s">
        <v>996</v>
      </c>
      <c r="Q154" s="2229"/>
      <c r="R154" s="2229">
        <v>10</v>
      </c>
      <c r="S154" s="2228"/>
      <c r="T154" s="2228"/>
      <c r="U154" s="2228">
        <f t="shared" si="9"/>
        <v>528</v>
      </c>
      <c r="V154" s="2228"/>
      <c r="W154" s="2230"/>
      <c r="X154" s="2230">
        <f t="shared" si="10"/>
        <v>293</v>
      </c>
      <c r="Y154" s="2230"/>
      <c r="Z154" s="2256"/>
    </row>
    <row r="155" spans="8:26">
      <c r="H155" s="2351" t="s">
        <v>2001</v>
      </c>
      <c r="I155" s="2229">
        <v>72.599999999999994</v>
      </c>
      <c r="J155" s="2226" t="s">
        <v>110</v>
      </c>
      <c r="K155" s="2224" t="s">
        <v>845</v>
      </c>
      <c r="L155" s="2227">
        <v>58.59</v>
      </c>
      <c r="M155" s="2227">
        <v>29.3</v>
      </c>
      <c r="N155" s="2250">
        <v>3.2575336073370785E-4</v>
      </c>
      <c r="O155" s="2224">
        <v>12</v>
      </c>
      <c r="P155" s="2225" t="s">
        <v>996</v>
      </c>
      <c r="Q155" s="2229"/>
      <c r="R155" s="2229">
        <v>10</v>
      </c>
      <c r="S155" s="2228"/>
      <c r="T155" s="2228"/>
      <c r="U155" s="2228">
        <f t="shared" si="9"/>
        <v>726</v>
      </c>
      <c r="V155" s="2228"/>
      <c r="W155" s="2230"/>
      <c r="X155" s="2230">
        <f t="shared" si="10"/>
        <v>293</v>
      </c>
      <c r="Y155" s="2230"/>
      <c r="Z155" s="2256"/>
    </row>
    <row r="156" spans="8:26">
      <c r="H156" s="2351" t="s">
        <v>2002</v>
      </c>
      <c r="I156" s="2229">
        <v>108.9</v>
      </c>
      <c r="J156" s="2226" t="s">
        <v>110</v>
      </c>
      <c r="K156" s="2224" t="s">
        <v>845</v>
      </c>
      <c r="L156" s="2227">
        <v>75.02</v>
      </c>
      <c r="M156" s="2227">
        <v>37.51</v>
      </c>
      <c r="N156" s="2250">
        <v>4.8863004110056174E-4</v>
      </c>
      <c r="O156" s="2224">
        <v>12</v>
      </c>
      <c r="P156" s="2225" t="s">
        <v>996</v>
      </c>
      <c r="Q156" s="2229"/>
      <c r="R156" s="2229">
        <v>10</v>
      </c>
      <c r="S156" s="2228"/>
      <c r="T156" s="2228"/>
      <c r="U156" s="2228">
        <f t="shared" si="9"/>
        <v>1089</v>
      </c>
      <c r="V156" s="2228"/>
      <c r="W156" s="2230"/>
      <c r="X156" s="2230">
        <f t="shared" si="10"/>
        <v>375.09999999999997</v>
      </c>
      <c r="Y156" s="2230"/>
      <c r="Z156" s="2256"/>
    </row>
    <row r="157" spans="8:26">
      <c r="H157" s="2351" t="s">
        <v>2003</v>
      </c>
      <c r="I157" s="2229">
        <v>138.6</v>
      </c>
      <c r="J157" s="2226" t="s">
        <v>110</v>
      </c>
      <c r="K157" s="2224" t="s">
        <v>845</v>
      </c>
      <c r="L157" s="2227">
        <v>73.72</v>
      </c>
      <c r="M157" s="2227">
        <v>51.6</v>
      </c>
      <c r="N157" s="2250">
        <v>6.2189277958253316E-4</v>
      </c>
      <c r="O157" s="2224">
        <v>12</v>
      </c>
      <c r="P157" s="2225" t="s">
        <v>996</v>
      </c>
      <c r="Q157" s="2229"/>
      <c r="R157" s="2229">
        <v>10</v>
      </c>
      <c r="S157" s="2228"/>
      <c r="T157" s="2228"/>
      <c r="U157" s="2228">
        <f t="shared" si="9"/>
        <v>1386</v>
      </c>
      <c r="V157" s="2228"/>
      <c r="W157" s="2230"/>
      <c r="X157" s="2230">
        <f t="shared" si="10"/>
        <v>516</v>
      </c>
      <c r="Y157" s="2230"/>
      <c r="Z157" s="2256"/>
    </row>
    <row r="158" spans="8:26">
      <c r="H158" s="2351" t="s">
        <v>2003</v>
      </c>
      <c r="I158" s="2229">
        <v>227.7</v>
      </c>
      <c r="J158" s="2226" t="s">
        <v>110</v>
      </c>
      <c r="K158" s="2224" t="s">
        <v>845</v>
      </c>
      <c r="L158" s="2227">
        <v>73.72</v>
      </c>
      <c r="M158" s="2227">
        <v>51.6</v>
      </c>
      <c r="N158" s="2250">
        <v>1.0216809950284473E-3</v>
      </c>
      <c r="O158" s="2224">
        <v>12</v>
      </c>
      <c r="P158" s="2225" t="s">
        <v>996</v>
      </c>
      <c r="Q158" s="2229"/>
      <c r="R158" s="2229">
        <v>10</v>
      </c>
      <c r="S158" s="2228"/>
      <c r="T158" s="2228"/>
      <c r="U158" s="2228">
        <f t="shared" si="9"/>
        <v>2277</v>
      </c>
      <c r="V158" s="2228"/>
      <c r="W158" s="2230"/>
      <c r="X158" s="2230">
        <f t="shared" si="10"/>
        <v>516</v>
      </c>
      <c r="Y158" s="2230"/>
      <c r="Z158" s="2256"/>
    </row>
    <row r="159" spans="8:26">
      <c r="H159" s="2351" t="s">
        <v>2004</v>
      </c>
      <c r="I159" s="2229">
        <v>79.2</v>
      </c>
      <c r="J159" s="2226" t="s">
        <v>110</v>
      </c>
      <c r="K159" s="2224" t="s">
        <v>845</v>
      </c>
      <c r="L159" s="2227">
        <v>75.02</v>
      </c>
      <c r="M159" s="2227">
        <v>37.51</v>
      </c>
      <c r="N159" s="2250">
        <v>3.5536730261859038E-4</v>
      </c>
      <c r="O159" s="2224">
        <v>12</v>
      </c>
      <c r="P159" s="2225" t="s">
        <v>996</v>
      </c>
      <c r="Q159" s="2229"/>
      <c r="R159" s="2229">
        <v>10</v>
      </c>
      <c r="S159" s="2228"/>
      <c r="T159" s="2228"/>
      <c r="U159" s="2228">
        <f t="shared" si="9"/>
        <v>792</v>
      </c>
      <c r="V159" s="2228"/>
      <c r="W159" s="2230"/>
      <c r="X159" s="2230">
        <f t="shared" si="10"/>
        <v>375.09999999999997</v>
      </c>
      <c r="Y159" s="2230"/>
      <c r="Z159" s="2256"/>
    </row>
    <row r="160" spans="8:26">
      <c r="H160" s="2351" t="s">
        <v>2005</v>
      </c>
      <c r="I160" s="2229">
        <v>108.9</v>
      </c>
      <c r="J160" s="2226" t="s">
        <v>110</v>
      </c>
      <c r="K160" s="2224" t="s">
        <v>845</v>
      </c>
      <c r="L160" s="2227">
        <v>75.02</v>
      </c>
      <c r="M160" s="2227">
        <v>37.51</v>
      </c>
      <c r="N160" s="2250">
        <v>4.8863004110056174E-4</v>
      </c>
      <c r="O160" s="2224">
        <v>12</v>
      </c>
      <c r="P160" s="2225" t="s">
        <v>996</v>
      </c>
      <c r="Q160" s="2229"/>
      <c r="R160" s="2229">
        <v>10</v>
      </c>
      <c r="S160" s="2228"/>
      <c r="T160" s="2228"/>
      <c r="U160" s="2228">
        <f t="shared" si="9"/>
        <v>1089</v>
      </c>
      <c r="V160" s="2228"/>
      <c r="W160" s="2230"/>
      <c r="X160" s="2230">
        <f t="shared" si="10"/>
        <v>375.09999999999997</v>
      </c>
      <c r="Y160" s="2230"/>
      <c r="Z160" s="2256"/>
    </row>
    <row r="161" spans="8:26">
      <c r="H161" s="2351" t="s">
        <v>2006</v>
      </c>
      <c r="I161" s="2229">
        <v>151.80000000000001</v>
      </c>
      <c r="J161" s="2226" t="s">
        <v>110</v>
      </c>
      <c r="K161" s="2224" t="s">
        <v>845</v>
      </c>
      <c r="L161" s="2227">
        <v>87.05</v>
      </c>
      <c r="M161" s="2227">
        <v>60.93</v>
      </c>
      <c r="N161" s="2250">
        <v>6.8112066335229823E-4</v>
      </c>
      <c r="O161" s="2224">
        <v>12</v>
      </c>
      <c r="P161" s="2225" t="s">
        <v>996</v>
      </c>
      <c r="Q161" s="2229"/>
      <c r="R161" s="2229">
        <v>10</v>
      </c>
      <c r="S161" s="2228"/>
      <c r="T161" s="2228"/>
      <c r="U161" s="2228">
        <f t="shared" si="9"/>
        <v>1518</v>
      </c>
      <c r="V161" s="2228"/>
      <c r="W161" s="2230"/>
      <c r="X161" s="2230">
        <f t="shared" si="10"/>
        <v>609.29999999999995</v>
      </c>
      <c r="Y161" s="2230"/>
      <c r="Z161" s="2256"/>
    </row>
    <row r="162" spans="8:26">
      <c r="H162" s="2351" t="s">
        <v>2007</v>
      </c>
      <c r="I162" s="2229">
        <v>181.5</v>
      </c>
      <c r="J162" s="2226" t="s">
        <v>110</v>
      </c>
      <c r="K162" s="2224" t="s">
        <v>845</v>
      </c>
      <c r="L162" s="2227">
        <v>87.05</v>
      </c>
      <c r="M162" s="2227">
        <v>60.93</v>
      </c>
      <c r="N162" s="2250">
        <v>8.1438340183426965E-4</v>
      </c>
      <c r="O162" s="2224">
        <v>12</v>
      </c>
      <c r="P162" s="2225" t="s">
        <v>996</v>
      </c>
      <c r="Q162" s="2229"/>
      <c r="R162" s="2229">
        <v>10</v>
      </c>
      <c r="S162" s="2228"/>
      <c r="T162" s="2228"/>
      <c r="U162" s="2228">
        <f t="shared" si="9"/>
        <v>1815</v>
      </c>
      <c r="V162" s="2228"/>
      <c r="W162" s="2230"/>
      <c r="X162" s="2230">
        <f t="shared" si="10"/>
        <v>609.29999999999995</v>
      </c>
      <c r="Y162" s="2230"/>
      <c r="Z162" s="2256"/>
    </row>
    <row r="163" spans="8:26">
      <c r="H163" s="2351" t="s">
        <v>2008</v>
      </c>
      <c r="I163" s="2229">
        <v>270.60000000000002</v>
      </c>
      <c r="J163" s="2226" t="s">
        <v>110</v>
      </c>
      <c r="K163" s="2224" t="s">
        <v>845</v>
      </c>
      <c r="L163" s="2227">
        <v>87.05</v>
      </c>
      <c r="M163" s="2227">
        <v>60.93</v>
      </c>
      <c r="N163" s="2250">
        <v>1.2141716172801838E-3</v>
      </c>
      <c r="O163" s="2224">
        <v>12</v>
      </c>
      <c r="P163" s="2225" t="s">
        <v>996</v>
      </c>
      <c r="Q163" s="2229"/>
      <c r="R163" s="2229">
        <v>10</v>
      </c>
      <c r="S163" s="2228"/>
      <c r="T163" s="2228"/>
      <c r="U163" s="2228">
        <f t="shared" si="9"/>
        <v>2706</v>
      </c>
      <c r="V163" s="2228"/>
      <c r="W163" s="2230"/>
      <c r="X163" s="2230">
        <f t="shared" si="10"/>
        <v>609.29999999999995</v>
      </c>
      <c r="Y163" s="2230"/>
      <c r="Z163" s="2256"/>
    </row>
    <row r="164" spans="8:26">
      <c r="H164" s="2351" t="s">
        <v>2009</v>
      </c>
      <c r="I164" s="2229">
        <v>105.6</v>
      </c>
      <c r="J164" s="2226" t="s">
        <v>110</v>
      </c>
      <c r="K164" s="2224" t="s">
        <v>845</v>
      </c>
      <c r="L164" s="2227">
        <v>89.32</v>
      </c>
      <c r="M164" s="2227">
        <v>60.93</v>
      </c>
      <c r="N164" s="2250">
        <v>4.7382307015812048E-4</v>
      </c>
      <c r="O164" s="2224">
        <v>12</v>
      </c>
      <c r="P164" s="2225" t="s">
        <v>996</v>
      </c>
      <c r="Q164" s="2229"/>
      <c r="R164" s="2229">
        <v>10</v>
      </c>
      <c r="S164" s="2228"/>
      <c r="T164" s="2228"/>
      <c r="U164" s="2228">
        <f t="shared" si="9"/>
        <v>1056</v>
      </c>
      <c r="V164" s="2228"/>
      <c r="W164" s="2230"/>
      <c r="X164" s="2230">
        <f t="shared" si="10"/>
        <v>609.29999999999995</v>
      </c>
      <c r="Y164" s="2230"/>
      <c r="Z164" s="2256"/>
    </row>
    <row r="165" spans="8:26">
      <c r="H165" s="2351" t="s">
        <v>2010</v>
      </c>
      <c r="I165" s="2229">
        <v>145.19999999999999</v>
      </c>
      <c r="J165" s="2226" t="s">
        <v>110</v>
      </c>
      <c r="K165" s="2224" t="s">
        <v>845</v>
      </c>
      <c r="L165" s="2227">
        <v>89.32</v>
      </c>
      <c r="M165" s="2227">
        <v>60.93</v>
      </c>
      <c r="N165" s="2250">
        <v>6.515067214674157E-4</v>
      </c>
      <c r="O165" s="2224">
        <v>12</v>
      </c>
      <c r="P165" s="2225" t="s">
        <v>996</v>
      </c>
      <c r="Q165" s="2229"/>
      <c r="R165" s="2229">
        <v>10</v>
      </c>
      <c r="S165" s="2228"/>
      <c r="T165" s="2228"/>
      <c r="U165" s="2228">
        <f t="shared" si="9"/>
        <v>1452</v>
      </c>
      <c r="V165" s="2228"/>
      <c r="W165" s="2230"/>
      <c r="X165" s="2230">
        <f t="shared" si="10"/>
        <v>609.29999999999995</v>
      </c>
      <c r="Y165" s="2230"/>
      <c r="Z165" s="2256"/>
    </row>
    <row r="166" spans="8:26">
      <c r="H166" s="2351" t="s">
        <v>2011</v>
      </c>
      <c r="I166" s="2229">
        <v>145.19999999999999</v>
      </c>
      <c r="J166" s="2226" t="s">
        <v>110</v>
      </c>
      <c r="K166" s="2224" t="s">
        <v>845</v>
      </c>
      <c r="L166" s="2227">
        <v>89.32</v>
      </c>
      <c r="M166" s="2227">
        <v>60.93</v>
      </c>
      <c r="N166" s="2250">
        <v>6.515067214674157E-4</v>
      </c>
      <c r="O166" s="2224">
        <v>12</v>
      </c>
      <c r="P166" s="2225" t="s">
        <v>996</v>
      </c>
      <c r="Q166" s="2229"/>
      <c r="R166" s="2229">
        <v>10</v>
      </c>
      <c r="S166" s="2228"/>
      <c r="T166" s="2228"/>
      <c r="U166" s="2228">
        <f t="shared" si="9"/>
        <v>1452</v>
      </c>
      <c r="V166" s="2228"/>
      <c r="W166" s="2230"/>
      <c r="X166" s="2230">
        <f t="shared" si="10"/>
        <v>609.29999999999995</v>
      </c>
      <c r="Y166" s="2230"/>
      <c r="Z166" s="2256"/>
    </row>
    <row r="167" spans="8:26">
      <c r="H167" s="2351" t="s">
        <v>2012</v>
      </c>
      <c r="I167" s="2229">
        <v>184.8</v>
      </c>
      <c r="J167" s="2226" t="s">
        <v>110</v>
      </c>
      <c r="K167" s="2224" t="s">
        <v>845</v>
      </c>
      <c r="L167" s="2227">
        <v>89.32</v>
      </c>
      <c r="M167" s="2227">
        <v>60.93</v>
      </c>
      <c r="N167" s="2250">
        <v>8.2919037277671092E-4</v>
      </c>
      <c r="O167" s="2224">
        <v>12</v>
      </c>
      <c r="P167" s="2225" t="s">
        <v>996</v>
      </c>
      <c r="Q167" s="2229"/>
      <c r="R167" s="2229">
        <v>10</v>
      </c>
      <c r="S167" s="2228"/>
      <c r="T167" s="2228"/>
      <c r="U167" s="2228">
        <f t="shared" si="9"/>
        <v>1848</v>
      </c>
      <c r="V167" s="2228"/>
      <c r="W167" s="2230"/>
      <c r="X167" s="2230">
        <f t="shared" si="10"/>
        <v>609.29999999999995</v>
      </c>
      <c r="Y167" s="2230"/>
      <c r="Z167" s="2256"/>
    </row>
    <row r="168" spans="8:26">
      <c r="H168" s="2351" t="s">
        <v>2013</v>
      </c>
      <c r="I168" s="2229">
        <v>303.60000000000002</v>
      </c>
      <c r="J168" s="2226" t="s">
        <v>110</v>
      </c>
      <c r="K168" s="2224" t="s">
        <v>845</v>
      </c>
      <c r="L168" s="2227">
        <v>89.32</v>
      </c>
      <c r="M168" s="2227">
        <v>60.93</v>
      </c>
      <c r="N168" s="2250">
        <v>1.3622413267045965E-3</v>
      </c>
      <c r="O168" s="2224">
        <v>12</v>
      </c>
      <c r="P168" s="2225" t="s">
        <v>996</v>
      </c>
      <c r="Q168" s="2229"/>
      <c r="R168" s="2229">
        <v>10</v>
      </c>
      <c r="S168" s="2228"/>
      <c r="T168" s="2228"/>
      <c r="U168" s="2228">
        <f t="shared" si="9"/>
        <v>3036</v>
      </c>
      <c r="V168" s="2228"/>
      <c r="W168" s="2230"/>
      <c r="X168" s="2230">
        <f t="shared" si="10"/>
        <v>609.29999999999995</v>
      </c>
      <c r="Y168" s="2230"/>
      <c r="Z168" s="2256"/>
    </row>
    <row r="169" spans="8:26">
      <c r="H169" s="2351" t="s">
        <v>2014</v>
      </c>
      <c r="I169" s="2229">
        <v>148.5</v>
      </c>
      <c r="J169" s="2226" t="s">
        <v>110</v>
      </c>
      <c r="K169" s="2224" t="s">
        <v>845</v>
      </c>
      <c r="L169" s="2227">
        <v>73.72</v>
      </c>
      <c r="M169" s="2227">
        <v>51.61</v>
      </c>
      <c r="N169" s="2250">
        <v>6.6631369240985696E-4</v>
      </c>
      <c r="O169" s="2224">
        <v>12</v>
      </c>
      <c r="P169" s="2225" t="s">
        <v>996</v>
      </c>
      <c r="Q169" s="2229"/>
      <c r="R169" s="2229">
        <v>10</v>
      </c>
      <c r="S169" s="2228"/>
      <c r="T169" s="2228"/>
      <c r="U169" s="2228">
        <f t="shared" si="9"/>
        <v>1485</v>
      </c>
      <c r="V169" s="2228"/>
      <c r="W169" s="2230"/>
      <c r="X169" s="2230">
        <f t="shared" si="10"/>
        <v>516.1</v>
      </c>
      <c r="Y169" s="2230"/>
      <c r="Z169" s="2256"/>
    </row>
    <row r="170" spans="8:26">
      <c r="H170" s="2351" t="s">
        <v>2015</v>
      </c>
      <c r="I170" s="2229">
        <v>231</v>
      </c>
      <c r="J170" s="2226" t="s">
        <v>110</v>
      </c>
      <c r="K170" s="2224" t="s">
        <v>845</v>
      </c>
      <c r="L170" s="2227">
        <v>98.39</v>
      </c>
      <c r="M170" s="2227">
        <v>68.87</v>
      </c>
      <c r="N170" s="2250">
        <v>1.0364879659708886E-3</v>
      </c>
      <c r="O170" s="2224">
        <v>12</v>
      </c>
      <c r="P170" s="2225" t="s">
        <v>996</v>
      </c>
      <c r="Q170" s="2229"/>
      <c r="R170" s="2229">
        <v>10</v>
      </c>
      <c r="S170" s="2228"/>
      <c r="T170" s="2228"/>
      <c r="U170" s="2228">
        <f t="shared" si="9"/>
        <v>2310</v>
      </c>
      <c r="V170" s="2228"/>
      <c r="W170" s="2230"/>
      <c r="X170" s="2230">
        <f t="shared" si="10"/>
        <v>688.7</v>
      </c>
      <c r="Y170" s="2230"/>
      <c r="Z170" s="2256"/>
    </row>
    <row r="171" spans="8:26">
      <c r="H171" s="2351" t="s">
        <v>2016</v>
      </c>
      <c r="I171" s="2229">
        <v>188.1</v>
      </c>
      <c r="J171" s="2226" t="s">
        <v>110</v>
      </c>
      <c r="K171" s="2224" t="s">
        <v>845</v>
      </c>
      <c r="L171" s="2227">
        <v>73.72</v>
      </c>
      <c r="M171" s="2227">
        <v>51.61</v>
      </c>
      <c r="N171" s="2250">
        <v>8.4399734371915218E-4</v>
      </c>
      <c r="O171" s="2224">
        <v>12</v>
      </c>
      <c r="P171" s="2225" t="s">
        <v>996</v>
      </c>
      <c r="Q171" s="2229"/>
      <c r="R171" s="2229">
        <v>10</v>
      </c>
      <c r="S171" s="2228"/>
      <c r="T171" s="2228"/>
      <c r="U171" s="2228">
        <f t="shared" si="9"/>
        <v>1881</v>
      </c>
      <c r="V171" s="2228"/>
      <c r="W171" s="2230"/>
      <c r="X171" s="2230">
        <f t="shared" si="10"/>
        <v>516.1</v>
      </c>
      <c r="Y171" s="2230"/>
      <c r="Z171" s="2256"/>
    </row>
    <row r="172" spans="8:26">
      <c r="H172" s="2351" t="s">
        <v>2017</v>
      </c>
      <c r="I172" s="2229">
        <v>270.60000000000002</v>
      </c>
      <c r="J172" s="2226" t="s">
        <v>110</v>
      </c>
      <c r="K172" s="2224" t="s">
        <v>845</v>
      </c>
      <c r="L172" s="2227">
        <v>98.39</v>
      </c>
      <c r="M172" s="2227">
        <v>68.87</v>
      </c>
      <c r="N172" s="2250">
        <v>1.2141716172801838E-3</v>
      </c>
      <c r="O172" s="2224">
        <v>12</v>
      </c>
      <c r="P172" s="2225" t="s">
        <v>996</v>
      </c>
      <c r="Q172" s="2229"/>
      <c r="R172" s="2229">
        <v>10</v>
      </c>
      <c r="S172" s="2228"/>
      <c r="T172" s="2228"/>
      <c r="U172" s="2228">
        <f t="shared" si="9"/>
        <v>2706</v>
      </c>
      <c r="V172" s="2228"/>
      <c r="W172" s="2230"/>
      <c r="X172" s="2230">
        <f t="shared" si="10"/>
        <v>688.7</v>
      </c>
      <c r="Y172" s="2230"/>
      <c r="Z172" s="2256"/>
    </row>
    <row r="173" spans="8:26">
      <c r="H173" s="2351" t="s">
        <v>2017</v>
      </c>
      <c r="I173" s="2229">
        <v>389.4</v>
      </c>
      <c r="J173" s="2226" t="s">
        <v>110</v>
      </c>
      <c r="K173" s="2224" t="s">
        <v>845</v>
      </c>
      <c r="L173" s="2227">
        <v>98.39</v>
      </c>
      <c r="M173" s="2227">
        <v>68.87</v>
      </c>
      <c r="N173" s="2250">
        <v>1.7472225712080694E-3</v>
      </c>
      <c r="O173" s="2224">
        <v>12</v>
      </c>
      <c r="P173" s="2225" t="s">
        <v>996</v>
      </c>
      <c r="Q173" s="2229"/>
      <c r="R173" s="2229">
        <v>10</v>
      </c>
      <c r="S173" s="2228"/>
      <c r="T173" s="2228"/>
      <c r="U173" s="2228">
        <f t="shared" si="9"/>
        <v>3894</v>
      </c>
      <c r="V173" s="2228"/>
      <c r="W173" s="2230"/>
      <c r="X173" s="2230">
        <f t="shared" si="10"/>
        <v>688.7</v>
      </c>
      <c r="Y173" s="2230"/>
      <c r="Z173" s="2256"/>
    </row>
    <row r="174" spans="8:26">
      <c r="H174" s="2351" t="s">
        <v>2018</v>
      </c>
      <c r="I174" s="2229">
        <v>260.7</v>
      </c>
      <c r="J174" s="2226" t="s">
        <v>110</v>
      </c>
      <c r="K174" s="2224" t="s">
        <v>845</v>
      </c>
      <c r="L174" s="2227">
        <v>93.55</v>
      </c>
      <c r="M174" s="2227">
        <v>65.48</v>
      </c>
      <c r="N174" s="2250">
        <v>1.16975070445286E-3</v>
      </c>
      <c r="O174" s="2224">
        <v>12</v>
      </c>
      <c r="P174" s="2225" t="s">
        <v>996</v>
      </c>
      <c r="Q174" s="2229"/>
      <c r="R174" s="2229">
        <v>10</v>
      </c>
      <c r="S174" s="2228"/>
      <c r="T174" s="2228"/>
      <c r="U174" s="2228">
        <f t="shared" si="9"/>
        <v>2607</v>
      </c>
      <c r="V174" s="2228"/>
      <c r="W174" s="2230"/>
      <c r="X174" s="2230">
        <f t="shared" si="10"/>
        <v>654.80000000000007</v>
      </c>
      <c r="Y174" s="2230"/>
      <c r="Z174" s="2256"/>
    </row>
    <row r="175" spans="8:26">
      <c r="H175" s="2351" t="s">
        <v>2019</v>
      </c>
      <c r="I175" s="2229">
        <v>521.4</v>
      </c>
      <c r="J175" s="2226" t="s">
        <v>110</v>
      </c>
      <c r="K175" s="2224" t="s">
        <v>845</v>
      </c>
      <c r="L175" s="2227">
        <v>77.209999999999994</v>
      </c>
      <c r="M175" s="2227">
        <v>54.05</v>
      </c>
      <c r="N175" s="2250">
        <v>2.33950140890572E-3</v>
      </c>
      <c r="O175" s="2224">
        <v>12</v>
      </c>
      <c r="P175" s="2225" t="s">
        <v>996</v>
      </c>
      <c r="Q175" s="2229"/>
      <c r="R175" s="2229">
        <v>10</v>
      </c>
      <c r="S175" s="2228"/>
      <c r="T175" s="2228"/>
      <c r="U175" s="2228">
        <f t="shared" si="9"/>
        <v>5214</v>
      </c>
      <c r="V175" s="2228"/>
      <c r="W175" s="2230"/>
      <c r="X175" s="2230">
        <f t="shared" si="10"/>
        <v>540.5</v>
      </c>
      <c r="Y175" s="2230"/>
      <c r="Z175" s="2256"/>
    </row>
    <row r="176" spans="8:26">
      <c r="H176" s="2351" t="s">
        <v>2020</v>
      </c>
      <c r="I176" s="2229">
        <v>369.6</v>
      </c>
      <c r="J176" s="2226" t="s">
        <v>110</v>
      </c>
      <c r="K176" s="2224" t="s">
        <v>845</v>
      </c>
      <c r="L176" s="2227">
        <v>94.19</v>
      </c>
      <c r="M176" s="2227">
        <v>65.930000000000007</v>
      </c>
      <c r="N176" s="2250">
        <v>1.6583807455534218E-3</v>
      </c>
      <c r="O176" s="2224">
        <v>12</v>
      </c>
      <c r="P176" s="2225" t="s">
        <v>996</v>
      </c>
      <c r="Q176" s="2229"/>
      <c r="R176" s="2229">
        <v>10</v>
      </c>
      <c r="S176" s="2228"/>
      <c r="T176" s="2228"/>
      <c r="U176" s="2228">
        <f t="shared" si="9"/>
        <v>3696</v>
      </c>
      <c r="V176" s="2228"/>
      <c r="W176" s="2230"/>
      <c r="X176" s="2230">
        <f t="shared" si="10"/>
        <v>659.30000000000007</v>
      </c>
      <c r="Y176" s="2230"/>
      <c r="Z176" s="2256"/>
    </row>
    <row r="177" spans="5:26">
      <c r="H177" s="2351" t="s">
        <v>2021</v>
      </c>
      <c r="I177" s="2229">
        <v>141.9</v>
      </c>
      <c r="J177" s="2226" t="s">
        <v>110</v>
      </c>
      <c r="K177" s="2224" t="s">
        <v>845</v>
      </c>
      <c r="L177" s="2227">
        <v>92.72</v>
      </c>
      <c r="M177" s="2227">
        <v>64.900000000000006</v>
      </c>
      <c r="N177" s="2250">
        <v>6.3669975052497443E-4</v>
      </c>
      <c r="O177" s="2224">
        <v>12</v>
      </c>
      <c r="P177" s="2225" t="s">
        <v>996</v>
      </c>
      <c r="Q177" s="2229"/>
      <c r="R177" s="2229">
        <v>10</v>
      </c>
      <c r="S177" s="2228"/>
      <c r="T177" s="2228"/>
      <c r="U177" s="2228">
        <f t="shared" si="9"/>
        <v>1419</v>
      </c>
      <c r="V177" s="2228"/>
      <c r="W177" s="2230"/>
      <c r="X177" s="2230">
        <f t="shared" si="10"/>
        <v>649</v>
      </c>
      <c r="Y177" s="2230"/>
      <c r="Z177" s="2256"/>
    </row>
    <row r="178" spans="5:26">
      <c r="H178" s="2351" t="s">
        <v>2022</v>
      </c>
      <c r="I178" s="2229">
        <v>283.8</v>
      </c>
      <c r="J178" s="2226" t="s">
        <v>110</v>
      </c>
      <c r="K178" s="2224" t="s">
        <v>845</v>
      </c>
      <c r="L178" s="2227">
        <v>120.43</v>
      </c>
      <c r="M178" s="2227">
        <v>84.3</v>
      </c>
      <c r="N178" s="2250">
        <v>1.2733995010499489E-3</v>
      </c>
      <c r="O178" s="2224">
        <v>12</v>
      </c>
      <c r="P178" s="2225" t="s">
        <v>996</v>
      </c>
      <c r="Q178" s="2229"/>
      <c r="R178" s="2229">
        <v>10</v>
      </c>
      <c r="S178" s="2228"/>
      <c r="T178" s="2228"/>
      <c r="U178" s="2228">
        <f t="shared" si="9"/>
        <v>2838</v>
      </c>
      <c r="V178" s="2228"/>
      <c r="W178" s="2230"/>
      <c r="X178" s="2230">
        <f t="shared" si="10"/>
        <v>843</v>
      </c>
      <c r="Y178" s="2230"/>
      <c r="Z178" s="2256"/>
    </row>
    <row r="179" spans="5:26" s="1652" customFormat="1">
      <c r="E179" s="2266"/>
      <c r="H179" s="2351" t="s">
        <v>2023</v>
      </c>
      <c r="I179" s="2229">
        <v>162</v>
      </c>
      <c r="J179" s="2226" t="s">
        <v>110</v>
      </c>
      <c r="K179" s="2224" t="s">
        <v>845</v>
      </c>
      <c r="L179" s="2227">
        <v>61.25</v>
      </c>
      <c r="M179" s="2227">
        <v>61.25</v>
      </c>
      <c r="N179" s="2250">
        <v>7.2688766444711664E-4</v>
      </c>
      <c r="O179" s="2224">
        <v>12</v>
      </c>
      <c r="P179" s="2225" t="s">
        <v>996</v>
      </c>
      <c r="Q179" s="2229"/>
      <c r="R179" s="2229">
        <v>10</v>
      </c>
      <c r="S179" s="2228"/>
      <c r="T179" s="2228"/>
      <c r="U179" s="2228">
        <f t="shared" si="9"/>
        <v>1620</v>
      </c>
      <c r="V179" s="2228"/>
      <c r="W179" s="2230"/>
      <c r="X179" s="2230">
        <f t="shared" si="10"/>
        <v>612.5</v>
      </c>
      <c r="Y179" s="2230"/>
      <c r="Z179" s="2256"/>
    </row>
    <row r="180" spans="5:26" s="1652" customFormat="1">
      <c r="E180" s="2266"/>
      <c r="H180" s="2351" t="s">
        <v>2024</v>
      </c>
      <c r="I180" s="2229">
        <v>230.9931654788945</v>
      </c>
      <c r="J180" s="2226" t="s">
        <v>110</v>
      </c>
      <c r="K180" s="2224" t="s">
        <v>845</v>
      </c>
      <c r="L180" s="2227">
        <v>91</v>
      </c>
      <c r="M180" s="2227">
        <v>91</v>
      </c>
      <c r="N180" s="2250">
        <v>1.0364572997419749E-3</v>
      </c>
      <c r="O180" s="2224">
        <v>12</v>
      </c>
      <c r="P180" s="2225" t="s">
        <v>996</v>
      </c>
      <c r="Q180" s="2229"/>
      <c r="R180" s="2229">
        <v>10</v>
      </c>
      <c r="S180" s="2228"/>
      <c r="T180" s="2228"/>
      <c r="U180" s="2228">
        <f t="shared" si="9"/>
        <v>2309.9316547889448</v>
      </c>
      <c r="V180" s="2228"/>
      <c r="W180" s="2230"/>
      <c r="X180" s="2230">
        <f t="shared" si="10"/>
        <v>910</v>
      </c>
      <c r="Y180" s="2230"/>
      <c r="Z180" s="2256"/>
    </row>
    <row r="181" spans="5:26" s="1652" customFormat="1">
      <c r="E181" s="2266"/>
      <c r="H181" s="2351" t="s">
        <v>2025</v>
      </c>
      <c r="I181" s="2229">
        <v>574.18301133325213</v>
      </c>
      <c r="J181" s="2226" t="s">
        <v>110</v>
      </c>
      <c r="K181" s="2224" t="s">
        <v>845</v>
      </c>
      <c r="L181" s="2227">
        <v>91</v>
      </c>
      <c r="M181" s="2227">
        <v>91</v>
      </c>
      <c r="N181" s="2250">
        <v>2.5763367165014812E-3</v>
      </c>
      <c r="O181" s="2224">
        <v>12</v>
      </c>
      <c r="P181" s="2225" t="s">
        <v>996</v>
      </c>
      <c r="Q181" s="2229"/>
      <c r="R181" s="2229">
        <v>10</v>
      </c>
      <c r="S181" s="2228"/>
      <c r="T181" s="2228"/>
      <c r="U181" s="2228">
        <f t="shared" si="9"/>
        <v>5741.8301133325213</v>
      </c>
      <c r="V181" s="2228"/>
      <c r="W181" s="2230"/>
      <c r="X181" s="2230">
        <f t="shared" si="10"/>
        <v>910</v>
      </c>
      <c r="Y181" s="2230"/>
      <c r="Z181" s="2256"/>
    </row>
    <row r="182" spans="5:26" s="1652" customFormat="1">
      <c r="E182" s="2266"/>
      <c r="H182" s="2351" t="s">
        <v>2026</v>
      </c>
      <c r="I182" s="2229">
        <v>673.18008225277822</v>
      </c>
      <c r="J182" s="2226" t="s">
        <v>110</v>
      </c>
      <c r="K182" s="2224" t="s">
        <v>845</v>
      </c>
      <c r="L182" s="2227">
        <v>67.83</v>
      </c>
      <c r="M182" s="2227">
        <v>67.83</v>
      </c>
      <c r="N182" s="2250">
        <v>3.0205327021051846E-3</v>
      </c>
      <c r="O182" s="2224">
        <v>12</v>
      </c>
      <c r="P182" s="2225" t="s">
        <v>996</v>
      </c>
      <c r="Q182" s="2229"/>
      <c r="R182" s="2229">
        <v>10</v>
      </c>
      <c r="S182" s="2228"/>
      <c r="T182" s="2228"/>
      <c r="U182" s="2228">
        <f t="shared" si="9"/>
        <v>6731.8008225277827</v>
      </c>
      <c r="V182" s="2228"/>
      <c r="W182" s="2230"/>
      <c r="X182" s="2230">
        <f t="shared" si="10"/>
        <v>678.3</v>
      </c>
      <c r="Y182" s="2230"/>
      <c r="Z182" s="2256"/>
    </row>
    <row r="183" spans="5:26" s="1652" customFormat="1">
      <c r="E183" s="2266"/>
      <c r="H183" s="2351" t="s">
        <v>2027</v>
      </c>
      <c r="I183" s="2229">
        <v>742.47803189644662</v>
      </c>
      <c r="J183" s="2226" t="s">
        <v>110</v>
      </c>
      <c r="K183" s="2224" t="s">
        <v>845</v>
      </c>
      <c r="L183" s="2227">
        <v>91</v>
      </c>
      <c r="M183" s="2227">
        <v>91</v>
      </c>
      <c r="N183" s="2250">
        <v>3.3314698920277773E-3</v>
      </c>
      <c r="O183" s="2224">
        <v>12</v>
      </c>
      <c r="P183" s="2225" t="s">
        <v>996</v>
      </c>
      <c r="Q183" s="2229"/>
      <c r="R183" s="2229">
        <v>10</v>
      </c>
      <c r="S183" s="2228"/>
      <c r="T183" s="2228"/>
      <c r="U183" s="2228">
        <f t="shared" si="9"/>
        <v>7424.7803189644665</v>
      </c>
      <c r="V183" s="2228"/>
      <c r="W183" s="2230"/>
      <c r="X183" s="2230">
        <f t="shared" si="10"/>
        <v>910</v>
      </c>
      <c r="Y183" s="2230"/>
      <c r="Z183" s="2256"/>
    </row>
    <row r="184" spans="5:26" s="1652" customFormat="1">
      <c r="E184" s="2266"/>
      <c r="H184" s="2351" t="s">
        <v>2028</v>
      </c>
      <c r="I184" s="2229">
        <v>1588</v>
      </c>
      <c r="J184" s="2226" t="s">
        <v>110</v>
      </c>
      <c r="K184" s="2224" t="s">
        <v>845</v>
      </c>
      <c r="L184" s="2227">
        <v>471.07</v>
      </c>
      <c r="M184" s="2227">
        <v>317.52</v>
      </c>
      <c r="N184" s="2250">
        <v>7.1252938959384029E-3</v>
      </c>
      <c r="O184" s="2224">
        <v>12</v>
      </c>
      <c r="P184" s="2225" t="s">
        <v>996</v>
      </c>
      <c r="Q184" s="2229"/>
      <c r="R184" s="2229">
        <v>10</v>
      </c>
      <c r="S184" s="2228"/>
      <c r="T184" s="2228"/>
      <c r="U184" s="2228">
        <f t="shared" si="9"/>
        <v>15880</v>
      </c>
      <c r="V184" s="2228"/>
      <c r="W184" s="2230"/>
      <c r="X184" s="2230">
        <f t="shared" si="10"/>
        <v>3175.2</v>
      </c>
      <c r="Y184" s="2230"/>
      <c r="Z184" s="2256"/>
    </row>
    <row r="185" spans="5:26" s="1652" customFormat="1">
      <c r="E185" s="2266"/>
      <c r="H185" s="2351" t="s">
        <v>2029</v>
      </c>
      <c r="I185" s="2229">
        <v>1672</v>
      </c>
      <c r="J185" s="2226" t="s">
        <v>110</v>
      </c>
      <c r="K185" s="2224" t="s">
        <v>845</v>
      </c>
      <c r="L185" s="2227">
        <v>471.07</v>
      </c>
      <c r="M185" s="2227">
        <v>329.75</v>
      </c>
      <c r="N185" s="2250">
        <v>7.5021986108369078E-3</v>
      </c>
      <c r="O185" s="2224">
        <v>12</v>
      </c>
      <c r="P185" s="2225" t="s">
        <v>996</v>
      </c>
      <c r="Q185" s="2229"/>
      <c r="R185" s="2229">
        <v>10</v>
      </c>
      <c r="S185" s="2228"/>
      <c r="T185" s="2228"/>
      <c r="U185" s="2228">
        <f t="shared" si="9"/>
        <v>16720</v>
      </c>
      <c r="V185" s="2228"/>
      <c r="W185" s="2230"/>
      <c r="X185" s="2230">
        <f t="shared" si="10"/>
        <v>3297.5</v>
      </c>
      <c r="Y185" s="2230"/>
      <c r="Z185" s="2256"/>
    </row>
    <row r="186" spans="5:26" s="1652" customFormat="1">
      <c r="E186" s="2266"/>
      <c r="H186" s="2351" t="s">
        <v>2030</v>
      </c>
      <c r="I186" s="2229">
        <v>970</v>
      </c>
      <c r="J186" s="2226" t="s">
        <v>110</v>
      </c>
      <c r="K186" s="2224" t="s">
        <v>845</v>
      </c>
      <c r="L186" s="2227">
        <v>298.62</v>
      </c>
      <c r="M186" s="2227">
        <v>194.04</v>
      </c>
      <c r="N186" s="2250">
        <v>4.3523520648994021E-3</v>
      </c>
      <c r="O186" s="2224">
        <v>12</v>
      </c>
      <c r="P186" s="2225" t="s">
        <v>996</v>
      </c>
      <c r="Q186" s="2229"/>
      <c r="R186" s="2229">
        <v>10</v>
      </c>
      <c r="S186" s="2228"/>
      <c r="T186" s="2228"/>
      <c r="U186" s="2228">
        <f t="shared" si="9"/>
        <v>9700</v>
      </c>
      <c r="V186" s="2228"/>
      <c r="W186" s="2230"/>
      <c r="X186" s="2230">
        <f t="shared" si="10"/>
        <v>1940.3999999999999</v>
      </c>
      <c r="Y186" s="2230"/>
      <c r="Z186" s="2256"/>
    </row>
    <row r="187" spans="5:26" s="1652" customFormat="1">
      <c r="E187" s="2266"/>
      <c r="H187" s="2351" t="s">
        <v>2031</v>
      </c>
      <c r="I187" s="2229">
        <v>1075</v>
      </c>
      <c r="J187" s="2226" t="s">
        <v>110</v>
      </c>
      <c r="K187" s="2224" t="s">
        <v>845</v>
      </c>
      <c r="L187" s="2227">
        <v>218.82</v>
      </c>
      <c r="M187" s="2227">
        <v>153.16999999999999</v>
      </c>
      <c r="N187" s="2250">
        <v>4.8234829585225335E-3</v>
      </c>
      <c r="O187" s="2224">
        <v>12</v>
      </c>
      <c r="P187" s="2225" t="s">
        <v>996</v>
      </c>
      <c r="Q187" s="2229"/>
      <c r="R187" s="2229">
        <v>10</v>
      </c>
      <c r="S187" s="2228"/>
      <c r="T187" s="2228"/>
      <c r="U187" s="2228">
        <f t="shared" si="9"/>
        <v>10750</v>
      </c>
      <c r="V187" s="2228"/>
      <c r="W187" s="2230"/>
      <c r="X187" s="2230">
        <f t="shared" si="10"/>
        <v>1531.6999999999998</v>
      </c>
      <c r="Y187" s="2230"/>
      <c r="Z187" s="2256"/>
    </row>
    <row r="188" spans="5:26" s="1652" customFormat="1">
      <c r="E188" s="2266"/>
      <c r="H188" s="2351" t="s">
        <v>2032</v>
      </c>
      <c r="I188" s="2229">
        <v>735</v>
      </c>
      <c r="J188" s="2226" t="s">
        <v>110</v>
      </c>
      <c r="K188" s="2224" t="s">
        <v>845</v>
      </c>
      <c r="L188" s="2227">
        <v>218.82</v>
      </c>
      <c r="M188" s="2227">
        <v>153.16999999999999</v>
      </c>
      <c r="N188" s="2250">
        <v>3.2979162553619184E-3</v>
      </c>
      <c r="O188" s="2224">
        <v>12</v>
      </c>
      <c r="P188" s="2225" t="s">
        <v>996</v>
      </c>
      <c r="Q188" s="2229"/>
      <c r="R188" s="2229">
        <v>10</v>
      </c>
      <c r="S188" s="2228"/>
      <c r="T188" s="2228"/>
      <c r="U188" s="2228">
        <f t="shared" si="9"/>
        <v>7350</v>
      </c>
      <c r="V188" s="2228"/>
      <c r="W188" s="2230"/>
      <c r="X188" s="2230">
        <f t="shared" si="10"/>
        <v>1531.6999999999998</v>
      </c>
      <c r="Y188" s="2230"/>
      <c r="Z188" s="2256"/>
    </row>
    <row r="189" spans="5:26" s="1652" customFormat="1">
      <c r="E189" s="2266"/>
      <c r="H189" s="2351" t="s">
        <v>2033</v>
      </c>
      <c r="I189" s="2229">
        <v>458</v>
      </c>
      <c r="J189" s="2226" t="s">
        <v>110</v>
      </c>
      <c r="K189" s="2224" t="s">
        <v>845</v>
      </c>
      <c r="L189" s="2227">
        <v>176.82</v>
      </c>
      <c r="M189" s="2227">
        <v>91.56</v>
      </c>
      <c r="N189" s="2250">
        <v>2.0550280883751817E-3</v>
      </c>
      <c r="O189" s="2224">
        <v>12</v>
      </c>
      <c r="P189" s="2225" t="s">
        <v>996</v>
      </c>
      <c r="Q189" s="2229"/>
      <c r="R189" s="2229">
        <v>10</v>
      </c>
      <c r="S189" s="2228"/>
      <c r="T189" s="2228"/>
      <c r="U189" s="2228">
        <f t="shared" si="9"/>
        <v>4580</v>
      </c>
      <c r="V189" s="2228"/>
      <c r="W189" s="2230"/>
      <c r="X189" s="2230">
        <f t="shared" si="10"/>
        <v>915.6</v>
      </c>
      <c r="Y189" s="2230"/>
      <c r="Z189" s="2256"/>
    </row>
    <row r="190" spans="5:26" s="1652" customFormat="1">
      <c r="E190" s="2266"/>
      <c r="H190" s="2351" t="s">
        <v>2034</v>
      </c>
      <c r="I190" s="2229">
        <v>336</v>
      </c>
      <c r="J190" s="2226" t="s">
        <v>110</v>
      </c>
      <c r="K190" s="2224" t="s">
        <v>845</v>
      </c>
      <c r="L190" s="2227">
        <v>190.4</v>
      </c>
      <c r="M190" s="2227">
        <v>133.28</v>
      </c>
      <c r="N190" s="2250">
        <v>1.5076188595940197E-3</v>
      </c>
      <c r="O190" s="2224">
        <v>8</v>
      </c>
      <c r="P190" s="2225" t="s">
        <v>1253</v>
      </c>
      <c r="Q190" s="2229"/>
      <c r="R190" s="2229">
        <v>10</v>
      </c>
      <c r="S190" s="2228"/>
      <c r="T190" s="2228"/>
      <c r="U190" s="2228">
        <f t="shared" si="9"/>
        <v>3360</v>
      </c>
      <c r="V190" s="2228"/>
      <c r="W190" s="2230"/>
      <c r="X190" s="2230">
        <f t="shared" si="10"/>
        <v>1332.8</v>
      </c>
      <c r="Y190" s="2230"/>
      <c r="Z190" s="2256"/>
    </row>
    <row r="191" spans="5:26" s="1652" customFormat="1">
      <c r="E191" s="2266"/>
      <c r="H191" s="2351" t="s">
        <v>2035</v>
      </c>
      <c r="I191" s="2229">
        <v>250</v>
      </c>
      <c r="J191" s="2226" t="s">
        <v>110</v>
      </c>
      <c r="K191" s="2224" t="s">
        <v>845</v>
      </c>
      <c r="L191" s="2227">
        <v>190.4</v>
      </c>
      <c r="M191" s="2227">
        <v>133.28</v>
      </c>
      <c r="N191" s="2250">
        <v>1.1217402229122171E-3</v>
      </c>
      <c r="O191" s="2224">
        <v>8</v>
      </c>
      <c r="P191" s="2225" t="s">
        <v>1253</v>
      </c>
      <c r="Q191" s="2229"/>
      <c r="R191" s="2229">
        <v>10</v>
      </c>
      <c r="S191" s="2228"/>
      <c r="T191" s="2228"/>
      <c r="U191" s="2228">
        <f t="shared" si="9"/>
        <v>2500</v>
      </c>
      <c r="V191" s="2228"/>
      <c r="W191" s="2230"/>
      <c r="X191" s="2230">
        <f t="shared" si="10"/>
        <v>1332.8</v>
      </c>
      <c r="Y191" s="2230"/>
      <c r="Z191" s="2256"/>
    </row>
    <row r="192" spans="5:26" s="1652" customFormat="1">
      <c r="E192" s="2266"/>
      <c r="H192" s="2351" t="s">
        <v>2036</v>
      </c>
      <c r="I192" s="2229">
        <v>2809</v>
      </c>
      <c r="J192" s="2226" t="s">
        <v>110</v>
      </c>
      <c r="K192" s="2224" t="s">
        <v>845</v>
      </c>
      <c r="L192" s="2227">
        <v>190.4</v>
      </c>
      <c r="M192" s="2227">
        <v>133.28</v>
      </c>
      <c r="N192" s="2250">
        <v>1.2603873144641672E-2</v>
      </c>
      <c r="O192" s="2224">
        <v>8</v>
      </c>
      <c r="P192" s="2225" t="s">
        <v>1253</v>
      </c>
      <c r="Q192" s="2229"/>
      <c r="R192" s="2229">
        <v>10</v>
      </c>
      <c r="S192" s="2228"/>
      <c r="T192" s="2228"/>
      <c r="U192" s="2228">
        <f t="shared" si="9"/>
        <v>28090</v>
      </c>
      <c r="V192" s="2228"/>
      <c r="W192" s="2230"/>
      <c r="X192" s="2230">
        <f t="shared" si="10"/>
        <v>1332.8</v>
      </c>
      <c r="Y192" s="2230"/>
      <c r="Z192" s="2256"/>
    </row>
    <row r="193" spans="5:26" s="1652" customFormat="1">
      <c r="E193" s="2266"/>
      <c r="H193" s="2351" t="s">
        <v>2037</v>
      </c>
      <c r="I193" s="2229">
        <v>221</v>
      </c>
      <c r="J193" s="2226" t="s">
        <v>110</v>
      </c>
      <c r="K193" s="2224" t="s">
        <v>845</v>
      </c>
      <c r="L193" s="2227">
        <v>190.4</v>
      </c>
      <c r="M193" s="2227">
        <v>133.28</v>
      </c>
      <c r="N193" s="2250">
        <v>9.9161835705439982E-4</v>
      </c>
      <c r="O193" s="2224">
        <v>8</v>
      </c>
      <c r="P193" s="2225" t="s">
        <v>1253</v>
      </c>
      <c r="Q193" s="2229"/>
      <c r="R193" s="2229">
        <v>10</v>
      </c>
      <c r="S193" s="2228"/>
      <c r="T193" s="2228"/>
      <c r="U193" s="2228">
        <f t="shared" si="9"/>
        <v>2210</v>
      </c>
      <c r="V193" s="2228"/>
      <c r="W193" s="2230"/>
      <c r="X193" s="2230">
        <f t="shared" si="10"/>
        <v>1332.8</v>
      </c>
      <c r="Y193" s="2230"/>
      <c r="Z193" s="2256"/>
    </row>
    <row r="194" spans="5:26" s="1652" customFormat="1">
      <c r="E194" s="2266"/>
      <c r="H194" s="2351" t="s">
        <v>2038</v>
      </c>
      <c r="I194" s="2229">
        <v>343</v>
      </c>
      <c r="J194" s="2226" t="s">
        <v>110</v>
      </c>
      <c r="K194" s="2224" t="s">
        <v>845</v>
      </c>
      <c r="L194" s="2227">
        <v>190.4</v>
      </c>
      <c r="M194" s="2227">
        <v>133.28</v>
      </c>
      <c r="N194" s="2250">
        <v>1.5390275858355618E-3</v>
      </c>
      <c r="O194" s="2224">
        <v>8</v>
      </c>
      <c r="P194" s="2225" t="s">
        <v>1253</v>
      </c>
      <c r="Q194" s="2229"/>
      <c r="R194" s="2229">
        <v>10</v>
      </c>
      <c r="S194" s="2228"/>
      <c r="T194" s="2228"/>
      <c r="U194" s="2228">
        <f t="shared" si="9"/>
        <v>3430</v>
      </c>
      <c r="V194" s="2228"/>
      <c r="W194" s="2230"/>
      <c r="X194" s="2230">
        <f t="shared" si="10"/>
        <v>1332.8</v>
      </c>
      <c r="Y194" s="2230"/>
      <c r="Z194" s="2256"/>
    </row>
    <row r="195" spans="5:26" s="1652" customFormat="1">
      <c r="E195" s="2266"/>
      <c r="H195" s="2351" t="s">
        <v>2039</v>
      </c>
      <c r="I195" s="2229">
        <v>252</v>
      </c>
      <c r="J195" s="2226" t="s">
        <v>110</v>
      </c>
      <c r="K195" s="2224" t="s">
        <v>845</v>
      </c>
      <c r="L195" s="2227">
        <v>190.4</v>
      </c>
      <c r="M195" s="2227">
        <v>133.28</v>
      </c>
      <c r="N195" s="2250">
        <v>1.1307141446955148E-3</v>
      </c>
      <c r="O195" s="2224">
        <v>8</v>
      </c>
      <c r="P195" s="2225" t="s">
        <v>1253</v>
      </c>
      <c r="Q195" s="2229"/>
      <c r="R195" s="2229">
        <v>10</v>
      </c>
      <c r="S195" s="2228"/>
      <c r="T195" s="2228"/>
      <c r="U195" s="2228">
        <f t="shared" si="9"/>
        <v>2520</v>
      </c>
      <c r="V195" s="2228"/>
      <c r="W195" s="2230"/>
      <c r="X195" s="2230">
        <f t="shared" si="10"/>
        <v>1332.8</v>
      </c>
      <c r="Y195" s="2230"/>
      <c r="Z195" s="2256"/>
    </row>
    <row r="196" spans="5:26" s="1652" customFormat="1">
      <c r="E196" s="2266"/>
      <c r="H196" s="2351" t="s">
        <v>2040</v>
      </c>
      <c r="I196" s="2229">
        <v>2836</v>
      </c>
      <c r="J196" s="2226" t="s">
        <v>110</v>
      </c>
      <c r="K196" s="2224" t="s">
        <v>845</v>
      </c>
      <c r="L196" s="2227">
        <v>190.4</v>
      </c>
      <c r="M196" s="2227">
        <v>133.28</v>
      </c>
      <c r="N196" s="2250">
        <v>1.272502108871619E-2</v>
      </c>
      <c r="O196" s="2224">
        <v>8</v>
      </c>
      <c r="P196" s="2225" t="s">
        <v>1253</v>
      </c>
      <c r="Q196" s="2229"/>
      <c r="R196" s="2229">
        <v>10</v>
      </c>
      <c r="S196" s="2228"/>
      <c r="T196" s="2228"/>
      <c r="U196" s="2228">
        <f t="shared" si="9"/>
        <v>28360</v>
      </c>
      <c r="V196" s="2228"/>
      <c r="W196" s="2230"/>
      <c r="X196" s="2230">
        <f t="shared" si="10"/>
        <v>1332.8</v>
      </c>
      <c r="Y196" s="2230"/>
      <c r="Z196" s="2256"/>
    </row>
    <row r="197" spans="5:26" s="1652" customFormat="1">
      <c r="E197" s="2266"/>
      <c r="H197" s="2351" t="s">
        <v>2041</v>
      </c>
      <c r="I197" s="2229">
        <v>223</v>
      </c>
      <c r="J197" s="2226" t="s">
        <v>110</v>
      </c>
      <c r="K197" s="2224" t="s">
        <v>845</v>
      </c>
      <c r="L197" s="2227">
        <v>190.4</v>
      </c>
      <c r="M197" s="2227">
        <v>133.28</v>
      </c>
      <c r="N197" s="2250">
        <v>1.0005922788376977E-3</v>
      </c>
      <c r="O197" s="2224">
        <v>8</v>
      </c>
      <c r="P197" s="2225" t="s">
        <v>1253</v>
      </c>
      <c r="Q197" s="2229"/>
      <c r="R197" s="2229">
        <v>10</v>
      </c>
      <c r="S197" s="2228"/>
      <c r="T197" s="2228"/>
      <c r="U197" s="2228">
        <f t="shared" si="9"/>
        <v>2230</v>
      </c>
      <c r="V197" s="2228"/>
      <c r="W197" s="2230"/>
      <c r="X197" s="2230">
        <f t="shared" si="10"/>
        <v>1332.8</v>
      </c>
      <c r="Y197" s="2230"/>
      <c r="Z197" s="2256"/>
    </row>
    <row r="198" spans="5:26" s="1652" customFormat="1">
      <c r="E198" s="2266"/>
      <c r="H198" s="2351" t="s">
        <v>2042</v>
      </c>
      <c r="I198" s="2229">
        <v>592</v>
      </c>
      <c r="J198" s="2226" t="s">
        <v>110</v>
      </c>
      <c r="K198" s="2224" t="s">
        <v>845</v>
      </c>
      <c r="L198" s="2227">
        <v>225.4</v>
      </c>
      <c r="M198" s="2227">
        <v>259.60000000000002</v>
      </c>
      <c r="N198" s="2250">
        <v>2.6562808478561299E-3</v>
      </c>
      <c r="O198" s="2224">
        <v>15</v>
      </c>
      <c r="P198" s="2225" t="s">
        <v>1253</v>
      </c>
      <c r="Q198" s="2229"/>
      <c r="R198" s="2229">
        <v>10</v>
      </c>
      <c r="S198" s="2228"/>
      <c r="T198" s="2228"/>
      <c r="U198" s="2228">
        <f t="shared" si="9"/>
        <v>5920</v>
      </c>
      <c r="V198" s="2228"/>
      <c r="W198" s="2230"/>
      <c r="X198" s="2230">
        <f t="shared" si="10"/>
        <v>2596</v>
      </c>
      <c r="Y198" s="2230"/>
      <c r="Z198" s="2256"/>
    </row>
    <row r="199" spans="5:26" s="1652" customFormat="1">
      <c r="E199" s="2266"/>
      <c r="H199" s="2351" t="s">
        <v>2043</v>
      </c>
      <c r="I199" s="2229">
        <v>1458</v>
      </c>
      <c r="J199" s="2226" t="s">
        <v>110</v>
      </c>
      <c r="K199" s="2224" t="s">
        <v>845</v>
      </c>
      <c r="L199" s="2227">
        <v>225.4</v>
      </c>
      <c r="M199" s="2227">
        <v>259.60000000000002</v>
      </c>
      <c r="N199" s="2250">
        <v>6.5419889800240501E-3</v>
      </c>
      <c r="O199" s="2224">
        <v>15</v>
      </c>
      <c r="P199" s="2225" t="s">
        <v>1253</v>
      </c>
      <c r="Q199" s="2229"/>
      <c r="R199" s="2229">
        <v>10</v>
      </c>
      <c r="S199" s="2228"/>
      <c r="T199" s="2228"/>
      <c r="U199" s="2228">
        <f t="shared" si="9"/>
        <v>14580</v>
      </c>
      <c r="V199" s="2228"/>
      <c r="W199" s="2230"/>
      <c r="X199" s="2230">
        <f t="shared" si="10"/>
        <v>2596</v>
      </c>
      <c r="Y199" s="2230"/>
      <c r="Z199" s="2256"/>
    </row>
    <row r="200" spans="5:26" s="1652" customFormat="1">
      <c r="E200" s="2266"/>
      <c r="H200" s="2351" t="s">
        <v>2044</v>
      </c>
      <c r="I200" s="2229">
        <v>243</v>
      </c>
      <c r="J200" s="2226" t="s">
        <v>110</v>
      </c>
      <c r="K200" s="2224" t="s">
        <v>845</v>
      </c>
      <c r="L200" s="2227">
        <v>100</v>
      </c>
      <c r="M200" s="2227">
        <v>72.900000000000006</v>
      </c>
      <c r="N200" s="2250">
        <v>1.090331496670675E-3</v>
      </c>
      <c r="O200" s="2224">
        <v>4</v>
      </c>
      <c r="P200" s="2225" t="s">
        <v>1253</v>
      </c>
      <c r="Q200" s="2229"/>
      <c r="R200" s="2229">
        <v>10</v>
      </c>
      <c r="S200" s="2228"/>
      <c r="T200" s="2228"/>
      <c r="U200" s="2228">
        <f t="shared" si="9"/>
        <v>2430</v>
      </c>
      <c r="V200" s="2228"/>
      <c r="W200" s="2230"/>
      <c r="X200" s="2230">
        <f t="shared" si="10"/>
        <v>729</v>
      </c>
      <c r="Y200" s="2230"/>
      <c r="Z200" s="2256"/>
    </row>
    <row r="201" spans="5:26" s="1652" customFormat="1">
      <c r="E201" s="2266"/>
      <c r="H201" s="2351" t="s">
        <v>2045</v>
      </c>
      <c r="I201" s="2229">
        <v>248</v>
      </c>
      <c r="J201" s="2226" t="s">
        <v>110</v>
      </c>
      <c r="K201" s="2224" t="s">
        <v>845</v>
      </c>
      <c r="L201" s="2227">
        <v>81</v>
      </c>
      <c r="M201" s="2227">
        <v>74.400000000000006</v>
      </c>
      <c r="N201" s="2250">
        <v>1.1127663011289194E-3</v>
      </c>
      <c r="O201" s="2224">
        <v>4</v>
      </c>
      <c r="P201" s="2225" t="s">
        <v>1253</v>
      </c>
      <c r="Q201" s="2229"/>
      <c r="R201" s="2229">
        <v>10</v>
      </c>
      <c r="S201" s="2228"/>
      <c r="T201" s="2228"/>
      <c r="U201" s="2228">
        <f t="shared" si="9"/>
        <v>2480</v>
      </c>
      <c r="V201" s="2228"/>
      <c r="W201" s="2230"/>
      <c r="X201" s="2230">
        <f t="shared" si="10"/>
        <v>744</v>
      </c>
      <c r="Y201" s="2230"/>
      <c r="Z201" s="2256"/>
    </row>
    <row r="202" spans="5:26" s="1652" customFormat="1">
      <c r="E202" s="2266"/>
      <c r="H202" s="2351" t="s">
        <v>2046</v>
      </c>
      <c r="I202" s="2229">
        <v>347</v>
      </c>
      <c r="J202" s="2226" t="s">
        <v>110</v>
      </c>
      <c r="K202" s="2224" t="s">
        <v>845</v>
      </c>
      <c r="L202" s="2227">
        <v>114</v>
      </c>
      <c r="M202" s="2227">
        <v>104.1</v>
      </c>
      <c r="N202" s="2250">
        <v>1.5569754294021574E-3</v>
      </c>
      <c r="O202" s="2224">
        <v>4</v>
      </c>
      <c r="P202" s="2225" t="s">
        <v>1253</v>
      </c>
      <c r="Q202" s="2229"/>
      <c r="R202" s="2229">
        <v>10</v>
      </c>
      <c r="S202" s="2228"/>
      <c r="T202" s="2228"/>
      <c r="U202" s="2228">
        <f t="shared" si="9"/>
        <v>3470</v>
      </c>
      <c r="V202" s="2228"/>
      <c r="W202" s="2230"/>
      <c r="X202" s="2230">
        <f t="shared" si="10"/>
        <v>1041</v>
      </c>
      <c r="Y202" s="2230"/>
      <c r="Z202" s="2256"/>
    </row>
    <row r="203" spans="5:26" s="1652" customFormat="1">
      <c r="E203" s="2266"/>
      <c r="H203" s="2351" t="s">
        <v>2047</v>
      </c>
      <c r="I203" s="2229">
        <v>204</v>
      </c>
      <c r="J203" s="2226" t="s">
        <v>110</v>
      </c>
      <c r="K203" s="2224" t="s">
        <v>845</v>
      </c>
      <c r="L203" s="2227">
        <v>76</v>
      </c>
      <c r="M203" s="2227">
        <v>61.2</v>
      </c>
      <c r="N203" s="2250">
        <v>9.1534002189636911E-4</v>
      </c>
      <c r="O203" s="2224">
        <v>4</v>
      </c>
      <c r="P203" s="2225" t="s">
        <v>1253</v>
      </c>
      <c r="Q203" s="2229"/>
      <c r="R203" s="2229">
        <v>10</v>
      </c>
      <c r="S203" s="2228"/>
      <c r="T203" s="2228"/>
      <c r="U203" s="2228">
        <f t="shared" si="9"/>
        <v>2040</v>
      </c>
      <c r="V203" s="2228"/>
      <c r="W203" s="2230"/>
      <c r="X203" s="2230">
        <f t="shared" si="10"/>
        <v>612</v>
      </c>
      <c r="Y203" s="2230"/>
      <c r="Z203" s="2256"/>
    </row>
    <row r="204" spans="5:26" s="1652" customFormat="1">
      <c r="E204" s="2266"/>
      <c r="H204" s="2351" t="s">
        <v>2048</v>
      </c>
      <c r="I204" s="2229">
        <v>1298</v>
      </c>
      <c r="J204" s="2226" t="s">
        <v>110</v>
      </c>
      <c r="K204" s="2224" t="s">
        <v>845</v>
      </c>
      <c r="L204" s="2227">
        <v>471.07</v>
      </c>
      <c r="M204" s="2227">
        <v>329.75</v>
      </c>
      <c r="N204" s="2250">
        <v>5.824075237360231E-3</v>
      </c>
      <c r="O204" s="2224">
        <v>12</v>
      </c>
      <c r="P204" s="2225" t="s">
        <v>996</v>
      </c>
      <c r="Q204" s="2229"/>
      <c r="R204" s="2229">
        <v>10</v>
      </c>
      <c r="S204" s="2228"/>
      <c r="T204" s="2228"/>
      <c r="U204" s="2228">
        <f t="shared" si="9"/>
        <v>12980</v>
      </c>
      <c r="V204" s="2228"/>
      <c r="W204" s="2230"/>
      <c r="X204" s="2230">
        <f t="shared" si="10"/>
        <v>3297.5</v>
      </c>
      <c r="Y204" s="2230"/>
      <c r="Z204" s="2256"/>
    </row>
    <row r="205" spans="5:26" s="1652" customFormat="1">
      <c r="E205" s="2266"/>
      <c r="H205" s="2351" t="s">
        <v>2049</v>
      </c>
      <c r="I205" s="2229">
        <v>1676</v>
      </c>
      <c r="J205" s="2226" t="s">
        <v>110</v>
      </c>
      <c r="K205" s="2224" t="s">
        <v>845</v>
      </c>
      <c r="L205" s="2227">
        <v>471.07</v>
      </c>
      <c r="M205" s="2227">
        <v>329.75</v>
      </c>
      <c r="N205" s="2250">
        <v>7.5201464544035037E-3</v>
      </c>
      <c r="O205" s="2224">
        <v>12</v>
      </c>
      <c r="P205" s="2225" t="s">
        <v>996</v>
      </c>
      <c r="Q205" s="2229"/>
      <c r="R205" s="2229">
        <v>10</v>
      </c>
      <c r="S205" s="2228"/>
      <c r="T205" s="2228"/>
      <c r="U205" s="2228">
        <f t="shared" si="9"/>
        <v>16760</v>
      </c>
      <c r="V205" s="2228"/>
      <c r="W205" s="2230"/>
      <c r="X205" s="2230">
        <f t="shared" si="10"/>
        <v>3297.5</v>
      </c>
      <c r="Y205" s="2230"/>
      <c r="Z205" s="2256"/>
    </row>
    <row r="206" spans="5:26" s="1652" customFormat="1">
      <c r="E206" s="2266"/>
      <c r="H206" s="2351" t="s">
        <v>2050</v>
      </c>
      <c r="I206" s="2229">
        <v>928</v>
      </c>
      <c r="J206" s="2226" t="s">
        <v>110</v>
      </c>
      <c r="K206" s="2224" t="s">
        <v>845</v>
      </c>
      <c r="L206" s="2227">
        <v>471.07</v>
      </c>
      <c r="M206" s="2227">
        <v>329.75</v>
      </c>
      <c r="N206" s="2250">
        <v>4.1638997074501501E-3</v>
      </c>
      <c r="O206" s="2224">
        <v>12</v>
      </c>
      <c r="P206" s="2225" t="s">
        <v>996</v>
      </c>
      <c r="Q206" s="2229"/>
      <c r="R206" s="2229">
        <v>10</v>
      </c>
      <c r="S206" s="2228"/>
      <c r="T206" s="2228"/>
      <c r="U206" s="2228">
        <f t="shared" si="9"/>
        <v>9280</v>
      </c>
      <c r="V206" s="2228"/>
      <c r="W206" s="2230"/>
      <c r="X206" s="2230">
        <f t="shared" si="10"/>
        <v>3297.5</v>
      </c>
      <c r="Y206" s="2230"/>
      <c r="Z206" s="2256"/>
    </row>
    <row r="207" spans="5:26" s="1652" customFormat="1">
      <c r="E207" s="2266"/>
      <c r="H207" s="2351" t="s">
        <v>2051</v>
      </c>
      <c r="I207" s="2229">
        <v>1306</v>
      </c>
      <c r="J207" s="2226" t="s">
        <v>110</v>
      </c>
      <c r="K207" s="2224" t="s">
        <v>845</v>
      </c>
      <c r="L207" s="2227">
        <v>471.07</v>
      </c>
      <c r="M207" s="2227">
        <v>329.75</v>
      </c>
      <c r="N207" s="2250">
        <v>5.8599709244934219E-3</v>
      </c>
      <c r="O207" s="2224">
        <v>12</v>
      </c>
      <c r="P207" s="2225" t="s">
        <v>996</v>
      </c>
      <c r="Q207" s="2229"/>
      <c r="R207" s="2229">
        <v>10</v>
      </c>
      <c r="S207" s="2228"/>
      <c r="T207" s="2228"/>
      <c r="U207" s="2228">
        <f t="shared" si="9"/>
        <v>13060</v>
      </c>
      <c r="V207" s="2228"/>
      <c r="W207" s="2230"/>
      <c r="X207" s="2230">
        <f t="shared" si="10"/>
        <v>3297.5</v>
      </c>
      <c r="Y207" s="2230"/>
      <c r="Z207" s="2256"/>
    </row>
    <row r="208" spans="5:26" s="1652" customFormat="1">
      <c r="E208" s="2266"/>
      <c r="H208" s="2351" t="s">
        <v>2052</v>
      </c>
      <c r="I208" s="2229">
        <v>65.7</v>
      </c>
      <c r="J208" s="2226" t="s">
        <v>110</v>
      </c>
      <c r="K208" s="2224" t="s">
        <v>845</v>
      </c>
      <c r="L208" s="2227">
        <v>60.2</v>
      </c>
      <c r="M208" s="2227">
        <v>42.14</v>
      </c>
      <c r="N208" s="2250">
        <v>2.9479333058133066E-4</v>
      </c>
      <c r="O208" s="2224">
        <v>5</v>
      </c>
      <c r="P208" s="2225" t="s">
        <v>1253</v>
      </c>
      <c r="Q208" s="2229"/>
      <c r="R208" s="2229">
        <v>10</v>
      </c>
      <c r="S208" s="2228"/>
      <c r="T208" s="2228"/>
      <c r="U208" s="2228">
        <f t="shared" si="9"/>
        <v>657</v>
      </c>
      <c r="V208" s="2228"/>
      <c r="W208" s="2230"/>
      <c r="X208" s="2230">
        <f t="shared" si="10"/>
        <v>421.4</v>
      </c>
      <c r="Y208" s="2230"/>
      <c r="Z208" s="2256"/>
    </row>
    <row r="209" spans="5:26" s="1652" customFormat="1">
      <c r="E209" s="2266"/>
      <c r="H209" s="2351" t="s">
        <v>2053</v>
      </c>
      <c r="I209" s="2229">
        <v>43.8</v>
      </c>
      <c r="J209" s="2226" t="s">
        <v>110</v>
      </c>
      <c r="K209" s="2224" t="s">
        <v>845</v>
      </c>
      <c r="L209" s="2227">
        <v>60.2</v>
      </c>
      <c r="M209" s="2227">
        <v>42.14</v>
      </c>
      <c r="N209" s="2250">
        <v>1.9652888705422043E-4</v>
      </c>
      <c r="O209" s="2224">
        <v>5</v>
      </c>
      <c r="P209" s="2225" t="s">
        <v>1253</v>
      </c>
      <c r="Q209" s="2229"/>
      <c r="R209" s="2229">
        <v>10</v>
      </c>
      <c r="S209" s="2228"/>
      <c r="T209" s="2228"/>
      <c r="U209" s="2228">
        <f t="shared" si="9"/>
        <v>438</v>
      </c>
      <c r="V209" s="2228"/>
      <c r="W209" s="2230"/>
      <c r="X209" s="2230">
        <f t="shared" si="10"/>
        <v>421.4</v>
      </c>
      <c r="Y209" s="2230"/>
      <c r="Z209" s="2256"/>
    </row>
    <row r="210" spans="5:26" s="1652" customFormat="1">
      <c r="E210" s="2266"/>
      <c r="H210" s="2351" t="s">
        <v>2054</v>
      </c>
      <c r="I210" s="2229">
        <v>21.9</v>
      </c>
      <c r="J210" s="2226" t="s">
        <v>110</v>
      </c>
      <c r="K210" s="2224" t="s">
        <v>845</v>
      </c>
      <c r="L210" s="2227">
        <v>60.2</v>
      </c>
      <c r="M210" s="2227">
        <v>42.14</v>
      </c>
      <c r="N210" s="2250">
        <v>9.8264443527110214E-5</v>
      </c>
      <c r="O210" s="2224">
        <v>5</v>
      </c>
      <c r="P210" s="2225" t="s">
        <v>1253</v>
      </c>
      <c r="Q210" s="2229"/>
      <c r="R210" s="2229">
        <v>10</v>
      </c>
      <c r="S210" s="2228"/>
      <c r="T210" s="2228"/>
      <c r="U210" s="2228">
        <f t="shared" si="9"/>
        <v>219</v>
      </c>
      <c r="V210" s="2228"/>
      <c r="W210" s="2230"/>
      <c r="X210" s="2230">
        <f t="shared" si="10"/>
        <v>421.4</v>
      </c>
      <c r="Y210" s="2230"/>
      <c r="Z210" s="2256"/>
    </row>
    <row r="211" spans="5:26" s="1652" customFormat="1">
      <c r="E211" s="2266"/>
      <c r="H211" s="2351" t="s">
        <v>2055</v>
      </c>
      <c r="I211" s="2229">
        <v>130.19999999999999</v>
      </c>
      <c r="J211" s="2226" t="s">
        <v>110</v>
      </c>
      <c r="K211" s="2224" t="s">
        <v>845</v>
      </c>
      <c r="L211" s="2227">
        <v>60.2</v>
      </c>
      <c r="M211" s="2227">
        <v>42.14</v>
      </c>
      <c r="N211" s="2250">
        <v>5.8420230809268269E-4</v>
      </c>
      <c r="O211" s="2224">
        <v>5</v>
      </c>
      <c r="P211" s="2225" t="s">
        <v>1253</v>
      </c>
      <c r="Q211" s="2229"/>
      <c r="R211" s="2229">
        <v>10</v>
      </c>
      <c r="S211" s="2228"/>
      <c r="T211" s="2228"/>
      <c r="U211" s="2228">
        <f t="shared" si="9"/>
        <v>1302</v>
      </c>
      <c r="V211" s="2228"/>
      <c r="W211" s="2230"/>
      <c r="X211" s="2230">
        <f t="shared" si="10"/>
        <v>421.4</v>
      </c>
      <c r="Y211" s="2230"/>
      <c r="Z211" s="2256"/>
    </row>
    <row r="212" spans="5:26" s="1652" customFormat="1">
      <c r="E212" s="2266"/>
      <c r="H212" s="2351" t="s">
        <v>2056</v>
      </c>
      <c r="I212" s="2229">
        <v>129.80000000000001</v>
      </c>
      <c r="J212" s="2226" t="s">
        <v>110</v>
      </c>
      <c r="K212" s="2224" t="s">
        <v>845</v>
      </c>
      <c r="L212" s="2227">
        <v>60.2</v>
      </c>
      <c r="M212" s="2227">
        <v>42.14</v>
      </c>
      <c r="N212" s="2250">
        <v>5.8240752373602315E-4</v>
      </c>
      <c r="O212" s="2224">
        <v>5</v>
      </c>
      <c r="P212" s="2225" t="s">
        <v>1253</v>
      </c>
      <c r="Q212" s="2229"/>
      <c r="R212" s="2229">
        <v>10</v>
      </c>
      <c r="S212" s="2228"/>
      <c r="T212" s="2228"/>
      <c r="U212" s="2228">
        <f t="shared" si="9"/>
        <v>1298</v>
      </c>
      <c r="V212" s="2228"/>
      <c r="W212" s="2230"/>
      <c r="X212" s="2230">
        <f t="shared" si="10"/>
        <v>421.4</v>
      </c>
      <c r="Y212" s="2230"/>
      <c r="Z212" s="2256"/>
    </row>
    <row r="213" spans="5:26" s="1652" customFormat="1">
      <c r="E213" s="2266"/>
      <c r="H213" s="2351" t="s">
        <v>2057</v>
      </c>
      <c r="I213" s="2229">
        <v>86.4</v>
      </c>
      <c r="J213" s="2226" t="s">
        <v>110</v>
      </c>
      <c r="K213" s="2224" t="s">
        <v>845</v>
      </c>
      <c r="L213" s="2227">
        <v>60.2</v>
      </c>
      <c r="M213" s="2227">
        <v>42.14</v>
      </c>
      <c r="N213" s="2250">
        <v>3.8767342103846223E-4</v>
      </c>
      <c r="O213" s="2224">
        <v>5</v>
      </c>
      <c r="P213" s="2225" t="s">
        <v>1253</v>
      </c>
      <c r="Q213" s="2229"/>
      <c r="R213" s="2229">
        <v>10</v>
      </c>
      <c r="S213" s="2228"/>
      <c r="T213" s="2228"/>
      <c r="U213" s="2228">
        <f t="shared" si="9"/>
        <v>864</v>
      </c>
      <c r="V213" s="2228"/>
      <c r="W213" s="2230"/>
      <c r="X213" s="2230">
        <f t="shared" si="10"/>
        <v>421.4</v>
      </c>
      <c r="Y213" s="2230"/>
      <c r="Z213" s="2256"/>
    </row>
    <row r="214" spans="5:26" s="1652" customFormat="1">
      <c r="E214" s="2266"/>
      <c r="H214" s="2351" t="s">
        <v>2058</v>
      </c>
      <c r="I214" s="2229">
        <v>92.5</v>
      </c>
      <c r="J214" s="2226" t="s">
        <v>110</v>
      </c>
      <c r="K214" s="2224" t="s">
        <v>845</v>
      </c>
      <c r="L214" s="2227">
        <v>60.2</v>
      </c>
      <c r="M214" s="2227">
        <v>42.14</v>
      </c>
      <c r="N214" s="2250">
        <v>4.1504388247752034E-4</v>
      </c>
      <c r="O214" s="2224">
        <v>5</v>
      </c>
      <c r="P214" s="2225" t="s">
        <v>1253</v>
      </c>
      <c r="Q214" s="2229"/>
      <c r="R214" s="2229">
        <v>10</v>
      </c>
      <c r="S214" s="2228"/>
      <c r="T214" s="2228"/>
      <c r="U214" s="2228">
        <f t="shared" si="9"/>
        <v>925</v>
      </c>
      <c r="V214" s="2228"/>
      <c r="W214" s="2230"/>
      <c r="X214" s="2230">
        <f t="shared" si="10"/>
        <v>421.4</v>
      </c>
      <c r="Y214" s="2230"/>
      <c r="Z214" s="2256"/>
    </row>
    <row r="215" spans="5:26" s="1652" customFormat="1">
      <c r="E215" s="2266"/>
      <c r="H215" s="2351" t="s">
        <v>2059</v>
      </c>
      <c r="I215" s="2229">
        <v>79.599999999999994</v>
      </c>
      <c r="J215" s="2226" t="s">
        <v>110</v>
      </c>
      <c r="K215" s="2224" t="s">
        <v>845</v>
      </c>
      <c r="L215" s="2227">
        <v>60.2</v>
      </c>
      <c r="M215" s="2227">
        <v>42.14</v>
      </c>
      <c r="N215" s="2250">
        <v>3.5716208697524993E-4</v>
      </c>
      <c r="O215" s="2224">
        <v>5</v>
      </c>
      <c r="P215" s="2225" t="s">
        <v>1253</v>
      </c>
      <c r="Q215" s="2229"/>
      <c r="R215" s="2229">
        <v>10</v>
      </c>
      <c r="S215" s="2228"/>
      <c r="T215" s="2228"/>
      <c r="U215" s="2228">
        <f t="shared" si="9"/>
        <v>796</v>
      </c>
      <c r="V215" s="2228"/>
      <c r="W215" s="2230"/>
      <c r="X215" s="2230">
        <f t="shared" si="10"/>
        <v>421.4</v>
      </c>
      <c r="Y215" s="2230"/>
      <c r="Z215" s="2256"/>
    </row>
    <row r="216" spans="5:26" s="1652" customFormat="1">
      <c r="E216" s="2266"/>
      <c r="H216" s="2351" t="s">
        <v>2060</v>
      </c>
      <c r="I216" s="2229">
        <v>48.7</v>
      </c>
      <c r="J216" s="2226" t="s">
        <v>110</v>
      </c>
      <c r="K216" s="2224" t="s">
        <v>845</v>
      </c>
      <c r="L216" s="2227">
        <v>60.2</v>
      </c>
      <c r="M216" s="2227">
        <v>42.14</v>
      </c>
      <c r="N216" s="2250">
        <v>2.1851499542329989E-4</v>
      </c>
      <c r="O216" s="2224">
        <v>5</v>
      </c>
      <c r="P216" s="2225" t="s">
        <v>1253</v>
      </c>
      <c r="Q216" s="2229"/>
      <c r="R216" s="2229">
        <v>10</v>
      </c>
      <c r="S216" s="2228"/>
      <c r="T216" s="2228"/>
      <c r="U216" s="2228">
        <f t="shared" si="9"/>
        <v>487</v>
      </c>
      <c r="V216" s="2228"/>
      <c r="W216" s="2230"/>
      <c r="X216" s="2230">
        <f t="shared" si="10"/>
        <v>421.4</v>
      </c>
      <c r="Y216" s="2230"/>
      <c r="Z216" s="2256"/>
    </row>
    <row r="217" spans="5:26" s="1652" customFormat="1">
      <c r="E217" s="2266"/>
      <c r="H217" s="2351" t="s">
        <v>2061</v>
      </c>
      <c r="I217" s="2229">
        <v>65.7</v>
      </c>
      <c r="J217" s="2226" t="s">
        <v>110</v>
      </c>
      <c r="K217" s="2224" t="s">
        <v>845</v>
      </c>
      <c r="L217" s="2227">
        <v>60.2</v>
      </c>
      <c r="M217" s="2227">
        <v>42.14</v>
      </c>
      <c r="N217" s="2250">
        <v>2.9479333058133066E-4</v>
      </c>
      <c r="O217" s="2224">
        <v>5</v>
      </c>
      <c r="P217" s="2225" t="s">
        <v>1253</v>
      </c>
      <c r="Q217" s="2229"/>
      <c r="R217" s="2229">
        <v>10</v>
      </c>
      <c r="S217" s="2228"/>
      <c r="T217" s="2228"/>
      <c r="U217" s="2228">
        <f t="shared" si="9"/>
        <v>657</v>
      </c>
      <c r="V217" s="2228"/>
      <c r="W217" s="2230"/>
      <c r="X217" s="2230">
        <f t="shared" si="10"/>
        <v>421.4</v>
      </c>
      <c r="Y217" s="2230"/>
      <c r="Z217" s="2256"/>
    </row>
    <row r="218" spans="5:26" s="1652" customFormat="1">
      <c r="E218" s="2266"/>
      <c r="H218" s="2351" t="s">
        <v>2062</v>
      </c>
      <c r="I218" s="2229">
        <v>43.8</v>
      </c>
      <c r="J218" s="2226" t="s">
        <v>110</v>
      </c>
      <c r="K218" s="2224" t="s">
        <v>845</v>
      </c>
      <c r="L218" s="2227">
        <v>60.2</v>
      </c>
      <c r="M218" s="2227">
        <v>42.14</v>
      </c>
      <c r="N218" s="2250">
        <v>1.9652888705422043E-4</v>
      </c>
      <c r="O218" s="2224">
        <v>5</v>
      </c>
      <c r="P218" s="2225" t="s">
        <v>1253</v>
      </c>
      <c r="Q218" s="2229"/>
      <c r="R218" s="2229">
        <v>10</v>
      </c>
      <c r="S218" s="2228"/>
      <c r="T218" s="2228"/>
      <c r="U218" s="2228">
        <f t="shared" si="9"/>
        <v>438</v>
      </c>
      <c r="V218" s="2228"/>
      <c r="W218" s="2230"/>
      <c r="X218" s="2230">
        <f t="shared" si="10"/>
        <v>421.4</v>
      </c>
      <c r="Y218" s="2230"/>
      <c r="Z218" s="2256"/>
    </row>
    <row r="219" spans="5:26" s="1652" customFormat="1">
      <c r="E219" s="2266"/>
      <c r="H219" s="2351" t="s">
        <v>2063</v>
      </c>
      <c r="I219" s="2229">
        <v>21.9</v>
      </c>
      <c r="J219" s="2226" t="s">
        <v>110</v>
      </c>
      <c r="K219" s="2224" t="s">
        <v>845</v>
      </c>
      <c r="L219" s="2227">
        <v>60.2</v>
      </c>
      <c r="M219" s="2227">
        <v>42.14</v>
      </c>
      <c r="N219" s="2250">
        <v>9.8264443527110214E-5</v>
      </c>
      <c r="O219" s="2224">
        <v>5</v>
      </c>
      <c r="P219" s="2225" t="s">
        <v>1253</v>
      </c>
      <c r="Q219" s="2229"/>
      <c r="R219" s="2229">
        <v>10</v>
      </c>
      <c r="S219" s="2228"/>
      <c r="T219" s="2228"/>
      <c r="U219" s="2228">
        <f t="shared" si="9"/>
        <v>219</v>
      </c>
      <c r="V219" s="2228"/>
      <c r="W219" s="2230"/>
      <c r="X219" s="2230">
        <f t="shared" si="10"/>
        <v>421.4</v>
      </c>
      <c r="Y219" s="2230"/>
      <c r="Z219" s="2256"/>
    </row>
    <row r="220" spans="5:26" s="1652" customFormat="1">
      <c r="E220" s="2266"/>
      <c r="H220" s="2351" t="s">
        <v>2064</v>
      </c>
      <c r="I220" s="2229">
        <v>70</v>
      </c>
      <c r="J220" s="2226" t="s">
        <v>110</v>
      </c>
      <c r="K220" s="2224" t="s">
        <v>845</v>
      </c>
      <c r="L220" s="2227">
        <v>76.3</v>
      </c>
      <c r="M220" s="2227">
        <v>76.3</v>
      </c>
      <c r="N220" s="2250">
        <v>3.1408726241542078E-4</v>
      </c>
      <c r="O220" s="2224">
        <v>4</v>
      </c>
      <c r="P220" s="2225" t="s">
        <v>997</v>
      </c>
      <c r="Q220" s="2229"/>
      <c r="R220" s="2229">
        <v>10</v>
      </c>
      <c r="S220" s="2228"/>
      <c r="T220" s="2228"/>
      <c r="U220" s="2228">
        <f t="shared" si="9"/>
        <v>700</v>
      </c>
      <c r="V220" s="2228"/>
      <c r="W220" s="2230"/>
      <c r="X220" s="2230">
        <f t="shared" si="10"/>
        <v>763</v>
      </c>
      <c r="Y220" s="2230"/>
      <c r="Z220" s="2256"/>
    </row>
    <row r="221" spans="5:26" s="1652" customFormat="1">
      <c r="E221" s="2266"/>
      <c r="H221" s="2351" t="s">
        <v>2065</v>
      </c>
      <c r="I221" s="2229">
        <v>127</v>
      </c>
      <c r="J221" s="2226" t="s">
        <v>110</v>
      </c>
      <c r="K221" s="2224" t="s">
        <v>845</v>
      </c>
      <c r="L221" s="2227">
        <v>76.3</v>
      </c>
      <c r="M221" s="2227">
        <v>76.3</v>
      </c>
      <c r="N221" s="2250">
        <v>5.6984403323940625E-4</v>
      </c>
      <c r="O221" s="2224">
        <v>4</v>
      </c>
      <c r="P221" s="2225" t="s">
        <v>997</v>
      </c>
      <c r="Q221" s="2229"/>
      <c r="R221" s="2229">
        <v>10</v>
      </c>
      <c r="S221" s="2228"/>
      <c r="T221" s="2228"/>
      <c r="U221" s="2228">
        <f t="shared" si="9"/>
        <v>1270</v>
      </c>
      <c r="V221" s="2228"/>
      <c r="W221" s="2230"/>
      <c r="X221" s="2230">
        <f t="shared" si="10"/>
        <v>763</v>
      </c>
      <c r="Y221" s="2230"/>
      <c r="Z221" s="2256"/>
    </row>
    <row r="222" spans="5:26" s="1652" customFormat="1">
      <c r="E222" s="2266"/>
      <c r="H222" s="2351" t="s">
        <v>2066</v>
      </c>
      <c r="I222" s="2229">
        <v>77</v>
      </c>
      <c r="J222" s="2226" t="s">
        <v>110</v>
      </c>
      <c r="K222" s="2224" t="s">
        <v>845</v>
      </c>
      <c r="L222" s="2227">
        <v>76.3</v>
      </c>
      <c r="M222" s="2227">
        <v>76.3</v>
      </c>
      <c r="N222" s="2250">
        <v>3.4549598865696285E-4</v>
      </c>
      <c r="O222" s="2224">
        <v>4</v>
      </c>
      <c r="P222" s="2225" t="s">
        <v>997</v>
      </c>
      <c r="Q222" s="2229"/>
      <c r="R222" s="2229">
        <v>10</v>
      </c>
      <c r="S222" s="2228"/>
      <c r="T222" s="2228"/>
      <c r="U222" s="2228">
        <f t="shared" si="9"/>
        <v>770</v>
      </c>
      <c r="V222" s="2228"/>
      <c r="W222" s="2230"/>
      <c r="X222" s="2230">
        <f t="shared" si="10"/>
        <v>763</v>
      </c>
      <c r="Y222" s="2230"/>
      <c r="Z222" s="2256"/>
    </row>
    <row r="223" spans="5:26" s="1652" customFormat="1">
      <c r="E223" s="2266"/>
      <c r="H223" s="2351" t="s">
        <v>2067</v>
      </c>
      <c r="I223" s="2229">
        <v>49</v>
      </c>
      <c r="J223" s="2226" t="s">
        <v>110</v>
      </c>
      <c r="K223" s="2224" t="s">
        <v>845</v>
      </c>
      <c r="L223" s="2227">
        <v>76.3</v>
      </c>
      <c r="M223" s="2227">
        <v>76.3</v>
      </c>
      <c r="N223" s="2250">
        <v>2.1986108369079454E-4</v>
      </c>
      <c r="O223" s="2224">
        <v>4</v>
      </c>
      <c r="P223" s="2225" t="s">
        <v>997</v>
      </c>
      <c r="Q223" s="2229"/>
      <c r="R223" s="2229">
        <v>10</v>
      </c>
      <c r="S223" s="2228"/>
      <c r="T223" s="2228"/>
      <c r="U223" s="2228">
        <f t="shared" si="9"/>
        <v>490</v>
      </c>
      <c r="V223" s="2228"/>
      <c r="W223" s="2230"/>
      <c r="X223" s="2230">
        <f t="shared" si="10"/>
        <v>763</v>
      </c>
      <c r="Y223" s="2230"/>
      <c r="Z223" s="2256"/>
    </row>
    <row r="224" spans="5:26" s="1652" customFormat="1">
      <c r="E224" s="2266"/>
      <c r="H224" s="2351" t="s">
        <v>2068</v>
      </c>
      <c r="I224" s="2229">
        <v>1267</v>
      </c>
      <c r="J224" s="2226" t="s">
        <v>110</v>
      </c>
      <c r="K224" s="2224" t="s">
        <v>845</v>
      </c>
      <c r="L224" s="2227">
        <v>76.3</v>
      </c>
      <c r="M224" s="2227">
        <v>76.3</v>
      </c>
      <c r="N224" s="2250">
        <v>5.6849794497191158E-3</v>
      </c>
      <c r="O224" s="2224">
        <v>4</v>
      </c>
      <c r="P224" s="2225" t="s">
        <v>997</v>
      </c>
      <c r="Q224" s="2229"/>
      <c r="R224" s="2229">
        <v>10</v>
      </c>
      <c r="S224" s="2228"/>
      <c r="T224" s="2228"/>
      <c r="U224" s="2228">
        <f t="shared" si="9"/>
        <v>12670</v>
      </c>
      <c r="V224" s="2228"/>
      <c r="W224" s="2230"/>
      <c r="X224" s="2230">
        <f t="shared" si="10"/>
        <v>763</v>
      </c>
      <c r="Y224" s="2230"/>
      <c r="Z224" s="2256"/>
    </row>
    <row r="225" spans="5:26" s="1652" customFormat="1">
      <c r="E225" s="2266"/>
      <c r="H225" s="2351" t="s">
        <v>2069</v>
      </c>
      <c r="I225" s="2229">
        <v>2295</v>
      </c>
      <c r="J225" s="2226" t="s">
        <v>110</v>
      </c>
      <c r="K225" s="2224" t="s">
        <v>845</v>
      </c>
      <c r="L225" s="2227">
        <v>76.3</v>
      </c>
      <c r="M225" s="2227">
        <v>76.3</v>
      </c>
      <c r="N225" s="2250">
        <v>1.0297575246334153E-2</v>
      </c>
      <c r="O225" s="2224">
        <v>4</v>
      </c>
      <c r="P225" s="2225" t="s">
        <v>997</v>
      </c>
      <c r="Q225" s="2229"/>
      <c r="R225" s="2229">
        <v>10</v>
      </c>
      <c r="S225" s="2228"/>
      <c r="T225" s="2228"/>
      <c r="U225" s="2228">
        <f t="shared" si="9"/>
        <v>22950</v>
      </c>
      <c r="V225" s="2228"/>
      <c r="W225" s="2230"/>
      <c r="X225" s="2230">
        <f t="shared" si="10"/>
        <v>763</v>
      </c>
      <c r="Y225" s="2230"/>
      <c r="Z225" s="2256"/>
    </row>
    <row r="226" spans="5:26" s="1652" customFormat="1">
      <c r="E226" s="2266"/>
      <c r="H226" s="2351" t="s">
        <v>2070</v>
      </c>
      <c r="I226" s="2229">
        <v>1393</v>
      </c>
      <c r="J226" s="2226" t="s">
        <v>110</v>
      </c>
      <c r="K226" s="2224" t="s">
        <v>845</v>
      </c>
      <c r="L226" s="2227">
        <v>76.3</v>
      </c>
      <c r="M226" s="2227">
        <v>76.3</v>
      </c>
      <c r="N226" s="2250">
        <v>6.2503365220668737E-3</v>
      </c>
      <c r="O226" s="2224">
        <v>4</v>
      </c>
      <c r="P226" s="2225" t="s">
        <v>997</v>
      </c>
      <c r="Q226" s="2229"/>
      <c r="R226" s="2229">
        <v>10</v>
      </c>
      <c r="S226" s="2228"/>
      <c r="T226" s="2228"/>
      <c r="U226" s="2228">
        <f t="shared" si="9"/>
        <v>13930</v>
      </c>
      <c r="V226" s="2228"/>
      <c r="W226" s="2230"/>
      <c r="X226" s="2230">
        <f t="shared" si="10"/>
        <v>763</v>
      </c>
      <c r="Y226" s="2230"/>
      <c r="Z226" s="2256"/>
    </row>
    <row r="227" spans="5:26" s="1652" customFormat="1">
      <c r="E227" s="2266"/>
      <c r="H227" s="2351" t="s">
        <v>2071</v>
      </c>
      <c r="I227" s="2229">
        <v>890</v>
      </c>
      <c r="J227" s="2226" t="s">
        <v>110</v>
      </c>
      <c r="K227" s="2224" t="s">
        <v>845</v>
      </c>
      <c r="L227" s="2227">
        <v>76.3</v>
      </c>
      <c r="M227" s="2227">
        <v>76.3</v>
      </c>
      <c r="N227" s="2250">
        <v>3.993395193567493E-3</v>
      </c>
      <c r="O227" s="2224">
        <v>4</v>
      </c>
      <c r="P227" s="2225" t="s">
        <v>997</v>
      </c>
      <c r="Q227" s="2229"/>
      <c r="R227" s="2229">
        <v>10</v>
      </c>
      <c r="S227" s="2228"/>
      <c r="T227" s="2228"/>
      <c r="U227" s="2228">
        <f t="shared" si="9"/>
        <v>8900</v>
      </c>
      <c r="V227" s="2228"/>
      <c r="W227" s="2230"/>
      <c r="X227" s="2230">
        <f t="shared" si="10"/>
        <v>763</v>
      </c>
      <c r="Y227" s="2230"/>
      <c r="Z227" s="2256"/>
    </row>
    <row r="228" spans="5:26" s="1652" customFormat="1">
      <c r="E228" s="2266"/>
      <c r="H228" s="2351" t="s">
        <v>2064</v>
      </c>
      <c r="I228" s="2229">
        <v>1267</v>
      </c>
      <c r="J228" s="2226" t="s">
        <v>110</v>
      </c>
      <c r="K228" s="2224" t="s">
        <v>845</v>
      </c>
      <c r="L228" s="2227">
        <v>76.3</v>
      </c>
      <c r="M228" s="2227">
        <v>76.3</v>
      </c>
      <c r="N228" s="2250">
        <v>5.6849794497191158E-3</v>
      </c>
      <c r="O228" s="2224">
        <v>4</v>
      </c>
      <c r="P228" s="2225" t="s">
        <v>997</v>
      </c>
      <c r="Q228" s="2229"/>
      <c r="R228" s="2229">
        <v>10</v>
      </c>
      <c r="S228" s="2228"/>
      <c r="T228" s="2228"/>
      <c r="U228" s="2228">
        <f t="shared" si="9"/>
        <v>12670</v>
      </c>
      <c r="V228" s="2228"/>
      <c r="W228" s="2230"/>
      <c r="X228" s="2230">
        <f t="shared" si="10"/>
        <v>763</v>
      </c>
      <c r="Y228" s="2230"/>
      <c r="Z228" s="2256"/>
    </row>
    <row r="229" spans="5:26" s="1652" customFormat="1">
      <c r="E229" s="2266"/>
      <c r="H229" s="2351" t="s">
        <v>2065</v>
      </c>
      <c r="I229" s="2229">
        <v>2295</v>
      </c>
      <c r="J229" s="2226" t="s">
        <v>110</v>
      </c>
      <c r="K229" s="2224" t="s">
        <v>845</v>
      </c>
      <c r="L229" s="2227">
        <v>76.3</v>
      </c>
      <c r="M229" s="2227">
        <v>76.3</v>
      </c>
      <c r="N229" s="2250">
        <v>1.0297575246334153E-2</v>
      </c>
      <c r="O229" s="2224">
        <v>4</v>
      </c>
      <c r="P229" s="2225" t="s">
        <v>997</v>
      </c>
      <c r="Q229" s="2229"/>
      <c r="R229" s="2229">
        <v>10</v>
      </c>
      <c r="S229" s="2228"/>
      <c r="T229" s="2228"/>
      <c r="U229" s="2228">
        <f t="shared" si="9"/>
        <v>22950</v>
      </c>
      <c r="V229" s="2228"/>
      <c r="W229" s="2230"/>
      <c r="X229" s="2230">
        <f t="shared" si="10"/>
        <v>763</v>
      </c>
      <c r="Y229" s="2230"/>
      <c r="Z229" s="2256"/>
    </row>
    <row r="230" spans="5:26" s="1652" customFormat="1">
      <c r="E230" s="2266"/>
      <c r="H230" s="2351" t="s">
        <v>2066</v>
      </c>
      <c r="I230" s="2229">
        <v>1393</v>
      </c>
      <c r="J230" s="2226" t="s">
        <v>110</v>
      </c>
      <c r="K230" s="2224" t="s">
        <v>845</v>
      </c>
      <c r="L230" s="2227">
        <v>76.3</v>
      </c>
      <c r="M230" s="2227">
        <v>76.3</v>
      </c>
      <c r="N230" s="2250">
        <v>6.2503365220668737E-3</v>
      </c>
      <c r="O230" s="2224">
        <v>4</v>
      </c>
      <c r="P230" s="2225" t="s">
        <v>997</v>
      </c>
      <c r="Q230" s="2229"/>
      <c r="R230" s="2229">
        <v>10</v>
      </c>
      <c r="S230" s="2228"/>
      <c r="T230" s="2228"/>
      <c r="U230" s="2228">
        <f t="shared" si="9"/>
        <v>13930</v>
      </c>
      <c r="V230" s="2228"/>
      <c r="W230" s="2230"/>
      <c r="X230" s="2230">
        <f t="shared" si="10"/>
        <v>763</v>
      </c>
      <c r="Y230" s="2230"/>
      <c r="Z230" s="2256"/>
    </row>
    <row r="231" spans="5:26" s="1652" customFormat="1">
      <c r="E231" s="2266"/>
      <c r="H231" s="2351" t="s">
        <v>2067</v>
      </c>
      <c r="I231" s="2229">
        <v>890</v>
      </c>
      <c r="J231" s="2226" t="s">
        <v>110</v>
      </c>
      <c r="K231" s="2224" t="s">
        <v>845</v>
      </c>
      <c r="L231" s="2227">
        <v>76.3</v>
      </c>
      <c r="M231" s="2227">
        <v>76.3</v>
      </c>
      <c r="N231" s="2250">
        <v>3.993395193567493E-3</v>
      </c>
      <c r="O231" s="2224">
        <v>4</v>
      </c>
      <c r="P231" s="2225" t="s">
        <v>997</v>
      </c>
      <c r="Q231" s="2229"/>
      <c r="R231" s="2229">
        <v>10</v>
      </c>
      <c r="S231" s="2228"/>
      <c r="T231" s="2228"/>
      <c r="U231" s="2228">
        <f t="shared" si="9"/>
        <v>8900</v>
      </c>
      <c r="V231" s="2228"/>
      <c r="W231" s="2230"/>
      <c r="X231" s="2230">
        <f t="shared" si="10"/>
        <v>763</v>
      </c>
      <c r="Y231" s="2230"/>
      <c r="Z231" s="2256"/>
    </row>
    <row r="232" spans="5:26" s="1652" customFormat="1">
      <c r="E232" s="2266"/>
      <c r="H232" s="2351" t="s">
        <v>2072</v>
      </c>
      <c r="I232" s="2229">
        <v>1267</v>
      </c>
      <c r="J232" s="2226" t="s">
        <v>110</v>
      </c>
      <c r="K232" s="2224" t="s">
        <v>845</v>
      </c>
      <c r="L232" s="2227">
        <v>76.3</v>
      </c>
      <c r="M232" s="2227">
        <v>41.3</v>
      </c>
      <c r="N232" s="2250">
        <v>5.6849794497191158E-3</v>
      </c>
      <c r="O232" s="2224">
        <v>4</v>
      </c>
      <c r="P232" s="2225" t="s">
        <v>997</v>
      </c>
      <c r="Q232" s="2229"/>
      <c r="R232" s="2229">
        <v>10</v>
      </c>
      <c r="S232" s="2228"/>
      <c r="T232" s="2228"/>
      <c r="U232" s="2228">
        <f t="shared" si="9"/>
        <v>12670</v>
      </c>
      <c r="V232" s="2228"/>
      <c r="W232" s="2230"/>
      <c r="X232" s="2230">
        <f t="shared" si="10"/>
        <v>413</v>
      </c>
      <c r="Y232" s="2230"/>
      <c r="Z232" s="2256"/>
    </row>
    <row r="233" spans="5:26" s="1652" customFormat="1">
      <c r="E233" s="2266"/>
      <c r="H233" s="2351" t="s">
        <v>2073</v>
      </c>
      <c r="I233" s="2229">
        <v>2295</v>
      </c>
      <c r="J233" s="2226" t="s">
        <v>110</v>
      </c>
      <c r="K233" s="2224" t="s">
        <v>845</v>
      </c>
      <c r="L233" s="2227">
        <v>76.3</v>
      </c>
      <c r="M233" s="2227">
        <v>41.3</v>
      </c>
      <c r="N233" s="2250">
        <v>1.0297575246334153E-2</v>
      </c>
      <c r="O233" s="2224">
        <v>4</v>
      </c>
      <c r="P233" s="2225" t="s">
        <v>997</v>
      </c>
      <c r="Q233" s="2229"/>
      <c r="R233" s="2229">
        <v>10</v>
      </c>
      <c r="S233" s="2228"/>
      <c r="T233" s="2228"/>
      <c r="U233" s="2228">
        <f t="shared" si="9"/>
        <v>22950</v>
      </c>
      <c r="V233" s="2228"/>
      <c r="W233" s="2230"/>
      <c r="X233" s="2230">
        <f t="shared" si="10"/>
        <v>413</v>
      </c>
      <c r="Y233" s="2230"/>
      <c r="Z233" s="2256"/>
    </row>
    <row r="234" spans="5:26" s="1652" customFormat="1">
      <c r="E234" s="2266"/>
      <c r="H234" s="2351" t="s">
        <v>2074</v>
      </c>
      <c r="I234" s="2229">
        <v>1393</v>
      </c>
      <c r="J234" s="2226" t="s">
        <v>110</v>
      </c>
      <c r="K234" s="2224" t="s">
        <v>845</v>
      </c>
      <c r="L234" s="2227">
        <v>76.3</v>
      </c>
      <c r="M234" s="2227">
        <v>41.3</v>
      </c>
      <c r="N234" s="2250">
        <v>6.2503365220668737E-3</v>
      </c>
      <c r="O234" s="2224">
        <v>4</v>
      </c>
      <c r="P234" s="2225" t="s">
        <v>997</v>
      </c>
      <c r="Q234" s="2229"/>
      <c r="R234" s="2229">
        <v>10</v>
      </c>
      <c r="S234" s="2228"/>
      <c r="T234" s="2228"/>
      <c r="U234" s="2228">
        <f t="shared" si="9"/>
        <v>13930</v>
      </c>
      <c r="V234" s="2228"/>
      <c r="W234" s="2230"/>
      <c r="X234" s="2230">
        <f t="shared" si="10"/>
        <v>413</v>
      </c>
      <c r="Y234" s="2230"/>
      <c r="Z234" s="2256"/>
    </row>
    <row r="235" spans="5:26" s="1652" customFormat="1">
      <c r="E235" s="2266"/>
      <c r="H235" s="2351" t="s">
        <v>2075</v>
      </c>
      <c r="I235" s="2229">
        <v>890</v>
      </c>
      <c r="J235" s="2226" t="s">
        <v>110</v>
      </c>
      <c r="K235" s="2224" t="s">
        <v>845</v>
      </c>
      <c r="L235" s="2227">
        <v>76.3</v>
      </c>
      <c r="M235" s="2227">
        <v>41.3</v>
      </c>
      <c r="N235" s="2250">
        <v>3.993395193567493E-3</v>
      </c>
      <c r="O235" s="2224">
        <v>4</v>
      </c>
      <c r="P235" s="2225" t="s">
        <v>997</v>
      </c>
      <c r="Q235" s="2229"/>
      <c r="R235" s="2229">
        <v>10</v>
      </c>
      <c r="S235" s="2228"/>
      <c r="T235" s="2228"/>
      <c r="U235" s="2228">
        <f t="shared" si="9"/>
        <v>8900</v>
      </c>
      <c r="V235" s="2228"/>
      <c r="W235" s="2230"/>
      <c r="X235" s="2230">
        <f t="shared" si="10"/>
        <v>413</v>
      </c>
      <c r="Y235" s="2230"/>
      <c r="Z235" s="2256"/>
    </row>
    <row r="236" spans="5:26" s="1652" customFormat="1">
      <c r="E236" s="2266"/>
      <c r="H236" s="2351" t="s">
        <v>2076</v>
      </c>
      <c r="I236" s="2229">
        <v>170</v>
      </c>
      <c r="J236" s="2226" t="s">
        <v>110</v>
      </c>
      <c r="K236" s="2224" t="s">
        <v>845</v>
      </c>
      <c r="L236" s="2227">
        <v>83.64</v>
      </c>
      <c r="M236" s="2227">
        <v>58.55</v>
      </c>
      <c r="N236" s="2250">
        <v>7.6278335158030768E-4</v>
      </c>
      <c r="O236" s="2224">
        <v>11</v>
      </c>
      <c r="P236" s="2225" t="s">
        <v>996</v>
      </c>
      <c r="Q236" s="2229"/>
      <c r="R236" s="2229">
        <v>10</v>
      </c>
      <c r="S236" s="2228"/>
      <c r="T236" s="2228"/>
      <c r="U236" s="2228">
        <f t="shared" si="9"/>
        <v>1700</v>
      </c>
      <c r="V236" s="2228"/>
      <c r="W236" s="2230"/>
      <c r="X236" s="2230">
        <f t="shared" si="10"/>
        <v>585.5</v>
      </c>
      <c r="Y236" s="2230"/>
      <c r="Z236" s="2256"/>
    </row>
    <row r="237" spans="5:26" s="1652" customFormat="1">
      <c r="E237" s="2266"/>
      <c r="H237" s="2351" t="s">
        <v>2077</v>
      </c>
      <c r="I237" s="2229">
        <v>98</v>
      </c>
      <c r="J237" s="2226" t="s">
        <v>110</v>
      </c>
      <c r="K237" s="2224" t="s">
        <v>845</v>
      </c>
      <c r="L237" s="2227">
        <v>83.64</v>
      </c>
      <c r="M237" s="2227">
        <v>41.82</v>
      </c>
      <c r="N237" s="2250">
        <v>4.3972216738158909E-4</v>
      </c>
      <c r="O237" s="2224">
        <v>11</v>
      </c>
      <c r="P237" s="2225" t="s">
        <v>996</v>
      </c>
      <c r="Q237" s="2229"/>
      <c r="R237" s="2229">
        <v>10</v>
      </c>
      <c r="S237" s="2228"/>
      <c r="T237" s="2228"/>
      <c r="U237" s="2228">
        <f t="shared" si="9"/>
        <v>980</v>
      </c>
      <c r="V237" s="2228"/>
      <c r="W237" s="2230"/>
      <c r="X237" s="2230">
        <f t="shared" si="10"/>
        <v>418.2</v>
      </c>
      <c r="Y237" s="2230"/>
      <c r="Z237" s="2256"/>
    </row>
    <row r="238" spans="5:26" s="1652" customFormat="1">
      <c r="E238" s="2266"/>
      <c r="H238" s="2351" t="s">
        <v>2078</v>
      </c>
      <c r="I238" s="2229">
        <v>301</v>
      </c>
      <c r="J238" s="2226" t="s">
        <v>110</v>
      </c>
      <c r="K238" s="2224" t="s">
        <v>845</v>
      </c>
      <c r="L238" s="2227">
        <v>83.64</v>
      </c>
      <c r="M238" s="2227">
        <v>58.55</v>
      </c>
      <c r="N238" s="2250">
        <v>1.3505752283863093E-3</v>
      </c>
      <c r="O238" s="2224">
        <v>11</v>
      </c>
      <c r="P238" s="2225" t="s">
        <v>996</v>
      </c>
      <c r="Q238" s="2229"/>
      <c r="R238" s="2229">
        <v>10</v>
      </c>
      <c r="S238" s="2228"/>
      <c r="T238" s="2228"/>
      <c r="U238" s="2228">
        <f t="shared" si="9"/>
        <v>3010</v>
      </c>
      <c r="V238" s="2228"/>
      <c r="W238" s="2230"/>
      <c r="X238" s="2230">
        <f t="shared" si="10"/>
        <v>585.5</v>
      </c>
      <c r="Y238" s="2230"/>
      <c r="Z238" s="2256"/>
    </row>
    <row r="239" spans="5:26" s="1652" customFormat="1">
      <c r="E239" s="2266"/>
      <c r="H239" s="2351" t="s">
        <v>2079</v>
      </c>
      <c r="I239" s="2229">
        <v>179</v>
      </c>
      <c r="J239" s="2226" t="s">
        <v>110</v>
      </c>
      <c r="K239" s="2224" t="s">
        <v>845</v>
      </c>
      <c r="L239" s="2227">
        <v>83.64</v>
      </c>
      <c r="M239" s="2227">
        <v>41.82</v>
      </c>
      <c r="N239" s="2250">
        <v>8.0316599960514746E-4</v>
      </c>
      <c r="O239" s="2224">
        <v>11</v>
      </c>
      <c r="P239" s="2225" t="s">
        <v>996</v>
      </c>
      <c r="Q239" s="2229"/>
      <c r="R239" s="2229">
        <v>10</v>
      </c>
      <c r="S239" s="2228"/>
      <c r="T239" s="2228"/>
      <c r="U239" s="2228">
        <f t="shared" si="9"/>
        <v>1790</v>
      </c>
      <c r="V239" s="2228"/>
      <c r="W239" s="2230"/>
      <c r="X239" s="2230">
        <f t="shared" si="10"/>
        <v>418.2</v>
      </c>
      <c r="Y239" s="2230"/>
      <c r="Z239" s="2256"/>
    </row>
    <row r="240" spans="5:26" s="1652" customFormat="1">
      <c r="E240" s="2266"/>
      <c r="H240" s="2351" t="s">
        <v>2080</v>
      </c>
      <c r="I240" s="2229">
        <v>226</v>
      </c>
      <c r="J240" s="2226" t="s">
        <v>110</v>
      </c>
      <c r="K240" s="2224" t="s">
        <v>845</v>
      </c>
      <c r="L240" s="2227">
        <v>83.64</v>
      </c>
      <c r="M240" s="2227">
        <v>58.55</v>
      </c>
      <c r="N240" s="2250">
        <v>1.0140531615126442E-3</v>
      </c>
      <c r="O240" s="2224">
        <v>11</v>
      </c>
      <c r="P240" s="2225" t="s">
        <v>996</v>
      </c>
      <c r="Q240" s="2229"/>
      <c r="R240" s="2229">
        <v>10</v>
      </c>
      <c r="S240" s="2228"/>
      <c r="T240" s="2228"/>
      <c r="U240" s="2228">
        <f t="shared" si="9"/>
        <v>2260</v>
      </c>
      <c r="V240" s="2228"/>
      <c r="W240" s="2230"/>
      <c r="X240" s="2230">
        <f t="shared" si="10"/>
        <v>585.5</v>
      </c>
      <c r="Y240" s="2230"/>
      <c r="Z240" s="2256"/>
    </row>
    <row r="241" spans="5:26" s="1652" customFormat="1">
      <c r="E241" s="2266"/>
      <c r="H241" s="2351" t="s">
        <v>2081</v>
      </c>
      <c r="I241" s="2229">
        <v>165</v>
      </c>
      <c r="J241" s="2226" t="s">
        <v>110</v>
      </c>
      <c r="K241" s="2224" t="s">
        <v>845</v>
      </c>
      <c r="L241" s="2227">
        <v>83.64</v>
      </c>
      <c r="M241" s="2227">
        <v>41.82</v>
      </c>
      <c r="N241" s="2250">
        <v>7.4034854712206331E-4</v>
      </c>
      <c r="O241" s="2224">
        <v>11</v>
      </c>
      <c r="P241" s="2225" t="s">
        <v>996</v>
      </c>
      <c r="Q241" s="2229"/>
      <c r="R241" s="2229">
        <v>10</v>
      </c>
      <c r="S241" s="2228"/>
      <c r="T241" s="2228"/>
      <c r="U241" s="2228">
        <f t="shared" si="9"/>
        <v>1650</v>
      </c>
      <c r="V241" s="2228"/>
      <c r="W241" s="2230"/>
      <c r="X241" s="2230">
        <f t="shared" si="10"/>
        <v>418.2</v>
      </c>
      <c r="Y241" s="2230"/>
      <c r="Z241" s="2256"/>
    </row>
    <row r="242" spans="5:26" s="1652" customFormat="1">
      <c r="E242" s="2266"/>
      <c r="H242" s="2351" t="s">
        <v>2082</v>
      </c>
      <c r="I242" s="2229">
        <v>302</v>
      </c>
      <c r="J242" s="2226" t="s">
        <v>110</v>
      </c>
      <c r="K242" s="2224" t="s">
        <v>845</v>
      </c>
      <c r="L242" s="2227">
        <v>83.64</v>
      </c>
      <c r="M242" s="2227">
        <v>58.55</v>
      </c>
      <c r="N242" s="2250">
        <v>1.3550621892779583E-3</v>
      </c>
      <c r="O242" s="2224">
        <v>11</v>
      </c>
      <c r="P242" s="2225" t="s">
        <v>996</v>
      </c>
      <c r="Q242" s="2229"/>
      <c r="R242" s="2229">
        <v>10</v>
      </c>
      <c r="S242" s="2228"/>
      <c r="T242" s="2228"/>
      <c r="U242" s="2228">
        <f t="shared" si="9"/>
        <v>3020</v>
      </c>
      <c r="V242" s="2228"/>
      <c r="W242" s="2230"/>
      <c r="X242" s="2230">
        <f t="shared" si="10"/>
        <v>585.5</v>
      </c>
      <c r="Y242" s="2230"/>
      <c r="Z242" s="2256"/>
    </row>
    <row r="243" spans="5:26" s="1652" customFormat="1">
      <c r="E243" s="2266"/>
      <c r="H243" s="2351" t="s">
        <v>2083</v>
      </c>
      <c r="I243" s="2229">
        <v>206</v>
      </c>
      <c r="J243" s="2226" t="s">
        <v>110</v>
      </c>
      <c r="K243" s="2224" t="s">
        <v>845</v>
      </c>
      <c r="L243" s="2227">
        <v>83.64</v>
      </c>
      <c r="M243" s="2227">
        <v>41.82</v>
      </c>
      <c r="N243" s="2250">
        <v>9.2431394367966692E-4</v>
      </c>
      <c r="O243" s="2224">
        <v>11</v>
      </c>
      <c r="P243" s="2225" t="s">
        <v>996</v>
      </c>
      <c r="Q243" s="2229"/>
      <c r="R243" s="2229">
        <v>10</v>
      </c>
      <c r="S243" s="2228"/>
      <c r="T243" s="2228"/>
      <c r="U243" s="2228">
        <f t="shared" si="9"/>
        <v>2060</v>
      </c>
      <c r="V243" s="2228"/>
      <c r="W243" s="2230"/>
      <c r="X243" s="2230">
        <f t="shared" si="10"/>
        <v>418.2</v>
      </c>
      <c r="Y243" s="2230"/>
      <c r="Z243" s="2256"/>
    </row>
    <row r="244" spans="5:26" s="1652" customFormat="1">
      <c r="E244" s="2266"/>
      <c r="H244" s="2351" t="s">
        <v>2084</v>
      </c>
      <c r="I244" s="2229">
        <v>222</v>
      </c>
      <c r="J244" s="2226" t="s">
        <v>110</v>
      </c>
      <c r="K244" s="2224" t="s">
        <v>845</v>
      </c>
      <c r="L244" s="2227">
        <v>83.64</v>
      </c>
      <c r="M244" s="2227">
        <v>58.55</v>
      </c>
      <c r="N244" s="2250">
        <v>9.9610531794604878E-4</v>
      </c>
      <c r="O244" s="2224">
        <v>11</v>
      </c>
      <c r="P244" s="2225" t="s">
        <v>996</v>
      </c>
      <c r="Q244" s="2229"/>
      <c r="R244" s="2229">
        <v>10</v>
      </c>
      <c r="S244" s="2228"/>
      <c r="T244" s="2228"/>
      <c r="U244" s="2228">
        <f t="shared" si="9"/>
        <v>2220</v>
      </c>
      <c r="V244" s="2228"/>
      <c r="W244" s="2230"/>
      <c r="X244" s="2230">
        <f t="shared" si="10"/>
        <v>585.5</v>
      </c>
      <c r="Y244" s="2230"/>
      <c r="Z244" s="2256"/>
    </row>
    <row r="245" spans="5:26" s="1652" customFormat="1">
      <c r="E245" s="2266"/>
      <c r="H245" s="2351" t="s">
        <v>2085</v>
      </c>
      <c r="I245" s="2229">
        <v>152</v>
      </c>
      <c r="J245" s="2226" t="s">
        <v>110</v>
      </c>
      <c r="K245" s="2224" t="s">
        <v>845</v>
      </c>
      <c r="L245" s="2227">
        <v>83.64</v>
      </c>
      <c r="M245" s="2227">
        <v>41.82</v>
      </c>
      <c r="N245" s="2250">
        <v>6.82018055530628E-4</v>
      </c>
      <c r="O245" s="2224">
        <v>11</v>
      </c>
      <c r="P245" s="2225" t="s">
        <v>996</v>
      </c>
      <c r="Q245" s="2229"/>
      <c r="R245" s="2229">
        <v>10</v>
      </c>
      <c r="S245" s="2228"/>
      <c r="T245" s="2228"/>
      <c r="U245" s="2228">
        <f t="shared" si="9"/>
        <v>1520</v>
      </c>
      <c r="V245" s="2228"/>
      <c r="W245" s="2230"/>
      <c r="X245" s="2230">
        <f t="shared" si="10"/>
        <v>418.2</v>
      </c>
      <c r="Y245" s="2230"/>
      <c r="Z245" s="2256"/>
    </row>
    <row r="246" spans="5:26" s="1652" customFormat="1">
      <c r="E246" s="2266"/>
      <c r="H246" s="2351" t="s">
        <v>2086</v>
      </c>
      <c r="I246" s="2229">
        <v>212</v>
      </c>
      <c r="J246" s="2226" t="s">
        <v>110</v>
      </c>
      <c r="K246" s="2224" t="s">
        <v>845</v>
      </c>
      <c r="L246" s="2227">
        <v>83.64</v>
      </c>
      <c r="M246" s="2227">
        <v>58.55</v>
      </c>
      <c r="N246" s="2250">
        <v>9.5123570902956014E-4</v>
      </c>
      <c r="O246" s="2224">
        <v>11</v>
      </c>
      <c r="P246" s="2225" t="s">
        <v>996</v>
      </c>
      <c r="Q246" s="2229"/>
      <c r="R246" s="2229">
        <v>10</v>
      </c>
      <c r="S246" s="2228"/>
      <c r="T246" s="2228"/>
      <c r="U246" s="2228">
        <f t="shared" si="9"/>
        <v>2120</v>
      </c>
      <c r="V246" s="2228"/>
      <c r="W246" s="2230"/>
      <c r="X246" s="2230">
        <f t="shared" si="10"/>
        <v>585.5</v>
      </c>
      <c r="Y246" s="2230"/>
      <c r="Z246" s="2256"/>
    </row>
    <row r="247" spans="5:26" s="1652" customFormat="1">
      <c r="E247" s="2266"/>
      <c r="H247" s="2351" t="s">
        <v>2087</v>
      </c>
      <c r="I247" s="2229">
        <v>122</v>
      </c>
      <c r="J247" s="2226" t="s">
        <v>110</v>
      </c>
      <c r="K247" s="2224" t="s">
        <v>845</v>
      </c>
      <c r="L247" s="2227">
        <v>83.64</v>
      </c>
      <c r="M247" s="2227">
        <v>41.82</v>
      </c>
      <c r="N247" s="2250">
        <v>5.4740922878116199E-4</v>
      </c>
      <c r="O247" s="2224">
        <v>11</v>
      </c>
      <c r="P247" s="2225" t="s">
        <v>996</v>
      </c>
      <c r="Q247" s="2229"/>
      <c r="R247" s="2229">
        <v>10</v>
      </c>
      <c r="S247" s="2228"/>
      <c r="T247" s="2228"/>
      <c r="U247" s="2228">
        <f t="shared" si="9"/>
        <v>1220</v>
      </c>
      <c r="V247" s="2228"/>
      <c r="W247" s="2230"/>
      <c r="X247" s="2230">
        <f t="shared" si="10"/>
        <v>418.2</v>
      </c>
      <c r="Y247" s="2230"/>
      <c r="Z247" s="2256"/>
    </row>
    <row r="248" spans="5:26" s="1652" customFormat="1">
      <c r="E248" s="2266"/>
      <c r="H248" s="2351" t="s">
        <v>2088</v>
      </c>
      <c r="I248" s="2229">
        <v>376</v>
      </c>
      <c r="J248" s="2226" t="s">
        <v>110</v>
      </c>
      <c r="K248" s="2224" t="s">
        <v>845</v>
      </c>
      <c r="L248" s="2227">
        <v>83.64</v>
      </c>
      <c r="M248" s="2227">
        <v>58.55</v>
      </c>
      <c r="N248" s="2250">
        <v>1.6870972952599745E-3</v>
      </c>
      <c r="O248" s="2224">
        <v>11</v>
      </c>
      <c r="P248" s="2225" t="s">
        <v>996</v>
      </c>
      <c r="Q248" s="2229"/>
      <c r="R248" s="2229">
        <v>10</v>
      </c>
      <c r="S248" s="2228"/>
      <c r="T248" s="2228"/>
      <c r="U248" s="2228">
        <f t="shared" si="9"/>
        <v>3760</v>
      </c>
      <c r="V248" s="2228"/>
      <c r="W248" s="2230"/>
      <c r="X248" s="2230">
        <f t="shared" si="10"/>
        <v>585.5</v>
      </c>
      <c r="Y248" s="2230"/>
      <c r="Z248" s="2256"/>
    </row>
    <row r="249" spans="5:26" s="1652" customFormat="1">
      <c r="E249" s="2266"/>
      <c r="H249" s="2351" t="s">
        <v>2089</v>
      </c>
      <c r="I249" s="2229">
        <v>223</v>
      </c>
      <c r="J249" s="2226" t="s">
        <v>110</v>
      </c>
      <c r="K249" s="2224" t="s">
        <v>845</v>
      </c>
      <c r="L249" s="2227">
        <v>83.64</v>
      </c>
      <c r="M249" s="2227">
        <v>41.82</v>
      </c>
      <c r="N249" s="2250">
        <v>1.0005922788376977E-3</v>
      </c>
      <c r="O249" s="2224">
        <v>11</v>
      </c>
      <c r="P249" s="2225" t="s">
        <v>996</v>
      </c>
      <c r="Q249" s="2229"/>
      <c r="R249" s="2229">
        <v>10</v>
      </c>
      <c r="S249" s="2228"/>
      <c r="T249" s="2228"/>
      <c r="U249" s="2228">
        <f t="shared" si="9"/>
        <v>2230</v>
      </c>
      <c r="V249" s="2228"/>
      <c r="W249" s="2230"/>
      <c r="X249" s="2230">
        <f t="shared" si="10"/>
        <v>418.2</v>
      </c>
      <c r="Y249" s="2230"/>
      <c r="Z249" s="2256"/>
    </row>
    <row r="250" spans="5:26" s="1652" customFormat="1">
      <c r="E250" s="2266"/>
      <c r="H250" s="2351" t="s">
        <v>2090</v>
      </c>
      <c r="I250" s="2229">
        <v>282</v>
      </c>
      <c r="J250" s="2226" t="s">
        <v>110</v>
      </c>
      <c r="K250" s="2224" t="s">
        <v>845</v>
      </c>
      <c r="L250" s="2227">
        <v>83.64</v>
      </c>
      <c r="M250" s="2227">
        <v>58.55</v>
      </c>
      <c r="N250" s="2250">
        <v>1.2653229714449808E-3</v>
      </c>
      <c r="O250" s="2224">
        <v>11</v>
      </c>
      <c r="P250" s="2225" t="s">
        <v>996</v>
      </c>
      <c r="Q250" s="2229"/>
      <c r="R250" s="2229">
        <v>10</v>
      </c>
      <c r="S250" s="2228"/>
      <c r="T250" s="2228"/>
      <c r="U250" s="2228">
        <f t="shared" si="9"/>
        <v>2820</v>
      </c>
      <c r="V250" s="2228"/>
      <c r="W250" s="2230"/>
      <c r="X250" s="2230">
        <f t="shared" si="10"/>
        <v>585.5</v>
      </c>
      <c r="Y250" s="2230"/>
      <c r="Z250" s="2256"/>
    </row>
    <row r="251" spans="5:26" s="1652" customFormat="1">
      <c r="E251" s="2266"/>
      <c r="H251" s="2351" t="s">
        <v>2091</v>
      </c>
      <c r="I251" s="2229">
        <v>206</v>
      </c>
      <c r="J251" s="2226" t="s">
        <v>110</v>
      </c>
      <c r="K251" s="2224" t="s">
        <v>845</v>
      </c>
      <c r="L251" s="2227">
        <v>83.64</v>
      </c>
      <c r="M251" s="2227">
        <v>41.82</v>
      </c>
      <c r="N251" s="2250">
        <v>9.2431394367966692E-4</v>
      </c>
      <c r="O251" s="2224">
        <v>11</v>
      </c>
      <c r="P251" s="2225" t="s">
        <v>996</v>
      </c>
      <c r="Q251" s="2229"/>
      <c r="R251" s="2229">
        <v>10</v>
      </c>
      <c r="S251" s="2228"/>
      <c r="T251" s="2228"/>
      <c r="U251" s="2228">
        <f t="shared" si="9"/>
        <v>2060</v>
      </c>
      <c r="V251" s="2228"/>
      <c r="W251" s="2230"/>
      <c r="X251" s="2230">
        <f t="shared" si="10"/>
        <v>418.2</v>
      </c>
      <c r="Y251" s="2230"/>
      <c r="Z251" s="2256"/>
    </row>
    <row r="252" spans="5:26" s="1652" customFormat="1">
      <c r="E252" s="2266"/>
      <c r="H252" s="2351" t="s">
        <v>2092</v>
      </c>
      <c r="I252" s="2229">
        <v>378</v>
      </c>
      <c r="J252" s="2226" t="s">
        <v>110</v>
      </c>
      <c r="K252" s="2224" t="s">
        <v>845</v>
      </c>
      <c r="L252" s="2227">
        <v>83.64</v>
      </c>
      <c r="M252" s="2227">
        <v>58.55</v>
      </c>
      <c r="N252" s="2250">
        <v>1.6960712170432722E-3</v>
      </c>
      <c r="O252" s="2224">
        <v>11</v>
      </c>
      <c r="P252" s="2225" t="s">
        <v>996</v>
      </c>
      <c r="Q252" s="2229"/>
      <c r="R252" s="2229">
        <v>10</v>
      </c>
      <c r="S252" s="2228"/>
      <c r="T252" s="2228"/>
      <c r="U252" s="2228">
        <f t="shared" si="9"/>
        <v>3780</v>
      </c>
      <c r="V252" s="2228"/>
      <c r="W252" s="2230"/>
      <c r="X252" s="2230">
        <f t="shared" si="10"/>
        <v>585.5</v>
      </c>
      <c r="Y252" s="2230"/>
      <c r="Z252" s="2256"/>
    </row>
    <row r="253" spans="5:26" s="1652" customFormat="1">
      <c r="E253" s="2266"/>
      <c r="H253" s="2351" t="s">
        <v>2093</v>
      </c>
      <c r="I253" s="2229">
        <v>258</v>
      </c>
      <c r="J253" s="2226" t="s">
        <v>110</v>
      </c>
      <c r="K253" s="2224" t="s">
        <v>845</v>
      </c>
      <c r="L253" s="2227">
        <v>83.64</v>
      </c>
      <c r="M253" s="2227">
        <v>41.82</v>
      </c>
      <c r="N253" s="2250">
        <v>1.1576359100454081E-3</v>
      </c>
      <c r="O253" s="2224">
        <v>11</v>
      </c>
      <c r="P253" s="2225" t="s">
        <v>996</v>
      </c>
      <c r="Q253" s="2229"/>
      <c r="R253" s="2229">
        <v>10</v>
      </c>
      <c r="S253" s="2228"/>
      <c r="T253" s="2228"/>
      <c r="U253" s="2228">
        <f t="shared" si="9"/>
        <v>2580</v>
      </c>
      <c r="V253" s="2228"/>
      <c r="W253" s="2230"/>
      <c r="X253" s="2230">
        <f t="shared" si="10"/>
        <v>418.2</v>
      </c>
      <c r="Y253" s="2230"/>
      <c r="Z253" s="2256"/>
    </row>
    <row r="254" spans="5:26" s="1652" customFormat="1">
      <c r="E254" s="2266"/>
      <c r="H254" s="2351" t="s">
        <v>2094</v>
      </c>
      <c r="I254" s="2229">
        <v>278</v>
      </c>
      <c r="J254" s="2226" t="s">
        <v>110</v>
      </c>
      <c r="K254" s="2224" t="s">
        <v>845</v>
      </c>
      <c r="L254" s="2227">
        <v>83.64</v>
      </c>
      <c r="M254" s="2227">
        <v>58.55</v>
      </c>
      <c r="N254" s="2250">
        <v>1.2473751278783854E-3</v>
      </c>
      <c r="O254" s="2224">
        <v>11</v>
      </c>
      <c r="P254" s="2225" t="s">
        <v>996</v>
      </c>
      <c r="Q254" s="2229"/>
      <c r="R254" s="2229">
        <v>10</v>
      </c>
      <c r="S254" s="2228"/>
      <c r="T254" s="2228"/>
      <c r="U254" s="2228">
        <f t="shared" si="9"/>
        <v>2780</v>
      </c>
      <c r="V254" s="2228"/>
      <c r="W254" s="2230"/>
      <c r="X254" s="2230">
        <f t="shared" si="10"/>
        <v>585.5</v>
      </c>
      <c r="Y254" s="2230"/>
      <c r="Z254" s="2256"/>
    </row>
    <row r="255" spans="5:26" s="1652" customFormat="1">
      <c r="E255" s="2266"/>
      <c r="H255" s="2351" t="s">
        <v>2095</v>
      </c>
      <c r="I255" s="2229">
        <v>190</v>
      </c>
      <c r="J255" s="2226" t="s">
        <v>110</v>
      </c>
      <c r="K255" s="2224" t="s">
        <v>845</v>
      </c>
      <c r="L255" s="2227">
        <v>83.64</v>
      </c>
      <c r="M255" s="2227">
        <v>41.82</v>
      </c>
      <c r="N255" s="2250">
        <v>8.5252256941328495E-4</v>
      </c>
      <c r="O255" s="2224">
        <v>11</v>
      </c>
      <c r="P255" s="2225" t="s">
        <v>996</v>
      </c>
      <c r="Q255" s="2229"/>
      <c r="R255" s="2229">
        <v>10</v>
      </c>
      <c r="S255" s="2228"/>
      <c r="T255" s="2228"/>
      <c r="U255" s="2228">
        <f t="shared" si="9"/>
        <v>1900</v>
      </c>
      <c r="V255" s="2228"/>
      <c r="W255" s="2230"/>
      <c r="X255" s="2230">
        <f t="shared" si="10"/>
        <v>418.2</v>
      </c>
      <c r="Y255" s="2230"/>
      <c r="Z255" s="2256"/>
    </row>
    <row r="256" spans="5:26" s="1652" customFormat="1">
      <c r="E256" s="2266"/>
      <c r="H256" s="2351" t="s">
        <v>2096</v>
      </c>
      <c r="I256" s="2229">
        <v>255</v>
      </c>
      <c r="J256" s="2226" t="s">
        <v>110</v>
      </c>
      <c r="K256" s="2224" t="s">
        <v>845</v>
      </c>
      <c r="L256" s="2227">
        <v>111.64</v>
      </c>
      <c r="M256" s="2227">
        <v>78.150000000000006</v>
      </c>
      <c r="N256" s="2250">
        <v>1.1441750273704615E-3</v>
      </c>
      <c r="O256" s="2224">
        <v>11</v>
      </c>
      <c r="P256" s="2225" t="s">
        <v>996</v>
      </c>
      <c r="Q256" s="2229"/>
      <c r="R256" s="2229">
        <v>10</v>
      </c>
      <c r="S256" s="2228"/>
      <c r="T256" s="2228"/>
      <c r="U256" s="2228">
        <f t="shared" si="9"/>
        <v>2550</v>
      </c>
      <c r="V256" s="2228"/>
      <c r="W256" s="2230"/>
      <c r="X256" s="2230">
        <f t="shared" si="10"/>
        <v>781.5</v>
      </c>
      <c r="Y256" s="2230"/>
      <c r="Z256" s="2256"/>
    </row>
    <row r="257" spans="5:26" s="1652" customFormat="1">
      <c r="E257" s="2266"/>
      <c r="H257" s="2351" t="s">
        <v>2097</v>
      </c>
      <c r="I257" s="2229">
        <v>147</v>
      </c>
      <c r="J257" s="2226" t="s">
        <v>110</v>
      </c>
      <c r="K257" s="2224" t="s">
        <v>845</v>
      </c>
      <c r="L257" s="2227">
        <v>111.64</v>
      </c>
      <c r="M257" s="2227">
        <v>55.82</v>
      </c>
      <c r="N257" s="2250">
        <v>6.5958325107238363E-4</v>
      </c>
      <c r="O257" s="2224">
        <v>11</v>
      </c>
      <c r="P257" s="2225" t="s">
        <v>996</v>
      </c>
      <c r="Q257" s="2229"/>
      <c r="R257" s="2229">
        <v>10</v>
      </c>
      <c r="S257" s="2228"/>
      <c r="T257" s="2228"/>
      <c r="U257" s="2228">
        <f t="shared" si="9"/>
        <v>1470</v>
      </c>
      <c r="V257" s="2228"/>
      <c r="W257" s="2230"/>
      <c r="X257" s="2230">
        <f t="shared" si="10"/>
        <v>558.20000000000005</v>
      </c>
      <c r="Y257" s="2230"/>
      <c r="Z257" s="2256"/>
    </row>
    <row r="258" spans="5:26" s="1652" customFormat="1">
      <c r="E258" s="2266"/>
      <c r="H258" s="2351" t="s">
        <v>2098</v>
      </c>
      <c r="I258" s="2229">
        <v>451</v>
      </c>
      <c r="J258" s="2226" t="s">
        <v>110</v>
      </c>
      <c r="K258" s="2224" t="s">
        <v>845</v>
      </c>
      <c r="L258" s="2227">
        <v>111.64</v>
      </c>
      <c r="M258" s="2227">
        <v>78.150000000000006</v>
      </c>
      <c r="N258" s="2250">
        <v>2.0236193621336399E-3</v>
      </c>
      <c r="O258" s="2224">
        <v>11</v>
      </c>
      <c r="P258" s="2225" t="s">
        <v>996</v>
      </c>
      <c r="Q258" s="2229"/>
      <c r="R258" s="2229">
        <v>10</v>
      </c>
      <c r="S258" s="2228"/>
      <c r="T258" s="2228"/>
      <c r="U258" s="2228">
        <f t="shared" si="9"/>
        <v>4510</v>
      </c>
      <c r="V258" s="2228"/>
      <c r="W258" s="2230"/>
      <c r="X258" s="2230">
        <f t="shared" si="10"/>
        <v>781.5</v>
      </c>
      <c r="Y258" s="2230"/>
      <c r="Z258" s="2256"/>
    </row>
    <row r="259" spans="5:26" s="1652" customFormat="1">
      <c r="E259" s="2266"/>
      <c r="H259" s="2351" t="s">
        <v>2099</v>
      </c>
      <c r="I259" s="2229">
        <v>268</v>
      </c>
      <c r="J259" s="2226" t="s">
        <v>110</v>
      </c>
      <c r="K259" s="2224" t="s">
        <v>845</v>
      </c>
      <c r="L259" s="2227">
        <v>111.64</v>
      </c>
      <c r="M259" s="2227">
        <v>55.82</v>
      </c>
      <c r="N259" s="2250">
        <v>1.2025055189618967E-3</v>
      </c>
      <c r="O259" s="2224">
        <v>11</v>
      </c>
      <c r="P259" s="2225" t="s">
        <v>996</v>
      </c>
      <c r="Q259" s="2229"/>
      <c r="R259" s="2229">
        <v>10</v>
      </c>
      <c r="S259" s="2228"/>
      <c r="T259" s="2228"/>
      <c r="U259" s="2228">
        <f t="shared" si="9"/>
        <v>2680</v>
      </c>
      <c r="V259" s="2228"/>
      <c r="W259" s="2230"/>
      <c r="X259" s="2230">
        <f t="shared" si="10"/>
        <v>558.20000000000005</v>
      </c>
      <c r="Y259" s="2230"/>
      <c r="Z259" s="2256"/>
    </row>
    <row r="260" spans="5:26" s="1652" customFormat="1">
      <c r="E260" s="2266"/>
      <c r="H260" s="2351" t="s">
        <v>2100</v>
      </c>
      <c r="I260" s="2229">
        <v>339</v>
      </c>
      <c r="J260" s="2226" t="s">
        <v>110</v>
      </c>
      <c r="K260" s="2224" t="s">
        <v>845</v>
      </c>
      <c r="L260" s="2227">
        <v>111.64</v>
      </c>
      <c r="M260" s="2227">
        <v>78.150000000000006</v>
      </c>
      <c r="N260" s="2250">
        <v>1.5210797422689664E-3</v>
      </c>
      <c r="O260" s="2224">
        <v>11</v>
      </c>
      <c r="P260" s="2225" t="s">
        <v>996</v>
      </c>
      <c r="Q260" s="2229"/>
      <c r="R260" s="2229">
        <v>10</v>
      </c>
      <c r="S260" s="2228"/>
      <c r="T260" s="2228"/>
      <c r="U260" s="2228">
        <f t="shared" si="9"/>
        <v>3390</v>
      </c>
      <c r="V260" s="2228"/>
      <c r="W260" s="2230"/>
      <c r="X260" s="2230">
        <f t="shared" si="10"/>
        <v>781.5</v>
      </c>
      <c r="Y260" s="2230"/>
      <c r="Z260" s="2256"/>
    </row>
    <row r="261" spans="5:26" s="1652" customFormat="1">
      <c r="E261" s="2266"/>
      <c r="H261" s="2351" t="s">
        <v>2101</v>
      </c>
      <c r="I261" s="2229">
        <v>247</v>
      </c>
      <c r="J261" s="2226" t="s">
        <v>110</v>
      </c>
      <c r="K261" s="2224" t="s">
        <v>845</v>
      </c>
      <c r="L261" s="2227">
        <v>111.64</v>
      </c>
      <c r="M261" s="2227">
        <v>55.82</v>
      </c>
      <c r="N261" s="2250">
        <v>1.1082793402372704E-3</v>
      </c>
      <c r="O261" s="2224">
        <v>11</v>
      </c>
      <c r="P261" s="2225" t="s">
        <v>996</v>
      </c>
      <c r="Q261" s="2229"/>
      <c r="R261" s="2229">
        <v>10</v>
      </c>
      <c r="S261" s="2228"/>
      <c r="T261" s="2228"/>
      <c r="U261" s="2228">
        <f t="shared" si="9"/>
        <v>2470</v>
      </c>
      <c r="V261" s="2228"/>
      <c r="W261" s="2230"/>
      <c r="X261" s="2230">
        <f t="shared" si="10"/>
        <v>558.20000000000005</v>
      </c>
      <c r="Y261" s="2230"/>
      <c r="Z261" s="2256"/>
    </row>
    <row r="262" spans="5:26" s="1652" customFormat="1">
      <c r="E262" s="2266"/>
      <c r="H262" s="2351" t="s">
        <v>2102</v>
      </c>
      <c r="I262" s="2229">
        <v>453</v>
      </c>
      <c r="J262" s="2226" t="s">
        <v>110</v>
      </c>
      <c r="K262" s="2224" t="s">
        <v>845</v>
      </c>
      <c r="L262" s="2227">
        <v>111.64</v>
      </c>
      <c r="M262" s="2227">
        <v>78.150000000000006</v>
      </c>
      <c r="N262" s="2250">
        <v>2.0325932839169373E-3</v>
      </c>
      <c r="O262" s="2224">
        <v>11</v>
      </c>
      <c r="P262" s="2225" t="s">
        <v>996</v>
      </c>
      <c r="Q262" s="2229"/>
      <c r="R262" s="2229">
        <v>10</v>
      </c>
      <c r="S262" s="2228"/>
      <c r="T262" s="2228"/>
      <c r="U262" s="2228">
        <f t="shared" si="9"/>
        <v>4530</v>
      </c>
      <c r="V262" s="2228"/>
      <c r="W262" s="2230"/>
      <c r="X262" s="2230">
        <f t="shared" si="10"/>
        <v>781.5</v>
      </c>
      <c r="Y262" s="2230"/>
      <c r="Z262" s="2256"/>
    </row>
    <row r="263" spans="5:26" s="1652" customFormat="1">
      <c r="E263" s="2266"/>
      <c r="H263" s="2351" t="s">
        <v>2103</v>
      </c>
      <c r="I263" s="2229">
        <v>309</v>
      </c>
      <c r="J263" s="2226" t="s">
        <v>110</v>
      </c>
      <c r="K263" s="2224" t="s">
        <v>845</v>
      </c>
      <c r="L263" s="2227">
        <v>111.64</v>
      </c>
      <c r="M263" s="2227">
        <v>55.82</v>
      </c>
      <c r="N263" s="2250">
        <v>1.3864709155195004E-3</v>
      </c>
      <c r="O263" s="2224">
        <v>11</v>
      </c>
      <c r="P263" s="2225" t="s">
        <v>996</v>
      </c>
      <c r="Q263" s="2229"/>
      <c r="R263" s="2229">
        <v>10</v>
      </c>
      <c r="S263" s="2228"/>
      <c r="T263" s="2228"/>
      <c r="U263" s="2228">
        <f t="shared" si="9"/>
        <v>3090</v>
      </c>
      <c r="V263" s="2228"/>
      <c r="W263" s="2230"/>
      <c r="X263" s="2230">
        <f t="shared" si="10"/>
        <v>558.20000000000005</v>
      </c>
      <c r="Y263" s="2230"/>
      <c r="Z263" s="2256"/>
    </row>
    <row r="264" spans="5:26" s="1652" customFormat="1">
      <c r="E264" s="2266"/>
      <c r="H264" s="2351" t="s">
        <v>2104</v>
      </c>
      <c r="I264" s="2229">
        <v>333</v>
      </c>
      <c r="J264" s="2226" t="s">
        <v>110</v>
      </c>
      <c r="K264" s="2224" t="s">
        <v>845</v>
      </c>
      <c r="L264" s="2227">
        <v>111.64</v>
      </c>
      <c r="M264" s="2227">
        <v>78.150000000000006</v>
      </c>
      <c r="N264" s="2250">
        <v>1.4941579769190733E-3</v>
      </c>
      <c r="O264" s="2224">
        <v>11</v>
      </c>
      <c r="P264" s="2225" t="s">
        <v>996</v>
      </c>
      <c r="Q264" s="2229"/>
      <c r="R264" s="2229">
        <v>10</v>
      </c>
      <c r="S264" s="2228"/>
      <c r="T264" s="2228"/>
      <c r="U264" s="2228">
        <f t="shared" si="9"/>
        <v>3330</v>
      </c>
      <c r="V264" s="2228"/>
      <c r="W264" s="2230"/>
      <c r="X264" s="2230">
        <f t="shared" si="10"/>
        <v>781.5</v>
      </c>
      <c r="Y264" s="2230"/>
      <c r="Z264" s="2256"/>
    </row>
    <row r="265" spans="5:26" s="1652" customFormat="1">
      <c r="E265" s="2266"/>
      <c r="H265" s="2351" t="s">
        <v>2105</v>
      </c>
      <c r="I265" s="2229">
        <v>228</v>
      </c>
      <c r="J265" s="2226" t="s">
        <v>110</v>
      </c>
      <c r="K265" s="2224" t="s">
        <v>845</v>
      </c>
      <c r="L265" s="2227">
        <v>111.64</v>
      </c>
      <c r="M265" s="2227">
        <v>55.82</v>
      </c>
      <c r="N265" s="2250">
        <v>1.0230270832959419E-3</v>
      </c>
      <c r="O265" s="2224">
        <v>11</v>
      </c>
      <c r="P265" s="2225" t="s">
        <v>996</v>
      </c>
      <c r="Q265" s="2229"/>
      <c r="R265" s="2229">
        <v>10</v>
      </c>
      <c r="S265" s="2228"/>
      <c r="T265" s="2228"/>
      <c r="U265" s="2228">
        <f t="shared" si="9"/>
        <v>2280</v>
      </c>
      <c r="V265" s="2228"/>
      <c r="W265" s="2230"/>
      <c r="X265" s="2230">
        <f t="shared" si="10"/>
        <v>558.20000000000005</v>
      </c>
      <c r="Y265" s="2230"/>
      <c r="Z265" s="2256"/>
    </row>
    <row r="266" spans="5:26" s="1652" customFormat="1">
      <c r="E266" s="2266"/>
      <c r="H266" s="2351" t="s">
        <v>2106</v>
      </c>
      <c r="I266" s="2229">
        <v>228</v>
      </c>
      <c r="J266" s="2226" t="s">
        <v>110</v>
      </c>
      <c r="K266" s="2224" t="s">
        <v>845</v>
      </c>
      <c r="L266" s="2227">
        <v>23.8</v>
      </c>
      <c r="M266" s="2227">
        <v>23.8</v>
      </c>
      <c r="N266" s="2250" t="s">
        <v>229</v>
      </c>
      <c r="O266" s="2224">
        <v>10</v>
      </c>
      <c r="P266" s="2225" t="s">
        <v>997</v>
      </c>
      <c r="Q266" s="2229"/>
      <c r="R266" s="2229"/>
      <c r="S266" s="2228"/>
      <c r="T266" s="2228"/>
      <c r="U266" s="2228">
        <f t="shared" si="9"/>
        <v>0</v>
      </c>
      <c r="V266" s="2228"/>
      <c r="W266" s="2230"/>
      <c r="X266" s="2230">
        <f t="shared" si="10"/>
        <v>0</v>
      </c>
      <c r="Y266" s="2230"/>
      <c r="Z266" s="2256"/>
    </row>
    <row r="267" spans="5:26" s="1652" customFormat="1">
      <c r="E267" s="2266"/>
      <c r="H267" s="2351" t="s">
        <v>2107</v>
      </c>
      <c r="I267" s="2229">
        <v>10</v>
      </c>
      <c r="J267" s="2226" t="s">
        <v>110</v>
      </c>
      <c r="K267" s="2224" t="s">
        <v>845</v>
      </c>
      <c r="L267" s="2227">
        <v>0</v>
      </c>
      <c r="M267" s="2227">
        <v>0</v>
      </c>
      <c r="N267" s="2250" t="s">
        <v>229</v>
      </c>
      <c r="O267" s="2224">
        <v>10</v>
      </c>
      <c r="P267" s="2225" t="s">
        <v>997</v>
      </c>
      <c r="Q267" s="2229"/>
      <c r="R267" s="2229"/>
      <c r="S267" s="2228"/>
      <c r="T267" s="2228"/>
      <c r="U267" s="2228">
        <f t="shared" si="9"/>
        <v>0</v>
      </c>
      <c r="V267" s="2228"/>
      <c r="W267" s="2230"/>
      <c r="X267" s="2230">
        <f t="shared" si="10"/>
        <v>0</v>
      </c>
      <c r="Y267" s="2230"/>
      <c r="Z267" s="2256"/>
    </row>
    <row r="268" spans="5:26" s="1652" customFormat="1">
      <c r="E268" s="2266"/>
      <c r="H268" s="2351" t="s">
        <v>2108</v>
      </c>
      <c r="I268" s="2229">
        <v>4288</v>
      </c>
      <c r="J268" s="2226" t="s">
        <v>110</v>
      </c>
      <c r="K268" s="2224" t="s">
        <v>845</v>
      </c>
      <c r="L268" s="2227">
        <v>23.8</v>
      </c>
      <c r="M268" s="2227">
        <v>23.8</v>
      </c>
      <c r="N268" s="2250" t="s">
        <v>229</v>
      </c>
      <c r="O268" s="2224">
        <v>10</v>
      </c>
      <c r="P268" s="2225" t="s">
        <v>997</v>
      </c>
      <c r="Q268" s="2229"/>
      <c r="R268" s="2229"/>
      <c r="S268" s="2228"/>
      <c r="T268" s="2228"/>
      <c r="U268" s="2228">
        <f t="shared" si="9"/>
        <v>0</v>
      </c>
      <c r="V268" s="2228"/>
      <c r="W268" s="2230"/>
      <c r="X268" s="2230">
        <f t="shared" si="10"/>
        <v>0</v>
      </c>
      <c r="Y268" s="2230"/>
      <c r="Z268" s="2256"/>
    </row>
    <row r="269" spans="5:26" s="1652" customFormat="1">
      <c r="E269" s="2266"/>
      <c r="H269" s="2351" t="s">
        <v>2109</v>
      </c>
      <c r="I269" s="2229">
        <v>190</v>
      </c>
      <c r="J269" s="2226" t="s">
        <v>110</v>
      </c>
      <c r="K269" s="2224" t="s">
        <v>845</v>
      </c>
      <c r="L269" s="2227">
        <v>0</v>
      </c>
      <c r="M269" s="2227">
        <v>0</v>
      </c>
      <c r="N269" s="2250" t="s">
        <v>229</v>
      </c>
      <c r="O269" s="2224">
        <v>10</v>
      </c>
      <c r="P269" s="2225" t="s">
        <v>997</v>
      </c>
      <c r="Q269" s="2229"/>
      <c r="R269" s="2229"/>
      <c r="S269" s="2228"/>
      <c r="T269" s="2228"/>
      <c r="U269" s="2228">
        <f t="shared" si="9"/>
        <v>0</v>
      </c>
      <c r="V269" s="2228"/>
      <c r="W269" s="2230"/>
      <c r="X269" s="2230">
        <f t="shared" si="10"/>
        <v>0</v>
      </c>
      <c r="Y269" s="2230"/>
      <c r="Z269" s="2256"/>
    </row>
    <row r="270" spans="5:26" s="1652" customFormat="1">
      <c r="E270" s="2266"/>
      <c r="H270" s="2351" t="s">
        <v>2110</v>
      </c>
      <c r="I270" s="2229">
        <v>228</v>
      </c>
      <c r="J270" s="2226" t="s">
        <v>110</v>
      </c>
      <c r="K270" s="2224" t="s">
        <v>845</v>
      </c>
      <c r="L270" s="2227">
        <v>12.8</v>
      </c>
      <c r="M270" s="2227">
        <v>12.8</v>
      </c>
      <c r="N270" s="2250" t="s">
        <v>229</v>
      </c>
      <c r="O270" s="2224">
        <v>10</v>
      </c>
      <c r="P270" s="2225" t="s">
        <v>997</v>
      </c>
      <c r="Q270" s="2229"/>
      <c r="R270" s="2229"/>
      <c r="S270" s="2228"/>
      <c r="T270" s="2228"/>
      <c r="U270" s="2228">
        <f t="shared" si="9"/>
        <v>0</v>
      </c>
      <c r="V270" s="2228"/>
      <c r="W270" s="2230"/>
      <c r="X270" s="2230">
        <f t="shared" si="10"/>
        <v>0</v>
      </c>
      <c r="Y270" s="2230"/>
      <c r="Z270" s="2256"/>
    </row>
    <row r="271" spans="5:26" s="1652" customFormat="1">
      <c r="E271" s="2266"/>
      <c r="H271" s="2351" t="s">
        <v>2111</v>
      </c>
      <c r="I271" s="2229">
        <v>10</v>
      </c>
      <c r="J271" s="2226" t="s">
        <v>110</v>
      </c>
      <c r="K271" s="2224" t="s">
        <v>845</v>
      </c>
      <c r="L271" s="2227">
        <v>0</v>
      </c>
      <c r="M271" s="2227">
        <v>0</v>
      </c>
      <c r="N271" s="2250" t="s">
        <v>229</v>
      </c>
      <c r="O271" s="2224">
        <v>10</v>
      </c>
      <c r="P271" s="2225" t="s">
        <v>997</v>
      </c>
      <c r="Q271" s="2229"/>
      <c r="R271" s="2229"/>
      <c r="S271" s="2228"/>
      <c r="T271" s="2228"/>
      <c r="U271" s="2228">
        <f t="shared" si="9"/>
        <v>0</v>
      </c>
      <c r="V271" s="2228"/>
      <c r="W271" s="2230"/>
      <c r="X271" s="2230">
        <f t="shared" si="10"/>
        <v>0</v>
      </c>
      <c r="Y271" s="2230"/>
      <c r="Z271" s="2256"/>
    </row>
    <row r="272" spans="5:26" s="1652" customFormat="1">
      <c r="E272" s="2266"/>
      <c r="H272" s="2351" t="s">
        <v>2112</v>
      </c>
      <c r="I272" s="2229">
        <v>4288</v>
      </c>
      <c r="J272" s="2226" t="s">
        <v>110</v>
      </c>
      <c r="K272" s="2224" t="s">
        <v>845</v>
      </c>
      <c r="L272" s="2227">
        <v>12.8</v>
      </c>
      <c r="M272" s="2227">
        <v>12.8</v>
      </c>
      <c r="N272" s="2250" t="s">
        <v>229</v>
      </c>
      <c r="O272" s="2224">
        <v>10</v>
      </c>
      <c r="P272" s="2225" t="s">
        <v>997</v>
      </c>
      <c r="Q272" s="2229"/>
      <c r="R272" s="2229"/>
      <c r="S272" s="2228"/>
      <c r="T272" s="2228"/>
      <c r="U272" s="2228">
        <f t="shared" si="9"/>
        <v>0</v>
      </c>
      <c r="V272" s="2228"/>
      <c r="W272" s="2230"/>
      <c r="X272" s="2230">
        <f t="shared" si="10"/>
        <v>0</v>
      </c>
      <c r="Y272" s="2230"/>
      <c r="Z272" s="2256"/>
    </row>
    <row r="273" spans="5:26" s="1652" customFormat="1">
      <c r="E273" s="2266"/>
      <c r="H273" s="2351" t="s">
        <v>2113</v>
      </c>
      <c r="I273" s="2229">
        <v>190</v>
      </c>
      <c r="J273" s="2226" t="s">
        <v>110</v>
      </c>
      <c r="K273" s="2224" t="s">
        <v>845</v>
      </c>
      <c r="L273" s="2227">
        <v>0</v>
      </c>
      <c r="M273" s="2227">
        <v>0</v>
      </c>
      <c r="N273" s="2250" t="s">
        <v>229</v>
      </c>
      <c r="O273" s="2224">
        <v>10</v>
      </c>
      <c r="P273" s="2225" t="s">
        <v>997</v>
      </c>
      <c r="Q273" s="2229"/>
      <c r="R273" s="2229"/>
      <c r="S273" s="2228"/>
      <c r="T273" s="2228"/>
      <c r="U273" s="2228">
        <f t="shared" si="9"/>
        <v>0</v>
      </c>
      <c r="V273" s="2228"/>
      <c r="W273" s="2230"/>
      <c r="X273" s="2230">
        <f t="shared" si="10"/>
        <v>0</v>
      </c>
      <c r="Y273" s="2230"/>
      <c r="Z273" s="2256"/>
    </row>
    <row r="274" spans="5:26" s="1652" customFormat="1">
      <c r="E274" s="2266"/>
      <c r="H274" s="2351" t="s">
        <v>2114</v>
      </c>
      <c r="I274" s="2229">
        <v>46.6</v>
      </c>
      <c r="J274" s="2226" t="s">
        <v>110</v>
      </c>
      <c r="K274" s="2224" t="s">
        <v>845</v>
      </c>
      <c r="L274" s="2227">
        <v>13.09</v>
      </c>
      <c r="M274" s="2227">
        <v>13.09</v>
      </c>
      <c r="N274" s="2250" t="s">
        <v>229</v>
      </c>
      <c r="O274" s="2224">
        <v>10</v>
      </c>
      <c r="P274" s="2225" t="s">
        <v>997</v>
      </c>
      <c r="Q274" s="2229"/>
      <c r="R274" s="2229"/>
      <c r="S274" s="2228"/>
      <c r="T274" s="2228"/>
      <c r="U274" s="2228">
        <f t="shared" si="9"/>
        <v>0</v>
      </c>
      <c r="V274" s="2228"/>
      <c r="W274" s="2230"/>
      <c r="X274" s="2230">
        <f t="shared" si="10"/>
        <v>0</v>
      </c>
      <c r="Y274" s="2230"/>
      <c r="Z274" s="2256"/>
    </row>
    <row r="275" spans="5:26" s="1652" customFormat="1">
      <c r="E275" s="2266"/>
      <c r="H275" s="2351" t="s">
        <v>2115</v>
      </c>
      <c r="I275" s="2229">
        <v>94</v>
      </c>
      <c r="J275" s="2226" t="s">
        <v>110</v>
      </c>
      <c r="K275" s="2224" t="s">
        <v>845</v>
      </c>
      <c r="L275" s="2227">
        <v>13.09</v>
      </c>
      <c r="M275" s="2227">
        <v>13.09</v>
      </c>
      <c r="N275" s="2250" t="s">
        <v>229</v>
      </c>
      <c r="O275" s="2224">
        <v>10</v>
      </c>
      <c r="P275" s="2225" t="s">
        <v>997</v>
      </c>
      <c r="Q275" s="2229"/>
      <c r="R275" s="2229"/>
      <c r="S275" s="2228"/>
      <c r="T275" s="2228"/>
      <c r="U275" s="2228">
        <f t="shared" si="9"/>
        <v>0</v>
      </c>
      <c r="V275" s="2228"/>
      <c r="W275" s="2230"/>
      <c r="X275" s="2230">
        <f t="shared" si="10"/>
        <v>0</v>
      </c>
      <c r="Y275" s="2230"/>
      <c r="Z275" s="2256"/>
    </row>
    <row r="276" spans="5:26" s="1652" customFormat="1">
      <c r="E276" s="2266"/>
      <c r="H276" s="2351" t="s">
        <v>2116</v>
      </c>
      <c r="I276" s="2229">
        <v>151.6</v>
      </c>
      <c r="J276" s="2226" t="s">
        <v>110</v>
      </c>
      <c r="K276" s="2224" t="s">
        <v>845</v>
      </c>
      <c r="L276" s="2227">
        <v>13.09</v>
      </c>
      <c r="M276" s="2227">
        <v>13.09</v>
      </c>
      <c r="N276" s="2250" t="s">
        <v>229</v>
      </c>
      <c r="O276" s="2224">
        <v>10</v>
      </c>
      <c r="P276" s="2225" t="s">
        <v>997</v>
      </c>
      <c r="Q276" s="2229"/>
      <c r="R276" s="2229"/>
      <c r="S276" s="2228"/>
      <c r="T276" s="2228"/>
      <c r="U276" s="2228">
        <f t="shared" si="9"/>
        <v>0</v>
      </c>
      <c r="V276" s="2228"/>
      <c r="W276" s="2230"/>
      <c r="X276" s="2230">
        <f t="shared" si="10"/>
        <v>0</v>
      </c>
      <c r="Y276" s="2230"/>
      <c r="Z276" s="2256"/>
    </row>
    <row r="277" spans="5:26" s="1652" customFormat="1">
      <c r="E277" s="2266"/>
      <c r="H277" s="2351" t="s">
        <v>2117</v>
      </c>
      <c r="I277" s="2229">
        <v>189.5</v>
      </c>
      <c r="J277" s="2226" t="s">
        <v>110</v>
      </c>
      <c r="K277" s="2224" t="s">
        <v>845</v>
      </c>
      <c r="L277" s="2227">
        <v>13.09</v>
      </c>
      <c r="M277" s="2227">
        <v>13.09</v>
      </c>
      <c r="N277" s="2250" t="s">
        <v>229</v>
      </c>
      <c r="O277" s="2224">
        <v>10</v>
      </c>
      <c r="P277" s="2225" t="s">
        <v>997</v>
      </c>
      <c r="Q277" s="2229"/>
      <c r="R277" s="2229"/>
      <c r="S277" s="2228"/>
      <c r="T277" s="2228"/>
      <c r="U277" s="2228">
        <f t="shared" si="9"/>
        <v>0</v>
      </c>
      <c r="V277" s="2228"/>
      <c r="W277" s="2230"/>
      <c r="X277" s="2230">
        <f t="shared" si="10"/>
        <v>0</v>
      </c>
      <c r="Y277" s="2230"/>
      <c r="Z277" s="2256"/>
    </row>
    <row r="278" spans="5:26" s="1652" customFormat="1">
      <c r="E278" s="2266"/>
      <c r="H278" s="2351" t="s">
        <v>2118</v>
      </c>
      <c r="I278" s="2229">
        <v>151.6</v>
      </c>
      <c r="J278" s="2226" t="s">
        <v>110</v>
      </c>
      <c r="K278" s="2224" t="s">
        <v>845</v>
      </c>
      <c r="L278" s="2227">
        <v>13.09</v>
      </c>
      <c r="M278" s="2227">
        <v>13.09</v>
      </c>
      <c r="N278" s="2250" t="s">
        <v>229</v>
      </c>
      <c r="O278" s="2224">
        <v>10</v>
      </c>
      <c r="P278" s="2225" t="s">
        <v>997</v>
      </c>
      <c r="Q278" s="2229"/>
      <c r="R278" s="2229"/>
      <c r="S278" s="2228"/>
      <c r="T278" s="2228"/>
      <c r="U278" s="2228">
        <f t="shared" si="9"/>
        <v>0</v>
      </c>
      <c r="V278" s="2228"/>
      <c r="W278" s="2230"/>
      <c r="X278" s="2230">
        <f t="shared" si="10"/>
        <v>0</v>
      </c>
      <c r="Y278" s="2230"/>
      <c r="Z278" s="2256"/>
    </row>
    <row r="279" spans="5:26" s="1652" customFormat="1">
      <c r="E279" s="2266"/>
      <c r="H279" s="2351" t="s">
        <v>2154</v>
      </c>
      <c r="I279" s="2229">
        <v>87.6</v>
      </c>
      <c r="J279" s="2226" t="s">
        <v>110</v>
      </c>
      <c r="K279" s="2224" t="s">
        <v>845</v>
      </c>
      <c r="L279" s="2227">
        <v>38.14</v>
      </c>
      <c r="M279" s="2227">
        <v>38.14</v>
      </c>
      <c r="N279" s="2250" t="s">
        <v>229</v>
      </c>
      <c r="O279" s="2224">
        <v>12</v>
      </c>
      <c r="P279" s="2225" t="s">
        <v>996</v>
      </c>
      <c r="Q279" s="2229"/>
      <c r="R279" s="2229"/>
      <c r="S279" s="2228"/>
      <c r="T279" s="2228"/>
      <c r="U279" s="2228">
        <f t="shared" si="9"/>
        <v>0</v>
      </c>
      <c r="V279" s="2228"/>
      <c r="W279" s="2230"/>
      <c r="X279" s="2230">
        <f t="shared" si="10"/>
        <v>0</v>
      </c>
      <c r="Y279" s="2230"/>
      <c r="Z279" s="2256"/>
    </row>
    <row r="280" spans="5:26" s="1652" customFormat="1">
      <c r="E280" s="2266"/>
      <c r="H280" s="2351" t="s">
        <v>2155</v>
      </c>
      <c r="I280" s="2229">
        <v>420.48</v>
      </c>
      <c r="J280" s="2226" t="s">
        <v>110</v>
      </c>
      <c r="K280" s="2224" t="s">
        <v>845</v>
      </c>
      <c r="L280" s="2227">
        <v>38.14</v>
      </c>
      <c r="M280" s="2227">
        <v>38.14</v>
      </c>
      <c r="N280" s="2250" t="s">
        <v>229</v>
      </c>
      <c r="O280" s="2224">
        <v>12</v>
      </c>
      <c r="P280" s="2225" t="s">
        <v>996</v>
      </c>
      <c r="Q280" s="2229"/>
      <c r="R280" s="2229"/>
      <c r="S280" s="2228"/>
      <c r="T280" s="2228"/>
      <c r="U280" s="2228">
        <f t="shared" si="9"/>
        <v>0</v>
      </c>
      <c r="V280" s="2228"/>
      <c r="W280" s="2230"/>
      <c r="X280" s="2230">
        <f t="shared" si="10"/>
        <v>0</v>
      </c>
      <c r="Y280" s="2230"/>
      <c r="Z280" s="2256"/>
    </row>
    <row r="281" spans="5:26" s="1652" customFormat="1">
      <c r="E281" s="2266"/>
      <c r="H281" s="2351" t="s">
        <v>2156</v>
      </c>
      <c r="I281" s="2229">
        <v>210.24</v>
      </c>
      <c r="J281" s="2226" t="s">
        <v>110</v>
      </c>
      <c r="K281" s="2224" t="s">
        <v>845</v>
      </c>
      <c r="L281" s="2227">
        <v>38.14</v>
      </c>
      <c r="M281" s="2227">
        <v>38.14</v>
      </c>
      <c r="N281" s="2250" t="s">
        <v>229</v>
      </c>
      <c r="O281" s="2224">
        <v>12</v>
      </c>
      <c r="P281" s="2225" t="s">
        <v>996</v>
      </c>
      <c r="Q281" s="2229"/>
      <c r="R281" s="2229"/>
      <c r="S281" s="2228"/>
      <c r="T281" s="2228"/>
      <c r="U281" s="2228">
        <f t="shared" si="9"/>
        <v>0</v>
      </c>
      <c r="V281" s="2228"/>
      <c r="W281" s="2230"/>
      <c r="X281" s="2230">
        <f t="shared" si="10"/>
        <v>0</v>
      </c>
      <c r="Y281" s="2230"/>
      <c r="Z281" s="2256"/>
    </row>
    <row r="282" spans="5:26" s="1652" customFormat="1">
      <c r="E282" s="2266"/>
      <c r="H282" s="2351" t="s">
        <v>2157</v>
      </c>
      <c r="I282" s="2229">
        <v>113.88</v>
      </c>
      <c r="J282" s="2226" t="s">
        <v>110</v>
      </c>
      <c r="K282" s="2224" t="s">
        <v>845</v>
      </c>
      <c r="L282" s="2227">
        <v>38.14</v>
      </c>
      <c r="M282" s="2227">
        <v>38.14</v>
      </c>
      <c r="N282" s="2250" t="s">
        <v>229</v>
      </c>
      <c r="O282" s="2224">
        <v>12</v>
      </c>
      <c r="P282" s="2225" t="s">
        <v>996</v>
      </c>
      <c r="Q282" s="2229"/>
      <c r="R282" s="2229"/>
      <c r="S282" s="2228"/>
      <c r="T282" s="2228"/>
      <c r="U282" s="2228">
        <f t="shared" si="9"/>
        <v>0</v>
      </c>
      <c r="V282" s="2228"/>
      <c r="W282" s="2230"/>
      <c r="X282" s="2230">
        <f t="shared" si="10"/>
        <v>0</v>
      </c>
      <c r="Y282" s="2230"/>
      <c r="Z282" s="2256"/>
    </row>
    <row r="283" spans="5:26" s="1652" customFormat="1">
      <c r="E283" s="2266"/>
      <c r="H283" s="2351" t="s">
        <v>2158</v>
      </c>
      <c r="I283" s="2229">
        <v>227.76</v>
      </c>
      <c r="J283" s="2226" t="s">
        <v>110</v>
      </c>
      <c r="K283" s="2224" t="s">
        <v>845</v>
      </c>
      <c r="L283" s="2227">
        <v>39.33</v>
      </c>
      <c r="M283" s="2227">
        <v>39.33</v>
      </c>
      <c r="N283" s="2250" t="s">
        <v>229</v>
      </c>
      <c r="O283" s="2224">
        <v>12</v>
      </c>
      <c r="P283" s="2225" t="s">
        <v>996</v>
      </c>
      <c r="Q283" s="2229"/>
      <c r="R283" s="2229"/>
      <c r="S283" s="2228"/>
      <c r="T283" s="2228"/>
      <c r="U283" s="2228">
        <f t="shared" si="9"/>
        <v>0</v>
      </c>
      <c r="V283" s="2228"/>
      <c r="W283" s="2230"/>
      <c r="X283" s="2230">
        <f t="shared" si="10"/>
        <v>0</v>
      </c>
      <c r="Y283" s="2230"/>
      <c r="Z283" s="2256"/>
    </row>
    <row r="284" spans="5:26" s="1652" customFormat="1">
      <c r="E284" s="2266"/>
      <c r="H284" s="2351" t="s">
        <v>2159</v>
      </c>
      <c r="I284" s="2229">
        <v>840.96</v>
      </c>
      <c r="J284" s="2226" t="s">
        <v>110</v>
      </c>
      <c r="K284" s="2224" t="s">
        <v>845</v>
      </c>
      <c r="L284" s="2227">
        <v>39.33</v>
      </c>
      <c r="M284" s="2227">
        <v>39.33</v>
      </c>
      <c r="N284" s="2250" t="s">
        <v>229</v>
      </c>
      <c r="O284" s="2224">
        <v>12</v>
      </c>
      <c r="P284" s="2225" t="s">
        <v>996</v>
      </c>
      <c r="Q284" s="2229"/>
      <c r="R284" s="2229"/>
      <c r="S284" s="2228"/>
      <c r="T284" s="2228"/>
      <c r="U284" s="2228">
        <f t="shared" si="9"/>
        <v>0</v>
      </c>
      <c r="V284" s="2228"/>
      <c r="W284" s="2230"/>
      <c r="X284" s="2230">
        <f t="shared" si="10"/>
        <v>0</v>
      </c>
      <c r="Y284" s="2230"/>
      <c r="Z284" s="2256"/>
    </row>
    <row r="285" spans="5:26" s="1652" customFormat="1">
      <c r="E285" s="2266"/>
      <c r="H285" s="2351" t="s">
        <v>2160</v>
      </c>
      <c r="I285" s="2229">
        <v>341.64</v>
      </c>
      <c r="J285" s="2226" t="s">
        <v>110</v>
      </c>
      <c r="K285" s="2224" t="s">
        <v>845</v>
      </c>
      <c r="L285" s="2227">
        <v>44.25</v>
      </c>
      <c r="M285" s="2227">
        <v>44.25</v>
      </c>
      <c r="N285" s="2250" t="s">
        <v>229</v>
      </c>
      <c r="O285" s="2224">
        <v>12</v>
      </c>
      <c r="P285" s="2225" t="s">
        <v>996</v>
      </c>
      <c r="Q285" s="2229"/>
      <c r="R285" s="2229"/>
      <c r="S285" s="2228"/>
      <c r="T285" s="2228"/>
      <c r="U285" s="2228">
        <f t="shared" si="9"/>
        <v>0</v>
      </c>
      <c r="V285" s="2228"/>
      <c r="W285" s="2230"/>
      <c r="X285" s="2230">
        <f t="shared" si="10"/>
        <v>0</v>
      </c>
      <c r="Y285" s="2230"/>
      <c r="Z285" s="2256"/>
    </row>
    <row r="286" spans="5:26" s="1652" customFormat="1">
      <c r="E286" s="2266"/>
      <c r="H286" s="2351" t="s">
        <v>2161</v>
      </c>
      <c r="I286" s="2229">
        <v>1261.44</v>
      </c>
      <c r="J286" s="2226" t="s">
        <v>110</v>
      </c>
      <c r="K286" s="2224" t="s">
        <v>845</v>
      </c>
      <c r="L286" s="2227">
        <v>44.25</v>
      </c>
      <c r="M286" s="2227">
        <v>44.25</v>
      </c>
      <c r="N286" s="2250" t="s">
        <v>229</v>
      </c>
      <c r="O286" s="2224">
        <v>12</v>
      </c>
      <c r="P286" s="2225" t="s">
        <v>996</v>
      </c>
      <c r="Q286" s="2229"/>
      <c r="R286" s="2229"/>
      <c r="S286" s="2228"/>
      <c r="T286" s="2228"/>
      <c r="U286" s="2228">
        <f t="shared" si="9"/>
        <v>0</v>
      </c>
      <c r="V286" s="2228"/>
      <c r="W286" s="2230"/>
      <c r="X286" s="2230">
        <f t="shared" si="10"/>
        <v>0</v>
      </c>
      <c r="Y286" s="2230"/>
      <c r="Z286" s="2256"/>
    </row>
    <row r="287" spans="5:26" s="1652" customFormat="1">
      <c r="E287" s="2266"/>
      <c r="H287" s="2351" t="s">
        <v>2162</v>
      </c>
      <c r="I287" s="2229">
        <v>551.88</v>
      </c>
      <c r="J287" s="2226" t="s">
        <v>110</v>
      </c>
      <c r="K287" s="2224" t="s">
        <v>845</v>
      </c>
      <c r="L287" s="2227">
        <v>61.56</v>
      </c>
      <c r="M287" s="2227">
        <v>61.56</v>
      </c>
      <c r="N287" s="2250" t="s">
        <v>229</v>
      </c>
      <c r="O287" s="2224">
        <v>12</v>
      </c>
      <c r="P287" s="2225" t="s">
        <v>996</v>
      </c>
      <c r="Q287" s="2229"/>
      <c r="R287" s="2229"/>
      <c r="S287" s="2228"/>
      <c r="T287" s="2228"/>
      <c r="U287" s="2228">
        <f t="shared" si="9"/>
        <v>0</v>
      </c>
      <c r="V287" s="2228"/>
      <c r="W287" s="2230"/>
      <c r="X287" s="2230">
        <f t="shared" si="10"/>
        <v>0</v>
      </c>
      <c r="Y287" s="2230"/>
      <c r="Z287" s="2256"/>
    </row>
    <row r="288" spans="5:26" s="1652" customFormat="1">
      <c r="E288" s="2266"/>
      <c r="H288" s="2351" t="s">
        <v>2163</v>
      </c>
      <c r="I288" s="2229">
        <v>1471.68</v>
      </c>
      <c r="J288" s="2226" t="s">
        <v>110</v>
      </c>
      <c r="K288" s="2224" t="s">
        <v>845</v>
      </c>
      <c r="L288" s="2227">
        <v>61.56</v>
      </c>
      <c r="M288" s="2227">
        <v>61.56</v>
      </c>
      <c r="N288" s="2250" t="s">
        <v>229</v>
      </c>
      <c r="O288" s="2224">
        <v>12</v>
      </c>
      <c r="P288" s="2225" t="s">
        <v>996</v>
      </c>
      <c r="Q288" s="2229"/>
      <c r="R288" s="2229"/>
      <c r="S288" s="2228"/>
      <c r="T288" s="2228"/>
      <c r="U288" s="2228">
        <f t="shared" si="9"/>
        <v>0</v>
      </c>
      <c r="V288" s="2228"/>
      <c r="W288" s="2230"/>
      <c r="X288" s="2230">
        <f t="shared" si="10"/>
        <v>0</v>
      </c>
      <c r="Y288" s="2230"/>
      <c r="Z288" s="2256"/>
    </row>
    <row r="289" spans="5:26" s="1652" customFormat="1">
      <c r="E289" s="2266"/>
      <c r="H289" s="2351" t="s">
        <v>2164</v>
      </c>
      <c r="I289" s="2229">
        <v>455.52</v>
      </c>
      <c r="J289" s="2226" t="s">
        <v>110</v>
      </c>
      <c r="K289" s="2224" t="s">
        <v>845</v>
      </c>
      <c r="L289" s="2227">
        <v>52.82</v>
      </c>
      <c r="M289" s="2227">
        <v>52.82</v>
      </c>
      <c r="N289" s="2250" t="s">
        <v>229</v>
      </c>
      <c r="O289" s="2224">
        <v>12</v>
      </c>
      <c r="P289" s="2225" t="s">
        <v>996</v>
      </c>
      <c r="Q289" s="2229"/>
      <c r="R289" s="2229"/>
      <c r="S289" s="2228"/>
      <c r="T289" s="2228"/>
      <c r="U289" s="2228">
        <f t="shared" si="9"/>
        <v>0</v>
      </c>
      <c r="V289" s="2228"/>
      <c r="W289" s="2230"/>
      <c r="X289" s="2230">
        <f t="shared" si="10"/>
        <v>0</v>
      </c>
      <c r="Y289" s="2230"/>
      <c r="Z289" s="2256"/>
    </row>
    <row r="290" spans="5:26" s="1652" customFormat="1">
      <c r="E290" s="2266"/>
      <c r="H290" s="2351" t="s">
        <v>2165</v>
      </c>
      <c r="I290" s="2229">
        <v>1681.92</v>
      </c>
      <c r="J290" s="2226" t="s">
        <v>110</v>
      </c>
      <c r="K290" s="2224" t="s">
        <v>845</v>
      </c>
      <c r="L290" s="2227">
        <v>52.82</v>
      </c>
      <c r="M290" s="2227">
        <v>52.82</v>
      </c>
      <c r="N290" s="2250" t="s">
        <v>229</v>
      </c>
      <c r="O290" s="2224">
        <v>12</v>
      </c>
      <c r="P290" s="2225" t="s">
        <v>996</v>
      </c>
      <c r="Q290" s="2229"/>
      <c r="R290" s="2229"/>
      <c r="S290" s="2228"/>
      <c r="T290" s="2228"/>
      <c r="U290" s="2228">
        <f t="shared" si="9"/>
        <v>0</v>
      </c>
      <c r="V290" s="2228"/>
      <c r="W290" s="2230"/>
      <c r="X290" s="2230">
        <f t="shared" si="10"/>
        <v>0</v>
      </c>
      <c r="Y290" s="2230"/>
      <c r="Z290" s="2256"/>
    </row>
    <row r="291" spans="5:26" s="1652" customFormat="1">
      <c r="E291" s="2266"/>
      <c r="H291" s="2351" t="s">
        <v>2166</v>
      </c>
      <c r="I291" s="2229">
        <v>665.76</v>
      </c>
      <c r="J291" s="2226" t="s">
        <v>110</v>
      </c>
      <c r="K291" s="2224" t="s">
        <v>845</v>
      </c>
      <c r="L291" s="2227">
        <v>48.55</v>
      </c>
      <c r="M291" s="2227">
        <v>48.55</v>
      </c>
      <c r="N291" s="2250" t="s">
        <v>229</v>
      </c>
      <c r="O291" s="2224">
        <v>12</v>
      </c>
      <c r="P291" s="2225" t="s">
        <v>996</v>
      </c>
      <c r="Q291" s="2229"/>
      <c r="R291" s="2229"/>
      <c r="S291" s="2228"/>
      <c r="T291" s="2228"/>
      <c r="U291" s="2228">
        <f t="shared" si="9"/>
        <v>0</v>
      </c>
      <c r="V291" s="2228"/>
      <c r="W291" s="2230"/>
      <c r="X291" s="2230">
        <f t="shared" si="10"/>
        <v>0</v>
      </c>
      <c r="Y291" s="2230"/>
      <c r="Z291" s="2256"/>
    </row>
    <row r="292" spans="5:26" s="1652" customFormat="1">
      <c r="E292" s="2266"/>
      <c r="H292" s="2351" t="s">
        <v>2167</v>
      </c>
      <c r="I292" s="2229">
        <v>1892.16</v>
      </c>
      <c r="J292" s="2226" t="s">
        <v>110</v>
      </c>
      <c r="K292" s="2224" t="s">
        <v>845</v>
      </c>
      <c r="L292" s="2227">
        <v>48.55</v>
      </c>
      <c r="M292" s="2227">
        <v>48.55</v>
      </c>
      <c r="N292" s="2250" t="s">
        <v>229</v>
      </c>
      <c r="O292" s="2224">
        <v>12</v>
      </c>
      <c r="P292" s="2225" t="s">
        <v>996</v>
      </c>
      <c r="Q292" s="2229"/>
      <c r="R292" s="2229"/>
      <c r="S292" s="2228"/>
      <c r="T292" s="2228"/>
      <c r="U292" s="2228">
        <f t="shared" si="9"/>
        <v>0</v>
      </c>
      <c r="V292" s="2228"/>
      <c r="W292" s="2230"/>
      <c r="X292" s="2230">
        <f t="shared" si="10"/>
        <v>0</v>
      </c>
      <c r="Y292" s="2230"/>
      <c r="Z292" s="2256"/>
    </row>
    <row r="293" spans="5:26" s="1652" customFormat="1">
      <c r="E293" s="2266"/>
      <c r="H293" s="2351" t="s">
        <v>2168</v>
      </c>
      <c r="I293" s="2229">
        <v>876</v>
      </c>
      <c r="J293" s="2226" t="s">
        <v>110</v>
      </c>
      <c r="K293" s="2224" t="s">
        <v>845</v>
      </c>
      <c r="L293" s="2227">
        <v>62.01</v>
      </c>
      <c r="M293" s="2227">
        <v>62.01</v>
      </c>
      <c r="N293" s="2250" t="s">
        <v>229</v>
      </c>
      <c r="O293" s="2224">
        <v>12</v>
      </c>
      <c r="P293" s="2225" t="s">
        <v>996</v>
      </c>
      <c r="Q293" s="2229"/>
      <c r="R293" s="2229"/>
      <c r="S293" s="2228"/>
      <c r="T293" s="2228"/>
      <c r="U293" s="2228">
        <f t="shared" si="9"/>
        <v>0</v>
      </c>
      <c r="V293" s="2228"/>
      <c r="W293" s="2230"/>
      <c r="X293" s="2230">
        <f t="shared" si="10"/>
        <v>0</v>
      </c>
      <c r="Y293" s="2230"/>
      <c r="Z293" s="2256"/>
    </row>
    <row r="294" spans="5:26" s="1652" customFormat="1">
      <c r="E294" s="2266"/>
      <c r="H294" s="2351" t="s">
        <v>2169</v>
      </c>
      <c r="I294" s="2229">
        <v>2102.4</v>
      </c>
      <c r="J294" s="2226" t="s">
        <v>110</v>
      </c>
      <c r="K294" s="2224" t="s">
        <v>845</v>
      </c>
      <c r="L294" s="2227">
        <v>62.01</v>
      </c>
      <c r="M294" s="2227">
        <v>62.01</v>
      </c>
      <c r="N294" s="2250" t="s">
        <v>229</v>
      </c>
      <c r="O294" s="2224">
        <v>12</v>
      </c>
      <c r="P294" s="2225" t="s">
        <v>996</v>
      </c>
      <c r="Q294" s="2229"/>
      <c r="R294" s="2229"/>
      <c r="S294" s="2228"/>
      <c r="T294" s="2228"/>
      <c r="U294" s="2228">
        <f t="shared" si="9"/>
        <v>0</v>
      </c>
      <c r="V294" s="2228"/>
      <c r="W294" s="2230"/>
      <c r="X294" s="2230">
        <f t="shared" si="10"/>
        <v>0</v>
      </c>
      <c r="Y294" s="2230"/>
      <c r="Z294" s="2256"/>
    </row>
    <row r="295" spans="5:26" s="1652" customFormat="1">
      <c r="E295" s="2266"/>
      <c r="H295" s="2351" t="s">
        <v>2170</v>
      </c>
      <c r="I295" s="2229">
        <v>52.56</v>
      </c>
      <c r="J295" s="2226" t="s">
        <v>110</v>
      </c>
      <c r="K295" s="2224" t="s">
        <v>845</v>
      </c>
      <c r="L295" s="2227">
        <v>127.2</v>
      </c>
      <c r="M295" s="2227">
        <v>127.2</v>
      </c>
      <c r="N295" s="2250" t="s">
        <v>229</v>
      </c>
      <c r="O295" s="2224">
        <v>12</v>
      </c>
      <c r="P295" s="2225" t="s">
        <v>996</v>
      </c>
      <c r="Q295" s="2229"/>
      <c r="R295" s="2229"/>
      <c r="S295" s="2228"/>
      <c r="T295" s="2228"/>
      <c r="U295" s="2228">
        <f t="shared" si="9"/>
        <v>0</v>
      </c>
      <c r="V295" s="2228"/>
      <c r="W295" s="2230"/>
      <c r="X295" s="2230">
        <f t="shared" si="10"/>
        <v>0</v>
      </c>
      <c r="Y295" s="2230"/>
      <c r="Z295" s="2256"/>
    </row>
    <row r="296" spans="5:26" s="1652" customFormat="1">
      <c r="E296" s="2266"/>
      <c r="H296" s="2351" t="s">
        <v>2171</v>
      </c>
      <c r="I296" s="2229">
        <v>105.12</v>
      </c>
      <c r="J296" s="2226" t="s">
        <v>110</v>
      </c>
      <c r="K296" s="2224" t="s">
        <v>845</v>
      </c>
      <c r="L296" s="2227">
        <v>74.790000000000006</v>
      </c>
      <c r="M296" s="2227">
        <v>74.790000000000006</v>
      </c>
      <c r="N296" s="2250" t="s">
        <v>229</v>
      </c>
      <c r="O296" s="2224">
        <v>12</v>
      </c>
      <c r="P296" s="2225" t="s">
        <v>996</v>
      </c>
      <c r="Q296" s="2229"/>
      <c r="R296" s="2229"/>
      <c r="S296" s="2228"/>
      <c r="T296" s="2228"/>
      <c r="U296" s="2228">
        <f t="shared" si="9"/>
        <v>0</v>
      </c>
      <c r="V296" s="2228"/>
      <c r="W296" s="2230"/>
      <c r="X296" s="2230">
        <f t="shared" si="10"/>
        <v>0</v>
      </c>
      <c r="Y296" s="2230"/>
      <c r="Z296" s="2256"/>
    </row>
    <row r="297" spans="5:26" s="1652" customFormat="1">
      <c r="E297" s="2266"/>
      <c r="H297" s="2351" t="s">
        <v>2172</v>
      </c>
      <c r="I297" s="2229">
        <v>499.32</v>
      </c>
      <c r="J297" s="2226" t="s">
        <v>110</v>
      </c>
      <c r="K297" s="2224" t="s">
        <v>845</v>
      </c>
      <c r="L297" s="2227">
        <v>127.2</v>
      </c>
      <c r="M297" s="2227">
        <v>127.2</v>
      </c>
      <c r="N297" s="2250" t="s">
        <v>229</v>
      </c>
      <c r="O297" s="2224">
        <v>12</v>
      </c>
      <c r="P297" s="2225" t="s">
        <v>996</v>
      </c>
      <c r="Q297" s="2229"/>
      <c r="R297" s="2229"/>
      <c r="S297" s="2228"/>
      <c r="T297" s="2228"/>
      <c r="U297" s="2228">
        <f t="shared" si="9"/>
        <v>0</v>
      </c>
      <c r="V297" s="2228"/>
      <c r="W297" s="2230"/>
      <c r="X297" s="2230">
        <f t="shared" si="10"/>
        <v>0</v>
      </c>
      <c r="Y297" s="2230"/>
      <c r="Z297" s="2256"/>
    </row>
    <row r="298" spans="5:26" s="1652" customFormat="1">
      <c r="E298" s="2266"/>
      <c r="H298" s="2351" t="s">
        <v>2173</v>
      </c>
      <c r="I298" s="2229">
        <v>998.64</v>
      </c>
      <c r="J298" s="2226" t="s">
        <v>110</v>
      </c>
      <c r="K298" s="2224" t="s">
        <v>845</v>
      </c>
      <c r="L298" s="2227">
        <v>74.790000000000006</v>
      </c>
      <c r="M298" s="2227">
        <v>74.790000000000006</v>
      </c>
      <c r="N298" s="2250" t="s">
        <v>229</v>
      </c>
      <c r="O298" s="2224">
        <v>12</v>
      </c>
      <c r="P298" s="2225" t="s">
        <v>996</v>
      </c>
      <c r="Q298" s="2229"/>
      <c r="R298" s="2229"/>
      <c r="S298" s="2228"/>
      <c r="T298" s="2228"/>
      <c r="U298" s="2228">
        <f t="shared" si="9"/>
        <v>0</v>
      </c>
      <c r="V298" s="2228"/>
      <c r="W298" s="2230"/>
      <c r="X298" s="2230">
        <f t="shared" si="10"/>
        <v>0</v>
      </c>
      <c r="Y298" s="2230"/>
      <c r="Z298" s="2256"/>
    </row>
    <row r="299" spans="5:26" s="1652" customFormat="1">
      <c r="E299" s="2266"/>
      <c r="H299" s="2351" t="s">
        <v>2174</v>
      </c>
      <c r="I299" s="2229">
        <v>788.4</v>
      </c>
      <c r="J299" s="2226" t="s">
        <v>110</v>
      </c>
      <c r="K299" s="2224" t="s">
        <v>845</v>
      </c>
      <c r="L299" s="2227">
        <v>62.01</v>
      </c>
      <c r="M299" s="2227">
        <v>62.01</v>
      </c>
      <c r="N299" s="2250" t="s">
        <v>229</v>
      </c>
      <c r="O299" s="2224">
        <v>12</v>
      </c>
      <c r="P299" s="2225" t="s">
        <v>996</v>
      </c>
      <c r="Q299" s="2229"/>
      <c r="R299" s="2229"/>
      <c r="S299" s="2228"/>
      <c r="T299" s="2228"/>
      <c r="U299" s="2228">
        <f t="shared" si="9"/>
        <v>0</v>
      </c>
      <c r="V299" s="2228"/>
      <c r="W299" s="2230"/>
      <c r="X299" s="2230">
        <f t="shared" si="10"/>
        <v>0</v>
      </c>
      <c r="Y299" s="2230"/>
      <c r="Z299" s="2256"/>
    </row>
    <row r="300" spans="5:26" s="1652" customFormat="1">
      <c r="E300" s="2266"/>
      <c r="H300" s="2351" t="s">
        <v>2175</v>
      </c>
      <c r="I300" s="2229">
        <v>2347.6799999999998</v>
      </c>
      <c r="J300" s="2226" t="s">
        <v>110</v>
      </c>
      <c r="K300" s="2224" t="s">
        <v>845</v>
      </c>
      <c r="L300" s="2227">
        <v>239.32</v>
      </c>
      <c r="M300" s="2227">
        <v>239.32</v>
      </c>
      <c r="N300" s="2250">
        <v>0.52669741730531072</v>
      </c>
      <c r="O300" s="2224">
        <v>12</v>
      </c>
      <c r="P300" s="2225" t="s">
        <v>996</v>
      </c>
      <c r="Q300" s="2229"/>
      <c r="R300" s="2229">
        <v>500</v>
      </c>
      <c r="S300" s="2228"/>
      <c r="T300" s="2228"/>
      <c r="U300" s="2228">
        <f t="shared" si="9"/>
        <v>1173840</v>
      </c>
      <c r="V300" s="2228"/>
      <c r="W300" s="2230"/>
      <c r="X300" s="2230">
        <f t="shared" si="10"/>
        <v>119660</v>
      </c>
      <c r="Y300" s="2230"/>
      <c r="Z300" s="2256"/>
    </row>
    <row r="301" spans="5:26" s="1652" customFormat="1">
      <c r="E301" s="2266"/>
      <c r="H301" s="2351" t="s">
        <v>2176</v>
      </c>
      <c r="I301" s="2229">
        <v>402.96</v>
      </c>
      <c r="J301" s="2226" t="s">
        <v>110</v>
      </c>
      <c r="K301" s="2224" t="s">
        <v>845</v>
      </c>
      <c r="L301" s="2227">
        <v>127.54</v>
      </c>
      <c r="M301" s="2227">
        <v>127.54</v>
      </c>
      <c r="N301" s="2250" t="s">
        <v>229</v>
      </c>
      <c r="O301" s="2224">
        <v>12</v>
      </c>
      <c r="P301" s="2225" t="s">
        <v>996</v>
      </c>
      <c r="Q301" s="2229"/>
      <c r="R301" s="2229"/>
      <c r="S301" s="2228"/>
      <c r="T301" s="2228"/>
      <c r="U301" s="2228">
        <f t="shared" si="9"/>
        <v>0</v>
      </c>
      <c r="V301" s="2228"/>
      <c r="W301" s="2230"/>
      <c r="X301" s="2230">
        <f t="shared" si="10"/>
        <v>0</v>
      </c>
      <c r="Y301" s="2230"/>
      <c r="Z301" s="2256"/>
    </row>
    <row r="302" spans="5:26" s="1652" customFormat="1">
      <c r="E302" s="2266"/>
      <c r="H302" s="2351" t="s">
        <v>2177</v>
      </c>
      <c r="I302" s="2229">
        <v>753.36</v>
      </c>
      <c r="J302" s="2226" t="s">
        <v>110</v>
      </c>
      <c r="K302" s="2224" t="s">
        <v>845</v>
      </c>
      <c r="L302" s="2227">
        <v>127.54</v>
      </c>
      <c r="M302" s="2227">
        <v>127.54</v>
      </c>
      <c r="N302" s="2250" t="s">
        <v>229</v>
      </c>
      <c r="O302" s="2224">
        <v>12</v>
      </c>
      <c r="P302" s="2225" t="s">
        <v>996</v>
      </c>
      <c r="Q302" s="2229"/>
      <c r="R302" s="2229"/>
      <c r="S302" s="2228"/>
      <c r="T302" s="2228"/>
      <c r="U302" s="2228">
        <f t="shared" si="9"/>
        <v>0</v>
      </c>
      <c r="V302" s="2228"/>
      <c r="W302" s="2230"/>
      <c r="X302" s="2230">
        <f t="shared" si="10"/>
        <v>0</v>
      </c>
      <c r="Y302" s="2230"/>
      <c r="Z302" s="2256"/>
    </row>
    <row r="303" spans="5:26" s="1652" customFormat="1">
      <c r="E303" s="2266"/>
      <c r="H303" s="2351" t="s">
        <v>2178</v>
      </c>
      <c r="I303" s="2229">
        <v>946.08</v>
      </c>
      <c r="J303" s="2226" t="s">
        <v>110</v>
      </c>
      <c r="K303" s="2224" t="s">
        <v>845</v>
      </c>
      <c r="L303" s="2227">
        <v>149.94</v>
      </c>
      <c r="M303" s="2227">
        <v>149.94</v>
      </c>
      <c r="N303" s="2250" t="s">
        <v>229</v>
      </c>
      <c r="O303" s="2224">
        <v>12</v>
      </c>
      <c r="P303" s="2225" t="s">
        <v>996</v>
      </c>
      <c r="Q303" s="2229"/>
      <c r="R303" s="2229"/>
      <c r="S303" s="2228"/>
      <c r="T303" s="2228"/>
      <c r="U303" s="2228">
        <f t="shared" si="9"/>
        <v>0</v>
      </c>
      <c r="V303" s="2228"/>
      <c r="W303" s="2230"/>
      <c r="X303" s="2230">
        <f t="shared" si="10"/>
        <v>0</v>
      </c>
      <c r="Y303" s="2230"/>
      <c r="Z303" s="2256"/>
    </row>
    <row r="304" spans="5:26" s="1652" customFormat="1">
      <c r="E304" s="2266"/>
      <c r="H304" s="2351" t="s">
        <v>2179</v>
      </c>
      <c r="I304" s="2229">
        <v>1681.92</v>
      </c>
      <c r="J304" s="2226" t="s">
        <v>110</v>
      </c>
      <c r="K304" s="2224" t="s">
        <v>845</v>
      </c>
      <c r="L304" s="2227">
        <v>179.34</v>
      </c>
      <c r="M304" s="2227">
        <v>179.34</v>
      </c>
      <c r="N304" s="2250" t="s">
        <v>229</v>
      </c>
      <c r="O304" s="2224">
        <v>5</v>
      </c>
      <c r="P304" s="2225"/>
      <c r="Q304" s="2229"/>
      <c r="R304" s="2229"/>
      <c r="S304" s="2228"/>
      <c r="T304" s="2228"/>
      <c r="U304" s="2228">
        <f t="shared" si="9"/>
        <v>0</v>
      </c>
      <c r="V304" s="2228"/>
      <c r="W304" s="2230"/>
      <c r="X304" s="2230">
        <f t="shared" si="10"/>
        <v>0</v>
      </c>
      <c r="Y304" s="2230"/>
      <c r="Z304" s="2256"/>
    </row>
    <row r="305" spans="5:26" s="1652" customFormat="1">
      <c r="E305" s="2266"/>
      <c r="H305" s="2351" t="s">
        <v>2119</v>
      </c>
      <c r="I305" s="2229">
        <v>35</v>
      </c>
      <c r="J305" s="2226" t="s">
        <v>110</v>
      </c>
      <c r="K305" s="2224" t="s">
        <v>845</v>
      </c>
      <c r="L305" s="2227">
        <v>18.7</v>
      </c>
      <c r="M305" s="2227">
        <v>18.7</v>
      </c>
      <c r="N305" s="2250" t="s">
        <v>229</v>
      </c>
      <c r="O305" s="2224">
        <v>5</v>
      </c>
      <c r="P305" s="2225"/>
      <c r="Q305" s="2229"/>
      <c r="R305" s="2229"/>
      <c r="S305" s="2228"/>
      <c r="T305" s="2228"/>
      <c r="U305" s="2228">
        <f t="shared" si="9"/>
        <v>0</v>
      </c>
      <c r="V305" s="2228"/>
      <c r="W305" s="2230"/>
      <c r="X305" s="2230">
        <f t="shared" si="10"/>
        <v>0</v>
      </c>
      <c r="Y305" s="2230"/>
      <c r="Z305" s="2256"/>
    </row>
    <row r="306" spans="5:26" s="1652" customFormat="1">
      <c r="E306" s="2266"/>
      <c r="H306" s="2351" t="s">
        <v>2120</v>
      </c>
      <c r="I306" s="2229">
        <v>78</v>
      </c>
      <c r="J306" s="2226" t="s">
        <v>110</v>
      </c>
      <c r="K306" s="2224" t="s">
        <v>845</v>
      </c>
      <c r="L306" s="2227">
        <v>18.7</v>
      </c>
      <c r="M306" s="2227">
        <v>18.7</v>
      </c>
      <c r="N306" s="2250" t="s">
        <v>229</v>
      </c>
      <c r="O306" s="2224">
        <v>5</v>
      </c>
      <c r="P306" s="2225"/>
      <c r="Q306" s="2229"/>
      <c r="R306" s="2229"/>
      <c r="S306" s="2228"/>
      <c r="T306" s="2228"/>
      <c r="U306" s="2228">
        <f t="shared" si="9"/>
        <v>0</v>
      </c>
      <c r="V306" s="2228"/>
      <c r="W306" s="2230"/>
      <c r="X306" s="2230">
        <f t="shared" si="10"/>
        <v>0</v>
      </c>
      <c r="Y306" s="2230"/>
      <c r="Z306" s="2256"/>
    </row>
    <row r="307" spans="5:26" s="1652" customFormat="1">
      <c r="E307" s="2266"/>
      <c r="H307" s="2351" t="s">
        <v>2121</v>
      </c>
      <c r="I307" s="2229">
        <v>101</v>
      </c>
      <c r="J307" s="2226" t="s">
        <v>110</v>
      </c>
      <c r="K307" s="2224" t="s">
        <v>845</v>
      </c>
      <c r="L307" s="2227">
        <v>18.7</v>
      </c>
      <c r="M307" s="2227">
        <v>18.7</v>
      </c>
      <c r="N307" s="2250" t="s">
        <v>229</v>
      </c>
      <c r="O307" s="2224">
        <v>5</v>
      </c>
      <c r="P307" s="2225"/>
      <c r="Q307" s="2229"/>
      <c r="R307" s="2229"/>
      <c r="S307" s="2228"/>
      <c r="T307" s="2228"/>
      <c r="U307" s="2228">
        <f t="shared" si="9"/>
        <v>0</v>
      </c>
      <c r="V307" s="2228"/>
      <c r="W307" s="2230"/>
      <c r="X307" s="2230">
        <f t="shared" si="10"/>
        <v>0</v>
      </c>
      <c r="Y307" s="2230"/>
      <c r="Z307" s="2256"/>
    </row>
    <row r="308" spans="5:26" s="1652" customFormat="1">
      <c r="E308" s="2266"/>
      <c r="H308" s="2351" t="s">
        <v>2122</v>
      </c>
      <c r="I308" s="2229">
        <v>55</v>
      </c>
      <c r="J308" s="2226" t="s">
        <v>110</v>
      </c>
      <c r="K308" s="2224" t="s">
        <v>845</v>
      </c>
      <c r="L308" s="2227">
        <v>19.68</v>
      </c>
      <c r="M308" s="2227">
        <v>19.68</v>
      </c>
      <c r="N308" s="2250" t="s">
        <v>229</v>
      </c>
      <c r="O308" s="2224">
        <v>5</v>
      </c>
      <c r="P308" s="2225"/>
      <c r="Q308" s="2229"/>
      <c r="R308" s="2229"/>
      <c r="S308" s="2228"/>
      <c r="T308" s="2228"/>
      <c r="U308" s="2228">
        <f t="shared" si="9"/>
        <v>0</v>
      </c>
      <c r="V308" s="2228"/>
      <c r="W308" s="2230"/>
      <c r="X308" s="2230">
        <f t="shared" si="10"/>
        <v>0</v>
      </c>
      <c r="Y308" s="2230"/>
      <c r="Z308" s="2256"/>
    </row>
    <row r="309" spans="5:26" s="1652" customFormat="1">
      <c r="E309" s="2266"/>
      <c r="H309" s="2351" t="s">
        <v>2123</v>
      </c>
      <c r="I309" s="2229">
        <v>123</v>
      </c>
      <c r="J309" s="2226" t="s">
        <v>110</v>
      </c>
      <c r="K309" s="2224" t="s">
        <v>845</v>
      </c>
      <c r="L309" s="2227">
        <v>19.68</v>
      </c>
      <c r="M309" s="2227">
        <v>19.68</v>
      </c>
      <c r="N309" s="2250" t="s">
        <v>229</v>
      </c>
      <c r="O309" s="2224">
        <v>5</v>
      </c>
      <c r="P309" s="2225"/>
      <c r="Q309" s="2229"/>
      <c r="R309" s="2229"/>
      <c r="S309" s="2228"/>
      <c r="T309" s="2228"/>
      <c r="U309" s="2228">
        <f t="shared" si="9"/>
        <v>0</v>
      </c>
      <c r="V309" s="2228"/>
      <c r="W309" s="2230"/>
      <c r="X309" s="2230">
        <f t="shared" si="10"/>
        <v>0</v>
      </c>
      <c r="Y309" s="2230"/>
      <c r="Z309" s="2256"/>
    </row>
    <row r="310" spans="5:26" s="1652" customFormat="1">
      <c r="E310" s="2266"/>
      <c r="H310" s="2351" t="s">
        <v>2124</v>
      </c>
      <c r="I310" s="2229">
        <v>159</v>
      </c>
      <c r="J310" s="2226" t="s">
        <v>110</v>
      </c>
      <c r="K310" s="2224" t="s">
        <v>845</v>
      </c>
      <c r="L310" s="2227">
        <v>19.68</v>
      </c>
      <c r="M310" s="2227">
        <v>19.68</v>
      </c>
      <c r="N310" s="2250" t="s">
        <v>229</v>
      </c>
      <c r="O310" s="2224">
        <v>5</v>
      </c>
      <c r="P310" s="2225"/>
      <c r="Q310" s="2229"/>
      <c r="R310" s="2229"/>
      <c r="S310" s="2228"/>
      <c r="T310" s="2228"/>
      <c r="U310" s="2228">
        <f t="shared" si="9"/>
        <v>0</v>
      </c>
      <c r="V310" s="2228"/>
      <c r="W310" s="2230"/>
      <c r="X310" s="2230">
        <f t="shared" si="10"/>
        <v>0</v>
      </c>
      <c r="Y310" s="2230"/>
      <c r="Z310" s="2256"/>
    </row>
    <row r="311" spans="5:26" s="1652" customFormat="1">
      <c r="E311" s="2266"/>
      <c r="H311" s="2351" t="s">
        <v>2125</v>
      </c>
      <c r="I311" s="2229">
        <v>25</v>
      </c>
      <c r="J311" s="2226" t="s">
        <v>110</v>
      </c>
      <c r="K311" s="2224" t="s">
        <v>845</v>
      </c>
      <c r="L311" s="2227">
        <v>21.07</v>
      </c>
      <c r="M311" s="2227">
        <v>21.07</v>
      </c>
      <c r="N311" s="2250" t="s">
        <v>229</v>
      </c>
      <c r="O311" s="2224">
        <v>5</v>
      </c>
      <c r="P311" s="2225"/>
      <c r="Q311" s="2229"/>
      <c r="R311" s="2229"/>
      <c r="S311" s="2228"/>
      <c r="T311" s="2228"/>
      <c r="U311" s="2228">
        <f t="shared" si="9"/>
        <v>0</v>
      </c>
      <c r="V311" s="2228"/>
      <c r="W311" s="2230"/>
      <c r="X311" s="2230">
        <f t="shared" si="10"/>
        <v>0</v>
      </c>
      <c r="Y311" s="2230"/>
      <c r="Z311" s="2256"/>
    </row>
    <row r="312" spans="5:26" s="1652" customFormat="1">
      <c r="E312" s="2266"/>
      <c r="H312" s="2351" t="s">
        <v>2126</v>
      </c>
      <c r="I312" s="2229">
        <v>56</v>
      </c>
      <c r="J312" s="2226" t="s">
        <v>110</v>
      </c>
      <c r="K312" s="2224" t="s">
        <v>845</v>
      </c>
      <c r="L312" s="2227">
        <v>21.07</v>
      </c>
      <c r="M312" s="2227">
        <v>21.07</v>
      </c>
      <c r="N312" s="2250" t="s">
        <v>229</v>
      </c>
      <c r="O312" s="2224">
        <v>5</v>
      </c>
      <c r="P312" s="2225"/>
      <c r="Q312" s="2229"/>
      <c r="R312" s="2229"/>
      <c r="S312" s="2228"/>
      <c r="T312" s="2228"/>
      <c r="U312" s="2228">
        <f t="shared" si="9"/>
        <v>0</v>
      </c>
      <c r="V312" s="2228"/>
      <c r="W312" s="2230"/>
      <c r="X312" s="2230">
        <f t="shared" si="10"/>
        <v>0</v>
      </c>
      <c r="Y312" s="2230"/>
      <c r="Z312" s="2256"/>
    </row>
    <row r="313" spans="5:26" s="1652" customFormat="1">
      <c r="E313" s="2266"/>
      <c r="H313" s="2351" t="s">
        <v>2127</v>
      </c>
      <c r="I313" s="2229">
        <v>73</v>
      </c>
      <c r="J313" s="2226" t="s">
        <v>110</v>
      </c>
      <c r="K313" s="2224" t="s">
        <v>845</v>
      </c>
      <c r="L313" s="2227">
        <v>21.07</v>
      </c>
      <c r="M313" s="2227">
        <v>21.07</v>
      </c>
      <c r="N313" s="2250" t="s">
        <v>229</v>
      </c>
      <c r="O313" s="2224">
        <v>5</v>
      </c>
      <c r="P313" s="2225"/>
      <c r="Q313" s="2229"/>
      <c r="R313" s="2229"/>
      <c r="S313" s="2228"/>
      <c r="T313" s="2228"/>
      <c r="U313" s="2228">
        <f t="shared" si="9"/>
        <v>0</v>
      </c>
      <c r="V313" s="2228"/>
      <c r="W313" s="2230"/>
      <c r="X313" s="2230">
        <f t="shared" si="10"/>
        <v>0</v>
      </c>
      <c r="Y313" s="2230"/>
      <c r="Z313" s="2256"/>
    </row>
    <row r="314" spans="5:26" s="1652" customFormat="1">
      <c r="E314" s="2266"/>
      <c r="H314" s="2351" t="s">
        <v>2128</v>
      </c>
      <c r="I314" s="2229">
        <v>35</v>
      </c>
      <c r="J314" s="2226" t="s">
        <v>110</v>
      </c>
      <c r="K314" s="2224" t="s">
        <v>845</v>
      </c>
      <c r="L314" s="2227">
        <v>27.69</v>
      </c>
      <c r="M314" s="2227">
        <v>27.69</v>
      </c>
      <c r="N314" s="2250" t="s">
        <v>229</v>
      </c>
      <c r="O314" s="2224">
        <v>3</v>
      </c>
      <c r="P314" s="2225"/>
      <c r="Q314" s="2229"/>
      <c r="R314" s="2229"/>
      <c r="S314" s="2228"/>
      <c r="T314" s="2228"/>
      <c r="U314" s="2228">
        <f t="shared" si="9"/>
        <v>0</v>
      </c>
      <c r="V314" s="2228"/>
      <c r="W314" s="2230"/>
      <c r="X314" s="2230">
        <f t="shared" si="10"/>
        <v>0</v>
      </c>
      <c r="Y314" s="2230"/>
      <c r="Z314" s="2256"/>
    </row>
    <row r="315" spans="5:26" s="1652" customFormat="1">
      <c r="E315" s="2266"/>
      <c r="H315" s="2351" t="s">
        <v>2129</v>
      </c>
      <c r="I315" s="2229">
        <v>79</v>
      </c>
      <c r="J315" s="2226" t="s">
        <v>110</v>
      </c>
      <c r="K315" s="2224" t="s">
        <v>845</v>
      </c>
      <c r="L315" s="2227">
        <v>27.69</v>
      </c>
      <c r="M315" s="2227">
        <v>27.69</v>
      </c>
      <c r="N315" s="2250" t="s">
        <v>229</v>
      </c>
      <c r="O315" s="2224">
        <v>3</v>
      </c>
      <c r="P315" s="2225"/>
      <c r="Q315" s="2229"/>
      <c r="R315" s="2229"/>
      <c r="S315" s="2228"/>
      <c r="T315" s="2228"/>
      <c r="U315" s="2228">
        <f t="shared" si="9"/>
        <v>0</v>
      </c>
      <c r="V315" s="2228"/>
      <c r="W315" s="2230"/>
      <c r="X315" s="2230">
        <f t="shared" si="10"/>
        <v>0</v>
      </c>
      <c r="Y315" s="2230"/>
      <c r="Z315" s="2256"/>
    </row>
    <row r="316" spans="5:26" s="1652" customFormat="1">
      <c r="E316" s="2266"/>
      <c r="H316" s="2351" t="s">
        <v>2130</v>
      </c>
      <c r="I316" s="2229">
        <v>102</v>
      </c>
      <c r="J316" s="2226" t="s">
        <v>110</v>
      </c>
      <c r="K316" s="2224" t="s">
        <v>845</v>
      </c>
      <c r="L316" s="2227">
        <v>27.69</v>
      </c>
      <c r="M316" s="2227">
        <v>27.69</v>
      </c>
      <c r="N316" s="2250" t="s">
        <v>229</v>
      </c>
      <c r="O316" s="2224">
        <v>3</v>
      </c>
      <c r="P316" s="2225"/>
      <c r="Q316" s="2229"/>
      <c r="R316" s="2229"/>
      <c r="S316" s="2228"/>
      <c r="T316" s="2228"/>
      <c r="U316" s="2228">
        <f t="shared" si="9"/>
        <v>0</v>
      </c>
      <c r="V316" s="2228"/>
      <c r="W316" s="2230"/>
      <c r="X316" s="2230">
        <f t="shared" si="10"/>
        <v>0</v>
      </c>
      <c r="Y316" s="2230"/>
      <c r="Z316" s="2256"/>
    </row>
    <row r="317" spans="5:26" s="1652" customFormat="1">
      <c r="E317" s="2266"/>
      <c r="H317" s="2351" t="s">
        <v>2131</v>
      </c>
      <c r="I317" s="2229">
        <v>47</v>
      </c>
      <c r="J317" s="2226" t="s">
        <v>110</v>
      </c>
      <c r="K317" s="2224" t="s">
        <v>845</v>
      </c>
      <c r="L317" s="2227">
        <v>32.409999999999997</v>
      </c>
      <c r="M317" s="2227">
        <v>32.409999999999997</v>
      </c>
      <c r="N317" s="2250" t="s">
        <v>229</v>
      </c>
      <c r="O317" s="2224">
        <v>5</v>
      </c>
      <c r="P317" s="2225"/>
      <c r="Q317" s="2229"/>
      <c r="R317" s="2229"/>
      <c r="S317" s="2228"/>
      <c r="T317" s="2228"/>
      <c r="U317" s="2228">
        <f t="shared" si="9"/>
        <v>0</v>
      </c>
      <c r="V317" s="2228"/>
      <c r="W317" s="2230"/>
      <c r="X317" s="2230">
        <f t="shared" si="10"/>
        <v>0</v>
      </c>
      <c r="Y317" s="2230"/>
      <c r="Z317" s="2256"/>
    </row>
    <row r="318" spans="5:26" s="1652" customFormat="1">
      <c r="E318" s="2266"/>
      <c r="H318" s="2351" t="s">
        <v>2132</v>
      </c>
      <c r="I318" s="2229">
        <v>103</v>
      </c>
      <c r="J318" s="2226" t="s">
        <v>110</v>
      </c>
      <c r="K318" s="2224" t="s">
        <v>845</v>
      </c>
      <c r="L318" s="2227">
        <v>32.409999999999997</v>
      </c>
      <c r="M318" s="2227">
        <v>32.409999999999997</v>
      </c>
      <c r="N318" s="2250" t="s">
        <v>229</v>
      </c>
      <c r="O318" s="2224">
        <v>5</v>
      </c>
      <c r="P318" s="2225"/>
      <c r="Q318" s="2229"/>
      <c r="R318" s="2229"/>
      <c r="S318" s="2228"/>
      <c r="T318" s="2228"/>
      <c r="U318" s="2228">
        <f t="shared" si="9"/>
        <v>0</v>
      </c>
      <c r="V318" s="2228"/>
      <c r="W318" s="2230"/>
      <c r="X318" s="2230">
        <f t="shared" si="10"/>
        <v>0</v>
      </c>
      <c r="Y318" s="2230"/>
      <c r="Z318" s="2256"/>
    </row>
    <row r="319" spans="5:26" s="1652" customFormat="1">
      <c r="E319" s="2266"/>
      <c r="H319" s="2351" t="s">
        <v>2133</v>
      </c>
      <c r="I319" s="2229">
        <v>134</v>
      </c>
      <c r="J319" s="2226" t="s">
        <v>110</v>
      </c>
      <c r="K319" s="2224" t="s">
        <v>845</v>
      </c>
      <c r="L319" s="2227">
        <v>32.409999999999997</v>
      </c>
      <c r="M319" s="2227">
        <v>32.409999999999997</v>
      </c>
      <c r="N319" s="2250" t="s">
        <v>229</v>
      </c>
      <c r="O319" s="2224">
        <v>5</v>
      </c>
      <c r="P319" s="2225"/>
      <c r="Q319" s="2229"/>
      <c r="R319" s="2229"/>
      <c r="S319" s="2228"/>
      <c r="T319" s="2228"/>
      <c r="U319" s="2228">
        <f t="shared" si="9"/>
        <v>0</v>
      </c>
      <c r="V319" s="2228"/>
      <c r="W319" s="2230"/>
      <c r="X319" s="2230">
        <f t="shared" si="10"/>
        <v>0</v>
      </c>
      <c r="Y319" s="2230"/>
      <c r="Z319" s="2256"/>
    </row>
    <row r="320" spans="5:26" s="1652" customFormat="1">
      <c r="E320" s="2266"/>
      <c r="H320" s="2351" t="s">
        <v>2134</v>
      </c>
      <c r="I320" s="2229">
        <v>66</v>
      </c>
      <c r="J320" s="2226" t="s">
        <v>110</v>
      </c>
      <c r="K320" s="2224" t="s">
        <v>845</v>
      </c>
      <c r="L320" s="2227">
        <v>36.68</v>
      </c>
      <c r="M320" s="2227">
        <v>36.68</v>
      </c>
      <c r="N320" s="2250" t="s">
        <v>229</v>
      </c>
      <c r="O320" s="2224">
        <v>5</v>
      </c>
      <c r="P320" s="2225"/>
      <c r="Q320" s="2229"/>
      <c r="R320" s="2229"/>
      <c r="S320" s="2228"/>
      <c r="T320" s="2228"/>
      <c r="U320" s="2228">
        <f t="shared" si="9"/>
        <v>0</v>
      </c>
      <c r="V320" s="2228"/>
      <c r="W320" s="2230"/>
      <c r="X320" s="2230">
        <f t="shared" si="10"/>
        <v>0</v>
      </c>
      <c r="Y320" s="2230"/>
      <c r="Z320" s="2256"/>
    </row>
    <row r="321" spans="5:26" s="1652" customFormat="1">
      <c r="E321" s="2266"/>
      <c r="H321" s="2351" t="s">
        <v>2135</v>
      </c>
      <c r="I321" s="2229">
        <v>147</v>
      </c>
      <c r="J321" s="2226" t="s">
        <v>110</v>
      </c>
      <c r="K321" s="2224" t="s">
        <v>845</v>
      </c>
      <c r="L321" s="2227">
        <v>36.68</v>
      </c>
      <c r="M321" s="2227">
        <v>36.68</v>
      </c>
      <c r="N321" s="2250" t="s">
        <v>229</v>
      </c>
      <c r="O321" s="2224">
        <v>5</v>
      </c>
      <c r="P321" s="2225"/>
      <c r="Q321" s="2229"/>
      <c r="R321" s="2229"/>
      <c r="S321" s="2228"/>
      <c r="T321" s="2228"/>
      <c r="U321" s="2228">
        <f t="shared" si="9"/>
        <v>0</v>
      </c>
      <c r="V321" s="2228"/>
      <c r="W321" s="2230"/>
      <c r="X321" s="2230">
        <f t="shared" si="10"/>
        <v>0</v>
      </c>
      <c r="Y321" s="2230"/>
      <c r="Z321" s="2256"/>
    </row>
    <row r="322" spans="5:26" s="1652" customFormat="1">
      <c r="E322" s="2266"/>
      <c r="H322" s="2351" t="s">
        <v>2136</v>
      </c>
      <c r="I322" s="2229">
        <v>192</v>
      </c>
      <c r="J322" s="2226" t="s">
        <v>110</v>
      </c>
      <c r="K322" s="2224" t="s">
        <v>845</v>
      </c>
      <c r="L322" s="2227">
        <v>36.68</v>
      </c>
      <c r="M322" s="2227">
        <v>36.68</v>
      </c>
      <c r="N322" s="2250" t="s">
        <v>229</v>
      </c>
      <c r="O322" s="2224">
        <v>5</v>
      </c>
      <c r="P322" s="2225"/>
      <c r="Q322" s="2229"/>
      <c r="R322" s="2229"/>
      <c r="S322" s="2228"/>
      <c r="T322" s="2228"/>
      <c r="U322" s="2228">
        <f t="shared" si="9"/>
        <v>0</v>
      </c>
      <c r="V322" s="2228"/>
      <c r="W322" s="2230"/>
      <c r="X322" s="2230">
        <f t="shared" si="10"/>
        <v>0</v>
      </c>
      <c r="Y322" s="2230"/>
      <c r="Z322" s="2256"/>
    </row>
    <row r="323" spans="5:26" s="1652" customFormat="1">
      <c r="E323" s="2266"/>
      <c r="H323" s="2351" t="s">
        <v>2137</v>
      </c>
      <c r="I323" s="2229">
        <v>57</v>
      </c>
      <c r="J323" s="2226" t="s">
        <v>110</v>
      </c>
      <c r="K323" s="2224" t="s">
        <v>845</v>
      </c>
      <c r="L323" s="2227">
        <v>50.64</v>
      </c>
      <c r="M323" s="2227">
        <v>50.64</v>
      </c>
      <c r="N323" s="2250" t="s">
        <v>229</v>
      </c>
      <c r="O323" s="2224">
        <v>5</v>
      </c>
      <c r="P323" s="2225"/>
      <c r="Q323" s="2229"/>
      <c r="R323" s="2229"/>
      <c r="S323" s="2228"/>
      <c r="T323" s="2228"/>
      <c r="U323" s="2228">
        <f t="shared" si="9"/>
        <v>0</v>
      </c>
      <c r="V323" s="2228"/>
      <c r="W323" s="2230"/>
      <c r="X323" s="2230">
        <f t="shared" si="10"/>
        <v>0</v>
      </c>
      <c r="Y323" s="2230"/>
      <c r="Z323" s="2256"/>
    </row>
    <row r="324" spans="5:26" s="1652" customFormat="1">
      <c r="E324" s="2266"/>
      <c r="H324" s="2351" t="s">
        <v>2138</v>
      </c>
      <c r="I324" s="2229">
        <v>126</v>
      </c>
      <c r="J324" s="2226" t="s">
        <v>110</v>
      </c>
      <c r="K324" s="2224" t="s">
        <v>845</v>
      </c>
      <c r="L324" s="2227">
        <v>50.64</v>
      </c>
      <c r="M324" s="2227">
        <v>50.64</v>
      </c>
      <c r="N324" s="2250" t="s">
        <v>229</v>
      </c>
      <c r="O324" s="2224">
        <v>5</v>
      </c>
      <c r="P324" s="2225"/>
      <c r="Q324" s="2229"/>
      <c r="R324" s="2229"/>
      <c r="S324" s="2228"/>
      <c r="T324" s="2228"/>
      <c r="U324" s="2228">
        <f t="shared" si="9"/>
        <v>0</v>
      </c>
      <c r="V324" s="2228"/>
      <c r="W324" s="2230"/>
      <c r="X324" s="2230">
        <f t="shared" si="10"/>
        <v>0</v>
      </c>
      <c r="Y324" s="2230"/>
      <c r="Z324" s="2256"/>
    </row>
    <row r="325" spans="5:26" s="1652" customFormat="1">
      <c r="E325" s="2266"/>
      <c r="H325" s="2351" t="s">
        <v>2139</v>
      </c>
      <c r="I325" s="2229">
        <v>163</v>
      </c>
      <c r="J325" s="2226" t="s">
        <v>110</v>
      </c>
      <c r="K325" s="2224" t="s">
        <v>845</v>
      </c>
      <c r="L325" s="2227">
        <v>50.64</v>
      </c>
      <c r="M325" s="2227">
        <v>50.64</v>
      </c>
      <c r="N325" s="2250" t="s">
        <v>229</v>
      </c>
      <c r="O325" s="2224">
        <v>5</v>
      </c>
      <c r="P325" s="2225"/>
      <c r="Q325" s="2229"/>
      <c r="R325" s="2229"/>
      <c r="S325" s="2228"/>
      <c r="T325" s="2228"/>
      <c r="U325" s="2228">
        <f t="shared" si="9"/>
        <v>0</v>
      </c>
      <c r="V325" s="2228"/>
      <c r="W325" s="2230"/>
      <c r="X325" s="2230">
        <f t="shared" si="10"/>
        <v>0</v>
      </c>
      <c r="Y325" s="2230"/>
      <c r="Z325" s="2256"/>
    </row>
    <row r="326" spans="5:26" s="1652" customFormat="1">
      <c r="E326" s="2266"/>
      <c r="H326" s="2351" t="s">
        <v>2140</v>
      </c>
      <c r="I326" s="2229">
        <v>76</v>
      </c>
      <c r="J326" s="2226" t="s">
        <v>110</v>
      </c>
      <c r="K326" s="2224" t="s">
        <v>845</v>
      </c>
      <c r="L326" s="2227">
        <v>52.35</v>
      </c>
      <c r="M326" s="2227">
        <v>52.35</v>
      </c>
      <c r="N326" s="2250" t="s">
        <v>229</v>
      </c>
      <c r="O326" s="2224">
        <v>5</v>
      </c>
      <c r="P326" s="2225"/>
      <c r="Q326" s="2229"/>
      <c r="R326" s="2229"/>
      <c r="S326" s="2228"/>
      <c r="T326" s="2228"/>
      <c r="U326" s="2228">
        <f t="shared" si="9"/>
        <v>0</v>
      </c>
      <c r="V326" s="2228"/>
      <c r="W326" s="2230"/>
      <c r="X326" s="2230">
        <f t="shared" si="10"/>
        <v>0</v>
      </c>
      <c r="Y326" s="2230"/>
      <c r="Z326" s="2256"/>
    </row>
    <row r="327" spans="5:26" s="1652" customFormat="1">
      <c r="E327" s="2266"/>
      <c r="H327" s="2351" t="s">
        <v>2141</v>
      </c>
      <c r="I327" s="2229">
        <v>170</v>
      </c>
      <c r="J327" s="2226" t="s">
        <v>110</v>
      </c>
      <c r="K327" s="2224" t="s">
        <v>845</v>
      </c>
      <c r="L327" s="2227">
        <v>52.35</v>
      </c>
      <c r="M327" s="2227">
        <v>52.35</v>
      </c>
      <c r="N327" s="2250" t="s">
        <v>229</v>
      </c>
      <c r="O327" s="2224">
        <v>5</v>
      </c>
      <c r="P327" s="2225"/>
      <c r="Q327" s="2229"/>
      <c r="R327" s="2229"/>
      <c r="S327" s="2228"/>
      <c r="T327" s="2228"/>
      <c r="U327" s="2228">
        <f t="shared" si="9"/>
        <v>0</v>
      </c>
      <c r="V327" s="2228"/>
      <c r="W327" s="2230"/>
      <c r="X327" s="2230">
        <f t="shared" si="10"/>
        <v>0</v>
      </c>
      <c r="Y327" s="2230"/>
      <c r="Z327" s="2256"/>
    </row>
    <row r="328" spans="5:26" s="1652" customFormat="1">
      <c r="E328" s="2266"/>
      <c r="H328" s="2351" t="s">
        <v>2142</v>
      </c>
      <c r="I328" s="2229">
        <v>221</v>
      </c>
      <c r="J328" s="2226" t="s">
        <v>110</v>
      </c>
      <c r="K328" s="2224" t="s">
        <v>845</v>
      </c>
      <c r="L328" s="2227">
        <v>52.35</v>
      </c>
      <c r="M328" s="2227">
        <v>52.35</v>
      </c>
      <c r="N328" s="2250" t="s">
        <v>229</v>
      </c>
      <c r="O328" s="2224">
        <v>5</v>
      </c>
      <c r="P328" s="2225"/>
      <c r="Q328" s="2229"/>
      <c r="R328" s="2229"/>
      <c r="S328" s="2228"/>
      <c r="T328" s="2228"/>
      <c r="U328" s="2228">
        <f t="shared" si="9"/>
        <v>0</v>
      </c>
      <c r="V328" s="2228"/>
      <c r="W328" s="2230"/>
      <c r="X328" s="2230">
        <f t="shared" si="10"/>
        <v>0</v>
      </c>
      <c r="Y328" s="2230"/>
      <c r="Z328" s="2256"/>
    </row>
    <row r="329" spans="5:26" s="1652" customFormat="1">
      <c r="E329" s="2266"/>
      <c r="H329" s="2351" t="s">
        <v>2143</v>
      </c>
      <c r="I329" s="2229">
        <v>62</v>
      </c>
      <c r="J329" s="2226" t="s">
        <v>110</v>
      </c>
      <c r="K329" s="2224" t="s">
        <v>845</v>
      </c>
      <c r="L329" s="2227">
        <v>106.68</v>
      </c>
      <c r="M329" s="2227">
        <v>106.68</v>
      </c>
      <c r="N329" s="2250" t="s">
        <v>229</v>
      </c>
      <c r="O329" s="2224">
        <v>12</v>
      </c>
      <c r="P329" s="2225"/>
      <c r="Q329" s="2229"/>
      <c r="R329" s="2229"/>
      <c r="S329" s="2228"/>
      <c r="T329" s="2228"/>
      <c r="U329" s="2228">
        <f t="shared" si="9"/>
        <v>0</v>
      </c>
      <c r="V329" s="2228"/>
      <c r="W329" s="2230"/>
      <c r="X329" s="2230">
        <f t="shared" si="10"/>
        <v>0</v>
      </c>
      <c r="Y329" s="2230"/>
      <c r="Z329" s="2256"/>
    </row>
    <row r="330" spans="5:26" s="1652" customFormat="1">
      <c r="E330" s="2266"/>
      <c r="H330" s="2351" t="s">
        <v>2144</v>
      </c>
      <c r="I330" s="2229">
        <v>138</v>
      </c>
      <c r="J330" s="2226" t="s">
        <v>110</v>
      </c>
      <c r="K330" s="2224" t="s">
        <v>845</v>
      </c>
      <c r="L330" s="2227">
        <v>106.68</v>
      </c>
      <c r="M330" s="2227">
        <v>106.68</v>
      </c>
      <c r="N330" s="2250" t="s">
        <v>229</v>
      </c>
      <c r="O330" s="2224">
        <v>12</v>
      </c>
      <c r="P330" s="2225"/>
      <c r="Q330" s="2229"/>
      <c r="R330" s="2229"/>
      <c r="S330" s="2228"/>
      <c r="T330" s="2228"/>
      <c r="U330" s="2228">
        <f t="shared" si="9"/>
        <v>0</v>
      </c>
      <c r="V330" s="2228"/>
      <c r="W330" s="2230"/>
      <c r="X330" s="2230">
        <f t="shared" si="10"/>
        <v>0</v>
      </c>
      <c r="Y330" s="2230"/>
      <c r="Z330" s="2256"/>
    </row>
    <row r="331" spans="5:26" s="1652" customFormat="1">
      <c r="E331" s="2266"/>
      <c r="H331" s="2351" t="s">
        <v>2145</v>
      </c>
      <c r="I331" s="2229">
        <v>180</v>
      </c>
      <c r="J331" s="2226" t="s">
        <v>110</v>
      </c>
      <c r="K331" s="2224" t="s">
        <v>845</v>
      </c>
      <c r="L331" s="2227">
        <v>106.68</v>
      </c>
      <c r="M331" s="2227">
        <v>106.68</v>
      </c>
      <c r="N331" s="2250" t="s">
        <v>229</v>
      </c>
      <c r="O331" s="2224">
        <v>12</v>
      </c>
      <c r="P331" s="2225"/>
      <c r="Q331" s="2229"/>
      <c r="R331" s="2229"/>
      <c r="S331" s="2228"/>
      <c r="T331" s="2228"/>
      <c r="U331" s="2228">
        <f t="shared" si="9"/>
        <v>0</v>
      </c>
      <c r="V331" s="2228"/>
      <c r="W331" s="2230"/>
      <c r="X331" s="2230">
        <f t="shared" si="10"/>
        <v>0</v>
      </c>
      <c r="Y331" s="2230"/>
      <c r="Z331" s="2256"/>
    </row>
    <row r="332" spans="5:26" s="1652" customFormat="1">
      <c r="E332" s="2266"/>
      <c r="H332" s="2351" t="s">
        <v>2146</v>
      </c>
      <c r="I332" s="2229">
        <v>280</v>
      </c>
      <c r="J332" s="2226" t="s">
        <v>110</v>
      </c>
      <c r="K332" s="2224" t="s">
        <v>845</v>
      </c>
      <c r="L332" s="2227">
        <v>106.68</v>
      </c>
      <c r="M332" s="2227">
        <v>106.68</v>
      </c>
      <c r="N332" s="2250" t="s">
        <v>229</v>
      </c>
      <c r="O332" s="2224">
        <v>12</v>
      </c>
      <c r="P332" s="2225"/>
      <c r="Q332" s="2229"/>
      <c r="R332" s="2229"/>
      <c r="S332" s="2228"/>
      <c r="T332" s="2228"/>
      <c r="U332" s="2228">
        <f t="shared" si="9"/>
        <v>0</v>
      </c>
      <c r="V332" s="2228"/>
      <c r="W332" s="2230"/>
      <c r="X332" s="2230">
        <f t="shared" si="10"/>
        <v>0</v>
      </c>
      <c r="Y332" s="2230"/>
      <c r="Z332" s="2256"/>
    </row>
    <row r="333" spans="5:26" s="1652" customFormat="1">
      <c r="E333" s="2266"/>
      <c r="H333" s="2351" t="s">
        <v>2147</v>
      </c>
      <c r="I333" s="2229">
        <v>103</v>
      </c>
      <c r="J333" s="2226" t="s">
        <v>110</v>
      </c>
      <c r="K333" s="2224" t="s">
        <v>845</v>
      </c>
      <c r="L333" s="2227">
        <v>106.68</v>
      </c>
      <c r="M333" s="2227">
        <v>106.68</v>
      </c>
      <c r="N333" s="2250" t="s">
        <v>229</v>
      </c>
      <c r="O333" s="2224">
        <v>12</v>
      </c>
      <c r="P333" s="2225"/>
      <c r="Q333" s="2229"/>
      <c r="R333" s="2229"/>
      <c r="S333" s="2228"/>
      <c r="T333" s="2228"/>
      <c r="U333" s="2228">
        <f t="shared" si="9"/>
        <v>0</v>
      </c>
      <c r="V333" s="2228"/>
      <c r="W333" s="2230"/>
      <c r="X333" s="2230">
        <f t="shared" si="10"/>
        <v>0</v>
      </c>
      <c r="Y333" s="2230"/>
      <c r="Z333" s="2256"/>
    </row>
    <row r="334" spans="5:26" s="1652" customFormat="1">
      <c r="E334" s="2266"/>
      <c r="H334" s="2351" t="s">
        <v>2148</v>
      </c>
      <c r="I334" s="2229">
        <v>77</v>
      </c>
      <c r="J334" s="2226" t="s">
        <v>110</v>
      </c>
      <c r="K334" s="2224" t="s">
        <v>845</v>
      </c>
      <c r="L334" s="2227">
        <v>106.68</v>
      </c>
      <c r="M334" s="2227">
        <v>106.68</v>
      </c>
      <c r="N334" s="2250" t="s">
        <v>229</v>
      </c>
      <c r="O334" s="2224">
        <v>12</v>
      </c>
      <c r="P334" s="2225"/>
      <c r="Q334" s="2229"/>
      <c r="R334" s="2229"/>
      <c r="S334" s="2228"/>
      <c r="T334" s="2228"/>
      <c r="U334" s="2228">
        <f t="shared" si="9"/>
        <v>0</v>
      </c>
      <c r="V334" s="2228"/>
      <c r="W334" s="2230"/>
      <c r="X334" s="2230">
        <f t="shared" si="10"/>
        <v>0</v>
      </c>
      <c r="Y334" s="2230"/>
      <c r="Z334" s="2256"/>
    </row>
    <row r="335" spans="5:26" s="1652" customFormat="1">
      <c r="E335" s="2266"/>
      <c r="H335" s="2351" t="s">
        <v>2149</v>
      </c>
      <c r="I335" s="2229">
        <v>151</v>
      </c>
      <c r="J335" s="2226" t="s">
        <v>110</v>
      </c>
      <c r="K335" s="2224" t="s">
        <v>845</v>
      </c>
      <c r="L335" s="2227">
        <v>106.68</v>
      </c>
      <c r="M335" s="2227">
        <v>106.68</v>
      </c>
      <c r="N335" s="2250" t="s">
        <v>229</v>
      </c>
      <c r="O335" s="2224">
        <v>12</v>
      </c>
      <c r="P335" s="2225"/>
      <c r="Q335" s="2229"/>
      <c r="R335" s="2229"/>
      <c r="S335" s="2228"/>
      <c r="T335" s="2228"/>
      <c r="U335" s="2228">
        <f t="shared" si="9"/>
        <v>0</v>
      </c>
      <c r="V335" s="2228"/>
      <c r="W335" s="2230"/>
      <c r="X335" s="2230">
        <f t="shared" si="10"/>
        <v>0</v>
      </c>
      <c r="Y335" s="2230"/>
      <c r="Z335" s="2256"/>
    </row>
    <row r="336" spans="5:26" s="1652" customFormat="1">
      <c r="E336" s="2266"/>
      <c r="H336" s="2351" t="s">
        <v>2150</v>
      </c>
      <c r="I336" s="2229">
        <v>123</v>
      </c>
      <c r="J336" s="2226" t="s">
        <v>110</v>
      </c>
      <c r="K336" s="2224" t="s">
        <v>845</v>
      </c>
      <c r="L336" s="2227">
        <v>106.68</v>
      </c>
      <c r="M336" s="2227">
        <v>106.68</v>
      </c>
      <c r="N336" s="2250" t="s">
        <v>229</v>
      </c>
      <c r="O336" s="2224">
        <v>12</v>
      </c>
      <c r="P336" s="2225"/>
      <c r="Q336" s="2229"/>
      <c r="R336" s="2229"/>
      <c r="S336" s="2228"/>
      <c r="T336" s="2228"/>
      <c r="U336" s="2228">
        <f t="shared" si="9"/>
        <v>0</v>
      </c>
      <c r="V336" s="2228"/>
      <c r="W336" s="2230"/>
      <c r="X336" s="2230">
        <f t="shared" si="10"/>
        <v>0</v>
      </c>
      <c r="Y336" s="2230"/>
      <c r="Z336" s="2256"/>
    </row>
    <row r="337" spans="5:27" s="1652" customFormat="1">
      <c r="E337" s="2266"/>
      <c r="H337" s="2351" t="s">
        <v>2151</v>
      </c>
      <c r="I337" s="2229">
        <v>113</v>
      </c>
      <c r="J337" s="2226" t="s">
        <v>110</v>
      </c>
      <c r="K337" s="2224" t="s">
        <v>845</v>
      </c>
      <c r="L337" s="2227">
        <v>106.68</v>
      </c>
      <c r="M337" s="2227">
        <v>106.68</v>
      </c>
      <c r="N337" s="2250" t="s">
        <v>229</v>
      </c>
      <c r="O337" s="2224">
        <v>12</v>
      </c>
      <c r="P337" s="2225"/>
      <c r="Q337" s="2229"/>
      <c r="R337" s="2229"/>
      <c r="S337" s="2228"/>
      <c r="T337" s="2228"/>
      <c r="U337" s="2228">
        <f t="shared" si="9"/>
        <v>0</v>
      </c>
      <c r="V337" s="2228"/>
      <c r="W337" s="2230"/>
      <c r="X337" s="2230">
        <f t="shared" si="10"/>
        <v>0</v>
      </c>
      <c r="Y337" s="2230"/>
      <c r="Z337" s="2256"/>
    </row>
    <row r="338" spans="5:27" s="1652" customFormat="1">
      <c r="E338" s="2266"/>
      <c r="H338" s="2351" t="s">
        <v>2152</v>
      </c>
      <c r="I338" s="2229">
        <v>78</v>
      </c>
      <c r="J338" s="2226" t="s">
        <v>110</v>
      </c>
      <c r="K338" s="2224" t="s">
        <v>845</v>
      </c>
      <c r="L338" s="2227">
        <v>106.68</v>
      </c>
      <c r="M338" s="2227">
        <v>106.68</v>
      </c>
      <c r="N338" s="2250" t="s">
        <v>229</v>
      </c>
      <c r="O338" s="2224">
        <v>12</v>
      </c>
      <c r="P338" s="2225"/>
      <c r="Q338" s="2229"/>
      <c r="R338" s="2229"/>
      <c r="S338" s="2228"/>
      <c r="T338" s="2228"/>
      <c r="U338" s="2228">
        <f t="shared" si="9"/>
        <v>0</v>
      </c>
      <c r="V338" s="2228"/>
      <c r="W338" s="2230"/>
      <c r="X338" s="2230">
        <f t="shared" si="10"/>
        <v>0</v>
      </c>
      <c r="Y338" s="2230"/>
      <c r="Z338" s="2256"/>
    </row>
    <row r="339" spans="5:27" s="1652" customFormat="1">
      <c r="E339" s="2266"/>
      <c r="H339" s="2351" t="s">
        <v>2153</v>
      </c>
      <c r="I339" s="2229">
        <v>81</v>
      </c>
      <c r="J339" s="2226" t="s">
        <v>110</v>
      </c>
      <c r="K339" s="2224" t="s">
        <v>845</v>
      </c>
      <c r="L339" s="2227">
        <v>106.68</v>
      </c>
      <c r="M339" s="2227">
        <v>106.68</v>
      </c>
      <c r="N339" s="2250" t="s">
        <v>229</v>
      </c>
      <c r="O339" s="2224">
        <v>12</v>
      </c>
      <c r="P339" s="2225"/>
      <c r="Q339" s="2229"/>
      <c r="R339" s="2229"/>
      <c r="S339" s="2228"/>
      <c r="T339" s="2228"/>
      <c r="U339" s="2228">
        <f t="shared" si="9"/>
        <v>0</v>
      </c>
      <c r="V339" s="2228"/>
      <c r="W339" s="2230"/>
      <c r="X339" s="2230">
        <f t="shared" si="10"/>
        <v>0</v>
      </c>
      <c r="Y339" s="2230"/>
      <c r="Z339" s="2256"/>
    </row>
    <row r="340" spans="5:27" s="1652" customFormat="1">
      <c r="E340" s="2266"/>
      <c r="H340" s="2351"/>
      <c r="I340" s="2229"/>
      <c r="J340" s="2226" t="s">
        <v>110</v>
      </c>
      <c r="K340" s="2224"/>
      <c r="L340" s="2227"/>
      <c r="M340" s="2227"/>
      <c r="N340" s="2250"/>
      <c r="O340" s="2224"/>
      <c r="P340" s="2225"/>
      <c r="Q340" s="2229"/>
      <c r="R340" s="2229"/>
      <c r="S340" s="2228"/>
      <c r="T340" s="2228"/>
      <c r="U340" s="2228"/>
      <c r="V340" s="2228"/>
      <c r="W340" s="2230"/>
      <c r="X340" s="2230">
        <f t="shared" si="10"/>
        <v>0</v>
      </c>
      <c r="Y340" s="2230"/>
      <c r="Z340" s="2256"/>
    </row>
    <row r="341" spans="5:27">
      <c r="H341" s="2351"/>
      <c r="I341" s="2229"/>
      <c r="J341" s="2226" t="s">
        <v>110</v>
      </c>
      <c r="K341" s="2224"/>
      <c r="L341" s="2227"/>
      <c r="M341" s="2227"/>
      <c r="N341" s="2250"/>
      <c r="O341" s="2224"/>
      <c r="P341" s="2225"/>
      <c r="Q341" s="2229"/>
      <c r="R341" s="2229"/>
      <c r="S341" s="2228">
        <f t="shared" ref="S341" si="11">Q341+R341</f>
        <v>0</v>
      </c>
      <c r="T341" s="2228">
        <f t="shared" ref="T341" si="12">I341*Q341</f>
        <v>0</v>
      </c>
      <c r="U341" s="2228">
        <f t="shared" si="9"/>
        <v>0</v>
      </c>
      <c r="V341" s="2228">
        <f t="shared" ref="V341" si="13">T341+U341</f>
        <v>0</v>
      </c>
      <c r="W341" s="2230">
        <f t="shared" ref="W341" si="14">M341*Q341</f>
        <v>0</v>
      </c>
      <c r="X341" s="2230">
        <f t="shared" si="10"/>
        <v>0</v>
      </c>
      <c r="Y341" s="2230"/>
      <c r="Z341" s="2256"/>
    </row>
    <row r="347" spans="5:27" s="1652" customFormat="1">
      <c r="E347" s="1663"/>
      <c r="H347" s="3003" t="s">
        <v>1751</v>
      </c>
    </row>
    <row r="348" spans="5:27">
      <c r="H348" s="2280" t="s">
        <v>300</v>
      </c>
      <c r="I348" s="1652"/>
      <c r="J348" s="1652"/>
      <c r="K348" s="1652"/>
      <c r="L348" s="1652"/>
      <c r="M348" s="1652"/>
      <c r="N348" s="1652"/>
      <c r="O348" s="1652"/>
      <c r="P348" s="1652"/>
      <c r="Q348" s="2279"/>
      <c r="R348" s="2279"/>
      <c r="S348" s="2279"/>
      <c r="T348" s="2279"/>
      <c r="U348" s="2279"/>
      <c r="V348" s="2279"/>
      <c r="W348" s="2280" t="s">
        <v>300</v>
      </c>
      <c r="X348" s="2279"/>
      <c r="Y348" s="2279"/>
      <c r="Z348" s="2280" t="s">
        <v>300</v>
      </c>
      <c r="AA348" s="2279"/>
    </row>
    <row r="349" spans="5:27">
      <c r="H349" s="2346"/>
      <c r="I349" s="2282"/>
      <c r="J349" s="2282"/>
      <c r="K349" s="2281"/>
      <c r="L349" s="2281"/>
      <c r="M349" s="2281"/>
      <c r="N349" s="2281"/>
      <c r="O349" s="2281"/>
      <c r="P349" s="2281"/>
      <c r="Q349" s="2281"/>
      <c r="R349" s="2281"/>
      <c r="S349" s="2281"/>
      <c r="T349" s="2281"/>
      <c r="U349" s="2281"/>
      <c r="V349" s="2281"/>
      <c r="W349" s="2281"/>
      <c r="X349" s="2281"/>
      <c r="Y349" s="2281"/>
      <c r="Z349" s="2281"/>
      <c r="AA349" s="2281"/>
    </row>
    <row r="350" spans="5:27">
      <c r="H350" s="3217" t="s">
        <v>301</v>
      </c>
      <c r="I350" s="1652"/>
      <c r="J350" s="1652"/>
      <c r="K350" s="1652"/>
      <c r="L350" s="1652"/>
      <c r="M350" s="1652"/>
      <c r="N350" s="1652"/>
      <c r="O350" s="1652"/>
      <c r="P350" s="1652"/>
      <c r="Q350" s="3218" t="s">
        <v>40</v>
      </c>
      <c r="R350" s="1652"/>
      <c r="S350" s="1652"/>
      <c r="T350" s="3219" t="s">
        <v>41</v>
      </c>
      <c r="U350" s="1652"/>
      <c r="V350" s="1652"/>
      <c r="W350" s="3220" t="s">
        <v>52</v>
      </c>
      <c r="X350" s="1652"/>
      <c r="Y350" s="1652"/>
      <c r="Z350" s="3567" t="s">
        <v>1728</v>
      </c>
      <c r="AA350" s="2281"/>
    </row>
    <row r="351" spans="5:27">
      <c r="H351" s="2348" t="s">
        <v>302</v>
      </c>
      <c r="I351" s="2290" t="s">
        <v>228</v>
      </c>
      <c r="J351" s="2290" t="s">
        <v>303</v>
      </c>
      <c r="K351" s="2290" t="s">
        <v>304</v>
      </c>
      <c r="L351" s="2290" t="s">
        <v>53</v>
      </c>
      <c r="M351" s="2290" t="s">
        <v>54</v>
      </c>
      <c r="N351" s="2290" t="s">
        <v>305</v>
      </c>
      <c r="O351" s="2290" t="s">
        <v>55</v>
      </c>
      <c r="P351" s="2290" t="s">
        <v>56</v>
      </c>
      <c r="Q351" s="2291">
        <v>2016</v>
      </c>
      <c r="R351" s="2291">
        <v>2017</v>
      </c>
      <c r="S351" s="2291" t="s">
        <v>306</v>
      </c>
      <c r="T351" s="2292">
        <v>2016</v>
      </c>
      <c r="U351" s="2292">
        <v>2017</v>
      </c>
      <c r="V351" s="2292" t="s">
        <v>306</v>
      </c>
      <c r="W351" s="2293">
        <v>2016</v>
      </c>
      <c r="X351" s="2293">
        <v>2017</v>
      </c>
      <c r="Y351" s="2293" t="s">
        <v>306</v>
      </c>
      <c r="Z351" s="3567"/>
      <c r="AA351" s="2281"/>
    </row>
    <row r="352" spans="5:27">
      <c r="H352" s="2349" t="s">
        <v>307</v>
      </c>
      <c r="I352" s="2296" t="s">
        <v>307</v>
      </c>
      <c r="J352" s="2290"/>
      <c r="K352" s="2296" t="s">
        <v>307</v>
      </c>
      <c r="L352" s="2296" t="s">
        <v>307</v>
      </c>
      <c r="M352" s="2296" t="s">
        <v>307</v>
      </c>
      <c r="N352" s="2296" t="s">
        <v>307</v>
      </c>
      <c r="O352" s="2296" t="s">
        <v>307</v>
      </c>
      <c r="P352" s="2296" t="s">
        <v>307</v>
      </c>
      <c r="Q352" s="2296" t="s">
        <v>307</v>
      </c>
      <c r="R352" s="2296" t="s">
        <v>307</v>
      </c>
      <c r="S352" s="2291"/>
      <c r="T352" s="2292"/>
      <c r="U352" s="2292"/>
      <c r="V352" s="2292"/>
      <c r="W352" s="2293"/>
      <c r="X352" s="2293"/>
      <c r="Y352" s="2293"/>
      <c r="Z352" s="2338"/>
      <c r="AA352" s="2281"/>
    </row>
    <row r="353" spans="8:27">
      <c r="H353" s="2350" t="s">
        <v>308</v>
      </c>
      <c r="I353" s="2300"/>
      <c r="J353" s="2300"/>
      <c r="K353" s="2301"/>
      <c r="L353" s="2302">
        <f>SUMPRODUCT(L354:L458,S354:S458)</f>
        <v>824105.2</v>
      </c>
      <c r="M353" s="2302">
        <f>SUM(M354:M458)</f>
        <v>57363.704999999987</v>
      </c>
      <c r="N353" s="2303" t="s">
        <v>229</v>
      </c>
      <c r="O353" s="2301">
        <v>7</v>
      </c>
      <c r="P353" s="2301"/>
      <c r="Q353" s="2301"/>
      <c r="R353" s="2301"/>
      <c r="S353" s="2301"/>
      <c r="T353" s="2996">
        <v>1082872.5</v>
      </c>
      <c r="U353" s="2304">
        <f>SUM(U354:U459)</f>
        <v>1912897.5</v>
      </c>
      <c r="V353" s="2304">
        <f>SUM(V354:V459)</f>
        <v>2995770</v>
      </c>
      <c r="W353" s="3001">
        <v>175731.375</v>
      </c>
      <c r="X353" s="2302">
        <f>SUM(X354:X459)</f>
        <v>327270.625</v>
      </c>
      <c r="Y353" s="2302">
        <f>SUM(Y354:Y459)</f>
        <v>503002</v>
      </c>
      <c r="Z353" s="2301">
        <v>0</v>
      </c>
      <c r="AA353" s="2281"/>
    </row>
    <row r="354" spans="8:27">
      <c r="H354" s="2351" t="s">
        <v>1399</v>
      </c>
      <c r="I354" s="2229">
        <v>20</v>
      </c>
      <c r="J354" s="2226" t="s">
        <v>110</v>
      </c>
      <c r="K354" s="2224" t="s">
        <v>845</v>
      </c>
      <c r="L354" s="2227">
        <v>5.67</v>
      </c>
      <c r="M354" s="2227">
        <v>5.67</v>
      </c>
      <c r="N354" s="2250">
        <v>1.0455343268523274E-4</v>
      </c>
      <c r="O354" s="2224">
        <v>4</v>
      </c>
      <c r="P354" s="2225" t="s">
        <v>1426</v>
      </c>
      <c r="Q354" s="2229">
        <v>10</v>
      </c>
      <c r="R354" s="2229">
        <v>10</v>
      </c>
      <c r="S354" s="2228">
        <f t="shared" ref="S354:S417" si="15">Q354+R354</f>
        <v>20</v>
      </c>
      <c r="T354" s="2997">
        <v>200</v>
      </c>
      <c r="U354" s="2228">
        <f t="shared" ref="U354:U417" si="16">I354*R354</f>
        <v>200</v>
      </c>
      <c r="V354" s="2228">
        <f t="shared" ref="V354:V417" si="17">T354+U354</f>
        <v>400</v>
      </c>
      <c r="W354" s="2999">
        <v>56.7</v>
      </c>
      <c r="X354" s="2230">
        <f t="shared" ref="X354:X417" si="18">M354*R354</f>
        <v>56.7</v>
      </c>
      <c r="Y354" s="2230">
        <f t="shared" ref="Y354:Y417" si="19">W354+X354</f>
        <v>113.4</v>
      </c>
      <c r="Z354" s="2256">
        <v>0</v>
      </c>
      <c r="AA354" s="2281"/>
    </row>
    <row r="355" spans="8:27">
      <c r="H355" s="2351" t="s">
        <v>1400</v>
      </c>
      <c r="I355" s="2229">
        <v>20</v>
      </c>
      <c r="J355" s="2226" t="s">
        <v>110</v>
      </c>
      <c r="K355" s="2224" t="s">
        <v>845</v>
      </c>
      <c r="L355" s="2227">
        <v>2.12</v>
      </c>
      <c r="M355" s="2227">
        <v>2.12</v>
      </c>
      <c r="N355" s="2250">
        <v>1.0455343268523274E-4</v>
      </c>
      <c r="O355" s="2224">
        <v>4</v>
      </c>
      <c r="P355" s="2225" t="s">
        <v>1426</v>
      </c>
      <c r="Q355" s="2229">
        <v>10</v>
      </c>
      <c r="R355" s="2229">
        <v>10</v>
      </c>
      <c r="S355" s="2228">
        <f t="shared" si="15"/>
        <v>20</v>
      </c>
      <c r="T355" s="2997">
        <v>200</v>
      </c>
      <c r="U355" s="2228">
        <f t="shared" si="16"/>
        <v>200</v>
      </c>
      <c r="V355" s="2228">
        <f t="shared" si="17"/>
        <v>400</v>
      </c>
      <c r="W355" s="2999">
        <v>21.200000000000003</v>
      </c>
      <c r="X355" s="2230">
        <f t="shared" si="18"/>
        <v>21.200000000000003</v>
      </c>
      <c r="Y355" s="2230">
        <f t="shared" si="19"/>
        <v>42.400000000000006</v>
      </c>
      <c r="Z355" s="2256">
        <v>0</v>
      </c>
      <c r="AA355" s="2281"/>
    </row>
    <row r="356" spans="8:27">
      <c r="H356" s="2351" t="s">
        <v>1401</v>
      </c>
      <c r="I356" s="2229">
        <v>18</v>
      </c>
      <c r="J356" s="2226" t="s">
        <v>110</v>
      </c>
      <c r="K356" s="2224" t="s">
        <v>845</v>
      </c>
      <c r="L356" s="2227">
        <v>12.33</v>
      </c>
      <c r="M356" s="2227">
        <v>12.33</v>
      </c>
      <c r="N356" s="2250">
        <v>9.4098089416709462E-5</v>
      </c>
      <c r="O356" s="2224">
        <v>5</v>
      </c>
      <c r="P356" s="2225" t="s">
        <v>1426</v>
      </c>
      <c r="Q356" s="2229">
        <v>10</v>
      </c>
      <c r="R356" s="2229">
        <v>10</v>
      </c>
      <c r="S356" s="2228">
        <f t="shared" si="15"/>
        <v>20</v>
      </c>
      <c r="T356" s="2997">
        <v>180</v>
      </c>
      <c r="U356" s="2228">
        <f t="shared" si="16"/>
        <v>180</v>
      </c>
      <c r="V356" s="2228">
        <f t="shared" si="17"/>
        <v>360</v>
      </c>
      <c r="W356" s="2999">
        <v>123.3</v>
      </c>
      <c r="X356" s="2230">
        <f t="shared" si="18"/>
        <v>123.3</v>
      </c>
      <c r="Y356" s="2230">
        <f t="shared" si="19"/>
        <v>246.6</v>
      </c>
      <c r="Z356" s="2256">
        <v>0</v>
      </c>
      <c r="AA356" s="2281"/>
    </row>
    <row r="357" spans="8:27">
      <c r="H357" s="2351" t="s">
        <v>1402</v>
      </c>
      <c r="I357" s="2229">
        <v>106</v>
      </c>
      <c r="J357" s="2226" t="s">
        <v>110</v>
      </c>
      <c r="K357" s="2224" t="s">
        <v>845</v>
      </c>
      <c r="L357" s="2227">
        <v>3.92</v>
      </c>
      <c r="M357" s="2227">
        <v>3.92</v>
      </c>
      <c r="N357" s="2250">
        <v>5.5413319323173351E-4</v>
      </c>
      <c r="O357" s="2224">
        <v>5</v>
      </c>
      <c r="P357" s="2225" t="s">
        <v>1426</v>
      </c>
      <c r="Q357" s="2229">
        <v>10</v>
      </c>
      <c r="R357" s="2229">
        <v>10</v>
      </c>
      <c r="S357" s="2228">
        <f t="shared" si="15"/>
        <v>20</v>
      </c>
      <c r="T357" s="2997">
        <v>1060</v>
      </c>
      <c r="U357" s="2228">
        <f t="shared" si="16"/>
        <v>1060</v>
      </c>
      <c r="V357" s="2228">
        <f t="shared" si="17"/>
        <v>2120</v>
      </c>
      <c r="W357" s="2999">
        <v>39.200000000000003</v>
      </c>
      <c r="X357" s="2230">
        <f t="shared" si="18"/>
        <v>39.200000000000003</v>
      </c>
      <c r="Y357" s="2230">
        <f t="shared" si="19"/>
        <v>78.400000000000006</v>
      </c>
      <c r="Z357" s="2256">
        <v>0</v>
      </c>
      <c r="AA357" s="2281"/>
    </row>
    <row r="358" spans="8:27">
      <c r="H358" s="2351" t="s">
        <v>1403</v>
      </c>
      <c r="I358" s="2229">
        <v>110</v>
      </c>
      <c r="J358" s="2226" t="s">
        <v>110</v>
      </c>
      <c r="K358" s="2224" t="s">
        <v>845</v>
      </c>
      <c r="L358" s="2227">
        <v>13.67</v>
      </c>
      <c r="M358" s="2227">
        <v>13.67</v>
      </c>
      <c r="N358" s="2250">
        <v>5.7504387976878009E-4</v>
      </c>
      <c r="O358" s="2224">
        <v>5</v>
      </c>
      <c r="P358" s="2225" t="s">
        <v>1426</v>
      </c>
      <c r="Q358" s="2229">
        <v>10</v>
      </c>
      <c r="R358" s="2229">
        <v>10</v>
      </c>
      <c r="S358" s="2228">
        <f t="shared" si="15"/>
        <v>20</v>
      </c>
      <c r="T358" s="2997">
        <v>1100</v>
      </c>
      <c r="U358" s="2228">
        <f t="shared" si="16"/>
        <v>1100</v>
      </c>
      <c r="V358" s="2228">
        <f t="shared" si="17"/>
        <v>2200</v>
      </c>
      <c r="W358" s="2999">
        <v>136.69999999999999</v>
      </c>
      <c r="X358" s="2230">
        <f t="shared" si="18"/>
        <v>136.69999999999999</v>
      </c>
      <c r="Y358" s="2230">
        <f t="shared" si="19"/>
        <v>273.39999999999998</v>
      </c>
      <c r="Z358" s="2256">
        <v>0</v>
      </c>
      <c r="AA358" s="2281"/>
    </row>
    <row r="359" spans="8:27">
      <c r="H359" s="2351" t="s">
        <v>1404</v>
      </c>
      <c r="I359" s="2229">
        <v>53</v>
      </c>
      <c r="J359" s="2226" t="s">
        <v>110</v>
      </c>
      <c r="K359" s="2224" t="s">
        <v>845</v>
      </c>
      <c r="L359" s="2227">
        <v>18</v>
      </c>
      <c r="M359" s="2227">
        <v>18</v>
      </c>
      <c r="N359" s="2250">
        <v>2.7706659661586676E-4</v>
      </c>
      <c r="O359" s="2224">
        <v>8</v>
      </c>
      <c r="P359" s="2225" t="s">
        <v>1426</v>
      </c>
      <c r="Q359" s="2229">
        <v>10</v>
      </c>
      <c r="R359" s="2229">
        <v>10</v>
      </c>
      <c r="S359" s="2228">
        <f t="shared" si="15"/>
        <v>20</v>
      </c>
      <c r="T359" s="2997">
        <v>530</v>
      </c>
      <c r="U359" s="2228">
        <f t="shared" si="16"/>
        <v>530</v>
      </c>
      <c r="V359" s="2228">
        <f t="shared" si="17"/>
        <v>1060</v>
      </c>
      <c r="W359" s="2999">
        <v>180</v>
      </c>
      <c r="X359" s="2230">
        <f t="shared" si="18"/>
        <v>180</v>
      </c>
      <c r="Y359" s="2230">
        <f t="shared" si="19"/>
        <v>360</v>
      </c>
      <c r="Z359" s="2256">
        <v>0</v>
      </c>
      <c r="AA359" s="2281"/>
    </row>
    <row r="360" spans="8:27">
      <c r="H360" s="2351" t="s">
        <v>1405</v>
      </c>
      <c r="I360" s="2229">
        <v>46</v>
      </c>
      <c r="J360" s="2226" t="s">
        <v>110</v>
      </c>
      <c r="K360" s="2224" t="s">
        <v>845</v>
      </c>
      <c r="L360" s="2227">
        <v>50</v>
      </c>
      <c r="M360" s="2227">
        <v>50</v>
      </c>
      <c r="N360" s="2250">
        <v>2.4047289517603531E-4</v>
      </c>
      <c r="O360" s="2224">
        <v>10</v>
      </c>
      <c r="P360" s="2225" t="s">
        <v>1426</v>
      </c>
      <c r="Q360" s="2229">
        <v>10</v>
      </c>
      <c r="R360" s="2229">
        <v>10</v>
      </c>
      <c r="S360" s="2228">
        <f t="shared" si="15"/>
        <v>20</v>
      </c>
      <c r="T360" s="2997">
        <v>460</v>
      </c>
      <c r="U360" s="2228">
        <f t="shared" si="16"/>
        <v>460</v>
      </c>
      <c r="V360" s="2228">
        <f t="shared" si="17"/>
        <v>920</v>
      </c>
      <c r="W360" s="2999">
        <v>500</v>
      </c>
      <c r="X360" s="2230">
        <f t="shared" si="18"/>
        <v>500</v>
      </c>
      <c r="Y360" s="2230">
        <f t="shared" si="19"/>
        <v>1000</v>
      </c>
      <c r="Z360" s="2256">
        <v>0</v>
      </c>
      <c r="AA360" s="2281"/>
    </row>
    <row r="361" spans="8:27">
      <c r="H361" s="2351" t="s">
        <v>1406</v>
      </c>
      <c r="I361" s="2229">
        <v>26</v>
      </c>
      <c r="J361" s="2226" t="s">
        <v>110</v>
      </c>
      <c r="K361" s="2224" t="s">
        <v>845</v>
      </c>
      <c r="L361" s="2227">
        <v>3.25</v>
      </c>
      <c r="M361" s="2227">
        <v>3.25</v>
      </c>
      <c r="N361" s="2250">
        <v>1.3591946249080257E-4</v>
      </c>
      <c r="O361" s="2224">
        <v>5</v>
      </c>
      <c r="P361" s="2225" t="s">
        <v>1426</v>
      </c>
      <c r="Q361" s="2229">
        <v>10</v>
      </c>
      <c r="R361" s="2229">
        <v>10</v>
      </c>
      <c r="S361" s="2228">
        <f t="shared" si="15"/>
        <v>20</v>
      </c>
      <c r="T361" s="2997">
        <v>260</v>
      </c>
      <c r="U361" s="2228">
        <f t="shared" si="16"/>
        <v>260</v>
      </c>
      <c r="V361" s="2228">
        <f t="shared" si="17"/>
        <v>520</v>
      </c>
      <c r="W361" s="2999">
        <v>32.5</v>
      </c>
      <c r="X361" s="2230">
        <f t="shared" si="18"/>
        <v>32.5</v>
      </c>
      <c r="Y361" s="2230">
        <f t="shared" si="19"/>
        <v>65</v>
      </c>
      <c r="Z361" s="2256">
        <v>0</v>
      </c>
      <c r="AA361" s="2281"/>
    </row>
    <row r="362" spans="8:27">
      <c r="H362" s="2351" t="s">
        <v>1407</v>
      </c>
      <c r="I362" s="2229">
        <v>59</v>
      </c>
      <c r="J362" s="2226" t="s">
        <v>110</v>
      </c>
      <c r="K362" s="2224" t="s">
        <v>845</v>
      </c>
      <c r="L362" s="2227">
        <v>25.53</v>
      </c>
      <c r="M362" s="2227">
        <v>25.53</v>
      </c>
      <c r="N362" s="2250">
        <v>3.0843262642143656E-4</v>
      </c>
      <c r="O362" s="2224">
        <v>5</v>
      </c>
      <c r="P362" s="2225" t="s">
        <v>1426</v>
      </c>
      <c r="Q362" s="2229">
        <v>10</v>
      </c>
      <c r="R362" s="2229">
        <v>10</v>
      </c>
      <c r="S362" s="2228">
        <f t="shared" si="15"/>
        <v>20</v>
      </c>
      <c r="T362" s="2997">
        <v>590</v>
      </c>
      <c r="U362" s="2228">
        <f t="shared" si="16"/>
        <v>590</v>
      </c>
      <c r="V362" s="2228">
        <f t="shared" si="17"/>
        <v>1180</v>
      </c>
      <c r="W362" s="2999">
        <v>255.3</v>
      </c>
      <c r="X362" s="2230">
        <f t="shared" si="18"/>
        <v>255.3</v>
      </c>
      <c r="Y362" s="2230">
        <f t="shared" si="19"/>
        <v>510.6</v>
      </c>
      <c r="Z362" s="2256">
        <v>0</v>
      </c>
      <c r="AA362" s="2281"/>
    </row>
    <row r="363" spans="8:27">
      <c r="H363" s="2351" t="s">
        <v>1408</v>
      </c>
      <c r="I363" s="2229">
        <v>4</v>
      </c>
      <c r="J363" s="2226" t="s">
        <v>110</v>
      </c>
      <c r="K363" s="2224" t="s">
        <v>845</v>
      </c>
      <c r="L363" s="2227">
        <v>4.17</v>
      </c>
      <c r="M363" s="2227">
        <v>4.17</v>
      </c>
      <c r="N363" s="2250">
        <v>2.0910686537046547E-5</v>
      </c>
      <c r="O363" s="2224">
        <v>15</v>
      </c>
      <c r="P363" s="2225" t="s">
        <v>1426</v>
      </c>
      <c r="Q363" s="2229">
        <v>10</v>
      </c>
      <c r="R363" s="2229">
        <v>10</v>
      </c>
      <c r="S363" s="2228">
        <f t="shared" si="15"/>
        <v>20</v>
      </c>
      <c r="T363" s="2997">
        <v>40</v>
      </c>
      <c r="U363" s="2228">
        <f t="shared" si="16"/>
        <v>40</v>
      </c>
      <c r="V363" s="2228">
        <f t="shared" si="17"/>
        <v>80</v>
      </c>
      <c r="W363" s="2999">
        <v>41.7</v>
      </c>
      <c r="X363" s="2230">
        <f t="shared" si="18"/>
        <v>41.7</v>
      </c>
      <c r="Y363" s="2230">
        <f t="shared" si="19"/>
        <v>83.4</v>
      </c>
      <c r="Z363" s="2256">
        <v>0</v>
      </c>
      <c r="AA363" s="2281"/>
    </row>
    <row r="364" spans="8:27">
      <c r="H364" s="2351" t="s">
        <v>1409</v>
      </c>
      <c r="I364" s="2229">
        <v>4</v>
      </c>
      <c r="J364" s="2226" t="s">
        <v>110</v>
      </c>
      <c r="K364" s="2224" t="s">
        <v>845</v>
      </c>
      <c r="L364" s="2227">
        <v>6.5</v>
      </c>
      <c r="M364" s="2227">
        <v>6.5</v>
      </c>
      <c r="N364" s="2250">
        <v>2.0910686537046547E-5</v>
      </c>
      <c r="O364" s="2224">
        <v>10</v>
      </c>
      <c r="P364" s="2225" t="s">
        <v>1426</v>
      </c>
      <c r="Q364" s="2229">
        <v>10</v>
      </c>
      <c r="R364" s="2229">
        <v>10</v>
      </c>
      <c r="S364" s="2228">
        <f t="shared" si="15"/>
        <v>20</v>
      </c>
      <c r="T364" s="2997">
        <v>40</v>
      </c>
      <c r="U364" s="2228">
        <f t="shared" si="16"/>
        <v>40</v>
      </c>
      <c r="V364" s="2228">
        <f t="shared" si="17"/>
        <v>80</v>
      </c>
      <c r="W364" s="2999">
        <v>65</v>
      </c>
      <c r="X364" s="2230">
        <f t="shared" si="18"/>
        <v>65</v>
      </c>
      <c r="Y364" s="2230">
        <f t="shared" si="19"/>
        <v>130</v>
      </c>
      <c r="Z364" s="2256">
        <v>0</v>
      </c>
      <c r="AA364" s="2281"/>
    </row>
    <row r="365" spans="8:27">
      <c r="H365" s="2351" t="s">
        <v>1410</v>
      </c>
      <c r="I365" s="2229">
        <v>856</v>
      </c>
      <c r="J365" s="2226" t="s">
        <v>110</v>
      </c>
      <c r="K365" s="2224" t="s">
        <v>845</v>
      </c>
      <c r="L365" s="2227">
        <v>250</v>
      </c>
      <c r="M365" s="2227">
        <v>250</v>
      </c>
      <c r="N365" s="2250">
        <v>4.4748869189279615E-3</v>
      </c>
      <c r="O365" s="2224">
        <v>8</v>
      </c>
      <c r="P365" s="2225" t="s">
        <v>1426</v>
      </c>
      <c r="Q365" s="2229">
        <v>10</v>
      </c>
      <c r="R365" s="2229">
        <v>10</v>
      </c>
      <c r="S365" s="2228">
        <f t="shared" si="15"/>
        <v>20</v>
      </c>
      <c r="T365" s="2997">
        <v>8560</v>
      </c>
      <c r="U365" s="2228">
        <f t="shared" si="16"/>
        <v>8560</v>
      </c>
      <c r="V365" s="2228">
        <f t="shared" si="17"/>
        <v>17120</v>
      </c>
      <c r="W365" s="2999">
        <v>2500</v>
      </c>
      <c r="X365" s="2230">
        <f t="shared" si="18"/>
        <v>2500</v>
      </c>
      <c r="Y365" s="2230">
        <f t="shared" si="19"/>
        <v>5000</v>
      </c>
      <c r="Z365" s="2256">
        <v>0</v>
      </c>
      <c r="AA365" s="2281"/>
    </row>
    <row r="366" spans="8:27">
      <c r="H366" s="2351" t="s">
        <v>1411</v>
      </c>
      <c r="I366" s="2229">
        <v>21</v>
      </c>
      <c r="J366" s="2226" t="s">
        <v>110</v>
      </c>
      <c r="K366" s="2224" t="s">
        <v>845</v>
      </c>
      <c r="L366" s="2227">
        <v>53.7</v>
      </c>
      <c r="M366" s="2227">
        <v>53.7</v>
      </c>
      <c r="N366" s="2250">
        <v>1.0978110431949438E-4</v>
      </c>
      <c r="O366" s="2224">
        <v>8</v>
      </c>
      <c r="P366" s="2225" t="s">
        <v>1426</v>
      </c>
      <c r="Q366" s="2229">
        <v>10</v>
      </c>
      <c r="R366" s="2229">
        <v>10</v>
      </c>
      <c r="S366" s="2228">
        <f t="shared" si="15"/>
        <v>20</v>
      </c>
      <c r="T366" s="2997">
        <v>210</v>
      </c>
      <c r="U366" s="2228">
        <f t="shared" si="16"/>
        <v>210</v>
      </c>
      <c r="V366" s="2228">
        <f t="shared" si="17"/>
        <v>420</v>
      </c>
      <c r="W366" s="2999">
        <v>537</v>
      </c>
      <c r="X366" s="2230">
        <f t="shared" si="18"/>
        <v>537</v>
      </c>
      <c r="Y366" s="2230">
        <f t="shared" si="19"/>
        <v>1074</v>
      </c>
      <c r="Z366" s="2256">
        <v>0</v>
      </c>
      <c r="AA366" s="2281"/>
    </row>
    <row r="367" spans="8:27">
      <c r="H367" s="2351" t="s">
        <v>1412</v>
      </c>
      <c r="I367" s="2229">
        <v>376</v>
      </c>
      <c r="J367" s="2226" t="s">
        <v>110</v>
      </c>
      <c r="K367" s="2224" t="s">
        <v>845</v>
      </c>
      <c r="L367" s="2227">
        <v>377</v>
      </c>
      <c r="M367" s="2227">
        <v>94</v>
      </c>
      <c r="N367" s="2250">
        <v>2.9484068017235632E-2</v>
      </c>
      <c r="O367" s="2224">
        <v>10</v>
      </c>
      <c r="P367" s="2225" t="s">
        <v>997</v>
      </c>
      <c r="Q367" s="2229">
        <v>100</v>
      </c>
      <c r="R367" s="2229">
        <v>150</v>
      </c>
      <c r="S367" s="2228">
        <f t="shared" si="15"/>
        <v>250</v>
      </c>
      <c r="T367" s="2997">
        <v>37600</v>
      </c>
      <c r="U367" s="2228">
        <f t="shared" si="16"/>
        <v>56400</v>
      </c>
      <c r="V367" s="2228">
        <f t="shared" si="17"/>
        <v>94000</v>
      </c>
      <c r="W367" s="2999">
        <v>9400</v>
      </c>
      <c r="X367" s="2230">
        <f t="shared" si="18"/>
        <v>14100</v>
      </c>
      <c r="Y367" s="2230">
        <f t="shared" si="19"/>
        <v>23500</v>
      </c>
      <c r="Z367" s="2256">
        <v>0</v>
      </c>
      <c r="AA367" s="2281"/>
    </row>
    <row r="368" spans="8:27">
      <c r="H368" s="2351" t="s">
        <v>1413</v>
      </c>
      <c r="I368" s="2229">
        <v>774</v>
      </c>
      <c r="J368" s="2226" t="s">
        <v>110</v>
      </c>
      <c r="K368" s="2224" t="s">
        <v>845</v>
      </c>
      <c r="L368" s="2227">
        <v>377</v>
      </c>
      <c r="M368" s="2227">
        <v>193.5</v>
      </c>
      <c r="N368" s="2250">
        <v>6.0693267673777605E-2</v>
      </c>
      <c r="O368" s="2224">
        <v>10</v>
      </c>
      <c r="P368" s="2225" t="s">
        <v>997</v>
      </c>
      <c r="Q368" s="2229">
        <v>100</v>
      </c>
      <c r="R368" s="2229">
        <v>150</v>
      </c>
      <c r="S368" s="2228">
        <f t="shared" si="15"/>
        <v>250</v>
      </c>
      <c r="T368" s="2997">
        <v>77400</v>
      </c>
      <c r="U368" s="2228">
        <f t="shared" si="16"/>
        <v>116100</v>
      </c>
      <c r="V368" s="2228">
        <f t="shared" si="17"/>
        <v>193500</v>
      </c>
      <c r="W368" s="2999">
        <v>19350</v>
      </c>
      <c r="X368" s="2230">
        <f t="shared" si="18"/>
        <v>29025</v>
      </c>
      <c r="Y368" s="2230">
        <f t="shared" si="19"/>
        <v>48375</v>
      </c>
      <c r="Z368" s="2256">
        <v>0</v>
      </c>
      <c r="AA368" s="2281"/>
    </row>
    <row r="369" spans="8:27">
      <c r="H369" s="2351" t="s">
        <v>1414</v>
      </c>
      <c r="I369" s="2229">
        <v>5963.5</v>
      </c>
      <c r="J369" s="2226" t="s">
        <v>110</v>
      </c>
      <c r="K369" s="2224" t="s">
        <v>845</v>
      </c>
      <c r="L369" s="2227">
        <v>5866.5499999999993</v>
      </c>
      <c r="M369" s="2227">
        <v>1490.875</v>
      </c>
      <c r="N369" s="2250">
        <v>3.1175219790919272E-3</v>
      </c>
      <c r="O369" s="2224">
        <v>10</v>
      </c>
      <c r="P369" s="2225" t="s">
        <v>1427</v>
      </c>
      <c r="Q369" s="2229">
        <v>1</v>
      </c>
      <c r="R369" s="2229">
        <v>1</v>
      </c>
      <c r="S369" s="2228">
        <f t="shared" si="15"/>
        <v>2</v>
      </c>
      <c r="T369" s="2997">
        <v>5963.5</v>
      </c>
      <c r="U369" s="2228">
        <f t="shared" si="16"/>
        <v>5963.5</v>
      </c>
      <c r="V369" s="2228">
        <f t="shared" si="17"/>
        <v>11927</v>
      </c>
      <c r="W369" s="2999">
        <v>1490.875</v>
      </c>
      <c r="X369" s="2230">
        <f t="shared" si="18"/>
        <v>1490.875</v>
      </c>
      <c r="Y369" s="2230">
        <f t="shared" si="19"/>
        <v>2981.75</v>
      </c>
      <c r="Z369" s="2256">
        <v>0</v>
      </c>
      <c r="AA369" s="2281"/>
    </row>
    <row r="370" spans="8:27">
      <c r="H370" s="2351" t="s">
        <v>1415</v>
      </c>
      <c r="I370" s="2229">
        <v>11927</v>
      </c>
      <c r="J370" s="2226" t="s">
        <v>110</v>
      </c>
      <c r="K370" s="2224" t="s">
        <v>845</v>
      </c>
      <c r="L370" s="2227">
        <v>7011.9</v>
      </c>
      <c r="M370" s="2227">
        <v>2981.75</v>
      </c>
      <c r="N370" s="2250">
        <v>6.2350439581838543E-3</v>
      </c>
      <c r="O370" s="2224">
        <v>10</v>
      </c>
      <c r="P370" s="2225" t="s">
        <v>1427</v>
      </c>
      <c r="Q370" s="2229">
        <v>1</v>
      </c>
      <c r="R370" s="2229">
        <v>1</v>
      </c>
      <c r="S370" s="2228">
        <f t="shared" si="15"/>
        <v>2</v>
      </c>
      <c r="T370" s="2997">
        <v>11927</v>
      </c>
      <c r="U370" s="2228">
        <f t="shared" si="16"/>
        <v>11927</v>
      </c>
      <c r="V370" s="2228">
        <f t="shared" si="17"/>
        <v>23854</v>
      </c>
      <c r="W370" s="2999">
        <v>2981.75</v>
      </c>
      <c r="X370" s="2230">
        <f t="shared" si="18"/>
        <v>2981.75</v>
      </c>
      <c r="Y370" s="2230">
        <f t="shared" si="19"/>
        <v>5963.5</v>
      </c>
      <c r="Z370" s="2256">
        <v>0</v>
      </c>
      <c r="AA370" s="2281"/>
    </row>
    <row r="371" spans="8:27">
      <c r="H371" s="2351" t="s">
        <v>1416</v>
      </c>
      <c r="I371" s="2229">
        <v>17890.5</v>
      </c>
      <c r="J371" s="2226" t="s">
        <v>110</v>
      </c>
      <c r="K371" s="2224" t="s">
        <v>845</v>
      </c>
      <c r="L371" s="2227">
        <v>8157.25</v>
      </c>
      <c r="M371" s="2227">
        <v>4472.625</v>
      </c>
      <c r="N371" s="2250">
        <v>9.3525659372757815E-3</v>
      </c>
      <c r="O371" s="2224">
        <v>10</v>
      </c>
      <c r="P371" s="2225" t="s">
        <v>1427</v>
      </c>
      <c r="Q371" s="2229">
        <v>1</v>
      </c>
      <c r="R371" s="2229">
        <v>1</v>
      </c>
      <c r="S371" s="2228">
        <f t="shared" si="15"/>
        <v>2</v>
      </c>
      <c r="T371" s="2997">
        <v>17890.5</v>
      </c>
      <c r="U371" s="2228">
        <f t="shared" si="16"/>
        <v>17890.5</v>
      </c>
      <c r="V371" s="2228">
        <f t="shared" si="17"/>
        <v>35781</v>
      </c>
      <c r="W371" s="2999">
        <v>4472.625</v>
      </c>
      <c r="X371" s="2230">
        <f t="shared" si="18"/>
        <v>4472.625</v>
      </c>
      <c r="Y371" s="2230">
        <f t="shared" si="19"/>
        <v>8945.25</v>
      </c>
      <c r="Z371" s="2256">
        <v>0</v>
      </c>
      <c r="AA371" s="2281"/>
    </row>
    <row r="372" spans="8:27">
      <c r="H372" s="2351" t="s">
        <v>1417</v>
      </c>
      <c r="I372" s="2229">
        <v>23854</v>
      </c>
      <c r="J372" s="2226" t="s">
        <v>110</v>
      </c>
      <c r="K372" s="2224" t="s">
        <v>845</v>
      </c>
      <c r="L372" s="2227">
        <v>9302.5999999999985</v>
      </c>
      <c r="M372" s="2227">
        <v>4651.2999999999993</v>
      </c>
      <c r="N372" s="2250">
        <v>1.2470087916367709E-2</v>
      </c>
      <c r="O372" s="2224">
        <v>10</v>
      </c>
      <c r="P372" s="2225" t="s">
        <v>1427</v>
      </c>
      <c r="Q372" s="2229">
        <v>1</v>
      </c>
      <c r="R372" s="2229">
        <v>1</v>
      </c>
      <c r="S372" s="2228">
        <f t="shared" si="15"/>
        <v>2</v>
      </c>
      <c r="T372" s="2997">
        <v>23854</v>
      </c>
      <c r="U372" s="2228">
        <f t="shared" si="16"/>
        <v>23854</v>
      </c>
      <c r="V372" s="2228">
        <f t="shared" si="17"/>
        <v>47708</v>
      </c>
      <c r="W372" s="2999">
        <v>4651.2999999999993</v>
      </c>
      <c r="X372" s="2230">
        <f t="shared" si="18"/>
        <v>4651.2999999999993</v>
      </c>
      <c r="Y372" s="2230">
        <f t="shared" si="19"/>
        <v>9302.5999999999985</v>
      </c>
      <c r="Z372" s="2256">
        <v>0</v>
      </c>
      <c r="AA372" s="2281"/>
    </row>
    <row r="373" spans="8:27">
      <c r="H373" s="2351" t="s">
        <v>1418</v>
      </c>
      <c r="I373" s="2229">
        <v>29817.5</v>
      </c>
      <c r="J373" s="2226" t="s">
        <v>110</v>
      </c>
      <c r="K373" s="2224" t="s">
        <v>845</v>
      </c>
      <c r="L373" s="2227">
        <v>10447.950000000001</v>
      </c>
      <c r="M373" s="2227">
        <v>5223.9750000000004</v>
      </c>
      <c r="N373" s="2250">
        <v>1.5587609895459636E-2</v>
      </c>
      <c r="O373" s="2224">
        <v>10</v>
      </c>
      <c r="P373" s="2225" t="s">
        <v>1427</v>
      </c>
      <c r="Q373" s="2229">
        <v>1</v>
      </c>
      <c r="R373" s="2229">
        <v>1</v>
      </c>
      <c r="S373" s="2228">
        <f t="shared" si="15"/>
        <v>2</v>
      </c>
      <c r="T373" s="2997">
        <v>29817.5</v>
      </c>
      <c r="U373" s="2228">
        <f t="shared" si="16"/>
        <v>29817.5</v>
      </c>
      <c r="V373" s="2228">
        <f t="shared" si="17"/>
        <v>59635</v>
      </c>
      <c r="W373" s="2999">
        <v>5223.9750000000004</v>
      </c>
      <c r="X373" s="2230">
        <f t="shared" si="18"/>
        <v>5223.9750000000004</v>
      </c>
      <c r="Y373" s="2230">
        <f t="shared" si="19"/>
        <v>10447.950000000001</v>
      </c>
      <c r="Z373" s="2256">
        <v>0</v>
      </c>
      <c r="AA373" s="2281"/>
    </row>
    <row r="374" spans="8:27">
      <c r="H374" s="2351" t="s">
        <v>1419</v>
      </c>
      <c r="I374" s="2229">
        <v>35781</v>
      </c>
      <c r="J374" s="2226" t="s">
        <v>110</v>
      </c>
      <c r="K374" s="2224" t="s">
        <v>845</v>
      </c>
      <c r="L374" s="2227">
        <v>11593.3</v>
      </c>
      <c r="M374" s="2227">
        <v>5796.65</v>
      </c>
      <c r="N374" s="2250">
        <v>1.8705131874551563E-2</v>
      </c>
      <c r="O374" s="2224">
        <v>10</v>
      </c>
      <c r="P374" s="2225" t="s">
        <v>1427</v>
      </c>
      <c r="Q374" s="2229">
        <v>1</v>
      </c>
      <c r="R374" s="2229">
        <v>1</v>
      </c>
      <c r="S374" s="2228">
        <f t="shared" si="15"/>
        <v>2</v>
      </c>
      <c r="T374" s="2997">
        <v>35781</v>
      </c>
      <c r="U374" s="2228">
        <f t="shared" si="16"/>
        <v>35781</v>
      </c>
      <c r="V374" s="2228">
        <f t="shared" si="17"/>
        <v>71562</v>
      </c>
      <c r="W374" s="2999">
        <v>5796.65</v>
      </c>
      <c r="X374" s="2230">
        <f t="shared" si="18"/>
        <v>5796.65</v>
      </c>
      <c r="Y374" s="2230">
        <f t="shared" si="19"/>
        <v>11593.3</v>
      </c>
      <c r="Z374" s="2256">
        <v>0</v>
      </c>
      <c r="AA374" s="2281"/>
    </row>
    <row r="375" spans="8:27">
      <c r="H375" s="2351" t="s">
        <v>1420</v>
      </c>
      <c r="I375" s="2229">
        <v>41744.5</v>
      </c>
      <c r="J375" s="2226" t="s">
        <v>110</v>
      </c>
      <c r="K375" s="2224" t="s">
        <v>845</v>
      </c>
      <c r="L375" s="2227">
        <v>12738.65</v>
      </c>
      <c r="M375" s="2227">
        <v>6369.3249999999998</v>
      </c>
      <c r="N375" s="2250">
        <v>2.182265385364349E-2</v>
      </c>
      <c r="O375" s="2224">
        <v>10</v>
      </c>
      <c r="P375" s="2225" t="s">
        <v>1427</v>
      </c>
      <c r="Q375" s="2229">
        <v>1</v>
      </c>
      <c r="R375" s="2229">
        <v>1</v>
      </c>
      <c r="S375" s="2228">
        <f t="shared" si="15"/>
        <v>2</v>
      </c>
      <c r="T375" s="2997">
        <v>41744.5</v>
      </c>
      <c r="U375" s="2228">
        <f t="shared" si="16"/>
        <v>41744.5</v>
      </c>
      <c r="V375" s="2228">
        <f t="shared" si="17"/>
        <v>83489</v>
      </c>
      <c r="W375" s="2999">
        <v>6369.3249999999998</v>
      </c>
      <c r="X375" s="2230">
        <f t="shared" si="18"/>
        <v>6369.3249999999998</v>
      </c>
      <c r="Y375" s="2230">
        <f t="shared" si="19"/>
        <v>12738.65</v>
      </c>
      <c r="Z375" s="2256">
        <v>0</v>
      </c>
      <c r="AA375" s="2281"/>
    </row>
    <row r="376" spans="8:27">
      <c r="H376" s="2351" t="s">
        <v>1421</v>
      </c>
      <c r="I376" s="2229">
        <v>47708</v>
      </c>
      <c r="J376" s="2226" t="s">
        <v>110</v>
      </c>
      <c r="K376" s="2224" t="s">
        <v>845</v>
      </c>
      <c r="L376" s="2227">
        <v>13884</v>
      </c>
      <c r="M376" s="2227">
        <v>6942</v>
      </c>
      <c r="N376" s="2250">
        <v>2.4940175832735417E-2</v>
      </c>
      <c r="O376" s="2224">
        <v>10</v>
      </c>
      <c r="P376" s="2225" t="s">
        <v>1427</v>
      </c>
      <c r="Q376" s="2229">
        <v>1</v>
      </c>
      <c r="R376" s="2229">
        <v>1</v>
      </c>
      <c r="S376" s="2228">
        <f t="shared" si="15"/>
        <v>2</v>
      </c>
      <c r="T376" s="2997">
        <v>47708</v>
      </c>
      <c r="U376" s="2228">
        <f t="shared" si="16"/>
        <v>47708</v>
      </c>
      <c r="V376" s="2228">
        <f t="shared" si="17"/>
        <v>95416</v>
      </c>
      <c r="W376" s="2999">
        <v>6942</v>
      </c>
      <c r="X376" s="2230">
        <f t="shared" si="18"/>
        <v>6942</v>
      </c>
      <c r="Y376" s="2230">
        <f t="shared" si="19"/>
        <v>13884</v>
      </c>
      <c r="Z376" s="2256">
        <v>0</v>
      </c>
      <c r="AA376" s="2281"/>
    </row>
    <row r="377" spans="8:27">
      <c r="H377" s="2351" t="s">
        <v>1422</v>
      </c>
      <c r="I377" s="2229">
        <v>53671.5</v>
      </c>
      <c r="J377" s="2226" t="s">
        <v>110</v>
      </c>
      <c r="K377" s="2224" t="s">
        <v>845</v>
      </c>
      <c r="L377" s="2227">
        <v>15029.349999999999</v>
      </c>
      <c r="M377" s="2227">
        <v>7514.6749999999993</v>
      </c>
      <c r="N377" s="2250">
        <v>2.8057697811827344E-2</v>
      </c>
      <c r="O377" s="2224">
        <v>10</v>
      </c>
      <c r="P377" s="2225" t="s">
        <v>1427</v>
      </c>
      <c r="Q377" s="2229">
        <v>1</v>
      </c>
      <c r="R377" s="2229">
        <v>1</v>
      </c>
      <c r="S377" s="2228">
        <f t="shared" si="15"/>
        <v>2</v>
      </c>
      <c r="T377" s="2997">
        <v>53671.5</v>
      </c>
      <c r="U377" s="2228">
        <f t="shared" si="16"/>
        <v>53671.5</v>
      </c>
      <c r="V377" s="2228">
        <f t="shared" si="17"/>
        <v>107343</v>
      </c>
      <c r="W377" s="2999">
        <v>7514.6749999999993</v>
      </c>
      <c r="X377" s="2230">
        <f t="shared" si="18"/>
        <v>7514.6749999999993</v>
      </c>
      <c r="Y377" s="2230">
        <f t="shared" si="19"/>
        <v>15029.349999999999</v>
      </c>
      <c r="Z377" s="2256">
        <v>0</v>
      </c>
      <c r="AA377" s="2281"/>
    </row>
    <row r="378" spans="8:27">
      <c r="H378" s="2351" t="s">
        <v>1423</v>
      </c>
      <c r="I378" s="2229">
        <v>59635</v>
      </c>
      <c r="J378" s="2226" t="s">
        <v>110</v>
      </c>
      <c r="K378" s="2224" t="s">
        <v>845</v>
      </c>
      <c r="L378" s="2227">
        <v>16174.7</v>
      </c>
      <c r="M378" s="2227">
        <v>8087.35</v>
      </c>
      <c r="N378" s="2250">
        <v>3.1175219790919272E-2</v>
      </c>
      <c r="O378" s="2224">
        <v>10</v>
      </c>
      <c r="P378" s="2225" t="s">
        <v>1427</v>
      </c>
      <c r="Q378" s="2229">
        <v>1</v>
      </c>
      <c r="R378" s="2229">
        <v>1</v>
      </c>
      <c r="S378" s="2228">
        <f t="shared" si="15"/>
        <v>2</v>
      </c>
      <c r="T378" s="2997">
        <v>59635</v>
      </c>
      <c r="U378" s="2228">
        <f t="shared" si="16"/>
        <v>59635</v>
      </c>
      <c r="V378" s="2228">
        <f t="shared" si="17"/>
        <v>119270</v>
      </c>
      <c r="W378" s="2999">
        <v>8087.35</v>
      </c>
      <c r="X378" s="2230">
        <f t="shared" si="18"/>
        <v>8087.35</v>
      </c>
      <c r="Y378" s="2230">
        <f t="shared" si="19"/>
        <v>16174.7</v>
      </c>
      <c r="Z378" s="2256">
        <v>0</v>
      </c>
      <c r="AA378" s="2281"/>
    </row>
    <row r="379" spans="8:27">
      <c r="H379" s="2351" t="s">
        <v>1424</v>
      </c>
      <c r="I379" s="2229">
        <v>243</v>
      </c>
      <c r="J379" s="2226" t="s">
        <v>110</v>
      </c>
      <c r="K379" s="2224" t="s">
        <v>845</v>
      </c>
      <c r="L379" s="2227">
        <v>525.41</v>
      </c>
      <c r="M379" s="2227">
        <v>262.70499999999998</v>
      </c>
      <c r="N379" s="2250">
        <v>6.3516210356278895E-3</v>
      </c>
      <c r="O379" s="2224">
        <v>16</v>
      </c>
      <c r="P379" s="2225" t="s">
        <v>1253</v>
      </c>
      <c r="Q379" s="2229">
        <v>25</v>
      </c>
      <c r="R379" s="2229">
        <v>50</v>
      </c>
      <c r="S379" s="2228">
        <f t="shared" si="15"/>
        <v>75</v>
      </c>
      <c r="T379" s="2997">
        <v>6075</v>
      </c>
      <c r="U379" s="2228">
        <f t="shared" si="16"/>
        <v>12150</v>
      </c>
      <c r="V379" s="2228">
        <f t="shared" si="17"/>
        <v>18225</v>
      </c>
      <c r="W379" s="2999">
        <v>6567.625</v>
      </c>
      <c r="X379" s="2230">
        <f t="shared" si="18"/>
        <v>13135.25</v>
      </c>
      <c r="Y379" s="2230">
        <f t="shared" si="19"/>
        <v>19702.875</v>
      </c>
      <c r="Z379" s="2256">
        <v>0</v>
      </c>
      <c r="AA379" s="2281"/>
    </row>
    <row r="380" spans="8:27">
      <c r="H380" s="2351" t="s">
        <v>1425</v>
      </c>
      <c r="I380" s="2229">
        <v>114</v>
      </c>
      <c r="J380" s="2226" t="s">
        <v>110</v>
      </c>
      <c r="K380" s="2224" t="s">
        <v>845</v>
      </c>
      <c r="L380" s="2227">
        <v>194.77</v>
      </c>
      <c r="M380" s="2227">
        <v>97.385000000000005</v>
      </c>
      <c r="N380" s="2250">
        <v>2.9797728315291332E-3</v>
      </c>
      <c r="O380" s="2224">
        <v>16</v>
      </c>
      <c r="P380" s="2225" t="s">
        <v>1253</v>
      </c>
      <c r="Q380" s="2229">
        <v>25</v>
      </c>
      <c r="R380" s="2229">
        <v>50</v>
      </c>
      <c r="S380" s="2228">
        <f t="shared" si="15"/>
        <v>75</v>
      </c>
      <c r="T380" s="2997">
        <v>2850</v>
      </c>
      <c r="U380" s="2228">
        <f t="shared" si="16"/>
        <v>5700</v>
      </c>
      <c r="V380" s="2228">
        <f t="shared" si="17"/>
        <v>8550</v>
      </c>
      <c r="W380" s="2999">
        <v>2434.625</v>
      </c>
      <c r="X380" s="2230">
        <f t="shared" si="18"/>
        <v>4869.25</v>
      </c>
      <c r="Y380" s="2230">
        <f t="shared" si="19"/>
        <v>7303.875</v>
      </c>
      <c r="Z380" s="2256">
        <v>0</v>
      </c>
      <c r="AA380" s="2281"/>
    </row>
    <row r="381" spans="8:27">
      <c r="H381" s="2351" t="s">
        <v>1347</v>
      </c>
      <c r="I381" s="2229">
        <v>800</v>
      </c>
      <c r="J381" s="2226" t="s">
        <v>110</v>
      </c>
      <c r="K381" s="2224" t="s">
        <v>845</v>
      </c>
      <c r="L381" s="2227">
        <v>237.25</v>
      </c>
      <c r="M381" s="2227">
        <v>118.25</v>
      </c>
      <c r="N381" s="2250">
        <v>8.3642746148186189E-2</v>
      </c>
      <c r="O381" s="2224">
        <v>10</v>
      </c>
      <c r="P381" s="2225" t="s">
        <v>1160</v>
      </c>
      <c r="Q381" s="2229">
        <v>100</v>
      </c>
      <c r="R381" s="2229">
        <v>200</v>
      </c>
      <c r="S381" s="2228">
        <f t="shared" si="15"/>
        <v>300</v>
      </c>
      <c r="T381" s="2997">
        <v>80000</v>
      </c>
      <c r="U381" s="2228">
        <f t="shared" si="16"/>
        <v>160000</v>
      </c>
      <c r="V381" s="2228">
        <f t="shared" si="17"/>
        <v>240000</v>
      </c>
      <c r="W381" s="2999">
        <v>11825</v>
      </c>
      <c r="X381" s="2230">
        <f t="shared" si="18"/>
        <v>23650</v>
      </c>
      <c r="Y381" s="2230">
        <f t="shared" si="19"/>
        <v>35475</v>
      </c>
      <c r="Z381" s="2256">
        <v>0</v>
      </c>
      <c r="AA381" s="2281"/>
    </row>
    <row r="382" spans="8:27">
      <c r="H382" s="2351" t="s">
        <v>1310</v>
      </c>
      <c r="I382" s="2229">
        <v>1200</v>
      </c>
      <c r="J382" s="2226" t="s">
        <v>110</v>
      </c>
      <c r="K382" s="2224" t="s">
        <v>845</v>
      </c>
      <c r="L382" s="2227">
        <v>10.95</v>
      </c>
      <c r="M382" s="2227">
        <v>10.95</v>
      </c>
      <c r="N382" s="2250">
        <v>0.12546411922227929</v>
      </c>
      <c r="O382" s="2224">
        <v>5</v>
      </c>
      <c r="P382" s="2225" t="s">
        <v>997</v>
      </c>
      <c r="Q382" s="2229">
        <v>100</v>
      </c>
      <c r="R382" s="2229">
        <v>200</v>
      </c>
      <c r="S382" s="2228">
        <f t="shared" si="15"/>
        <v>300</v>
      </c>
      <c r="T382" s="2997">
        <v>120000</v>
      </c>
      <c r="U382" s="2228">
        <f t="shared" si="16"/>
        <v>240000</v>
      </c>
      <c r="V382" s="2228">
        <f t="shared" si="17"/>
        <v>360000</v>
      </c>
      <c r="W382" s="2999">
        <v>1095</v>
      </c>
      <c r="X382" s="2230">
        <f t="shared" si="18"/>
        <v>2190</v>
      </c>
      <c r="Y382" s="2230">
        <f t="shared" si="19"/>
        <v>3285</v>
      </c>
      <c r="Z382" s="2256">
        <v>0</v>
      </c>
      <c r="AA382" s="2281"/>
    </row>
    <row r="383" spans="8:27">
      <c r="H383" s="2351" t="s">
        <v>1311</v>
      </c>
      <c r="I383" s="2229">
        <v>1208</v>
      </c>
      <c r="J383" s="2226" t="s">
        <v>110</v>
      </c>
      <c r="K383" s="2224" t="s">
        <v>845</v>
      </c>
      <c r="L383" s="2227">
        <v>70.42</v>
      </c>
      <c r="M383" s="2227">
        <v>70.42</v>
      </c>
      <c r="N383" s="2250">
        <v>1.5787568335470143E-2</v>
      </c>
      <c r="O383" s="2224">
        <v>5</v>
      </c>
      <c r="P383" s="2225" t="s">
        <v>997</v>
      </c>
      <c r="Q383" s="2229">
        <v>25</v>
      </c>
      <c r="R383" s="2229">
        <v>25</v>
      </c>
      <c r="S383" s="2228">
        <f t="shared" si="15"/>
        <v>50</v>
      </c>
      <c r="T383" s="2997">
        <v>30200</v>
      </c>
      <c r="U383" s="2228">
        <f t="shared" si="16"/>
        <v>30200</v>
      </c>
      <c r="V383" s="2228">
        <f t="shared" si="17"/>
        <v>60400</v>
      </c>
      <c r="W383" s="2999">
        <v>1760.5</v>
      </c>
      <c r="X383" s="2230">
        <f t="shared" si="18"/>
        <v>1760.5</v>
      </c>
      <c r="Y383" s="2230">
        <f t="shared" si="19"/>
        <v>3521</v>
      </c>
      <c r="Z383" s="2256">
        <v>0</v>
      </c>
      <c r="AA383" s="2281"/>
    </row>
    <row r="384" spans="8:27">
      <c r="H384" s="2351" t="s">
        <v>1312</v>
      </c>
      <c r="I384" s="2229">
        <v>839</v>
      </c>
      <c r="J384" s="2226" t="s">
        <v>110</v>
      </c>
      <c r="K384" s="2224" t="s">
        <v>845</v>
      </c>
      <c r="L384" s="2227">
        <v>70.42</v>
      </c>
      <c r="M384" s="2227">
        <v>70.42</v>
      </c>
      <c r="N384" s="2250">
        <v>2.1930082505727568E-2</v>
      </c>
      <c r="O384" s="2224">
        <v>5</v>
      </c>
      <c r="P384" s="2225" t="s">
        <v>997</v>
      </c>
      <c r="Q384" s="2229">
        <v>25</v>
      </c>
      <c r="R384" s="2229">
        <v>50</v>
      </c>
      <c r="S384" s="2228">
        <f t="shared" si="15"/>
        <v>75</v>
      </c>
      <c r="T384" s="2997">
        <v>20975</v>
      </c>
      <c r="U384" s="2228">
        <f t="shared" si="16"/>
        <v>41950</v>
      </c>
      <c r="V384" s="2228">
        <f t="shared" si="17"/>
        <v>62925</v>
      </c>
      <c r="W384" s="2999">
        <v>1760.5</v>
      </c>
      <c r="X384" s="2230">
        <f t="shared" si="18"/>
        <v>3521</v>
      </c>
      <c r="Y384" s="2230">
        <f t="shared" si="19"/>
        <v>5281.5</v>
      </c>
      <c r="Z384" s="2256">
        <v>0</v>
      </c>
      <c r="AA384" s="2281"/>
    </row>
    <row r="385" spans="8:27">
      <c r="H385" s="2351" t="s">
        <v>1313</v>
      </c>
      <c r="I385" s="2229">
        <v>1322</v>
      </c>
      <c r="J385" s="2226" t="s">
        <v>110</v>
      </c>
      <c r="K385" s="2224" t="s">
        <v>845</v>
      </c>
      <c r="L385" s="2227">
        <v>70.42</v>
      </c>
      <c r="M385" s="2227">
        <v>70.42</v>
      </c>
      <c r="N385" s="2250">
        <v>1.7277454751234711E-2</v>
      </c>
      <c r="O385" s="2224">
        <v>5</v>
      </c>
      <c r="P385" s="2225" t="s">
        <v>997</v>
      </c>
      <c r="Q385" s="2229">
        <v>25</v>
      </c>
      <c r="R385" s="2229">
        <v>25</v>
      </c>
      <c r="S385" s="2228">
        <f t="shared" si="15"/>
        <v>50</v>
      </c>
      <c r="T385" s="2997">
        <v>33050</v>
      </c>
      <c r="U385" s="2228">
        <f t="shared" si="16"/>
        <v>33050</v>
      </c>
      <c r="V385" s="2228">
        <f t="shared" si="17"/>
        <v>66100</v>
      </c>
      <c r="W385" s="2999">
        <v>1760.5</v>
      </c>
      <c r="X385" s="2230">
        <f t="shared" si="18"/>
        <v>1760.5</v>
      </c>
      <c r="Y385" s="2230">
        <f t="shared" si="19"/>
        <v>3521</v>
      </c>
      <c r="Z385" s="2256">
        <v>0</v>
      </c>
      <c r="AA385" s="2281"/>
    </row>
    <row r="386" spans="8:27">
      <c r="H386" s="2351" t="s">
        <v>1308</v>
      </c>
      <c r="I386" s="2229">
        <v>46</v>
      </c>
      <c r="J386" s="2226" t="s">
        <v>110</v>
      </c>
      <c r="K386" s="2224" t="s">
        <v>845</v>
      </c>
      <c r="L386" s="2227">
        <v>13.68</v>
      </c>
      <c r="M386" s="2227">
        <v>13.68</v>
      </c>
      <c r="N386" s="2250">
        <v>1.2023644758801764E-3</v>
      </c>
      <c r="O386" s="2224">
        <v>3</v>
      </c>
      <c r="P386" s="2225" t="s">
        <v>997</v>
      </c>
      <c r="Q386" s="2229">
        <v>25</v>
      </c>
      <c r="R386" s="2229">
        <v>50</v>
      </c>
      <c r="S386" s="2228">
        <f t="shared" si="15"/>
        <v>75</v>
      </c>
      <c r="T386" s="2997">
        <v>1150</v>
      </c>
      <c r="U386" s="2228">
        <f t="shared" si="16"/>
        <v>2300</v>
      </c>
      <c r="V386" s="2228">
        <f t="shared" si="17"/>
        <v>3450</v>
      </c>
      <c r="W386" s="2999">
        <v>342</v>
      </c>
      <c r="X386" s="2230">
        <f t="shared" si="18"/>
        <v>684</v>
      </c>
      <c r="Y386" s="2230">
        <f t="shared" si="19"/>
        <v>1026</v>
      </c>
      <c r="Z386" s="2256">
        <v>0</v>
      </c>
      <c r="AA386" s="2281"/>
    </row>
    <row r="387" spans="8:27">
      <c r="H387" s="2351" t="s">
        <v>1309</v>
      </c>
      <c r="I387" s="2229">
        <v>712</v>
      </c>
      <c r="J387" s="2226" t="s">
        <v>110</v>
      </c>
      <c r="K387" s="2224" t="s">
        <v>845</v>
      </c>
      <c r="L387" s="2227">
        <v>10.95</v>
      </c>
      <c r="M387" s="2227">
        <v>10.95</v>
      </c>
      <c r="N387" s="2250">
        <v>1.861051101797143E-2</v>
      </c>
      <c r="O387" s="2224">
        <v>5</v>
      </c>
      <c r="P387" s="2225" t="s">
        <v>997</v>
      </c>
      <c r="Q387" s="2229">
        <v>25</v>
      </c>
      <c r="R387" s="2229">
        <v>50</v>
      </c>
      <c r="S387" s="2228">
        <f t="shared" si="15"/>
        <v>75</v>
      </c>
      <c r="T387" s="2997">
        <v>17800</v>
      </c>
      <c r="U387" s="2228">
        <f t="shared" si="16"/>
        <v>35600</v>
      </c>
      <c r="V387" s="2228">
        <f t="shared" si="17"/>
        <v>53400</v>
      </c>
      <c r="W387" s="2999">
        <v>273.75</v>
      </c>
      <c r="X387" s="2230">
        <f t="shared" si="18"/>
        <v>547.5</v>
      </c>
      <c r="Y387" s="2230">
        <f t="shared" si="19"/>
        <v>821.25</v>
      </c>
      <c r="Z387" s="2256">
        <v>0</v>
      </c>
      <c r="AA387" s="2281"/>
    </row>
    <row r="388" spans="8:27">
      <c r="H388" s="2351" t="s">
        <v>1314</v>
      </c>
      <c r="I388" s="2229">
        <v>2187</v>
      </c>
      <c r="J388" s="2226" t="s">
        <v>110</v>
      </c>
      <c r="K388" s="2224" t="s">
        <v>845</v>
      </c>
      <c r="L388" s="2227">
        <v>70.42</v>
      </c>
      <c r="M388" s="2227">
        <v>70.42</v>
      </c>
      <c r="N388" s="2250">
        <v>5.7164589320651001E-2</v>
      </c>
      <c r="O388" s="2224">
        <v>5</v>
      </c>
      <c r="P388" s="2225" t="s">
        <v>997</v>
      </c>
      <c r="Q388" s="2229">
        <v>25</v>
      </c>
      <c r="R388" s="2229">
        <v>50</v>
      </c>
      <c r="S388" s="2228">
        <f t="shared" si="15"/>
        <v>75</v>
      </c>
      <c r="T388" s="2997">
        <v>54675</v>
      </c>
      <c r="U388" s="2228">
        <f t="shared" si="16"/>
        <v>109350</v>
      </c>
      <c r="V388" s="2228">
        <f t="shared" si="17"/>
        <v>164025</v>
      </c>
      <c r="W388" s="2999">
        <v>1760.5</v>
      </c>
      <c r="X388" s="2230">
        <f t="shared" si="18"/>
        <v>3521</v>
      </c>
      <c r="Y388" s="2230">
        <f t="shared" si="19"/>
        <v>5281.5</v>
      </c>
      <c r="Z388" s="2256">
        <v>0</v>
      </c>
      <c r="AA388" s="2281"/>
    </row>
    <row r="389" spans="8:27">
      <c r="H389" s="2351" t="s">
        <v>1315</v>
      </c>
      <c r="I389" s="2229">
        <v>228</v>
      </c>
      <c r="J389" s="2226" t="s">
        <v>110</v>
      </c>
      <c r="K389" s="2224" t="s">
        <v>845</v>
      </c>
      <c r="L389" s="2227">
        <v>21.67</v>
      </c>
      <c r="M389" s="2227">
        <v>21.67</v>
      </c>
      <c r="N389" s="2250">
        <v>5.9595456630582664E-3</v>
      </c>
      <c r="O389" s="2224">
        <v>10</v>
      </c>
      <c r="P389" s="2225" t="s">
        <v>997</v>
      </c>
      <c r="Q389" s="2229">
        <v>25</v>
      </c>
      <c r="R389" s="2229">
        <v>50</v>
      </c>
      <c r="S389" s="2228">
        <f t="shared" si="15"/>
        <v>75</v>
      </c>
      <c r="T389" s="2997">
        <v>5700</v>
      </c>
      <c r="U389" s="2228">
        <f t="shared" si="16"/>
        <v>11400</v>
      </c>
      <c r="V389" s="2228">
        <f t="shared" si="17"/>
        <v>17100</v>
      </c>
      <c r="W389" s="2999">
        <v>541.75</v>
      </c>
      <c r="X389" s="2230">
        <f t="shared" si="18"/>
        <v>1083.5</v>
      </c>
      <c r="Y389" s="2230">
        <f t="shared" si="19"/>
        <v>1625.25</v>
      </c>
      <c r="Z389" s="2256">
        <v>0</v>
      </c>
      <c r="AA389" s="2281"/>
    </row>
    <row r="390" spans="8:27">
      <c r="H390" s="2351" t="s">
        <v>1257</v>
      </c>
      <c r="I390" s="2229">
        <v>100</v>
      </c>
      <c r="J390" s="2226" t="s">
        <v>110</v>
      </c>
      <c r="K390" s="2224" t="s">
        <v>845</v>
      </c>
      <c r="L390" s="2227">
        <v>54.6</v>
      </c>
      <c r="M390" s="2227">
        <v>54.6</v>
      </c>
      <c r="N390" s="2250">
        <v>1.3069179085654092E-3</v>
      </c>
      <c r="O390" s="2224">
        <v>5</v>
      </c>
      <c r="P390" s="2225" t="s">
        <v>996</v>
      </c>
      <c r="Q390" s="2229">
        <v>25</v>
      </c>
      <c r="R390" s="2229">
        <v>25</v>
      </c>
      <c r="S390" s="2228">
        <f t="shared" si="15"/>
        <v>50</v>
      </c>
      <c r="T390" s="2997">
        <v>2500</v>
      </c>
      <c r="U390" s="2228">
        <f t="shared" si="16"/>
        <v>2500</v>
      </c>
      <c r="V390" s="2228">
        <f t="shared" si="17"/>
        <v>5000</v>
      </c>
      <c r="W390" s="2999">
        <v>1365</v>
      </c>
      <c r="X390" s="2230">
        <f t="shared" si="18"/>
        <v>1365</v>
      </c>
      <c r="Y390" s="2230">
        <f t="shared" si="19"/>
        <v>2730</v>
      </c>
      <c r="Z390" s="2256">
        <v>0</v>
      </c>
      <c r="AA390" s="2281"/>
    </row>
    <row r="391" spans="8:27">
      <c r="H391" s="2351" t="s">
        <v>1296</v>
      </c>
      <c r="I391" s="2229">
        <v>793</v>
      </c>
      <c r="J391" s="2226" t="s">
        <v>110</v>
      </c>
      <c r="K391" s="2224" t="s">
        <v>845</v>
      </c>
      <c r="L391" s="2227">
        <v>87.75</v>
      </c>
      <c r="M391" s="2227">
        <v>87.75</v>
      </c>
      <c r="N391" s="2250">
        <v>4.1455436059694782E-2</v>
      </c>
      <c r="O391" s="2224">
        <v>12</v>
      </c>
      <c r="P391" s="2225" t="s">
        <v>996</v>
      </c>
      <c r="Q391" s="2229">
        <v>50</v>
      </c>
      <c r="R391" s="2229">
        <v>100</v>
      </c>
      <c r="S391" s="2228">
        <f t="shared" si="15"/>
        <v>150</v>
      </c>
      <c r="T391" s="2997">
        <v>39650</v>
      </c>
      <c r="U391" s="2228">
        <f t="shared" si="16"/>
        <v>79300</v>
      </c>
      <c r="V391" s="2228">
        <f t="shared" si="17"/>
        <v>118950</v>
      </c>
      <c r="W391" s="2999">
        <v>4387.5</v>
      </c>
      <c r="X391" s="2230">
        <f t="shared" si="18"/>
        <v>8775</v>
      </c>
      <c r="Y391" s="2230">
        <f t="shared" si="19"/>
        <v>13162.5</v>
      </c>
      <c r="Z391" s="2256">
        <v>0</v>
      </c>
      <c r="AA391" s="2281"/>
    </row>
    <row r="392" spans="8:27">
      <c r="H392" s="2351" t="s">
        <v>1297</v>
      </c>
      <c r="I392" s="2229">
        <v>685</v>
      </c>
      <c r="J392" s="2226" t="s">
        <v>110</v>
      </c>
      <c r="K392" s="2224" t="s">
        <v>845</v>
      </c>
      <c r="L392" s="2227">
        <v>196.3</v>
      </c>
      <c r="M392" s="2227">
        <v>171.25</v>
      </c>
      <c r="N392" s="2250">
        <v>2.6857163021019162E-2</v>
      </c>
      <c r="O392" s="2224">
        <v>12</v>
      </c>
      <c r="P392" s="2225" t="s">
        <v>996</v>
      </c>
      <c r="Q392" s="2229">
        <v>25</v>
      </c>
      <c r="R392" s="2229">
        <v>75</v>
      </c>
      <c r="S392" s="2228">
        <f t="shared" si="15"/>
        <v>100</v>
      </c>
      <c r="T392" s="2997">
        <v>17125</v>
      </c>
      <c r="U392" s="2228">
        <f t="shared" si="16"/>
        <v>51375</v>
      </c>
      <c r="V392" s="2228">
        <f t="shared" si="17"/>
        <v>68500</v>
      </c>
      <c r="W392" s="2999">
        <v>4281.25</v>
      </c>
      <c r="X392" s="2230">
        <f t="shared" si="18"/>
        <v>12843.75</v>
      </c>
      <c r="Y392" s="2230">
        <f t="shared" si="19"/>
        <v>17125</v>
      </c>
      <c r="Z392" s="2256">
        <v>0</v>
      </c>
      <c r="AA392" s="2281"/>
    </row>
    <row r="393" spans="8:27">
      <c r="H393" s="2351" t="s">
        <v>1298</v>
      </c>
      <c r="I393" s="2229">
        <v>685</v>
      </c>
      <c r="J393" s="2226" t="s">
        <v>110</v>
      </c>
      <c r="K393" s="2224" t="s">
        <v>845</v>
      </c>
      <c r="L393" s="2227">
        <v>430.4</v>
      </c>
      <c r="M393" s="2227">
        <v>171.25</v>
      </c>
      <c r="N393" s="2250">
        <v>2.6857163021019162E-2</v>
      </c>
      <c r="O393" s="2224">
        <v>12</v>
      </c>
      <c r="P393" s="2225" t="s">
        <v>996</v>
      </c>
      <c r="Q393" s="2229">
        <v>25</v>
      </c>
      <c r="R393" s="2229">
        <v>75</v>
      </c>
      <c r="S393" s="2228">
        <f t="shared" si="15"/>
        <v>100</v>
      </c>
      <c r="T393" s="2997">
        <v>17125</v>
      </c>
      <c r="U393" s="2228">
        <f t="shared" si="16"/>
        <v>51375</v>
      </c>
      <c r="V393" s="2228">
        <f t="shared" si="17"/>
        <v>68500</v>
      </c>
      <c r="W393" s="2999">
        <v>4281.25</v>
      </c>
      <c r="X393" s="2230">
        <f t="shared" si="18"/>
        <v>12843.75</v>
      </c>
      <c r="Y393" s="2230">
        <f t="shared" si="19"/>
        <v>17125</v>
      </c>
      <c r="Z393" s="2256">
        <v>0</v>
      </c>
      <c r="AA393" s="2281"/>
    </row>
    <row r="394" spans="8:27">
      <c r="H394" s="2351" t="s">
        <v>1299</v>
      </c>
      <c r="I394" s="2229">
        <v>601</v>
      </c>
      <c r="J394" s="2226" t="s">
        <v>110</v>
      </c>
      <c r="K394" s="2224" t="s">
        <v>845</v>
      </c>
      <c r="L394" s="2227">
        <v>150.80000000000001</v>
      </c>
      <c r="M394" s="2227">
        <v>150.80000000000001</v>
      </c>
      <c r="N394" s="2250">
        <v>2.3563729891434328E-2</v>
      </c>
      <c r="O394" s="2224">
        <v>12</v>
      </c>
      <c r="P394" s="2225" t="s">
        <v>996</v>
      </c>
      <c r="Q394" s="2229">
        <v>25</v>
      </c>
      <c r="R394" s="2229">
        <v>75</v>
      </c>
      <c r="S394" s="2228">
        <f t="shared" si="15"/>
        <v>100</v>
      </c>
      <c r="T394" s="2997">
        <v>15025</v>
      </c>
      <c r="U394" s="2228">
        <f t="shared" si="16"/>
        <v>45075</v>
      </c>
      <c r="V394" s="2228">
        <f t="shared" si="17"/>
        <v>60100</v>
      </c>
      <c r="W394" s="2999">
        <v>3770.0000000000005</v>
      </c>
      <c r="X394" s="2230">
        <f t="shared" si="18"/>
        <v>11310</v>
      </c>
      <c r="Y394" s="2230">
        <f t="shared" si="19"/>
        <v>15080</v>
      </c>
      <c r="Z394" s="2256">
        <v>0</v>
      </c>
      <c r="AA394" s="2281"/>
    </row>
    <row r="395" spans="8:27">
      <c r="H395" s="2351" t="s">
        <v>1300</v>
      </c>
      <c r="I395" s="2229">
        <v>190</v>
      </c>
      <c r="J395" s="2226" t="s">
        <v>110</v>
      </c>
      <c r="K395" s="2224" t="s">
        <v>845</v>
      </c>
      <c r="L395" s="2227">
        <v>81.900000000000006</v>
      </c>
      <c r="M395" s="2227">
        <v>81.900000000000006</v>
      </c>
      <c r="N395" s="2250">
        <v>7.4494320788228326E-3</v>
      </c>
      <c r="O395" s="2224">
        <v>3</v>
      </c>
      <c r="P395" s="2225" t="s">
        <v>996</v>
      </c>
      <c r="Q395" s="2229">
        <v>25</v>
      </c>
      <c r="R395" s="2229">
        <v>75</v>
      </c>
      <c r="S395" s="2228">
        <f t="shared" si="15"/>
        <v>100</v>
      </c>
      <c r="T395" s="2997">
        <v>4750</v>
      </c>
      <c r="U395" s="2228">
        <f t="shared" si="16"/>
        <v>14250</v>
      </c>
      <c r="V395" s="2228">
        <f t="shared" si="17"/>
        <v>19000</v>
      </c>
      <c r="W395" s="2999">
        <v>2047.5000000000002</v>
      </c>
      <c r="X395" s="2230">
        <f t="shared" si="18"/>
        <v>6142.5</v>
      </c>
      <c r="Y395" s="2230">
        <f t="shared" si="19"/>
        <v>8190</v>
      </c>
      <c r="Z395" s="2256">
        <v>0</v>
      </c>
      <c r="AA395" s="2281"/>
    </row>
    <row r="396" spans="8:27">
      <c r="H396" s="2351" t="s">
        <v>1300</v>
      </c>
      <c r="I396" s="2229">
        <v>157</v>
      </c>
      <c r="J396" s="2226" t="s">
        <v>110</v>
      </c>
      <c r="K396" s="2224" t="s">
        <v>845</v>
      </c>
      <c r="L396" s="2227">
        <v>16.8</v>
      </c>
      <c r="M396" s="2227">
        <v>16.8</v>
      </c>
      <c r="N396" s="2250">
        <v>6.155583349343078E-3</v>
      </c>
      <c r="O396" s="2224">
        <v>3</v>
      </c>
      <c r="P396" s="2225" t="s">
        <v>996</v>
      </c>
      <c r="Q396" s="2229">
        <v>25</v>
      </c>
      <c r="R396" s="2229">
        <v>75</v>
      </c>
      <c r="S396" s="2228">
        <f t="shared" si="15"/>
        <v>100</v>
      </c>
      <c r="T396" s="2997">
        <v>3925</v>
      </c>
      <c r="U396" s="2228">
        <f t="shared" si="16"/>
        <v>11775</v>
      </c>
      <c r="V396" s="2228">
        <f t="shared" si="17"/>
        <v>15700</v>
      </c>
      <c r="W396" s="2999">
        <v>420</v>
      </c>
      <c r="X396" s="2230">
        <f t="shared" si="18"/>
        <v>1260</v>
      </c>
      <c r="Y396" s="2230">
        <f t="shared" si="19"/>
        <v>1680</v>
      </c>
      <c r="Z396" s="2256">
        <v>0</v>
      </c>
      <c r="AA396" s="2281"/>
    </row>
    <row r="397" spans="8:27">
      <c r="H397" s="2351" t="s">
        <v>1300</v>
      </c>
      <c r="I397" s="2229">
        <v>58</v>
      </c>
      <c r="J397" s="2226" t="s">
        <v>110</v>
      </c>
      <c r="K397" s="2224" t="s">
        <v>845</v>
      </c>
      <c r="L397" s="2227">
        <v>16.8</v>
      </c>
      <c r="M397" s="2227">
        <v>16.8</v>
      </c>
      <c r="N397" s="2250">
        <v>2.274037160903812E-3</v>
      </c>
      <c r="O397" s="2224">
        <v>3</v>
      </c>
      <c r="P397" s="2225" t="s">
        <v>996</v>
      </c>
      <c r="Q397" s="2229">
        <v>25</v>
      </c>
      <c r="R397" s="2229">
        <v>75</v>
      </c>
      <c r="S397" s="2228">
        <f t="shared" si="15"/>
        <v>100</v>
      </c>
      <c r="T397" s="2997">
        <v>1450</v>
      </c>
      <c r="U397" s="2228">
        <f t="shared" si="16"/>
        <v>4350</v>
      </c>
      <c r="V397" s="2228">
        <f t="shared" si="17"/>
        <v>5800</v>
      </c>
      <c r="W397" s="2999">
        <v>420</v>
      </c>
      <c r="X397" s="2230">
        <f t="shared" si="18"/>
        <v>1260</v>
      </c>
      <c r="Y397" s="2230">
        <f t="shared" si="19"/>
        <v>1680</v>
      </c>
      <c r="Z397" s="2256">
        <v>0</v>
      </c>
      <c r="AA397" s="2281"/>
    </row>
    <row r="398" spans="8:27">
      <c r="H398" s="2351" t="s">
        <v>1300</v>
      </c>
      <c r="I398" s="2229">
        <v>43</v>
      </c>
      <c r="J398" s="2226" t="s">
        <v>110</v>
      </c>
      <c r="K398" s="2224" t="s">
        <v>845</v>
      </c>
      <c r="L398" s="2227">
        <v>16.8</v>
      </c>
      <c r="M398" s="2227">
        <v>16.8</v>
      </c>
      <c r="N398" s="2250">
        <v>1.6859241020493779E-3</v>
      </c>
      <c r="O398" s="2224">
        <v>3</v>
      </c>
      <c r="P398" s="2225" t="s">
        <v>996</v>
      </c>
      <c r="Q398" s="2229">
        <v>25</v>
      </c>
      <c r="R398" s="2229">
        <v>75</v>
      </c>
      <c r="S398" s="2228">
        <f t="shared" si="15"/>
        <v>100</v>
      </c>
      <c r="T398" s="2997">
        <v>1075</v>
      </c>
      <c r="U398" s="2228">
        <f t="shared" si="16"/>
        <v>3225</v>
      </c>
      <c r="V398" s="2228">
        <f t="shared" si="17"/>
        <v>4300</v>
      </c>
      <c r="W398" s="2999">
        <v>420</v>
      </c>
      <c r="X398" s="2230">
        <f t="shared" si="18"/>
        <v>1260</v>
      </c>
      <c r="Y398" s="2230">
        <f t="shared" si="19"/>
        <v>1680</v>
      </c>
      <c r="Z398" s="2256">
        <v>0</v>
      </c>
      <c r="AA398" s="2281"/>
    </row>
    <row r="399" spans="8:27">
      <c r="H399" s="2351" t="s">
        <v>1300</v>
      </c>
      <c r="I399" s="2229">
        <v>84</v>
      </c>
      <c r="J399" s="2226" t="s">
        <v>110</v>
      </c>
      <c r="K399" s="2224" t="s">
        <v>845</v>
      </c>
      <c r="L399" s="2227">
        <v>16.8</v>
      </c>
      <c r="M399" s="2227">
        <v>16.8</v>
      </c>
      <c r="N399" s="2250">
        <v>3.2934331295848313E-3</v>
      </c>
      <c r="O399" s="2224">
        <v>3</v>
      </c>
      <c r="P399" s="2225" t="s">
        <v>996</v>
      </c>
      <c r="Q399" s="2229">
        <v>25</v>
      </c>
      <c r="R399" s="2229">
        <v>75</v>
      </c>
      <c r="S399" s="2228">
        <f t="shared" si="15"/>
        <v>100</v>
      </c>
      <c r="T399" s="2997">
        <v>2100</v>
      </c>
      <c r="U399" s="2228">
        <f t="shared" si="16"/>
        <v>6300</v>
      </c>
      <c r="V399" s="2228">
        <f t="shared" si="17"/>
        <v>8400</v>
      </c>
      <c r="W399" s="2999">
        <v>420</v>
      </c>
      <c r="X399" s="2230">
        <f t="shared" si="18"/>
        <v>1260</v>
      </c>
      <c r="Y399" s="2230">
        <f t="shared" si="19"/>
        <v>1680</v>
      </c>
      <c r="Z399" s="2256">
        <v>0</v>
      </c>
      <c r="AA399" s="2281"/>
    </row>
    <row r="400" spans="8:27">
      <c r="H400" s="2351" t="s">
        <v>1300</v>
      </c>
      <c r="I400" s="2229">
        <v>69</v>
      </c>
      <c r="J400" s="2226" t="s">
        <v>110</v>
      </c>
      <c r="K400" s="2224" t="s">
        <v>845</v>
      </c>
      <c r="L400" s="2227">
        <v>16.8</v>
      </c>
      <c r="M400" s="2227">
        <v>16.8</v>
      </c>
      <c r="N400" s="2250">
        <v>2.705320070730397E-3</v>
      </c>
      <c r="O400" s="2224">
        <v>3</v>
      </c>
      <c r="P400" s="2225" t="s">
        <v>996</v>
      </c>
      <c r="Q400" s="2229">
        <v>25</v>
      </c>
      <c r="R400" s="2229">
        <v>75</v>
      </c>
      <c r="S400" s="2228">
        <f t="shared" si="15"/>
        <v>100</v>
      </c>
      <c r="T400" s="2997">
        <v>1725</v>
      </c>
      <c r="U400" s="2228">
        <f t="shared" si="16"/>
        <v>5175</v>
      </c>
      <c r="V400" s="2228">
        <f t="shared" si="17"/>
        <v>6900</v>
      </c>
      <c r="W400" s="2999">
        <v>420</v>
      </c>
      <c r="X400" s="2230">
        <f t="shared" si="18"/>
        <v>1260</v>
      </c>
      <c r="Y400" s="2230">
        <f t="shared" si="19"/>
        <v>1680</v>
      </c>
      <c r="Z400" s="2256">
        <v>0</v>
      </c>
      <c r="AA400" s="2281"/>
    </row>
    <row r="401" spans="8:27">
      <c r="H401" s="2351" t="s">
        <v>1300</v>
      </c>
      <c r="I401" s="2229">
        <v>63</v>
      </c>
      <c r="J401" s="2226" t="s">
        <v>110</v>
      </c>
      <c r="K401" s="2224" t="s">
        <v>845</v>
      </c>
      <c r="L401" s="2227">
        <v>16.8</v>
      </c>
      <c r="M401" s="2227">
        <v>16.8</v>
      </c>
      <c r="N401" s="2250">
        <v>2.4700748471886236E-3</v>
      </c>
      <c r="O401" s="2224">
        <v>3</v>
      </c>
      <c r="P401" s="2225" t="s">
        <v>996</v>
      </c>
      <c r="Q401" s="2229">
        <v>25</v>
      </c>
      <c r="R401" s="2229">
        <v>75</v>
      </c>
      <c r="S401" s="2228">
        <f t="shared" si="15"/>
        <v>100</v>
      </c>
      <c r="T401" s="2997">
        <v>1575</v>
      </c>
      <c r="U401" s="2228">
        <f t="shared" si="16"/>
        <v>4725</v>
      </c>
      <c r="V401" s="2228">
        <f t="shared" si="17"/>
        <v>6300</v>
      </c>
      <c r="W401" s="2999">
        <v>420</v>
      </c>
      <c r="X401" s="2230">
        <f t="shared" si="18"/>
        <v>1260</v>
      </c>
      <c r="Y401" s="2230">
        <f t="shared" si="19"/>
        <v>1680</v>
      </c>
      <c r="Z401" s="2256">
        <v>0</v>
      </c>
      <c r="AA401" s="2281"/>
    </row>
    <row r="402" spans="8:27">
      <c r="H402" s="2351" t="s">
        <v>1300</v>
      </c>
      <c r="I402" s="2229">
        <v>44</v>
      </c>
      <c r="J402" s="2226" t="s">
        <v>110</v>
      </c>
      <c r="K402" s="2224" t="s">
        <v>845</v>
      </c>
      <c r="L402" s="2227">
        <v>16.8</v>
      </c>
      <c r="M402" s="2227">
        <v>16.8</v>
      </c>
      <c r="N402" s="2250">
        <v>1.7251316393063403E-3</v>
      </c>
      <c r="O402" s="2224">
        <v>3</v>
      </c>
      <c r="P402" s="2225" t="s">
        <v>996</v>
      </c>
      <c r="Q402" s="2229">
        <v>25</v>
      </c>
      <c r="R402" s="2229">
        <v>75</v>
      </c>
      <c r="S402" s="2228">
        <f t="shared" si="15"/>
        <v>100</v>
      </c>
      <c r="T402" s="2997">
        <v>1100</v>
      </c>
      <c r="U402" s="2228">
        <f t="shared" si="16"/>
        <v>3300</v>
      </c>
      <c r="V402" s="2228">
        <f t="shared" si="17"/>
        <v>4400</v>
      </c>
      <c r="W402" s="2999">
        <v>420</v>
      </c>
      <c r="X402" s="2230">
        <f t="shared" si="18"/>
        <v>1260</v>
      </c>
      <c r="Y402" s="2230">
        <f t="shared" si="19"/>
        <v>1680</v>
      </c>
      <c r="Z402" s="2256">
        <v>0</v>
      </c>
      <c r="AA402" s="2281"/>
    </row>
    <row r="403" spans="8:27">
      <c r="H403" s="2351" t="s">
        <v>1301</v>
      </c>
      <c r="I403" s="2229">
        <v>46</v>
      </c>
      <c r="J403" s="2226" t="s">
        <v>110</v>
      </c>
      <c r="K403" s="2224" t="s">
        <v>845</v>
      </c>
      <c r="L403" s="2227">
        <v>16.8</v>
      </c>
      <c r="M403" s="2227">
        <v>16.8</v>
      </c>
      <c r="N403" s="2250">
        <v>1.8035467138202649E-3</v>
      </c>
      <c r="O403" s="2224">
        <v>3</v>
      </c>
      <c r="P403" s="2225" t="s">
        <v>996</v>
      </c>
      <c r="Q403" s="2229">
        <v>25</v>
      </c>
      <c r="R403" s="2229">
        <v>75</v>
      </c>
      <c r="S403" s="2228">
        <f t="shared" si="15"/>
        <v>100</v>
      </c>
      <c r="T403" s="2997">
        <v>1150</v>
      </c>
      <c r="U403" s="2228">
        <f t="shared" si="16"/>
        <v>3450</v>
      </c>
      <c r="V403" s="2228">
        <f t="shared" si="17"/>
        <v>4600</v>
      </c>
      <c r="W403" s="2999">
        <v>420</v>
      </c>
      <c r="X403" s="2230">
        <f t="shared" si="18"/>
        <v>1260</v>
      </c>
      <c r="Y403" s="2230">
        <f t="shared" si="19"/>
        <v>1680</v>
      </c>
      <c r="Z403" s="2256">
        <v>0</v>
      </c>
      <c r="AA403" s="2281"/>
    </row>
    <row r="404" spans="8:27">
      <c r="H404" s="2351" t="s">
        <v>1301</v>
      </c>
      <c r="I404" s="2229">
        <v>247</v>
      </c>
      <c r="J404" s="2226" t="s">
        <v>110</v>
      </c>
      <c r="K404" s="2224" t="s">
        <v>845</v>
      </c>
      <c r="L404" s="2227">
        <v>15.81</v>
      </c>
      <c r="M404" s="2227">
        <v>15.81</v>
      </c>
      <c r="N404" s="2250">
        <v>9.6842617024696827E-3</v>
      </c>
      <c r="O404" s="2224">
        <v>3</v>
      </c>
      <c r="P404" s="2225" t="s">
        <v>996</v>
      </c>
      <c r="Q404" s="2229">
        <v>25</v>
      </c>
      <c r="R404" s="2229">
        <v>75</v>
      </c>
      <c r="S404" s="2228">
        <f t="shared" si="15"/>
        <v>100</v>
      </c>
      <c r="T404" s="2997">
        <v>6175</v>
      </c>
      <c r="U404" s="2228">
        <f t="shared" si="16"/>
        <v>18525</v>
      </c>
      <c r="V404" s="2228">
        <f t="shared" si="17"/>
        <v>24700</v>
      </c>
      <c r="W404" s="2999">
        <v>395.25</v>
      </c>
      <c r="X404" s="2230">
        <f t="shared" si="18"/>
        <v>1185.75</v>
      </c>
      <c r="Y404" s="2230">
        <f t="shared" si="19"/>
        <v>1581</v>
      </c>
      <c r="Z404" s="2256">
        <v>0</v>
      </c>
      <c r="AA404" s="1652"/>
    </row>
    <row r="405" spans="8:27">
      <c r="H405" s="2351" t="s">
        <v>1301</v>
      </c>
      <c r="I405" s="2229">
        <v>90</v>
      </c>
      <c r="J405" s="2226" t="s">
        <v>110</v>
      </c>
      <c r="K405" s="2224" t="s">
        <v>845</v>
      </c>
      <c r="L405" s="2227">
        <v>15.81</v>
      </c>
      <c r="M405" s="2227">
        <v>15.81</v>
      </c>
      <c r="N405" s="2250">
        <v>3.5286783531266052E-3</v>
      </c>
      <c r="O405" s="2224">
        <v>3</v>
      </c>
      <c r="P405" s="2225" t="s">
        <v>996</v>
      </c>
      <c r="Q405" s="2229">
        <v>25</v>
      </c>
      <c r="R405" s="2229">
        <v>75</v>
      </c>
      <c r="S405" s="2228">
        <f t="shared" si="15"/>
        <v>100</v>
      </c>
      <c r="T405" s="2997">
        <v>2250</v>
      </c>
      <c r="U405" s="2228">
        <f t="shared" si="16"/>
        <v>6750</v>
      </c>
      <c r="V405" s="2228">
        <f t="shared" si="17"/>
        <v>9000</v>
      </c>
      <c r="W405" s="2999">
        <v>395.25</v>
      </c>
      <c r="X405" s="2230">
        <f t="shared" si="18"/>
        <v>1185.75</v>
      </c>
      <c r="Y405" s="2230">
        <f t="shared" si="19"/>
        <v>1581</v>
      </c>
      <c r="Z405" s="2256">
        <v>0</v>
      </c>
      <c r="AA405" s="1652"/>
    </row>
    <row r="406" spans="8:27">
      <c r="H406" s="2351" t="s">
        <v>1301</v>
      </c>
      <c r="I406" s="2229">
        <v>68</v>
      </c>
      <c r="J406" s="2226" t="s">
        <v>110</v>
      </c>
      <c r="K406" s="2224" t="s">
        <v>845</v>
      </c>
      <c r="L406" s="2227">
        <v>15.81</v>
      </c>
      <c r="M406" s="2227">
        <v>15.81</v>
      </c>
      <c r="N406" s="2250">
        <v>2.6661125334734351E-3</v>
      </c>
      <c r="O406" s="2224">
        <v>3</v>
      </c>
      <c r="P406" s="2225" t="s">
        <v>996</v>
      </c>
      <c r="Q406" s="2229">
        <v>25</v>
      </c>
      <c r="R406" s="2229">
        <v>75</v>
      </c>
      <c r="S406" s="2228">
        <f t="shared" si="15"/>
        <v>100</v>
      </c>
      <c r="T406" s="2997">
        <v>1700</v>
      </c>
      <c r="U406" s="2228">
        <f t="shared" si="16"/>
        <v>5100</v>
      </c>
      <c r="V406" s="2228">
        <f t="shared" si="17"/>
        <v>6800</v>
      </c>
      <c r="W406" s="2999">
        <v>395.25</v>
      </c>
      <c r="X406" s="2230">
        <f t="shared" si="18"/>
        <v>1185.75</v>
      </c>
      <c r="Y406" s="2230">
        <f t="shared" si="19"/>
        <v>1581</v>
      </c>
      <c r="Z406" s="2256">
        <v>0</v>
      </c>
      <c r="AA406" s="1652"/>
    </row>
    <row r="407" spans="8:27">
      <c r="H407" s="2351" t="s">
        <v>1301</v>
      </c>
      <c r="I407" s="2229">
        <v>133</v>
      </c>
      <c r="J407" s="2226" t="s">
        <v>110</v>
      </c>
      <c r="K407" s="2224" t="s">
        <v>845</v>
      </c>
      <c r="L407" s="2227">
        <v>15.81</v>
      </c>
      <c r="M407" s="2227">
        <v>15.81</v>
      </c>
      <c r="N407" s="2250">
        <v>5.2146024551759833E-3</v>
      </c>
      <c r="O407" s="2224">
        <v>3</v>
      </c>
      <c r="P407" s="2225" t="s">
        <v>996</v>
      </c>
      <c r="Q407" s="2229">
        <v>25</v>
      </c>
      <c r="R407" s="2229">
        <v>75</v>
      </c>
      <c r="S407" s="2228">
        <f t="shared" si="15"/>
        <v>100</v>
      </c>
      <c r="T407" s="2997">
        <v>3325</v>
      </c>
      <c r="U407" s="2228">
        <f t="shared" si="16"/>
        <v>9975</v>
      </c>
      <c r="V407" s="2228">
        <f t="shared" si="17"/>
        <v>13300</v>
      </c>
      <c r="W407" s="2999">
        <v>395.25</v>
      </c>
      <c r="X407" s="2230">
        <f t="shared" si="18"/>
        <v>1185.75</v>
      </c>
      <c r="Y407" s="2230">
        <f t="shared" si="19"/>
        <v>1581</v>
      </c>
      <c r="Z407" s="2256">
        <v>0</v>
      </c>
      <c r="AA407" s="1652"/>
    </row>
    <row r="408" spans="8:27">
      <c r="H408" s="2351" t="s">
        <v>1301</v>
      </c>
      <c r="I408" s="2229">
        <v>108</v>
      </c>
      <c r="J408" s="2226" t="s">
        <v>110</v>
      </c>
      <c r="K408" s="2224" t="s">
        <v>845</v>
      </c>
      <c r="L408" s="2227">
        <v>15.81</v>
      </c>
      <c r="M408" s="2227">
        <v>15.81</v>
      </c>
      <c r="N408" s="2250">
        <v>4.2344140237519264E-3</v>
      </c>
      <c r="O408" s="2224">
        <v>3</v>
      </c>
      <c r="P408" s="2225" t="s">
        <v>996</v>
      </c>
      <c r="Q408" s="2229">
        <v>25</v>
      </c>
      <c r="R408" s="2229">
        <v>75</v>
      </c>
      <c r="S408" s="2228">
        <f t="shared" si="15"/>
        <v>100</v>
      </c>
      <c r="T408" s="2997">
        <v>2700</v>
      </c>
      <c r="U408" s="2228">
        <f t="shared" si="16"/>
        <v>8100</v>
      </c>
      <c r="V408" s="2228">
        <f t="shared" si="17"/>
        <v>10800</v>
      </c>
      <c r="W408" s="2999">
        <v>395.25</v>
      </c>
      <c r="X408" s="2230">
        <f t="shared" si="18"/>
        <v>1185.75</v>
      </c>
      <c r="Y408" s="2230">
        <f t="shared" si="19"/>
        <v>1581</v>
      </c>
      <c r="Z408" s="2256">
        <v>0</v>
      </c>
      <c r="AA408" s="1652"/>
    </row>
    <row r="409" spans="8:27">
      <c r="H409" s="2351" t="s">
        <v>1301</v>
      </c>
      <c r="I409" s="2229">
        <v>99</v>
      </c>
      <c r="J409" s="2226" t="s">
        <v>110</v>
      </c>
      <c r="K409" s="2224" t="s">
        <v>845</v>
      </c>
      <c r="L409" s="2227">
        <v>15.81</v>
      </c>
      <c r="M409" s="2227">
        <v>15.81</v>
      </c>
      <c r="N409" s="2250">
        <v>3.8815461884392655E-3</v>
      </c>
      <c r="O409" s="2224">
        <v>3</v>
      </c>
      <c r="P409" s="2225" t="s">
        <v>996</v>
      </c>
      <c r="Q409" s="2229">
        <v>25</v>
      </c>
      <c r="R409" s="2229">
        <v>75</v>
      </c>
      <c r="S409" s="2228">
        <f t="shared" si="15"/>
        <v>100</v>
      </c>
      <c r="T409" s="2997">
        <v>2475</v>
      </c>
      <c r="U409" s="2228">
        <f t="shared" si="16"/>
        <v>7425</v>
      </c>
      <c r="V409" s="2228">
        <f t="shared" si="17"/>
        <v>9900</v>
      </c>
      <c r="W409" s="2999">
        <v>395.25</v>
      </c>
      <c r="X409" s="2230">
        <f t="shared" si="18"/>
        <v>1185.75</v>
      </c>
      <c r="Y409" s="2230">
        <f t="shared" si="19"/>
        <v>1581</v>
      </c>
      <c r="Z409" s="2256">
        <v>0</v>
      </c>
      <c r="AA409" s="1652"/>
    </row>
    <row r="410" spans="8:27">
      <c r="H410" s="2351" t="s">
        <v>1301</v>
      </c>
      <c r="I410" s="2229">
        <v>69</v>
      </c>
      <c r="J410" s="2226" t="s">
        <v>110</v>
      </c>
      <c r="K410" s="2224" t="s">
        <v>845</v>
      </c>
      <c r="L410" s="2227">
        <v>15.81</v>
      </c>
      <c r="M410" s="2227">
        <v>15.81</v>
      </c>
      <c r="N410" s="2250">
        <v>2.705320070730397E-3</v>
      </c>
      <c r="O410" s="2224">
        <v>3</v>
      </c>
      <c r="P410" s="2225" t="s">
        <v>996</v>
      </c>
      <c r="Q410" s="2229">
        <v>25</v>
      </c>
      <c r="R410" s="2229">
        <v>75</v>
      </c>
      <c r="S410" s="2228">
        <f t="shared" si="15"/>
        <v>100</v>
      </c>
      <c r="T410" s="2997">
        <v>1725</v>
      </c>
      <c r="U410" s="2228">
        <f t="shared" si="16"/>
        <v>5175</v>
      </c>
      <c r="V410" s="2228">
        <f t="shared" si="17"/>
        <v>6900</v>
      </c>
      <c r="W410" s="2999">
        <v>395.25</v>
      </c>
      <c r="X410" s="2230">
        <f t="shared" si="18"/>
        <v>1185.75</v>
      </c>
      <c r="Y410" s="2230">
        <f t="shared" si="19"/>
        <v>1581</v>
      </c>
      <c r="Z410" s="2256">
        <v>0</v>
      </c>
      <c r="AA410" s="1652"/>
    </row>
    <row r="411" spans="8:27">
      <c r="H411" s="2351" t="s">
        <v>1302</v>
      </c>
      <c r="I411" s="2229">
        <v>72</v>
      </c>
      <c r="J411" s="2226" t="s">
        <v>110</v>
      </c>
      <c r="K411" s="2224" t="s">
        <v>845</v>
      </c>
      <c r="L411" s="2227">
        <v>15.81</v>
      </c>
      <c r="M411" s="2227">
        <v>15.81</v>
      </c>
      <c r="N411" s="2250">
        <v>2.8229426825012839E-3</v>
      </c>
      <c r="O411" s="2224">
        <v>3</v>
      </c>
      <c r="P411" s="2225" t="s">
        <v>996</v>
      </c>
      <c r="Q411" s="2229">
        <v>25</v>
      </c>
      <c r="R411" s="2229">
        <v>75</v>
      </c>
      <c r="S411" s="2228">
        <f t="shared" si="15"/>
        <v>100</v>
      </c>
      <c r="T411" s="2997">
        <v>1800</v>
      </c>
      <c r="U411" s="2228">
        <f t="shared" si="16"/>
        <v>5400</v>
      </c>
      <c r="V411" s="2228">
        <f t="shared" si="17"/>
        <v>7200</v>
      </c>
      <c r="W411" s="2999">
        <v>395.25</v>
      </c>
      <c r="X411" s="2230">
        <f t="shared" si="18"/>
        <v>1185.75</v>
      </c>
      <c r="Y411" s="2230">
        <f t="shared" si="19"/>
        <v>1581</v>
      </c>
      <c r="Z411" s="2256">
        <v>0</v>
      </c>
      <c r="AA411" s="1652"/>
    </row>
    <row r="412" spans="8:27">
      <c r="H412" s="2351" t="s">
        <v>1302</v>
      </c>
      <c r="I412" s="2229">
        <v>112</v>
      </c>
      <c r="J412" s="2226" t="s">
        <v>110</v>
      </c>
      <c r="K412" s="2224" t="s">
        <v>845</v>
      </c>
      <c r="L412" s="2227">
        <v>23.33</v>
      </c>
      <c r="M412" s="2227">
        <v>23.33</v>
      </c>
      <c r="N412" s="2250">
        <v>4.3912441727797756E-3</v>
      </c>
      <c r="O412" s="2224">
        <v>3</v>
      </c>
      <c r="P412" s="2225" t="s">
        <v>996</v>
      </c>
      <c r="Q412" s="2229">
        <v>25</v>
      </c>
      <c r="R412" s="2229">
        <v>75</v>
      </c>
      <c r="S412" s="2228">
        <f t="shared" si="15"/>
        <v>100</v>
      </c>
      <c r="T412" s="2997">
        <v>2800</v>
      </c>
      <c r="U412" s="2228">
        <f t="shared" si="16"/>
        <v>8400</v>
      </c>
      <c r="V412" s="2228">
        <f t="shared" si="17"/>
        <v>11200</v>
      </c>
      <c r="W412" s="2999">
        <v>583.25</v>
      </c>
      <c r="X412" s="2230">
        <f t="shared" si="18"/>
        <v>1749.7499999999998</v>
      </c>
      <c r="Y412" s="2230">
        <f t="shared" si="19"/>
        <v>2333</v>
      </c>
      <c r="Z412" s="2256">
        <v>0</v>
      </c>
      <c r="AA412" s="1652"/>
    </row>
    <row r="413" spans="8:27">
      <c r="H413" s="2351" t="s">
        <v>1302</v>
      </c>
      <c r="I413" s="2229">
        <v>41</v>
      </c>
      <c r="J413" s="2226" t="s">
        <v>110</v>
      </c>
      <c r="K413" s="2224" t="s">
        <v>845</v>
      </c>
      <c r="L413" s="2227">
        <v>23.33</v>
      </c>
      <c r="M413" s="2227">
        <v>23.33</v>
      </c>
      <c r="N413" s="2250">
        <v>1.6075090275354533E-3</v>
      </c>
      <c r="O413" s="2224">
        <v>3</v>
      </c>
      <c r="P413" s="2225" t="s">
        <v>996</v>
      </c>
      <c r="Q413" s="2229">
        <v>25</v>
      </c>
      <c r="R413" s="2229">
        <v>75</v>
      </c>
      <c r="S413" s="2228">
        <f t="shared" si="15"/>
        <v>100</v>
      </c>
      <c r="T413" s="2997">
        <v>1025</v>
      </c>
      <c r="U413" s="2228">
        <f t="shared" si="16"/>
        <v>3075</v>
      </c>
      <c r="V413" s="2228">
        <f t="shared" si="17"/>
        <v>4100</v>
      </c>
      <c r="W413" s="2999">
        <v>583.25</v>
      </c>
      <c r="X413" s="2230">
        <f t="shared" si="18"/>
        <v>1749.7499999999998</v>
      </c>
      <c r="Y413" s="2230">
        <f t="shared" si="19"/>
        <v>2333</v>
      </c>
      <c r="Z413" s="2256">
        <v>0</v>
      </c>
      <c r="AA413" s="1652"/>
    </row>
    <row r="414" spans="8:27">
      <c r="H414" s="2351" t="s">
        <v>1302</v>
      </c>
      <c r="I414" s="2229">
        <v>31</v>
      </c>
      <c r="J414" s="2226" t="s">
        <v>110</v>
      </c>
      <c r="K414" s="2224" t="s">
        <v>845</v>
      </c>
      <c r="L414" s="2227">
        <v>23.33</v>
      </c>
      <c r="M414" s="2227">
        <v>23.33</v>
      </c>
      <c r="N414" s="2250">
        <v>1.2154336549658306E-3</v>
      </c>
      <c r="O414" s="2224">
        <v>3</v>
      </c>
      <c r="P414" s="2225" t="s">
        <v>996</v>
      </c>
      <c r="Q414" s="2229">
        <v>25</v>
      </c>
      <c r="R414" s="2229">
        <v>75</v>
      </c>
      <c r="S414" s="2228">
        <f t="shared" si="15"/>
        <v>100</v>
      </c>
      <c r="T414" s="2997">
        <v>775</v>
      </c>
      <c r="U414" s="2228">
        <f t="shared" si="16"/>
        <v>2325</v>
      </c>
      <c r="V414" s="2228">
        <f t="shared" si="17"/>
        <v>3100</v>
      </c>
      <c r="W414" s="2999">
        <v>583.25</v>
      </c>
      <c r="X414" s="2230">
        <f t="shared" si="18"/>
        <v>1749.7499999999998</v>
      </c>
      <c r="Y414" s="2230">
        <f t="shared" si="19"/>
        <v>2333</v>
      </c>
      <c r="Z414" s="2256">
        <v>0</v>
      </c>
      <c r="AA414" s="1652"/>
    </row>
    <row r="415" spans="8:27">
      <c r="H415" s="2351" t="s">
        <v>1302</v>
      </c>
      <c r="I415" s="2229">
        <v>60</v>
      </c>
      <c r="J415" s="2226" t="s">
        <v>110</v>
      </c>
      <c r="K415" s="2224" t="s">
        <v>845</v>
      </c>
      <c r="L415" s="2227">
        <v>23.33</v>
      </c>
      <c r="M415" s="2227">
        <v>23.33</v>
      </c>
      <c r="N415" s="2250">
        <v>2.3524522354177366E-3</v>
      </c>
      <c r="O415" s="2224">
        <v>3</v>
      </c>
      <c r="P415" s="2225" t="s">
        <v>996</v>
      </c>
      <c r="Q415" s="2229">
        <v>25</v>
      </c>
      <c r="R415" s="2229">
        <v>75</v>
      </c>
      <c r="S415" s="2228">
        <f t="shared" si="15"/>
        <v>100</v>
      </c>
      <c r="T415" s="2997">
        <v>1500</v>
      </c>
      <c r="U415" s="2228">
        <f t="shared" si="16"/>
        <v>4500</v>
      </c>
      <c r="V415" s="2228">
        <f t="shared" si="17"/>
        <v>6000</v>
      </c>
      <c r="W415" s="2999">
        <v>583.25</v>
      </c>
      <c r="X415" s="2230">
        <f t="shared" si="18"/>
        <v>1749.7499999999998</v>
      </c>
      <c r="Y415" s="2230">
        <f t="shared" si="19"/>
        <v>2333</v>
      </c>
      <c r="Z415" s="2256">
        <v>0</v>
      </c>
      <c r="AA415" s="1652"/>
    </row>
    <row r="416" spans="8:27">
      <c r="H416" s="2351" t="s">
        <v>1302</v>
      </c>
      <c r="I416" s="2229">
        <v>49</v>
      </c>
      <c r="J416" s="2226" t="s">
        <v>110</v>
      </c>
      <c r="K416" s="2224" t="s">
        <v>845</v>
      </c>
      <c r="L416" s="2227">
        <v>23.33</v>
      </c>
      <c r="M416" s="2227">
        <v>23.33</v>
      </c>
      <c r="N416" s="2250">
        <v>1.9211693255911516E-3</v>
      </c>
      <c r="O416" s="2224">
        <v>3</v>
      </c>
      <c r="P416" s="2225" t="s">
        <v>996</v>
      </c>
      <c r="Q416" s="2229">
        <v>25</v>
      </c>
      <c r="R416" s="2229">
        <v>75</v>
      </c>
      <c r="S416" s="2228">
        <f t="shared" si="15"/>
        <v>100</v>
      </c>
      <c r="T416" s="2997">
        <v>1225</v>
      </c>
      <c r="U416" s="2228">
        <f t="shared" si="16"/>
        <v>3675</v>
      </c>
      <c r="V416" s="2228">
        <f t="shared" si="17"/>
        <v>4900</v>
      </c>
      <c r="W416" s="2999">
        <v>583.25</v>
      </c>
      <c r="X416" s="2230">
        <f t="shared" si="18"/>
        <v>1749.7499999999998</v>
      </c>
      <c r="Y416" s="2230">
        <f t="shared" si="19"/>
        <v>2333</v>
      </c>
      <c r="Z416" s="2256">
        <v>0</v>
      </c>
      <c r="AA416" s="1652"/>
    </row>
    <row r="417" spans="8:27">
      <c r="H417" s="2351" t="s">
        <v>1302</v>
      </c>
      <c r="I417" s="2229">
        <v>45</v>
      </c>
      <c r="J417" s="2226" t="s">
        <v>110</v>
      </c>
      <c r="K417" s="2224" t="s">
        <v>845</v>
      </c>
      <c r="L417" s="2227">
        <v>23.33</v>
      </c>
      <c r="M417" s="2227">
        <v>23.33</v>
      </c>
      <c r="N417" s="2250">
        <v>1.7643391765633026E-3</v>
      </c>
      <c r="O417" s="2224">
        <v>3</v>
      </c>
      <c r="P417" s="2225" t="s">
        <v>996</v>
      </c>
      <c r="Q417" s="2229">
        <v>25</v>
      </c>
      <c r="R417" s="2229">
        <v>75</v>
      </c>
      <c r="S417" s="2228">
        <f t="shared" si="15"/>
        <v>100</v>
      </c>
      <c r="T417" s="2997">
        <v>1125</v>
      </c>
      <c r="U417" s="2228">
        <f t="shared" si="16"/>
        <v>3375</v>
      </c>
      <c r="V417" s="2228">
        <f t="shared" si="17"/>
        <v>4500</v>
      </c>
      <c r="W417" s="2999">
        <v>583.25</v>
      </c>
      <c r="X417" s="2230">
        <f t="shared" si="18"/>
        <v>1749.7499999999998</v>
      </c>
      <c r="Y417" s="2230">
        <f t="shared" si="19"/>
        <v>2333</v>
      </c>
      <c r="Z417" s="2256">
        <v>0</v>
      </c>
      <c r="AA417" s="1652"/>
    </row>
    <row r="418" spans="8:27">
      <c r="H418" s="2351" t="s">
        <v>1302</v>
      </c>
      <c r="I418" s="2229">
        <v>31</v>
      </c>
      <c r="J418" s="2226" t="s">
        <v>110</v>
      </c>
      <c r="K418" s="2224" t="s">
        <v>845</v>
      </c>
      <c r="L418" s="2227">
        <v>23.33</v>
      </c>
      <c r="M418" s="2227">
        <v>23.33</v>
      </c>
      <c r="N418" s="2250">
        <v>1.2154336549658306E-3</v>
      </c>
      <c r="O418" s="2224">
        <v>3</v>
      </c>
      <c r="P418" s="2225" t="s">
        <v>996</v>
      </c>
      <c r="Q418" s="2229">
        <v>25</v>
      </c>
      <c r="R418" s="2229">
        <v>75</v>
      </c>
      <c r="S418" s="2228">
        <f t="shared" ref="S418:S458" si="20">Q418+R418</f>
        <v>100</v>
      </c>
      <c r="T418" s="2997">
        <v>775</v>
      </c>
      <c r="U418" s="2228">
        <f t="shared" ref="U418:U458" si="21">I418*R418</f>
        <v>2325</v>
      </c>
      <c r="V418" s="2228">
        <f t="shared" ref="V418:V458" si="22">T418+U418</f>
        <v>3100</v>
      </c>
      <c r="W418" s="2999">
        <v>583.25</v>
      </c>
      <c r="X418" s="2230">
        <f t="shared" ref="X418:X458" si="23">M418*R418</f>
        <v>1749.7499999999998</v>
      </c>
      <c r="Y418" s="2230">
        <f t="shared" ref="Y418:Y458" si="24">W418+X418</f>
        <v>2333</v>
      </c>
      <c r="Z418" s="2256">
        <v>0</v>
      </c>
      <c r="AA418" s="1652"/>
    </row>
    <row r="419" spans="8:27">
      <c r="H419" s="2351" t="s">
        <v>1303</v>
      </c>
      <c r="I419" s="2229">
        <v>33</v>
      </c>
      <c r="J419" s="2226" t="s">
        <v>110</v>
      </c>
      <c r="K419" s="2224" t="s">
        <v>845</v>
      </c>
      <c r="L419" s="2227">
        <v>23.33</v>
      </c>
      <c r="M419" s="2227">
        <v>23.33</v>
      </c>
      <c r="N419" s="2250">
        <v>1.2938487294797553E-3</v>
      </c>
      <c r="O419" s="2224">
        <v>3</v>
      </c>
      <c r="P419" s="2225" t="s">
        <v>996</v>
      </c>
      <c r="Q419" s="2229">
        <v>25</v>
      </c>
      <c r="R419" s="2229">
        <v>75</v>
      </c>
      <c r="S419" s="2228">
        <f t="shared" si="20"/>
        <v>100</v>
      </c>
      <c r="T419" s="2997">
        <v>825</v>
      </c>
      <c r="U419" s="2228">
        <f t="shared" si="21"/>
        <v>2475</v>
      </c>
      <c r="V419" s="2228">
        <f t="shared" si="22"/>
        <v>3300</v>
      </c>
      <c r="W419" s="2999">
        <v>583.25</v>
      </c>
      <c r="X419" s="2230">
        <f t="shared" si="23"/>
        <v>1749.7499999999998</v>
      </c>
      <c r="Y419" s="2230">
        <f t="shared" si="24"/>
        <v>2333</v>
      </c>
      <c r="Z419" s="2256">
        <v>0</v>
      </c>
      <c r="AA419" s="1652"/>
    </row>
    <row r="420" spans="8:27">
      <c r="H420" s="2351" t="s">
        <v>1303</v>
      </c>
      <c r="I420" s="2229">
        <v>210</v>
      </c>
      <c r="J420" s="2226" t="s">
        <v>110</v>
      </c>
      <c r="K420" s="2224" t="s">
        <v>845</v>
      </c>
      <c r="L420" s="2227">
        <v>24.29</v>
      </c>
      <c r="M420" s="2227">
        <v>24.29</v>
      </c>
      <c r="N420" s="2250">
        <v>8.2335828239620788E-3</v>
      </c>
      <c r="O420" s="2224">
        <v>3</v>
      </c>
      <c r="P420" s="2225" t="s">
        <v>996</v>
      </c>
      <c r="Q420" s="2229">
        <v>25</v>
      </c>
      <c r="R420" s="2229">
        <v>75</v>
      </c>
      <c r="S420" s="2228">
        <f t="shared" si="20"/>
        <v>100</v>
      </c>
      <c r="T420" s="2997">
        <v>5250</v>
      </c>
      <c r="U420" s="2228">
        <f t="shared" si="21"/>
        <v>15750</v>
      </c>
      <c r="V420" s="2228">
        <f t="shared" si="22"/>
        <v>21000</v>
      </c>
      <c r="W420" s="2999">
        <v>607.25</v>
      </c>
      <c r="X420" s="2230">
        <f t="shared" si="23"/>
        <v>1821.75</v>
      </c>
      <c r="Y420" s="2230">
        <f t="shared" si="24"/>
        <v>2429</v>
      </c>
      <c r="Z420" s="2256">
        <v>0</v>
      </c>
      <c r="AA420" s="1652"/>
    </row>
    <row r="421" spans="8:27">
      <c r="H421" s="2351" t="s">
        <v>1303</v>
      </c>
      <c r="I421" s="2229">
        <v>77</v>
      </c>
      <c r="J421" s="2226" t="s">
        <v>110</v>
      </c>
      <c r="K421" s="2224" t="s">
        <v>845</v>
      </c>
      <c r="L421" s="2227">
        <v>24.29</v>
      </c>
      <c r="M421" s="2227">
        <v>24.29</v>
      </c>
      <c r="N421" s="2250">
        <v>3.0189803687860955E-3</v>
      </c>
      <c r="O421" s="2224">
        <v>3</v>
      </c>
      <c r="P421" s="2225" t="s">
        <v>996</v>
      </c>
      <c r="Q421" s="2229">
        <v>25</v>
      </c>
      <c r="R421" s="2229">
        <v>75</v>
      </c>
      <c r="S421" s="2228">
        <f t="shared" si="20"/>
        <v>100</v>
      </c>
      <c r="T421" s="2997">
        <v>1925</v>
      </c>
      <c r="U421" s="2228">
        <f t="shared" si="21"/>
        <v>5775</v>
      </c>
      <c r="V421" s="2228">
        <f t="shared" si="22"/>
        <v>7700</v>
      </c>
      <c r="W421" s="2999">
        <v>607.25</v>
      </c>
      <c r="X421" s="2230">
        <f t="shared" si="23"/>
        <v>1821.75</v>
      </c>
      <c r="Y421" s="2230">
        <f t="shared" si="24"/>
        <v>2429</v>
      </c>
      <c r="Z421" s="2256">
        <v>0</v>
      </c>
      <c r="AA421" s="1652"/>
    </row>
    <row r="422" spans="8:27">
      <c r="H422" s="2351" t="s">
        <v>1303</v>
      </c>
      <c r="I422" s="2229">
        <v>58</v>
      </c>
      <c r="J422" s="2226" t="s">
        <v>110</v>
      </c>
      <c r="K422" s="2224" t="s">
        <v>845</v>
      </c>
      <c r="L422" s="2227">
        <v>24.29</v>
      </c>
      <c r="M422" s="2227">
        <v>24.29</v>
      </c>
      <c r="N422" s="2250">
        <v>2.274037160903812E-3</v>
      </c>
      <c r="O422" s="2224">
        <v>3</v>
      </c>
      <c r="P422" s="2225" t="s">
        <v>996</v>
      </c>
      <c r="Q422" s="2229">
        <v>25</v>
      </c>
      <c r="R422" s="2229">
        <v>75</v>
      </c>
      <c r="S422" s="2228">
        <f t="shared" si="20"/>
        <v>100</v>
      </c>
      <c r="T422" s="2997">
        <v>1450</v>
      </c>
      <c r="U422" s="2228">
        <f t="shared" si="21"/>
        <v>4350</v>
      </c>
      <c r="V422" s="2228">
        <f t="shared" si="22"/>
        <v>5800</v>
      </c>
      <c r="W422" s="2999">
        <v>607.25</v>
      </c>
      <c r="X422" s="2230">
        <f t="shared" si="23"/>
        <v>1821.75</v>
      </c>
      <c r="Y422" s="2230">
        <f t="shared" si="24"/>
        <v>2429</v>
      </c>
      <c r="Z422" s="2256">
        <v>0</v>
      </c>
      <c r="AA422" s="1652"/>
    </row>
    <row r="423" spans="8:27">
      <c r="H423" s="2351" t="s">
        <v>1303</v>
      </c>
      <c r="I423" s="2229">
        <v>113</v>
      </c>
      <c r="J423" s="2226" t="s">
        <v>110</v>
      </c>
      <c r="K423" s="2224" t="s">
        <v>845</v>
      </c>
      <c r="L423" s="2227">
        <v>24.29</v>
      </c>
      <c r="M423" s="2227">
        <v>24.29</v>
      </c>
      <c r="N423" s="2250">
        <v>4.4304517100367371E-3</v>
      </c>
      <c r="O423" s="2224">
        <v>3</v>
      </c>
      <c r="P423" s="2225" t="s">
        <v>996</v>
      </c>
      <c r="Q423" s="2229">
        <v>25</v>
      </c>
      <c r="R423" s="2229">
        <v>75</v>
      </c>
      <c r="S423" s="2228">
        <f t="shared" si="20"/>
        <v>100</v>
      </c>
      <c r="T423" s="2997">
        <v>2825</v>
      </c>
      <c r="U423" s="2228">
        <f t="shared" si="21"/>
        <v>8475</v>
      </c>
      <c r="V423" s="2228">
        <f t="shared" si="22"/>
        <v>11300</v>
      </c>
      <c r="W423" s="2999">
        <v>607.25</v>
      </c>
      <c r="X423" s="2230">
        <f t="shared" si="23"/>
        <v>1821.75</v>
      </c>
      <c r="Y423" s="2230">
        <f t="shared" si="24"/>
        <v>2429</v>
      </c>
      <c r="Z423" s="2256">
        <v>0</v>
      </c>
      <c r="AA423" s="1652"/>
    </row>
    <row r="424" spans="8:27">
      <c r="H424" s="2351" t="s">
        <v>1303</v>
      </c>
      <c r="I424" s="2229">
        <v>92</v>
      </c>
      <c r="J424" s="2226" t="s">
        <v>110</v>
      </c>
      <c r="K424" s="2224" t="s">
        <v>845</v>
      </c>
      <c r="L424" s="2227">
        <v>24.29</v>
      </c>
      <c r="M424" s="2227">
        <v>24.29</v>
      </c>
      <c r="N424" s="2250">
        <v>3.6070934276405298E-3</v>
      </c>
      <c r="O424" s="2224">
        <v>3</v>
      </c>
      <c r="P424" s="2225" t="s">
        <v>996</v>
      </c>
      <c r="Q424" s="2229">
        <v>25</v>
      </c>
      <c r="R424" s="2229">
        <v>75</v>
      </c>
      <c r="S424" s="2228">
        <f t="shared" si="20"/>
        <v>100</v>
      </c>
      <c r="T424" s="2997">
        <v>2300</v>
      </c>
      <c r="U424" s="2228">
        <f t="shared" si="21"/>
        <v>6900</v>
      </c>
      <c r="V424" s="2228">
        <f t="shared" si="22"/>
        <v>9200</v>
      </c>
      <c r="W424" s="2999">
        <v>607.25</v>
      </c>
      <c r="X424" s="2230">
        <f t="shared" si="23"/>
        <v>1821.75</v>
      </c>
      <c r="Y424" s="2230">
        <f t="shared" si="24"/>
        <v>2429</v>
      </c>
      <c r="Z424" s="2256">
        <v>0</v>
      </c>
      <c r="AA424" s="1652"/>
    </row>
    <row r="425" spans="8:27">
      <c r="H425" s="2351" t="s">
        <v>1303</v>
      </c>
      <c r="I425" s="2229">
        <v>84</v>
      </c>
      <c r="J425" s="2226" t="s">
        <v>110</v>
      </c>
      <c r="K425" s="2224" t="s">
        <v>845</v>
      </c>
      <c r="L425" s="2227">
        <v>24.29</v>
      </c>
      <c r="M425" s="2227">
        <v>24.29</v>
      </c>
      <c r="N425" s="2250">
        <v>3.2934331295848313E-3</v>
      </c>
      <c r="O425" s="2224">
        <v>3</v>
      </c>
      <c r="P425" s="2225" t="s">
        <v>996</v>
      </c>
      <c r="Q425" s="2229">
        <v>25</v>
      </c>
      <c r="R425" s="2229">
        <v>75</v>
      </c>
      <c r="S425" s="2228">
        <f t="shared" si="20"/>
        <v>100</v>
      </c>
      <c r="T425" s="2997">
        <v>2100</v>
      </c>
      <c r="U425" s="2228">
        <f t="shared" si="21"/>
        <v>6300</v>
      </c>
      <c r="V425" s="2228">
        <f t="shared" si="22"/>
        <v>8400</v>
      </c>
      <c r="W425" s="2999">
        <v>607.25</v>
      </c>
      <c r="X425" s="2230">
        <f t="shared" si="23"/>
        <v>1821.75</v>
      </c>
      <c r="Y425" s="2230">
        <f t="shared" si="24"/>
        <v>2429</v>
      </c>
      <c r="Z425" s="2256">
        <v>0</v>
      </c>
      <c r="AA425" s="1652"/>
    </row>
    <row r="426" spans="8:27">
      <c r="H426" s="2351" t="s">
        <v>1303</v>
      </c>
      <c r="I426" s="2229">
        <v>59</v>
      </c>
      <c r="J426" s="2226" t="s">
        <v>110</v>
      </c>
      <c r="K426" s="2224" t="s">
        <v>845</v>
      </c>
      <c r="L426" s="2227">
        <v>24.29</v>
      </c>
      <c r="M426" s="2227">
        <v>24.29</v>
      </c>
      <c r="N426" s="2250">
        <v>2.3132446981607743E-3</v>
      </c>
      <c r="O426" s="2224">
        <v>3</v>
      </c>
      <c r="P426" s="2225" t="s">
        <v>996</v>
      </c>
      <c r="Q426" s="2229">
        <v>25</v>
      </c>
      <c r="R426" s="2229">
        <v>75</v>
      </c>
      <c r="S426" s="2228">
        <f t="shared" si="20"/>
        <v>100</v>
      </c>
      <c r="T426" s="2997">
        <v>1475</v>
      </c>
      <c r="U426" s="2228">
        <f t="shared" si="21"/>
        <v>4425</v>
      </c>
      <c r="V426" s="2228">
        <f t="shared" si="22"/>
        <v>5900</v>
      </c>
      <c r="W426" s="2999">
        <v>607.25</v>
      </c>
      <c r="X426" s="2230">
        <f t="shared" si="23"/>
        <v>1821.75</v>
      </c>
      <c r="Y426" s="2230">
        <f t="shared" si="24"/>
        <v>2429</v>
      </c>
      <c r="Z426" s="2256">
        <v>0</v>
      </c>
      <c r="AA426" s="1652"/>
    </row>
    <row r="427" spans="8:27">
      <c r="H427" s="2351" t="s">
        <v>1304</v>
      </c>
      <c r="I427" s="2229">
        <v>61</v>
      </c>
      <c r="J427" s="2226" t="s">
        <v>110</v>
      </c>
      <c r="K427" s="2224" t="s">
        <v>845</v>
      </c>
      <c r="L427" s="2227">
        <v>24.29</v>
      </c>
      <c r="M427" s="2227">
        <v>24.29</v>
      </c>
      <c r="N427" s="2250">
        <v>2.3916597726746989E-3</v>
      </c>
      <c r="O427" s="2224">
        <v>3</v>
      </c>
      <c r="P427" s="2225" t="s">
        <v>996</v>
      </c>
      <c r="Q427" s="2229">
        <v>25</v>
      </c>
      <c r="R427" s="2229">
        <v>75</v>
      </c>
      <c r="S427" s="2228">
        <f t="shared" si="20"/>
        <v>100</v>
      </c>
      <c r="T427" s="2997">
        <v>1525</v>
      </c>
      <c r="U427" s="2228">
        <f t="shared" si="21"/>
        <v>4575</v>
      </c>
      <c r="V427" s="2228">
        <f t="shared" si="22"/>
        <v>6100</v>
      </c>
      <c r="W427" s="2999">
        <v>607.25</v>
      </c>
      <c r="X427" s="2230">
        <f t="shared" si="23"/>
        <v>1821.75</v>
      </c>
      <c r="Y427" s="2230">
        <f t="shared" si="24"/>
        <v>2429</v>
      </c>
      <c r="Z427" s="2256">
        <v>0</v>
      </c>
      <c r="AA427" s="1652"/>
    </row>
    <row r="428" spans="8:27">
      <c r="H428" s="2351" t="s">
        <v>1304</v>
      </c>
      <c r="I428" s="2229">
        <v>299</v>
      </c>
      <c r="J428" s="2226" t="s">
        <v>110</v>
      </c>
      <c r="K428" s="2224" t="s">
        <v>845</v>
      </c>
      <c r="L428" s="2227">
        <v>31.63</v>
      </c>
      <c r="M428" s="2227">
        <v>31.63</v>
      </c>
      <c r="N428" s="2250">
        <v>1.1723053639831721E-2</v>
      </c>
      <c r="O428" s="2224">
        <v>3</v>
      </c>
      <c r="P428" s="2225" t="s">
        <v>996</v>
      </c>
      <c r="Q428" s="2229">
        <v>25</v>
      </c>
      <c r="R428" s="2229">
        <v>75</v>
      </c>
      <c r="S428" s="2228">
        <f t="shared" si="20"/>
        <v>100</v>
      </c>
      <c r="T428" s="2997">
        <v>7475</v>
      </c>
      <c r="U428" s="2228">
        <f t="shared" si="21"/>
        <v>22425</v>
      </c>
      <c r="V428" s="2228">
        <f t="shared" si="22"/>
        <v>29900</v>
      </c>
      <c r="W428" s="2999">
        <v>790.75</v>
      </c>
      <c r="X428" s="2230">
        <f t="shared" si="23"/>
        <v>2372.25</v>
      </c>
      <c r="Y428" s="2230">
        <f t="shared" si="24"/>
        <v>3163</v>
      </c>
      <c r="Z428" s="2256">
        <v>0</v>
      </c>
      <c r="AA428" s="1652"/>
    </row>
    <row r="429" spans="8:27">
      <c r="H429" s="2351" t="s">
        <v>1304</v>
      </c>
      <c r="I429" s="2229">
        <v>110</v>
      </c>
      <c r="J429" s="2226" t="s">
        <v>110</v>
      </c>
      <c r="K429" s="2224" t="s">
        <v>845</v>
      </c>
      <c r="L429" s="2227">
        <v>31.63</v>
      </c>
      <c r="M429" s="2227">
        <v>31.63</v>
      </c>
      <c r="N429" s="2250">
        <v>4.312829098265851E-3</v>
      </c>
      <c r="O429" s="2224">
        <v>3</v>
      </c>
      <c r="P429" s="2225" t="s">
        <v>996</v>
      </c>
      <c r="Q429" s="2229">
        <v>25</v>
      </c>
      <c r="R429" s="2229">
        <v>75</v>
      </c>
      <c r="S429" s="2228">
        <f t="shared" si="20"/>
        <v>100</v>
      </c>
      <c r="T429" s="2997">
        <v>2750</v>
      </c>
      <c r="U429" s="2228">
        <f t="shared" si="21"/>
        <v>8250</v>
      </c>
      <c r="V429" s="2228">
        <f t="shared" si="22"/>
        <v>11000</v>
      </c>
      <c r="W429" s="2999">
        <v>790.75</v>
      </c>
      <c r="X429" s="2230">
        <f t="shared" si="23"/>
        <v>2372.25</v>
      </c>
      <c r="Y429" s="2230">
        <f t="shared" si="24"/>
        <v>3163</v>
      </c>
      <c r="Z429" s="2256">
        <v>0</v>
      </c>
      <c r="AA429" s="1652"/>
    </row>
    <row r="430" spans="8:27">
      <c r="H430" s="2351" t="s">
        <v>1304</v>
      </c>
      <c r="I430" s="2229">
        <v>82</v>
      </c>
      <c r="J430" s="2226" t="s">
        <v>110</v>
      </c>
      <c r="K430" s="2224" t="s">
        <v>845</v>
      </c>
      <c r="L430" s="2227">
        <v>31.63</v>
      </c>
      <c r="M430" s="2227">
        <v>31.63</v>
      </c>
      <c r="N430" s="2250">
        <v>3.2150180550709066E-3</v>
      </c>
      <c r="O430" s="2224">
        <v>3</v>
      </c>
      <c r="P430" s="2225" t="s">
        <v>996</v>
      </c>
      <c r="Q430" s="2229">
        <v>25</v>
      </c>
      <c r="R430" s="2229">
        <v>75</v>
      </c>
      <c r="S430" s="2228">
        <f t="shared" si="20"/>
        <v>100</v>
      </c>
      <c r="T430" s="2997">
        <v>2050</v>
      </c>
      <c r="U430" s="2228">
        <f t="shared" si="21"/>
        <v>6150</v>
      </c>
      <c r="V430" s="2228">
        <f t="shared" si="22"/>
        <v>8200</v>
      </c>
      <c r="W430" s="2999">
        <v>790.75</v>
      </c>
      <c r="X430" s="2230">
        <f t="shared" si="23"/>
        <v>2372.25</v>
      </c>
      <c r="Y430" s="2230">
        <f t="shared" si="24"/>
        <v>3163</v>
      </c>
      <c r="Z430" s="2256">
        <v>0</v>
      </c>
      <c r="AA430" s="1652"/>
    </row>
    <row r="431" spans="8:27">
      <c r="H431" s="2351" t="s">
        <v>1304</v>
      </c>
      <c r="I431" s="2229">
        <v>161</v>
      </c>
      <c r="J431" s="2226" t="s">
        <v>110</v>
      </c>
      <c r="K431" s="2224" t="s">
        <v>845</v>
      </c>
      <c r="L431" s="2227">
        <v>31.63</v>
      </c>
      <c r="M431" s="2227">
        <v>31.63</v>
      </c>
      <c r="N431" s="2250">
        <v>6.3124134983709272E-3</v>
      </c>
      <c r="O431" s="2224">
        <v>3</v>
      </c>
      <c r="P431" s="2225" t="s">
        <v>996</v>
      </c>
      <c r="Q431" s="2229">
        <v>25</v>
      </c>
      <c r="R431" s="2229">
        <v>75</v>
      </c>
      <c r="S431" s="2228">
        <f t="shared" si="20"/>
        <v>100</v>
      </c>
      <c r="T431" s="2997">
        <v>4025</v>
      </c>
      <c r="U431" s="2228">
        <f t="shared" si="21"/>
        <v>12075</v>
      </c>
      <c r="V431" s="2228">
        <f t="shared" si="22"/>
        <v>16100</v>
      </c>
      <c r="W431" s="2999">
        <v>790.75</v>
      </c>
      <c r="X431" s="2230">
        <f t="shared" si="23"/>
        <v>2372.25</v>
      </c>
      <c r="Y431" s="2230">
        <f t="shared" si="24"/>
        <v>3163</v>
      </c>
      <c r="Z431" s="2256">
        <v>0</v>
      </c>
      <c r="AA431" s="1652"/>
    </row>
    <row r="432" spans="8:27">
      <c r="H432" s="2351" t="s">
        <v>1304</v>
      </c>
      <c r="I432" s="2229">
        <v>131</v>
      </c>
      <c r="J432" s="2226" t="s">
        <v>110</v>
      </c>
      <c r="K432" s="2224" t="s">
        <v>845</v>
      </c>
      <c r="L432" s="2227">
        <v>31.63</v>
      </c>
      <c r="M432" s="2227">
        <v>31.63</v>
      </c>
      <c r="N432" s="2250">
        <v>5.1361873806620587E-3</v>
      </c>
      <c r="O432" s="2224">
        <v>3</v>
      </c>
      <c r="P432" s="2225" t="s">
        <v>996</v>
      </c>
      <c r="Q432" s="2229">
        <v>25</v>
      </c>
      <c r="R432" s="2229">
        <v>75</v>
      </c>
      <c r="S432" s="2228">
        <f t="shared" si="20"/>
        <v>100</v>
      </c>
      <c r="T432" s="2997">
        <v>3275</v>
      </c>
      <c r="U432" s="2228">
        <f t="shared" si="21"/>
        <v>9825</v>
      </c>
      <c r="V432" s="2228">
        <f t="shared" si="22"/>
        <v>13100</v>
      </c>
      <c r="W432" s="2999">
        <v>790.75</v>
      </c>
      <c r="X432" s="2230">
        <f t="shared" si="23"/>
        <v>2372.25</v>
      </c>
      <c r="Y432" s="2230">
        <f t="shared" si="24"/>
        <v>3163</v>
      </c>
      <c r="Z432" s="2256">
        <v>0</v>
      </c>
      <c r="AA432" s="1652"/>
    </row>
    <row r="433" spans="8:27">
      <c r="H433" s="2351" t="s">
        <v>1304</v>
      </c>
      <c r="I433" s="2229">
        <v>120</v>
      </c>
      <c r="J433" s="2226" t="s">
        <v>110</v>
      </c>
      <c r="K433" s="2224" t="s">
        <v>845</v>
      </c>
      <c r="L433" s="2227">
        <v>31.63</v>
      </c>
      <c r="M433" s="2227">
        <v>31.63</v>
      </c>
      <c r="N433" s="2250">
        <v>4.7049044708354732E-3</v>
      </c>
      <c r="O433" s="2224">
        <v>3</v>
      </c>
      <c r="P433" s="2225" t="s">
        <v>996</v>
      </c>
      <c r="Q433" s="2229">
        <v>25</v>
      </c>
      <c r="R433" s="2229">
        <v>75</v>
      </c>
      <c r="S433" s="2228">
        <f t="shared" si="20"/>
        <v>100</v>
      </c>
      <c r="T433" s="2997">
        <v>3000</v>
      </c>
      <c r="U433" s="2228">
        <f t="shared" si="21"/>
        <v>9000</v>
      </c>
      <c r="V433" s="2228">
        <f t="shared" si="22"/>
        <v>12000</v>
      </c>
      <c r="W433" s="2999">
        <v>790.75</v>
      </c>
      <c r="X433" s="2230">
        <f t="shared" si="23"/>
        <v>2372.25</v>
      </c>
      <c r="Y433" s="2230">
        <f t="shared" si="24"/>
        <v>3163</v>
      </c>
      <c r="Z433" s="2256">
        <v>0</v>
      </c>
      <c r="AA433" s="1652"/>
    </row>
    <row r="434" spans="8:27">
      <c r="H434" s="2351" t="s">
        <v>1304</v>
      </c>
      <c r="I434" s="2229">
        <v>84</v>
      </c>
      <c r="J434" s="2226" t="s">
        <v>110</v>
      </c>
      <c r="K434" s="2224" t="s">
        <v>845</v>
      </c>
      <c r="L434" s="2227">
        <v>31.63</v>
      </c>
      <c r="M434" s="2227">
        <v>31.63</v>
      </c>
      <c r="N434" s="2250">
        <v>3.2934331295848313E-3</v>
      </c>
      <c r="O434" s="2224">
        <v>3</v>
      </c>
      <c r="P434" s="2225" t="s">
        <v>996</v>
      </c>
      <c r="Q434" s="2229">
        <v>25</v>
      </c>
      <c r="R434" s="2229">
        <v>75</v>
      </c>
      <c r="S434" s="2228">
        <f t="shared" si="20"/>
        <v>100</v>
      </c>
      <c r="T434" s="2997">
        <v>2100</v>
      </c>
      <c r="U434" s="2228">
        <f t="shared" si="21"/>
        <v>6300</v>
      </c>
      <c r="V434" s="2228">
        <f t="shared" si="22"/>
        <v>8400</v>
      </c>
      <c r="W434" s="2999">
        <v>790.75</v>
      </c>
      <c r="X434" s="2230">
        <f t="shared" si="23"/>
        <v>2372.25</v>
      </c>
      <c r="Y434" s="2230">
        <f t="shared" si="24"/>
        <v>3163</v>
      </c>
      <c r="Z434" s="2256">
        <v>0</v>
      </c>
      <c r="AA434" s="1652"/>
    </row>
    <row r="435" spans="8:27">
      <c r="H435" s="2351" t="s">
        <v>1305</v>
      </c>
      <c r="I435" s="2229">
        <v>87</v>
      </c>
      <c r="J435" s="2226" t="s">
        <v>110</v>
      </c>
      <c r="K435" s="2224" t="s">
        <v>845</v>
      </c>
      <c r="L435" s="2227">
        <v>31.63</v>
      </c>
      <c r="M435" s="2227">
        <v>31.63</v>
      </c>
      <c r="N435" s="2250">
        <v>3.4110557413557182E-3</v>
      </c>
      <c r="O435" s="2224">
        <v>3</v>
      </c>
      <c r="P435" s="2225" t="s">
        <v>996</v>
      </c>
      <c r="Q435" s="2229">
        <v>25</v>
      </c>
      <c r="R435" s="2229">
        <v>75</v>
      </c>
      <c r="S435" s="2228">
        <f t="shared" si="20"/>
        <v>100</v>
      </c>
      <c r="T435" s="2997">
        <v>2175</v>
      </c>
      <c r="U435" s="2228">
        <f t="shared" si="21"/>
        <v>6525</v>
      </c>
      <c r="V435" s="2228">
        <f t="shared" si="22"/>
        <v>8700</v>
      </c>
      <c r="W435" s="2999">
        <v>790.75</v>
      </c>
      <c r="X435" s="2230">
        <f t="shared" si="23"/>
        <v>2372.25</v>
      </c>
      <c r="Y435" s="2230">
        <f t="shared" si="24"/>
        <v>3163</v>
      </c>
      <c r="Z435" s="2256">
        <v>0</v>
      </c>
      <c r="AA435" s="1652"/>
    </row>
    <row r="436" spans="8:27">
      <c r="H436" s="2351" t="s">
        <v>1305</v>
      </c>
      <c r="I436" s="2229">
        <v>255</v>
      </c>
      <c r="J436" s="2226" t="s">
        <v>110</v>
      </c>
      <c r="K436" s="2224" t="s">
        <v>845</v>
      </c>
      <c r="L436" s="2227">
        <v>35.71</v>
      </c>
      <c r="M436" s="2227">
        <v>35.71</v>
      </c>
      <c r="N436" s="2250">
        <v>9.9979220005253812E-3</v>
      </c>
      <c r="O436" s="2224">
        <v>3</v>
      </c>
      <c r="P436" s="2225" t="s">
        <v>996</v>
      </c>
      <c r="Q436" s="2229">
        <v>25</v>
      </c>
      <c r="R436" s="2229">
        <v>75</v>
      </c>
      <c r="S436" s="2228">
        <f t="shared" si="20"/>
        <v>100</v>
      </c>
      <c r="T436" s="2997">
        <v>6375</v>
      </c>
      <c r="U436" s="2228">
        <f t="shared" si="21"/>
        <v>19125</v>
      </c>
      <c r="V436" s="2228">
        <f t="shared" si="22"/>
        <v>25500</v>
      </c>
      <c r="W436" s="2999">
        <v>892.75</v>
      </c>
      <c r="X436" s="2230">
        <f t="shared" si="23"/>
        <v>2678.25</v>
      </c>
      <c r="Y436" s="2230">
        <f t="shared" si="24"/>
        <v>3571</v>
      </c>
      <c r="Z436" s="2256">
        <v>0</v>
      </c>
      <c r="AA436" s="1652"/>
    </row>
    <row r="437" spans="8:27">
      <c r="H437" s="2351" t="s">
        <v>1305</v>
      </c>
      <c r="I437" s="2229">
        <v>93</v>
      </c>
      <c r="J437" s="2226" t="s">
        <v>110</v>
      </c>
      <c r="K437" s="2224" t="s">
        <v>845</v>
      </c>
      <c r="L437" s="2227">
        <v>35.71</v>
      </c>
      <c r="M437" s="2227">
        <v>35.71</v>
      </c>
      <c r="N437" s="2250">
        <v>3.6463009648974921E-3</v>
      </c>
      <c r="O437" s="2224">
        <v>3</v>
      </c>
      <c r="P437" s="2225" t="s">
        <v>996</v>
      </c>
      <c r="Q437" s="2229">
        <v>25</v>
      </c>
      <c r="R437" s="2229">
        <v>75</v>
      </c>
      <c r="S437" s="2228">
        <f t="shared" si="20"/>
        <v>100</v>
      </c>
      <c r="T437" s="2997">
        <v>2325</v>
      </c>
      <c r="U437" s="2228">
        <f t="shared" si="21"/>
        <v>6975</v>
      </c>
      <c r="V437" s="2228">
        <f t="shared" si="22"/>
        <v>9300</v>
      </c>
      <c r="W437" s="2999">
        <v>892.75</v>
      </c>
      <c r="X437" s="2230">
        <f t="shared" si="23"/>
        <v>2678.25</v>
      </c>
      <c r="Y437" s="2230">
        <f t="shared" si="24"/>
        <v>3571</v>
      </c>
      <c r="Z437" s="2256">
        <v>0</v>
      </c>
      <c r="AA437" s="1652"/>
    </row>
    <row r="438" spans="8:27">
      <c r="H438" s="2351" t="s">
        <v>1305</v>
      </c>
      <c r="I438" s="2229">
        <v>70</v>
      </c>
      <c r="J438" s="2226" t="s">
        <v>110</v>
      </c>
      <c r="K438" s="2224" t="s">
        <v>845</v>
      </c>
      <c r="L438" s="2227">
        <v>35.71</v>
      </c>
      <c r="M438" s="2227">
        <v>35.71</v>
      </c>
      <c r="N438" s="2250">
        <v>2.7445276079873593E-3</v>
      </c>
      <c r="O438" s="2224">
        <v>3</v>
      </c>
      <c r="P438" s="2225" t="s">
        <v>996</v>
      </c>
      <c r="Q438" s="2229">
        <v>25</v>
      </c>
      <c r="R438" s="2229">
        <v>75</v>
      </c>
      <c r="S438" s="2228">
        <f t="shared" si="20"/>
        <v>100</v>
      </c>
      <c r="T438" s="2997">
        <v>1750</v>
      </c>
      <c r="U438" s="2228">
        <f t="shared" si="21"/>
        <v>5250</v>
      </c>
      <c r="V438" s="2228">
        <f t="shared" si="22"/>
        <v>7000</v>
      </c>
      <c r="W438" s="2999">
        <v>892.75</v>
      </c>
      <c r="X438" s="2230">
        <f t="shared" si="23"/>
        <v>2678.25</v>
      </c>
      <c r="Y438" s="2230">
        <f t="shared" si="24"/>
        <v>3571</v>
      </c>
      <c r="Z438" s="2256">
        <v>0</v>
      </c>
      <c r="AA438" s="1652"/>
    </row>
    <row r="439" spans="8:27">
      <c r="H439" s="2351" t="s">
        <v>1305</v>
      </c>
      <c r="I439" s="2229">
        <v>137</v>
      </c>
      <c r="J439" s="2226" t="s">
        <v>110</v>
      </c>
      <c r="K439" s="2224" t="s">
        <v>845</v>
      </c>
      <c r="L439" s="2227">
        <v>35.71</v>
      </c>
      <c r="M439" s="2227">
        <v>35.71</v>
      </c>
      <c r="N439" s="2250">
        <v>5.3714326042038326E-3</v>
      </c>
      <c r="O439" s="2224">
        <v>3</v>
      </c>
      <c r="P439" s="2225" t="s">
        <v>996</v>
      </c>
      <c r="Q439" s="2229">
        <v>25</v>
      </c>
      <c r="R439" s="2229">
        <v>75</v>
      </c>
      <c r="S439" s="2228">
        <f t="shared" si="20"/>
        <v>100</v>
      </c>
      <c r="T439" s="2997">
        <v>3425</v>
      </c>
      <c r="U439" s="2228">
        <f t="shared" si="21"/>
        <v>10275</v>
      </c>
      <c r="V439" s="2228">
        <f t="shared" si="22"/>
        <v>13700</v>
      </c>
      <c r="W439" s="2999">
        <v>892.75</v>
      </c>
      <c r="X439" s="2230">
        <f t="shared" si="23"/>
        <v>2678.25</v>
      </c>
      <c r="Y439" s="2230">
        <f t="shared" si="24"/>
        <v>3571</v>
      </c>
      <c r="Z439" s="2256">
        <v>0</v>
      </c>
      <c r="AA439" s="1652"/>
    </row>
    <row r="440" spans="8:27">
      <c r="H440" s="2351" t="s">
        <v>1305</v>
      </c>
      <c r="I440" s="2229">
        <v>112</v>
      </c>
      <c r="J440" s="2226" t="s">
        <v>110</v>
      </c>
      <c r="K440" s="2224" t="s">
        <v>845</v>
      </c>
      <c r="L440" s="2227">
        <v>35.71</v>
      </c>
      <c r="M440" s="2227">
        <v>35.71</v>
      </c>
      <c r="N440" s="2250">
        <v>4.3912441727797756E-3</v>
      </c>
      <c r="O440" s="2224">
        <v>3</v>
      </c>
      <c r="P440" s="2225" t="s">
        <v>996</v>
      </c>
      <c r="Q440" s="2229">
        <v>25</v>
      </c>
      <c r="R440" s="2229">
        <v>75</v>
      </c>
      <c r="S440" s="2228">
        <f t="shared" si="20"/>
        <v>100</v>
      </c>
      <c r="T440" s="2997">
        <v>2800</v>
      </c>
      <c r="U440" s="2228">
        <f t="shared" si="21"/>
        <v>8400</v>
      </c>
      <c r="V440" s="2228">
        <f t="shared" si="22"/>
        <v>11200</v>
      </c>
      <c r="W440" s="2999">
        <v>892.75</v>
      </c>
      <c r="X440" s="2230">
        <f t="shared" si="23"/>
        <v>2678.25</v>
      </c>
      <c r="Y440" s="2230">
        <f t="shared" si="24"/>
        <v>3571</v>
      </c>
      <c r="Z440" s="2256">
        <v>0</v>
      </c>
      <c r="AA440" s="1652"/>
    </row>
    <row r="441" spans="8:27">
      <c r="H441" s="2351" t="s">
        <v>1305</v>
      </c>
      <c r="I441" s="2229">
        <v>103</v>
      </c>
      <c r="J441" s="2226" t="s">
        <v>110</v>
      </c>
      <c r="K441" s="2224" t="s">
        <v>845</v>
      </c>
      <c r="L441" s="2227">
        <v>35.71</v>
      </c>
      <c r="M441" s="2227">
        <v>35.71</v>
      </c>
      <c r="N441" s="2250">
        <v>4.0383763374671148E-3</v>
      </c>
      <c r="O441" s="2224">
        <v>3</v>
      </c>
      <c r="P441" s="2225" t="s">
        <v>996</v>
      </c>
      <c r="Q441" s="2229">
        <v>25</v>
      </c>
      <c r="R441" s="2229">
        <v>75</v>
      </c>
      <c r="S441" s="2228">
        <f t="shared" si="20"/>
        <v>100</v>
      </c>
      <c r="T441" s="2997">
        <v>2575</v>
      </c>
      <c r="U441" s="2228">
        <f t="shared" si="21"/>
        <v>7725</v>
      </c>
      <c r="V441" s="2228">
        <f t="shared" si="22"/>
        <v>10300</v>
      </c>
      <c r="W441" s="2999">
        <v>892.75</v>
      </c>
      <c r="X441" s="2230">
        <f t="shared" si="23"/>
        <v>2678.25</v>
      </c>
      <c r="Y441" s="2230">
        <f t="shared" si="24"/>
        <v>3571</v>
      </c>
      <c r="Z441" s="2256">
        <v>0</v>
      </c>
      <c r="AA441" s="1652"/>
    </row>
    <row r="442" spans="8:27">
      <c r="H442" s="2351" t="s">
        <v>1305</v>
      </c>
      <c r="I442" s="2229">
        <v>71</v>
      </c>
      <c r="J442" s="2226" t="s">
        <v>110</v>
      </c>
      <c r="K442" s="2224" t="s">
        <v>845</v>
      </c>
      <c r="L442" s="2227">
        <v>35.71</v>
      </c>
      <c r="M442" s="2227">
        <v>35.71</v>
      </c>
      <c r="N442" s="2250">
        <v>2.7837351452443216E-3</v>
      </c>
      <c r="O442" s="2224">
        <v>3</v>
      </c>
      <c r="P442" s="2225" t="s">
        <v>996</v>
      </c>
      <c r="Q442" s="2229">
        <v>25</v>
      </c>
      <c r="R442" s="2229">
        <v>75</v>
      </c>
      <c r="S442" s="2228">
        <f t="shared" si="20"/>
        <v>100</v>
      </c>
      <c r="T442" s="2997">
        <v>1775</v>
      </c>
      <c r="U442" s="2228">
        <f t="shared" si="21"/>
        <v>5325</v>
      </c>
      <c r="V442" s="2228">
        <f t="shared" si="22"/>
        <v>7100</v>
      </c>
      <c r="W442" s="2999">
        <v>892.75</v>
      </c>
      <c r="X442" s="2230">
        <f t="shared" si="23"/>
        <v>2678.25</v>
      </c>
      <c r="Y442" s="2230">
        <f t="shared" si="24"/>
        <v>3571</v>
      </c>
      <c r="Z442" s="2256">
        <v>0</v>
      </c>
      <c r="AA442" s="1652"/>
    </row>
    <row r="443" spans="8:27">
      <c r="H443" s="2351" t="s">
        <v>1306</v>
      </c>
      <c r="I443" s="2229">
        <v>74</v>
      </c>
      <c r="J443" s="2226" t="s">
        <v>110</v>
      </c>
      <c r="K443" s="2224" t="s">
        <v>845</v>
      </c>
      <c r="L443" s="2227">
        <v>35.71</v>
      </c>
      <c r="M443" s="2227">
        <v>35.71</v>
      </c>
      <c r="N443" s="2250">
        <v>2.9013577570152086E-3</v>
      </c>
      <c r="O443" s="2224">
        <v>3</v>
      </c>
      <c r="P443" s="2225" t="s">
        <v>996</v>
      </c>
      <c r="Q443" s="2229">
        <v>25</v>
      </c>
      <c r="R443" s="2229">
        <v>75</v>
      </c>
      <c r="S443" s="2228">
        <f t="shared" si="20"/>
        <v>100</v>
      </c>
      <c r="T443" s="2997">
        <v>1850</v>
      </c>
      <c r="U443" s="2228">
        <f t="shared" si="21"/>
        <v>5550</v>
      </c>
      <c r="V443" s="2228">
        <f t="shared" si="22"/>
        <v>7400</v>
      </c>
      <c r="W443" s="2999">
        <v>892.75</v>
      </c>
      <c r="X443" s="2230">
        <f t="shared" si="23"/>
        <v>2678.25</v>
      </c>
      <c r="Y443" s="2230">
        <f t="shared" si="24"/>
        <v>3571</v>
      </c>
      <c r="Z443" s="2256">
        <v>0</v>
      </c>
      <c r="AA443" s="1652"/>
    </row>
    <row r="444" spans="8:27">
      <c r="H444" s="2351" t="s">
        <v>1306</v>
      </c>
      <c r="I444" s="2229">
        <v>344</v>
      </c>
      <c r="J444" s="2226" t="s">
        <v>110</v>
      </c>
      <c r="K444" s="2224" t="s">
        <v>845</v>
      </c>
      <c r="L444" s="2227">
        <v>35.71</v>
      </c>
      <c r="M444" s="2227">
        <v>35.71</v>
      </c>
      <c r="N444" s="2250">
        <v>1.3487392816395024E-2</v>
      </c>
      <c r="O444" s="2224">
        <v>3</v>
      </c>
      <c r="P444" s="2225" t="s">
        <v>996</v>
      </c>
      <c r="Q444" s="2229">
        <v>25</v>
      </c>
      <c r="R444" s="2229">
        <v>75</v>
      </c>
      <c r="S444" s="2228">
        <f t="shared" si="20"/>
        <v>100</v>
      </c>
      <c r="T444" s="2997">
        <v>8600</v>
      </c>
      <c r="U444" s="2228">
        <f t="shared" si="21"/>
        <v>25800</v>
      </c>
      <c r="V444" s="2228">
        <f t="shared" si="22"/>
        <v>34400</v>
      </c>
      <c r="W444" s="2999">
        <v>892.75</v>
      </c>
      <c r="X444" s="2230">
        <f t="shared" si="23"/>
        <v>2678.25</v>
      </c>
      <c r="Y444" s="2230">
        <f t="shared" si="24"/>
        <v>3571</v>
      </c>
      <c r="Z444" s="2256">
        <v>0</v>
      </c>
      <c r="AA444" s="1652"/>
    </row>
    <row r="445" spans="8:27">
      <c r="H445" s="2351" t="s">
        <v>1306</v>
      </c>
      <c r="I445" s="2229">
        <v>126</v>
      </c>
      <c r="J445" s="2226" t="s">
        <v>110</v>
      </c>
      <c r="K445" s="2224" t="s">
        <v>845</v>
      </c>
      <c r="L445" s="2227">
        <v>35.71</v>
      </c>
      <c r="M445" s="2227">
        <v>35.71</v>
      </c>
      <c r="N445" s="2250">
        <v>4.9401496943772471E-3</v>
      </c>
      <c r="O445" s="2224">
        <v>3</v>
      </c>
      <c r="P445" s="2225" t="s">
        <v>996</v>
      </c>
      <c r="Q445" s="2229">
        <v>25</v>
      </c>
      <c r="R445" s="2229">
        <v>75</v>
      </c>
      <c r="S445" s="2228">
        <f t="shared" si="20"/>
        <v>100</v>
      </c>
      <c r="T445" s="2997">
        <v>3150</v>
      </c>
      <c r="U445" s="2228">
        <f t="shared" si="21"/>
        <v>9450</v>
      </c>
      <c r="V445" s="2228">
        <f t="shared" si="22"/>
        <v>12600</v>
      </c>
      <c r="W445" s="2999">
        <v>892.75</v>
      </c>
      <c r="X445" s="2230">
        <f t="shared" si="23"/>
        <v>2678.25</v>
      </c>
      <c r="Y445" s="2230">
        <f t="shared" si="24"/>
        <v>3571</v>
      </c>
      <c r="Z445" s="2256">
        <v>0</v>
      </c>
      <c r="AA445" s="1652"/>
    </row>
    <row r="446" spans="8:27">
      <c r="H446" s="2351" t="s">
        <v>1306</v>
      </c>
      <c r="I446" s="2229">
        <v>95</v>
      </c>
      <c r="J446" s="2226" t="s">
        <v>110</v>
      </c>
      <c r="K446" s="2224" t="s">
        <v>845</v>
      </c>
      <c r="L446" s="2227">
        <v>35.71</v>
      </c>
      <c r="M446" s="2227">
        <v>35.71</v>
      </c>
      <c r="N446" s="2250">
        <v>3.7247160394114163E-3</v>
      </c>
      <c r="O446" s="2224">
        <v>3</v>
      </c>
      <c r="P446" s="2225" t="s">
        <v>996</v>
      </c>
      <c r="Q446" s="2229">
        <v>25</v>
      </c>
      <c r="R446" s="2229">
        <v>75</v>
      </c>
      <c r="S446" s="2228">
        <f t="shared" si="20"/>
        <v>100</v>
      </c>
      <c r="T446" s="2997">
        <v>2375</v>
      </c>
      <c r="U446" s="2228">
        <f t="shared" si="21"/>
        <v>7125</v>
      </c>
      <c r="V446" s="2228">
        <f t="shared" si="22"/>
        <v>9500</v>
      </c>
      <c r="W446" s="2999">
        <v>892.75</v>
      </c>
      <c r="X446" s="2230">
        <f t="shared" si="23"/>
        <v>2678.25</v>
      </c>
      <c r="Y446" s="2230">
        <f t="shared" si="24"/>
        <v>3571</v>
      </c>
      <c r="Z446" s="2256">
        <v>0</v>
      </c>
      <c r="AA446" s="1652"/>
    </row>
    <row r="447" spans="8:27">
      <c r="H447" s="2351" t="s">
        <v>1306</v>
      </c>
      <c r="I447" s="2229">
        <v>185</v>
      </c>
      <c r="J447" s="2226" t="s">
        <v>110</v>
      </c>
      <c r="K447" s="2224" t="s">
        <v>845</v>
      </c>
      <c r="L447" s="2227">
        <v>35.71</v>
      </c>
      <c r="M447" s="2227">
        <v>35.71</v>
      </c>
      <c r="N447" s="2250">
        <v>7.2533943925380219E-3</v>
      </c>
      <c r="O447" s="2224">
        <v>3</v>
      </c>
      <c r="P447" s="2225" t="s">
        <v>996</v>
      </c>
      <c r="Q447" s="2229">
        <v>25</v>
      </c>
      <c r="R447" s="2229">
        <v>75</v>
      </c>
      <c r="S447" s="2228">
        <f t="shared" si="20"/>
        <v>100</v>
      </c>
      <c r="T447" s="2997">
        <v>4625</v>
      </c>
      <c r="U447" s="2228">
        <f t="shared" si="21"/>
        <v>13875</v>
      </c>
      <c r="V447" s="2228">
        <f t="shared" si="22"/>
        <v>18500</v>
      </c>
      <c r="W447" s="2999">
        <v>892.75</v>
      </c>
      <c r="X447" s="2230">
        <f t="shared" si="23"/>
        <v>2678.25</v>
      </c>
      <c r="Y447" s="2230">
        <f t="shared" si="24"/>
        <v>3571</v>
      </c>
      <c r="Z447" s="2256">
        <v>0</v>
      </c>
      <c r="AA447" s="1652"/>
    </row>
    <row r="448" spans="8:27">
      <c r="H448" s="2351" t="s">
        <v>1306</v>
      </c>
      <c r="I448" s="2229">
        <v>151</v>
      </c>
      <c r="J448" s="2226" t="s">
        <v>110</v>
      </c>
      <c r="K448" s="2224" t="s">
        <v>845</v>
      </c>
      <c r="L448" s="2227">
        <v>35.71</v>
      </c>
      <c r="M448" s="2227">
        <v>35.71</v>
      </c>
      <c r="N448" s="2250">
        <v>5.9203381258013041E-3</v>
      </c>
      <c r="O448" s="2224">
        <v>3</v>
      </c>
      <c r="P448" s="2225" t="s">
        <v>996</v>
      </c>
      <c r="Q448" s="2229">
        <v>25</v>
      </c>
      <c r="R448" s="2229">
        <v>75</v>
      </c>
      <c r="S448" s="2228">
        <f t="shared" si="20"/>
        <v>100</v>
      </c>
      <c r="T448" s="2997">
        <v>3775</v>
      </c>
      <c r="U448" s="2228">
        <f t="shared" si="21"/>
        <v>11325</v>
      </c>
      <c r="V448" s="2228">
        <f t="shared" si="22"/>
        <v>15100</v>
      </c>
      <c r="W448" s="2999">
        <v>892.75</v>
      </c>
      <c r="X448" s="2230">
        <f t="shared" si="23"/>
        <v>2678.25</v>
      </c>
      <c r="Y448" s="2230">
        <f t="shared" si="24"/>
        <v>3571</v>
      </c>
      <c r="Z448" s="2256">
        <v>0</v>
      </c>
      <c r="AA448" s="1652"/>
    </row>
    <row r="449" spans="8:27">
      <c r="H449" s="2351" t="s">
        <v>1306</v>
      </c>
      <c r="I449" s="2229">
        <v>139</v>
      </c>
      <c r="J449" s="2226" t="s">
        <v>110</v>
      </c>
      <c r="K449" s="2224" t="s">
        <v>845</v>
      </c>
      <c r="L449" s="2227">
        <v>35.71</v>
      </c>
      <c r="M449" s="2227">
        <v>35.71</v>
      </c>
      <c r="N449" s="2250">
        <v>5.4498476787177563E-3</v>
      </c>
      <c r="O449" s="2224">
        <v>3</v>
      </c>
      <c r="P449" s="2225" t="s">
        <v>996</v>
      </c>
      <c r="Q449" s="2229">
        <v>25</v>
      </c>
      <c r="R449" s="2229">
        <v>75</v>
      </c>
      <c r="S449" s="2228">
        <f t="shared" si="20"/>
        <v>100</v>
      </c>
      <c r="T449" s="2997">
        <v>3475</v>
      </c>
      <c r="U449" s="2228">
        <f t="shared" si="21"/>
        <v>10425</v>
      </c>
      <c r="V449" s="2228">
        <f t="shared" si="22"/>
        <v>13900</v>
      </c>
      <c r="W449" s="2999">
        <v>892.75</v>
      </c>
      <c r="X449" s="2230">
        <f t="shared" si="23"/>
        <v>2678.25</v>
      </c>
      <c r="Y449" s="2230">
        <f t="shared" si="24"/>
        <v>3571</v>
      </c>
      <c r="Z449" s="2256">
        <v>0</v>
      </c>
      <c r="AA449" s="1652"/>
    </row>
    <row r="450" spans="8:27">
      <c r="H450" s="2351" t="s">
        <v>1306</v>
      </c>
      <c r="I450" s="2229">
        <v>96</v>
      </c>
      <c r="J450" s="2226" t="s">
        <v>110</v>
      </c>
      <c r="K450" s="2224" t="s">
        <v>845</v>
      </c>
      <c r="L450" s="2227">
        <v>35.71</v>
      </c>
      <c r="M450" s="2227">
        <v>35.71</v>
      </c>
      <c r="N450" s="2250">
        <v>3.7639235766683786E-3</v>
      </c>
      <c r="O450" s="2224">
        <v>3</v>
      </c>
      <c r="P450" s="2225" t="s">
        <v>996</v>
      </c>
      <c r="Q450" s="2229">
        <v>25</v>
      </c>
      <c r="R450" s="2229">
        <v>75</v>
      </c>
      <c r="S450" s="2228">
        <f t="shared" si="20"/>
        <v>100</v>
      </c>
      <c r="T450" s="2997">
        <v>2400</v>
      </c>
      <c r="U450" s="2228">
        <f t="shared" si="21"/>
        <v>7200</v>
      </c>
      <c r="V450" s="2228">
        <f t="shared" si="22"/>
        <v>9600</v>
      </c>
      <c r="W450" s="2999">
        <v>892.75</v>
      </c>
      <c r="X450" s="2230">
        <f t="shared" si="23"/>
        <v>2678.25</v>
      </c>
      <c r="Y450" s="2230">
        <f t="shared" si="24"/>
        <v>3571</v>
      </c>
      <c r="Z450" s="2256">
        <v>0</v>
      </c>
      <c r="AA450" s="1652"/>
    </row>
    <row r="451" spans="8:27">
      <c r="H451" s="2351" t="s">
        <v>1307</v>
      </c>
      <c r="I451" s="2229">
        <v>100</v>
      </c>
      <c r="J451" s="2226" t="s">
        <v>110</v>
      </c>
      <c r="K451" s="2224" t="s">
        <v>845</v>
      </c>
      <c r="L451" s="2227">
        <v>35.71</v>
      </c>
      <c r="M451" s="2227">
        <v>35.71</v>
      </c>
      <c r="N451" s="2250">
        <v>3.9207537256962278E-3</v>
      </c>
      <c r="O451" s="2224">
        <v>3</v>
      </c>
      <c r="P451" s="2225" t="s">
        <v>996</v>
      </c>
      <c r="Q451" s="2229">
        <v>25</v>
      </c>
      <c r="R451" s="2229">
        <v>75</v>
      </c>
      <c r="S451" s="2228">
        <f t="shared" si="20"/>
        <v>100</v>
      </c>
      <c r="T451" s="2997">
        <v>2500</v>
      </c>
      <c r="U451" s="2228">
        <f t="shared" si="21"/>
        <v>7500</v>
      </c>
      <c r="V451" s="2228">
        <f t="shared" si="22"/>
        <v>10000</v>
      </c>
      <c r="W451" s="2999">
        <v>892.75</v>
      </c>
      <c r="X451" s="2230">
        <f t="shared" si="23"/>
        <v>2678.25</v>
      </c>
      <c r="Y451" s="2230">
        <f t="shared" si="24"/>
        <v>3571</v>
      </c>
      <c r="Z451" s="2256">
        <v>0</v>
      </c>
      <c r="AA451" s="1652"/>
    </row>
    <row r="452" spans="8:27">
      <c r="H452" s="2351" t="s">
        <v>1307</v>
      </c>
      <c r="I452" s="2229">
        <v>159</v>
      </c>
      <c r="J452" s="2226" t="s">
        <v>110</v>
      </c>
      <c r="K452" s="2224" t="s">
        <v>845</v>
      </c>
      <c r="L452" s="2227">
        <v>13.68</v>
      </c>
      <c r="M452" s="2227">
        <v>13.68</v>
      </c>
      <c r="N452" s="2250">
        <v>6.2339984238570026E-3</v>
      </c>
      <c r="O452" s="2224">
        <v>3</v>
      </c>
      <c r="P452" s="2225" t="s">
        <v>996</v>
      </c>
      <c r="Q452" s="2229">
        <v>25</v>
      </c>
      <c r="R452" s="2229">
        <v>75</v>
      </c>
      <c r="S452" s="2228">
        <f t="shared" si="20"/>
        <v>100</v>
      </c>
      <c r="T452" s="2997">
        <v>3975</v>
      </c>
      <c r="U452" s="2228">
        <f t="shared" si="21"/>
        <v>11925</v>
      </c>
      <c r="V452" s="2228">
        <f t="shared" si="22"/>
        <v>15900</v>
      </c>
      <c r="W452" s="2999">
        <v>342</v>
      </c>
      <c r="X452" s="2230">
        <f t="shared" si="23"/>
        <v>1026</v>
      </c>
      <c r="Y452" s="2230">
        <f t="shared" si="24"/>
        <v>1368</v>
      </c>
      <c r="Z452" s="2256">
        <v>0</v>
      </c>
      <c r="AA452" s="1652"/>
    </row>
    <row r="453" spans="8:27">
      <c r="H453" s="2351" t="s">
        <v>1307</v>
      </c>
      <c r="I453" s="2229">
        <v>58</v>
      </c>
      <c r="J453" s="2226" t="s">
        <v>110</v>
      </c>
      <c r="K453" s="2224" t="s">
        <v>845</v>
      </c>
      <c r="L453" s="2227">
        <v>13.68</v>
      </c>
      <c r="M453" s="2227">
        <v>13.68</v>
      </c>
      <c r="N453" s="2250">
        <v>2.274037160903812E-3</v>
      </c>
      <c r="O453" s="2224">
        <v>3</v>
      </c>
      <c r="P453" s="2225" t="s">
        <v>996</v>
      </c>
      <c r="Q453" s="2229">
        <v>25</v>
      </c>
      <c r="R453" s="2229">
        <v>75</v>
      </c>
      <c r="S453" s="2228">
        <f t="shared" si="20"/>
        <v>100</v>
      </c>
      <c r="T453" s="2997">
        <v>1450</v>
      </c>
      <c r="U453" s="2228">
        <f t="shared" si="21"/>
        <v>4350</v>
      </c>
      <c r="V453" s="2228">
        <f t="shared" si="22"/>
        <v>5800</v>
      </c>
      <c r="W453" s="2999">
        <v>342</v>
      </c>
      <c r="X453" s="2230">
        <f t="shared" si="23"/>
        <v>1026</v>
      </c>
      <c r="Y453" s="2230">
        <f t="shared" si="24"/>
        <v>1368</v>
      </c>
      <c r="Z453" s="2256">
        <v>0</v>
      </c>
      <c r="AA453" s="1652"/>
    </row>
    <row r="454" spans="8:27">
      <c r="H454" s="2351" t="s">
        <v>1307</v>
      </c>
      <c r="I454" s="2229">
        <v>44</v>
      </c>
      <c r="J454" s="2226" t="s">
        <v>110</v>
      </c>
      <c r="K454" s="2224" t="s">
        <v>845</v>
      </c>
      <c r="L454" s="2227">
        <v>13.68</v>
      </c>
      <c r="M454" s="2227">
        <v>13.68</v>
      </c>
      <c r="N454" s="2250">
        <v>1.7251316393063403E-3</v>
      </c>
      <c r="O454" s="2224">
        <v>3</v>
      </c>
      <c r="P454" s="2225" t="s">
        <v>996</v>
      </c>
      <c r="Q454" s="2229">
        <v>25</v>
      </c>
      <c r="R454" s="2229">
        <v>75</v>
      </c>
      <c r="S454" s="2228">
        <f t="shared" si="20"/>
        <v>100</v>
      </c>
      <c r="T454" s="2997">
        <v>1100</v>
      </c>
      <c r="U454" s="2228">
        <f t="shared" si="21"/>
        <v>3300</v>
      </c>
      <c r="V454" s="2228">
        <f t="shared" si="22"/>
        <v>4400</v>
      </c>
      <c r="W454" s="2999">
        <v>342</v>
      </c>
      <c r="X454" s="2230">
        <f t="shared" si="23"/>
        <v>1026</v>
      </c>
      <c r="Y454" s="2230">
        <f t="shared" si="24"/>
        <v>1368</v>
      </c>
      <c r="Z454" s="2256">
        <v>0</v>
      </c>
      <c r="AA454" s="1652"/>
    </row>
    <row r="455" spans="8:27">
      <c r="H455" s="2351" t="s">
        <v>1307</v>
      </c>
      <c r="I455" s="2229">
        <v>86</v>
      </c>
      <c r="J455" s="2226" t="s">
        <v>110</v>
      </c>
      <c r="K455" s="2224" t="s">
        <v>845</v>
      </c>
      <c r="L455" s="2227">
        <v>13.68</v>
      </c>
      <c r="M455" s="2227">
        <v>13.68</v>
      </c>
      <c r="N455" s="2250">
        <v>3.3718482040987559E-3</v>
      </c>
      <c r="O455" s="2224">
        <v>3</v>
      </c>
      <c r="P455" s="2225" t="s">
        <v>996</v>
      </c>
      <c r="Q455" s="2229">
        <v>25</v>
      </c>
      <c r="R455" s="2229">
        <v>75</v>
      </c>
      <c r="S455" s="2228">
        <f t="shared" si="20"/>
        <v>100</v>
      </c>
      <c r="T455" s="2997">
        <v>2150</v>
      </c>
      <c r="U455" s="2228">
        <f t="shared" si="21"/>
        <v>6450</v>
      </c>
      <c r="V455" s="2228">
        <f t="shared" si="22"/>
        <v>8600</v>
      </c>
      <c r="W455" s="2999">
        <v>342</v>
      </c>
      <c r="X455" s="2230">
        <f t="shared" si="23"/>
        <v>1026</v>
      </c>
      <c r="Y455" s="2230">
        <f t="shared" si="24"/>
        <v>1368</v>
      </c>
      <c r="Z455" s="2256">
        <v>0</v>
      </c>
      <c r="AA455" s="1652"/>
    </row>
    <row r="456" spans="8:27">
      <c r="H456" s="2351" t="s">
        <v>1307</v>
      </c>
      <c r="I456" s="2229">
        <v>70</v>
      </c>
      <c r="J456" s="2226" t="s">
        <v>110</v>
      </c>
      <c r="K456" s="2224" t="s">
        <v>845</v>
      </c>
      <c r="L456" s="2227">
        <v>13.68</v>
      </c>
      <c r="M456" s="2227">
        <v>13.68</v>
      </c>
      <c r="N456" s="2250">
        <v>2.7445276079873593E-3</v>
      </c>
      <c r="O456" s="2224">
        <v>3</v>
      </c>
      <c r="P456" s="2225" t="s">
        <v>996</v>
      </c>
      <c r="Q456" s="2229">
        <v>25</v>
      </c>
      <c r="R456" s="2229">
        <v>75</v>
      </c>
      <c r="S456" s="2228">
        <f t="shared" si="20"/>
        <v>100</v>
      </c>
      <c r="T456" s="2997">
        <v>1750</v>
      </c>
      <c r="U456" s="2228">
        <f t="shared" si="21"/>
        <v>5250</v>
      </c>
      <c r="V456" s="2228">
        <f t="shared" si="22"/>
        <v>7000</v>
      </c>
      <c r="W456" s="2999">
        <v>342</v>
      </c>
      <c r="X456" s="2230">
        <f t="shared" si="23"/>
        <v>1026</v>
      </c>
      <c r="Y456" s="2230">
        <f t="shared" si="24"/>
        <v>1368</v>
      </c>
      <c r="Z456" s="2256">
        <v>0</v>
      </c>
      <c r="AA456" s="1652"/>
    </row>
    <row r="457" spans="8:27">
      <c r="H457" s="2351" t="s">
        <v>1307</v>
      </c>
      <c r="I457" s="2229">
        <v>64</v>
      </c>
      <c r="J457" s="2226" t="s">
        <v>110</v>
      </c>
      <c r="K457" s="2224" t="s">
        <v>845</v>
      </c>
      <c r="L457" s="2227">
        <v>13.68</v>
      </c>
      <c r="M457" s="2227">
        <v>13.68</v>
      </c>
      <c r="N457" s="2250">
        <v>2.5092823844455859E-3</v>
      </c>
      <c r="O457" s="2224">
        <v>3</v>
      </c>
      <c r="P457" s="2225" t="s">
        <v>996</v>
      </c>
      <c r="Q457" s="2229">
        <v>25</v>
      </c>
      <c r="R457" s="2229">
        <v>75</v>
      </c>
      <c r="S457" s="2228">
        <f t="shared" si="20"/>
        <v>100</v>
      </c>
      <c r="T457" s="2997">
        <v>1600</v>
      </c>
      <c r="U457" s="2228">
        <f t="shared" si="21"/>
        <v>4800</v>
      </c>
      <c r="V457" s="2228">
        <f t="shared" si="22"/>
        <v>6400</v>
      </c>
      <c r="W457" s="2999">
        <v>342</v>
      </c>
      <c r="X457" s="2230">
        <f t="shared" si="23"/>
        <v>1026</v>
      </c>
      <c r="Y457" s="2230">
        <f t="shared" si="24"/>
        <v>1368</v>
      </c>
      <c r="Z457" s="2256">
        <v>0</v>
      </c>
      <c r="AA457" s="1652"/>
    </row>
    <row r="458" spans="8:27">
      <c r="H458" s="2351" t="s">
        <v>1307</v>
      </c>
      <c r="I458" s="2229">
        <v>45</v>
      </c>
      <c r="J458" s="2226" t="s">
        <v>110</v>
      </c>
      <c r="K458" s="2224" t="s">
        <v>845</v>
      </c>
      <c r="L458" s="2227">
        <v>13.68</v>
      </c>
      <c r="M458" s="2227">
        <v>13.68</v>
      </c>
      <c r="N458" s="2250"/>
      <c r="O458" s="2224"/>
      <c r="P458" s="2225"/>
      <c r="Q458" s="2229"/>
      <c r="R458" s="2229"/>
      <c r="S458" s="2228">
        <f t="shared" si="20"/>
        <v>0</v>
      </c>
      <c r="T458" s="2228">
        <f t="shared" ref="T458:T459" si="25">I458*Q458</f>
        <v>0</v>
      </c>
      <c r="U458" s="2228">
        <f t="shared" si="21"/>
        <v>0</v>
      </c>
      <c r="V458" s="2228">
        <f t="shared" si="22"/>
        <v>0</v>
      </c>
      <c r="W458" s="2230">
        <f t="shared" ref="W458:W459" si="26">M458*Q458</f>
        <v>0</v>
      </c>
      <c r="X458" s="2230">
        <f t="shared" si="23"/>
        <v>0</v>
      </c>
      <c r="Y458" s="2230">
        <f t="shared" si="24"/>
        <v>0</v>
      </c>
      <c r="Z458" s="2256"/>
      <c r="AA458" s="1652"/>
    </row>
    <row r="459" spans="8:27">
      <c r="H459" s="2351"/>
      <c r="I459" s="2229"/>
      <c r="J459" s="2226" t="s">
        <v>110</v>
      </c>
      <c r="K459" s="2224"/>
      <c r="L459" s="2227"/>
      <c r="M459" s="2227"/>
      <c r="N459" s="2250"/>
      <c r="O459" s="2224"/>
      <c r="P459" s="2225"/>
      <c r="Q459" s="2229"/>
      <c r="R459" s="2229"/>
      <c r="S459" s="2228">
        <f t="shared" ref="S459" si="27">Q459+R459</f>
        <v>0</v>
      </c>
      <c r="T459" s="2228">
        <f t="shared" si="25"/>
        <v>0</v>
      </c>
      <c r="U459" s="2228">
        <f t="shared" ref="U459" si="28">I459*R459</f>
        <v>0</v>
      </c>
      <c r="V459" s="2228">
        <f t="shared" ref="V459" si="29">T459+U459</f>
        <v>0</v>
      </c>
      <c r="W459" s="2230">
        <f t="shared" si="26"/>
        <v>0</v>
      </c>
      <c r="X459" s="2230">
        <f t="shared" ref="X459" si="30">M459*R459</f>
        <v>0</v>
      </c>
      <c r="Y459" s="2230">
        <f t="shared" ref="Y459" si="31">W459+X459</f>
        <v>0</v>
      </c>
      <c r="Z459" s="2256"/>
      <c r="AA459" s="1652"/>
    </row>
  </sheetData>
  <customSheetViews>
    <customSheetView guid="{D9EFFE19-D14B-4C6F-BDF4-FF696F73968D}" showGridLines="0">
      <pane xSplit="1" ySplit="1" topLeftCell="B5" activePane="bottomRight" state="frozen"/>
      <selection pane="bottomRight" activeCell="B9" sqref="B9"/>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2">
    <mergeCell ref="Z12:Z13"/>
    <mergeCell ref="Z350:Z351"/>
  </mergeCells>
  <pageMargins left="0.45" right="0.2" top="0.75" bottom="0.75" header="0.3" footer="0.3"/>
  <pageSetup paperSize="3" scale="45" orientation="landscape" horizontalDpi="1200" verticalDpi="1200" r:id="rId1"/>
  <rowBreaks count="2" manualBreakCount="2">
    <brk id="115" max="16383" man="1"/>
    <brk id="345" max="16383" man="1"/>
  </rowBreaks>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8">
    <tabColor rgb="FF8DB4E3"/>
  </sheetPr>
  <dimension ref="A1:AA554"/>
  <sheetViews>
    <sheetView showGridLines="0" workbookViewId="0">
      <pane xSplit="1" ySplit="1" topLeftCell="B353" activePane="bottomRight" state="frozen"/>
      <selection pane="topRight" activeCell="B1" sqref="B1"/>
      <selection pane="bottomLeft" activeCell="A2" sqref="A2"/>
      <selection pane="bottomRight" activeCell="G368" sqref="G368"/>
    </sheetView>
  </sheetViews>
  <sheetFormatPr defaultRowHeight="12.75"/>
  <cols>
    <col min="1" max="1" width="17.7109375" customWidth="1"/>
    <col min="2" max="2" width="15.85546875" customWidth="1"/>
    <col min="3" max="3" width="28.85546875" customWidth="1"/>
    <col min="4" max="4" width="15.85546875" customWidth="1"/>
    <col min="5" max="5" width="15.85546875" style="2266" customWidth="1"/>
    <col min="6" max="7" width="15.85546875" customWidth="1"/>
    <col min="8" max="8" width="50.28515625" customWidth="1"/>
    <col min="9" max="26" width="15.85546875" customWidth="1"/>
  </cols>
  <sheetData>
    <row r="1" spans="1:27" ht="51.75" customHeight="1" thickBot="1">
      <c r="C1" s="1380" t="s">
        <v>1397</v>
      </c>
      <c r="D1" s="1380" t="s">
        <v>262</v>
      </c>
      <c r="E1" s="1380" t="s">
        <v>5</v>
      </c>
      <c r="F1" s="1380" t="s">
        <v>1398</v>
      </c>
      <c r="G1" s="1380" t="s">
        <v>4</v>
      </c>
      <c r="J1" s="1190"/>
      <c r="M1" s="1380" t="s">
        <v>1397</v>
      </c>
      <c r="N1" s="1380" t="s">
        <v>262</v>
      </c>
      <c r="O1" s="1380" t="s">
        <v>5</v>
      </c>
      <c r="P1" s="1380" t="s">
        <v>1398</v>
      </c>
      <c r="Q1" s="1380" t="s">
        <v>4</v>
      </c>
      <c r="V1" s="1380" t="s">
        <v>1397</v>
      </c>
      <c r="W1" s="1380" t="s">
        <v>262</v>
      </c>
      <c r="X1" s="1380" t="s">
        <v>5</v>
      </c>
      <c r="Y1" s="1380" t="s">
        <v>1398</v>
      </c>
      <c r="Z1" s="1380" t="s">
        <v>4</v>
      </c>
    </row>
    <row r="2" spans="1:27" ht="16.5" thickBot="1">
      <c r="C2" s="1190"/>
      <c r="D2" s="2265"/>
      <c r="G2" s="1652"/>
      <c r="I2" s="1178" t="s">
        <v>627</v>
      </c>
      <c r="S2" s="2267"/>
      <c r="U2" s="2268" t="s">
        <v>33</v>
      </c>
      <c r="X2" s="2269" t="s">
        <v>34</v>
      </c>
    </row>
    <row r="3" spans="1:27" ht="26.25" thickBot="1">
      <c r="A3" s="2276" t="s">
        <v>1397</v>
      </c>
      <c r="B3" s="2276"/>
      <c r="G3" s="1652"/>
      <c r="I3" s="2724" t="s">
        <v>7</v>
      </c>
      <c r="J3" s="2721" t="s">
        <v>8</v>
      </c>
      <c r="K3" s="2721" t="s">
        <v>9</v>
      </c>
      <c r="L3" s="2721" t="s">
        <v>10</v>
      </c>
      <c r="M3" s="2722" t="s">
        <v>482</v>
      </c>
      <c r="N3" s="2721" t="s">
        <v>11</v>
      </c>
      <c r="O3" s="2721" t="s">
        <v>12</v>
      </c>
      <c r="P3" s="2721" t="s">
        <v>13</v>
      </c>
      <c r="Q3" s="2721" t="s">
        <v>35</v>
      </c>
      <c r="R3" s="2721" t="s">
        <v>36</v>
      </c>
      <c r="S3" s="2721" t="s">
        <v>15</v>
      </c>
      <c r="T3" s="2723" t="s">
        <v>37</v>
      </c>
      <c r="U3" s="2724" t="s">
        <v>38</v>
      </c>
      <c r="V3" s="2724" t="s">
        <v>10</v>
      </c>
      <c r="W3" s="2725" t="s">
        <v>39</v>
      </c>
    </row>
    <row r="4" spans="1:27" ht="16.5" thickBot="1">
      <c r="A4" s="2276" t="s">
        <v>262</v>
      </c>
      <c r="B4" s="2276"/>
      <c r="C4" s="1190"/>
      <c r="G4" s="1652"/>
      <c r="H4" s="2946" t="s">
        <v>1726</v>
      </c>
      <c r="I4" s="2959">
        <f>D15</f>
        <v>27189.899999999998</v>
      </c>
      <c r="J4" s="2960">
        <f>D21</f>
        <v>20000</v>
      </c>
      <c r="K4" s="2960">
        <f>D27</f>
        <v>31475.6633</v>
      </c>
      <c r="L4" s="2960">
        <f>D37</f>
        <v>10000</v>
      </c>
      <c r="M4" s="2960">
        <f>D43</f>
        <v>10000</v>
      </c>
      <c r="N4" s="2960">
        <f>D49</f>
        <v>60000</v>
      </c>
      <c r="O4" s="2960">
        <f>D55</f>
        <v>1000</v>
      </c>
      <c r="P4" s="2960">
        <f>D61</f>
        <v>240000</v>
      </c>
      <c r="Q4" s="2960">
        <f>D67</f>
        <v>0</v>
      </c>
      <c r="R4" s="2960">
        <f>D68</f>
        <v>0</v>
      </c>
      <c r="S4" s="2961">
        <f>SUM(I4:R4)</f>
        <v>399665.56329999998</v>
      </c>
      <c r="T4" s="2962">
        <f>T383</f>
        <v>3090940.5</v>
      </c>
      <c r="U4" s="2977">
        <f>Q4/S4</f>
        <v>0</v>
      </c>
      <c r="V4" s="2977">
        <f>(L4+(J4*1.63))/S4</f>
        <v>0.10658911828243572</v>
      </c>
      <c r="W4" s="2977">
        <f>N4/S4</f>
        <v>0.15012551870765595</v>
      </c>
      <c r="X4" s="2956">
        <f>S4/T4</f>
        <v>0.12930225065801168</v>
      </c>
    </row>
    <row r="5" spans="1:27" ht="16.5" thickBot="1">
      <c r="A5" s="2276" t="s">
        <v>5</v>
      </c>
      <c r="B5" s="2276"/>
      <c r="C5" s="2265"/>
      <c r="G5" s="1652"/>
      <c r="H5" s="3205" t="s">
        <v>1753</v>
      </c>
      <c r="I5" s="2617">
        <v>27869.7</v>
      </c>
      <c r="J5" s="2618">
        <v>23805.368749999998</v>
      </c>
      <c r="K5" s="2618">
        <v>35139.046750000001</v>
      </c>
      <c r="L5" s="2618">
        <v>10000</v>
      </c>
      <c r="M5" s="2618">
        <v>10000</v>
      </c>
      <c r="N5" s="2618">
        <v>60000</v>
      </c>
      <c r="O5" s="2618">
        <v>1000</v>
      </c>
      <c r="P5" s="2618">
        <v>240000</v>
      </c>
      <c r="Q5" s="2618">
        <v>746489.46771000011</v>
      </c>
      <c r="R5" s="2618">
        <v>0</v>
      </c>
      <c r="S5" s="2619">
        <v>1154303.5832100001</v>
      </c>
      <c r="T5" s="2620">
        <v>3090940.5</v>
      </c>
      <c r="U5" s="2727">
        <f>Q5/S5</f>
        <v>0.64670116126131161</v>
      </c>
      <c r="V5" s="2727">
        <f>(L5+(J5*1.63))/S5</f>
        <v>4.2278956569453366E-2</v>
      </c>
      <c r="W5" s="2727">
        <f>N5/S5</f>
        <v>5.197939335261019E-2</v>
      </c>
      <c r="X5" s="2278">
        <f>S5/T5</f>
        <v>0.3734473643895766</v>
      </c>
    </row>
    <row r="6" spans="1:27" ht="16.5" thickBot="1">
      <c r="A6" s="2276">
        <v>18231134</v>
      </c>
      <c r="B6" s="2276"/>
      <c r="D6" s="1190"/>
      <c r="G6" s="1652"/>
      <c r="H6" s="3206" t="s">
        <v>1754</v>
      </c>
      <c r="I6" s="2621">
        <f>E15</f>
        <v>27869.7</v>
      </c>
      <c r="J6" s="2622">
        <f>E21</f>
        <v>23805.368749999998</v>
      </c>
      <c r="K6" s="2623">
        <f>E27</f>
        <v>46404.211737499994</v>
      </c>
      <c r="L6" s="2622">
        <f>E37</f>
        <v>10000</v>
      </c>
      <c r="M6" s="2622">
        <f>E43</f>
        <v>10000</v>
      </c>
      <c r="N6" s="2622">
        <f>E49</f>
        <v>222000</v>
      </c>
      <c r="O6" s="2622">
        <f>E55</f>
        <v>1000</v>
      </c>
      <c r="P6" s="2622">
        <f>E61</f>
        <v>0</v>
      </c>
      <c r="Q6" s="2622">
        <f>E67</f>
        <v>1366053.3499999999</v>
      </c>
      <c r="R6" s="2622">
        <f>E68</f>
        <v>0</v>
      </c>
      <c r="S6" s="2624">
        <f>SUM(I6:R6)</f>
        <v>1707132.6304874998</v>
      </c>
      <c r="T6" s="2625">
        <f>U15</f>
        <v>5099015</v>
      </c>
      <c r="U6" s="2728">
        <f>Q6/S6</f>
        <v>0.80020340868881457</v>
      </c>
      <c r="V6" s="2728">
        <f>(L6+(J6*1.63))/S6</f>
        <v>2.8587556813651653E-2</v>
      </c>
      <c r="W6" s="2728">
        <f>N6/S6</f>
        <v>0.13004262002572364</v>
      </c>
      <c r="X6" s="2636">
        <f>S6/T6</f>
        <v>0.33479655001750336</v>
      </c>
    </row>
    <row r="7" spans="1:27" ht="15.75">
      <c r="A7" s="2276" t="s">
        <v>4</v>
      </c>
      <c r="B7" s="2276"/>
      <c r="D7" s="1190"/>
      <c r="G7" s="2632"/>
      <c r="H7" s="2607"/>
      <c r="I7" s="2607"/>
      <c r="J7" s="2607"/>
      <c r="K7" s="2607"/>
      <c r="L7" s="2607"/>
      <c r="M7" s="2607"/>
      <c r="N7" s="2607"/>
      <c r="O7" s="2607"/>
      <c r="P7" s="2607"/>
      <c r="Q7" s="2607"/>
      <c r="R7" s="2607"/>
      <c r="S7" s="2608"/>
      <c r="T7" s="2633"/>
      <c r="U7" s="2633"/>
      <c r="V7" s="2633"/>
      <c r="W7" s="2634"/>
    </row>
    <row r="8" spans="1:27" ht="15.75">
      <c r="A8" s="2266"/>
      <c r="B8" s="2276"/>
      <c r="D8" s="1190"/>
    </row>
    <row r="9" spans="1:27" ht="15.75">
      <c r="A9" s="2276"/>
      <c r="B9" s="2276"/>
      <c r="D9" s="1190"/>
      <c r="I9" s="3003" t="s">
        <v>1750</v>
      </c>
      <c r="J9" s="1652"/>
      <c r="K9" s="1652"/>
      <c r="L9" s="1652"/>
      <c r="M9" s="1652"/>
      <c r="N9" s="1652"/>
      <c r="O9" s="1652"/>
      <c r="P9" s="1652"/>
      <c r="Q9" s="3003" t="s">
        <v>1752</v>
      </c>
      <c r="R9" s="1652"/>
      <c r="S9" s="1652"/>
      <c r="T9" s="3003" t="s">
        <v>1752</v>
      </c>
      <c r="U9" s="1652"/>
      <c r="V9" s="1652"/>
      <c r="W9" s="3003" t="s">
        <v>1752</v>
      </c>
      <c r="X9" s="1652"/>
      <c r="Y9" s="1652"/>
    </row>
    <row r="10" spans="1:27">
      <c r="A10" s="2276"/>
      <c r="B10" s="2276"/>
      <c r="C10" s="2279" t="s">
        <v>310</v>
      </c>
      <c r="D10" s="2279"/>
      <c r="E10" s="2321"/>
      <c r="F10" s="2279"/>
      <c r="H10" s="3595" t="s">
        <v>300</v>
      </c>
      <c r="I10" s="3595"/>
      <c r="J10" s="3595"/>
      <c r="K10" s="3595"/>
      <c r="L10" s="3595"/>
      <c r="M10" s="3595"/>
      <c r="N10" s="3595"/>
      <c r="O10" s="3595"/>
      <c r="P10" s="3595"/>
      <c r="Q10" s="2279"/>
      <c r="R10" s="2279"/>
      <c r="S10" s="2279"/>
      <c r="T10" s="2279"/>
      <c r="U10" s="2279"/>
      <c r="V10" s="2279"/>
      <c r="W10" s="2280" t="s">
        <v>300</v>
      </c>
      <c r="X10" s="2279"/>
      <c r="Y10" s="2279"/>
      <c r="Z10" s="2280" t="s">
        <v>300</v>
      </c>
      <c r="AA10" s="2279"/>
    </row>
    <row r="11" spans="1:27">
      <c r="A11" s="2276"/>
      <c r="B11" s="2276"/>
      <c r="H11" s="2281"/>
      <c r="I11" s="2282"/>
      <c r="J11" s="2282"/>
      <c r="K11" s="2281"/>
      <c r="L11" s="2281"/>
      <c r="M11" s="2281"/>
      <c r="N11" s="2281"/>
      <c r="O11" s="2281"/>
      <c r="P11" s="2281"/>
      <c r="Q11" s="2281"/>
      <c r="R11" s="2281"/>
      <c r="S11" s="2281"/>
      <c r="T11" s="2281"/>
      <c r="U11" s="2281"/>
      <c r="V11" s="2281"/>
      <c r="W11" s="2281"/>
      <c r="X11" s="2281"/>
      <c r="Y11" s="2281"/>
      <c r="Z11" s="2281"/>
      <c r="AA11" s="2281"/>
    </row>
    <row r="12" spans="1:27">
      <c r="A12" s="2276"/>
      <c r="B12" s="2276"/>
      <c r="C12" s="2283" t="s">
        <v>298</v>
      </c>
      <c r="D12" s="2881">
        <f>D15+D21+D27+D37+D43+D49+D55+D61+D67</f>
        <v>399665.56329999998</v>
      </c>
      <c r="E12" s="2322">
        <f>E15+E21+E27+E37+E43+E49+E55+E61+E67</f>
        <v>1707132.6304874998</v>
      </c>
      <c r="F12" s="2284">
        <f>D12+E12</f>
        <v>2106798.1937874998</v>
      </c>
      <c r="H12" s="3596" t="s">
        <v>301</v>
      </c>
      <c r="I12" s="3596"/>
      <c r="J12" s="3596"/>
      <c r="K12" s="3596"/>
      <c r="L12" s="3596"/>
      <c r="M12" s="3596"/>
      <c r="N12" s="3596"/>
      <c r="O12" s="3596"/>
      <c r="P12" s="3596"/>
      <c r="Q12" s="3597" t="s">
        <v>40</v>
      </c>
      <c r="R12" s="3597"/>
      <c r="S12" s="3597"/>
      <c r="T12" s="3598" t="s">
        <v>41</v>
      </c>
      <c r="U12" s="3598"/>
      <c r="V12" s="3598"/>
      <c r="W12" s="3599" t="s">
        <v>52</v>
      </c>
      <c r="X12" s="3599"/>
      <c r="Y12" s="3599"/>
      <c r="Z12" s="3567" t="s">
        <v>1728</v>
      </c>
      <c r="AA12" s="2281"/>
    </row>
    <row r="13" spans="1:27">
      <c r="C13" s="2289"/>
      <c r="D13" s="2767"/>
      <c r="E13" s="2323"/>
      <c r="H13" s="2290" t="s">
        <v>302</v>
      </c>
      <c r="I13" s="2290" t="s">
        <v>228</v>
      </c>
      <c r="J13" s="2290" t="s">
        <v>303</v>
      </c>
      <c r="K13" s="2290" t="s">
        <v>304</v>
      </c>
      <c r="L13" s="2290" t="s">
        <v>53</v>
      </c>
      <c r="M13" s="2290" t="s">
        <v>54</v>
      </c>
      <c r="N13" s="2290" t="s">
        <v>305</v>
      </c>
      <c r="O13" s="2290" t="s">
        <v>55</v>
      </c>
      <c r="P13" s="2290" t="s">
        <v>56</v>
      </c>
      <c r="Q13" s="2291">
        <v>2016</v>
      </c>
      <c r="R13" s="2291">
        <v>2017</v>
      </c>
      <c r="S13" s="2291" t="s">
        <v>306</v>
      </c>
      <c r="T13" s="2292">
        <v>2016</v>
      </c>
      <c r="U13" s="2292">
        <v>2017</v>
      </c>
      <c r="V13" s="2292" t="s">
        <v>306</v>
      </c>
      <c r="W13" s="2293">
        <v>2016</v>
      </c>
      <c r="X13" s="2293">
        <v>2017</v>
      </c>
      <c r="Y13" s="2293" t="s">
        <v>306</v>
      </c>
      <c r="Z13" s="3567"/>
      <c r="AA13" s="2281"/>
    </row>
    <row r="14" spans="1:27" ht="15.75">
      <c r="C14" s="1435" t="s">
        <v>42</v>
      </c>
      <c r="D14" s="2882">
        <v>2016</v>
      </c>
      <c r="E14" s="2294">
        <v>2017</v>
      </c>
      <c r="F14" s="2295" t="s">
        <v>20</v>
      </c>
      <c r="H14" s="2296" t="s">
        <v>307</v>
      </c>
      <c r="I14" s="2296" t="s">
        <v>307</v>
      </c>
      <c r="J14" s="2290"/>
      <c r="K14" s="2296" t="s">
        <v>307</v>
      </c>
      <c r="L14" s="2296" t="s">
        <v>307</v>
      </c>
      <c r="M14" s="2296" t="s">
        <v>307</v>
      </c>
      <c r="N14" s="2296" t="s">
        <v>307</v>
      </c>
      <c r="O14" s="2296" t="s">
        <v>307</v>
      </c>
      <c r="P14" s="2296" t="s">
        <v>307</v>
      </c>
      <c r="Q14" s="2296" t="s">
        <v>307</v>
      </c>
      <c r="R14" s="2296" t="s">
        <v>307</v>
      </c>
      <c r="S14" s="2291"/>
      <c r="T14" s="2292"/>
      <c r="U14" s="2292"/>
      <c r="V14" s="2292"/>
      <c r="W14" s="2293"/>
      <c r="X14" s="2293"/>
      <c r="Y14" s="2293"/>
      <c r="Z14" s="2338"/>
      <c r="AA14" s="2281"/>
    </row>
    <row r="15" spans="1:27">
      <c r="B15" s="2297" t="s">
        <v>296</v>
      </c>
      <c r="C15" s="2298" t="s">
        <v>43</v>
      </c>
      <c r="D15" s="2883">
        <f>SUM(D16:D19)</f>
        <v>27189.899999999998</v>
      </c>
      <c r="E15" s="2324">
        <f>SUM(E16:E19)</f>
        <v>27869.7</v>
      </c>
      <c r="F15" s="2284">
        <f>D15+E15</f>
        <v>55059.6</v>
      </c>
      <c r="H15" s="2299" t="s">
        <v>308</v>
      </c>
      <c r="I15" s="2300"/>
      <c r="J15" s="2300"/>
      <c r="K15" s="2301"/>
      <c r="L15" s="2302">
        <f>SUMPRODUCT(L16:L186,S16:S186)</f>
        <v>0</v>
      </c>
      <c r="M15" s="2302">
        <f>SUM(M16:M186)</f>
        <v>11448.162000000017</v>
      </c>
      <c r="N15" s="2303" t="s">
        <v>229</v>
      </c>
      <c r="O15" s="2301">
        <v>7</v>
      </c>
      <c r="P15" s="2301"/>
      <c r="Q15" s="2301"/>
      <c r="R15" s="2301"/>
      <c r="S15" s="2301"/>
      <c r="T15" s="2996"/>
      <c r="U15" s="2304">
        <f>SUM(U16:U370)</f>
        <v>5099015</v>
      </c>
      <c r="V15" s="2304"/>
      <c r="W15" s="3001"/>
      <c r="X15" s="2302">
        <f>SUM(X16:X370)</f>
        <v>1366053.3499999999</v>
      </c>
      <c r="Y15" s="2302"/>
      <c r="Z15" s="2301">
        <v>0</v>
      </c>
      <c r="AA15" s="2281"/>
    </row>
    <row r="16" spans="1:27">
      <c r="B16" s="2305">
        <v>0.38</v>
      </c>
      <c r="C16" s="2306" t="s">
        <v>735</v>
      </c>
      <c r="D16" s="2794">
        <v>27189.899999999998</v>
      </c>
      <c r="E16" s="2325">
        <v>27869.7</v>
      </c>
      <c r="F16" s="2307">
        <f>SUM(D16:E16)</f>
        <v>55059.6</v>
      </c>
      <c r="H16" s="2224" t="s">
        <v>2180</v>
      </c>
      <c r="I16" s="2229">
        <v>152.6</v>
      </c>
      <c r="J16" s="2226" t="s">
        <v>110</v>
      </c>
      <c r="K16" s="2224" t="s">
        <v>845</v>
      </c>
      <c r="L16" s="2227">
        <v>13.09</v>
      </c>
      <c r="M16" s="2227">
        <v>13.09</v>
      </c>
      <c r="N16" s="2250">
        <v>5.9854697426855973E-3</v>
      </c>
      <c r="O16" s="2224">
        <v>10</v>
      </c>
      <c r="P16" s="2225" t="s">
        <v>997</v>
      </c>
      <c r="Q16" s="2229"/>
      <c r="R16" s="2229">
        <v>200</v>
      </c>
      <c r="S16" s="2228"/>
      <c r="T16" s="2997"/>
      <c r="U16" s="2228">
        <f t="shared" ref="U16:U47" si="0">I16*R16</f>
        <v>30520</v>
      </c>
      <c r="V16" s="2228"/>
      <c r="W16" s="2999"/>
      <c r="X16" s="2230">
        <f t="shared" ref="X16:X47" si="1">M16*R16</f>
        <v>2618</v>
      </c>
      <c r="Y16" s="2230"/>
      <c r="Z16" s="2225"/>
      <c r="AA16" s="2281"/>
    </row>
    <row r="17" spans="2:27">
      <c r="B17" s="2305"/>
      <c r="C17" s="2306"/>
      <c r="D17" s="2791"/>
      <c r="E17" s="2326"/>
      <c r="F17" s="2342">
        <f>SUM(D17:E17)</f>
        <v>0</v>
      </c>
      <c r="H17" s="2224" t="s">
        <v>2181</v>
      </c>
      <c r="I17" s="2229">
        <v>94</v>
      </c>
      <c r="J17" s="2226" t="s">
        <v>110</v>
      </c>
      <c r="K17" s="2224" t="s">
        <v>845</v>
      </c>
      <c r="L17" s="2227">
        <v>13.09</v>
      </c>
      <c r="M17" s="2227">
        <v>13.09</v>
      </c>
      <c r="N17" s="2250">
        <v>3.6869866042755317E-3</v>
      </c>
      <c r="O17" s="2224">
        <v>10</v>
      </c>
      <c r="P17" s="2225" t="s">
        <v>997</v>
      </c>
      <c r="Q17" s="2229"/>
      <c r="R17" s="2229">
        <v>200</v>
      </c>
      <c r="S17" s="2228"/>
      <c r="T17" s="2997"/>
      <c r="U17" s="2228">
        <f t="shared" si="0"/>
        <v>18800</v>
      </c>
      <c r="V17" s="2228"/>
      <c r="W17" s="2999"/>
      <c r="X17" s="2230">
        <f t="shared" si="1"/>
        <v>2618</v>
      </c>
      <c r="Y17" s="2230"/>
      <c r="Z17" s="2225"/>
      <c r="AA17" s="2281"/>
    </row>
    <row r="18" spans="2:27">
      <c r="B18" s="2305"/>
      <c r="C18" s="2306"/>
      <c r="D18" s="2791"/>
      <c r="E18" s="2326"/>
      <c r="F18" s="2342">
        <f>SUM(D18:E18)</f>
        <v>0</v>
      </c>
      <c r="H18" s="2224" t="s">
        <v>2182</v>
      </c>
      <c r="I18" s="2229">
        <v>151</v>
      </c>
      <c r="J18" s="2226" t="s">
        <v>110</v>
      </c>
      <c r="K18" s="2224" t="s">
        <v>845</v>
      </c>
      <c r="L18" s="2227">
        <v>13.09</v>
      </c>
      <c r="M18" s="2227">
        <v>13.09</v>
      </c>
      <c r="N18" s="2250">
        <v>5.9227125238894181E-3</v>
      </c>
      <c r="O18" s="2224">
        <v>10</v>
      </c>
      <c r="P18" s="2225" t="s">
        <v>997</v>
      </c>
      <c r="Q18" s="2229"/>
      <c r="R18" s="2229">
        <v>200</v>
      </c>
      <c r="S18" s="2228"/>
      <c r="T18" s="2997"/>
      <c r="U18" s="2228">
        <f t="shared" si="0"/>
        <v>30200</v>
      </c>
      <c r="V18" s="2228"/>
      <c r="W18" s="2999"/>
      <c r="X18" s="2230">
        <f t="shared" si="1"/>
        <v>2618</v>
      </c>
      <c r="Y18" s="2230"/>
      <c r="Z18" s="2225"/>
      <c r="AA18" s="2281"/>
    </row>
    <row r="19" spans="2:27">
      <c r="B19" s="2305"/>
      <c r="C19" s="2306"/>
      <c r="D19" s="2884"/>
      <c r="E19" s="2327"/>
      <c r="F19" s="2342">
        <f>SUM(D19:E19)</f>
        <v>0</v>
      </c>
      <c r="H19" s="2224" t="s">
        <v>2183</v>
      </c>
      <c r="I19" s="2229">
        <v>189.5</v>
      </c>
      <c r="J19" s="2226" t="s">
        <v>110</v>
      </c>
      <c r="K19" s="2224" t="s">
        <v>845</v>
      </c>
      <c r="L19" s="2227">
        <v>13.09</v>
      </c>
      <c r="M19" s="2227">
        <v>13.09</v>
      </c>
      <c r="N19" s="2250">
        <v>7.4328081011724809E-3</v>
      </c>
      <c r="O19" s="2224">
        <v>10</v>
      </c>
      <c r="P19" s="2225" t="s">
        <v>997</v>
      </c>
      <c r="Q19" s="2229"/>
      <c r="R19" s="2229">
        <v>200</v>
      </c>
      <c r="S19" s="2228"/>
      <c r="T19" s="2997"/>
      <c r="U19" s="2228">
        <f t="shared" si="0"/>
        <v>37900</v>
      </c>
      <c r="V19" s="2228"/>
      <c r="W19" s="2999"/>
      <c r="X19" s="2230">
        <f t="shared" si="1"/>
        <v>2618</v>
      </c>
      <c r="Y19" s="2230"/>
      <c r="Z19" s="2225"/>
      <c r="AA19" s="2281"/>
    </row>
    <row r="20" spans="2:27">
      <c r="B20" s="1449">
        <f>SUM(B16:B19)</f>
        <v>0.38</v>
      </c>
      <c r="C20" s="2308"/>
      <c r="D20" s="2885"/>
      <c r="E20" s="2328"/>
      <c r="F20" s="2309"/>
      <c r="H20" s="2224" t="s">
        <v>2184</v>
      </c>
      <c r="I20" s="2229">
        <v>46.6</v>
      </c>
      <c r="J20" s="2226" t="s">
        <v>110</v>
      </c>
      <c r="K20" s="2224" t="s">
        <v>845</v>
      </c>
      <c r="L20" s="2227">
        <v>13.09</v>
      </c>
      <c r="M20" s="2227">
        <v>13.09</v>
      </c>
      <c r="N20" s="2250">
        <v>1.8278039974387211E-3</v>
      </c>
      <c r="O20" s="2224">
        <v>10</v>
      </c>
      <c r="P20" s="2225" t="s">
        <v>997</v>
      </c>
      <c r="Q20" s="2229"/>
      <c r="R20" s="2229">
        <v>200</v>
      </c>
      <c r="S20" s="2228"/>
      <c r="T20" s="2997"/>
      <c r="U20" s="2228">
        <f t="shared" si="0"/>
        <v>9320</v>
      </c>
      <c r="V20" s="2228"/>
      <c r="W20" s="2999"/>
      <c r="X20" s="2230">
        <f t="shared" si="1"/>
        <v>2618</v>
      </c>
      <c r="Y20" s="2230"/>
      <c r="Z20" s="2225"/>
      <c r="AA20" s="2281"/>
    </row>
    <row r="21" spans="2:27">
      <c r="B21" s="2297" t="s">
        <v>296</v>
      </c>
      <c r="C21" s="2298" t="s">
        <v>44</v>
      </c>
      <c r="D21" s="2883">
        <f>SUM(D22:D25)</f>
        <v>20000</v>
      </c>
      <c r="E21" s="2324">
        <f>SUM(E22:E25)</f>
        <v>23805.368749999998</v>
      </c>
      <c r="F21" s="2284">
        <f>D21+E21</f>
        <v>43805.368749999994</v>
      </c>
      <c r="H21" s="2224" t="s">
        <v>2185</v>
      </c>
      <c r="I21" s="2229">
        <v>343</v>
      </c>
      <c r="J21" s="2226" t="s">
        <v>110</v>
      </c>
      <c r="K21" s="2224" t="s">
        <v>845</v>
      </c>
      <c r="L21" s="2227">
        <v>190.4</v>
      </c>
      <c r="M21" s="2227">
        <v>133.28</v>
      </c>
      <c r="N21" s="2250" t="s">
        <v>229</v>
      </c>
      <c r="O21" s="2224">
        <v>8</v>
      </c>
      <c r="P21" s="2225" t="s">
        <v>1253</v>
      </c>
      <c r="Q21" s="2229"/>
      <c r="R21" s="2229"/>
      <c r="S21" s="2228"/>
      <c r="T21" s="2997"/>
      <c r="U21" s="2228">
        <f t="shared" si="0"/>
        <v>0</v>
      </c>
      <c r="V21" s="2228"/>
      <c r="W21" s="2999"/>
      <c r="X21" s="2230">
        <f t="shared" si="1"/>
        <v>0</v>
      </c>
      <c r="Y21" s="2230"/>
      <c r="Z21" s="2225"/>
      <c r="AA21" s="2281"/>
    </row>
    <row r="22" spans="2:27">
      <c r="B22" s="2305">
        <v>0.25</v>
      </c>
      <c r="C22" s="2306" t="s">
        <v>1686</v>
      </c>
      <c r="D22" s="2794">
        <v>20000</v>
      </c>
      <c r="E22" s="2325">
        <v>23805.368749999998</v>
      </c>
      <c r="F22" s="2307">
        <f>SUM(D22:E22)</f>
        <v>43805.368749999994</v>
      </c>
      <c r="H22" s="2224" t="s">
        <v>2186</v>
      </c>
      <c r="I22" s="2229">
        <v>369</v>
      </c>
      <c r="J22" s="2226" t="s">
        <v>110</v>
      </c>
      <c r="K22" s="2224" t="s">
        <v>845</v>
      </c>
      <c r="L22" s="2227">
        <v>42.4</v>
      </c>
      <c r="M22" s="2227">
        <v>42.4</v>
      </c>
      <c r="N22" s="2250" t="s">
        <v>229</v>
      </c>
      <c r="O22" s="2224">
        <v>8</v>
      </c>
      <c r="P22" s="2225" t="s">
        <v>1253</v>
      </c>
      <c r="Q22" s="2229"/>
      <c r="R22" s="2229"/>
      <c r="S22" s="2228"/>
      <c r="T22" s="2997"/>
      <c r="U22" s="2228">
        <f t="shared" si="0"/>
        <v>0</v>
      </c>
      <c r="V22" s="2228"/>
      <c r="W22" s="2999"/>
      <c r="X22" s="2230">
        <f t="shared" si="1"/>
        <v>0</v>
      </c>
      <c r="Y22" s="2230"/>
      <c r="Z22" s="2225"/>
      <c r="AA22" s="2281"/>
    </row>
    <row r="23" spans="2:27">
      <c r="B23" s="2305"/>
      <c r="C23" s="2306"/>
      <c r="D23" s="2886"/>
      <c r="E23" s="2330"/>
      <c r="F23" s="2342">
        <f>SUM(D23:E23)</f>
        <v>0</v>
      </c>
      <c r="H23" s="2224" t="s">
        <v>2187</v>
      </c>
      <c r="I23" s="2229">
        <v>230</v>
      </c>
      <c r="J23" s="2226" t="s">
        <v>110</v>
      </c>
      <c r="K23" s="2224" t="s">
        <v>845</v>
      </c>
      <c r="L23" s="2227">
        <v>42.4</v>
      </c>
      <c r="M23" s="2227">
        <v>42.4</v>
      </c>
      <c r="N23" s="2250" t="s">
        <v>229</v>
      </c>
      <c r="O23" s="2224">
        <v>8</v>
      </c>
      <c r="P23" s="2225" t="s">
        <v>1253</v>
      </c>
      <c r="Q23" s="2229"/>
      <c r="R23" s="2229"/>
      <c r="S23" s="2228"/>
      <c r="T23" s="2997"/>
      <c r="U23" s="2228">
        <f t="shared" si="0"/>
        <v>0</v>
      </c>
      <c r="V23" s="2228"/>
      <c r="W23" s="2999"/>
      <c r="X23" s="2230">
        <f t="shared" si="1"/>
        <v>0</v>
      </c>
      <c r="Y23" s="2230"/>
      <c r="Z23" s="2225"/>
      <c r="AA23" s="2281"/>
    </row>
    <row r="24" spans="2:27">
      <c r="B24" s="2305"/>
      <c r="C24" s="2306"/>
      <c r="D24" s="2887"/>
      <c r="E24" s="2331"/>
      <c r="F24" s="2342">
        <f>SUM(D24:E24)</f>
        <v>0</v>
      </c>
      <c r="H24" s="2224" t="s">
        <v>2188</v>
      </c>
      <c r="I24" s="2229">
        <v>685</v>
      </c>
      <c r="J24" s="2226" t="s">
        <v>110</v>
      </c>
      <c r="K24" s="2224" t="s">
        <v>845</v>
      </c>
      <c r="L24" s="2227">
        <v>190.4</v>
      </c>
      <c r="M24" s="2227">
        <v>133.28</v>
      </c>
      <c r="N24" s="2250">
        <v>5.3735868594228492E-2</v>
      </c>
      <c r="O24" s="2224">
        <v>15</v>
      </c>
      <c r="P24" s="2225" t="s">
        <v>1253</v>
      </c>
      <c r="Q24" s="2229"/>
      <c r="R24" s="2229">
        <v>400</v>
      </c>
      <c r="S24" s="2228"/>
      <c r="T24" s="2997"/>
      <c r="U24" s="2228">
        <f t="shared" si="0"/>
        <v>274000</v>
      </c>
      <c r="V24" s="2228"/>
      <c r="W24" s="2999"/>
      <c r="X24" s="2230">
        <f t="shared" si="1"/>
        <v>53312</v>
      </c>
      <c r="Y24" s="2230"/>
      <c r="Z24" s="2225"/>
      <c r="AA24" s="2281"/>
    </row>
    <row r="25" spans="2:27">
      <c r="B25" s="2305"/>
      <c r="C25" s="2306"/>
      <c r="D25" s="2888"/>
      <c r="E25" s="2330"/>
      <c r="F25" s="2342">
        <f>SUM(D25:E25)</f>
        <v>0</v>
      </c>
      <c r="H25" s="2224" t="s">
        <v>2189</v>
      </c>
      <c r="I25" s="2229">
        <v>1458</v>
      </c>
      <c r="J25" s="2226" t="s">
        <v>110</v>
      </c>
      <c r="K25" s="2224" t="s">
        <v>845</v>
      </c>
      <c r="L25" s="2227">
        <v>259.60000000000002</v>
      </c>
      <c r="M25" s="2227">
        <v>225.4</v>
      </c>
      <c r="N25" s="2250" t="s">
        <v>229</v>
      </c>
      <c r="O25" s="2224">
        <v>15</v>
      </c>
      <c r="P25" s="2225" t="s">
        <v>1253</v>
      </c>
      <c r="Q25" s="2229"/>
      <c r="R25" s="2229"/>
      <c r="S25" s="2228"/>
      <c r="T25" s="2997"/>
      <c r="U25" s="2228">
        <f t="shared" si="0"/>
        <v>0</v>
      </c>
      <c r="V25" s="2228"/>
      <c r="W25" s="2999"/>
      <c r="X25" s="2230">
        <f t="shared" si="1"/>
        <v>0</v>
      </c>
      <c r="Y25" s="2230"/>
      <c r="Z25" s="2225"/>
      <c r="AA25" s="2281"/>
    </row>
    <row r="26" spans="2:27">
      <c r="B26" s="1449">
        <f>SUM(B22:B25)</f>
        <v>0.25</v>
      </c>
      <c r="C26" s="2311"/>
      <c r="D26" s="2889"/>
      <c r="E26" s="2332"/>
      <c r="F26" s="2312"/>
      <c r="H26" s="2224" t="s">
        <v>2190</v>
      </c>
      <c r="I26" s="2229">
        <v>592</v>
      </c>
      <c r="J26" s="2226" t="s">
        <v>110</v>
      </c>
      <c r="K26" s="2224" t="s">
        <v>845</v>
      </c>
      <c r="L26" s="2227">
        <v>259.60000000000002</v>
      </c>
      <c r="M26" s="2227">
        <v>225.4</v>
      </c>
      <c r="N26" s="2250" t="s">
        <v>229</v>
      </c>
      <c r="O26" s="2224">
        <v>15</v>
      </c>
      <c r="P26" s="2225" t="s">
        <v>1253</v>
      </c>
      <c r="Q26" s="2229"/>
      <c r="R26" s="2229"/>
      <c r="S26" s="2228"/>
      <c r="T26" s="2997"/>
      <c r="U26" s="2228">
        <f t="shared" si="0"/>
        <v>0</v>
      </c>
      <c r="V26" s="2228"/>
      <c r="W26" s="2999"/>
      <c r="X26" s="2230">
        <f t="shared" si="1"/>
        <v>0</v>
      </c>
      <c r="Y26" s="2230"/>
      <c r="Z26" s="2225"/>
      <c r="AA26" s="2281"/>
    </row>
    <row r="27" spans="2:27">
      <c r="C27" s="1597" t="s">
        <v>1737</v>
      </c>
      <c r="D27" s="2883">
        <f>SUM(D29:D35)</f>
        <v>31475.6633</v>
      </c>
      <c r="E27" s="3012">
        <f>SUM(E29:E31)+SUM(E33:E35)</f>
        <v>46404.211737499994</v>
      </c>
      <c r="F27" s="2284">
        <f>D27+E27</f>
        <v>77879.875037499995</v>
      </c>
      <c r="H27" s="2224" t="s">
        <v>2191</v>
      </c>
      <c r="I27" s="2229">
        <v>685</v>
      </c>
      <c r="J27" s="2226" t="s">
        <v>110</v>
      </c>
      <c r="K27" s="2224" t="s">
        <v>845</v>
      </c>
      <c r="L27" s="2227">
        <v>218.82</v>
      </c>
      <c r="M27" s="2227">
        <v>153.16999999999999</v>
      </c>
      <c r="N27" s="2250" t="s">
        <v>229</v>
      </c>
      <c r="O27" s="2224">
        <v>12</v>
      </c>
      <c r="P27" s="2225" t="s">
        <v>996</v>
      </c>
      <c r="Q27" s="2229"/>
      <c r="R27" s="2229"/>
      <c r="S27" s="2228"/>
      <c r="T27" s="2997"/>
      <c r="U27" s="2228">
        <f t="shared" si="0"/>
        <v>0</v>
      </c>
      <c r="V27" s="2228"/>
      <c r="W27" s="2999"/>
      <c r="X27" s="2230">
        <f t="shared" si="1"/>
        <v>0</v>
      </c>
      <c r="Y27" s="2230"/>
      <c r="Z27" s="2225"/>
      <c r="AA27" s="2281"/>
    </row>
    <row r="28" spans="2:27">
      <c r="C28" s="1450" t="s">
        <v>1733</v>
      </c>
      <c r="D28" s="2890">
        <v>0.66700000000000004</v>
      </c>
      <c r="E28" s="2333">
        <v>0.68799999999999994</v>
      </c>
      <c r="F28" s="2313"/>
      <c r="H28" s="2224" t="s">
        <v>2192</v>
      </c>
      <c r="I28" s="2229">
        <v>62</v>
      </c>
      <c r="J28" s="2226" t="s">
        <v>110</v>
      </c>
      <c r="K28" s="2224" t="s">
        <v>845</v>
      </c>
      <c r="L28" s="2227">
        <v>106.68</v>
      </c>
      <c r="M28" s="2227">
        <v>106.68</v>
      </c>
      <c r="N28" s="2250" t="s">
        <v>229</v>
      </c>
      <c r="O28" s="2224">
        <v>12</v>
      </c>
      <c r="P28" s="2225" t="s">
        <v>996</v>
      </c>
      <c r="Q28" s="2229"/>
      <c r="R28" s="2229"/>
      <c r="S28" s="2228"/>
      <c r="T28" s="2997"/>
      <c r="U28" s="2228">
        <f t="shared" si="0"/>
        <v>0</v>
      </c>
      <c r="V28" s="2228"/>
      <c r="W28" s="2999"/>
      <c r="X28" s="2230">
        <f t="shared" si="1"/>
        <v>0</v>
      </c>
      <c r="Y28" s="2230"/>
      <c r="Z28" s="2225"/>
      <c r="AA28" s="2281"/>
    </row>
    <row r="29" spans="2:27">
      <c r="C29" s="1667" t="s">
        <v>719</v>
      </c>
      <c r="D29" s="2891">
        <f>D15*D28</f>
        <v>18135.6633</v>
      </c>
      <c r="E29" s="2334">
        <f>E15*E28</f>
        <v>19174.353599999999</v>
      </c>
      <c r="F29" s="2342">
        <f>SUM(D29:E29)</f>
        <v>37310.016900000002</v>
      </c>
      <c r="H29" s="2224" t="s">
        <v>2193</v>
      </c>
      <c r="I29" s="2229">
        <v>138</v>
      </c>
      <c r="J29" s="2226" t="s">
        <v>110</v>
      </c>
      <c r="K29" s="2224" t="s">
        <v>845</v>
      </c>
      <c r="L29" s="2227">
        <v>106.68</v>
      </c>
      <c r="M29" s="2227">
        <v>106.68</v>
      </c>
      <c r="N29" s="2250" t="s">
        <v>229</v>
      </c>
      <c r="O29" s="2224">
        <v>12</v>
      </c>
      <c r="P29" s="2225" t="s">
        <v>996</v>
      </c>
      <c r="Q29" s="2229"/>
      <c r="R29" s="2229"/>
      <c r="S29" s="2228"/>
      <c r="T29" s="2997"/>
      <c r="U29" s="2228">
        <f t="shared" si="0"/>
        <v>0</v>
      </c>
      <c r="V29" s="2228"/>
      <c r="W29" s="2999"/>
      <c r="X29" s="2230">
        <f t="shared" si="1"/>
        <v>0</v>
      </c>
      <c r="Y29" s="2230"/>
      <c r="Z29" s="2225"/>
      <c r="AA29" s="2281"/>
    </row>
    <row r="30" spans="2:27">
      <c r="C30" s="1667" t="s">
        <v>720</v>
      </c>
      <c r="D30" s="2892">
        <f>D21*D28</f>
        <v>13340</v>
      </c>
      <c r="E30" s="2334">
        <f>E21*E28</f>
        <v>16378.093699999998</v>
      </c>
      <c r="F30" s="2342">
        <f>SUM(D30:E30)</f>
        <v>29718.093699999998</v>
      </c>
      <c r="H30" s="2224" t="s">
        <v>2194</v>
      </c>
      <c r="I30" s="2229">
        <v>180</v>
      </c>
      <c r="J30" s="2226" t="s">
        <v>110</v>
      </c>
      <c r="K30" s="2224" t="s">
        <v>845</v>
      </c>
      <c r="L30" s="2227">
        <v>106.68</v>
      </c>
      <c r="M30" s="2227">
        <v>106.68</v>
      </c>
      <c r="N30" s="2250" t="s">
        <v>229</v>
      </c>
      <c r="O30" s="2224">
        <v>12</v>
      </c>
      <c r="P30" s="2225" t="s">
        <v>996</v>
      </c>
      <c r="Q30" s="2229"/>
      <c r="R30" s="2229"/>
      <c r="S30" s="2228"/>
      <c r="T30" s="2997"/>
      <c r="U30" s="2228">
        <f t="shared" si="0"/>
        <v>0</v>
      </c>
      <c r="V30" s="2228"/>
      <c r="W30" s="2999"/>
      <c r="X30" s="2230">
        <f t="shared" si="1"/>
        <v>0</v>
      </c>
      <c r="Y30" s="2230"/>
      <c r="Z30" s="2225"/>
      <c r="AA30" s="2281"/>
    </row>
    <row r="31" spans="2:27">
      <c r="C31" s="1667"/>
      <c r="D31" s="2887"/>
      <c r="E31" s="2331"/>
      <c r="F31" s="2343"/>
      <c r="H31" s="2224" t="s">
        <v>2195</v>
      </c>
      <c r="I31" s="2229">
        <v>280</v>
      </c>
      <c r="J31" s="2226" t="s">
        <v>110</v>
      </c>
      <c r="K31" s="2224" t="s">
        <v>845</v>
      </c>
      <c r="L31" s="2227">
        <v>106.68</v>
      </c>
      <c r="M31" s="2227">
        <v>106.68</v>
      </c>
      <c r="N31" s="2250">
        <v>1.6473769933997056E-2</v>
      </c>
      <c r="O31" s="2224">
        <v>12</v>
      </c>
      <c r="P31" s="2225" t="s">
        <v>996</v>
      </c>
      <c r="Q31" s="2229"/>
      <c r="R31" s="2229">
        <v>300</v>
      </c>
      <c r="S31" s="2228"/>
      <c r="T31" s="2997"/>
      <c r="U31" s="2228">
        <f t="shared" si="0"/>
        <v>84000</v>
      </c>
      <c r="V31" s="2228"/>
      <c r="W31" s="2999"/>
      <c r="X31" s="2230">
        <f t="shared" si="1"/>
        <v>32004.000000000004</v>
      </c>
      <c r="Y31" s="2230"/>
      <c r="Z31" s="2225"/>
      <c r="AA31" s="2281"/>
    </row>
    <row r="32" spans="2:27">
      <c r="C32" s="1450" t="s">
        <v>1734</v>
      </c>
      <c r="D32" s="2777"/>
      <c r="E32" s="1452">
        <v>0.21</v>
      </c>
      <c r="F32" s="1485"/>
      <c r="H32" s="2224" t="s">
        <v>2196</v>
      </c>
      <c r="I32" s="2229">
        <v>103</v>
      </c>
      <c r="J32" s="2226" t="s">
        <v>110</v>
      </c>
      <c r="K32" s="2224" t="s">
        <v>845</v>
      </c>
      <c r="L32" s="2227">
        <v>106.68</v>
      </c>
      <c r="M32" s="2227">
        <v>106.68</v>
      </c>
      <c r="N32" s="2250" t="s">
        <v>229</v>
      </c>
      <c r="O32" s="2224">
        <v>12</v>
      </c>
      <c r="P32" s="2225" t="s">
        <v>996</v>
      </c>
      <c r="Q32" s="2229"/>
      <c r="R32" s="2229"/>
      <c r="S32" s="2228"/>
      <c r="T32" s="2997"/>
      <c r="U32" s="2228">
        <f t="shared" si="0"/>
        <v>0</v>
      </c>
      <c r="V32" s="2228"/>
      <c r="W32" s="2999"/>
      <c r="X32" s="2230">
        <f t="shared" si="1"/>
        <v>0</v>
      </c>
      <c r="Y32" s="2230"/>
      <c r="Z32" s="2225"/>
      <c r="AA32" s="2281"/>
    </row>
    <row r="33" spans="1:27">
      <c r="C33" s="1667" t="s">
        <v>719</v>
      </c>
      <c r="D33" s="2778"/>
      <c r="E33" s="1641">
        <f>E15*E32</f>
        <v>5852.6369999999997</v>
      </c>
      <c r="F33" s="1661">
        <f>SUM(D33:E33)</f>
        <v>5852.6369999999997</v>
      </c>
      <c r="H33" s="2224" t="s">
        <v>2197</v>
      </c>
      <c r="I33" s="2229">
        <v>77</v>
      </c>
      <c r="J33" s="2226" t="s">
        <v>110</v>
      </c>
      <c r="K33" s="2224" t="s">
        <v>845</v>
      </c>
      <c r="L33" s="2227">
        <v>106.68</v>
      </c>
      <c r="M33" s="2227">
        <v>106.68</v>
      </c>
      <c r="N33" s="2250" t="s">
        <v>229</v>
      </c>
      <c r="O33" s="2224">
        <v>12</v>
      </c>
      <c r="P33" s="2225" t="s">
        <v>996</v>
      </c>
      <c r="Q33" s="2229"/>
      <c r="R33" s="2229"/>
      <c r="S33" s="2228"/>
      <c r="T33" s="2997"/>
      <c r="U33" s="2228">
        <f t="shared" si="0"/>
        <v>0</v>
      </c>
      <c r="V33" s="2228"/>
      <c r="W33" s="2999"/>
      <c r="X33" s="2230">
        <f t="shared" si="1"/>
        <v>0</v>
      </c>
      <c r="Y33" s="2230"/>
      <c r="Z33" s="2225"/>
      <c r="AA33" s="2281"/>
    </row>
    <row r="34" spans="1:27" ht="25.5">
      <c r="A34" s="2276" t="s">
        <v>1397</v>
      </c>
      <c r="C34" s="1667" t="s">
        <v>720</v>
      </c>
      <c r="D34" s="2785"/>
      <c r="E34" s="1641">
        <f>E21*E32</f>
        <v>4999.1274374999994</v>
      </c>
      <c r="F34" s="1661">
        <f t="shared" ref="F34" si="2">SUM(D34:E34)</f>
        <v>4999.1274374999994</v>
      </c>
      <c r="H34" s="2224" t="s">
        <v>2198</v>
      </c>
      <c r="I34" s="2229">
        <v>151</v>
      </c>
      <c r="J34" s="2226" t="s">
        <v>110</v>
      </c>
      <c r="K34" s="2224" t="s">
        <v>845</v>
      </c>
      <c r="L34" s="2227">
        <v>106.68</v>
      </c>
      <c r="M34" s="2227">
        <v>106.68</v>
      </c>
      <c r="N34" s="2250" t="s">
        <v>229</v>
      </c>
      <c r="O34" s="2224">
        <v>12</v>
      </c>
      <c r="P34" s="2225" t="s">
        <v>996</v>
      </c>
      <c r="Q34" s="2229"/>
      <c r="R34" s="2229"/>
      <c r="S34" s="2228"/>
      <c r="T34" s="2997"/>
      <c r="U34" s="2228">
        <f t="shared" si="0"/>
        <v>0</v>
      </c>
      <c r="V34" s="2228"/>
      <c r="W34" s="2999"/>
      <c r="X34" s="2230">
        <f t="shared" si="1"/>
        <v>0</v>
      </c>
      <c r="Y34" s="2230"/>
      <c r="Z34" s="2225"/>
      <c r="AA34" s="2281"/>
    </row>
    <row r="35" spans="1:27">
      <c r="A35" s="2276" t="s">
        <v>262</v>
      </c>
      <c r="C35" s="2314"/>
      <c r="D35" s="2888"/>
      <c r="E35" s="2330"/>
      <c r="F35" s="2344"/>
      <c r="H35" s="2224" t="s">
        <v>2199</v>
      </c>
      <c r="I35" s="2229">
        <v>123</v>
      </c>
      <c r="J35" s="2226" t="s">
        <v>110</v>
      </c>
      <c r="K35" s="2224" t="s">
        <v>845</v>
      </c>
      <c r="L35" s="2227">
        <v>106.68</v>
      </c>
      <c r="M35" s="2227">
        <v>106.68</v>
      </c>
      <c r="N35" s="2250" t="s">
        <v>229</v>
      </c>
      <c r="O35" s="2224">
        <v>12</v>
      </c>
      <c r="P35" s="2225" t="s">
        <v>996</v>
      </c>
      <c r="Q35" s="2229"/>
      <c r="R35" s="2229"/>
      <c r="S35" s="2228"/>
      <c r="T35" s="2997"/>
      <c r="U35" s="2228">
        <f t="shared" si="0"/>
        <v>0</v>
      </c>
      <c r="V35" s="2228"/>
      <c r="W35" s="2999"/>
      <c r="X35" s="2230">
        <f t="shared" si="1"/>
        <v>0</v>
      </c>
      <c r="Y35" s="2230"/>
      <c r="Z35" s="2225"/>
      <c r="AA35" s="2281"/>
    </row>
    <row r="36" spans="1:27">
      <c r="A36" s="2276" t="s">
        <v>5</v>
      </c>
      <c r="C36" s="2308"/>
      <c r="D36" s="2893"/>
      <c r="E36" s="2328"/>
      <c r="F36" s="2315"/>
      <c r="H36" s="2224" t="s">
        <v>2200</v>
      </c>
      <c r="I36" s="2229">
        <v>113</v>
      </c>
      <c r="J36" s="2226" t="s">
        <v>110</v>
      </c>
      <c r="K36" s="2224" t="s">
        <v>845</v>
      </c>
      <c r="L36" s="2227">
        <v>106.68</v>
      </c>
      <c r="M36" s="2227">
        <v>106.68</v>
      </c>
      <c r="N36" s="2250" t="s">
        <v>229</v>
      </c>
      <c r="O36" s="2224">
        <v>12</v>
      </c>
      <c r="P36" s="2225" t="s">
        <v>996</v>
      </c>
      <c r="Q36" s="2229"/>
      <c r="R36" s="2229"/>
      <c r="S36" s="2228"/>
      <c r="T36" s="2997"/>
      <c r="U36" s="2228">
        <f t="shared" si="0"/>
        <v>0</v>
      </c>
      <c r="V36" s="2228"/>
      <c r="W36" s="2999"/>
      <c r="X36" s="2230">
        <f t="shared" si="1"/>
        <v>0</v>
      </c>
      <c r="Y36" s="2230"/>
      <c r="Z36" s="2225"/>
      <c r="AA36" s="2281"/>
    </row>
    <row r="37" spans="1:27">
      <c r="A37" s="2276" t="s">
        <v>1398</v>
      </c>
      <c r="C37" s="2298" t="s">
        <v>46</v>
      </c>
      <c r="D37" s="2883">
        <f>SUM(D38:D41)</f>
        <v>10000</v>
      </c>
      <c r="E37" s="2324">
        <f>SUM(E38:E41)</f>
        <v>10000</v>
      </c>
      <c r="F37" s="2284">
        <f>D37+E37</f>
        <v>20000</v>
      </c>
      <c r="H37" s="2224" t="s">
        <v>2201</v>
      </c>
      <c r="I37" s="2229">
        <v>78</v>
      </c>
      <c r="J37" s="2226" t="s">
        <v>110</v>
      </c>
      <c r="K37" s="2224" t="s">
        <v>845</v>
      </c>
      <c r="L37" s="2227">
        <v>106.68</v>
      </c>
      <c r="M37" s="2227">
        <v>106.68</v>
      </c>
      <c r="N37" s="2250" t="s">
        <v>229</v>
      </c>
      <c r="O37" s="2224">
        <v>12</v>
      </c>
      <c r="P37" s="2225" t="s">
        <v>996</v>
      </c>
      <c r="Q37" s="2229"/>
      <c r="R37" s="2229"/>
      <c r="S37" s="2228"/>
      <c r="T37" s="2997"/>
      <c r="U37" s="2228">
        <f t="shared" si="0"/>
        <v>0</v>
      </c>
      <c r="V37" s="2228"/>
      <c r="W37" s="2999"/>
      <c r="X37" s="2230">
        <f t="shared" si="1"/>
        <v>0</v>
      </c>
      <c r="Y37" s="2230"/>
      <c r="Z37" s="2225"/>
      <c r="AA37" s="2281"/>
    </row>
    <row r="38" spans="1:27">
      <c r="A38" s="2276" t="s">
        <v>4</v>
      </c>
      <c r="C38" s="2306"/>
      <c r="D38" s="2891">
        <v>10000</v>
      </c>
      <c r="E38" s="2335">
        <v>10000</v>
      </c>
      <c r="F38" s="2342">
        <f>SUM(D38:E38)</f>
        <v>20000</v>
      </c>
      <c r="H38" s="2224" t="s">
        <v>2202</v>
      </c>
      <c r="I38" s="2229">
        <v>81</v>
      </c>
      <c r="J38" s="2226" t="s">
        <v>110</v>
      </c>
      <c r="K38" s="2224" t="s">
        <v>845</v>
      </c>
      <c r="L38" s="2227">
        <v>106.68</v>
      </c>
      <c r="M38" s="2227">
        <v>106.68</v>
      </c>
      <c r="N38" s="2250" t="s">
        <v>229</v>
      </c>
      <c r="O38" s="2224">
        <v>12</v>
      </c>
      <c r="P38" s="2225" t="s">
        <v>996</v>
      </c>
      <c r="Q38" s="2229"/>
      <c r="R38" s="2229"/>
      <c r="S38" s="2228"/>
      <c r="T38" s="2997"/>
      <c r="U38" s="2228">
        <f t="shared" si="0"/>
        <v>0</v>
      </c>
      <c r="V38" s="2228"/>
      <c r="W38" s="2999"/>
      <c r="X38" s="2230">
        <f t="shared" si="1"/>
        <v>0</v>
      </c>
      <c r="Y38" s="2230"/>
      <c r="Z38" s="2225"/>
      <c r="AA38" s="2281"/>
    </row>
    <row r="39" spans="1:27">
      <c r="A39" s="2266"/>
      <c r="C39" s="2306"/>
      <c r="D39" s="2891"/>
      <c r="E39" s="2335"/>
      <c r="F39" s="2342">
        <f>SUM(D39:E39)</f>
        <v>0</v>
      </c>
      <c r="H39" s="2224" t="s">
        <v>2203</v>
      </c>
      <c r="I39" s="2229">
        <v>937</v>
      </c>
      <c r="J39" s="2226" t="s">
        <v>110</v>
      </c>
      <c r="K39" s="2224" t="s">
        <v>845</v>
      </c>
      <c r="L39" s="2227">
        <v>298.62</v>
      </c>
      <c r="M39" s="2227">
        <v>209.03</v>
      </c>
      <c r="N39" s="2250">
        <v>9.1880490643781194E-3</v>
      </c>
      <c r="O39" s="2224">
        <v>12</v>
      </c>
      <c r="P39" s="2225" t="s">
        <v>996</v>
      </c>
      <c r="Q39" s="2229"/>
      <c r="R39" s="2229">
        <v>50</v>
      </c>
      <c r="S39" s="2228"/>
      <c r="T39" s="2997"/>
      <c r="U39" s="2228">
        <f t="shared" si="0"/>
        <v>46850</v>
      </c>
      <c r="V39" s="2228"/>
      <c r="W39" s="2999"/>
      <c r="X39" s="2230">
        <f t="shared" si="1"/>
        <v>10451.5</v>
      </c>
      <c r="Y39" s="2230"/>
      <c r="Z39" s="2225"/>
      <c r="AA39" s="2281"/>
    </row>
    <row r="40" spans="1:27">
      <c r="A40" s="2266"/>
      <c r="C40" s="2306"/>
      <c r="D40" s="2891"/>
      <c r="E40" s="2335"/>
      <c r="F40" s="2342">
        <f>SUM(D40:E40)</f>
        <v>0</v>
      </c>
      <c r="H40" s="2224" t="s">
        <v>2204</v>
      </c>
      <c r="I40" s="2229">
        <v>181</v>
      </c>
      <c r="J40" s="2226" t="s">
        <v>110</v>
      </c>
      <c r="K40" s="2224" t="s">
        <v>845</v>
      </c>
      <c r="L40" s="2227">
        <v>176.82</v>
      </c>
      <c r="M40" s="2227">
        <v>70.73</v>
      </c>
      <c r="N40" s="2250">
        <v>1.7748525940794446E-3</v>
      </c>
      <c r="O40" s="2224">
        <v>12</v>
      </c>
      <c r="P40" s="2225" t="s">
        <v>996</v>
      </c>
      <c r="Q40" s="2229"/>
      <c r="R40" s="2229">
        <v>50</v>
      </c>
      <c r="S40" s="2228"/>
      <c r="T40" s="2997"/>
      <c r="U40" s="2228">
        <f t="shared" si="0"/>
        <v>9050</v>
      </c>
      <c r="V40" s="2228"/>
      <c r="W40" s="2999"/>
      <c r="X40" s="2230">
        <f t="shared" si="1"/>
        <v>3536.5</v>
      </c>
      <c r="Y40" s="2230"/>
      <c r="Z40" s="2225"/>
      <c r="AA40" s="2281"/>
    </row>
    <row r="41" spans="1:27">
      <c r="C41" s="2306"/>
      <c r="D41" s="2891"/>
      <c r="E41" s="2335"/>
      <c r="F41" s="2342">
        <f>SUM(D41:E41)</f>
        <v>0</v>
      </c>
      <c r="H41" s="2224" t="s">
        <v>2205</v>
      </c>
      <c r="I41" s="2229">
        <v>601</v>
      </c>
      <c r="J41" s="2226" t="s">
        <v>110</v>
      </c>
      <c r="K41" s="2224" t="s">
        <v>845</v>
      </c>
      <c r="L41" s="2227">
        <v>218.82</v>
      </c>
      <c r="M41" s="2227">
        <v>153.16999999999999</v>
      </c>
      <c r="N41" s="2250">
        <v>5.8932950775787089E-3</v>
      </c>
      <c r="O41" s="2224">
        <v>12</v>
      </c>
      <c r="P41" s="2225" t="s">
        <v>996</v>
      </c>
      <c r="Q41" s="2229"/>
      <c r="R41" s="2229">
        <v>50</v>
      </c>
      <c r="S41" s="2228"/>
      <c r="T41" s="2997"/>
      <c r="U41" s="2228">
        <f t="shared" si="0"/>
        <v>30050</v>
      </c>
      <c r="V41" s="2228"/>
      <c r="W41" s="2999"/>
      <c r="X41" s="2230">
        <f t="shared" si="1"/>
        <v>7658.4999999999991</v>
      </c>
      <c r="Y41" s="2230"/>
      <c r="Z41" s="2225"/>
      <c r="AA41" s="2281"/>
    </row>
    <row r="42" spans="1:27">
      <c r="C42" s="2308"/>
      <c r="D42" s="2893"/>
      <c r="E42" s="2328"/>
      <c r="F42" s="2315"/>
      <c r="H42" s="2224" t="s">
        <v>2206</v>
      </c>
      <c r="I42" s="2229">
        <v>153</v>
      </c>
      <c r="J42" s="2226" t="s">
        <v>110</v>
      </c>
      <c r="K42" s="2224" t="s">
        <v>845</v>
      </c>
      <c r="L42" s="2227">
        <v>127.54</v>
      </c>
      <c r="M42" s="2227">
        <v>127.54</v>
      </c>
      <c r="N42" s="2250" t="s">
        <v>229</v>
      </c>
      <c r="O42" s="2224">
        <v>12</v>
      </c>
      <c r="P42" s="2225" t="s">
        <v>996</v>
      </c>
      <c r="Q42" s="2229"/>
      <c r="R42" s="2229"/>
      <c r="S42" s="2228"/>
      <c r="T42" s="2997"/>
      <c r="U42" s="2228">
        <f t="shared" si="0"/>
        <v>0</v>
      </c>
      <c r="V42" s="2228"/>
      <c r="W42" s="2999"/>
      <c r="X42" s="2230">
        <f t="shared" si="1"/>
        <v>0</v>
      </c>
      <c r="Y42" s="2230"/>
      <c r="Z42" s="2225"/>
      <c r="AA42" s="2281"/>
    </row>
    <row r="43" spans="1:27">
      <c r="C43" s="2298" t="s">
        <v>483</v>
      </c>
      <c r="D43" s="2883">
        <f>SUM(D44:D47)</f>
        <v>10000</v>
      </c>
      <c r="E43" s="2324">
        <f>SUM(E44:E47)</f>
        <v>10000</v>
      </c>
      <c r="F43" s="2284">
        <f>D43+E43</f>
        <v>20000</v>
      </c>
      <c r="H43" s="2224" t="s">
        <v>2207</v>
      </c>
      <c r="I43" s="2229">
        <v>285</v>
      </c>
      <c r="J43" s="2226" t="s">
        <v>110</v>
      </c>
      <c r="K43" s="2224" t="s">
        <v>845</v>
      </c>
      <c r="L43" s="2227">
        <v>127.54</v>
      </c>
      <c r="M43" s="2227">
        <v>127.54</v>
      </c>
      <c r="N43" s="2250" t="s">
        <v>229</v>
      </c>
      <c r="O43" s="2224">
        <v>12</v>
      </c>
      <c r="P43" s="2225" t="s">
        <v>996</v>
      </c>
      <c r="Q43" s="2229"/>
      <c r="R43" s="2229"/>
      <c r="S43" s="2228"/>
      <c r="T43" s="2997"/>
      <c r="U43" s="2228">
        <f t="shared" si="0"/>
        <v>0</v>
      </c>
      <c r="V43" s="2228"/>
      <c r="W43" s="2999"/>
      <c r="X43" s="2230">
        <f t="shared" si="1"/>
        <v>0</v>
      </c>
      <c r="Y43" s="2230"/>
      <c r="Z43" s="2225"/>
      <c r="AA43" s="2281"/>
    </row>
    <row r="44" spans="1:27">
      <c r="C44" s="2306"/>
      <c r="D44" s="2891">
        <v>10000</v>
      </c>
      <c r="E44" s="2335">
        <v>10000</v>
      </c>
      <c r="F44" s="2342">
        <f>SUM(D44:E44)</f>
        <v>20000</v>
      </c>
      <c r="H44" s="2224" t="s">
        <v>2208</v>
      </c>
      <c r="I44" s="2229">
        <v>358</v>
      </c>
      <c r="J44" s="2226" t="s">
        <v>110</v>
      </c>
      <c r="K44" s="2224" t="s">
        <v>845</v>
      </c>
      <c r="L44" s="2227">
        <v>149.94</v>
      </c>
      <c r="M44" s="2227">
        <v>149.94</v>
      </c>
      <c r="N44" s="2250" t="s">
        <v>229</v>
      </c>
      <c r="O44" s="2224">
        <v>12</v>
      </c>
      <c r="P44" s="2225" t="s">
        <v>996</v>
      </c>
      <c r="Q44" s="2229"/>
      <c r="R44" s="2229"/>
      <c r="S44" s="2228"/>
      <c r="T44" s="2997"/>
      <c r="U44" s="2228">
        <f t="shared" si="0"/>
        <v>0</v>
      </c>
      <c r="V44" s="2228"/>
      <c r="W44" s="2999"/>
      <c r="X44" s="2230">
        <f t="shared" si="1"/>
        <v>0</v>
      </c>
      <c r="Y44" s="2230"/>
      <c r="Z44" s="2225"/>
      <c r="AA44" s="2281"/>
    </row>
    <row r="45" spans="1:27">
      <c r="C45" s="2306"/>
      <c r="D45" s="2891"/>
      <c r="E45" s="2335"/>
      <c r="F45" s="2342">
        <f>SUM(D45:E45)</f>
        <v>0</v>
      </c>
      <c r="H45" s="2224" t="s">
        <v>2209</v>
      </c>
      <c r="I45" s="2229">
        <v>637</v>
      </c>
      <c r="J45" s="2226" t="s">
        <v>110</v>
      </c>
      <c r="K45" s="2224" t="s">
        <v>845</v>
      </c>
      <c r="L45" s="2227">
        <v>179.34</v>
      </c>
      <c r="M45" s="2227">
        <v>179.34</v>
      </c>
      <c r="N45" s="2250" t="s">
        <v>229</v>
      </c>
      <c r="O45" s="2224">
        <v>12</v>
      </c>
      <c r="P45" s="2225" t="s">
        <v>996</v>
      </c>
      <c r="Q45" s="2229"/>
      <c r="R45" s="2229"/>
      <c r="S45" s="2228"/>
      <c r="T45" s="2997"/>
      <c r="U45" s="2228">
        <f t="shared" si="0"/>
        <v>0</v>
      </c>
      <c r="V45" s="2228"/>
      <c r="W45" s="2999"/>
      <c r="X45" s="2230">
        <f t="shared" si="1"/>
        <v>0</v>
      </c>
      <c r="Y45" s="2230"/>
      <c r="Z45" s="2225"/>
      <c r="AA45" s="2281"/>
    </row>
    <row r="46" spans="1:27">
      <c r="C46" s="2306"/>
      <c r="D46" s="2891"/>
      <c r="E46" s="2335"/>
      <c r="F46" s="2342">
        <f>SUM(D46:E46)</f>
        <v>0</v>
      </c>
      <c r="H46" s="2224" t="s">
        <v>2210</v>
      </c>
      <c r="I46" s="2229">
        <v>20</v>
      </c>
      <c r="J46" s="2226" t="s">
        <v>110</v>
      </c>
      <c r="K46" s="2224" t="s">
        <v>845</v>
      </c>
      <c r="L46" s="2227">
        <v>127.2</v>
      </c>
      <c r="M46" s="2227">
        <v>127.2</v>
      </c>
      <c r="N46" s="2250" t="s">
        <v>229</v>
      </c>
      <c r="O46" s="2224">
        <v>12</v>
      </c>
      <c r="P46" s="2225" t="s">
        <v>996</v>
      </c>
      <c r="Q46" s="2229"/>
      <c r="R46" s="2229"/>
      <c r="S46" s="2228"/>
      <c r="T46" s="2997"/>
      <c r="U46" s="2228">
        <f t="shared" si="0"/>
        <v>0</v>
      </c>
      <c r="V46" s="2228"/>
      <c r="W46" s="2999"/>
      <c r="X46" s="2230">
        <f t="shared" si="1"/>
        <v>0</v>
      </c>
      <c r="Y46" s="2230"/>
      <c r="Z46" s="2225"/>
      <c r="AA46" s="2281"/>
    </row>
    <row r="47" spans="1:27">
      <c r="C47" s="2306"/>
      <c r="D47" s="2891"/>
      <c r="E47" s="2335"/>
      <c r="F47" s="2342">
        <f>SUM(D47:E47)</f>
        <v>0</v>
      </c>
      <c r="H47" s="2224" t="s">
        <v>2211</v>
      </c>
      <c r="I47" s="2229">
        <v>102</v>
      </c>
      <c r="J47" s="2226" t="s">
        <v>110</v>
      </c>
      <c r="K47" s="2224" t="s">
        <v>845</v>
      </c>
      <c r="L47" s="2227">
        <v>127.2</v>
      </c>
      <c r="M47" s="2227">
        <v>127.2</v>
      </c>
      <c r="N47" s="2250" t="s">
        <v>229</v>
      </c>
      <c r="O47" s="2224">
        <v>12</v>
      </c>
      <c r="P47" s="2225" t="s">
        <v>996</v>
      </c>
      <c r="Q47" s="2229"/>
      <c r="R47" s="2229"/>
      <c r="S47" s="2228"/>
      <c r="T47" s="2997"/>
      <c r="U47" s="2228">
        <f t="shared" si="0"/>
        <v>0</v>
      </c>
      <c r="V47" s="2228"/>
      <c r="W47" s="2999"/>
      <c r="X47" s="2230">
        <f t="shared" si="1"/>
        <v>0</v>
      </c>
      <c r="Y47" s="2230"/>
      <c r="Z47" s="2225"/>
      <c r="AA47" s="2281"/>
    </row>
    <row r="48" spans="1:27">
      <c r="C48" s="2308"/>
      <c r="D48" s="2893"/>
      <c r="E48" s="2328"/>
      <c r="F48" s="2315"/>
      <c r="H48" s="2224" t="s">
        <v>2212</v>
      </c>
      <c r="I48" s="2229">
        <v>189</v>
      </c>
      <c r="J48" s="2226" t="s">
        <v>110</v>
      </c>
      <c r="K48" s="2224" t="s">
        <v>845</v>
      </c>
      <c r="L48" s="2227">
        <v>127.2</v>
      </c>
      <c r="M48" s="2227">
        <v>127.2</v>
      </c>
      <c r="N48" s="2250" t="s">
        <v>229</v>
      </c>
      <c r="O48" s="2224">
        <v>12</v>
      </c>
      <c r="P48" s="2225" t="s">
        <v>996</v>
      </c>
      <c r="Q48" s="2229"/>
      <c r="R48" s="2229"/>
      <c r="S48" s="2228"/>
      <c r="T48" s="2997"/>
      <c r="U48" s="2228">
        <f t="shared" ref="U48:U79" si="3">I48*R48</f>
        <v>0</v>
      </c>
      <c r="V48" s="2228"/>
      <c r="W48" s="2999"/>
      <c r="X48" s="2230">
        <f t="shared" ref="X48:X79" si="4">M48*R48</f>
        <v>0</v>
      </c>
      <c r="Y48" s="2230"/>
      <c r="Z48" s="2225"/>
      <c r="AA48" s="2281"/>
    </row>
    <row r="49" spans="1:27">
      <c r="C49" s="2298" t="s">
        <v>47</v>
      </c>
      <c r="D49" s="2883">
        <f>SUM(D50:D53)</f>
        <v>60000</v>
      </c>
      <c r="E49" s="2324">
        <f>SUM(E50:E53)</f>
        <v>222000</v>
      </c>
      <c r="F49" s="2284">
        <f>D49+E49</f>
        <v>282000</v>
      </c>
      <c r="H49" s="2224" t="s">
        <v>2213</v>
      </c>
      <c r="I49" s="2229">
        <v>537</v>
      </c>
      <c r="J49" s="2226" t="s">
        <v>110</v>
      </c>
      <c r="K49" s="2224" t="s">
        <v>845</v>
      </c>
      <c r="L49" s="2227">
        <v>127.2</v>
      </c>
      <c r="M49" s="2227">
        <v>127.2</v>
      </c>
      <c r="N49" s="2250" t="s">
        <v>229</v>
      </c>
      <c r="O49" s="2224">
        <v>12</v>
      </c>
      <c r="P49" s="2225" t="s">
        <v>996</v>
      </c>
      <c r="Q49" s="2229"/>
      <c r="R49" s="2229"/>
      <c r="S49" s="2228"/>
      <c r="T49" s="2997"/>
      <c r="U49" s="2228">
        <f t="shared" si="3"/>
        <v>0</v>
      </c>
      <c r="V49" s="2228"/>
      <c r="W49" s="2999"/>
      <c r="X49" s="2230">
        <f t="shared" si="4"/>
        <v>0</v>
      </c>
      <c r="Y49" s="2230"/>
      <c r="Z49" s="2225"/>
      <c r="AA49" s="2281"/>
    </row>
    <row r="50" spans="1:27">
      <c r="C50" s="2306"/>
      <c r="D50" s="2891">
        <v>60000</v>
      </c>
      <c r="E50" s="2335">
        <v>222000</v>
      </c>
      <c r="F50" s="2342">
        <f>SUM(D50:E50)</f>
        <v>282000</v>
      </c>
      <c r="H50" s="2224" t="s">
        <v>2214</v>
      </c>
      <c r="I50" s="2229">
        <v>40</v>
      </c>
      <c r="J50" s="2226" t="s">
        <v>110</v>
      </c>
      <c r="K50" s="2224" t="s">
        <v>845</v>
      </c>
      <c r="L50" s="2227">
        <v>74.790000000000006</v>
      </c>
      <c r="M50" s="2227">
        <v>74.790000000000006</v>
      </c>
      <c r="N50" s="2250" t="s">
        <v>229</v>
      </c>
      <c r="O50" s="2224">
        <v>12</v>
      </c>
      <c r="P50" s="2225" t="s">
        <v>996</v>
      </c>
      <c r="Q50" s="2229"/>
      <c r="R50" s="2229"/>
      <c r="S50" s="2228"/>
      <c r="T50" s="2997"/>
      <c r="U50" s="2228">
        <f t="shared" si="3"/>
        <v>0</v>
      </c>
      <c r="V50" s="2228"/>
      <c r="W50" s="2999"/>
      <c r="X50" s="2230">
        <f t="shared" si="4"/>
        <v>0</v>
      </c>
      <c r="Y50" s="2230"/>
      <c r="Z50" s="2225"/>
      <c r="AA50" s="2281"/>
    </row>
    <row r="51" spans="1:27">
      <c r="C51" s="2306"/>
      <c r="D51" s="2891"/>
      <c r="E51" s="2335"/>
      <c r="F51" s="2342">
        <f>SUM(D51:E51)</f>
        <v>0</v>
      </c>
      <c r="H51" s="2224" t="s">
        <v>2215</v>
      </c>
      <c r="I51" s="2229">
        <v>378</v>
      </c>
      <c r="J51" s="2226" t="s">
        <v>110</v>
      </c>
      <c r="K51" s="2224" t="s">
        <v>845</v>
      </c>
      <c r="L51" s="2227">
        <v>74.790000000000006</v>
      </c>
      <c r="M51" s="2227">
        <v>74.790000000000006</v>
      </c>
      <c r="N51" s="2250" t="s">
        <v>229</v>
      </c>
      <c r="O51" s="2224">
        <v>12</v>
      </c>
      <c r="P51" s="2225" t="s">
        <v>996</v>
      </c>
      <c r="Q51" s="2229"/>
      <c r="R51" s="2229"/>
      <c r="S51" s="2228"/>
      <c r="T51" s="2997"/>
      <c r="U51" s="2228">
        <f t="shared" si="3"/>
        <v>0</v>
      </c>
      <c r="V51" s="2228"/>
      <c r="W51" s="2999"/>
      <c r="X51" s="2230">
        <f t="shared" si="4"/>
        <v>0</v>
      </c>
      <c r="Y51" s="2230"/>
      <c r="Z51" s="2225"/>
      <c r="AA51" s="2281"/>
    </row>
    <row r="52" spans="1:27">
      <c r="C52" s="2306"/>
      <c r="D52" s="2891"/>
      <c r="E52" s="2335"/>
      <c r="F52" s="2342">
        <f>SUM(D52:E52)</f>
        <v>0</v>
      </c>
      <c r="H52" s="2224" t="s">
        <v>2216</v>
      </c>
      <c r="I52" s="2229">
        <v>673</v>
      </c>
      <c r="J52" s="2226" t="s">
        <v>110</v>
      </c>
      <c r="K52" s="2224" t="s">
        <v>845</v>
      </c>
      <c r="L52" s="2227">
        <v>93.55</v>
      </c>
      <c r="M52" s="2227">
        <v>65.48</v>
      </c>
      <c r="N52" s="2250" t="s">
        <v>229</v>
      </c>
      <c r="O52" s="2224">
        <v>12</v>
      </c>
      <c r="P52" s="2225" t="s">
        <v>996</v>
      </c>
      <c r="Q52" s="2229"/>
      <c r="R52" s="2229"/>
      <c r="S52" s="2228"/>
      <c r="T52" s="2997"/>
      <c r="U52" s="2228">
        <f t="shared" si="3"/>
        <v>0</v>
      </c>
      <c r="V52" s="2228"/>
      <c r="W52" s="2999"/>
      <c r="X52" s="2230">
        <f t="shared" si="4"/>
        <v>0</v>
      </c>
      <c r="Y52" s="2230"/>
      <c r="Z52" s="2225"/>
      <c r="AA52" s="2281"/>
    </row>
    <row r="53" spans="1:27">
      <c r="C53" s="2306"/>
      <c r="D53" s="2891"/>
      <c r="E53" s="2335"/>
      <c r="F53" s="2342">
        <f>SUM(D53:E53)</f>
        <v>0</v>
      </c>
      <c r="H53" s="2224" t="s">
        <v>2217</v>
      </c>
      <c r="I53" s="2229">
        <v>209</v>
      </c>
      <c r="J53" s="2226" t="s">
        <v>110</v>
      </c>
      <c r="K53" s="2224" t="s">
        <v>845</v>
      </c>
      <c r="L53" s="2227">
        <v>61.56</v>
      </c>
      <c r="M53" s="2227">
        <v>61.56</v>
      </c>
      <c r="N53" s="2250" t="s">
        <v>229</v>
      </c>
      <c r="O53" s="2224">
        <v>12</v>
      </c>
      <c r="P53" s="2225" t="s">
        <v>996</v>
      </c>
      <c r="Q53" s="2229"/>
      <c r="R53" s="2229"/>
      <c r="S53" s="2228"/>
      <c r="T53" s="2997"/>
      <c r="U53" s="2228">
        <f t="shared" si="3"/>
        <v>0</v>
      </c>
      <c r="V53" s="2228"/>
      <c r="W53" s="2999"/>
      <c r="X53" s="2230">
        <f t="shared" si="4"/>
        <v>0</v>
      </c>
      <c r="Y53" s="2230"/>
      <c r="Z53" s="2225"/>
      <c r="AA53" s="2281"/>
    </row>
    <row r="54" spans="1:27">
      <c r="C54" s="2308"/>
      <c r="D54" s="2893"/>
      <c r="E54" s="2328"/>
      <c r="F54" s="2315"/>
      <c r="H54" s="2224" t="s">
        <v>2218</v>
      </c>
      <c r="I54" s="2229">
        <v>588</v>
      </c>
      <c r="J54" s="2226" t="s">
        <v>110</v>
      </c>
      <c r="K54" s="2224" t="s">
        <v>845</v>
      </c>
      <c r="L54" s="2227">
        <v>61.56</v>
      </c>
      <c r="M54" s="2227">
        <v>61.56</v>
      </c>
      <c r="N54" s="2250" t="s">
        <v>229</v>
      </c>
      <c r="O54" s="2224">
        <v>12</v>
      </c>
      <c r="P54" s="2225" t="s">
        <v>996</v>
      </c>
      <c r="Q54" s="2229"/>
      <c r="R54" s="2229"/>
      <c r="S54" s="2228"/>
      <c r="T54" s="2997"/>
      <c r="U54" s="2228">
        <f t="shared" si="3"/>
        <v>0</v>
      </c>
      <c r="V54" s="2228"/>
      <c r="W54" s="2999"/>
      <c r="X54" s="2230">
        <f t="shared" si="4"/>
        <v>0</v>
      </c>
      <c r="Y54" s="2230"/>
      <c r="Z54" s="2225"/>
      <c r="AA54" s="2281"/>
    </row>
    <row r="55" spans="1:27">
      <c r="C55" s="2298" t="s">
        <v>48</v>
      </c>
      <c r="D55" s="2883">
        <f>SUM(D56:D59)</f>
        <v>1000</v>
      </c>
      <c r="E55" s="2324">
        <f>SUM(E56:E59)</f>
        <v>1000</v>
      </c>
      <c r="F55" s="2284">
        <f>D55+E55</f>
        <v>2000</v>
      </c>
      <c r="H55" s="2224" t="s">
        <v>2219</v>
      </c>
      <c r="I55" s="2229">
        <v>332</v>
      </c>
      <c r="J55" s="2226" t="s">
        <v>110</v>
      </c>
      <c r="K55" s="2224" t="s">
        <v>845</v>
      </c>
      <c r="L55" s="2227">
        <v>62.01</v>
      </c>
      <c r="M55" s="2227">
        <v>62.01</v>
      </c>
      <c r="N55" s="2250" t="s">
        <v>229</v>
      </c>
      <c r="O55" s="2224">
        <v>12</v>
      </c>
      <c r="P55" s="2225" t="s">
        <v>996</v>
      </c>
      <c r="Q55" s="2229"/>
      <c r="R55" s="2229"/>
      <c r="S55" s="2228"/>
      <c r="T55" s="2997"/>
      <c r="U55" s="2228">
        <f t="shared" si="3"/>
        <v>0</v>
      </c>
      <c r="V55" s="2228"/>
      <c r="W55" s="2999"/>
      <c r="X55" s="2230">
        <f t="shared" si="4"/>
        <v>0</v>
      </c>
      <c r="Y55" s="2230"/>
      <c r="Z55" s="2225"/>
      <c r="AA55" s="2281"/>
    </row>
    <row r="56" spans="1:27">
      <c r="C56" s="2306"/>
      <c r="D56" s="2891">
        <v>1000</v>
      </c>
      <c r="E56" s="2334">
        <v>1000</v>
      </c>
      <c r="F56" s="2342">
        <f>SUM(D56:E56)</f>
        <v>2000</v>
      </c>
      <c r="H56" s="2224" t="s">
        <v>2220</v>
      </c>
      <c r="I56" s="2229">
        <v>903</v>
      </c>
      <c r="J56" s="2226" t="s">
        <v>110</v>
      </c>
      <c r="K56" s="2224" t="s">
        <v>845</v>
      </c>
      <c r="L56" s="2227">
        <v>62.01</v>
      </c>
      <c r="M56" s="2227">
        <v>62.01</v>
      </c>
      <c r="N56" s="2250" t="s">
        <v>229</v>
      </c>
      <c r="O56" s="2224">
        <v>12</v>
      </c>
      <c r="P56" s="2225" t="s">
        <v>996</v>
      </c>
      <c r="Q56" s="2229"/>
      <c r="R56" s="2229"/>
      <c r="S56" s="2228"/>
      <c r="T56" s="2997"/>
      <c r="U56" s="2228">
        <f t="shared" si="3"/>
        <v>0</v>
      </c>
      <c r="V56" s="2228"/>
      <c r="W56" s="2999"/>
      <c r="X56" s="2230">
        <f t="shared" si="4"/>
        <v>0</v>
      </c>
      <c r="Y56" s="2230"/>
      <c r="Z56" s="2225"/>
      <c r="AA56" s="2281"/>
    </row>
    <row r="57" spans="1:27">
      <c r="C57" s="2306"/>
      <c r="D57" s="2891"/>
      <c r="E57" s="2334"/>
      <c r="F57" s="2342">
        <f>SUM(D57:E57)</f>
        <v>0</v>
      </c>
      <c r="H57" s="2224" t="s">
        <v>2221</v>
      </c>
      <c r="I57" s="2229">
        <v>299</v>
      </c>
      <c r="J57" s="2226" t="s">
        <v>110</v>
      </c>
      <c r="K57" s="2224" t="s">
        <v>845</v>
      </c>
      <c r="L57" s="2227">
        <v>62.01</v>
      </c>
      <c r="M57" s="2227">
        <v>62.01</v>
      </c>
      <c r="N57" s="2250" t="s">
        <v>229</v>
      </c>
      <c r="O57" s="2224">
        <v>12</v>
      </c>
      <c r="P57" s="2225" t="s">
        <v>996</v>
      </c>
      <c r="Q57" s="2229"/>
      <c r="R57" s="2229"/>
      <c r="S57" s="2228"/>
      <c r="T57" s="2997"/>
      <c r="U57" s="2228">
        <f t="shared" si="3"/>
        <v>0</v>
      </c>
      <c r="V57" s="2228"/>
      <c r="W57" s="2999"/>
      <c r="X57" s="2230">
        <f t="shared" si="4"/>
        <v>0</v>
      </c>
      <c r="Y57" s="2230"/>
      <c r="Z57" s="2225"/>
      <c r="AA57" s="2281"/>
    </row>
    <row r="58" spans="1:27">
      <c r="C58" s="2306"/>
      <c r="D58" s="2891"/>
      <c r="E58" s="2334"/>
      <c r="F58" s="2342">
        <f>SUM(D58:E58)</f>
        <v>0</v>
      </c>
      <c r="H58" s="2224" t="s">
        <v>2222</v>
      </c>
      <c r="I58" s="2229">
        <v>818</v>
      </c>
      <c r="J58" s="2226" t="s">
        <v>110</v>
      </c>
      <c r="K58" s="2224" t="s">
        <v>845</v>
      </c>
      <c r="L58" s="2227">
        <v>62.01</v>
      </c>
      <c r="M58" s="2227">
        <v>62.01</v>
      </c>
      <c r="N58" s="2250" t="s">
        <v>229</v>
      </c>
      <c r="O58" s="2224">
        <v>12</v>
      </c>
      <c r="P58" s="2225" t="s">
        <v>996</v>
      </c>
      <c r="Q58" s="2229"/>
      <c r="R58" s="2229"/>
      <c r="S58" s="2228"/>
      <c r="T58" s="2997"/>
      <c r="U58" s="2228">
        <f t="shared" si="3"/>
        <v>0</v>
      </c>
      <c r="V58" s="2228"/>
      <c r="W58" s="2999"/>
      <c r="X58" s="2230">
        <f t="shared" si="4"/>
        <v>0</v>
      </c>
      <c r="Y58" s="2230"/>
      <c r="Z58" s="2225"/>
      <c r="AA58" s="2281"/>
    </row>
    <row r="59" spans="1:27">
      <c r="C59" s="2306"/>
      <c r="D59" s="2891"/>
      <c r="E59" s="2334"/>
      <c r="F59" s="2342">
        <f>SUM(D59:E59)</f>
        <v>0</v>
      </c>
      <c r="H59" s="2224" t="s">
        <v>2223</v>
      </c>
      <c r="I59" s="2229">
        <v>252</v>
      </c>
      <c r="J59" s="2226" t="s">
        <v>110</v>
      </c>
      <c r="K59" s="2224" t="s">
        <v>845</v>
      </c>
      <c r="L59" s="2227">
        <v>48.55</v>
      </c>
      <c r="M59" s="2227">
        <v>48.55</v>
      </c>
      <c r="N59" s="2250" t="s">
        <v>229</v>
      </c>
      <c r="O59" s="2224">
        <v>12</v>
      </c>
      <c r="P59" s="2225" t="s">
        <v>996</v>
      </c>
      <c r="Q59" s="2229"/>
      <c r="R59" s="2229"/>
      <c r="S59" s="2228"/>
      <c r="T59" s="2997"/>
      <c r="U59" s="2228">
        <f t="shared" si="3"/>
        <v>0</v>
      </c>
      <c r="V59" s="2228"/>
      <c r="W59" s="2999"/>
      <c r="X59" s="2230">
        <f t="shared" si="4"/>
        <v>0</v>
      </c>
      <c r="Y59" s="2230"/>
      <c r="Z59" s="2225"/>
      <c r="AA59" s="2281"/>
    </row>
    <row r="60" spans="1:27">
      <c r="C60" s="2308"/>
      <c r="D60" s="2893"/>
      <c r="E60" s="2328"/>
      <c r="F60" s="2315"/>
      <c r="H60" s="2224" t="s">
        <v>2224</v>
      </c>
      <c r="I60" s="2229">
        <v>724</v>
      </c>
      <c r="J60" s="2226" t="s">
        <v>110</v>
      </c>
      <c r="K60" s="2224" t="s">
        <v>845</v>
      </c>
      <c r="L60" s="2227">
        <v>48.55</v>
      </c>
      <c r="M60" s="2227">
        <v>48.55</v>
      </c>
      <c r="N60" s="2250" t="s">
        <v>229</v>
      </c>
      <c r="O60" s="2224">
        <v>12</v>
      </c>
      <c r="P60" s="2225" t="s">
        <v>996</v>
      </c>
      <c r="Q60" s="2229"/>
      <c r="R60" s="2229"/>
      <c r="S60" s="2228"/>
      <c r="T60" s="2997"/>
      <c r="U60" s="2228">
        <f t="shared" si="3"/>
        <v>0</v>
      </c>
      <c r="V60" s="2228"/>
      <c r="W60" s="2999"/>
      <c r="X60" s="2230">
        <f t="shared" si="4"/>
        <v>0</v>
      </c>
      <c r="Y60" s="2230"/>
      <c r="Z60" s="2225"/>
      <c r="AA60" s="2281"/>
    </row>
    <row r="61" spans="1:27">
      <c r="C61" s="2298" t="s">
        <v>49</v>
      </c>
      <c r="D61" s="2883">
        <f>SUM(D62:D65)</f>
        <v>240000</v>
      </c>
      <c r="E61" s="2324">
        <f>SUM(E62:E65)</f>
        <v>0</v>
      </c>
      <c r="F61" s="2284">
        <f>D61+E61</f>
        <v>240000</v>
      </c>
      <c r="H61" s="2224" t="s">
        <v>2225</v>
      </c>
      <c r="I61" s="2229">
        <v>717</v>
      </c>
      <c r="J61" s="2226" t="s">
        <v>110</v>
      </c>
      <c r="K61" s="2224" t="s">
        <v>845</v>
      </c>
      <c r="L61" s="2227">
        <v>48.55</v>
      </c>
      <c r="M61" s="2227">
        <v>48.55</v>
      </c>
      <c r="N61" s="2250" t="s">
        <v>229</v>
      </c>
      <c r="O61" s="2224">
        <v>12</v>
      </c>
      <c r="P61" s="2225" t="s">
        <v>996</v>
      </c>
      <c r="Q61" s="2229"/>
      <c r="R61" s="2229"/>
      <c r="S61" s="2228"/>
      <c r="T61" s="2997"/>
      <c r="U61" s="2228">
        <f t="shared" si="3"/>
        <v>0</v>
      </c>
      <c r="V61" s="2228"/>
      <c r="W61" s="2999"/>
      <c r="X61" s="2230">
        <f t="shared" si="4"/>
        <v>0</v>
      </c>
      <c r="Y61" s="2230"/>
      <c r="Z61" s="2225"/>
      <c r="AA61" s="2281"/>
    </row>
    <row r="62" spans="1:27">
      <c r="C62" s="2306"/>
      <c r="D62" s="2891">
        <v>240000</v>
      </c>
      <c r="E62" s="2335">
        <v>0</v>
      </c>
      <c r="F62" s="2342">
        <f>SUM(D62:E62)</f>
        <v>240000</v>
      </c>
      <c r="H62" s="2224" t="s">
        <v>2226</v>
      </c>
      <c r="I62" s="2229">
        <v>1917</v>
      </c>
      <c r="J62" s="2226" t="s">
        <v>110</v>
      </c>
      <c r="K62" s="2224" t="s">
        <v>845</v>
      </c>
      <c r="L62" s="2227">
        <v>48.55</v>
      </c>
      <c r="M62" s="2227">
        <v>48.55</v>
      </c>
      <c r="N62" s="2250" t="s">
        <v>229</v>
      </c>
      <c r="O62" s="2224">
        <v>12</v>
      </c>
      <c r="P62" s="2225" t="s">
        <v>996</v>
      </c>
      <c r="Q62" s="2229"/>
      <c r="R62" s="2229"/>
      <c r="S62" s="2228"/>
      <c r="T62" s="2997"/>
      <c r="U62" s="2228">
        <f t="shared" si="3"/>
        <v>0</v>
      </c>
      <c r="V62" s="2228"/>
      <c r="W62" s="2999"/>
      <c r="X62" s="2230">
        <f t="shared" si="4"/>
        <v>0</v>
      </c>
      <c r="Y62" s="2230"/>
      <c r="Z62" s="2225"/>
      <c r="AA62" s="2281"/>
    </row>
    <row r="63" spans="1:27">
      <c r="C63" s="2306"/>
      <c r="D63" s="2891"/>
      <c r="E63" s="2335"/>
      <c r="F63" s="2342">
        <f>SUM(D63:E63)</f>
        <v>0</v>
      </c>
      <c r="H63" s="2224" t="s">
        <v>2227</v>
      </c>
      <c r="I63" s="2229">
        <v>33</v>
      </c>
      <c r="J63" s="2226" t="s">
        <v>110</v>
      </c>
      <c r="K63" s="2224" t="s">
        <v>845</v>
      </c>
      <c r="L63" s="2227">
        <v>38.14</v>
      </c>
      <c r="M63" s="2227">
        <v>38.14</v>
      </c>
      <c r="N63" s="2250" t="s">
        <v>229</v>
      </c>
      <c r="O63" s="2224">
        <v>12</v>
      </c>
      <c r="P63" s="2225" t="s">
        <v>996</v>
      </c>
      <c r="Q63" s="2229"/>
      <c r="R63" s="2229"/>
      <c r="S63" s="2228"/>
      <c r="T63" s="2997"/>
      <c r="U63" s="2228">
        <f t="shared" si="3"/>
        <v>0</v>
      </c>
      <c r="V63" s="2228"/>
      <c r="W63" s="2999"/>
      <c r="X63" s="2230">
        <f t="shared" si="4"/>
        <v>0</v>
      </c>
      <c r="Y63" s="2230"/>
      <c r="Z63" s="2225"/>
      <c r="AA63" s="2281"/>
    </row>
    <row r="64" spans="1:27" ht="25.5">
      <c r="A64" s="2276" t="s">
        <v>1397</v>
      </c>
      <c r="C64" s="2306"/>
      <c r="D64" s="2891"/>
      <c r="E64" s="2335"/>
      <c r="F64" s="2344">
        <f>SUM(D64:E64)</f>
        <v>0</v>
      </c>
      <c r="H64" s="2224" t="s">
        <v>2228</v>
      </c>
      <c r="I64" s="2229">
        <v>159</v>
      </c>
      <c r="J64" s="2226" t="s">
        <v>110</v>
      </c>
      <c r="K64" s="2224" t="s">
        <v>845</v>
      </c>
      <c r="L64" s="2227">
        <v>38.14</v>
      </c>
      <c r="M64" s="2227">
        <v>38.14</v>
      </c>
      <c r="N64" s="2250" t="s">
        <v>229</v>
      </c>
      <c r="O64" s="2224">
        <v>12</v>
      </c>
      <c r="P64" s="2225" t="s">
        <v>996</v>
      </c>
      <c r="Q64" s="2229"/>
      <c r="R64" s="2229"/>
      <c r="S64" s="2228"/>
      <c r="T64" s="2997"/>
      <c r="U64" s="2228">
        <f t="shared" si="3"/>
        <v>0</v>
      </c>
      <c r="V64" s="2228"/>
      <c r="W64" s="2999"/>
      <c r="X64" s="2230">
        <f t="shared" si="4"/>
        <v>0</v>
      </c>
      <c r="Y64" s="2230"/>
      <c r="Z64" s="2225"/>
      <c r="AA64" s="2281"/>
    </row>
    <row r="65" spans="1:27">
      <c r="A65" s="2276" t="s">
        <v>262</v>
      </c>
      <c r="C65" s="2306"/>
      <c r="D65" s="2891"/>
      <c r="E65" s="2335"/>
      <c r="F65" s="2342">
        <f>SUM(D65:E65)</f>
        <v>0</v>
      </c>
      <c r="H65" s="2224" t="s">
        <v>2229</v>
      </c>
      <c r="I65" s="2229">
        <v>409</v>
      </c>
      <c r="J65" s="2226" t="s">
        <v>110</v>
      </c>
      <c r="K65" s="2224" t="s">
        <v>845</v>
      </c>
      <c r="L65" s="2227">
        <v>38.14</v>
      </c>
      <c r="M65" s="2227">
        <v>38.14</v>
      </c>
      <c r="N65" s="2250" t="s">
        <v>229</v>
      </c>
      <c r="O65" s="2224">
        <v>12</v>
      </c>
      <c r="P65" s="2225" t="s">
        <v>996</v>
      </c>
      <c r="Q65" s="2229"/>
      <c r="R65" s="2229"/>
      <c r="S65" s="2228"/>
      <c r="T65" s="2997"/>
      <c r="U65" s="2228">
        <f t="shared" si="3"/>
        <v>0</v>
      </c>
      <c r="V65" s="2228"/>
      <c r="W65" s="2999"/>
      <c r="X65" s="2230">
        <f t="shared" si="4"/>
        <v>0</v>
      </c>
      <c r="Y65" s="2230"/>
      <c r="Z65" s="2225"/>
      <c r="AA65" s="2281"/>
    </row>
    <row r="66" spans="1:27">
      <c r="A66" s="2276" t="s">
        <v>5</v>
      </c>
      <c r="C66" s="2308"/>
      <c r="D66" s="2893"/>
      <c r="E66" s="2328"/>
      <c r="F66" s="2315"/>
      <c r="H66" s="2224" t="s">
        <v>2230</v>
      </c>
      <c r="I66" s="2229">
        <v>85</v>
      </c>
      <c r="J66" s="2226" t="s">
        <v>110</v>
      </c>
      <c r="K66" s="2224" t="s">
        <v>845</v>
      </c>
      <c r="L66" s="2227">
        <v>38.14</v>
      </c>
      <c r="M66" s="2227">
        <v>38.14</v>
      </c>
      <c r="N66" s="2250" t="s">
        <v>229</v>
      </c>
      <c r="O66" s="2224">
        <v>12</v>
      </c>
      <c r="P66" s="2225" t="s">
        <v>996</v>
      </c>
      <c r="Q66" s="2229"/>
      <c r="R66" s="2229"/>
      <c r="S66" s="2228"/>
      <c r="T66" s="2997"/>
      <c r="U66" s="2228">
        <f t="shared" si="3"/>
        <v>0</v>
      </c>
      <c r="V66" s="2228"/>
      <c r="W66" s="2999"/>
      <c r="X66" s="2230">
        <f t="shared" si="4"/>
        <v>0</v>
      </c>
      <c r="Y66" s="2230"/>
      <c r="Z66" s="2225"/>
    </row>
    <row r="67" spans="1:27">
      <c r="A67" s="2276" t="s">
        <v>1398</v>
      </c>
      <c r="C67" s="2298" t="s">
        <v>50</v>
      </c>
      <c r="D67" s="2883">
        <f>W15</f>
        <v>0</v>
      </c>
      <c r="E67" s="2395">
        <f>X15</f>
        <v>1366053.3499999999</v>
      </c>
      <c r="F67" s="2284">
        <f>D67+E67</f>
        <v>1366053.3499999999</v>
      </c>
      <c r="H67" s="2224" t="s">
        <v>2231</v>
      </c>
      <c r="I67" s="2229">
        <v>80</v>
      </c>
      <c r="J67" s="2226" t="s">
        <v>110</v>
      </c>
      <c r="K67" s="2224" t="s">
        <v>845</v>
      </c>
      <c r="L67" s="2227">
        <v>38.14</v>
      </c>
      <c r="M67" s="2227">
        <v>38.14</v>
      </c>
      <c r="N67" s="2250" t="s">
        <v>229</v>
      </c>
      <c r="O67" s="2224">
        <v>12</v>
      </c>
      <c r="P67" s="2225" t="s">
        <v>996</v>
      </c>
      <c r="Q67" s="2229"/>
      <c r="R67" s="2229"/>
      <c r="S67" s="2228"/>
      <c r="T67" s="2997"/>
      <c r="U67" s="2228">
        <f t="shared" si="3"/>
        <v>0</v>
      </c>
      <c r="V67" s="2228"/>
      <c r="W67" s="2999"/>
      <c r="X67" s="2230">
        <f t="shared" si="4"/>
        <v>0</v>
      </c>
      <c r="Y67" s="2230"/>
      <c r="Z67" s="2225"/>
    </row>
    <row r="68" spans="1:27">
      <c r="A68" s="2276" t="s">
        <v>4</v>
      </c>
      <c r="C68" s="2316" t="s">
        <v>297</v>
      </c>
      <c r="D68" s="2894"/>
      <c r="E68" s="2336"/>
      <c r="F68" s="2317"/>
      <c r="H68" s="2224" t="s">
        <v>2232</v>
      </c>
      <c r="I68" s="2229">
        <v>145</v>
      </c>
      <c r="J68" s="2226" t="s">
        <v>110</v>
      </c>
      <c r="K68" s="2224" t="s">
        <v>845</v>
      </c>
      <c r="L68" s="2227">
        <v>38.14</v>
      </c>
      <c r="M68" s="2227">
        <v>38.14</v>
      </c>
      <c r="N68" s="2250" t="s">
        <v>229</v>
      </c>
      <c r="O68" s="2224">
        <v>12</v>
      </c>
      <c r="P68" s="2225" t="s">
        <v>996</v>
      </c>
      <c r="Q68" s="2229"/>
      <c r="R68" s="2229"/>
      <c r="S68" s="2228"/>
      <c r="T68" s="2997"/>
      <c r="U68" s="2228">
        <f t="shared" si="3"/>
        <v>0</v>
      </c>
      <c r="V68" s="2228"/>
      <c r="W68" s="2999"/>
      <c r="X68" s="2230">
        <f t="shared" si="4"/>
        <v>0</v>
      </c>
      <c r="Y68" s="2230"/>
      <c r="Z68" s="2225"/>
    </row>
    <row r="69" spans="1:27">
      <c r="A69" s="2266"/>
      <c r="C69" s="2318"/>
      <c r="D69" s="2885"/>
      <c r="E69" s="2328"/>
      <c r="F69" s="2315"/>
      <c r="H69" s="2224" t="s">
        <v>2233</v>
      </c>
      <c r="I69" s="2229">
        <v>43</v>
      </c>
      <c r="J69" s="2226" t="s">
        <v>110</v>
      </c>
      <c r="K69" s="2224" t="s">
        <v>845</v>
      </c>
      <c r="L69" s="2227">
        <v>38.14</v>
      </c>
      <c r="M69" s="2227">
        <v>38.14</v>
      </c>
      <c r="N69" s="2250" t="s">
        <v>229</v>
      </c>
      <c r="O69" s="2224">
        <v>12</v>
      </c>
      <c r="P69" s="2225" t="s">
        <v>996</v>
      </c>
      <c r="Q69" s="2229"/>
      <c r="R69" s="2229"/>
      <c r="S69" s="2228"/>
      <c r="T69" s="2997"/>
      <c r="U69" s="2228">
        <f t="shared" si="3"/>
        <v>0</v>
      </c>
      <c r="V69" s="2228"/>
      <c r="W69" s="2999"/>
      <c r="X69" s="2230">
        <f t="shared" si="4"/>
        <v>0</v>
      </c>
      <c r="Y69" s="2230"/>
      <c r="Z69" s="2225"/>
    </row>
    <row r="70" spans="1:27">
      <c r="A70" s="2266"/>
      <c r="C70" s="2319" t="s">
        <v>51</v>
      </c>
      <c r="D70" s="2891">
        <v>0</v>
      </c>
      <c r="E70" s="2337">
        <v>0</v>
      </c>
      <c r="F70" s="2320">
        <v>0</v>
      </c>
      <c r="H70" s="2224" t="s">
        <v>2234</v>
      </c>
      <c r="I70" s="2229">
        <v>136</v>
      </c>
      <c r="J70" s="2226" t="s">
        <v>110</v>
      </c>
      <c r="K70" s="2224" t="s">
        <v>845</v>
      </c>
      <c r="L70" s="2227">
        <v>38.14</v>
      </c>
      <c r="M70" s="2227">
        <v>38.14</v>
      </c>
      <c r="N70" s="2250" t="s">
        <v>229</v>
      </c>
      <c r="O70" s="2224">
        <v>12</v>
      </c>
      <c r="P70" s="2225" t="s">
        <v>996</v>
      </c>
      <c r="Q70" s="2229"/>
      <c r="R70" s="2229"/>
      <c r="S70" s="2228"/>
      <c r="T70" s="2997"/>
      <c r="U70" s="2228">
        <f t="shared" si="3"/>
        <v>0</v>
      </c>
      <c r="V70" s="2228"/>
      <c r="W70" s="2999"/>
      <c r="X70" s="2230">
        <f t="shared" si="4"/>
        <v>0</v>
      </c>
      <c r="Y70" s="2230"/>
      <c r="Z70" s="2225"/>
    </row>
    <row r="71" spans="1:27">
      <c r="H71" s="2224" t="s">
        <v>2235</v>
      </c>
      <c r="I71" s="2229">
        <v>86</v>
      </c>
      <c r="J71" s="2226" t="s">
        <v>110</v>
      </c>
      <c r="K71" s="2224" t="s">
        <v>845</v>
      </c>
      <c r="L71" s="2227">
        <v>39.33</v>
      </c>
      <c r="M71" s="2227">
        <v>39.33</v>
      </c>
      <c r="N71" s="2250" t="s">
        <v>229</v>
      </c>
      <c r="O71" s="2224">
        <v>12</v>
      </c>
      <c r="P71" s="2225" t="s">
        <v>996</v>
      </c>
      <c r="Q71" s="2229"/>
      <c r="R71" s="2229"/>
      <c r="S71" s="2228"/>
      <c r="T71" s="2997"/>
      <c r="U71" s="2228">
        <f t="shared" si="3"/>
        <v>0</v>
      </c>
      <c r="V71" s="2228"/>
      <c r="W71" s="2999"/>
      <c r="X71" s="2230">
        <f t="shared" si="4"/>
        <v>0</v>
      </c>
      <c r="Y71" s="2230"/>
      <c r="Z71" s="2225"/>
    </row>
    <row r="72" spans="1:27">
      <c r="H72" s="2224" t="s">
        <v>2236</v>
      </c>
      <c r="I72" s="2229">
        <v>273</v>
      </c>
      <c r="J72" s="2226" t="s">
        <v>110</v>
      </c>
      <c r="K72" s="2224" t="s">
        <v>845</v>
      </c>
      <c r="L72" s="2227">
        <v>39.33</v>
      </c>
      <c r="M72" s="2227">
        <v>39.33</v>
      </c>
      <c r="N72" s="2250" t="s">
        <v>229</v>
      </c>
      <c r="O72" s="2224">
        <v>12</v>
      </c>
      <c r="P72" s="2225" t="s">
        <v>996</v>
      </c>
      <c r="Q72" s="2229"/>
      <c r="R72" s="2229"/>
      <c r="S72" s="2228"/>
      <c r="T72" s="2997"/>
      <c r="U72" s="2228">
        <f t="shared" si="3"/>
        <v>0</v>
      </c>
      <c r="V72" s="2228"/>
      <c r="W72" s="2999"/>
      <c r="X72" s="2230">
        <f t="shared" si="4"/>
        <v>0</v>
      </c>
      <c r="Y72" s="2230"/>
      <c r="Z72" s="2225"/>
    </row>
    <row r="73" spans="1:27">
      <c r="H73" s="2224" t="s">
        <v>2237</v>
      </c>
      <c r="I73" s="2229">
        <v>318</v>
      </c>
      <c r="J73" s="2226" t="s">
        <v>110</v>
      </c>
      <c r="K73" s="2224" t="s">
        <v>845</v>
      </c>
      <c r="L73" s="2227">
        <v>39.33</v>
      </c>
      <c r="M73" s="2227">
        <v>39.33</v>
      </c>
      <c r="N73" s="2250" t="s">
        <v>229</v>
      </c>
      <c r="O73" s="2224">
        <v>12</v>
      </c>
      <c r="P73" s="2225" t="s">
        <v>996</v>
      </c>
      <c r="Q73" s="2229"/>
      <c r="R73" s="2229"/>
      <c r="S73" s="2228"/>
      <c r="T73" s="2997"/>
      <c r="U73" s="2228">
        <f t="shared" si="3"/>
        <v>0</v>
      </c>
      <c r="V73" s="2228"/>
      <c r="W73" s="2999"/>
      <c r="X73" s="2230">
        <f t="shared" si="4"/>
        <v>0</v>
      </c>
      <c r="Y73" s="2230"/>
      <c r="Z73" s="2225"/>
    </row>
    <row r="74" spans="1:27">
      <c r="H74" s="2224" t="s">
        <v>2238</v>
      </c>
      <c r="I74" s="2229">
        <v>869</v>
      </c>
      <c r="J74" s="2226" t="s">
        <v>110</v>
      </c>
      <c r="K74" s="2224" t="s">
        <v>845</v>
      </c>
      <c r="L74" s="2227">
        <v>39.33</v>
      </c>
      <c r="M74" s="2227">
        <v>39.33</v>
      </c>
      <c r="N74" s="2250" t="s">
        <v>229</v>
      </c>
      <c r="O74" s="2224">
        <v>12</v>
      </c>
      <c r="P74" s="2225" t="s">
        <v>996</v>
      </c>
      <c r="Q74" s="2229"/>
      <c r="R74" s="2229"/>
      <c r="S74" s="2228"/>
      <c r="T74" s="2997"/>
      <c r="U74" s="2228">
        <f t="shared" si="3"/>
        <v>0</v>
      </c>
      <c r="V74" s="2228"/>
      <c r="W74" s="2999"/>
      <c r="X74" s="2230">
        <f t="shared" si="4"/>
        <v>0</v>
      </c>
      <c r="Y74" s="2230"/>
      <c r="Z74" s="2225"/>
    </row>
    <row r="75" spans="1:27">
      <c r="H75" s="2224" t="s">
        <v>2239</v>
      </c>
      <c r="I75" s="2229">
        <v>478</v>
      </c>
      <c r="J75" s="2226" t="s">
        <v>110</v>
      </c>
      <c r="K75" s="2224" t="s">
        <v>845</v>
      </c>
      <c r="L75" s="2227">
        <v>44.25</v>
      </c>
      <c r="M75" s="2227">
        <v>44.25</v>
      </c>
      <c r="N75" s="2250" t="s">
        <v>229</v>
      </c>
      <c r="O75" s="2224">
        <v>12</v>
      </c>
      <c r="P75" s="2225" t="s">
        <v>996</v>
      </c>
      <c r="Q75" s="2229"/>
      <c r="R75" s="2229"/>
      <c r="S75" s="2228"/>
      <c r="T75" s="2997"/>
      <c r="U75" s="2228">
        <f t="shared" si="3"/>
        <v>0</v>
      </c>
      <c r="V75" s="2228"/>
      <c r="W75" s="2999"/>
      <c r="X75" s="2230">
        <f t="shared" si="4"/>
        <v>0</v>
      </c>
      <c r="Y75" s="2230"/>
      <c r="Z75" s="2225"/>
    </row>
    <row r="76" spans="1:27">
      <c r="H76" s="2224" t="s">
        <v>2240</v>
      </c>
      <c r="I76" s="2229">
        <v>1303</v>
      </c>
      <c r="J76" s="2226" t="s">
        <v>110</v>
      </c>
      <c r="K76" s="2224" t="s">
        <v>845</v>
      </c>
      <c r="L76" s="2227">
        <v>44.25</v>
      </c>
      <c r="M76" s="2227">
        <v>44.25</v>
      </c>
      <c r="N76" s="2250" t="s">
        <v>229</v>
      </c>
      <c r="O76" s="2224">
        <v>12</v>
      </c>
      <c r="P76" s="2225" t="s">
        <v>996</v>
      </c>
      <c r="Q76" s="2229"/>
      <c r="R76" s="2229"/>
      <c r="S76" s="2228"/>
      <c r="T76" s="2997"/>
      <c r="U76" s="2228">
        <f t="shared" si="3"/>
        <v>0</v>
      </c>
      <c r="V76" s="2228"/>
      <c r="W76" s="2999"/>
      <c r="X76" s="2230">
        <f t="shared" si="4"/>
        <v>0</v>
      </c>
      <c r="Y76" s="2230"/>
      <c r="Z76" s="2225"/>
    </row>
    <row r="77" spans="1:27">
      <c r="H77" s="2224" t="s">
        <v>2241</v>
      </c>
      <c r="I77" s="2229">
        <v>557</v>
      </c>
      <c r="J77" s="2226" t="s">
        <v>110</v>
      </c>
      <c r="K77" s="2224" t="s">
        <v>845</v>
      </c>
      <c r="L77" s="2227">
        <v>61.56</v>
      </c>
      <c r="M77" s="2227">
        <v>61.56</v>
      </c>
      <c r="N77" s="2250" t="s">
        <v>229</v>
      </c>
      <c r="O77" s="2224">
        <v>12</v>
      </c>
      <c r="P77" s="2225" t="s">
        <v>996</v>
      </c>
      <c r="Q77" s="2229"/>
      <c r="R77" s="2229"/>
      <c r="S77" s="2228"/>
      <c r="T77" s="2997"/>
      <c r="U77" s="2228">
        <f t="shared" si="3"/>
        <v>0</v>
      </c>
      <c r="V77" s="2228"/>
      <c r="W77" s="2999"/>
      <c r="X77" s="2230">
        <f t="shared" si="4"/>
        <v>0</v>
      </c>
      <c r="Y77" s="2230"/>
      <c r="Z77" s="2225"/>
    </row>
    <row r="78" spans="1:27">
      <c r="H78" s="2224" t="s">
        <v>2242</v>
      </c>
      <c r="I78" s="2229">
        <v>1482</v>
      </c>
      <c r="J78" s="2226" t="s">
        <v>110</v>
      </c>
      <c r="K78" s="2224" t="s">
        <v>845</v>
      </c>
      <c r="L78" s="2227">
        <v>61.56</v>
      </c>
      <c r="M78" s="2227">
        <v>61.56</v>
      </c>
      <c r="N78" s="2250" t="s">
        <v>229</v>
      </c>
      <c r="O78" s="2224">
        <v>12</v>
      </c>
      <c r="P78" s="2225" t="s">
        <v>996</v>
      </c>
      <c r="Q78" s="2229"/>
      <c r="R78" s="2229"/>
      <c r="S78" s="2228"/>
      <c r="T78" s="2997"/>
      <c r="U78" s="2228">
        <f t="shared" si="3"/>
        <v>0</v>
      </c>
      <c r="V78" s="2228"/>
      <c r="W78" s="2999"/>
      <c r="X78" s="2230">
        <f t="shared" si="4"/>
        <v>0</v>
      </c>
      <c r="Y78" s="2230"/>
      <c r="Z78" s="2225"/>
    </row>
    <row r="79" spans="1:27">
      <c r="H79" s="2224" t="s">
        <v>2243</v>
      </c>
      <c r="I79" s="2229">
        <v>272</v>
      </c>
      <c r="J79" s="2226" t="s">
        <v>110</v>
      </c>
      <c r="K79" s="2224" t="s">
        <v>845</v>
      </c>
      <c r="L79" s="2227">
        <v>87.05</v>
      </c>
      <c r="M79" s="2227">
        <v>60.93</v>
      </c>
      <c r="N79" s="2250" t="s">
        <v>229</v>
      </c>
      <c r="O79" s="2224">
        <v>12</v>
      </c>
      <c r="P79" s="2225" t="s">
        <v>996</v>
      </c>
      <c r="Q79" s="2229"/>
      <c r="R79" s="2229"/>
      <c r="S79" s="2228"/>
      <c r="T79" s="2997"/>
      <c r="U79" s="2228">
        <f t="shared" si="3"/>
        <v>0</v>
      </c>
      <c r="V79" s="2228"/>
      <c r="W79" s="2999"/>
      <c r="X79" s="2230">
        <f t="shared" si="4"/>
        <v>0</v>
      </c>
      <c r="Y79" s="2230"/>
      <c r="Z79" s="2225"/>
    </row>
    <row r="80" spans="1:27">
      <c r="H80" s="2224" t="s">
        <v>2244</v>
      </c>
      <c r="I80" s="2229">
        <v>153</v>
      </c>
      <c r="J80" s="2226" t="s">
        <v>110</v>
      </c>
      <c r="K80" s="2224" t="s">
        <v>845</v>
      </c>
      <c r="L80" s="2227">
        <v>87.05</v>
      </c>
      <c r="M80" s="2227">
        <v>60.93</v>
      </c>
      <c r="N80" s="2250" t="s">
        <v>229</v>
      </c>
      <c r="O80" s="2224">
        <v>12</v>
      </c>
      <c r="P80" s="2225" t="s">
        <v>996</v>
      </c>
      <c r="Q80" s="2229"/>
      <c r="R80" s="2229"/>
      <c r="S80" s="2228"/>
      <c r="T80" s="2997"/>
      <c r="U80" s="2228">
        <f t="shared" ref="U80:U111" si="5">I80*R80</f>
        <v>0</v>
      </c>
      <c r="V80" s="2228"/>
      <c r="W80" s="2999"/>
      <c r="X80" s="2230">
        <f t="shared" ref="X80:X111" si="6">M80*R80</f>
        <v>0</v>
      </c>
      <c r="Y80" s="2230"/>
      <c r="Z80" s="2225"/>
    </row>
    <row r="81" spans="8:26">
      <c r="H81" s="2224" t="s">
        <v>2245</v>
      </c>
      <c r="I81" s="2229">
        <v>143</v>
      </c>
      <c r="J81" s="2226" t="s">
        <v>110</v>
      </c>
      <c r="K81" s="2224" t="s">
        <v>845</v>
      </c>
      <c r="L81" s="2227">
        <v>92.72</v>
      </c>
      <c r="M81" s="2227">
        <v>64.900000000000006</v>
      </c>
      <c r="N81" s="2250" t="s">
        <v>229</v>
      </c>
      <c r="O81" s="2224">
        <v>12</v>
      </c>
      <c r="P81" s="2225" t="s">
        <v>996</v>
      </c>
      <c r="Q81" s="2229"/>
      <c r="R81" s="2229"/>
      <c r="S81" s="2228"/>
      <c r="T81" s="2997"/>
      <c r="U81" s="2228">
        <f t="shared" si="5"/>
        <v>0</v>
      </c>
      <c r="V81" s="2228"/>
      <c r="W81" s="2999"/>
      <c r="X81" s="2230">
        <f t="shared" si="6"/>
        <v>0</v>
      </c>
      <c r="Y81" s="2230"/>
      <c r="Z81" s="2225"/>
    </row>
    <row r="82" spans="8:26">
      <c r="H82" s="2224" t="s">
        <v>2246</v>
      </c>
      <c r="I82" s="2229">
        <v>366</v>
      </c>
      <c r="J82" s="2226" t="s">
        <v>110</v>
      </c>
      <c r="K82" s="2224" t="s">
        <v>845</v>
      </c>
      <c r="L82" s="2227">
        <v>92.72</v>
      </c>
      <c r="M82" s="2227">
        <v>46.36</v>
      </c>
      <c r="N82" s="2250" t="s">
        <v>229</v>
      </c>
      <c r="O82" s="2224">
        <v>12</v>
      </c>
      <c r="P82" s="2225" t="s">
        <v>996</v>
      </c>
      <c r="Q82" s="2229"/>
      <c r="R82" s="2229"/>
      <c r="S82" s="2228"/>
      <c r="T82" s="2997"/>
      <c r="U82" s="2228">
        <f t="shared" si="5"/>
        <v>0</v>
      </c>
      <c r="V82" s="2228"/>
      <c r="W82" s="2999"/>
      <c r="X82" s="2230">
        <f t="shared" si="6"/>
        <v>0</v>
      </c>
      <c r="Y82" s="2230"/>
      <c r="Z82" s="2225"/>
    </row>
    <row r="83" spans="8:26">
      <c r="H83" s="2224" t="s">
        <v>2247</v>
      </c>
      <c r="I83" s="2229">
        <v>262</v>
      </c>
      <c r="J83" s="2226" t="s">
        <v>110</v>
      </c>
      <c r="K83" s="2224" t="s">
        <v>845</v>
      </c>
      <c r="L83" s="2227">
        <v>93.55</v>
      </c>
      <c r="M83" s="2227">
        <v>65.48</v>
      </c>
      <c r="N83" s="2250" t="s">
        <v>229</v>
      </c>
      <c r="O83" s="2224">
        <v>12</v>
      </c>
      <c r="P83" s="2225" t="s">
        <v>996</v>
      </c>
      <c r="Q83" s="2229"/>
      <c r="R83" s="2229"/>
      <c r="S83" s="2228"/>
      <c r="T83" s="2997"/>
      <c r="U83" s="2228">
        <f t="shared" si="5"/>
        <v>0</v>
      </c>
      <c r="V83" s="2228"/>
      <c r="W83" s="2999"/>
      <c r="X83" s="2230">
        <f t="shared" si="6"/>
        <v>0</v>
      </c>
      <c r="Y83" s="2230"/>
      <c r="Z83" s="2225"/>
    </row>
    <row r="84" spans="8:26">
      <c r="H84" s="2224" t="s">
        <v>2248</v>
      </c>
      <c r="I84" s="2229">
        <v>1073</v>
      </c>
      <c r="J84" s="2226" t="s">
        <v>110</v>
      </c>
      <c r="K84" s="2224" t="s">
        <v>845</v>
      </c>
      <c r="L84" s="2227">
        <v>74.790000000000006</v>
      </c>
      <c r="M84" s="2227">
        <v>74.790000000000006</v>
      </c>
      <c r="N84" s="2250" t="s">
        <v>229</v>
      </c>
      <c r="O84" s="2224">
        <v>12</v>
      </c>
      <c r="P84" s="2225" t="s">
        <v>996</v>
      </c>
      <c r="Q84" s="2229"/>
      <c r="R84" s="2229"/>
      <c r="S84" s="2228"/>
      <c r="T84" s="2997"/>
      <c r="U84" s="2228">
        <f t="shared" si="5"/>
        <v>0</v>
      </c>
      <c r="V84" s="2228"/>
      <c r="W84" s="2999"/>
      <c r="X84" s="2230">
        <f t="shared" si="6"/>
        <v>0</v>
      </c>
      <c r="Y84" s="2230"/>
      <c r="Z84" s="2225"/>
    </row>
    <row r="85" spans="8:26">
      <c r="H85" s="2224" t="s">
        <v>2249</v>
      </c>
      <c r="I85" s="2229">
        <v>182</v>
      </c>
      <c r="J85" s="2226" t="s">
        <v>110</v>
      </c>
      <c r="K85" s="2224" t="s">
        <v>845</v>
      </c>
      <c r="L85" s="2227">
        <v>87.05</v>
      </c>
      <c r="M85" s="2227">
        <v>60.93</v>
      </c>
      <c r="N85" s="2250" t="s">
        <v>229</v>
      </c>
      <c r="O85" s="2224">
        <v>12</v>
      </c>
      <c r="P85" s="2225" t="s">
        <v>996</v>
      </c>
      <c r="Q85" s="2229"/>
      <c r="R85" s="2229"/>
      <c r="S85" s="2228"/>
      <c r="T85" s="2997"/>
      <c r="U85" s="2228">
        <f t="shared" si="5"/>
        <v>0</v>
      </c>
      <c r="V85" s="2228"/>
      <c r="W85" s="2999"/>
      <c r="X85" s="2230">
        <f t="shared" si="6"/>
        <v>0</v>
      </c>
      <c r="Y85" s="2230"/>
      <c r="Z85" s="2225"/>
    </row>
    <row r="86" spans="8:26">
      <c r="H86" s="2224" t="s">
        <v>2250</v>
      </c>
      <c r="I86" s="2229">
        <v>285</v>
      </c>
      <c r="J86" s="2226" t="s">
        <v>110</v>
      </c>
      <c r="K86" s="2224" t="s">
        <v>845</v>
      </c>
      <c r="L86" s="2227">
        <v>120.43</v>
      </c>
      <c r="M86" s="2227">
        <v>84.3</v>
      </c>
      <c r="N86" s="2250" t="s">
        <v>229</v>
      </c>
      <c r="O86" s="2224">
        <v>12</v>
      </c>
      <c r="P86" s="2225" t="s">
        <v>996</v>
      </c>
      <c r="Q86" s="2229"/>
      <c r="R86" s="2229"/>
      <c r="S86" s="2228"/>
      <c r="T86" s="2997"/>
      <c r="U86" s="2228">
        <f t="shared" si="5"/>
        <v>0</v>
      </c>
      <c r="V86" s="2228"/>
      <c r="W86" s="2999"/>
      <c r="X86" s="2230">
        <f t="shared" si="6"/>
        <v>0</v>
      </c>
      <c r="Y86" s="2230"/>
      <c r="Z86" s="2225"/>
    </row>
    <row r="87" spans="8:26">
      <c r="H87" s="2224" t="s">
        <v>2251</v>
      </c>
      <c r="I87" s="2229">
        <v>733</v>
      </c>
      <c r="J87" s="2226" t="s">
        <v>110</v>
      </c>
      <c r="K87" s="2224" t="s">
        <v>845</v>
      </c>
      <c r="L87" s="2227">
        <v>100.92</v>
      </c>
      <c r="M87" s="2227">
        <v>70.64</v>
      </c>
      <c r="N87" s="2250" t="s">
        <v>229</v>
      </c>
      <c r="O87" s="2224">
        <v>12</v>
      </c>
      <c r="P87" s="2225" t="s">
        <v>996</v>
      </c>
      <c r="Q87" s="2229"/>
      <c r="R87" s="2229"/>
      <c r="S87" s="2228"/>
      <c r="T87" s="2997"/>
      <c r="U87" s="2228">
        <f t="shared" si="5"/>
        <v>0</v>
      </c>
      <c r="V87" s="2228"/>
      <c r="W87" s="2999"/>
      <c r="X87" s="2230">
        <f t="shared" si="6"/>
        <v>0</v>
      </c>
      <c r="Y87" s="2230"/>
      <c r="Z87" s="2225"/>
    </row>
    <row r="88" spans="8:26">
      <c r="H88" s="2224" t="s">
        <v>2252</v>
      </c>
      <c r="I88" s="2229">
        <v>524</v>
      </c>
      <c r="J88" s="2226" t="s">
        <v>110</v>
      </c>
      <c r="K88" s="2224" t="s">
        <v>845</v>
      </c>
      <c r="L88" s="2227">
        <v>77.209999999999994</v>
      </c>
      <c r="M88" s="2227">
        <v>54.05</v>
      </c>
      <c r="N88" s="2250" t="s">
        <v>229</v>
      </c>
      <c r="O88" s="2224">
        <v>12</v>
      </c>
      <c r="P88" s="2225" t="s">
        <v>996</v>
      </c>
      <c r="Q88" s="2229"/>
      <c r="R88" s="2229"/>
      <c r="S88" s="2228"/>
      <c r="T88" s="2997"/>
      <c r="U88" s="2228">
        <f t="shared" si="5"/>
        <v>0</v>
      </c>
      <c r="V88" s="2228"/>
      <c r="W88" s="2999"/>
      <c r="X88" s="2230">
        <f t="shared" si="6"/>
        <v>0</v>
      </c>
      <c r="Y88" s="2230"/>
      <c r="Z88" s="2225"/>
    </row>
    <row r="89" spans="8:26">
      <c r="H89" s="2224" t="s">
        <v>2253</v>
      </c>
      <c r="I89" s="2229">
        <v>1346</v>
      </c>
      <c r="J89" s="2226" t="s">
        <v>110</v>
      </c>
      <c r="K89" s="2224" t="s">
        <v>845</v>
      </c>
      <c r="L89" s="2227">
        <v>141.41999999999999</v>
      </c>
      <c r="M89" s="2227">
        <v>98.99</v>
      </c>
      <c r="N89" s="2250" t="s">
        <v>229</v>
      </c>
      <c r="O89" s="2224">
        <v>12</v>
      </c>
      <c r="P89" s="2225" t="s">
        <v>996</v>
      </c>
      <c r="Q89" s="2229"/>
      <c r="R89" s="2229"/>
      <c r="S89" s="2228"/>
      <c r="T89" s="2997"/>
      <c r="U89" s="2228">
        <f t="shared" si="5"/>
        <v>0</v>
      </c>
      <c r="V89" s="2228"/>
      <c r="W89" s="2999"/>
      <c r="X89" s="2230">
        <f t="shared" si="6"/>
        <v>0</v>
      </c>
      <c r="Y89" s="2230"/>
      <c r="Z89" s="2225"/>
    </row>
    <row r="90" spans="8:26">
      <c r="H90" s="2224" t="s">
        <v>2254</v>
      </c>
      <c r="I90" s="2229">
        <v>282</v>
      </c>
      <c r="J90" s="2226" t="s">
        <v>110</v>
      </c>
      <c r="K90" s="2224" t="s">
        <v>845</v>
      </c>
      <c r="L90" s="2227">
        <v>87.05</v>
      </c>
      <c r="M90" s="2227">
        <v>60.93</v>
      </c>
      <c r="N90" s="2250" t="s">
        <v>229</v>
      </c>
      <c r="O90" s="2224">
        <v>12</v>
      </c>
      <c r="P90" s="2225" t="s">
        <v>996</v>
      </c>
      <c r="Q90" s="2229"/>
      <c r="R90" s="2229"/>
      <c r="S90" s="2228"/>
      <c r="T90" s="2997"/>
      <c r="U90" s="2228">
        <f t="shared" si="5"/>
        <v>0</v>
      </c>
      <c r="V90" s="2228"/>
      <c r="W90" s="2999"/>
      <c r="X90" s="2230">
        <f t="shared" si="6"/>
        <v>0</v>
      </c>
      <c r="Y90" s="2230"/>
      <c r="Z90" s="2225"/>
    </row>
    <row r="91" spans="8:26">
      <c r="H91" s="2224" t="s">
        <v>2255</v>
      </c>
      <c r="I91" s="2229">
        <v>724</v>
      </c>
      <c r="J91" s="2226" t="s">
        <v>110</v>
      </c>
      <c r="K91" s="2224" t="s">
        <v>845</v>
      </c>
      <c r="L91" s="2227">
        <v>87.05</v>
      </c>
      <c r="M91" s="2227">
        <v>60.93</v>
      </c>
      <c r="N91" s="2250" t="s">
        <v>229</v>
      </c>
      <c r="O91" s="2224">
        <v>12</v>
      </c>
      <c r="P91" s="2225" t="s">
        <v>996</v>
      </c>
      <c r="Q91" s="2229"/>
      <c r="R91" s="2229"/>
      <c r="S91" s="2228"/>
      <c r="T91" s="2997"/>
      <c r="U91" s="2228">
        <f t="shared" si="5"/>
        <v>0</v>
      </c>
      <c r="V91" s="2228"/>
      <c r="W91" s="2999"/>
      <c r="X91" s="2230">
        <f t="shared" si="6"/>
        <v>0</v>
      </c>
      <c r="Y91" s="2230"/>
      <c r="Z91" s="2225"/>
    </row>
    <row r="92" spans="8:26">
      <c r="H92" s="2224" t="s">
        <v>2256</v>
      </c>
      <c r="I92" s="2229">
        <v>405</v>
      </c>
      <c r="J92" s="2226" t="s">
        <v>110</v>
      </c>
      <c r="K92" s="2224" t="s">
        <v>845</v>
      </c>
      <c r="L92" s="2227">
        <v>87.46</v>
      </c>
      <c r="M92" s="2227">
        <v>61.22</v>
      </c>
      <c r="N92" s="2250" t="s">
        <v>229</v>
      </c>
      <c r="O92" s="2224">
        <v>12</v>
      </c>
      <c r="P92" s="2225" t="s">
        <v>996</v>
      </c>
      <c r="Q92" s="2229"/>
      <c r="R92" s="2229"/>
      <c r="S92" s="2228"/>
      <c r="T92" s="2997"/>
      <c r="U92" s="2228">
        <f t="shared" si="5"/>
        <v>0</v>
      </c>
      <c r="V92" s="2228"/>
      <c r="W92" s="2999"/>
      <c r="X92" s="2230">
        <f t="shared" si="6"/>
        <v>0</v>
      </c>
      <c r="Y92" s="2230"/>
      <c r="Z92" s="2225"/>
    </row>
    <row r="93" spans="8:26">
      <c r="H93" s="2224" t="s">
        <v>2257</v>
      </c>
      <c r="I93" s="2229">
        <v>1039</v>
      </c>
      <c r="J93" s="2226" t="s">
        <v>110</v>
      </c>
      <c r="K93" s="2224" t="s">
        <v>845</v>
      </c>
      <c r="L93" s="2227">
        <v>100.92</v>
      </c>
      <c r="M93" s="2227">
        <v>70.64</v>
      </c>
      <c r="N93" s="2250" t="s">
        <v>229</v>
      </c>
      <c r="O93" s="2224">
        <v>12</v>
      </c>
      <c r="P93" s="2225" t="s">
        <v>996</v>
      </c>
      <c r="Q93" s="2229"/>
      <c r="R93" s="2229"/>
      <c r="S93" s="2228"/>
      <c r="T93" s="2997"/>
      <c r="U93" s="2228">
        <f t="shared" si="5"/>
        <v>0</v>
      </c>
      <c r="V93" s="2228"/>
      <c r="W93" s="2999"/>
      <c r="X93" s="2230">
        <f t="shared" si="6"/>
        <v>0</v>
      </c>
      <c r="Y93" s="2230"/>
      <c r="Z93" s="2225"/>
    </row>
    <row r="94" spans="8:26">
      <c r="H94" s="2224" t="s">
        <v>2258</v>
      </c>
      <c r="I94" s="2229">
        <v>630</v>
      </c>
      <c r="J94" s="2226" t="s">
        <v>110</v>
      </c>
      <c r="K94" s="2224" t="s">
        <v>845</v>
      </c>
      <c r="L94" s="2227">
        <v>87.46</v>
      </c>
      <c r="M94" s="2227">
        <v>43.73</v>
      </c>
      <c r="N94" s="2250" t="s">
        <v>229</v>
      </c>
      <c r="O94" s="2224">
        <v>12</v>
      </c>
      <c r="P94" s="2225" t="s">
        <v>996</v>
      </c>
      <c r="Q94" s="2229"/>
      <c r="R94" s="2229"/>
      <c r="S94" s="2228"/>
      <c r="T94" s="2997"/>
      <c r="U94" s="2228">
        <f t="shared" si="5"/>
        <v>0</v>
      </c>
      <c r="V94" s="2228"/>
      <c r="W94" s="2999"/>
      <c r="X94" s="2230">
        <f t="shared" si="6"/>
        <v>0</v>
      </c>
      <c r="Y94" s="2230"/>
      <c r="Z94" s="2225"/>
    </row>
    <row r="95" spans="8:26">
      <c r="H95" s="2224" t="s">
        <v>2259</v>
      </c>
      <c r="I95" s="2229">
        <v>1618</v>
      </c>
      <c r="J95" s="2226" t="s">
        <v>110</v>
      </c>
      <c r="K95" s="2224" t="s">
        <v>845</v>
      </c>
      <c r="L95" s="2227">
        <v>100.92</v>
      </c>
      <c r="M95" s="2227">
        <v>70.64</v>
      </c>
      <c r="N95" s="2250" t="s">
        <v>229</v>
      </c>
      <c r="O95" s="2224">
        <v>12</v>
      </c>
      <c r="P95" s="2225" t="s">
        <v>996</v>
      </c>
      <c r="Q95" s="2229"/>
      <c r="R95" s="2229"/>
      <c r="S95" s="2228"/>
      <c r="T95" s="2997"/>
      <c r="U95" s="2228">
        <f t="shared" si="5"/>
        <v>0</v>
      </c>
      <c r="V95" s="2228"/>
      <c r="W95" s="2999"/>
      <c r="X95" s="2230">
        <f t="shared" si="6"/>
        <v>0</v>
      </c>
      <c r="Y95" s="2230"/>
      <c r="Z95" s="2225"/>
    </row>
    <row r="96" spans="8:26">
      <c r="H96" s="2224" t="s">
        <v>2260</v>
      </c>
      <c r="I96" s="2229">
        <v>869</v>
      </c>
      <c r="J96" s="2226" t="s">
        <v>110</v>
      </c>
      <c r="K96" s="2224" t="s">
        <v>845</v>
      </c>
      <c r="L96" s="2227">
        <v>87.46</v>
      </c>
      <c r="M96" s="2227">
        <v>43.73</v>
      </c>
      <c r="N96" s="2250" t="s">
        <v>229</v>
      </c>
      <c r="O96" s="2224">
        <v>12</v>
      </c>
      <c r="P96" s="2225" t="s">
        <v>996</v>
      </c>
      <c r="Q96" s="2229"/>
      <c r="R96" s="2229"/>
      <c r="S96" s="2228"/>
      <c r="T96" s="2997"/>
      <c r="U96" s="2228">
        <f t="shared" si="5"/>
        <v>0</v>
      </c>
      <c r="V96" s="2228"/>
      <c r="W96" s="2999"/>
      <c r="X96" s="2230">
        <f t="shared" si="6"/>
        <v>0</v>
      </c>
      <c r="Y96" s="2230"/>
      <c r="Z96" s="2225"/>
    </row>
    <row r="97" spans="8:26">
      <c r="H97" s="2224" t="s">
        <v>2261</v>
      </c>
      <c r="I97" s="2229">
        <v>2232</v>
      </c>
      <c r="J97" s="2226" t="s">
        <v>110</v>
      </c>
      <c r="K97" s="2224" t="s">
        <v>845</v>
      </c>
      <c r="L97" s="2227">
        <v>100.92</v>
      </c>
      <c r="M97" s="2227">
        <v>70.64</v>
      </c>
      <c r="N97" s="2250" t="s">
        <v>229</v>
      </c>
      <c r="O97" s="2224">
        <v>12</v>
      </c>
      <c r="P97" s="2225" t="s">
        <v>996</v>
      </c>
      <c r="Q97" s="2229"/>
      <c r="R97" s="2229"/>
      <c r="S97" s="2228"/>
      <c r="T97" s="2997"/>
      <c r="U97" s="2228">
        <f t="shared" si="5"/>
        <v>0</v>
      </c>
      <c r="V97" s="2228"/>
      <c r="W97" s="2999"/>
      <c r="X97" s="2230">
        <f t="shared" si="6"/>
        <v>0</v>
      </c>
      <c r="Y97" s="2230"/>
      <c r="Z97" s="2225"/>
    </row>
    <row r="98" spans="8:26">
      <c r="H98" s="2224" t="s">
        <v>2262</v>
      </c>
      <c r="I98" s="2229">
        <v>232</v>
      </c>
      <c r="J98" s="2226" t="s">
        <v>110</v>
      </c>
      <c r="K98" s="2224" t="s">
        <v>845</v>
      </c>
      <c r="L98" s="2227">
        <v>98.39</v>
      </c>
      <c r="M98" s="2227">
        <v>68.87</v>
      </c>
      <c r="N98" s="2250" t="s">
        <v>229</v>
      </c>
      <c r="O98" s="2224">
        <v>12</v>
      </c>
      <c r="P98" s="2225" t="s">
        <v>996</v>
      </c>
      <c r="Q98" s="2229"/>
      <c r="R98" s="2229"/>
      <c r="S98" s="2228"/>
      <c r="T98" s="2997"/>
      <c r="U98" s="2228">
        <f t="shared" si="5"/>
        <v>0</v>
      </c>
      <c r="V98" s="2228"/>
      <c r="W98" s="2999"/>
      <c r="X98" s="2230">
        <f t="shared" si="6"/>
        <v>0</v>
      </c>
      <c r="Y98" s="2230"/>
      <c r="Z98" s="2225"/>
    </row>
    <row r="99" spans="8:26">
      <c r="H99" s="2224" t="s">
        <v>2263</v>
      </c>
      <c r="I99" s="2229">
        <v>596</v>
      </c>
      <c r="J99" s="2226" t="s">
        <v>110</v>
      </c>
      <c r="K99" s="2224" t="s">
        <v>845</v>
      </c>
      <c r="L99" s="2227">
        <v>87.46</v>
      </c>
      <c r="M99" s="2227">
        <v>61.22</v>
      </c>
      <c r="N99" s="2250" t="s">
        <v>229</v>
      </c>
      <c r="O99" s="2224">
        <v>12</v>
      </c>
      <c r="P99" s="2225" t="s">
        <v>996</v>
      </c>
      <c r="Q99" s="2229"/>
      <c r="R99" s="2229"/>
      <c r="S99" s="2228"/>
      <c r="T99" s="2997"/>
      <c r="U99" s="2228">
        <f t="shared" si="5"/>
        <v>0</v>
      </c>
      <c r="V99" s="2228"/>
      <c r="W99" s="2999"/>
      <c r="X99" s="2230">
        <f t="shared" si="6"/>
        <v>0</v>
      </c>
      <c r="Y99" s="2230"/>
      <c r="Z99" s="2225"/>
    </row>
    <row r="100" spans="8:26">
      <c r="H100" s="2224" t="s">
        <v>2264</v>
      </c>
      <c r="I100" s="2229">
        <v>698</v>
      </c>
      <c r="J100" s="2226" t="s">
        <v>110</v>
      </c>
      <c r="K100" s="2224" t="s">
        <v>845</v>
      </c>
      <c r="L100" s="2227">
        <v>100.44</v>
      </c>
      <c r="M100" s="2227">
        <v>70.31</v>
      </c>
      <c r="N100" s="2250" t="s">
        <v>229</v>
      </c>
      <c r="O100" s="2224">
        <v>12</v>
      </c>
      <c r="P100" s="2225" t="s">
        <v>996</v>
      </c>
      <c r="Q100" s="2229"/>
      <c r="R100" s="2229"/>
      <c r="S100" s="2228"/>
      <c r="T100" s="2997"/>
      <c r="U100" s="2228">
        <f t="shared" si="5"/>
        <v>0</v>
      </c>
      <c r="V100" s="2228"/>
      <c r="W100" s="2999"/>
      <c r="X100" s="2230">
        <f t="shared" si="6"/>
        <v>0</v>
      </c>
      <c r="Y100" s="2230"/>
      <c r="Z100" s="2225"/>
    </row>
    <row r="101" spans="8:26">
      <c r="H101" s="2224" t="s">
        <v>2265</v>
      </c>
      <c r="I101" s="2229">
        <v>391</v>
      </c>
      <c r="J101" s="2226" t="s">
        <v>110</v>
      </c>
      <c r="K101" s="2224" t="s">
        <v>845</v>
      </c>
      <c r="L101" s="2227">
        <v>98.39</v>
      </c>
      <c r="M101" s="2227">
        <v>68.87</v>
      </c>
      <c r="N101" s="2250" t="s">
        <v>229</v>
      </c>
      <c r="O101" s="2224">
        <v>12</v>
      </c>
      <c r="P101" s="2225" t="s">
        <v>996</v>
      </c>
      <c r="Q101" s="2229"/>
      <c r="R101" s="2229"/>
      <c r="S101" s="2228"/>
      <c r="T101" s="2997"/>
      <c r="U101" s="2228">
        <f t="shared" si="5"/>
        <v>0</v>
      </c>
      <c r="V101" s="2228"/>
      <c r="W101" s="2999"/>
      <c r="X101" s="2230">
        <f t="shared" si="6"/>
        <v>0</v>
      </c>
      <c r="Y101" s="2230"/>
      <c r="Z101" s="2225"/>
    </row>
    <row r="102" spans="8:26">
      <c r="H102" s="2224" t="s">
        <v>2266</v>
      </c>
      <c r="I102" s="2229">
        <v>1005</v>
      </c>
      <c r="J102" s="2226" t="s">
        <v>110</v>
      </c>
      <c r="K102" s="2224" t="s">
        <v>845</v>
      </c>
      <c r="L102" s="2227">
        <v>105.42</v>
      </c>
      <c r="M102" s="2227">
        <v>73.790000000000006</v>
      </c>
      <c r="N102" s="2250" t="s">
        <v>229</v>
      </c>
      <c r="O102" s="2224">
        <v>12</v>
      </c>
      <c r="P102" s="2225" t="s">
        <v>996</v>
      </c>
      <c r="Q102" s="2229"/>
      <c r="R102" s="2229"/>
      <c r="S102" s="2228"/>
      <c r="T102" s="2997"/>
      <c r="U102" s="2228">
        <f t="shared" si="5"/>
        <v>0</v>
      </c>
      <c r="V102" s="2228"/>
      <c r="W102" s="2999"/>
      <c r="X102" s="2230">
        <f t="shared" si="6"/>
        <v>0</v>
      </c>
      <c r="Y102" s="2230"/>
      <c r="Z102" s="2225"/>
    </row>
    <row r="103" spans="8:26">
      <c r="H103" s="2224" t="s">
        <v>2267</v>
      </c>
      <c r="I103" s="2229">
        <v>392</v>
      </c>
      <c r="J103" s="2226" t="s">
        <v>110</v>
      </c>
      <c r="K103" s="2224" t="s">
        <v>845</v>
      </c>
      <c r="L103" s="2227">
        <v>87.05</v>
      </c>
      <c r="M103" s="2227">
        <v>60.93</v>
      </c>
      <c r="N103" s="2250" t="s">
        <v>229</v>
      </c>
      <c r="O103" s="2224">
        <v>12</v>
      </c>
      <c r="P103" s="2225" t="s">
        <v>996</v>
      </c>
      <c r="Q103" s="2229"/>
      <c r="R103" s="2229"/>
      <c r="S103" s="2228"/>
      <c r="T103" s="2997"/>
      <c r="U103" s="2228">
        <f t="shared" si="5"/>
        <v>0</v>
      </c>
      <c r="V103" s="2228"/>
      <c r="W103" s="2999"/>
      <c r="X103" s="2230">
        <f t="shared" si="6"/>
        <v>0</v>
      </c>
      <c r="Y103" s="2230"/>
      <c r="Z103" s="2225"/>
    </row>
    <row r="104" spans="8:26">
      <c r="H104" s="2224" t="s">
        <v>2268</v>
      </c>
      <c r="I104" s="2229">
        <v>468</v>
      </c>
      <c r="J104" s="2226" t="s">
        <v>110</v>
      </c>
      <c r="K104" s="2224" t="s">
        <v>845</v>
      </c>
      <c r="L104" s="2227">
        <v>87.05</v>
      </c>
      <c r="M104" s="2227">
        <v>60.93</v>
      </c>
      <c r="N104" s="2250" t="s">
        <v>229</v>
      </c>
      <c r="O104" s="2224">
        <v>12</v>
      </c>
      <c r="P104" s="2225" t="s">
        <v>996</v>
      </c>
      <c r="Q104" s="2229"/>
      <c r="R104" s="2229"/>
      <c r="S104" s="2228"/>
      <c r="T104" s="2997"/>
      <c r="U104" s="2228">
        <f t="shared" si="5"/>
        <v>0</v>
      </c>
      <c r="V104" s="2228"/>
      <c r="W104" s="2999"/>
      <c r="X104" s="2230">
        <f t="shared" si="6"/>
        <v>0</v>
      </c>
      <c r="Y104" s="2230"/>
      <c r="Z104" s="2225"/>
    </row>
    <row r="105" spans="8:26">
      <c r="H105" s="2224" t="s">
        <v>2269</v>
      </c>
      <c r="I105" s="2229">
        <v>272</v>
      </c>
      <c r="J105" s="2226" t="s">
        <v>110</v>
      </c>
      <c r="K105" s="2224" t="s">
        <v>845</v>
      </c>
      <c r="L105" s="2227">
        <v>98.39</v>
      </c>
      <c r="M105" s="2227">
        <v>68.87</v>
      </c>
      <c r="N105" s="2250" t="s">
        <v>229</v>
      </c>
      <c r="O105" s="2224">
        <v>12</v>
      </c>
      <c r="P105" s="2225" t="s">
        <v>996</v>
      </c>
      <c r="Q105" s="2229"/>
      <c r="R105" s="2229"/>
      <c r="S105" s="2228"/>
      <c r="T105" s="2997"/>
      <c r="U105" s="2228">
        <f t="shared" si="5"/>
        <v>0</v>
      </c>
      <c r="V105" s="2228"/>
      <c r="W105" s="2999"/>
      <c r="X105" s="2230">
        <f t="shared" si="6"/>
        <v>0</v>
      </c>
      <c r="Y105" s="2230"/>
      <c r="Z105" s="2225"/>
    </row>
    <row r="106" spans="8:26">
      <c r="H106" s="2224" t="s">
        <v>2270</v>
      </c>
      <c r="I106" s="2229">
        <v>698</v>
      </c>
      <c r="J106" s="2226" t="s">
        <v>110</v>
      </c>
      <c r="K106" s="2224" t="s">
        <v>845</v>
      </c>
      <c r="L106" s="2227">
        <v>87.46</v>
      </c>
      <c r="M106" s="2227">
        <v>61.22</v>
      </c>
      <c r="N106" s="2250" t="s">
        <v>229</v>
      </c>
      <c r="O106" s="2224">
        <v>12</v>
      </c>
      <c r="P106" s="2225" t="s">
        <v>996</v>
      </c>
      <c r="Q106" s="2229"/>
      <c r="R106" s="2229"/>
      <c r="S106" s="2228"/>
      <c r="T106" s="2997"/>
      <c r="U106" s="2228">
        <f t="shared" si="5"/>
        <v>0</v>
      </c>
      <c r="V106" s="2228"/>
      <c r="W106" s="2999"/>
      <c r="X106" s="2230">
        <f t="shared" si="6"/>
        <v>0</v>
      </c>
      <c r="Y106" s="2230"/>
      <c r="Z106" s="2225"/>
    </row>
    <row r="107" spans="8:26">
      <c r="H107" s="2224" t="s">
        <v>2271</v>
      </c>
      <c r="I107" s="2229">
        <v>372</v>
      </c>
      <c r="J107" s="2226" t="s">
        <v>110</v>
      </c>
      <c r="K107" s="2224" t="s">
        <v>845</v>
      </c>
      <c r="L107" s="2227">
        <v>94.19</v>
      </c>
      <c r="M107" s="2227">
        <v>65.930000000000007</v>
      </c>
      <c r="N107" s="2250" t="s">
        <v>229</v>
      </c>
      <c r="O107" s="2224">
        <v>12</v>
      </c>
      <c r="P107" s="2225" t="s">
        <v>996</v>
      </c>
      <c r="Q107" s="2229"/>
      <c r="R107" s="2229"/>
      <c r="S107" s="2228"/>
      <c r="T107" s="2997"/>
      <c r="U107" s="2228">
        <f t="shared" si="5"/>
        <v>0</v>
      </c>
      <c r="V107" s="2228"/>
      <c r="W107" s="2999"/>
      <c r="X107" s="2230">
        <f t="shared" si="6"/>
        <v>0</v>
      </c>
      <c r="Y107" s="2230"/>
      <c r="Z107" s="2225"/>
    </row>
    <row r="108" spans="8:26">
      <c r="H108" s="2224" t="s">
        <v>2272</v>
      </c>
      <c r="I108" s="2229">
        <v>954</v>
      </c>
      <c r="J108" s="2226" t="s">
        <v>110</v>
      </c>
      <c r="K108" s="2224" t="s">
        <v>845</v>
      </c>
      <c r="L108" s="2227">
        <v>100.92</v>
      </c>
      <c r="M108" s="2227">
        <v>70.64</v>
      </c>
      <c r="N108" s="2250" t="s">
        <v>229</v>
      </c>
      <c r="O108" s="2224">
        <v>12</v>
      </c>
      <c r="P108" s="2225" t="s">
        <v>996</v>
      </c>
      <c r="Q108" s="2229"/>
      <c r="R108" s="2229"/>
      <c r="S108" s="2228"/>
      <c r="T108" s="2997"/>
      <c r="U108" s="2228">
        <f t="shared" si="5"/>
        <v>0</v>
      </c>
      <c r="V108" s="2228"/>
      <c r="W108" s="2999"/>
      <c r="X108" s="2230">
        <f t="shared" si="6"/>
        <v>0</v>
      </c>
      <c r="Y108" s="2230"/>
      <c r="Z108" s="2225"/>
    </row>
    <row r="109" spans="8:26">
      <c r="H109" s="2224" t="s">
        <v>2273</v>
      </c>
      <c r="I109" s="2229">
        <v>362</v>
      </c>
      <c r="J109" s="2226" t="s">
        <v>110</v>
      </c>
      <c r="K109" s="2224" t="s">
        <v>845</v>
      </c>
      <c r="L109" s="2227">
        <v>79.010000000000005</v>
      </c>
      <c r="M109" s="2227">
        <v>55.31</v>
      </c>
      <c r="N109" s="2250" t="s">
        <v>229</v>
      </c>
      <c r="O109" s="2224">
        <v>12</v>
      </c>
      <c r="P109" s="2225" t="s">
        <v>996</v>
      </c>
      <c r="Q109" s="2229"/>
      <c r="R109" s="2229"/>
      <c r="S109" s="2228"/>
      <c r="T109" s="2997"/>
      <c r="U109" s="2228">
        <f t="shared" si="5"/>
        <v>0</v>
      </c>
      <c r="V109" s="2228"/>
      <c r="W109" s="2999"/>
      <c r="X109" s="2230">
        <f t="shared" si="6"/>
        <v>0</v>
      </c>
      <c r="Y109" s="2230"/>
      <c r="Z109" s="2225"/>
    </row>
    <row r="110" spans="8:26">
      <c r="H110" s="2224" t="s">
        <v>2274</v>
      </c>
      <c r="I110" s="2229">
        <v>928</v>
      </c>
      <c r="J110" s="2226" t="s">
        <v>110</v>
      </c>
      <c r="K110" s="2224" t="s">
        <v>845</v>
      </c>
      <c r="L110" s="2227">
        <v>91.17</v>
      </c>
      <c r="M110" s="2227">
        <v>63.87</v>
      </c>
      <c r="N110" s="2250" t="s">
        <v>229</v>
      </c>
      <c r="O110" s="2224">
        <v>12</v>
      </c>
      <c r="P110" s="2225" t="s">
        <v>996</v>
      </c>
      <c r="Q110" s="2229"/>
      <c r="R110" s="2229"/>
      <c r="S110" s="2228"/>
      <c r="T110" s="2997"/>
      <c r="U110" s="2228">
        <f t="shared" si="5"/>
        <v>0</v>
      </c>
      <c r="V110" s="2228"/>
      <c r="W110" s="2999"/>
      <c r="X110" s="2230">
        <f t="shared" si="6"/>
        <v>0</v>
      </c>
      <c r="Y110" s="2230"/>
      <c r="Z110" s="2225"/>
    </row>
    <row r="111" spans="8:26">
      <c r="H111" s="2224" t="s">
        <v>2275</v>
      </c>
      <c r="I111" s="2229">
        <v>826</v>
      </c>
      <c r="J111" s="2226" t="s">
        <v>110</v>
      </c>
      <c r="K111" s="2224" t="s">
        <v>845</v>
      </c>
      <c r="L111" s="2227">
        <v>75.02</v>
      </c>
      <c r="M111" s="2227">
        <v>37.51</v>
      </c>
      <c r="N111" s="2250" t="s">
        <v>229</v>
      </c>
      <c r="O111" s="2224">
        <v>12</v>
      </c>
      <c r="P111" s="2225" t="s">
        <v>996</v>
      </c>
      <c r="Q111" s="2229"/>
      <c r="R111" s="2229"/>
      <c r="S111" s="2228"/>
      <c r="T111" s="2997"/>
      <c r="U111" s="2228">
        <f t="shared" si="5"/>
        <v>0</v>
      </c>
      <c r="V111" s="2228"/>
      <c r="W111" s="2999"/>
      <c r="X111" s="2230">
        <f t="shared" si="6"/>
        <v>0</v>
      </c>
      <c r="Y111" s="2230"/>
      <c r="Z111" s="2225"/>
    </row>
    <row r="112" spans="8:26">
      <c r="H112" s="2224" t="s">
        <v>2276</v>
      </c>
      <c r="I112" s="2229">
        <v>2121</v>
      </c>
      <c r="J112" s="2226" t="s">
        <v>110</v>
      </c>
      <c r="K112" s="2224" t="s">
        <v>845</v>
      </c>
      <c r="L112" s="2227">
        <v>86.57</v>
      </c>
      <c r="M112" s="2227">
        <v>60</v>
      </c>
      <c r="N112" s="2250" t="s">
        <v>229</v>
      </c>
      <c r="O112" s="2224">
        <v>12</v>
      </c>
      <c r="P112" s="2225" t="s">
        <v>996</v>
      </c>
      <c r="Q112" s="2229"/>
      <c r="R112" s="2229"/>
      <c r="S112" s="2228"/>
      <c r="T112" s="2997"/>
      <c r="U112" s="2228">
        <f t="shared" ref="U112:U143" si="7">I112*R112</f>
        <v>0</v>
      </c>
      <c r="V112" s="2228"/>
      <c r="W112" s="2999"/>
      <c r="X112" s="2230">
        <f t="shared" ref="X112:X143" si="8">M112*R112</f>
        <v>0</v>
      </c>
      <c r="Y112" s="2230"/>
      <c r="Z112" s="2225"/>
    </row>
    <row r="113" spans="8:26">
      <c r="H113" s="2224" t="s">
        <v>2277</v>
      </c>
      <c r="I113" s="2229">
        <v>149</v>
      </c>
      <c r="J113" s="2226" t="s">
        <v>110</v>
      </c>
      <c r="K113" s="2224" t="s">
        <v>845</v>
      </c>
      <c r="L113" s="2227">
        <v>73.72</v>
      </c>
      <c r="M113" s="2227">
        <v>51.61</v>
      </c>
      <c r="N113" s="2250" t="s">
        <v>229</v>
      </c>
      <c r="O113" s="2224">
        <v>12</v>
      </c>
      <c r="P113" s="2225" t="s">
        <v>996</v>
      </c>
      <c r="Q113" s="2229"/>
      <c r="R113" s="2229"/>
      <c r="S113" s="2228"/>
      <c r="T113" s="2997"/>
      <c r="U113" s="2228">
        <f t="shared" si="7"/>
        <v>0</v>
      </c>
      <c r="V113" s="2228"/>
      <c r="W113" s="2999"/>
      <c r="X113" s="2230">
        <f t="shared" si="8"/>
        <v>0</v>
      </c>
      <c r="Y113" s="2230"/>
      <c r="Z113" s="2225"/>
    </row>
    <row r="114" spans="8:26">
      <c r="H114" s="2224" t="s">
        <v>2278</v>
      </c>
      <c r="I114" s="2229">
        <v>383</v>
      </c>
      <c r="J114" s="2226" t="s">
        <v>110</v>
      </c>
      <c r="K114" s="2224" t="s">
        <v>845</v>
      </c>
      <c r="L114" s="2227">
        <v>73.72</v>
      </c>
      <c r="M114" s="2227">
        <v>51.61</v>
      </c>
      <c r="N114" s="2250" t="s">
        <v>229</v>
      </c>
      <c r="O114" s="2224">
        <v>12</v>
      </c>
      <c r="P114" s="2225" t="s">
        <v>996</v>
      </c>
      <c r="Q114" s="2229"/>
      <c r="R114" s="2229"/>
      <c r="S114" s="2228"/>
      <c r="T114" s="2997"/>
      <c r="U114" s="2228">
        <f t="shared" si="7"/>
        <v>0</v>
      </c>
      <c r="V114" s="2228"/>
      <c r="W114" s="2999"/>
      <c r="X114" s="2230">
        <f t="shared" si="8"/>
        <v>0</v>
      </c>
      <c r="Y114" s="2230"/>
      <c r="Z114" s="2225"/>
    </row>
    <row r="115" spans="8:26">
      <c r="H115" s="2224" t="s">
        <v>2279</v>
      </c>
      <c r="I115" s="2229">
        <v>189</v>
      </c>
      <c r="J115" s="2226" t="s">
        <v>110</v>
      </c>
      <c r="K115" s="2224" t="s">
        <v>845</v>
      </c>
      <c r="L115" s="2227">
        <v>73.72</v>
      </c>
      <c r="M115" s="2227">
        <v>51.61</v>
      </c>
      <c r="N115" s="2250" t="s">
        <v>229</v>
      </c>
      <c r="O115" s="2224">
        <v>12</v>
      </c>
      <c r="P115" s="2225" t="s">
        <v>996</v>
      </c>
      <c r="Q115" s="2229"/>
      <c r="R115" s="2229"/>
      <c r="S115" s="2228"/>
      <c r="T115" s="2997"/>
      <c r="U115" s="2228">
        <f t="shared" si="7"/>
        <v>0</v>
      </c>
      <c r="V115" s="2228"/>
      <c r="W115" s="2999"/>
      <c r="X115" s="2230">
        <f t="shared" si="8"/>
        <v>0</v>
      </c>
      <c r="Y115" s="2230"/>
      <c r="Z115" s="2225"/>
    </row>
    <row r="116" spans="8:26">
      <c r="H116" s="2224" t="s">
        <v>2280</v>
      </c>
      <c r="I116" s="2229">
        <v>486</v>
      </c>
      <c r="J116" s="2226" t="s">
        <v>110</v>
      </c>
      <c r="K116" s="2224" t="s">
        <v>845</v>
      </c>
      <c r="L116" s="2227">
        <v>73.72</v>
      </c>
      <c r="M116" s="2227">
        <v>51.61</v>
      </c>
      <c r="N116" s="2250" t="s">
        <v>229</v>
      </c>
      <c r="O116" s="2224">
        <v>12</v>
      </c>
      <c r="P116" s="2225" t="s">
        <v>996</v>
      </c>
      <c r="Q116" s="2229"/>
      <c r="R116" s="2229"/>
      <c r="S116" s="2228"/>
      <c r="T116" s="2997"/>
      <c r="U116" s="2228">
        <f t="shared" si="7"/>
        <v>0</v>
      </c>
      <c r="V116" s="2228"/>
      <c r="W116" s="2999"/>
      <c r="X116" s="2230">
        <f t="shared" si="8"/>
        <v>0</v>
      </c>
      <c r="Y116" s="2230"/>
      <c r="Z116" s="2225"/>
    </row>
    <row r="117" spans="8:26">
      <c r="H117" s="2224" t="s">
        <v>2281</v>
      </c>
      <c r="I117" s="2229">
        <v>458</v>
      </c>
      <c r="J117" s="2226" t="s">
        <v>110</v>
      </c>
      <c r="K117" s="2224" t="s">
        <v>845</v>
      </c>
      <c r="L117" s="2227">
        <v>176.82</v>
      </c>
      <c r="M117" s="2227">
        <v>91.65</v>
      </c>
      <c r="N117" s="2250" t="s">
        <v>229</v>
      </c>
      <c r="O117" s="2224">
        <v>12</v>
      </c>
      <c r="P117" s="2225" t="s">
        <v>996</v>
      </c>
      <c r="Q117" s="2229"/>
      <c r="R117" s="2229"/>
      <c r="S117" s="2228"/>
      <c r="T117" s="2997"/>
      <c r="U117" s="2228">
        <f t="shared" si="7"/>
        <v>0</v>
      </c>
      <c r="V117" s="2228"/>
      <c r="W117" s="2999"/>
      <c r="X117" s="2230">
        <f t="shared" si="8"/>
        <v>0</v>
      </c>
      <c r="Y117" s="2230"/>
      <c r="Z117" s="2225"/>
    </row>
    <row r="118" spans="8:26">
      <c r="H118" s="2224" t="s">
        <v>2282</v>
      </c>
      <c r="I118" s="2229">
        <v>735</v>
      </c>
      <c r="J118" s="2226" t="s">
        <v>110</v>
      </c>
      <c r="K118" s="2224" t="s">
        <v>845</v>
      </c>
      <c r="L118" s="2227">
        <v>218.82</v>
      </c>
      <c r="M118" s="2227">
        <v>153.16999999999999</v>
      </c>
      <c r="N118" s="2250" t="s">
        <v>229</v>
      </c>
      <c r="O118" s="2224">
        <v>12</v>
      </c>
      <c r="P118" s="2225" t="s">
        <v>996</v>
      </c>
      <c r="Q118" s="2229"/>
      <c r="R118" s="2229"/>
      <c r="S118" s="2228"/>
      <c r="T118" s="2997"/>
      <c r="U118" s="2228">
        <f t="shared" si="7"/>
        <v>0</v>
      </c>
      <c r="V118" s="2228"/>
      <c r="W118" s="2999"/>
      <c r="X118" s="2230">
        <f t="shared" si="8"/>
        <v>0</v>
      </c>
      <c r="Y118" s="2230"/>
      <c r="Z118" s="2225"/>
    </row>
    <row r="119" spans="8:26">
      <c r="H119" s="2224" t="s">
        <v>2283</v>
      </c>
      <c r="I119" s="2229">
        <v>1075</v>
      </c>
      <c r="J119" s="2226" t="s">
        <v>110</v>
      </c>
      <c r="K119" s="2224" t="s">
        <v>845</v>
      </c>
      <c r="L119" s="2227">
        <v>218.82</v>
      </c>
      <c r="M119" s="2227">
        <v>153.16999999999999</v>
      </c>
      <c r="N119" s="2250" t="s">
        <v>229</v>
      </c>
      <c r="O119" s="2224">
        <v>12</v>
      </c>
      <c r="P119" s="2225" t="s">
        <v>996</v>
      </c>
      <c r="Q119" s="2229"/>
      <c r="R119" s="2229"/>
      <c r="S119" s="2228"/>
      <c r="T119" s="2997"/>
      <c r="U119" s="2228">
        <f t="shared" si="7"/>
        <v>0</v>
      </c>
      <c r="V119" s="2228"/>
      <c r="W119" s="2999"/>
      <c r="X119" s="2230">
        <f t="shared" si="8"/>
        <v>0</v>
      </c>
      <c r="Y119" s="2230"/>
      <c r="Z119" s="2225"/>
    </row>
    <row r="120" spans="8:26">
      <c r="H120" s="2224" t="s">
        <v>2284</v>
      </c>
      <c r="I120" s="2229">
        <v>970</v>
      </c>
      <c r="J120" s="2226" t="s">
        <v>110</v>
      </c>
      <c r="K120" s="2224" t="s">
        <v>845</v>
      </c>
      <c r="L120" s="2227">
        <v>298.62</v>
      </c>
      <c r="M120" s="2227">
        <v>194.04</v>
      </c>
      <c r="N120" s="2250" t="s">
        <v>229</v>
      </c>
      <c r="O120" s="2224">
        <v>12</v>
      </c>
      <c r="P120" s="2225" t="s">
        <v>996</v>
      </c>
      <c r="Q120" s="2229"/>
      <c r="R120" s="2229"/>
      <c r="S120" s="2228"/>
      <c r="T120" s="2997"/>
      <c r="U120" s="2228">
        <f t="shared" si="7"/>
        <v>0</v>
      </c>
      <c r="V120" s="2228"/>
      <c r="W120" s="2999"/>
      <c r="X120" s="2230">
        <f t="shared" si="8"/>
        <v>0</v>
      </c>
      <c r="Y120" s="2230"/>
      <c r="Z120" s="2225"/>
    </row>
    <row r="121" spans="8:26">
      <c r="H121" s="2224" t="s">
        <v>2285</v>
      </c>
      <c r="I121" s="2229">
        <v>1672</v>
      </c>
      <c r="J121" s="2226" t="s">
        <v>110</v>
      </c>
      <c r="K121" s="2224" t="s">
        <v>845</v>
      </c>
      <c r="L121" s="2227">
        <v>417.07</v>
      </c>
      <c r="M121" s="2227">
        <v>329.75</v>
      </c>
      <c r="N121" s="2250" t="s">
        <v>229</v>
      </c>
      <c r="O121" s="2224">
        <v>12</v>
      </c>
      <c r="P121" s="2225" t="s">
        <v>996</v>
      </c>
      <c r="Q121" s="2229"/>
      <c r="R121" s="2229"/>
      <c r="S121" s="2228"/>
      <c r="T121" s="2997"/>
      <c r="U121" s="2228">
        <f t="shared" si="7"/>
        <v>0</v>
      </c>
      <c r="V121" s="2228"/>
      <c r="W121" s="2999"/>
      <c r="X121" s="2230">
        <f t="shared" si="8"/>
        <v>0</v>
      </c>
      <c r="Y121" s="2230"/>
      <c r="Z121" s="2225"/>
    </row>
    <row r="122" spans="8:26">
      <c r="H122" s="2224" t="s">
        <v>2286</v>
      </c>
      <c r="I122" s="2229">
        <v>1588</v>
      </c>
      <c r="J122" s="2226" t="s">
        <v>110</v>
      </c>
      <c r="K122" s="2224" t="s">
        <v>845</v>
      </c>
      <c r="L122" s="2227">
        <v>417.07</v>
      </c>
      <c r="M122" s="2227">
        <v>317.52</v>
      </c>
      <c r="N122" s="2250" t="s">
        <v>229</v>
      </c>
      <c r="O122" s="2224">
        <v>12</v>
      </c>
      <c r="P122" s="2225" t="s">
        <v>996</v>
      </c>
      <c r="Q122" s="2229"/>
      <c r="R122" s="2229"/>
      <c r="S122" s="2228"/>
      <c r="T122" s="2997"/>
      <c r="U122" s="2228">
        <f t="shared" si="7"/>
        <v>0</v>
      </c>
      <c r="V122" s="2228"/>
      <c r="W122" s="2999"/>
      <c r="X122" s="2230">
        <f t="shared" si="8"/>
        <v>0</v>
      </c>
      <c r="Y122" s="2230"/>
      <c r="Z122" s="2225"/>
    </row>
    <row r="123" spans="8:26">
      <c r="H123" s="2224" t="s">
        <v>2287</v>
      </c>
      <c r="I123" s="2229">
        <v>35</v>
      </c>
      <c r="J123" s="2226" t="s">
        <v>110</v>
      </c>
      <c r="K123" s="2224" t="s">
        <v>845</v>
      </c>
      <c r="L123" s="2227">
        <v>27.69</v>
      </c>
      <c r="M123" s="2227">
        <v>27.69</v>
      </c>
      <c r="N123" s="2250" t="s">
        <v>229</v>
      </c>
      <c r="O123" s="2224">
        <v>3</v>
      </c>
      <c r="P123" s="2225" t="s">
        <v>996</v>
      </c>
      <c r="Q123" s="2229"/>
      <c r="R123" s="2229"/>
      <c r="S123" s="2228"/>
      <c r="T123" s="2997"/>
      <c r="U123" s="2228">
        <f t="shared" si="7"/>
        <v>0</v>
      </c>
      <c r="V123" s="2228"/>
      <c r="W123" s="2999"/>
      <c r="X123" s="2230">
        <f t="shared" si="8"/>
        <v>0</v>
      </c>
      <c r="Y123" s="2230"/>
      <c r="Z123" s="2225"/>
    </row>
    <row r="124" spans="8:26">
      <c r="H124" s="2224" t="s">
        <v>2288</v>
      </c>
      <c r="I124" s="2229">
        <v>79</v>
      </c>
      <c r="J124" s="2226" t="s">
        <v>110</v>
      </c>
      <c r="K124" s="2224" t="s">
        <v>845</v>
      </c>
      <c r="L124" s="2227">
        <v>27.69</v>
      </c>
      <c r="M124" s="2227">
        <v>27.69</v>
      </c>
      <c r="N124" s="2250">
        <v>7.7465941951533775E-4</v>
      </c>
      <c r="O124" s="2224">
        <v>3</v>
      </c>
      <c r="P124" s="2225" t="s">
        <v>996</v>
      </c>
      <c r="Q124" s="2229"/>
      <c r="R124" s="2229">
        <v>50</v>
      </c>
      <c r="S124" s="2228"/>
      <c r="T124" s="2997"/>
      <c r="U124" s="2228">
        <f t="shared" si="7"/>
        <v>3950</v>
      </c>
      <c r="V124" s="2228"/>
      <c r="W124" s="2999"/>
      <c r="X124" s="2230">
        <f t="shared" si="8"/>
        <v>1384.5</v>
      </c>
      <c r="Y124" s="2230"/>
      <c r="Z124" s="2225"/>
    </row>
    <row r="125" spans="8:26">
      <c r="H125" s="2224" t="s">
        <v>2289</v>
      </c>
      <c r="I125" s="2229">
        <v>102</v>
      </c>
      <c r="J125" s="2226" t="s">
        <v>110</v>
      </c>
      <c r="K125" s="2224" t="s">
        <v>845</v>
      </c>
      <c r="L125" s="2227">
        <v>27.69</v>
      </c>
      <c r="M125" s="2227">
        <v>27.69</v>
      </c>
      <c r="N125" s="2250" t="s">
        <v>229</v>
      </c>
      <c r="O125" s="2224">
        <v>3</v>
      </c>
      <c r="P125" s="2225" t="s">
        <v>996</v>
      </c>
      <c r="Q125" s="2229"/>
      <c r="R125" s="2229"/>
      <c r="S125" s="2228"/>
      <c r="T125" s="2997"/>
      <c r="U125" s="2228">
        <f t="shared" si="7"/>
        <v>0</v>
      </c>
      <c r="V125" s="2228"/>
      <c r="W125" s="2999"/>
      <c r="X125" s="2230">
        <f t="shared" si="8"/>
        <v>0</v>
      </c>
      <c r="Y125" s="2230"/>
      <c r="Z125" s="2225"/>
    </row>
    <row r="126" spans="8:26">
      <c r="H126" s="2224" t="s">
        <v>2290</v>
      </c>
      <c r="I126" s="2229">
        <v>159</v>
      </c>
      <c r="J126" s="2226" t="s">
        <v>110</v>
      </c>
      <c r="K126" s="2224" t="s">
        <v>845</v>
      </c>
      <c r="L126" s="2227">
        <v>27.69</v>
      </c>
      <c r="M126" s="2227">
        <v>27.69</v>
      </c>
      <c r="N126" s="2250">
        <v>1.2472997235740628E-2</v>
      </c>
      <c r="O126" s="2224">
        <v>3</v>
      </c>
      <c r="P126" s="2225" t="s">
        <v>996</v>
      </c>
      <c r="Q126" s="2229"/>
      <c r="R126" s="2229">
        <v>400</v>
      </c>
      <c r="S126" s="2228"/>
      <c r="T126" s="2997"/>
      <c r="U126" s="2228">
        <f t="shared" si="7"/>
        <v>63600</v>
      </c>
      <c r="V126" s="2228"/>
      <c r="W126" s="2999"/>
      <c r="X126" s="2230">
        <f t="shared" si="8"/>
        <v>11076</v>
      </c>
      <c r="Y126" s="2230"/>
      <c r="Z126" s="2225"/>
    </row>
    <row r="127" spans="8:26">
      <c r="H127" s="2224" t="s">
        <v>2291</v>
      </c>
      <c r="I127" s="2229">
        <v>26</v>
      </c>
      <c r="J127" s="2226" t="s">
        <v>110</v>
      </c>
      <c r="K127" s="2224" t="s">
        <v>845</v>
      </c>
      <c r="L127" s="2227">
        <v>10.14</v>
      </c>
      <c r="M127" s="2227">
        <v>3.0680000000000001</v>
      </c>
      <c r="N127" s="2250" t="s">
        <v>229</v>
      </c>
      <c r="O127" s="2224">
        <v>3</v>
      </c>
      <c r="P127" s="2225" t="s">
        <v>996</v>
      </c>
      <c r="Q127" s="2229"/>
      <c r="R127" s="2229"/>
      <c r="S127" s="2228"/>
      <c r="T127" s="2997"/>
      <c r="U127" s="2228">
        <f t="shared" si="7"/>
        <v>0</v>
      </c>
      <c r="V127" s="2228"/>
      <c r="W127" s="2999"/>
      <c r="X127" s="2230">
        <f t="shared" si="8"/>
        <v>0</v>
      </c>
      <c r="Y127" s="2230"/>
      <c r="Z127" s="2225"/>
    </row>
    <row r="128" spans="8:26">
      <c r="H128" s="2224" t="s">
        <v>2292</v>
      </c>
      <c r="I128" s="2229">
        <v>58</v>
      </c>
      <c r="J128" s="2226" t="s">
        <v>110</v>
      </c>
      <c r="K128" s="2224" t="s">
        <v>845</v>
      </c>
      <c r="L128" s="2227">
        <v>27.69</v>
      </c>
      <c r="M128" s="2227">
        <v>27.69</v>
      </c>
      <c r="N128" s="2250">
        <v>5.6873729534037459E-4</v>
      </c>
      <c r="O128" s="2224">
        <v>3</v>
      </c>
      <c r="P128" s="2225" t="s">
        <v>996</v>
      </c>
      <c r="Q128" s="2229"/>
      <c r="R128" s="2229">
        <v>50</v>
      </c>
      <c r="S128" s="2228"/>
      <c r="T128" s="2997"/>
      <c r="U128" s="2228">
        <f t="shared" si="7"/>
        <v>2900</v>
      </c>
      <c r="V128" s="2228"/>
      <c r="W128" s="2999"/>
      <c r="X128" s="2230">
        <f t="shared" si="8"/>
        <v>1384.5</v>
      </c>
      <c r="Y128" s="2230"/>
      <c r="Z128" s="2225"/>
    </row>
    <row r="129" spans="8:26">
      <c r="H129" s="2224" t="s">
        <v>2293</v>
      </c>
      <c r="I129" s="2229">
        <v>44</v>
      </c>
      <c r="J129" s="2226" t="s">
        <v>110</v>
      </c>
      <c r="K129" s="2224" t="s">
        <v>845</v>
      </c>
      <c r="L129" s="2227">
        <v>27.69</v>
      </c>
      <c r="M129" s="2227">
        <v>27.69</v>
      </c>
      <c r="N129" s="2250" t="s">
        <v>229</v>
      </c>
      <c r="O129" s="2224">
        <v>3</v>
      </c>
      <c r="P129" s="2225" t="s">
        <v>996</v>
      </c>
      <c r="Q129" s="2229"/>
      <c r="R129" s="2229"/>
      <c r="S129" s="2228"/>
      <c r="T129" s="2997"/>
      <c r="U129" s="2228">
        <f t="shared" si="7"/>
        <v>0</v>
      </c>
      <c r="V129" s="2228"/>
      <c r="W129" s="2999"/>
      <c r="X129" s="2230">
        <f t="shared" si="8"/>
        <v>0</v>
      </c>
      <c r="Y129" s="2230"/>
      <c r="Z129" s="2225"/>
    </row>
    <row r="130" spans="8:26">
      <c r="H130" s="2224" t="s">
        <v>2294</v>
      </c>
      <c r="I130" s="2229">
        <v>86</v>
      </c>
      <c r="J130" s="2226" t="s">
        <v>110</v>
      </c>
      <c r="K130" s="2224" t="s">
        <v>845</v>
      </c>
      <c r="L130" s="2227">
        <v>27.69</v>
      </c>
      <c r="M130" s="2227">
        <v>27.69</v>
      </c>
      <c r="N130" s="2250" t="s">
        <v>229</v>
      </c>
      <c r="O130" s="2224">
        <v>3</v>
      </c>
      <c r="P130" s="2225" t="s">
        <v>996</v>
      </c>
      <c r="Q130" s="2229"/>
      <c r="R130" s="2229"/>
      <c r="S130" s="2228"/>
      <c r="T130" s="2997"/>
      <c r="U130" s="2228">
        <f t="shared" si="7"/>
        <v>0</v>
      </c>
      <c r="V130" s="2228"/>
      <c r="W130" s="2999"/>
      <c r="X130" s="2230">
        <f t="shared" si="8"/>
        <v>0</v>
      </c>
      <c r="Y130" s="2230"/>
      <c r="Z130" s="2225"/>
    </row>
    <row r="131" spans="8:26">
      <c r="H131" s="2224" t="s">
        <v>2295</v>
      </c>
      <c r="I131" s="2229">
        <v>70</v>
      </c>
      <c r="J131" s="2226" t="s">
        <v>110</v>
      </c>
      <c r="K131" s="2224" t="s">
        <v>845</v>
      </c>
      <c r="L131" s="2227">
        <v>27.69</v>
      </c>
      <c r="M131" s="2227">
        <v>27.69</v>
      </c>
      <c r="N131" s="2250" t="s">
        <v>229</v>
      </c>
      <c r="O131" s="2224">
        <v>3</v>
      </c>
      <c r="P131" s="2225" t="s">
        <v>996</v>
      </c>
      <c r="Q131" s="2229"/>
      <c r="R131" s="2229"/>
      <c r="S131" s="2228"/>
      <c r="T131" s="2997"/>
      <c r="U131" s="2228">
        <f t="shared" si="7"/>
        <v>0</v>
      </c>
      <c r="V131" s="2228"/>
      <c r="W131" s="2999"/>
      <c r="X131" s="2230">
        <f t="shared" si="8"/>
        <v>0</v>
      </c>
      <c r="Y131" s="2230"/>
      <c r="Z131" s="2225"/>
    </row>
    <row r="132" spans="8:26">
      <c r="H132" s="2224" t="s">
        <v>2296</v>
      </c>
      <c r="I132" s="2229">
        <v>64</v>
      </c>
      <c r="J132" s="2226" t="s">
        <v>110</v>
      </c>
      <c r="K132" s="2224" t="s">
        <v>845</v>
      </c>
      <c r="L132" s="2227">
        <v>27.69</v>
      </c>
      <c r="M132" s="2227">
        <v>27.69</v>
      </c>
      <c r="N132" s="2250" t="s">
        <v>229</v>
      </c>
      <c r="O132" s="2224">
        <v>3</v>
      </c>
      <c r="P132" s="2225" t="s">
        <v>996</v>
      </c>
      <c r="Q132" s="2229"/>
      <c r="R132" s="2229"/>
      <c r="S132" s="2228"/>
      <c r="T132" s="2997"/>
      <c r="U132" s="2228">
        <f t="shared" si="7"/>
        <v>0</v>
      </c>
      <c r="V132" s="2228"/>
      <c r="W132" s="2999"/>
      <c r="X132" s="2230">
        <f t="shared" si="8"/>
        <v>0</v>
      </c>
      <c r="Y132" s="2230"/>
      <c r="Z132" s="2225"/>
    </row>
    <row r="133" spans="8:26">
      <c r="H133" s="2224" t="s">
        <v>2297</v>
      </c>
      <c r="I133" s="2229">
        <v>45</v>
      </c>
      <c r="J133" s="2226" t="s">
        <v>110</v>
      </c>
      <c r="K133" s="2224" t="s">
        <v>845</v>
      </c>
      <c r="L133" s="2227">
        <v>27.69</v>
      </c>
      <c r="M133" s="2227">
        <v>27.69</v>
      </c>
      <c r="N133" s="2250" t="s">
        <v>229</v>
      </c>
      <c r="O133" s="2224">
        <v>3</v>
      </c>
      <c r="P133" s="2225" t="s">
        <v>996</v>
      </c>
      <c r="Q133" s="2229"/>
      <c r="R133" s="2229"/>
      <c r="S133" s="2228"/>
      <c r="T133" s="2997"/>
      <c r="U133" s="2228">
        <f t="shared" si="7"/>
        <v>0</v>
      </c>
      <c r="V133" s="2228"/>
      <c r="W133" s="2999"/>
      <c r="X133" s="2230">
        <f t="shared" si="8"/>
        <v>0</v>
      </c>
      <c r="Y133" s="2230"/>
      <c r="Z133" s="2225"/>
    </row>
    <row r="134" spans="8:26">
      <c r="H134" s="2224" t="s">
        <v>2298</v>
      </c>
      <c r="I134" s="2229">
        <v>46</v>
      </c>
      <c r="J134" s="2226" t="s">
        <v>110</v>
      </c>
      <c r="K134" s="2224" t="s">
        <v>845</v>
      </c>
      <c r="L134" s="2227">
        <v>27.69</v>
      </c>
      <c r="M134" s="2227">
        <v>27.69</v>
      </c>
      <c r="N134" s="2250" t="s">
        <v>229</v>
      </c>
      <c r="O134" s="2224">
        <v>3</v>
      </c>
      <c r="P134" s="2225" t="s">
        <v>996</v>
      </c>
      <c r="Q134" s="2229"/>
      <c r="R134" s="2229"/>
      <c r="S134" s="2228"/>
      <c r="T134" s="2997"/>
      <c r="U134" s="2228">
        <f t="shared" si="7"/>
        <v>0</v>
      </c>
      <c r="V134" s="2228"/>
      <c r="W134" s="2999"/>
      <c r="X134" s="2230">
        <f t="shared" si="8"/>
        <v>0</v>
      </c>
      <c r="Y134" s="2230"/>
      <c r="Z134" s="2225"/>
    </row>
    <row r="135" spans="8:26">
      <c r="H135" s="2224" t="s">
        <v>2299</v>
      </c>
      <c r="I135" s="2229">
        <v>25</v>
      </c>
      <c r="J135" s="2226" t="s">
        <v>110</v>
      </c>
      <c r="K135" s="2224" t="s">
        <v>845</v>
      </c>
      <c r="L135" s="2227">
        <v>21.07</v>
      </c>
      <c r="M135" s="2227">
        <v>21.07</v>
      </c>
      <c r="N135" s="2250" t="s">
        <v>229</v>
      </c>
      <c r="O135" s="2224">
        <v>5</v>
      </c>
      <c r="P135" s="2225" t="s">
        <v>996</v>
      </c>
      <c r="Q135" s="2229"/>
      <c r="R135" s="2229"/>
      <c r="S135" s="2228"/>
      <c r="T135" s="2997"/>
      <c r="U135" s="2228">
        <f t="shared" si="7"/>
        <v>0</v>
      </c>
      <c r="V135" s="2228"/>
      <c r="W135" s="2999"/>
      <c r="X135" s="2230">
        <f t="shared" si="8"/>
        <v>0</v>
      </c>
      <c r="Y135" s="2230"/>
      <c r="Z135" s="2225"/>
    </row>
    <row r="136" spans="8:26">
      <c r="H136" s="2224" t="s">
        <v>2300</v>
      </c>
      <c r="I136" s="2229">
        <v>56</v>
      </c>
      <c r="J136" s="2226" t="s">
        <v>110</v>
      </c>
      <c r="K136" s="2224" t="s">
        <v>845</v>
      </c>
      <c r="L136" s="2227">
        <v>21.07</v>
      </c>
      <c r="M136" s="2227">
        <v>21.07</v>
      </c>
      <c r="N136" s="2250">
        <v>5.4912566446656849E-4</v>
      </c>
      <c r="O136" s="2224">
        <v>5</v>
      </c>
      <c r="P136" s="2225" t="s">
        <v>996</v>
      </c>
      <c r="Q136" s="2229"/>
      <c r="R136" s="2229">
        <v>50</v>
      </c>
      <c r="S136" s="2228"/>
      <c r="T136" s="2997"/>
      <c r="U136" s="2228">
        <f t="shared" si="7"/>
        <v>2800</v>
      </c>
      <c r="V136" s="2228"/>
      <c r="W136" s="2999"/>
      <c r="X136" s="2230">
        <f t="shared" si="8"/>
        <v>1053.5</v>
      </c>
      <c r="Y136" s="2230"/>
      <c r="Z136" s="2225"/>
    </row>
    <row r="137" spans="8:26">
      <c r="H137" s="2224" t="s">
        <v>2301</v>
      </c>
      <c r="I137" s="2229">
        <v>73</v>
      </c>
      <c r="J137" s="2226" t="s">
        <v>110</v>
      </c>
      <c r="K137" s="2224" t="s">
        <v>845</v>
      </c>
      <c r="L137" s="2227">
        <v>21.07</v>
      </c>
      <c r="M137" s="2227">
        <v>21.07</v>
      </c>
      <c r="N137" s="2250" t="s">
        <v>229</v>
      </c>
      <c r="O137" s="2224">
        <v>5</v>
      </c>
      <c r="P137" s="2225" t="s">
        <v>996</v>
      </c>
      <c r="Q137" s="2229"/>
      <c r="R137" s="2229"/>
      <c r="S137" s="2228"/>
      <c r="T137" s="2997"/>
      <c r="U137" s="2228">
        <f t="shared" si="7"/>
        <v>0</v>
      </c>
      <c r="V137" s="2228"/>
      <c r="W137" s="2999"/>
      <c r="X137" s="2230">
        <f t="shared" si="8"/>
        <v>0</v>
      </c>
      <c r="Y137" s="2230"/>
      <c r="Z137" s="2225"/>
    </row>
    <row r="138" spans="8:26">
      <c r="H138" s="2224" t="s">
        <v>2302</v>
      </c>
      <c r="I138" s="2229">
        <v>113</v>
      </c>
      <c r="J138" s="2226" t="s">
        <v>110</v>
      </c>
      <c r="K138" s="2224" t="s">
        <v>845</v>
      </c>
      <c r="L138" s="2227">
        <v>21.07</v>
      </c>
      <c r="M138" s="2227">
        <v>21.07</v>
      </c>
      <c r="N138" s="2250">
        <v>8.8644571549603215E-3</v>
      </c>
      <c r="O138" s="2224">
        <v>5</v>
      </c>
      <c r="P138" s="2225" t="s">
        <v>996</v>
      </c>
      <c r="Q138" s="2229"/>
      <c r="R138" s="2229">
        <v>400</v>
      </c>
      <c r="S138" s="2228"/>
      <c r="T138" s="2997"/>
      <c r="U138" s="2228">
        <f t="shared" si="7"/>
        <v>45200</v>
      </c>
      <c r="V138" s="2228"/>
      <c r="W138" s="2999"/>
      <c r="X138" s="2230">
        <f t="shared" si="8"/>
        <v>8428</v>
      </c>
      <c r="Y138" s="2230"/>
      <c r="Z138" s="2225"/>
    </row>
    <row r="139" spans="8:26">
      <c r="H139" s="2224" t="s">
        <v>2303</v>
      </c>
      <c r="I139" s="2229">
        <v>18</v>
      </c>
      <c r="J139" s="2226" t="s">
        <v>110</v>
      </c>
      <c r="K139" s="2224" t="s">
        <v>845</v>
      </c>
      <c r="L139" s="2227">
        <v>12.73</v>
      </c>
      <c r="M139" s="2227">
        <v>4.3639999999999999</v>
      </c>
      <c r="N139" s="2250" t="s">
        <v>229</v>
      </c>
      <c r="O139" s="2224">
        <v>5</v>
      </c>
      <c r="P139" s="2225" t="s">
        <v>996</v>
      </c>
      <c r="Q139" s="2229"/>
      <c r="R139" s="2229"/>
      <c r="S139" s="2228"/>
      <c r="T139" s="2997"/>
      <c r="U139" s="2228">
        <f t="shared" si="7"/>
        <v>0</v>
      </c>
      <c r="V139" s="2228"/>
      <c r="W139" s="2999"/>
      <c r="X139" s="2230">
        <f t="shared" si="8"/>
        <v>0</v>
      </c>
      <c r="Y139" s="2230"/>
      <c r="Z139" s="2225"/>
    </row>
    <row r="140" spans="8:26">
      <c r="H140" s="2224" t="s">
        <v>2304</v>
      </c>
      <c r="I140" s="2229">
        <v>41</v>
      </c>
      <c r="J140" s="2226" t="s">
        <v>110</v>
      </c>
      <c r="K140" s="2224" t="s">
        <v>845</v>
      </c>
      <c r="L140" s="2227">
        <v>21.07</v>
      </c>
      <c r="M140" s="2227">
        <v>21.07</v>
      </c>
      <c r="N140" s="2250">
        <v>4.0203843291302342E-4</v>
      </c>
      <c r="O140" s="2224">
        <v>5</v>
      </c>
      <c r="P140" s="2225" t="s">
        <v>996</v>
      </c>
      <c r="Q140" s="2229"/>
      <c r="R140" s="2229">
        <v>50</v>
      </c>
      <c r="S140" s="2228"/>
      <c r="T140" s="2997"/>
      <c r="U140" s="2228">
        <f t="shared" si="7"/>
        <v>2050</v>
      </c>
      <c r="V140" s="2228"/>
      <c r="W140" s="2999"/>
      <c r="X140" s="2230">
        <f t="shared" si="8"/>
        <v>1053.5</v>
      </c>
      <c r="Y140" s="2230"/>
      <c r="Z140" s="2225"/>
    </row>
    <row r="141" spans="8:26">
      <c r="H141" s="2224" t="s">
        <v>2305</v>
      </c>
      <c r="I141" s="2229">
        <v>31</v>
      </c>
      <c r="J141" s="2226" t="s">
        <v>110</v>
      </c>
      <c r="K141" s="2224" t="s">
        <v>845</v>
      </c>
      <c r="L141" s="2227">
        <v>21.07</v>
      </c>
      <c r="M141" s="2227">
        <v>21.07</v>
      </c>
      <c r="N141" s="2250" t="s">
        <v>229</v>
      </c>
      <c r="O141" s="2224">
        <v>5</v>
      </c>
      <c r="P141" s="2225" t="s">
        <v>996</v>
      </c>
      <c r="Q141" s="2229"/>
      <c r="R141" s="2229"/>
      <c r="S141" s="2228"/>
      <c r="T141" s="2997"/>
      <c r="U141" s="2228">
        <f t="shared" si="7"/>
        <v>0</v>
      </c>
      <c r="V141" s="2228"/>
      <c r="W141" s="2999"/>
      <c r="X141" s="2230">
        <f t="shared" si="8"/>
        <v>0</v>
      </c>
      <c r="Y141" s="2230"/>
      <c r="Z141" s="2225"/>
    </row>
    <row r="142" spans="8:26">
      <c r="H142" s="2224" t="s">
        <v>2306</v>
      </c>
      <c r="I142" s="2229">
        <v>61</v>
      </c>
      <c r="J142" s="2226" t="s">
        <v>110</v>
      </c>
      <c r="K142" s="2224" t="s">
        <v>845</v>
      </c>
      <c r="L142" s="2227">
        <v>21.07</v>
      </c>
      <c r="M142" s="2227">
        <v>21.07</v>
      </c>
      <c r="N142" s="2250" t="s">
        <v>229</v>
      </c>
      <c r="O142" s="2224">
        <v>5</v>
      </c>
      <c r="P142" s="2225" t="s">
        <v>996</v>
      </c>
      <c r="Q142" s="2229"/>
      <c r="R142" s="2229"/>
      <c r="S142" s="2228"/>
      <c r="T142" s="2997"/>
      <c r="U142" s="2228">
        <f t="shared" si="7"/>
        <v>0</v>
      </c>
      <c r="V142" s="2228"/>
      <c r="W142" s="2999"/>
      <c r="X142" s="2230">
        <f t="shared" si="8"/>
        <v>0</v>
      </c>
      <c r="Y142" s="2230"/>
      <c r="Z142" s="2225"/>
    </row>
    <row r="143" spans="8:26">
      <c r="H143" s="2224" t="s">
        <v>2307</v>
      </c>
      <c r="I143" s="2229">
        <v>50</v>
      </c>
      <c r="J143" s="2226" t="s">
        <v>110</v>
      </c>
      <c r="K143" s="2224" t="s">
        <v>845</v>
      </c>
      <c r="L143" s="2227">
        <v>21.07</v>
      </c>
      <c r="M143" s="2227">
        <v>21.07</v>
      </c>
      <c r="N143" s="2250" t="s">
        <v>229</v>
      </c>
      <c r="O143" s="2224">
        <v>5</v>
      </c>
      <c r="P143" s="2225" t="s">
        <v>996</v>
      </c>
      <c r="Q143" s="2229"/>
      <c r="R143" s="2229"/>
      <c r="S143" s="2228"/>
      <c r="T143" s="2997"/>
      <c r="U143" s="2228">
        <f t="shared" si="7"/>
        <v>0</v>
      </c>
      <c r="V143" s="2228"/>
      <c r="W143" s="2999"/>
      <c r="X143" s="2230">
        <f t="shared" si="8"/>
        <v>0</v>
      </c>
      <c r="Y143" s="2230"/>
      <c r="Z143" s="2225"/>
    </row>
    <row r="144" spans="8:26">
      <c r="H144" s="2224" t="s">
        <v>2308</v>
      </c>
      <c r="I144" s="2229">
        <v>46</v>
      </c>
      <c r="J144" s="2226" t="s">
        <v>110</v>
      </c>
      <c r="K144" s="2224" t="s">
        <v>845</v>
      </c>
      <c r="L144" s="2227">
        <v>21.07</v>
      </c>
      <c r="M144" s="2227">
        <v>21.07</v>
      </c>
      <c r="N144" s="2250" t="s">
        <v>229</v>
      </c>
      <c r="O144" s="2224">
        <v>5</v>
      </c>
      <c r="P144" s="2225" t="s">
        <v>996</v>
      </c>
      <c r="Q144" s="2229"/>
      <c r="R144" s="2229"/>
      <c r="S144" s="2228"/>
      <c r="T144" s="2997"/>
      <c r="U144" s="2228">
        <f t="shared" ref="U144:U150" si="9">I144*R144</f>
        <v>0</v>
      </c>
      <c r="V144" s="2228"/>
      <c r="W144" s="2999"/>
      <c r="X144" s="2230">
        <f t="shared" ref="X144:X150" si="10">M144*R144</f>
        <v>0</v>
      </c>
      <c r="Y144" s="2230"/>
      <c r="Z144" s="2225"/>
    </row>
    <row r="145" spans="8:26">
      <c r="H145" s="2224" t="s">
        <v>2309</v>
      </c>
      <c r="I145" s="2229">
        <v>32</v>
      </c>
      <c r="J145" s="2226" t="s">
        <v>110</v>
      </c>
      <c r="K145" s="2224" t="s">
        <v>845</v>
      </c>
      <c r="L145" s="2227">
        <v>21.07</v>
      </c>
      <c r="M145" s="2227">
        <v>21.07</v>
      </c>
      <c r="N145" s="2250" t="s">
        <v>229</v>
      </c>
      <c r="O145" s="2224">
        <v>5</v>
      </c>
      <c r="P145" s="2225" t="s">
        <v>996</v>
      </c>
      <c r="Q145" s="2229"/>
      <c r="R145" s="2229"/>
      <c r="S145" s="2228"/>
      <c r="T145" s="2997"/>
      <c r="U145" s="2228">
        <f t="shared" si="9"/>
        <v>0</v>
      </c>
      <c r="V145" s="2228"/>
      <c r="W145" s="2999"/>
      <c r="X145" s="2230">
        <f t="shared" si="10"/>
        <v>0</v>
      </c>
      <c r="Y145" s="2230"/>
      <c r="Z145" s="2225"/>
    </row>
    <row r="146" spans="8:26">
      <c r="H146" s="2224" t="s">
        <v>2310</v>
      </c>
      <c r="I146" s="2229">
        <v>33</v>
      </c>
      <c r="J146" s="2226" t="s">
        <v>110</v>
      </c>
      <c r="K146" s="2224" t="s">
        <v>845</v>
      </c>
      <c r="L146" s="2227">
        <v>21.07</v>
      </c>
      <c r="M146" s="2227">
        <v>21.07</v>
      </c>
      <c r="N146" s="2250" t="s">
        <v>229</v>
      </c>
      <c r="O146" s="2224">
        <v>5</v>
      </c>
      <c r="P146" s="2225" t="s">
        <v>996</v>
      </c>
      <c r="Q146" s="2229"/>
      <c r="R146" s="2229"/>
      <c r="S146" s="2228"/>
      <c r="T146" s="2997"/>
      <c r="U146" s="2228">
        <f t="shared" si="9"/>
        <v>0</v>
      </c>
      <c r="V146" s="2228"/>
      <c r="W146" s="2999"/>
      <c r="X146" s="2230">
        <f t="shared" si="10"/>
        <v>0</v>
      </c>
      <c r="Y146" s="2230"/>
      <c r="Z146" s="2225"/>
    </row>
    <row r="147" spans="8:26">
      <c r="H147" s="2224" t="s">
        <v>2311</v>
      </c>
      <c r="I147" s="2229">
        <v>928</v>
      </c>
      <c r="J147" s="2226" t="s">
        <v>110</v>
      </c>
      <c r="K147" s="2224" t="s">
        <v>845</v>
      </c>
      <c r="L147" s="2227">
        <v>417.07</v>
      </c>
      <c r="M147" s="2227">
        <v>329.75</v>
      </c>
      <c r="N147" s="2250" t="s">
        <v>229</v>
      </c>
      <c r="O147" s="2224">
        <v>12</v>
      </c>
      <c r="P147" s="2225" t="s">
        <v>996</v>
      </c>
      <c r="Q147" s="2229"/>
      <c r="R147" s="2229"/>
      <c r="S147" s="2228"/>
      <c r="T147" s="2997"/>
      <c r="U147" s="2228">
        <f t="shared" si="9"/>
        <v>0</v>
      </c>
      <c r="V147" s="2228"/>
      <c r="W147" s="2999"/>
      <c r="X147" s="2230">
        <f t="shared" si="10"/>
        <v>0</v>
      </c>
      <c r="Y147" s="2230"/>
      <c r="Z147" s="2225"/>
    </row>
    <row r="148" spans="8:26">
      <c r="H148" s="2224" t="s">
        <v>2312</v>
      </c>
      <c r="I148" s="2229">
        <v>1306</v>
      </c>
      <c r="J148" s="2226" t="s">
        <v>110</v>
      </c>
      <c r="K148" s="2224" t="s">
        <v>845</v>
      </c>
      <c r="L148" s="2227">
        <v>417.07</v>
      </c>
      <c r="M148" s="2227">
        <v>329.75</v>
      </c>
      <c r="N148" s="2250" t="s">
        <v>229</v>
      </c>
      <c r="O148" s="2224">
        <v>12</v>
      </c>
      <c r="P148" s="2225" t="s">
        <v>996</v>
      </c>
      <c r="Q148" s="2229"/>
      <c r="R148" s="2229"/>
      <c r="S148" s="2228"/>
      <c r="T148" s="2997"/>
      <c r="U148" s="2228">
        <f t="shared" si="9"/>
        <v>0</v>
      </c>
      <c r="V148" s="2228"/>
      <c r="W148" s="2999"/>
      <c r="X148" s="2230">
        <f t="shared" si="10"/>
        <v>0</v>
      </c>
      <c r="Y148" s="2230"/>
      <c r="Z148" s="2225"/>
    </row>
    <row r="149" spans="8:26">
      <c r="H149" s="2224" t="s">
        <v>2313</v>
      </c>
      <c r="I149" s="2229">
        <v>1298</v>
      </c>
      <c r="J149" s="2226" t="s">
        <v>110</v>
      </c>
      <c r="K149" s="2224" t="s">
        <v>845</v>
      </c>
      <c r="L149" s="2227">
        <v>417.07</v>
      </c>
      <c r="M149" s="2227">
        <v>329.75</v>
      </c>
      <c r="N149" s="2250" t="s">
        <v>229</v>
      </c>
      <c r="O149" s="2224">
        <v>12</v>
      </c>
      <c r="P149" s="2225" t="s">
        <v>996</v>
      </c>
      <c r="Q149" s="2229"/>
      <c r="R149" s="2229"/>
      <c r="S149" s="2228"/>
      <c r="T149" s="2997"/>
      <c r="U149" s="2228">
        <f t="shared" si="9"/>
        <v>0</v>
      </c>
      <c r="V149" s="2228"/>
      <c r="W149" s="2999"/>
      <c r="X149" s="2230">
        <f t="shared" si="10"/>
        <v>0</v>
      </c>
      <c r="Y149" s="2230"/>
      <c r="Z149" s="2225"/>
    </row>
    <row r="150" spans="8:26">
      <c r="H150" s="2224" t="s">
        <v>2314</v>
      </c>
      <c r="I150" s="2229">
        <v>1676</v>
      </c>
      <c r="J150" s="2226" t="s">
        <v>110</v>
      </c>
      <c r="K150" s="2224" t="s">
        <v>845</v>
      </c>
      <c r="L150" s="2227">
        <v>417.07</v>
      </c>
      <c r="M150" s="2227">
        <v>329.75</v>
      </c>
      <c r="N150" s="2250" t="s">
        <v>229</v>
      </c>
      <c r="O150" s="2224">
        <v>12</v>
      </c>
      <c r="P150" s="2225" t="s">
        <v>996</v>
      </c>
      <c r="Q150" s="2229"/>
      <c r="R150" s="2229"/>
      <c r="S150" s="2228"/>
      <c r="T150" s="2997"/>
      <c r="U150" s="2228">
        <f t="shared" si="9"/>
        <v>0</v>
      </c>
      <c r="V150" s="2228"/>
      <c r="W150" s="2999"/>
      <c r="X150" s="2230">
        <f t="shared" si="10"/>
        <v>0</v>
      </c>
      <c r="Y150" s="2230"/>
      <c r="Z150" s="2225"/>
    </row>
    <row r="151" spans="8:26">
      <c r="H151" s="2224" t="s">
        <v>2315</v>
      </c>
      <c r="I151" s="2229">
        <v>47</v>
      </c>
      <c r="J151" s="2226" t="s">
        <v>110</v>
      </c>
      <c r="K151" s="2224" t="s">
        <v>845</v>
      </c>
      <c r="L151" s="2227">
        <v>32.409999999999997</v>
      </c>
      <c r="M151" s="2227">
        <v>32.409999999999997</v>
      </c>
      <c r="N151" s="2250" t="s">
        <v>229</v>
      </c>
      <c r="O151" s="2224">
        <v>5</v>
      </c>
      <c r="P151" s="2225" t="s">
        <v>996</v>
      </c>
      <c r="Q151" s="2229"/>
      <c r="R151" s="2229"/>
      <c r="S151" s="2228"/>
      <c r="T151" s="2997"/>
      <c r="U151" s="2228">
        <f t="shared" ref="U151:U214" si="11">I151*R151</f>
        <v>0</v>
      </c>
      <c r="V151" s="2228"/>
      <c r="W151" s="2999"/>
      <c r="X151" s="2230">
        <f t="shared" ref="X151:X214" si="12">M151*R151</f>
        <v>0</v>
      </c>
      <c r="Y151" s="2230"/>
      <c r="Z151" s="2225"/>
    </row>
    <row r="152" spans="8:26">
      <c r="H152" s="2224" t="s">
        <v>2316</v>
      </c>
      <c r="I152" s="2229">
        <v>103</v>
      </c>
      <c r="J152" s="2226" t="s">
        <v>110</v>
      </c>
      <c r="K152" s="2224" t="s">
        <v>845</v>
      </c>
      <c r="L152" s="2227">
        <v>32.409999999999997</v>
      </c>
      <c r="M152" s="2227">
        <v>32.409999999999997</v>
      </c>
      <c r="N152" s="2250">
        <v>1.00999899000101E-3</v>
      </c>
      <c r="O152" s="2224">
        <v>5</v>
      </c>
      <c r="P152" s="2225" t="s">
        <v>996</v>
      </c>
      <c r="Q152" s="2229"/>
      <c r="R152" s="2229">
        <v>50</v>
      </c>
      <c r="S152" s="2228"/>
      <c r="T152" s="2997"/>
      <c r="U152" s="2228">
        <f t="shared" si="11"/>
        <v>5150</v>
      </c>
      <c r="V152" s="2228"/>
      <c r="W152" s="2999"/>
      <c r="X152" s="2230">
        <f t="shared" si="12"/>
        <v>1620.4999999999998</v>
      </c>
      <c r="Y152" s="2230"/>
      <c r="Z152" s="2225"/>
    </row>
    <row r="153" spans="8:26">
      <c r="H153" s="2224" t="s">
        <v>2317</v>
      </c>
      <c r="I153" s="2229">
        <v>134</v>
      </c>
      <c r="J153" s="2226" t="s">
        <v>110</v>
      </c>
      <c r="K153" s="2224" t="s">
        <v>845</v>
      </c>
      <c r="L153" s="2227">
        <v>32.409999999999997</v>
      </c>
      <c r="M153" s="2227">
        <v>32.409999999999997</v>
      </c>
      <c r="N153" s="2250" t="s">
        <v>229</v>
      </c>
      <c r="O153" s="2224">
        <v>5</v>
      </c>
      <c r="P153" s="2225" t="s">
        <v>996</v>
      </c>
      <c r="Q153" s="2229"/>
      <c r="R153" s="2229"/>
      <c r="S153" s="2228"/>
      <c r="T153" s="2997"/>
      <c r="U153" s="2228">
        <f t="shared" si="11"/>
        <v>0</v>
      </c>
      <c r="V153" s="2228"/>
      <c r="W153" s="2999"/>
      <c r="X153" s="2230">
        <f t="shared" si="12"/>
        <v>0</v>
      </c>
      <c r="Y153" s="2230"/>
      <c r="Z153" s="2225"/>
    </row>
    <row r="154" spans="8:26">
      <c r="H154" s="2224" t="s">
        <v>2318</v>
      </c>
      <c r="I154" s="2229">
        <v>210</v>
      </c>
      <c r="J154" s="2226" t="s">
        <v>110</v>
      </c>
      <c r="K154" s="2224" t="s">
        <v>845</v>
      </c>
      <c r="L154" s="2227">
        <v>32.409999999999997</v>
      </c>
      <c r="M154" s="2227">
        <v>32.409999999999997</v>
      </c>
      <c r="N154" s="2250">
        <v>1.6473769933997056E-2</v>
      </c>
      <c r="O154" s="2224">
        <v>5</v>
      </c>
      <c r="P154" s="2225" t="s">
        <v>996</v>
      </c>
      <c r="Q154" s="2229"/>
      <c r="R154" s="2229">
        <v>400</v>
      </c>
      <c r="S154" s="2228"/>
      <c r="T154" s="2997"/>
      <c r="U154" s="2228">
        <f t="shared" si="11"/>
        <v>84000</v>
      </c>
      <c r="V154" s="2228"/>
      <c r="W154" s="2999"/>
      <c r="X154" s="2230">
        <f t="shared" si="12"/>
        <v>12963.999999999998</v>
      </c>
      <c r="Y154" s="2230"/>
      <c r="Z154" s="2225"/>
    </row>
    <row r="155" spans="8:26">
      <c r="H155" s="2224" t="s">
        <v>2319</v>
      </c>
      <c r="I155" s="2229">
        <v>34</v>
      </c>
      <c r="J155" s="2226" t="s">
        <v>110</v>
      </c>
      <c r="K155" s="2224" t="s">
        <v>845</v>
      </c>
      <c r="L155" s="2227">
        <v>12.73</v>
      </c>
      <c r="M155" s="2227">
        <v>4.3639999999999999</v>
      </c>
      <c r="N155" s="2250" t="s">
        <v>229</v>
      </c>
      <c r="O155" s="2224">
        <v>5</v>
      </c>
      <c r="P155" s="2225" t="s">
        <v>996</v>
      </c>
      <c r="Q155" s="2229"/>
      <c r="R155" s="2229"/>
      <c r="S155" s="2228"/>
      <c r="T155" s="2997"/>
      <c r="U155" s="2228">
        <f t="shared" si="11"/>
        <v>0</v>
      </c>
      <c r="V155" s="2228"/>
      <c r="W155" s="2999"/>
      <c r="X155" s="2230">
        <f t="shared" si="12"/>
        <v>0</v>
      </c>
      <c r="Y155" s="2230"/>
      <c r="Z155" s="2225"/>
    </row>
    <row r="156" spans="8:26">
      <c r="H156" s="2224" t="s">
        <v>2320</v>
      </c>
      <c r="I156" s="2229">
        <v>77</v>
      </c>
      <c r="J156" s="2226" t="s">
        <v>110</v>
      </c>
      <c r="K156" s="2224" t="s">
        <v>845</v>
      </c>
      <c r="L156" s="2227">
        <v>32.409999999999997</v>
      </c>
      <c r="M156" s="2227">
        <v>32.409999999999997</v>
      </c>
      <c r="N156" s="2250">
        <v>7.5504778864153175E-4</v>
      </c>
      <c r="O156" s="2224">
        <v>5</v>
      </c>
      <c r="P156" s="2225" t="s">
        <v>996</v>
      </c>
      <c r="Q156" s="2229"/>
      <c r="R156" s="2229">
        <v>50</v>
      </c>
      <c r="S156" s="2228"/>
      <c r="T156" s="2997"/>
      <c r="U156" s="2228">
        <f t="shared" si="11"/>
        <v>3850</v>
      </c>
      <c r="V156" s="2228"/>
      <c r="W156" s="2999"/>
      <c r="X156" s="2230">
        <f t="shared" si="12"/>
        <v>1620.4999999999998</v>
      </c>
      <c r="Y156" s="2230"/>
      <c r="Z156" s="2225"/>
    </row>
    <row r="157" spans="8:26">
      <c r="H157" s="2224" t="s">
        <v>2321</v>
      </c>
      <c r="I157" s="2229">
        <v>58</v>
      </c>
      <c r="J157" s="2226" t="s">
        <v>110</v>
      </c>
      <c r="K157" s="2224" t="s">
        <v>845</v>
      </c>
      <c r="L157" s="2227">
        <v>32.409999999999997</v>
      </c>
      <c r="M157" s="2227">
        <v>32.409999999999997</v>
      </c>
      <c r="N157" s="2250" t="s">
        <v>229</v>
      </c>
      <c r="O157" s="2224">
        <v>5</v>
      </c>
      <c r="P157" s="2225" t="s">
        <v>996</v>
      </c>
      <c r="Q157" s="2229"/>
      <c r="R157" s="2229"/>
      <c r="S157" s="2228"/>
      <c r="T157" s="2997"/>
      <c r="U157" s="2228">
        <f t="shared" si="11"/>
        <v>0</v>
      </c>
      <c r="V157" s="2228"/>
      <c r="W157" s="2999"/>
      <c r="X157" s="2230">
        <f t="shared" si="12"/>
        <v>0</v>
      </c>
      <c r="Y157" s="2230"/>
      <c r="Z157" s="2225"/>
    </row>
    <row r="158" spans="8:26">
      <c r="H158" s="2224" t="s">
        <v>2322</v>
      </c>
      <c r="I158" s="2229">
        <v>113</v>
      </c>
      <c r="J158" s="2226" t="s">
        <v>110</v>
      </c>
      <c r="K158" s="2224" t="s">
        <v>845</v>
      </c>
      <c r="L158" s="2227">
        <v>32.409999999999997</v>
      </c>
      <c r="M158" s="2227">
        <v>32.409999999999997</v>
      </c>
      <c r="N158" s="2250" t="s">
        <v>229</v>
      </c>
      <c r="O158" s="2224">
        <v>5</v>
      </c>
      <c r="P158" s="2225" t="s">
        <v>996</v>
      </c>
      <c r="Q158" s="2229"/>
      <c r="R158" s="2229"/>
      <c r="S158" s="2228"/>
      <c r="T158" s="2997"/>
      <c r="U158" s="2228">
        <f t="shared" si="11"/>
        <v>0</v>
      </c>
      <c r="V158" s="2228"/>
      <c r="W158" s="2999"/>
      <c r="X158" s="2230">
        <f t="shared" si="12"/>
        <v>0</v>
      </c>
      <c r="Y158" s="2230"/>
      <c r="Z158" s="2225"/>
    </row>
    <row r="159" spans="8:26">
      <c r="H159" s="2224" t="s">
        <v>2323</v>
      </c>
      <c r="I159" s="2229">
        <v>92</v>
      </c>
      <c r="J159" s="2226" t="s">
        <v>110</v>
      </c>
      <c r="K159" s="2224" t="s">
        <v>845</v>
      </c>
      <c r="L159" s="2227">
        <v>32.409999999999997</v>
      </c>
      <c r="M159" s="2227">
        <v>32.409999999999997</v>
      </c>
      <c r="N159" s="2250" t="s">
        <v>229</v>
      </c>
      <c r="O159" s="2224">
        <v>5</v>
      </c>
      <c r="P159" s="2225" t="s">
        <v>996</v>
      </c>
      <c r="Q159" s="2229"/>
      <c r="R159" s="2229"/>
      <c r="S159" s="2228"/>
      <c r="T159" s="2997"/>
      <c r="U159" s="2228">
        <f t="shared" si="11"/>
        <v>0</v>
      </c>
      <c r="V159" s="2228"/>
      <c r="W159" s="2999"/>
      <c r="X159" s="2230">
        <f t="shared" si="12"/>
        <v>0</v>
      </c>
      <c r="Y159" s="2230"/>
      <c r="Z159" s="2225"/>
    </row>
    <row r="160" spans="8:26">
      <c r="H160" s="2224" t="s">
        <v>2324</v>
      </c>
      <c r="I160" s="2229">
        <v>84</v>
      </c>
      <c r="J160" s="2226" t="s">
        <v>110</v>
      </c>
      <c r="K160" s="2224" t="s">
        <v>845</v>
      </c>
      <c r="L160" s="2227">
        <v>32.409999999999997</v>
      </c>
      <c r="M160" s="2227">
        <v>32.409999999999997</v>
      </c>
      <c r="N160" s="2250" t="s">
        <v>229</v>
      </c>
      <c r="O160" s="2224">
        <v>5</v>
      </c>
      <c r="P160" s="2225" t="s">
        <v>996</v>
      </c>
      <c r="Q160" s="2229"/>
      <c r="R160" s="2229"/>
      <c r="S160" s="2228"/>
      <c r="T160" s="2997"/>
      <c r="U160" s="2228">
        <f t="shared" si="11"/>
        <v>0</v>
      </c>
      <c r="V160" s="2228"/>
      <c r="W160" s="2999"/>
      <c r="X160" s="2230">
        <f t="shared" si="12"/>
        <v>0</v>
      </c>
      <c r="Y160" s="2230"/>
      <c r="Z160" s="2225"/>
    </row>
    <row r="161" spans="8:26">
      <c r="H161" s="2224" t="s">
        <v>2325</v>
      </c>
      <c r="I161" s="2229">
        <v>59</v>
      </c>
      <c r="J161" s="2226" t="s">
        <v>110</v>
      </c>
      <c r="K161" s="2224" t="s">
        <v>845</v>
      </c>
      <c r="L161" s="2227">
        <v>32.409999999999997</v>
      </c>
      <c r="M161" s="2227">
        <v>32.409999999999997</v>
      </c>
      <c r="N161" s="2250" t="s">
        <v>229</v>
      </c>
      <c r="O161" s="2224">
        <v>5</v>
      </c>
      <c r="P161" s="2225" t="s">
        <v>996</v>
      </c>
      <c r="Q161" s="2229"/>
      <c r="R161" s="2229"/>
      <c r="S161" s="2228"/>
      <c r="T161" s="2997"/>
      <c r="U161" s="2228">
        <f t="shared" si="11"/>
        <v>0</v>
      </c>
      <c r="V161" s="2228"/>
      <c r="W161" s="2999"/>
      <c r="X161" s="2230">
        <f t="shared" si="12"/>
        <v>0</v>
      </c>
      <c r="Y161" s="2230"/>
      <c r="Z161" s="2225"/>
    </row>
    <row r="162" spans="8:26">
      <c r="H162" s="2224" t="s">
        <v>2326</v>
      </c>
      <c r="I162" s="2229">
        <v>61</v>
      </c>
      <c r="J162" s="2226" t="s">
        <v>110</v>
      </c>
      <c r="K162" s="2224" t="s">
        <v>845</v>
      </c>
      <c r="L162" s="2227">
        <v>32.409999999999997</v>
      </c>
      <c r="M162" s="2227">
        <v>32.409999999999997</v>
      </c>
      <c r="N162" s="2250" t="s">
        <v>229</v>
      </c>
      <c r="O162" s="2224">
        <v>5</v>
      </c>
      <c r="P162" s="2225" t="s">
        <v>996</v>
      </c>
      <c r="Q162" s="2229"/>
      <c r="R162" s="2229"/>
      <c r="S162" s="2228"/>
      <c r="T162" s="2997"/>
      <c r="U162" s="2228">
        <f t="shared" si="11"/>
        <v>0</v>
      </c>
      <c r="V162" s="2228"/>
      <c r="W162" s="2999"/>
      <c r="X162" s="2230">
        <f t="shared" si="12"/>
        <v>0</v>
      </c>
      <c r="Y162" s="2230"/>
      <c r="Z162" s="2225"/>
    </row>
    <row r="163" spans="8:26">
      <c r="H163" s="2224" t="s">
        <v>2327</v>
      </c>
      <c r="I163" s="2229">
        <v>55</v>
      </c>
      <c r="J163" s="2226" t="s">
        <v>110</v>
      </c>
      <c r="K163" s="2224" t="s">
        <v>845</v>
      </c>
      <c r="L163" s="2227">
        <v>19.68</v>
      </c>
      <c r="M163" s="2227">
        <v>19.68</v>
      </c>
      <c r="N163" s="2250" t="s">
        <v>229</v>
      </c>
      <c r="O163" s="2224">
        <v>5</v>
      </c>
      <c r="P163" s="2225" t="s">
        <v>996</v>
      </c>
      <c r="Q163" s="2229"/>
      <c r="R163" s="2229"/>
      <c r="S163" s="2228"/>
      <c r="T163" s="2997"/>
      <c r="U163" s="2228">
        <f t="shared" si="11"/>
        <v>0</v>
      </c>
      <c r="V163" s="2228"/>
      <c r="W163" s="2999"/>
      <c r="X163" s="2230">
        <f t="shared" si="12"/>
        <v>0</v>
      </c>
      <c r="Y163" s="2230"/>
      <c r="Z163" s="2225"/>
    </row>
    <row r="164" spans="8:26">
      <c r="H164" s="2224" t="s">
        <v>2328</v>
      </c>
      <c r="I164" s="2229">
        <v>123</v>
      </c>
      <c r="J164" s="2226" t="s">
        <v>110</v>
      </c>
      <c r="K164" s="2224" t="s">
        <v>845</v>
      </c>
      <c r="L164" s="2227">
        <v>19.68</v>
      </c>
      <c r="M164" s="2227">
        <v>19.68</v>
      </c>
      <c r="N164" s="2250">
        <v>1.2061152987390702E-3</v>
      </c>
      <c r="O164" s="2224">
        <v>5</v>
      </c>
      <c r="P164" s="2225" t="s">
        <v>996</v>
      </c>
      <c r="Q164" s="2229"/>
      <c r="R164" s="2229">
        <v>50</v>
      </c>
      <c r="S164" s="2228"/>
      <c r="T164" s="2997"/>
      <c r="U164" s="2228">
        <f t="shared" si="11"/>
        <v>6150</v>
      </c>
      <c r="V164" s="2228"/>
      <c r="W164" s="2999"/>
      <c r="X164" s="2230">
        <f t="shared" si="12"/>
        <v>984</v>
      </c>
      <c r="Y164" s="2230"/>
      <c r="Z164" s="2225"/>
    </row>
    <row r="165" spans="8:26">
      <c r="H165" s="2224" t="s">
        <v>2329</v>
      </c>
      <c r="I165" s="2229">
        <v>159</v>
      </c>
      <c r="J165" s="2226" t="s">
        <v>110</v>
      </c>
      <c r="K165" s="2224" t="s">
        <v>845</v>
      </c>
      <c r="L165" s="2227">
        <v>19.68</v>
      </c>
      <c r="M165" s="2227">
        <v>19.68</v>
      </c>
      <c r="N165" s="2250" t="s">
        <v>229</v>
      </c>
      <c r="O165" s="2224">
        <v>5</v>
      </c>
      <c r="P165" s="2225" t="s">
        <v>996</v>
      </c>
      <c r="Q165" s="2229"/>
      <c r="R165" s="2229"/>
      <c r="S165" s="2228"/>
      <c r="T165" s="2997"/>
      <c r="U165" s="2228">
        <f t="shared" si="11"/>
        <v>0</v>
      </c>
      <c r="V165" s="2228"/>
      <c r="W165" s="2999"/>
      <c r="X165" s="2230">
        <f t="shared" si="12"/>
        <v>0</v>
      </c>
      <c r="Y165" s="2230"/>
      <c r="Z165" s="2225"/>
    </row>
    <row r="166" spans="8:26">
      <c r="H166" s="2224" t="s">
        <v>2330</v>
      </c>
      <c r="I166" s="2229">
        <v>249</v>
      </c>
      <c r="J166" s="2226" t="s">
        <v>110</v>
      </c>
      <c r="K166" s="2224" t="s">
        <v>845</v>
      </c>
      <c r="L166" s="2227">
        <v>19.68</v>
      </c>
      <c r="M166" s="2227">
        <v>19.68</v>
      </c>
      <c r="N166" s="2250">
        <v>1.9533184350310796E-2</v>
      </c>
      <c r="O166" s="2224">
        <v>5</v>
      </c>
      <c r="P166" s="2225" t="s">
        <v>996</v>
      </c>
      <c r="Q166" s="2229"/>
      <c r="R166" s="2229">
        <v>400</v>
      </c>
      <c r="S166" s="2228"/>
      <c r="T166" s="2997"/>
      <c r="U166" s="2228">
        <f t="shared" si="11"/>
        <v>99600</v>
      </c>
      <c r="V166" s="2228"/>
      <c r="W166" s="2999"/>
      <c r="X166" s="2230">
        <f t="shared" si="12"/>
        <v>7872</v>
      </c>
      <c r="Y166" s="2230"/>
      <c r="Z166" s="2225"/>
    </row>
    <row r="167" spans="8:26">
      <c r="H167" s="2224" t="s">
        <v>2331</v>
      </c>
      <c r="I167" s="2229">
        <v>40</v>
      </c>
      <c r="J167" s="2226" t="s">
        <v>110</v>
      </c>
      <c r="K167" s="2224" t="s">
        <v>845</v>
      </c>
      <c r="L167" s="2227">
        <v>12.7</v>
      </c>
      <c r="M167" s="2227">
        <v>4.3520000000000003</v>
      </c>
      <c r="N167" s="2250" t="s">
        <v>229</v>
      </c>
      <c r="O167" s="2224">
        <v>5</v>
      </c>
      <c r="P167" s="2225" t="s">
        <v>996</v>
      </c>
      <c r="Q167" s="2229"/>
      <c r="R167" s="2229"/>
      <c r="S167" s="2228"/>
      <c r="T167" s="2997"/>
      <c r="U167" s="2228">
        <f t="shared" si="11"/>
        <v>0</v>
      </c>
      <c r="V167" s="2228"/>
      <c r="W167" s="2999"/>
      <c r="X167" s="2230">
        <f t="shared" si="12"/>
        <v>0</v>
      </c>
      <c r="Y167" s="2230"/>
      <c r="Z167" s="2225"/>
    </row>
    <row r="168" spans="8:26">
      <c r="H168" s="2224" t="s">
        <v>2332</v>
      </c>
      <c r="I168" s="2229">
        <v>91</v>
      </c>
      <c r="J168" s="2226" t="s">
        <v>110</v>
      </c>
      <c r="K168" s="2224" t="s">
        <v>845</v>
      </c>
      <c r="L168" s="2227">
        <v>19.68</v>
      </c>
      <c r="M168" s="2227">
        <v>19.68</v>
      </c>
      <c r="N168" s="2250">
        <v>8.9232920475817393E-4</v>
      </c>
      <c r="O168" s="2224">
        <v>5</v>
      </c>
      <c r="P168" s="2225" t="s">
        <v>996</v>
      </c>
      <c r="Q168" s="2229"/>
      <c r="R168" s="2229">
        <v>50</v>
      </c>
      <c r="S168" s="2228"/>
      <c r="T168" s="2997"/>
      <c r="U168" s="2228">
        <f t="shared" si="11"/>
        <v>4550</v>
      </c>
      <c r="V168" s="2228"/>
      <c r="W168" s="2999"/>
      <c r="X168" s="2230">
        <f t="shared" si="12"/>
        <v>984</v>
      </c>
      <c r="Y168" s="2230"/>
      <c r="Z168" s="2225"/>
    </row>
    <row r="169" spans="8:26">
      <c r="H169" s="2224" t="s">
        <v>2333</v>
      </c>
      <c r="I169" s="2229">
        <v>68</v>
      </c>
      <c r="J169" s="2226" t="s">
        <v>110</v>
      </c>
      <c r="K169" s="2224" t="s">
        <v>845</v>
      </c>
      <c r="L169" s="2227">
        <v>19.68</v>
      </c>
      <c r="M169" s="2227">
        <v>19.68</v>
      </c>
      <c r="N169" s="2250" t="s">
        <v>229</v>
      </c>
      <c r="O169" s="2224">
        <v>5</v>
      </c>
      <c r="P169" s="2225" t="s">
        <v>996</v>
      </c>
      <c r="Q169" s="2229"/>
      <c r="R169" s="2229"/>
      <c r="S169" s="2228"/>
      <c r="T169" s="2997"/>
      <c r="U169" s="2228">
        <f t="shared" si="11"/>
        <v>0</v>
      </c>
      <c r="V169" s="2228"/>
      <c r="W169" s="2999"/>
      <c r="X169" s="2230">
        <f t="shared" si="12"/>
        <v>0</v>
      </c>
      <c r="Y169" s="2230"/>
      <c r="Z169" s="2225"/>
    </row>
    <row r="170" spans="8:26">
      <c r="H170" s="2224" t="s">
        <v>2334</v>
      </c>
      <c r="I170" s="2229">
        <v>134</v>
      </c>
      <c r="J170" s="2226" t="s">
        <v>110</v>
      </c>
      <c r="K170" s="2224" t="s">
        <v>845</v>
      </c>
      <c r="L170" s="2227">
        <v>19.68</v>
      </c>
      <c r="M170" s="2227">
        <v>19.68</v>
      </c>
      <c r="N170" s="2250" t="s">
        <v>229</v>
      </c>
      <c r="O170" s="2224">
        <v>5</v>
      </c>
      <c r="P170" s="2225" t="s">
        <v>996</v>
      </c>
      <c r="Q170" s="2229"/>
      <c r="R170" s="2229"/>
      <c r="S170" s="2228"/>
      <c r="T170" s="2997"/>
      <c r="U170" s="2228">
        <f t="shared" si="11"/>
        <v>0</v>
      </c>
      <c r="V170" s="2228"/>
      <c r="W170" s="2999"/>
      <c r="X170" s="2230">
        <f t="shared" si="12"/>
        <v>0</v>
      </c>
      <c r="Y170" s="2230"/>
      <c r="Z170" s="2225"/>
    </row>
    <row r="171" spans="8:26">
      <c r="H171" s="2224" t="s">
        <v>2335</v>
      </c>
      <c r="I171" s="2229">
        <v>109</v>
      </c>
      <c r="J171" s="2226" t="s">
        <v>110</v>
      </c>
      <c r="K171" s="2224" t="s">
        <v>845</v>
      </c>
      <c r="L171" s="2227">
        <v>19.68</v>
      </c>
      <c r="M171" s="2227">
        <v>19.68</v>
      </c>
      <c r="N171" s="2250" t="s">
        <v>229</v>
      </c>
      <c r="O171" s="2224">
        <v>5</v>
      </c>
      <c r="P171" s="2225" t="s">
        <v>996</v>
      </c>
      <c r="Q171" s="2229"/>
      <c r="R171" s="2229"/>
      <c r="S171" s="2228"/>
      <c r="T171" s="2997"/>
      <c r="U171" s="2228">
        <f t="shared" si="11"/>
        <v>0</v>
      </c>
      <c r="V171" s="2228"/>
      <c r="W171" s="2999"/>
      <c r="X171" s="2230">
        <f t="shared" si="12"/>
        <v>0</v>
      </c>
      <c r="Y171" s="2230"/>
      <c r="Z171" s="2225"/>
    </row>
    <row r="172" spans="8:26">
      <c r="H172" s="2224" t="s">
        <v>2336</v>
      </c>
      <c r="I172" s="2229">
        <v>100</v>
      </c>
      <c r="J172" s="2226" t="s">
        <v>110</v>
      </c>
      <c r="K172" s="2224" t="s">
        <v>845</v>
      </c>
      <c r="L172" s="2227">
        <v>19.68</v>
      </c>
      <c r="M172" s="2227">
        <v>19.68</v>
      </c>
      <c r="N172" s="2250" t="s">
        <v>229</v>
      </c>
      <c r="O172" s="2224">
        <v>5</v>
      </c>
      <c r="P172" s="2225" t="s">
        <v>996</v>
      </c>
      <c r="Q172" s="2229"/>
      <c r="R172" s="2229"/>
      <c r="S172" s="2228"/>
      <c r="T172" s="2997"/>
      <c r="U172" s="2228">
        <f t="shared" si="11"/>
        <v>0</v>
      </c>
      <c r="V172" s="2228"/>
      <c r="W172" s="2999"/>
      <c r="X172" s="2230">
        <f t="shared" si="12"/>
        <v>0</v>
      </c>
      <c r="Y172" s="2230"/>
      <c r="Z172" s="2225"/>
    </row>
    <row r="173" spans="8:26">
      <c r="H173" s="2224" t="s">
        <v>2337</v>
      </c>
      <c r="I173" s="2229">
        <v>70</v>
      </c>
      <c r="J173" s="2226" t="s">
        <v>110</v>
      </c>
      <c r="K173" s="2224" t="s">
        <v>845</v>
      </c>
      <c r="L173" s="2227">
        <v>19.68</v>
      </c>
      <c r="M173" s="2227">
        <v>19.68</v>
      </c>
      <c r="N173" s="2250" t="s">
        <v>229</v>
      </c>
      <c r="O173" s="2224">
        <v>5</v>
      </c>
      <c r="P173" s="2225" t="s">
        <v>996</v>
      </c>
      <c r="Q173" s="2229"/>
      <c r="R173" s="2229"/>
      <c r="S173" s="2228"/>
      <c r="T173" s="2997"/>
      <c r="U173" s="2228">
        <f t="shared" si="11"/>
        <v>0</v>
      </c>
      <c r="V173" s="2228"/>
      <c r="W173" s="2999"/>
      <c r="X173" s="2230">
        <f t="shared" si="12"/>
        <v>0</v>
      </c>
      <c r="Y173" s="2230"/>
      <c r="Z173" s="2225"/>
    </row>
    <row r="174" spans="8:26">
      <c r="H174" s="2224" t="s">
        <v>2338</v>
      </c>
      <c r="I174" s="2229">
        <v>72</v>
      </c>
      <c r="J174" s="2226" t="s">
        <v>110</v>
      </c>
      <c r="K174" s="2224" t="s">
        <v>845</v>
      </c>
      <c r="L174" s="2227">
        <v>19.68</v>
      </c>
      <c r="M174" s="2227">
        <v>19.68</v>
      </c>
      <c r="N174" s="2250" t="s">
        <v>229</v>
      </c>
      <c r="O174" s="2224">
        <v>5</v>
      </c>
      <c r="P174" s="2225" t="s">
        <v>996</v>
      </c>
      <c r="Q174" s="2229"/>
      <c r="R174" s="2229"/>
      <c r="S174" s="2228"/>
      <c r="T174" s="2997"/>
      <c r="U174" s="2228">
        <f t="shared" si="11"/>
        <v>0</v>
      </c>
      <c r="V174" s="2228"/>
      <c r="W174" s="2999"/>
      <c r="X174" s="2230">
        <f t="shared" si="12"/>
        <v>0</v>
      </c>
      <c r="Y174" s="2230"/>
      <c r="Z174" s="2225"/>
    </row>
    <row r="175" spans="8:26">
      <c r="H175" s="2224" t="s">
        <v>2339</v>
      </c>
      <c r="I175" s="2229">
        <v>35</v>
      </c>
      <c r="J175" s="2226" t="s">
        <v>110</v>
      </c>
      <c r="K175" s="2224" t="s">
        <v>845</v>
      </c>
      <c r="L175" s="2227">
        <v>18.7</v>
      </c>
      <c r="M175" s="2227">
        <v>18.7</v>
      </c>
      <c r="N175" s="2250" t="s">
        <v>229</v>
      </c>
      <c r="O175" s="2224">
        <v>5</v>
      </c>
      <c r="P175" s="2225" t="s">
        <v>996</v>
      </c>
      <c r="Q175" s="2229"/>
      <c r="R175" s="2229"/>
      <c r="S175" s="2228"/>
      <c r="T175" s="2997"/>
      <c r="U175" s="2228">
        <f t="shared" si="11"/>
        <v>0</v>
      </c>
      <c r="V175" s="2228"/>
      <c r="W175" s="2999"/>
      <c r="X175" s="2230">
        <f t="shared" si="12"/>
        <v>0</v>
      </c>
      <c r="Y175" s="2230"/>
      <c r="Z175" s="2225"/>
    </row>
    <row r="176" spans="8:26">
      <c r="H176" s="2224" t="s">
        <v>2340</v>
      </c>
      <c r="I176" s="2229">
        <v>78</v>
      </c>
      <c r="J176" s="2226" t="s">
        <v>110</v>
      </c>
      <c r="K176" s="2224" t="s">
        <v>845</v>
      </c>
      <c r="L176" s="2227">
        <v>18.7</v>
      </c>
      <c r="M176" s="2227">
        <v>18.7</v>
      </c>
      <c r="N176" s="2250">
        <v>7.6485360407843475E-4</v>
      </c>
      <c r="O176" s="2224">
        <v>5</v>
      </c>
      <c r="P176" s="2225" t="s">
        <v>996</v>
      </c>
      <c r="Q176" s="2229"/>
      <c r="R176" s="2229">
        <v>50</v>
      </c>
      <c r="S176" s="2228"/>
      <c r="T176" s="2997"/>
      <c r="U176" s="2228">
        <f t="shared" si="11"/>
        <v>3900</v>
      </c>
      <c r="V176" s="2228"/>
      <c r="W176" s="2999"/>
      <c r="X176" s="2230">
        <f t="shared" si="12"/>
        <v>935</v>
      </c>
      <c r="Y176" s="2230"/>
      <c r="Z176" s="2225"/>
    </row>
    <row r="177" spans="5:26">
      <c r="H177" s="2224" t="s">
        <v>2341</v>
      </c>
      <c r="I177" s="2229">
        <v>101</v>
      </c>
      <c r="J177" s="2226" t="s">
        <v>110</v>
      </c>
      <c r="K177" s="2224" t="s">
        <v>845</v>
      </c>
      <c r="L177" s="2227">
        <v>18.7</v>
      </c>
      <c r="M177" s="2227">
        <v>18.7</v>
      </c>
      <c r="N177" s="2250" t="s">
        <v>229</v>
      </c>
      <c r="O177" s="2224">
        <v>5</v>
      </c>
      <c r="P177" s="2225" t="s">
        <v>996</v>
      </c>
      <c r="Q177" s="2229"/>
      <c r="R177" s="2229"/>
      <c r="S177" s="2228"/>
      <c r="T177" s="2997"/>
      <c r="U177" s="2228">
        <f t="shared" si="11"/>
        <v>0</v>
      </c>
      <c r="V177" s="2228"/>
      <c r="W177" s="2999"/>
      <c r="X177" s="2230">
        <f t="shared" si="12"/>
        <v>0</v>
      </c>
      <c r="Y177" s="2230"/>
      <c r="Z177" s="2225"/>
    </row>
    <row r="178" spans="5:26">
      <c r="H178" s="2224" t="s">
        <v>2342</v>
      </c>
      <c r="I178" s="2229">
        <v>158</v>
      </c>
      <c r="J178" s="2226" t="s">
        <v>110</v>
      </c>
      <c r="K178" s="2224" t="s">
        <v>845</v>
      </c>
      <c r="L178" s="2227">
        <v>18.7</v>
      </c>
      <c r="M178" s="2227">
        <v>18.7</v>
      </c>
      <c r="N178" s="2250">
        <v>1.2394550712245404E-2</v>
      </c>
      <c r="O178" s="2224">
        <v>5</v>
      </c>
      <c r="P178" s="2225" t="s">
        <v>996</v>
      </c>
      <c r="Q178" s="2229"/>
      <c r="R178" s="2229">
        <v>400</v>
      </c>
      <c r="S178" s="2228"/>
      <c r="T178" s="2997"/>
      <c r="U178" s="2228">
        <f t="shared" si="11"/>
        <v>63200</v>
      </c>
      <c r="V178" s="2228"/>
      <c r="W178" s="2999"/>
      <c r="X178" s="2230">
        <f t="shared" si="12"/>
        <v>7480</v>
      </c>
      <c r="Y178" s="2230"/>
      <c r="Z178" s="2225"/>
    </row>
    <row r="179" spans="5:26">
      <c r="H179" s="2224" t="s">
        <v>2343</v>
      </c>
      <c r="I179" s="2229">
        <v>26</v>
      </c>
      <c r="J179" s="2226" t="s">
        <v>110</v>
      </c>
      <c r="K179" s="2224" t="s">
        <v>845</v>
      </c>
      <c r="L179" s="2227">
        <v>12.73</v>
      </c>
      <c r="M179" s="2227">
        <v>4.3639999999999999</v>
      </c>
      <c r="N179" s="2250" t="s">
        <v>229</v>
      </c>
      <c r="O179" s="2224">
        <v>5</v>
      </c>
      <c r="P179" s="2225" t="s">
        <v>996</v>
      </c>
      <c r="Q179" s="2229"/>
      <c r="R179" s="2229"/>
      <c r="S179" s="2228"/>
      <c r="T179" s="2997"/>
      <c r="U179" s="2228">
        <f t="shared" si="11"/>
        <v>0</v>
      </c>
      <c r="V179" s="2228"/>
      <c r="W179" s="2999"/>
      <c r="X179" s="2230">
        <f t="shared" si="12"/>
        <v>0</v>
      </c>
      <c r="Y179" s="2230"/>
      <c r="Z179" s="2225"/>
    </row>
    <row r="180" spans="5:26">
      <c r="H180" s="2224" t="s">
        <v>2344</v>
      </c>
      <c r="I180" s="2229">
        <v>58</v>
      </c>
      <c r="J180" s="2226" t="s">
        <v>110</v>
      </c>
      <c r="K180" s="2224" t="s">
        <v>845</v>
      </c>
      <c r="L180" s="2227">
        <v>18.7</v>
      </c>
      <c r="M180" s="2227">
        <v>18.7</v>
      </c>
      <c r="N180" s="2250">
        <v>5.6873729534037459E-4</v>
      </c>
      <c r="O180" s="2224">
        <v>5</v>
      </c>
      <c r="P180" s="2225" t="s">
        <v>996</v>
      </c>
      <c r="Q180" s="2229"/>
      <c r="R180" s="2229">
        <v>50</v>
      </c>
      <c r="S180" s="2228"/>
      <c r="T180" s="2997"/>
      <c r="U180" s="2228">
        <f t="shared" si="11"/>
        <v>2900</v>
      </c>
      <c r="V180" s="2228"/>
      <c r="W180" s="2999"/>
      <c r="X180" s="2230">
        <f t="shared" si="12"/>
        <v>935</v>
      </c>
      <c r="Y180" s="2230"/>
      <c r="Z180" s="2225"/>
    </row>
    <row r="181" spans="5:26">
      <c r="H181" s="2224" t="s">
        <v>2345</v>
      </c>
      <c r="I181" s="2229">
        <v>43</v>
      </c>
      <c r="J181" s="2226" t="s">
        <v>110</v>
      </c>
      <c r="K181" s="2224" t="s">
        <v>845</v>
      </c>
      <c r="L181" s="2227">
        <v>18.7</v>
      </c>
      <c r="M181" s="2227">
        <v>18.7</v>
      </c>
      <c r="N181" s="2250" t="s">
        <v>229</v>
      </c>
      <c r="O181" s="2224">
        <v>5</v>
      </c>
      <c r="P181" s="2225" t="s">
        <v>996</v>
      </c>
      <c r="Q181" s="2229"/>
      <c r="R181" s="2229"/>
      <c r="S181" s="2228"/>
      <c r="T181" s="2997"/>
      <c r="U181" s="2228">
        <f t="shared" si="11"/>
        <v>0</v>
      </c>
      <c r="V181" s="2228"/>
      <c r="W181" s="2999"/>
      <c r="X181" s="2230">
        <f t="shared" si="12"/>
        <v>0</v>
      </c>
      <c r="Y181" s="2230"/>
      <c r="Z181" s="2225"/>
    </row>
    <row r="182" spans="5:26">
      <c r="H182" s="2224" t="s">
        <v>2346</v>
      </c>
      <c r="I182" s="2229">
        <v>85</v>
      </c>
      <c r="J182" s="2226" t="s">
        <v>110</v>
      </c>
      <c r="K182" s="2224" t="s">
        <v>845</v>
      </c>
      <c r="L182" s="2227">
        <v>18.7</v>
      </c>
      <c r="M182" s="2227">
        <v>18.7</v>
      </c>
      <c r="N182" s="2250" t="s">
        <v>229</v>
      </c>
      <c r="O182" s="2224">
        <v>5</v>
      </c>
      <c r="P182" s="2225" t="s">
        <v>996</v>
      </c>
      <c r="Q182" s="2229"/>
      <c r="R182" s="2229"/>
      <c r="S182" s="2228"/>
      <c r="T182" s="2997"/>
      <c r="U182" s="2228">
        <f t="shared" si="11"/>
        <v>0</v>
      </c>
      <c r="V182" s="2228"/>
      <c r="W182" s="2999"/>
      <c r="X182" s="2230">
        <f t="shared" si="12"/>
        <v>0</v>
      </c>
      <c r="Y182" s="2230"/>
      <c r="Z182" s="2225"/>
    </row>
    <row r="183" spans="5:26">
      <c r="H183" s="2224" t="s">
        <v>2347</v>
      </c>
      <c r="I183" s="2229">
        <v>70</v>
      </c>
      <c r="J183" s="2226" t="s">
        <v>110</v>
      </c>
      <c r="K183" s="2224" t="s">
        <v>845</v>
      </c>
      <c r="L183" s="2227">
        <v>18.7</v>
      </c>
      <c r="M183" s="2227">
        <v>18.7</v>
      </c>
      <c r="N183" s="2250" t="s">
        <v>229</v>
      </c>
      <c r="O183" s="2224">
        <v>5</v>
      </c>
      <c r="P183" s="2225" t="s">
        <v>996</v>
      </c>
      <c r="Q183" s="2229"/>
      <c r="R183" s="2229"/>
      <c r="S183" s="2228"/>
      <c r="T183" s="2997"/>
      <c r="U183" s="2228">
        <f t="shared" si="11"/>
        <v>0</v>
      </c>
      <c r="V183" s="2228"/>
      <c r="W183" s="2999"/>
      <c r="X183" s="2230">
        <f t="shared" si="12"/>
        <v>0</v>
      </c>
      <c r="Y183" s="2230"/>
      <c r="Z183" s="2225"/>
    </row>
    <row r="184" spans="5:26">
      <c r="H184" s="2224" t="s">
        <v>2348</v>
      </c>
      <c r="I184" s="2229">
        <v>64</v>
      </c>
      <c r="J184" s="2226" t="s">
        <v>110</v>
      </c>
      <c r="K184" s="2224" t="s">
        <v>845</v>
      </c>
      <c r="L184" s="2227">
        <v>18.7</v>
      </c>
      <c r="M184" s="2227">
        <v>18.7</v>
      </c>
      <c r="N184" s="2250" t="s">
        <v>229</v>
      </c>
      <c r="O184" s="2224">
        <v>5</v>
      </c>
      <c r="P184" s="2225" t="s">
        <v>996</v>
      </c>
      <c r="Q184" s="2229"/>
      <c r="R184" s="2229"/>
      <c r="S184" s="2228"/>
      <c r="T184" s="2997"/>
      <c r="U184" s="2228">
        <f t="shared" si="11"/>
        <v>0</v>
      </c>
      <c r="V184" s="2228"/>
      <c r="W184" s="2999"/>
      <c r="X184" s="2230">
        <f t="shared" si="12"/>
        <v>0</v>
      </c>
      <c r="Y184" s="2230"/>
      <c r="Z184" s="2225"/>
    </row>
    <row r="185" spans="5:26">
      <c r="H185" s="2224" t="s">
        <v>2349</v>
      </c>
      <c r="I185" s="2229">
        <v>44</v>
      </c>
      <c r="J185" s="2226" t="s">
        <v>110</v>
      </c>
      <c r="K185" s="2224" t="s">
        <v>845</v>
      </c>
      <c r="L185" s="2227">
        <v>18.7</v>
      </c>
      <c r="M185" s="2227">
        <v>18.7</v>
      </c>
      <c r="N185" s="2250" t="s">
        <v>229</v>
      </c>
      <c r="O185" s="2224">
        <v>5</v>
      </c>
      <c r="P185" s="2225" t="s">
        <v>996</v>
      </c>
      <c r="Q185" s="2229"/>
      <c r="R185" s="2229"/>
      <c r="S185" s="2228"/>
      <c r="T185" s="2997"/>
      <c r="U185" s="2228">
        <f t="shared" si="11"/>
        <v>0</v>
      </c>
      <c r="V185" s="2228"/>
      <c r="W185" s="2999"/>
      <c r="X185" s="2230">
        <f t="shared" si="12"/>
        <v>0</v>
      </c>
      <c r="Y185" s="2230"/>
      <c r="Z185" s="2225"/>
    </row>
    <row r="186" spans="5:26">
      <c r="H186" s="2224" t="s">
        <v>2350</v>
      </c>
      <c r="I186" s="2229">
        <v>46</v>
      </c>
      <c r="J186" s="2226" t="s">
        <v>110</v>
      </c>
      <c r="K186" s="2224" t="s">
        <v>845</v>
      </c>
      <c r="L186" s="2227">
        <v>18.7</v>
      </c>
      <c r="M186" s="2227">
        <v>18.7</v>
      </c>
      <c r="N186" s="2250" t="s">
        <v>229</v>
      </c>
      <c r="O186" s="2224">
        <v>5</v>
      </c>
      <c r="P186" s="2225" t="s">
        <v>996</v>
      </c>
      <c r="Q186" s="2229"/>
      <c r="R186" s="2229"/>
      <c r="S186" s="2228"/>
      <c r="T186" s="2997"/>
      <c r="U186" s="2228">
        <f t="shared" si="11"/>
        <v>0</v>
      </c>
      <c r="V186" s="2228"/>
      <c r="W186" s="2999"/>
      <c r="X186" s="2230">
        <f t="shared" si="12"/>
        <v>0</v>
      </c>
      <c r="Y186" s="2230"/>
      <c r="Z186" s="2225"/>
    </row>
    <row r="187" spans="5:26" s="1652" customFormat="1">
      <c r="E187" s="2266"/>
      <c r="H187" s="3253" t="s">
        <v>2351</v>
      </c>
      <c r="I187" s="3254">
        <v>66</v>
      </c>
      <c r="J187" s="2226" t="s">
        <v>110</v>
      </c>
      <c r="K187" s="3253" t="s">
        <v>845</v>
      </c>
      <c r="L187" s="3256">
        <v>36.68</v>
      </c>
      <c r="M187" s="3256">
        <v>36.68</v>
      </c>
      <c r="N187" s="3257" t="s">
        <v>229</v>
      </c>
      <c r="O187" s="3253">
        <v>5</v>
      </c>
      <c r="P187" s="3258" t="s">
        <v>996</v>
      </c>
      <c r="Q187" s="3254"/>
      <c r="R187" s="3254"/>
      <c r="S187" s="3259"/>
      <c r="T187" s="3261"/>
      <c r="U187" s="2228">
        <f t="shared" si="11"/>
        <v>0</v>
      </c>
      <c r="V187" s="3259"/>
      <c r="W187" s="3262"/>
      <c r="X187" s="2230">
        <f t="shared" si="12"/>
        <v>0</v>
      </c>
      <c r="Y187" s="3260"/>
      <c r="Z187" s="3258"/>
    </row>
    <row r="188" spans="5:26" s="1652" customFormat="1">
      <c r="E188" s="2266"/>
      <c r="H188" s="3253" t="s">
        <v>2352</v>
      </c>
      <c r="I188" s="3254">
        <v>147</v>
      </c>
      <c r="J188" s="2226" t="s">
        <v>110</v>
      </c>
      <c r="K188" s="3253" t="s">
        <v>845</v>
      </c>
      <c r="L188" s="3256">
        <v>36.68</v>
      </c>
      <c r="M188" s="3256">
        <v>36.68</v>
      </c>
      <c r="N188" s="3257">
        <v>2.8829097384494851E-3</v>
      </c>
      <c r="O188" s="3253">
        <v>5</v>
      </c>
      <c r="P188" s="3258" t="s">
        <v>996</v>
      </c>
      <c r="Q188" s="3254"/>
      <c r="R188" s="3254">
        <v>100</v>
      </c>
      <c r="S188" s="3259"/>
      <c r="T188" s="3261"/>
      <c r="U188" s="2228">
        <f t="shared" si="11"/>
        <v>14700</v>
      </c>
      <c r="V188" s="3259"/>
      <c r="W188" s="3262"/>
      <c r="X188" s="2230">
        <f t="shared" si="12"/>
        <v>3668</v>
      </c>
      <c r="Y188" s="3260"/>
      <c r="Z188" s="3258"/>
    </row>
    <row r="189" spans="5:26" s="1652" customFormat="1">
      <c r="E189" s="2266"/>
      <c r="H189" s="3253" t="s">
        <v>2353</v>
      </c>
      <c r="I189" s="3254">
        <v>192</v>
      </c>
      <c r="J189" s="2226" t="s">
        <v>110</v>
      </c>
      <c r="K189" s="3253" t="s">
        <v>845</v>
      </c>
      <c r="L189" s="3256">
        <v>36.68</v>
      </c>
      <c r="M189" s="3256">
        <v>36.68</v>
      </c>
      <c r="N189" s="3257" t="s">
        <v>229</v>
      </c>
      <c r="O189" s="3253">
        <v>5</v>
      </c>
      <c r="P189" s="3258" t="s">
        <v>996</v>
      </c>
      <c r="Q189" s="3254"/>
      <c r="R189" s="3254"/>
      <c r="S189" s="3259"/>
      <c r="T189" s="3261"/>
      <c r="U189" s="2228">
        <f t="shared" si="11"/>
        <v>0</v>
      </c>
      <c r="V189" s="3259"/>
      <c r="W189" s="3262"/>
      <c r="X189" s="2230">
        <f t="shared" si="12"/>
        <v>0</v>
      </c>
      <c r="Y189" s="3260"/>
      <c r="Z189" s="3258"/>
    </row>
    <row r="190" spans="5:26" s="1652" customFormat="1">
      <c r="E190" s="2266"/>
      <c r="H190" s="3253" t="s">
        <v>2354</v>
      </c>
      <c r="I190" s="3254">
        <v>299</v>
      </c>
      <c r="J190" s="2226" t="s">
        <v>110</v>
      </c>
      <c r="K190" s="3253" t="s">
        <v>845</v>
      </c>
      <c r="L190" s="3256">
        <v>36.68</v>
      </c>
      <c r="M190" s="3256">
        <v>36.68</v>
      </c>
      <c r="N190" s="3257">
        <v>2.3455510525071999E-2</v>
      </c>
      <c r="O190" s="3253">
        <v>5</v>
      </c>
      <c r="P190" s="3258" t="s">
        <v>996</v>
      </c>
      <c r="Q190" s="3254"/>
      <c r="R190" s="3254">
        <v>400</v>
      </c>
      <c r="S190" s="3259"/>
      <c r="T190" s="3261"/>
      <c r="U190" s="2228">
        <f t="shared" si="11"/>
        <v>119600</v>
      </c>
      <c r="V190" s="3259"/>
      <c r="W190" s="3262"/>
      <c r="X190" s="2230">
        <f t="shared" si="12"/>
        <v>14672</v>
      </c>
      <c r="Y190" s="3260"/>
      <c r="Z190" s="3258"/>
    </row>
    <row r="191" spans="5:26" s="1652" customFormat="1">
      <c r="E191" s="2266"/>
      <c r="H191" s="3253" t="s">
        <v>2355</v>
      </c>
      <c r="I191" s="3254">
        <v>48</v>
      </c>
      <c r="J191" s="2226" t="s">
        <v>110</v>
      </c>
      <c r="K191" s="3253" t="s">
        <v>845</v>
      </c>
      <c r="L191" s="3256">
        <v>17.71</v>
      </c>
      <c r="M191" s="3256">
        <v>5.8559999999999999</v>
      </c>
      <c r="N191" s="3257" t="s">
        <v>229</v>
      </c>
      <c r="O191" s="3253">
        <v>5</v>
      </c>
      <c r="P191" s="3258" t="s">
        <v>996</v>
      </c>
      <c r="Q191" s="3254"/>
      <c r="R191" s="3254"/>
      <c r="S191" s="3259"/>
      <c r="T191" s="3261"/>
      <c r="U191" s="2228">
        <f t="shared" si="11"/>
        <v>0</v>
      </c>
      <c r="V191" s="3259"/>
      <c r="W191" s="3262"/>
      <c r="X191" s="2230">
        <f t="shared" si="12"/>
        <v>0</v>
      </c>
      <c r="Y191" s="3260"/>
      <c r="Z191" s="3258"/>
    </row>
    <row r="192" spans="5:26" s="1652" customFormat="1">
      <c r="E192" s="2266"/>
      <c r="H192" s="3253" t="s">
        <v>2356</v>
      </c>
      <c r="I192" s="3254">
        <v>110</v>
      </c>
      <c r="J192" s="2226" t="s">
        <v>110</v>
      </c>
      <c r="K192" s="3253" t="s">
        <v>845</v>
      </c>
      <c r="L192" s="3256">
        <v>36.68</v>
      </c>
      <c r="M192" s="3256">
        <v>36.68</v>
      </c>
      <c r="N192" s="3257">
        <v>1.078639698059331E-3</v>
      </c>
      <c r="O192" s="3253">
        <v>5</v>
      </c>
      <c r="P192" s="3258" t="s">
        <v>996</v>
      </c>
      <c r="Q192" s="3254"/>
      <c r="R192" s="3254">
        <v>50</v>
      </c>
      <c r="S192" s="3259"/>
      <c r="T192" s="3261"/>
      <c r="U192" s="2228">
        <f t="shared" si="11"/>
        <v>5500</v>
      </c>
      <c r="V192" s="3259"/>
      <c r="W192" s="3262"/>
      <c r="X192" s="2230">
        <f t="shared" si="12"/>
        <v>1834</v>
      </c>
      <c r="Y192" s="3260"/>
      <c r="Z192" s="3258"/>
    </row>
    <row r="193" spans="5:26" s="1652" customFormat="1">
      <c r="E193" s="2266"/>
      <c r="H193" s="3253" t="s">
        <v>2357</v>
      </c>
      <c r="I193" s="3254">
        <v>82</v>
      </c>
      <c r="J193" s="2226" t="s">
        <v>110</v>
      </c>
      <c r="K193" s="3253" t="s">
        <v>845</v>
      </c>
      <c r="L193" s="3256">
        <v>36.68</v>
      </c>
      <c r="M193" s="3256">
        <v>36.68</v>
      </c>
      <c r="N193" s="3257" t="s">
        <v>229</v>
      </c>
      <c r="O193" s="3253">
        <v>5</v>
      </c>
      <c r="P193" s="3258" t="s">
        <v>996</v>
      </c>
      <c r="Q193" s="3254"/>
      <c r="R193" s="3254"/>
      <c r="S193" s="3259"/>
      <c r="T193" s="3261"/>
      <c r="U193" s="2228">
        <f t="shared" si="11"/>
        <v>0</v>
      </c>
      <c r="V193" s="3259"/>
      <c r="W193" s="3262"/>
      <c r="X193" s="2230">
        <f t="shared" si="12"/>
        <v>0</v>
      </c>
      <c r="Y193" s="3260"/>
      <c r="Z193" s="3258"/>
    </row>
    <row r="194" spans="5:26" s="1652" customFormat="1">
      <c r="E194" s="2266"/>
      <c r="H194" s="3253" t="s">
        <v>2358</v>
      </c>
      <c r="I194" s="3254">
        <v>161</v>
      </c>
      <c r="J194" s="2226" t="s">
        <v>110</v>
      </c>
      <c r="K194" s="3253" t="s">
        <v>845</v>
      </c>
      <c r="L194" s="3256">
        <v>36.68</v>
      </c>
      <c r="M194" s="3256">
        <v>36.68</v>
      </c>
      <c r="N194" s="3257" t="s">
        <v>229</v>
      </c>
      <c r="O194" s="3253">
        <v>5</v>
      </c>
      <c r="P194" s="3258" t="s">
        <v>996</v>
      </c>
      <c r="Q194" s="3254"/>
      <c r="R194" s="3254"/>
      <c r="S194" s="3259"/>
      <c r="T194" s="3261"/>
      <c r="U194" s="2228">
        <f t="shared" si="11"/>
        <v>0</v>
      </c>
      <c r="V194" s="3259"/>
      <c r="W194" s="3262"/>
      <c r="X194" s="2230">
        <f t="shared" si="12"/>
        <v>0</v>
      </c>
      <c r="Y194" s="3260"/>
      <c r="Z194" s="3258"/>
    </row>
    <row r="195" spans="5:26" s="1652" customFormat="1">
      <c r="E195" s="2266"/>
      <c r="H195" s="3253" t="s">
        <v>2359</v>
      </c>
      <c r="I195" s="3254">
        <v>131</v>
      </c>
      <c r="J195" s="2226" t="s">
        <v>110</v>
      </c>
      <c r="K195" s="3253" t="s">
        <v>845</v>
      </c>
      <c r="L195" s="3256">
        <v>36.68</v>
      </c>
      <c r="M195" s="3256">
        <v>36.68</v>
      </c>
      <c r="N195" s="3257" t="s">
        <v>229</v>
      </c>
      <c r="O195" s="3253">
        <v>5</v>
      </c>
      <c r="P195" s="3258" t="s">
        <v>996</v>
      </c>
      <c r="Q195" s="3254"/>
      <c r="R195" s="3254"/>
      <c r="S195" s="3259"/>
      <c r="T195" s="3261"/>
      <c r="U195" s="2228">
        <f t="shared" si="11"/>
        <v>0</v>
      </c>
      <c r="V195" s="3259"/>
      <c r="W195" s="3262"/>
      <c r="X195" s="2230">
        <f t="shared" si="12"/>
        <v>0</v>
      </c>
      <c r="Y195" s="3260"/>
      <c r="Z195" s="3258"/>
    </row>
    <row r="196" spans="5:26" s="1652" customFormat="1">
      <c r="E196" s="2266"/>
      <c r="H196" s="3253" t="s">
        <v>2360</v>
      </c>
      <c r="I196" s="3254">
        <v>120</v>
      </c>
      <c r="J196" s="2226" t="s">
        <v>110</v>
      </c>
      <c r="K196" s="3253" t="s">
        <v>845</v>
      </c>
      <c r="L196" s="3256">
        <v>36.68</v>
      </c>
      <c r="M196" s="3256">
        <v>36.68</v>
      </c>
      <c r="N196" s="3257" t="s">
        <v>229</v>
      </c>
      <c r="O196" s="3253">
        <v>5</v>
      </c>
      <c r="P196" s="3258" t="s">
        <v>996</v>
      </c>
      <c r="Q196" s="3254"/>
      <c r="R196" s="3254"/>
      <c r="S196" s="3259"/>
      <c r="T196" s="3261"/>
      <c r="U196" s="2228">
        <f t="shared" si="11"/>
        <v>0</v>
      </c>
      <c r="V196" s="3259"/>
      <c r="W196" s="3262"/>
      <c r="X196" s="2230">
        <f t="shared" si="12"/>
        <v>0</v>
      </c>
      <c r="Y196" s="3260"/>
      <c r="Z196" s="3258"/>
    </row>
    <row r="197" spans="5:26" s="1652" customFormat="1">
      <c r="E197" s="2266"/>
      <c r="H197" s="3253" t="s">
        <v>2361</v>
      </c>
      <c r="I197" s="3254">
        <v>84</v>
      </c>
      <c r="J197" s="2226" t="s">
        <v>110</v>
      </c>
      <c r="K197" s="3253" t="s">
        <v>845</v>
      </c>
      <c r="L197" s="3256">
        <v>36.68</v>
      </c>
      <c r="M197" s="3256">
        <v>36.68</v>
      </c>
      <c r="N197" s="3257" t="s">
        <v>229</v>
      </c>
      <c r="O197" s="3253">
        <v>5</v>
      </c>
      <c r="P197" s="3258" t="s">
        <v>996</v>
      </c>
      <c r="Q197" s="3254"/>
      <c r="R197" s="3254"/>
      <c r="S197" s="3259"/>
      <c r="T197" s="3261"/>
      <c r="U197" s="2228">
        <f t="shared" si="11"/>
        <v>0</v>
      </c>
      <c r="V197" s="3259"/>
      <c r="W197" s="3262"/>
      <c r="X197" s="2230">
        <f t="shared" si="12"/>
        <v>0</v>
      </c>
      <c r="Y197" s="3260"/>
      <c r="Z197" s="3258"/>
    </row>
    <row r="198" spans="5:26" s="1652" customFormat="1">
      <c r="E198" s="2266"/>
      <c r="H198" s="3253" t="s">
        <v>2362</v>
      </c>
      <c r="I198" s="3254">
        <v>87</v>
      </c>
      <c r="J198" s="2226" t="s">
        <v>110</v>
      </c>
      <c r="K198" s="3253" t="s">
        <v>845</v>
      </c>
      <c r="L198" s="3256">
        <v>36.68</v>
      </c>
      <c r="M198" s="3256">
        <v>36.68</v>
      </c>
      <c r="N198" s="3257" t="s">
        <v>229</v>
      </c>
      <c r="O198" s="3253">
        <v>5</v>
      </c>
      <c r="P198" s="3258" t="s">
        <v>996</v>
      </c>
      <c r="Q198" s="3254"/>
      <c r="R198" s="3254"/>
      <c r="S198" s="3259"/>
      <c r="T198" s="3261"/>
      <c r="U198" s="2228">
        <f t="shared" si="11"/>
        <v>0</v>
      </c>
      <c r="V198" s="3259"/>
      <c r="W198" s="3262"/>
      <c r="X198" s="2230">
        <f t="shared" si="12"/>
        <v>0</v>
      </c>
      <c r="Y198" s="3260"/>
      <c r="Z198" s="3258"/>
    </row>
    <row r="199" spans="5:26" s="1652" customFormat="1">
      <c r="E199" s="2266"/>
      <c r="H199" s="3253" t="s">
        <v>2363</v>
      </c>
      <c r="I199" s="3254">
        <v>57</v>
      </c>
      <c r="J199" s="2226" t="s">
        <v>110</v>
      </c>
      <c r="K199" s="3253" t="s">
        <v>845</v>
      </c>
      <c r="L199" s="3256">
        <v>50.64</v>
      </c>
      <c r="M199" s="3256">
        <v>50.64</v>
      </c>
      <c r="N199" s="3257" t="s">
        <v>229</v>
      </c>
      <c r="O199" s="3253">
        <v>5</v>
      </c>
      <c r="P199" s="3258" t="s">
        <v>996</v>
      </c>
      <c r="Q199" s="3254"/>
      <c r="R199" s="3254"/>
      <c r="S199" s="3259"/>
      <c r="T199" s="3261"/>
      <c r="U199" s="2228">
        <f t="shared" si="11"/>
        <v>0</v>
      </c>
      <c r="V199" s="3259"/>
      <c r="W199" s="3262"/>
      <c r="X199" s="2230">
        <f t="shared" si="12"/>
        <v>0</v>
      </c>
      <c r="Y199" s="3260"/>
      <c r="Z199" s="3258"/>
    </row>
    <row r="200" spans="5:26" s="1652" customFormat="1">
      <c r="E200" s="2266"/>
      <c r="H200" s="3253" t="s">
        <v>2364</v>
      </c>
      <c r="I200" s="3254">
        <v>126</v>
      </c>
      <c r="J200" s="2226" t="s">
        <v>110</v>
      </c>
      <c r="K200" s="3253" t="s">
        <v>845</v>
      </c>
      <c r="L200" s="3256">
        <v>50.64</v>
      </c>
      <c r="M200" s="3256">
        <v>50.64</v>
      </c>
      <c r="N200" s="3257">
        <v>2.4710654900995583E-3</v>
      </c>
      <c r="O200" s="3253">
        <v>5</v>
      </c>
      <c r="P200" s="3258" t="s">
        <v>996</v>
      </c>
      <c r="Q200" s="3254"/>
      <c r="R200" s="3254">
        <v>100</v>
      </c>
      <c r="S200" s="3259"/>
      <c r="T200" s="3261"/>
      <c r="U200" s="2228">
        <f t="shared" si="11"/>
        <v>12600</v>
      </c>
      <c r="V200" s="3259"/>
      <c r="W200" s="3262"/>
      <c r="X200" s="2230">
        <f t="shared" si="12"/>
        <v>5064</v>
      </c>
      <c r="Y200" s="3260"/>
      <c r="Z200" s="3258"/>
    </row>
    <row r="201" spans="5:26" s="1652" customFormat="1">
      <c r="E201" s="2266"/>
      <c r="H201" s="3253" t="s">
        <v>2365</v>
      </c>
      <c r="I201" s="3254">
        <v>163</v>
      </c>
      <c r="J201" s="2226" t="s">
        <v>110</v>
      </c>
      <c r="K201" s="3253" t="s">
        <v>845</v>
      </c>
      <c r="L201" s="3256">
        <v>50.64</v>
      </c>
      <c r="M201" s="3256">
        <v>50.64</v>
      </c>
      <c r="N201" s="3257" t="s">
        <v>229</v>
      </c>
      <c r="O201" s="3253">
        <v>5</v>
      </c>
      <c r="P201" s="3258" t="s">
        <v>996</v>
      </c>
      <c r="Q201" s="3254"/>
      <c r="R201" s="3254"/>
      <c r="S201" s="3259"/>
      <c r="T201" s="3261"/>
      <c r="U201" s="2228">
        <f t="shared" si="11"/>
        <v>0</v>
      </c>
      <c r="V201" s="3259"/>
      <c r="W201" s="3262"/>
      <c r="X201" s="2230">
        <f t="shared" si="12"/>
        <v>0</v>
      </c>
      <c r="Y201" s="3260"/>
      <c r="Z201" s="3258"/>
    </row>
    <row r="202" spans="5:26" s="1652" customFormat="1">
      <c r="E202" s="2266"/>
      <c r="H202" s="3253" t="s">
        <v>2366</v>
      </c>
      <c r="I202" s="3254">
        <v>255</v>
      </c>
      <c r="J202" s="2226" t="s">
        <v>110</v>
      </c>
      <c r="K202" s="3253" t="s">
        <v>845</v>
      </c>
      <c r="L202" s="3256">
        <v>50.64</v>
      </c>
      <c r="M202" s="3256">
        <v>50.64</v>
      </c>
      <c r="N202" s="3257">
        <v>2.000386349128214E-2</v>
      </c>
      <c r="O202" s="3253">
        <v>5</v>
      </c>
      <c r="P202" s="3258" t="s">
        <v>996</v>
      </c>
      <c r="Q202" s="3254"/>
      <c r="R202" s="3254">
        <v>400</v>
      </c>
      <c r="S202" s="3259"/>
      <c r="T202" s="3261"/>
      <c r="U202" s="2228">
        <f t="shared" si="11"/>
        <v>102000</v>
      </c>
      <c r="V202" s="3259"/>
      <c r="W202" s="3262"/>
      <c r="X202" s="2230">
        <f t="shared" si="12"/>
        <v>20256</v>
      </c>
      <c r="Y202" s="3260"/>
      <c r="Z202" s="3258"/>
    </row>
    <row r="203" spans="5:26" s="1652" customFormat="1">
      <c r="E203" s="2266"/>
      <c r="H203" s="3253" t="s">
        <v>2367</v>
      </c>
      <c r="I203" s="3254">
        <v>41</v>
      </c>
      <c r="J203" s="2226" t="s">
        <v>110</v>
      </c>
      <c r="K203" s="3253" t="s">
        <v>845</v>
      </c>
      <c r="L203" s="3256">
        <v>20.399999999999999</v>
      </c>
      <c r="M203" s="3256">
        <v>7.2</v>
      </c>
      <c r="N203" s="3257" t="s">
        <v>229</v>
      </c>
      <c r="O203" s="3253">
        <v>5</v>
      </c>
      <c r="P203" s="3258" t="s">
        <v>996</v>
      </c>
      <c r="Q203" s="3254"/>
      <c r="R203" s="3254"/>
      <c r="S203" s="3259"/>
      <c r="T203" s="3261"/>
      <c r="U203" s="2228">
        <f t="shared" si="11"/>
        <v>0</v>
      </c>
      <c r="V203" s="3259"/>
      <c r="W203" s="3262"/>
      <c r="X203" s="2230">
        <f t="shared" si="12"/>
        <v>0</v>
      </c>
      <c r="Y203" s="3260"/>
      <c r="Z203" s="3258"/>
    </row>
    <row r="204" spans="5:26" s="1652" customFormat="1">
      <c r="E204" s="2266"/>
      <c r="H204" s="3253" t="s">
        <v>2368</v>
      </c>
      <c r="I204" s="3254">
        <v>93</v>
      </c>
      <c r="J204" s="2226" t="s">
        <v>110</v>
      </c>
      <c r="K204" s="3253" t="s">
        <v>845</v>
      </c>
      <c r="L204" s="3256">
        <v>50.64</v>
      </c>
      <c r="M204" s="3256">
        <v>50.64</v>
      </c>
      <c r="N204" s="3257">
        <v>9.1194083563197993E-4</v>
      </c>
      <c r="O204" s="3253">
        <v>5</v>
      </c>
      <c r="P204" s="3258" t="s">
        <v>996</v>
      </c>
      <c r="Q204" s="3254"/>
      <c r="R204" s="3254">
        <v>50</v>
      </c>
      <c r="S204" s="3259"/>
      <c r="T204" s="3261"/>
      <c r="U204" s="2228">
        <f t="shared" si="11"/>
        <v>4650</v>
      </c>
      <c r="V204" s="3259"/>
      <c r="W204" s="3262"/>
      <c r="X204" s="2230">
        <f t="shared" si="12"/>
        <v>2532</v>
      </c>
      <c r="Y204" s="3260"/>
      <c r="Z204" s="3258"/>
    </row>
    <row r="205" spans="5:26" s="1652" customFormat="1">
      <c r="E205" s="2266"/>
      <c r="H205" s="3253" t="s">
        <v>2369</v>
      </c>
      <c r="I205" s="3254">
        <v>70</v>
      </c>
      <c r="J205" s="2226" t="s">
        <v>110</v>
      </c>
      <c r="K205" s="3253" t="s">
        <v>845</v>
      </c>
      <c r="L205" s="3256">
        <v>50.64</v>
      </c>
      <c r="M205" s="3256">
        <v>50.64</v>
      </c>
      <c r="N205" s="3257" t="s">
        <v>229</v>
      </c>
      <c r="O205" s="3253">
        <v>5</v>
      </c>
      <c r="P205" s="3258" t="s">
        <v>996</v>
      </c>
      <c r="Q205" s="3254"/>
      <c r="R205" s="3254"/>
      <c r="S205" s="3259"/>
      <c r="T205" s="3261"/>
      <c r="U205" s="2228">
        <f t="shared" si="11"/>
        <v>0</v>
      </c>
      <c r="V205" s="3259"/>
      <c r="W205" s="3262"/>
      <c r="X205" s="2230">
        <f t="shared" si="12"/>
        <v>0</v>
      </c>
      <c r="Y205" s="3260"/>
      <c r="Z205" s="3258"/>
    </row>
    <row r="206" spans="5:26" s="1652" customFormat="1">
      <c r="E206" s="2266"/>
      <c r="H206" s="3253" t="s">
        <v>2370</v>
      </c>
      <c r="I206" s="3254">
        <v>137</v>
      </c>
      <c r="J206" s="2226" t="s">
        <v>110</v>
      </c>
      <c r="K206" s="3253" t="s">
        <v>845</v>
      </c>
      <c r="L206" s="3256">
        <v>50.64</v>
      </c>
      <c r="M206" s="3256">
        <v>50.64</v>
      </c>
      <c r="N206" s="3257" t="s">
        <v>229</v>
      </c>
      <c r="O206" s="3253">
        <v>5</v>
      </c>
      <c r="P206" s="3258" t="s">
        <v>996</v>
      </c>
      <c r="Q206" s="3254"/>
      <c r="R206" s="3254"/>
      <c r="S206" s="3259"/>
      <c r="T206" s="3261"/>
      <c r="U206" s="2228">
        <f t="shared" si="11"/>
        <v>0</v>
      </c>
      <c r="V206" s="3259"/>
      <c r="W206" s="3262"/>
      <c r="X206" s="2230">
        <f t="shared" si="12"/>
        <v>0</v>
      </c>
      <c r="Y206" s="3260"/>
      <c r="Z206" s="3258"/>
    </row>
    <row r="207" spans="5:26" s="1652" customFormat="1">
      <c r="E207" s="2266"/>
      <c r="H207" s="3253" t="s">
        <v>2371</v>
      </c>
      <c r="I207" s="3254">
        <v>112</v>
      </c>
      <c r="J207" s="2226" t="s">
        <v>110</v>
      </c>
      <c r="K207" s="3253" t="s">
        <v>845</v>
      </c>
      <c r="L207" s="3256">
        <v>50.64</v>
      </c>
      <c r="M207" s="3256">
        <v>50.64</v>
      </c>
      <c r="N207" s="3257" t="s">
        <v>229</v>
      </c>
      <c r="O207" s="3253">
        <v>5</v>
      </c>
      <c r="P207" s="3258" t="s">
        <v>996</v>
      </c>
      <c r="Q207" s="3254"/>
      <c r="R207" s="3254"/>
      <c r="S207" s="3259"/>
      <c r="T207" s="3261"/>
      <c r="U207" s="2228">
        <f t="shared" si="11"/>
        <v>0</v>
      </c>
      <c r="V207" s="3259"/>
      <c r="W207" s="3262"/>
      <c r="X207" s="2230">
        <f t="shared" si="12"/>
        <v>0</v>
      </c>
      <c r="Y207" s="3260"/>
      <c r="Z207" s="3258"/>
    </row>
    <row r="208" spans="5:26" s="1652" customFormat="1">
      <c r="E208" s="2266"/>
      <c r="H208" s="3253" t="s">
        <v>2372</v>
      </c>
      <c r="I208" s="3254">
        <v>103</v>
      </c>
      <c r="J208" s="2226" t="s">
        <v>110</v>
      </c>
      <c r="K208" s="3253" t="s">
        <v>845</v>
      </c>
      <c r="L208" s="3256">
        <v>50.64</v>
      </c>
      <c r="M208" s="3256">
        <v>50.64</v>
      </c>
      <c r="N208" s="3257" t="s">
        <v>229</v>
      </c>
      <c r="O208" s="3253">
        <v>5</v>
      </c>
      <c r="P208" s="3258" t="s">
        <v>996</v>
      </c>
      <c r="Q208" s="3254"/>
      <c r="R208" s="3254"/>
      <c r="S208" s="3259"/>
      <c r="T208" s="3261"/>
      <c r="U208" s="2228">
        <f t="shared" si="11"/>
        <v>0</v>
      </c>
      <c r="V208" s="3259"/>
      <c r="W208" s="3262"/>
      <c r="X208" s="2230">
        <f t="shared" si="12"/>
        <v>0</v>
      </c>
      <c r="Y208" s="3260"/>
      <c r="Z208" s="3258"/>
    </row>
    <row r="209" spans="5:26" s="1652" customFormat="1">
      <c r="E209" s="2266"/>
      <c r="H209" s="3253" t="s">
        <v>2373</v>
      </c>
      <c r="I209" s="3254">
        <v>71</v>
      </c>
      <c r="J209" s="2226" t="s">
        <v>110</v>
      </c>
      <c r="K209" s="3253" t="s">
        <v>845</v>
      </c>
      <c r="L209" s="3256">
        <v>50.64</v>
      </c>
      <c r="M209" s="3256">
        <v>50.64</v>
      </c>
      <c r="N209" s="3257" t="s">
        <v>229</v>
      </c>
      <c r="O209" s="3253">
        <v>5</v>
      </c>
      <c r="P209" s="3258" t="s">
        <v>996</v>
      </c>
      <c r="Q209" s="3254"/>
      <c r="R209" s="3254"/>
      <c r="S209" s="3259"/>
      <c r="T209" s="3261"/>
      <c r="U209" s="2228">
        <f t="shared" si="11"/>
        <v>0</v>
      </c>
      <c r="V209" s="3259"/>
      <c r="W209" s="3262"/>
      <c r="X209" s="2230">
        <f t="shared" si="12"/>
        <v>0</v>
      </c>
      <c r="Y209" s="3260"/>
      <c r="Z209" s="3258"/>
    </row>
    <row r="210" spans="5:26" s="1652" customFormat="1">
      <c r="E210" s="2266"/>
      <c r="H210" s="3253" t="s">
        <v>2374</v>
      </c>
      <c r="I210" s="3254">
        <v>74</v>
      </c>
      <c r="J210" s="2226" t="s">
        <v>110</v>
      </c>
      <c r="K210" s="3253" t="s">
        <v>845</v>
      </c>
      <c r="L210" s="3256">
        <v>50.64</v>
      </c>
      <c r="M210" s="3256">
        <v>50.64</v>
      </c>
      <c r="N210" s="3257" t="s">
        <v>229</v>
      </c>
      <c r="O210" s="3253">
        <v>5</v>
      </c>
      <c r="P210" s="3258" t="s">
        <v>996</v>
      </c>
      <c r="Q210" s="3254"/>
      <c r="R210" s="3254"/>
      <c r="S210" s="3259"/>
      <c r="T210" s="3261"/>
      <c r="U210" s="2228">
        <f t="shared" si="11"/>
        <v>0</v>
      </c>
      <c r="V210" s="3259"/>
      <c r="W210" s="3262"/>
      <c r="X210" s="2230">
        <f t="shared" si="12"/>
        <v>0</v>
      </c>
      <c r="Y210" s="3260"/>
      <c r="Z210" s="3258"/>
    </row>
    <row r="211" spans="5:26" s="1652" customFormat="1">
      <c r="E211" s="2266"/>
      <c r="H211" s="3253" t="s">
        <v>2375</v>
      </c>
      <c r="I211" s="3254">
        <v>76</v>
      </c>
      <c r="J211" s="2226" t="s">
        <v>110</v>
      </c>
      <c r="K211" s="3253" t="s">
        <v>845</v>
      </c>
      <c r="L211" s="3256">
        <v>52.35</v>
      </c>
      <c r="M211" s="3256">
        <v>52.35</v>
      </c>
      <c r="N211" s="3257" t="s">
        <v>229</v>
      </c>
      <c r="O211" s="3253">
        <v>5</v>
      </c>
      <c r="P211" s="3258" t="s">
        <v>996</v>
      </c>
      <c r="Q211" s="3254"/>
      <c r="R211" s="3254"/>
      <c r="S211" s="3259"/>
      <c r="T211" s="3261"/>
      <c r="U211" s="2228">
        <f t="shared" si="11"/>
        <v>0</v>
      </c>
      <c r="V211" s="3259"/>
      <c r="W211" s="3262"/>
      <c r="X211" s="2230">
        <f t="shared" si="12"/>
        <v>0</v>
      </c>
      <c r="Y211" s="3260"/>
      <c r="Z211" s="3258"/>
    </row>
    <row r="212" spans="5:26" s="1652" customFormat="1">
      <c r="E212" s="2266"/>
      <c r="H212" s="3253" t="s">
        <v>2376</v>
      </c>
      <c r="I212" s="3254">
        <v>170</v>
      </c>
      <c r="J212" s="2226" t="s">
        <v>110</v>
      </c>
      <c r="K212" s="3253" t="s">
        <v>845</v>
      </c>
      <c r="L212" s="3256">
        <v>52.35</v>
      </c>
      <c r="M212" s="3256">
        <v>52.35</v>
      </c>
      <c r="N212" s="3257">
        <v>3.3339772485470234E-3</v>
      </c>
      <c r="O212" s="3253">
        <v>5</v>
      </c>
      <c r="P212" s="3258" t="s">
        <v>996</v>
      </c>
      <c r="Q212" s="3254"/>
      <c r="R212" s="3254">
        <v>100</v>
      </c>
      <c r="S212" s="3259"/>
      <c r="T212" s="3261"/>
      <c r="U212" s="2228">
        <f t="shared" si="11"/>
        <v>17000</v>
      </c>
      <c r="V212" s="3259"/>
      <c r="W212" s="3262"/>
      <c r="X212" s="2230">
        <f t="shared" si="12"/>
        <v>5235</v>
      </c>
      <c r="Y212" s="3260"/>
      <c r="Z212" s="3258"/>
    </row>
    <row r="213" spans="5:26" s="1652" customFormat="1">
      <c r="E213" s="2266"/>
      <c r="H213" s="3253" t="s">
        <v>2377</v>
      </c>
      <c r="I213" s="3254">
        <v>221</v>
      </c>
      <c r="J213" s="2226" t="s">
        <v>110</v>
      </c>
      <c r="K213" s="3253" t="s">
        <v>845</v>
      </c>
      <c r="L213" s="3256">
        <v>52.35</v>
      </c>
      <c r="M213" s="3256">
        <v>52.35</v>
      </c>
      <c r="N213" s="3257" t="s">
        <v>229</v>
      </c>
      <c r="O213" s="3253">
        <v>5</v>
      </c>
      <c r="P213" s="3258" t="s">
        <v>996</v>
      </c>
      <c r="Q213" s="3254"/>
      <c r="R213" s="3254"/>
      <c r="S213" s="3259"/>
      <c r="T213" s="3261"/>
      <c r="U213" s="2228">
        <f t="shared" si="11"/>
        <v>0</v>
      </c>
      <c r="V213" s="3259"/>
      <c r="W213" s="3262"/>
      <c r="X213" s="2230">
        <f t="shared" si="12"/>
        <v>0</v>
      </c>
      <c r="Y213" s="3260"/>
      <c r="Z213" s="3258"/>
    </row>
    <row r="214" spans="5:26" s="1652" customFormat="1">
      <c r="E214" s="2266"/>
      <c r="H214" s="3253" t="s">
        <v>2378</v>
      </c>
      <c r="I214" s="3254">
        <v>344</v>
      </c>
      <c r="J214" s="2226" t="s">
        <v>110</v>
      </c>
      <c r="K214" s="3253" t="s">
        <v>845</v>
      </c>
      <c r="L214" s="3256">
        <v>52.35</v>
      </c>
      <c r="M214" s="3256">
        <v>52.35</v>
      </c>
      <c r="N214" s="3257">
        <v>2.6985604082357083E-2</v>
      </c>
      <c r="O214" s="3253">
        <v>5</v>
      </c>
      <c r="P214" s="3258" t="s">
        <v>996</v>
      </c>
      <c r="Q214" s="3254"/>
      <c r="R214" s="3254">
        <v>400</v>
      </c>
      <c r="S214" s="3259"/>
      <c r="T214" s="3261"/>
      <c r="U214" s="2228">
        <f t="shared" si="11"/>
        <v>137600</v>
      </c>
      <c r="V214" s="3259"/>
      <c r="W214" s="3262"/>
      <c r="X214" s="2230">
        <f t="shared" si="12"/>
        <v>20940</v>
      </c>
      <c r="Y214" s="3260"/>
      <c r="Z214" s="3258"/>
    </row>
    <row r="215" spans="5:26" s="1652" customFormat="1">
      <c r="E215" s="2266"/>
      <c r="H215" s="3253" t="s">
        <v>2379</v>
      </c>
      <c r="I215" s="3254">
        <v>56</v>
      </c>
      <c r="J215" s="2226" t="s">
        <v>110</v>
      </c>
      <c r="K215" s="3253" t="s">
        <v>845</v>
      </c>
      <c r="L215" s="3256">
        <v>30.07</v>
      </c>
      <c r="M215" s="3256">
        <v>9.0359999999999996</v>
      </c>
      <c r="N215" s="3257" t="s">
        <v>229</v>
      </c>
      <c r="O215" s="3253">
        <v>5</v>
      </c>
      <c r="P215" s="3258" t="s">
        <v>996</v>
      </c>
      <c r="Q215" s="3254"/>
      <c r="R215" s="3254"/>
      <c r="S215" s="3259"/>
      <c r="T215" s="3261"/>
      <c r="U215" s="2228">
        <f t="shared" ref="U215:U278" si="13">I215*R215</f>
        <v>0</v>
      </c>
      <c r="V215" s="3259"/>
      <c r="W215" s="3262"/>
      <c r="X215" s="2230">
        <f t="shared" ref="X215:X278" si="14">M215*R215</f>
        <v>0</v>
      </c>
      <c r="Y215" s="3260"/>
      <c r="Z215" s="3258"/>
    </row>
    <row r="216" spans="5:26" s="1652" customFormat="1">
      <c r="E216" s="2266"/>
      <c r="H216" s="3253" t="s">
        <v>2380</v>
      </c>
      <c r="I216" s="3254">
        <v>126</v>
      </c>
      <c r="J216" s="2226" t="s">
        <v>110</v>
      </c>
      <c r="K216" s="3253" t="s">
        <v>845</v>
      </c>
      <c r="L216" s="3256">
        <v>52.35</v>
      </c>
      <c r="M216" s="3256">
        <v>52.35</v>
      </c>
      <c r="N216" s="3257">
        <v>1.2355327450497792E-3</v>
      </c>
      <c r="O216" s="3253">
        <v>5</v>
      </c>
      <c r="P216" s="3258" t="s">
        <v>996</v>
      </c>
      <c r="Q216" s="3254"/>
      <c r="R216" s="3254">
        <v>50</v>
      </c>
      <c r="S216" s="3259"/>
      <c r="T216" s="3261"/>
      <c r="U216" s="2228">
        <f t="shared" si="13"/>
        <v>6300</v>
      </c>
      <c r="V216" s="3259"/>
      <c r="W216" s="3262"/>
      <c r="X216" s="2230">
        <f t="shared" si="14"/>
        <v>2617.5</v>
      </c>
      <c r="Y216" s="3260"/>
      <c r="Z216" s="3258"/>
    </row>
    <row r="217" spans="5:26" s="1652" customFormat="1">
      <c r="E217" s="2266"/>
      <c r="H217" s="3253" t="s">
        <v>2381</v>
      </c>
      <c r="I217" s="3254">
        <v>95</v>
      </c>
      <c r="J217" s="2226" t="s">
        <v>110</v>
      </c>
      <c r="K217" s="3253" t="s">
        <v>845</v>
      </c>
      <c r="L217" s="3256">
        <v>52.35</v>
      </c>
      <c r="M217" s="3256">
        <v>52.35</v>
      </c>
      <c r="N217" s="3257" t="s">
        <v>229</v>
      </c>
      <c r="O217" s="3253">
        <v>5</v>
      </c>
      <c r="P217" s="3258" t="s">
        <v>996</v>
      </c>
      <c r="Q217" s="3254"/>
      <c r="R217" s="3254"/>
      <c r="S217" s="3259"/>
      <c r="T217" s="3261"/>
      <c r="U217" s="2228">
        <f t="shared" si="13"/>
        <v>0</v>
      </c>
      <c r="V217" s="3259"/>
      <c r="W217" s="3262"/>
      <c r="X217" s="2230">
        <f t="shared" si="14"/>
        <v>0</v>
      </c>
      <c r="Y217" s="3260"/>
      <c r="Z217" s="3258"/>
    </row>
    <row r="218" spans="5:26" s="1652" customFormat="1">
      <c r="E218" s="2266"/>
      <c r="H218" s="3253" t="s">
        <v>2382</v>
      </c>
      <c r="I218" s="3254">
        <v>185</v>
      </c>
      <c r="J218" s="2226" t="s">
        <v>110</v>
      </c>
      <c r="K218" s="3253" t="s">
        <v>845</v>
      </c>
      <c r="L218" s="3256">
        <v>52.35</v>
      </c>
      <c r="M218" s="3256">
        <v>52.35</v>
      </c>
      <c r="N218" s="3257" t="s">
        <v>229</v>
      </c>
      <c r="O218" s="3253">
        <v>5</v>
      </c>
      <c r="P218" s="3258" t="s">
        <v>996</v>
      </c>
      <c r="Q218" s="3254"/>
      <c r="R218" s="3254"/>
      <c r="S218" s="3259"/>
      <c r="T218" s="3261"/>
      <c r="U218" s="2228">
        <f t="shared" si="13"/>
        <v>0</v>
      </c>
      <c r="V218" s="3259"/>
      <c r="W218" s="3262"/>
      <c r="X218" s="2230">
        <f t="shared" si="14"/>
        <v>0</v>
      </c>
      <c r="Y218" s="3260"/>
      <c r="Z218" s="3258"/>
    </row>
    <row r="219" spans="5:26" s="1652" customFormat="1">
      <c r="E219" s="2266"/>
      <c r="H219" s="3253" t="s">
        <v>2383</v>
      </c>
      <c r="I219" s="3254">
        <v>151</v>
      </c>
      <c r="J219" s="2226" t="s">
        <v>110</v>
      </c>
      <c r="K219" s="3253" t="s">
        <v>845</v>
      </c>
      <c r="L219" s="3256">
        <v>52.35</v>
      </c>
      <c r="M219" s="3256">
        <v>52.35</v>
      </c>
      <c r="N219" s="3257" t="s">
        <v>229</v>
      </c>
      <c r="O219" s="3253">
        <v>5</v>
      </c>
      <c r="P219" s="3258" t="s">
        <v>996</v>
      </c>
      <c r="Q219" s="3254"/>
      <c r="R219" s="3254"/>
      <c r="S219" s="3259"/>
      <c r="T219" s="3261"/>
      <c r="U219" s="2228">
        <f t="shared" si="13"/>
        <v>0</v>
      </c>
      <c r="V219" s="3259"/>
      <c r="W219" s="3262"/>
      <c r="X219" s="2230">
        <f t="shared" si="14"/>
        <v>0</v>
      </c>
      <c r="Y219" s="3260"/>
      <c r="Z219" s="3258"/>
    </row>
    <row r="220" spans="5:26" s="1652" customFormat="1">
      <c r="E220" s="2266"/>
      <c r="H220" s="3253" t="s">
        <v>2384</v>
      </c>
      <c r="I220" s="3254">
        <v>139</v>
      </c>
      <c r="J220" s="2226" t="s">
        <v>110</v>
      </c>
      <c r="K220" s="3253" t="s">
        <v>845</v>
      </c>
      <c r="L220" s="3256">
        <v>52.35</v>
      </c>
      <c r="M220" s="3256">
        <v>52.35</v>
      </c>
      <c r="N220" s="3257" t="s">
        <v>229</v>
      </c>
      <c r="O220" s="3253">
        <v>5</v>
      </c>
      <c r="P220" s="3258" t="s">
        <v>996</v>
      </c>
      <c r="Q220" s="3254"/>
      <c r="R220" s="3254"/>
      <c r="S220" s="3259"/>
      <c r="T220" s="3261"/>
      <c r="U220" s="2228">
        <f t="shared" si="13"/>
        <v>0</v>
      </c>
      <c r="V220" s="3259"/>
      <c r="W220" s="3262"/>
      <c r="X220" s="2230">
        <f t="shared" si="14"/>
        <v>0</v>
      </c>
      <c r="Y220" s="3260"/>
      <c r="Z220" s="3258"/>
    </row>
    <row r="221" spans="5:26" s="1652" customFormat="1">
      <c r="E221" s="2266"/>
      <c r="H221" s="3253" t="s">
        <v>2385</v>
      </c>
      <c r="I221" s="3254">
        <v>96</v>
      </c>
      <c r="J221" s="2226" t="s">
        <v>110</v>
      </c>
      <c r="K221" s="3253" t="s">
        <v>845</v>
      </c>
      <c r="L221" s="3256">
        <v>52.35</v>
      </c>
      <c r="M221" s="3256">
        <v>52.35</v>
      </c>
      <c r="N221" s="3257" t="s">
        <v>229</v>
      </c>
      <c r="O221" s="3253">
        <v>5</v>
      </c>
      <c r="P221" s="3258" t="s">
        <v>996</v>
      </c>
      <c r="Q221" s="3254"/>
      <c r="R221" s="3254"/>
      <c r="S221" s="3259"/>
      <c r="T221" s="3261"/>
      <c r="U221" s="2228">
        <f t="shared" si="13"/>
        <v>0</v>
      </c>
      <c r="V221" s="3259"/>
      <c r="W221" s="3262"/>
      <c r="X221" s="2230">
        <f t="shared" si="14"/>
        <v>0</v>
      </c>
      <c r="Y221" s="3260"/>
      <c r="Z221" s="3258"/>
    </row>
    <row r="222" spans="5:26" s="1652" customFormat="1">
      <c r="E222" s="2266"/>
      <c r="H222" s="3253" t="s">
        <v>2386</v>
      </c>
      <c r="I222" s="3254">
        <v>100</v>
      </c>
      <c r="J222" s="2226" t="s">
        <v>110</v>
      </c>
      <c r="K222" s="3253" t="s">
        <v>845</v>
      </c>
      <c r="L222" s="3256">
        <v>52.35</v>
      </c>
      <c r="M222" s="3256">
        <v>52.35</v>
      </c>
      <c r="N222" s="3257" t="s">
        <v>229</v>
      </c>
      <c r="O222" s="3253">
        <v>5</v>
      </c>
      <c r="P222" s="3258" t="s">
        <v>996</v>
      </c>
      <c r="Q222" s="3254"/>
      <c r="R222" s="3254"/>
      <c r="S222" s="3259"/>
      <c r="T222" s="3261"/>
      <c r="U222" s="2228">
        <f t="shared" si="13"/>
        <v>0</v>
      </c>
      <c r="V222" s="3259"/>
      <c r="W222" s="3262"/>
      <c r="X222" s="2230">
        <f t="shared" si="14"/>
        <v>0</v>
      </c>
      <c r="Y222" s="3260"/>
      <c r="Z222" s="3258"/>
    </row>
    <row r="223" spans="5:26" s="1652" customFormat="1">
      <c r="E223" s="2266"/>
      <c r="H223" s="3253" t="s">
        <v>2387</v>
      </c>
      <c r="I223" s="3254">
        <v>129</v>
      </c>
      <c r="J223" s="2226" t="s">
        <v>110</v>
      </c>
      <c r="K223" s="3253" t="s">
        <v>845</v>
      </c>
      <c r="L223" s="3256">
        <v>44.25</v>
      </c>
      <c r="M223" s="3256">
        <v>44.25</v>
      </c>
      <c r="N223" s="3257" t="s">
        <v>229</v>
      </c>
      <c r="O223" s="3253">
        <v>12</v>
      </c>
      <c r="P223" s="3258" t="s">
        <v>996</v>
      </c>
      <c r="Q223" s="3254"/>
      <c r="R223" s="3254"/>
      <c r="S223" s="3259"/>
      <c r="T223" s="3261"/>
      <c r="U223" s="2228">
        <f t="shared" si="13"/>
        <v>0</v>
      </c>
      <c r="V223" s="3259"/>
      <c r="W223" s="3262"/>
      <c r="X223" s="2230">
        <f t="shared" si="14"/>
        <v>0</v>
      </c>
      <c r="Y223" s="3260"/>
      <c r="Z223" s="3258"/>
    </row>
    <row r="224" spans="5:26" s="1652" customFormat="1">
      <c r="E224" s="2266"/>
      <c r="H224" s="3253" t="s">
        <v>2388</v>
      </c>
      <c r="I224" s="3254">
        <v>409</v>
      </c>
      <c r="J224" s="2226" t="s">
        <v>110</v>
      </c>
      <c r="K224" s="3253" t="s">
        <v>845</v>
      </c>
      <c r="L224" s="3256">
        <v>44.25</v>
      </c>
      <c r="M224" s="3256">
        <v>44.25</v>
      </c>
      <c r="N224" s="3257">
        <v>4.0105785136933308E-3</v>
      </c>
      <c r="O224" s="3253">
        <v>12</v>
      </c>
      <c r="P224" s="3258" t="s">
        <v>996</v>
      </c>
      <c r="Q224" s="3254"/>
      <c r="R224" s="3254">
        <v>50</v>
      </c>
      <c r="S224" s="3259"/>
      <c r="T224" s="3261"/>
      <c r="U224" s="2228">
        <f t="shared" si="13"/>
        <v>20450</v>
      </c>
      <c r="V224" s="3259"/>
      <c r="W224" s="3262"/>
      <c r="X224" s="2230">
        <f t="shared" si="14"/>
        <v>2212.5</v>
      </c>
      <c r="Y224" s="3260"/>
      <c r="Z224" s="3258"/>
    </row>
    <row r="225" spans="5:26" s="1652" customFormat="1">
      <c r="E225" s="2266"/>
      <c r="H225" s="3253" t="s">
        <v>2389</v>
      </c>
      <c r="I225" s="3254">
        <v>172</v>
      </c>
      <c r="J225" s="2226" t="s">
        <v>110</v>
      </c>
      <c r="K225" s="3253" t="s">
        <v>845</v>
      </c>
      <c r="L225" s="3256">
        <v>52.82</v>
      </c>
      <c r="M225" s="3256">
        <v>52.82</v>
      </c>
      <c r="N225" s="3257" t="s">
        <v>229</v>
      </c>
      <c r="O225" s="3253">
        <v>12</v>
      </c>
      <c r="P225" s="3258" t="s">
        <v>996</v>
      </c>
      <c r="Q225" s="3254"/>
      <c r="R225" s="3254"/>
      <c r="S225" s="3259"/>
      <c r="T225" s="3261"/>
      <c r="U225" s="2228">
        <f t="shared" si="13"/>
        <v>0</v>
      </c>
      <c r="V225" s="3259"/>
      <c r="W225" s="3262"/>
      <c r="X225" s="2230">
        <f t="shared" si="14"/>
        <v>0</v>
      </c>
      <c r="Y225" s="3260"/>
      <c r="Z225" s="3258"/>
    </row>
    <row r="226" spans="5:26" s="1652" customFormat="1">
      <c r="E226" s="2266"/>
      <c r="H226" s="3253" t="s">
        <v>2390</v>
      </c>
      <c r="I226" s="3254">
        <v>545</v>
      </c>
      <c r="J226" s="2226" t="s">
        <v>110</v>
      </c>
      <c r="K226" s="3253" t="s">
        <v>845</v>
      </c>
      <c r="L226" s="3256">
        <v>52.82</v>
      </c>
      <c r="M226" s="3256">
        <v>52.82</v>
      </c>
      <c r="N226" s="3257">
        <v>5.3441694131121402E-3</v>
      </c>
      <c r="O226" s="3253">
        <v>12</v>
      </c>
      <c r="P226" s="3258" t="s">
        <v>996</v>
      </c>
      <c r="Q226" s="3254"/>
      <c r="R226" s="3254">
        <v>50</v>
      </c>
      <c r="S226" s="3259"/>
      <c r="T226" s="3261"/>
      <c r="U226" s="2228">
        <f t="shared" si="13"/>
        <v>27250</v>
      </c>
      <c r="V226" s="3259"/>
      <c r="W226" s="3262"/>
      <c r="X226" s="2230">
        <f t="shared" si="14"/>
        <v>2641</v>
      </c>
      <c r="Y226" s="3260"/>
      <c r="Z226" s="3258"/>
    </row>
    <row r="227" spans="5:26" s="1652" customFormat="1">
      <c r="E227" s="2266"/>
      <c r="H227" s="3253" t="s">
        <v>2391</v>
      </c>
      <c r="I227" s="3254">
        <v>637</v>
      </c>
      <c r="J227" s="2226" t="s">
        <v>110</v>
      </c>
      <c r="K227" s="3253" t="s">
        <v>845</v>
      </c>
      <c r="L227" s="3256">
        <v>52.82</v>
      </c>
      <c r="M227" s="3256">
        <v>52.82</v>
      </c>
      <c r="N227" s="3257" t="s">
        <v>229</v>
      </c>
      <c r="O227" s="3253">
        <v>12</v>
      </c>
      <c r="P227" s="3258" t="s">
        <v>996</v>
      </c>
      <c r="Q227" s="3254"/>
      <c r="R227" s="3254"/>
      <c r="S227" s="3259"/>
      <c r="T227" s="3261"/>
      <c r="U227" s="2228">
        <f t="shared" si="13"/>
        <v>0</v>
      </c>
      <c r="V227" s="3259"/>
      <c r="W227" s="3262"/>
      <c r="X227" s="2230">
        <f t="shared" si="14"/>
        <v>0</v>
      </c>
      <c r="Y227" s="3260"/>
      <c r="Z227" s="3258"/>
    </row>
    <row r="228" spans="5:26" s="1652" customFormat="1">
      <c r="E228" s="2266"/>
      <c r="H228" s="3253" t="s">
        <v>2392</v>
      </c>
      <c r="I228" s="3254">
        <v>1738</v>
      </c>
      <c r="J228" s="2226" t="s">
        <v>110</v>
      </c>
      <c r="K228" s="3253" t="s">
        <v>845</v>
      </c>
      <c r="L228" s="3256">
        <v>52.82</v>
      </c>
      <c r="M228" s="3256">
        <v>52.82</v>
      </c>
      <c r="N228" s="3257">
        <v>1.7042507229337429E-2</v>
      </c>
      <c r="O228" s="3253">
        <v>12</v>
      </c>
      <c r="P228" s="3258" t="s">
        <v>996</v>
      </c>
      <c r="Q228" s="3254"/>
      <c r="R228" s="3254">
        <v>50</v>
      </c>
      <c r="S228" s="3259"/>
      <c r="T228" s="3261"/>
      <c r="U228" s="2228">
        <f t="shared" si="13"/>
        <v>86900</v>
      </c>
      <c r="V228" s="3259"/>
      <c r="W228" s="3262"/>
      <c r="X228" s="2230">
        <f t="shared" si="14"/>
        <v>2641</v>
      </c>
      <c r="Y228" s="3260"/>
      <c r="Z228" s="3258"/>
    </row>
    <row r="229" spans="5:26" s="1652" customFormat="1">
      <c r="E229" s="2266"/>
      <c r="H229" s="3253" t="s">
        <v>2393</v>
      </c>
      <c r="I229" s="3254">
        <v>796</v>
      </c>
      <c r="J229" s="2226" t="s">
        <v>110</v>
      </c>
      <c r="K229" s="3253" t="s">
        <v>845</v>
      </c>
      <c r="L229" s="3256">
        <v>62.01</v>
      </c>
      <c r="M229" s="3256">
        <v>62.01</v>
      </c>
      <c r="N229" s="3257" t="s">
        <v>229</v>
      </c>
      <c r="O229" s="3253">
        <v>12</v>
      </c>
      <c r="P229" s="3258" t="s">
        <v>996</v>
      </c>
      <c r="Q229" s="3254"/>
      <c r="R229" s="3254"/>
      <c r="S229" s="3259"/>
      <c r="T229" s="3261"/>
      <c r="U229" s="2228">
        <f t="shared" si="13"/>
        <v>0</v>
      </c>
      <c r="V229" s="3259"/>
      <c r="W229" s="3262"/>
      <c r="X229" s="2230">
        <f t="shared" si="14"/>
        <v>0</v>
      </c>
      <c r="Y229" s="3260"/>
      <c r="Z229" s="3258"/>
    </row>
    <row r="230" spans="5:26" s="1652" customFormat="1">
      <c r="E230" s="2266"/>
      <c r="H230" s="3253" t="s">
        <v>2394</v>
      </c>
      <c r="I230" s="3254">
        <v>2095</v>
      </c>
      <c r="J230" s="2226" t="s">
        <v>110</v>
      </c>
      <c r="K230" s="3253" t="s">
        <v>845</v>
      </c>
      <c r="L230" s="3256">
        <v>62.01</v>
      </c>
      <c r="M230" s="3256">
        <v>62.01</v>
      </c>
      <c r="N230" s="3257">
        <v>2.0543183340311806E-2</v>
      </c>
      <c r="O230" s="3253">
        <v>12</v>
      </c>
      <c r="P230" s="3258" t="s">
        <v>996</v>
      </c>
      <c r="Q230" s="3254"/>
      <c r="R230" s="3254">
        <v>50</v>
      </c>
      <c r="S230" s="3259"/>
      <c r="T230" s="3261"/>
      <c r="U230" s="2228">
        <f t="shared" si="13"/>
        <v>104750</v>
      </c>
      <c r="V230" s="3259"/>
      <c r="W230" s="3262"/>
      <c r="X230" s="2230">
        <f t="shared" si="14"/>
        <v>3100.5</v>
      </c>
      <c r="Y230" s="3260"/>
      <c r="Z230" s="3258"/>
    </row>
    <row r="231" spans="5:26" s="1652" customFormat="1">
      <c r="E231" s="2266"/>
      <c r="H231" s="3253" t="s">
        <v>2395</v>
      </c>
      <c r="I231" s="3254">
        <v>889</v>
      </c>
      <c r="J231" s="2226" t="s">
        <v>110</v>
      </c>
      <c r="K231" s="3253" t="s">
        <v>845</v>
      </c>
      <c r="L231" s="3256">
        <v>239.32</v>
      </c>
      <c r="M231" s="3256">
        <v>239.32</v>
      </c>
      <c r="N231" s="3257" t="s">
        <v>229</v>
      </c>
      <c r="O231" s="3253">
        <v>12</v>
      </c>
      <c r="P231" s="3258" t="s">
        <v>996</v>
      </c>
      <c r="Q231" s="3254"/>
      <c r="R231" s="3254"/>
      <c r="S231" s="3259"/>
      <c r="T231" s="3261"/>
      <c r="U231" s="2228">
        <f t="shared" si="13"/>
        <v>0</v>
      </c>
      <c r="V231" s="3259"/>
      <c r="W231" s="3262"/>
      <c r="X231" s="2230">
        <f t="shared" si="14"/>
        <v>0</v>
      </c>
      <c r="Y231" s="3260"/>
      <c r="Z231" s="3258"/>
    </row>
    <row r="232" spans="5:26" s="1652" customFormat="1">
      <c r="E232" s="2266"/>
      <c r="H232" s="3253" t="s">
        <v>2396</v>
      </c>
      <c r="I232" s="3254">
        <v>43</v>
      </c>
      <c r="J232" s="2226" t="s">
        <v>110</v>
      </c>
      <c r="K232" s="3253" t="s">
        <v>845</v>
      </c>
      <c r="L232" s="3256">
        <v>43.85</v>
      </c>
      <c r="M232" s="3256">
        <v>19.07</v>
      </c>
      <c r="N232" s="3257" t="s">
        <v>229</v>
      </c>
      <c r="O232" s="3253">
        <v>12</v>
      </c>
      <c r="P232" s="3258" t="s">
        <v>996</v>
      </c>
      <c r="Q232" s="3254"/>
      <c r="R232" s="3254"/>
      <c r="S232" s="3259"/>
      <c r="T232" s="3261"/>
      <c r="U232" s="2228">
        <f t="shared" si="13"/>
        <v>0</v>
      </c>
      <c r="V232" s="3259"/>
      <c r="W232" s="3262"/>
      <c r="X232" s="2230">
        <f t="shared" si="14"/>
        <v>0</v>
      </c>
      <c r="Y232" s="3260"/>
      <c r="Z232" s="3258"/>
    </row>
    <row r="233" spans="5:26" s="1652" customFormat="1">
      <c r="E233" s="2266"/>
      <c r="H233" s="3253" t="s">
        <v>2397</v>
      </c>
      <c r="I233" s="3254">
        <v>111</v>
      </c>
      <c r="J233" s="2226" t="s">
        <v>110</v>
      </c>
      <c r="K233" s="3253" t="s">
        <v>845</v>
      </c>
      <c r="L233" s="3256">
        <v>43.85</v>
      </c>
      <c r="M233" s="3256">
        <v>21.92</v>
      </c>
      <c r="N233" s="3257">
        <v>1.088445513496234E-3</v>
      </c>
      <c r="O233" s="3253">
        <v>12</v>
      </c>
      <c r="P233" s="3258" t="s">
        <v>996</v>
      </c>
      <c r="Q233" s="3254"/>
      <c r="R233" s="3254">
        <v>50</v>
      </c>
      <c r="S233" s="3259"/>
      <c r="T233" s="3261"/>
      <c r="U233" s="2228">
        <f t="shared" si="13"/>
        <v>5550</v>
      </c>
      <c r="V233" s="3259"/>
      <c r="W233" s="3262"/>
      <c r="X233" s="2230">
        <f t="shared" si="14"/>
        <v>1096</v>
      </c>
      <c r="Y233" s="3260"/>
      <c r="Z233" s="3258"/>
    </row>
    <row r="234" spans="5:26" s="1652" customFormat="1">
      <c r="E234" s="2266"/>
      <c r="H234" s="3253" t="s">
        <v>2398</v>
      </c>
      <c r="I234" s="3254">
        <v>93</v>
      </c>
      <c r="J234" s="2226" t="s">
        <v>110</v>
      </c>
      <c r="K234" s="3253" t="s">
        <v>845</v>
      </c>
      <c r="L234" s="3256">
        <v>43.85</v>
      </c>
      <c r="M234" s="3256">
        <v>19.07</v>
      </c>
      <c r="N234" s="3257" t="s">
        <v>229</v>
      </c>
      <c r="O234" s="3253">
        <v>12</v>
      </c>
      <c r="P234" s="3258" t="s">
        <v>996</v>
      </c>
      <c r="Q234" s="3254"/>
      <c r="R234" s="3254"/>
      <c r="S234" s="3259"/>
      <c r="T234" s="3261"/>
      <c r="U234" s="2228">
        <f t="shared" si="13"/>
        <v>0</v>
      </c>
      <c r="V234" s="3259"/>
      <c r="W234" s="3262"/>
      <c r="X234" s="2230">
        <f t="shared" si="14"/>
        <v>0</v>
      </c>
      <c r="Y234" s="3260"/>
      <c r="Z234" s="3258"/>
    </row>
    <row r="235" spans="5:26" s="1652" customFormat="1">
      <c r="E235" s="2266"/>
      <c r="H235" s="3253" t="s">
        <v>2399</v>
      </c>
      <c r="I235" s="3254">
        <v>239</v>
      </c>
      <c r="J235" s="2226" t="s">
        <v>110</v>
      </c>
      <c r="K235" s="3253" t="s">
        <v>845</v>
      </c>
      <c r="L235" s="3256">
        <v>43.85</v>
      </c>
      <c r="M235" s="3256">
        <v>19.07</v>
      </c>
      <c r="N235" s="3257">
        <v>2.3435898894198191E-3</v>
      </c>
      <c r="O235" s="3253">
        <v>12</v>
      </c>
      <c r="P235" s="3258" t="s">
        <v>996</v>
      </c>
      <c r="Q235" s="3254"/>
      <c r="R235" s="3254">
        <v>50</v>
      </c>
      <c r="S235" s="3259"/>
      <c r="T235" s="3261"/>
      <c r="U235" s="2228">
        <f t="shared" si="13"/>
        <v>11950</v>
      </c>
      <c r="V235" s="3259"/>
      <c r="W235" s="3262"/>
      <c r="X235" s="2230">
        <f t="shared" si="14"/>
        <v>953.5</v>
      </c>
      <c r="Y235" s="3260"/>
      <c r="Z235" s="3258"/>
    </row>
    <row r="236" spans="5:26" s="1652" customFormat="1">
      <c r="E236" s="2266"/>
      <c r="H236" s="3253" t="s">
        <v>2400</v>
      </c>
      <c r="I236" s="3254">
        <v>80</v>
      </c>
      <c r="J236" s="2226" t="s">
        <v>110</v>
      </c>
      <c r="K236" s="3253" t="s">
        <v>845</v>
      </c>
      <c r="L236" s="3256">
        <v>58.59</v>
      </c>
      <c r="M236" s="3256">
        <v>29.3</v>
      </c>
      <c r="N236" s="3257" t="s">
        <v>229</v>
      </c>
      <c r="O236" s="3253">
        <v>12</v>
      </c>
      <c r="P236" s="3258" t="s">
        <v>996</v>
      </c>
      <c r="Q236" s="3254"/>
      <c r="R236" s="3254"/>
      <c r="S236" s="3259"/>
      <c r="T236" s="3261"/>
      <c r="U236" s="2228">
        <f t="shared" si="13"/>
        <v>0</v>
      </c>
      <c r="V236" s="3259"/>
      <c r="W236" s="3262"/>
      <c r="X236" s="2230">
        <f t="shared" si="14"/>
        <v>0</v>
      </c>
      <c r="Y236" s="3260"/>
      <c r="Z236" s="3258"/>
    </row>
    <row r="237" spans="5:26" s="1652" customFormat="1">
      <c r="E237" s="2266"/>
      <c r="H237" s="3253" t="s">
        <v>2401</v>
      </c>
      <c r="I237" s="3254">
        <v>204</v>
      </c>
      <c r="J237" s="2226" t="s">
        <v>110</v>
      </c>
      <c r="K237" s="3253" t="s">
        <v>845</v>
      </c>
      <c r="L237" s="3256">
        <v>58.59</v>
      </c>
      <c r="M237" s="3256">
        <v>29.3</v>
      </c>
      <c r="N237" s="3257">
        <v>2.000386349128214E-3</v>
      </c>
      <c r="O237" s="3253">
        <v>12</v>
      </c>
      <c r="P237" s="3258" t="s">
        <v>996</v>
      </c>
      <c r="Q237" s="3254"/>
      <c r="R237" s="3254">
        <v>50</v>
      </c>
      <c r="S237" s="3259"/>
      <c r="T237" s="3261"/>
      <c r="U237" s="2228">
        <f t="shared" si="13"/>
        <v>10200</v>
      </c>
      <c r="V237" s="3259"/>
      <c r="W237" s="3262"/>
      <c r="X237" s="2230">
        <f t="shared" si="14"/>
        <v>1465</v>
      </c>
      <c r="Y237" s="3260"/>
      <c r="Z237" s="3258"/>
    </row>
    <row r="238" spans="5:26" s="1652" customFormat="1">
      <c r="E238" s="2266"/>
      <c r="H238" s="3253" t="s">
        <v>2402</v>
      </c>
      <c r="I238" s="3254">
        <v>27</v>
      </c>
      <c r="J238" s="2226" t="s">
        <v>110</v>
      </c>
      <c r="K238" s="3253" t="s">
        <v>845</v>
      </c>
      <c r="L238" s="3256">
        <v>58.59</v>
      </c>
      <c r="M238" s="3256">
        <v>29.3</v>
      </c>
      <c r="N238" s="3257" t="s">
        <v>229</v>
      </c>
      <c r="O238" s="3253">
        <v>12</v>
      </c>
      <c r="P238" s="3258" t="s">
        <v>996</v>
      </c>
      <c r="Q238" s="3254"/>
      <c r="R238" s="3254"/>
      <c r="S238" s="3259"/>
      <c r="T238" s="3261"/>
      <c r="U238" s="2228">
        <f t="shared" si="13"/>
        <v>0</v>
      </c>
      <c r="V238" s="3259"/>
      <c r="W238" s="3262"/>
      <c r="X238" s="2230">
        <f t="shared" si="14"/>
        <v>0</v>
      </c>
      <c r="Y238" s="3260"/>
      <c r="Z238" s="3258"/>
    </row>
    <row r="239" spans="5:26" s="1652" customFormat="1">
      <c r="E239" s="2266"/>
      <c r="H239" s="3253" t="s">
        <v>2403</v>
      </c>
      <c r="I239" s="3254">
        <v>68</v>
      </c>
      <c r="J239" s="2226" t="s">
        <v>110</v>
      </c>
      <c r="K239" s="3253" t="s">
        <v>845</v>
      </c>
      <c r="L239" s="3256">
        <v>58.59</v>
      </c>
      <c r="M239" s="3256">
        <v>29.3</v>
      </c>
      <c r="N239" s="3257">
        <v>6.6679544970940467E-4</v>
      </c>
      <c r="O239" s="3253">
        <v>12</v>
      </c>
      <c r="P239" s="3258" t="s">
        <v>996</v>
      </c>
      <c r="Q239" s="3254"/>
      <c r="R239" s="3254">
        <v>50</v>
      </c>
      <c r="S239" s="3259"/>
      <c r="T239" s="3261"/>
      <c r="U239" s="2228">
        <f t="shared" si="13"/>
        <v>3400</v>
      </c>
      <c r="V239" s="3259"/>
      <c r="W239" s="3262"/>
      <c r="X239" s="2230">
        <f t="shared" si="14"/>
        <v>1465</v>
      </c>
      <c r="Y239" s="3260"/>
      <c r="Z239" s="3258"/>
    </row>
    <row r="240" spans="5:26" s="1652" customFormat="1">
      <c r="E240" s="2266"/>
      <c r="H240" s="3253" t="s">
        <v>2404</v>
      </c>
      <c r="I240" s="3254">
        <v>36</v>
      </c>
      <c r="J240" s="2226" t="s">
        <v>110</v>
      </c>
      <c r="K240" s="3253" t="s">
        <v>845</v>
      </c>
      <c r="L240" s="3256">
        <v>58.59</v>
      </c>
      <c r="M240" s="3256">
        <v>29.3</v>
      </c>
      <c r="N240" s="3257" t="s">
        <v>229</v>
      </c>
      <c r="O240" s="3253">
        <v>12</v>
      </c>
      <c r="P240" s="3258" t="s">
        <v>996</v>
      </c>
      <c r="Q240" s="3254"/>
      <c r="R240" s="3254"/>
      <c r="S240" s="3259"/>
      <c r="T240" s="3261"/>
      <c r="U240" s="2228">
        <f t="shared" si="13"/>
        <v>0</v>
      </c>
      <c r="V240" s="3259"/>
      <c r="W240" s="3262"/>
      <c r="X240" s="2230">
        <f t="shared" si="14"/>
        <v>0</v>
      </c>
      <c r="Y240" s="3260"/>
      <c r="Z240" s="3258"/>
    </row>
    <row r="241" spans="5:26" s="1652" customFormat="1">
      <c r="E241" s="2266"/>
      <c r="H241" s="3253" t="s">
        <v>2405</v>
      </c>
      <c r="I241" s="3254">
        <v>94</v>
      </c>
      <c r="J241" s="2226" t="s">
        <v>110</v>
      </c>
      <c r="K241" s="3253" t="s">
        <v>845</v>
      </c>
      <c r="L241" s="3256">
        <v>58.59</v>
      </c>
      <c r="M241" s="3256">
        <v>29.3</v>
      </c>
      <c r="N241" s="3257">
        <v>9.2174665106888292E-4</v>
      </c>
      <c r="O241" s="3253">
        <v>12</v>
      </c>
      <c r="P241" s="3258" t="s">
        <v>996</v>
      </c>
      <c r="Q241" s="3254"/>
      <c r="R241" s="3254">
        <v>50</v>
      </c>
      <c r="S241" s="3259"/>
      <c r="T241" s="3261"/>
      <c r="U241" s="2228">
        <f t="shared" si="13"/>
        <v>4700</v>
      </c>
      <c r="V241" s="3259"/>
      <c r="W241" s="3262"/>
      <c r="X241" s="2230">
        <f t="shared" si="14"/>
        <v>1465</v>
      </c>
      <c r="Y241" s="3260"/>
      <c r="Z241" s="3258"/>
    </row>
    <row r="242" spans="5:26" s="1652" customFormat="1">
      <c r="E242" s="2266"/>
      <c r="H242" s="3253" t="s">
        <v>2406</v>
      </c>
      <c r="I242" s="3254">
        <v>76</v>
      </c>
      <c r="J242" s="2226" t="s">
        <v>110</v>
      </c>
      <c r="K242" s="3253" t="s">
        <v>845</v>
      </c>
      <c r="L242" s="3256">
        <v>58.59</v>
      </c>
      <c r="M242" s="3256">
        <v>29.3</v>
      </c>
      <c r="N242" s="3257" t="s">
        <v>229</v>
      </c>
      <c r="O242" s="3253">
        <v>12</v>
      </c>
      <c r="P242" s="3258" t="s">
        <v>996</v>
      </c>
      <c r="Q242" s="3254"/>
      <c r="R242" s="3254"/>
      <c r="S242" s="3259"/>
      <c r="T242" s="3261"/>
      <c r="U242" s="2228">
        <f t="shared" si="13"/>
        <v>0</v>
      </c>
      <c r="V242" s="3259"/>
      <c r="W242" s="3262"/>
      <c r="X242" s="2230">
        <f t="shared" si="14"/>
        <v>0</v>
      </c>
      <c r="Y242" s="3260"/>
      <c r="Z242" s="3258"/>
    </row>
    <row r="243" spans="5:26" s="1652" customFormat="1">
      <c r="E243" s="2266"/>
      <c r="H243" s="3253" t="s">
        <v>2407</v>
      </c>
      <c r="I243" s="3254">
        <v>196</v>
      </c>
      <c r="J243" s="2226" t="s">
        <v>110</v>
      </c>
      <c r="K243" s="3253" t="s">
        <v>845</v>
      </c>
      <c r="L243" s="3256">
        <v>58.59</v>
      </c>
      <c r="M243" s="3256">
        <v>29.3</v>
      </c>
      <c r="N243" s="3257">
        <v>1.9219398256329898E-3</v>
      </c>
      <c r="O243" s="3253">
        <v>12</v>
      </c>
      <c r="P243" s="3258" t="s">
        <v>996</v>
      </c>
      <c r="Q243" s="3254"/>
      <c r="R243" s="3254">
        <v>50</v>
      </c>
      <c r="S243" s="3259"/>
      <c r="T243" s="3261"/>
      <c r="U243" s="2228">
        <f t="shared" si="13"/>
        <v>9800</v>
      </c>
      <c r="V243" s="3259"/>
      <c r="W243" s="3262"/>
      <c r="X243" s="2230">
        <f t="shared" si="14"/>
        <v>1465</v>
      </c>
      <c r="Y243" s="3260"/>
      <c r="Z243" s="3258"/>
    </row>
    <row r="244" spans="5:26" s="1652" customFormat="1">
      <c r="E244" s="2266"/>
      <c r="H244" s="3253" t="s">
        <v>2408</v>
      </c>
      <c r="I244" s="3254">
        <v>36</v>
      </c>
      <c r="J244" s="2226" t="s">
        <v>110</v>
      </c>
      <c r="K244" s="3253" t="s">
        <v>845</v>
      </c>
      <c r="L244" s="3256">
        <v>58.95</v>
      </c>
      <c r="M244" s="3256">
        <v>29.3</v>
      </c>
      <c r="N244" s="3257" t="s">
        <v>229</v>
      </c>
      <c r="O244" s="3253">
        <v>12</v>
      </c>
      <c r="P244" s="3258" t="s">
        <v>996</v>
      </c>
      <c r="Q244" s="3254"/>
      <c r="R244" s="3254"/>
      <c r="S244" s="3259"/>
      <c r="T244" s="3261"/>
      <c r="U244" s="2228">
        <f t="shared" si="13"/>
        <v>0</v>
      </c>
      <c r="V244" s="3259"/>
      <c r="W244" s="3262"/>
      <c r="X244" s="2230">
        <f t="shared" si="14"/>
        <v>0</v>
      </c>
      <c r="Y244" s="3260"/>
      <c r="Z244" s="3258"/>
    </row>
    <row r="245" spans="5:26" s="1652" customFormat="1">
      <c r="E245" s="2266"/>
      <c r="H245" s="3253" t="s">
        <v>2409</v>
      </c>
      <c r="I245" s="3254">
        <v>94</v>
      </c>
      <c r="J245" s="2226" t="s">
        <v>110</v>
      </c>
      <c r="K245" s="3253" t="s">
        <v>845</v>
      </c>
      <c r="L245" s="3256">
        <v>58.59</v>
      </c>
      <c r="M245" s="3256">
        <v>29.3</v>
      </c>
      <c r="N245" s="3257">
        <v>9.2174665106888292E-4</v>
      </c>
      <c r="O245" s="3253">
        <v>12</v>
      </c>
      <c r="P245" s="3258" t="s">
        <v>996</v>
      </c>
      <c r="Q245" s="3254"/>
      <c r="R245" s="3254">
        <v>50</v>
      </c>
      <c r="S245" s="3259"/>
      <c r="T245" s="3261"/>
      <c r="U245" s="2228">
        <f t="shared" si="13"/>
        <v>4700</v>
      </c>
      <c r="V245" s="3259"/>
      <c r="W245" s="3262"/>
      <c r="X245" s="2230">
        <f t="shared" si="14"/>
        <v>1465</v>
      </c>
      <c r="Y245" s="3260"/>
      <c r="Z245" s="3258"/>
    </row>
    <row r="246" spans="5:26" s="1652" customFormat="1">
      <c r="E246" s="2266"/>
      <c r="H246" s="3253" t="s">
        <v>2410</v>
      </c>
      <c r="I246" s="3254">
        <v>46</v>
      </c>
      <c r="J246" s="2226" t="s">
        <v>110</v>
      </c>
      <c r="K246" s="3253" t="s">
        <v>845</v>
      </c>
      <c r="L246" s="3256">
        <v>58.59</v>
      </c>
      <c r="M246" s="3256">
        <v>29.3</v>
      </c>
      <c r="N246" s="3257" t="s">
        <v>229</v>
      </c>
      <c r="O246" s="3253">
        <v>12</v>
      </c>
      <c r="P246" s="3258" t="s">
        <v>996</v>
      </c>
      <c r="Q246" s="3254"/>
      <c r="R246" s="3254"/>
      <c r="S246" s="3259"/>
      <c r="T246" s="3261"/>
      <c r="U246" s="2228">
        <f t="shared" si="13"/>
        <v>0</v>
      </c>
      <c r="V246" s="3259"/>
      <c r="W246" s="3262"/>
      <c r="X246" s="2230">
        <f t="shared" si="14"/>
        <v>0</v>
      </c>
      <c r="Y246" s="3260"/>
      <c r="Z246" s="3258"/>
    </row>
    <row r="247" spans="5:26" s="1652" customFormat="1">
      <c r="E247" s="2266"/>
      <c r="H247" s="3253" t="s">
        <v>2411</v>
      </c>
      <c r="I247" s="3254">
        <v>119</v>
      </c>
      <c r="J247" s="2226" t="s">
        <v>110</v>
      </c>
      <c r="K247" s="3253" t="s">
        <v>845</v>
      </c>
      <c r="L247" s="3256">
        <v>58.59</v>
      </c>
      <c r="M247" s="3256">
        <v>29.3</v>
      </c>
      <c r="N247" s="3257">
        <v>1.1668920369914582E-3</v>
      </c>
      <c r="O247" s="3253">
        <v>12</v>
      </c>
      <c r="P247" s="3258" t="s">
        <v>996</v>
      </c>
      <c r="Q247" s="3254"/>
      <c r="R247" s="3254">
        <v>50</v>
      </c>
      <c r="S247" s="3259"/>
      <c r="T247" s="3261"/>
      <c r="U247" s="2228">
        <f t="shared" si="13"/>
        <v>5950</v>
      </c>
      <c r="V247" s="3259"/>
      <c r="W247" s="3262"/>
      <c r="X247" s="2230">
        <f t="shared" si="14"/>
        <v>1465</v>
      </c>
      <c r="Y247" s="3260"/>
      <c r="Z247" s="3258"/>
    </row>
    <row r="248" spans="5:26" s="1652" customFormat="1">
      <c r="E248" s="2266"/>
      <c r="H248" s="3253" t="s">
        <v>2412</v>
      </c>
      <c r="I248" s="3254">
        <v>159</v>
      </c>
      <c r="J248" s="2226" t="s">
        <v>110</v>
      </c>
      <c r="K248" s="3253" t="s">
        <v>845</v>
      </c>
      <c r="L248" s="3256">
        <v>59.01</v>
      </c>
      <c r="M248" s="3256">
        <v>41.3</v>
      </c>
      <c r="N248" s="3257" t="s">
        <v>229</v>
      </c>
      <c r="O248" s="3253">
        <v>12</v>
      </c>
      <c r="P248" s="3258" t="s">
        <v>996</v>
      </c>
      <c r="Q248" s="3254"/>
      <c r="R248" s="3254"/>
      <c r="S248" s="3259"/>
      <c r="T248" s="3261"/>
      <c r="U248" s="2228">
        <f t="shared" si="13"/>
        <v>0</v>
      </c>
      <c r="V248" s="3259"/>
      <c r="W248" s="3262"/>
      <c r="X248" s="2230">
        <f t="shared" si="14"/>
        <v>0</v>
      </c>
      <c r="Y248" s="3260"/>
      <c r="Z248" s="3258"/>
    </row>
    <row r="249" spans="5:26" s="1652" customFormat="1">
      <c r="E249" s="2266"/>
      <c r="H249" s="3253" t="s">
        <v>2413</v>
      </c>
      <c r="I249" s="3254">
        <v>409</v>
      </c>
      <c r="J249" s="2226" t="s">
        <v>110</v>
      </c>
      <c r="K249" s="3253" t="s">
        <v>845</v>
      </c>
      <c r="L249" s="3256">
        <v>59.01</v>
      </c>
      <c r="M249" s="3256">
        <v>41.3</v>
      </c>
      <c r="N249" s="3257">
        <v>4.0105785136933308E-3</v>
      </c>
      <c r="O249" s="3253">
        <v>12</v>
      </c>
      <c r="P249" s="3258" t="s">
        <v>996</v>
      </c>
      <c r="Q249" s="3254"/>
      <c r="R249" s="3254">
        <v>50</v>
      </c>
      <c r="S249" s="3259"/>
      <c r="T249" s="3261"/>
      <c r="U249" s="2228">
        <f t="shared" si="13"/>
        <v>20450</v>
      </c>
      <c r="V249" s="3259"/>
      <c r="W249" s="3262"/>
      <c r="X249" s="2230">
        <f t="shared" si="14"/>
        <v>2065</v>
      </c>
      <c r="Y249" s="3260"/>
      <c r="Z249" s="3258"/>
    </row>
    <row r="250" spans="5:26" s="1652" customFormat="1">
      <c r="E250" s="2266"/>
      <c r="H250" s="3253" t="s">
        <v>2414</v>
      </c>
      <c r="I250" s="3254">
        <v>391</v>
      </c>
      <c r="J250" s="2226" t="s">
        <v>110</v>
      </c>
      <c r="K250" s="3253" t="s">
        <v>845</v>
      </c>
      <c r="L250" s="3256">
        <v>66.349999999999994</v>
      </c>
      <c r="M250" s="3256">
        <v>33.17</v>
      </c>
      <c r="N250" s="3257" t="s">
        <v>229</v>
      </c>
      <c r="O250" s="3253">
        <v>12</v>
      </c>
      <c r="P250" s="3258" t="s">
        <v>996</v>
      </c>
      <c r="Q250" s="3254"/>
      <c r="R250" s="3254"/>
      <c r="S250" s="3259"/>
      <c r="T250" s="3261"/>
      <c r="U250" s="2228">
        <f t="shared" si="13"/>
        <v>0</v>
      </c>
      <c r="V250" s="3259"/>
      <c r="W250" s="3262"/>
      <c r="X250" s="2230">
        <f t="shared" si="14"/>
        <v>0</v>
      </c>
      <c r="Y250" s="3260"/>
      <c r="Z250" s="3258"/>
    </row>
    <row r="251" spans="5:26" s="1652" customFormat="1">
      <c r="E251" s="2266"/>
      <c r="H251" s="3253" t="s">
        <v>2415</v>
      </c>
      <c r="I251" s="3254">
        <v>1005</v>
      </c>
      <c r="J251" s="2226" t="s">
        <v>110</v>
      </c>
      <c r="K251" s="3253" t="s">
        <v>845</v>
      </c>
      <c r="L251" s="3256">
        <v>71.09</v>
      </c>
      <c r="M251" s="3256">
        <v>49.76</v>
      </c>
      <c r="N251" s="3257">
        <v>9.854844514087524E-3</v>
      </c>
      <c r="O251" s="3253">
        <v>12</v>
      </c>
      <c r="P251" s="3258" t="s">
        <v>996</v>
      </c>
      <c r="Q251" s="3254"/>
      <c r="R251" s="3254">
        <v>50</v>
      </c>
      <c r="S251" s="3259"/>
      <c r="T251" s="3261"/>
      <c r="U251" s="2228">
        <f t="shared" si="13"/>
        <v>50250</v>
      </c>
      <c r="V251" s="3259"/>
      <c r="W251" s="3262"/>
      <c r="X251" s="2230">
        <f t="shared" si="14"/>
        <v>2488</v>
      </c>
      <c r="Y251" s="3260"/>
      <c r="Z251" s="3258"/>
    </row>
    <row r="252" spans="5:26" s="1652" customFormat="1">
      <c r="E252" s="2266"/>
      <c r="H252" s="3253" t="s">
        <v>2416</v>
      </c>
      <c r="I252" s="3254">
        <v>53</v>
      </c>
      <c r="J252" s="2226" t="s">
        <v>110</v>
      </c>
      <c r="K252" s="3253" t="s">
        <v>845</v>
      </c>
      <c r="L252" s="3256">
        <v>58.59</v>
      </c>
      <c r="M252" s="3256">
        <v>29.3</v>
      </c>
      <c r="N252" s="3257" t="s">
        <v>229</v>
      </c>
      <c r="O252" s="3253">
        <v>12</v>
      </c>
      <c r="P252" s="3258" t="s">
        <v>996</v>
      </c>
      <c r="Q252" s="3254"/>
      <c r="R252" s="3254"/>
      <c r="S252" s="3259"/>
      <c r="T252" s="3261"/>
      <c r="U252" s="2228">
        <f t="shared" si="13"/>
        <v>0</v>
      </c>
      <c r="V252" s="3259"/>
      <c r="W252" s="3262"/>
      <c r="X252" s="2230">
        <f t="shared" si="14"/>
        <v>0</v>
      </c>
      <c r="Y252" s="3260"/>
      <c r="Z252" s="3258"/>
    </row>
    <row r="253" spans="5:26" s="1652" customFormat="1">
      <c r="E253" s="2266"/>
      <c r="H253" s="3253" t="s">
        <v>2417</v>
      </c>
      <c r="I253" s="3254">
        <v>136</v>
      </c>
      <c r="J253" s="2226" t="s">
        <v>110</v>
      </c>
      <c r="K253" s="3253" t="s">
        <v>845</v>
      </c>
      <c r="L253" s="3256">
        <v>61.19</v>
      </c>
      <c r="M253" s="3256">
        <v>30.6</v>
      </c>
      <c r="N253" s="3257">
        <v>1.3335908994188093E-3</v>
      </c>
      <c r="O253" s="3253">
        <v>12</v>
      </c>
      <c r="P253" s="3258" t="s">
        <v>996</v>
      </c>
      <c r="Q253" s="3254"/>
      <c r="R253" s="3254">
        <v>50</v>
      </c>
      <c r="S253" s="3259"/>
      <c r="T253" s="3261"/>
      <c r="U253" s="2228">
        <f t="shared" si="13"/>
        <v>6800</v>
      </c>
      <c r="V253" s="3259"/>
      <c r="W253" s="3262"/>
      <c r="X253" s="2230">
        <f t="shared" si="14"/>
        <v>1530</v>
      </c>
      <c r="Y253" s="3260"/>
      <c r="Z253" s="3258"/>
    </row>
    <row r="254" spans="5:26" s="1652" customFormat="1">
      <c r="E254" s="2266"/>
      <c r="H254" s="3253" t="s">
        <v>2418</v>
      </c>
      <c r="I254" s="3254">
        <v>73</v>
      </c>
      <c r="J254" s="2226" t="s">
        <v>110</v>
      </c>
      <c r="K254" s="3253" t="s">
        <v>845</v>
      </c>
      <c r="L254" s="3256">
        <v>58.59</v>
      </c>
      <c r="M254" s="3256">
        <v>29.3</v>
      </c>
      <c r="N254" s="3257" t="s">
        <v>229</v>
      </c>
      <c r="O254" s="3253">
        <v>12</v>
      </c>
      <c r="P254" s="3258" t="s">
        <v>996</v>
      </c>
      <c r="Q254" s="3254"/>
      <c r="R254" s="3254"/>
      <c r="S254" s="3259"/>
      <c r="T254" s="3261"/>
      <c r="U254" s="2228">
        <f t="shared" si="13"/>
        <v>0</v>
      </c>
      <c r="V254" s="3259"/>
      <c r="W254" s="3262"/>
      <c r="X254" s="2230">
        <f t="shared" si="14"/>
        <v>0</v>
      </c>
      <c r="Y254" s="3260"/>
      <c r="Z254" s="3258"/>
    </row>
    <row r="255" spans="5:26" s="1652" customFormat="1">
      <c r="E255" s="2266"/>
      <c r="H255" s="3253" t="s">
        <v>2419</v>
      </c>
      <c r="I255" s="3254">
        <v>187</v>
      </c>
      <c r="J255" s="2226" t="s">
        <v>110</v>
      </c>
      <c r="K255" s="3253" t="s">
        <v>845</v>
      </c>
      <c r="L255" s="3256">
        <v>61.19</v>
      </c>
      <c r="M255" s="3256">
        <v>30.6</v>
      </c>
      <c r="N255" s="3257">
        <v>1.8336874867008628E-3</v>
      </c>
      <c r="O255" s="3253">
        <v>12</v>
      </c>
      <c r="P255" s="3258" t="s">
        <v>996</v>
      </c>
      <c r="Q255" s="3254"/>
      <c r="R255" s="3254">
        <v>50</v>
      </c>
      <c r="S255" s="3259"/>
      <c r="T255" s="3261"/>
      <c r="U255" s="2228">
        <f t="shared" si="13"/>
        <v>9350</v>
      </c>
      <c r="V255" s="3259"/>
      <c r="W255" s="3262"/>
      <c r="X255" s="2230">
        <f t="shared" si="14"/>
        <v>1530</v>
      </c>
      <c r="Y255" s="3260"/>
      <c r="Z255" s="3258"/>
    </row>
    <row r="256" spans="5:26" s="1652" customFormat="1">
      <c r="E256" s="2266"/>
      <c r="H256" s="3253" t="s">
        <v>2420</v>
      </c>
      <c r="I256" s="3254">
        <v>153</v>
      </c>
      <c r="J256" s="2226" t="s">
        <v>110</v>
      </c>
      <c r="K256" s="3253" t="s">
        <v>845</v>
      </c>
      <c r="L256" s="3256">
        <v>61.19</v>
      </c>
      <c r="M256" s="3256">
        <v>42.83</v>
      </c>
      <c r="N256" s="3257" t="s">
        <v>229</v>
      </c>
      <c r="O256" s="3253">
        <v>12</v>
      </c>
      <c r="P256" s="3258" t="s">
        <v>996</v>
      </c>
      <c r="Q256" s="3254"/>
      <c r="R256" s="3254"/>
      <c r="S256" s="3259"/>
      <c r="T256" s="3261"/>
      <c r="U256" s="2228">
        <f t="shared" si="13"/>
        <v>0</v>
      </c>
      <c r="V256" s="3259"/>
      <c r="W256" s="3262"/>
      <c r="X256" s="2230">
        <f t="shared" si="14"/>
        <v>0</v>
      </c>
      <c r="Y256" s="3260"/>
      <c r="Z256" s="3258"/>
    </row>
    <row r="257" spans="5:26" s="1652" customFormat="1">
      <c r="E257" s="2266"/>
      <c r="H257" s="3253" t="s">
        <v>2421</v>
      </c>
      <c r="I257" s="3254">
        <v>392</v>
      </c>
      <c r="J257" s="2226" t="s">
        <v>110</v>
      </c>
      <c r="K257" s="3253" t="s">
        <v>845</v>
      </c>
      <c r="L257" s="3256">
        <v>61.19</v>
      </c>
      <c r="M257" s="3256">
        <v>30.6</v>
      </c>
      <c r="N257" s="3257">
        <v>3.8438796512659796E-3</v>
      </c>
      <c r="O257" s="3253">
        <v>12</v>
      </c>
      <c r="P257" s="3258" t="s">
        <v>996</v>
      </c>
      <c r="Q257" s="3254"/>
      <c r="R257" s="3254">
        <v>50</v>
      </c>
      <c r="S257" s="3259"/>
      <c r="T257" s="3261"/>
      <c r="U257" s="2228">
        <f t="shared" si="13"/>
        <v>19600</v>
      </c>
      <c r="V257" s="3259"/>
      <c r="W257" s="3262"/>
      <c r="X257" s="2230">
        <f t="shared" si="14"/>
        <v>1530</v>
      </c>
      <c r="Y257" s="3260"/>
      <c r="Z257" s="3258"/>
    </row>
    <row r="258" spans="5:26" s="1652" customFormat="1">
      <c r="E258" s="2266"/>
      <c r="H258" s="3253" t="s">
        <v>2422</v>
      </c>
      <c r="I258" s="3254">
        <v>73</v>
      </c>
      <c r="J258" s="2226" t="s">
        <v>110</v>
      </c>
      <c r="K258" s="3253" t="s">
        <v>845</v>
      </c>
      <c r="L258" s="3256">
        <v>58.59</v>
      </c>
      <c r="M258" s="3256">
        <v>29.3</v>
      </c>
      <c r="N258" s="3257" t="s">
        <v>229</v>
      </c>
      <c r="O258" s="3253">
        <v>12</v>
      </c>
      <c r="P258" s="3258" t="s">
        <v>996</v>
      </c>
      <c r="Q258" s="3254"/>
      <c r="R258" s="3254"/>
      <c r="S258" s="3259"/>
      <c r="T258" s="3261"/>
      <c r="U258" s="2228">
        <f t="shared" si="13"/>
        <v>0</v>
      </c>
      <c r="V258" s="3259"/>
      <c r="W258" s="3262"/>
      <c r="X258" s="2230">
        <f t="shared" si="14"/>
        <v>0</v>
      </c>
      <c r="Y258" s="3260"/>
      <c r="Z258" s="3258"/>
    </row>
    <row r="259" spans="5:26" s="1652" customFormat="1">
      <c r="E259" s="2266"/>
      <c r="H259" s="3253" t="s">
        <v>2423</v>
      </c>
      <c r="I259" s="3254">
        <v>187</v>
      </c>
      <c r="J259" s="2226" t="s">
        <v>110</v>
      </c>
      <c r="K259" s="3253" t="s">
        <v>845</v>
      </c>
      <c r="L259" s="3256">
        <v>61.19</v>
      </c>
      <c r="M259" s="3256">
        <v>30.6</v>
      </c>
      <c r="N259" s="3257">
        <v>1.8336874867008628E-3</v>
      </c>
      <c r="O259" s="3253">
        <v>12</v>
      </c>
      <c r="P259" s="3258" t="s">
        <v>996</v>
      </c>
      <c r="Q259" s="3254"/>
      <c r="R259" s="3254">
        <v>50</v>
      </c>
      <c r="S259" s="3259"/>
      <c r="T259" s="3261"/>
      <c r="U259" s="2228">
        <f t="shared" si="13"/>
        <v>9350</v>
      </c>
      <c r="V259" s="3259"/>
      <c r="W259" s="3262"/>
      <c r="X259" s="2230">
        <f t="shared" si="14"/>
        <v>1530</v>
      </c>
      <c r="Y259" s="3260"/>
      <c r="Z259" s="3258"/>
    </row>
    <row r="260" spans="5:26" s="1652" customFormat="1">
      <c r="E260" s="2266"/>
      <c r="H260" s="3253" t="s">
        <v>2424</v>
      </c>
      <c r="I260" s="3254">
        <v>93</v>
      </c>
      <c r="J260" s="2226" t="s">
        <v>110</v>
      </c>
      <c r="K260" s="3253" t="s">
        <v>845</v>
      </c>
      <c r="L260" s="3256">
        <v>61.19</v>
      </c>
      <c r="M260" s="3256">
        <v>42.83</v>
      </c>
      <c r="N260" s="3257" t="s">
        <v>229</v>
      </c>
      <c r="O260" s="3253">
        <v>12</v>
      </c>
      <c r="P260" s="3258" t="s">
        <v>996</v>
      </c>
      <c r="Q260" s="3254"/>
      <c r="R260" s="3254"/>
      <c r="S260" s="3259"/>
      <c r="T260" s="3261"/>
      <c r="U260" s="2228">
        <f t="shared" si="13"/>
        <v>0</v>
      </c>
      <c r="V260" s="3259"/>
      <c r="W260" s="3262"/>
      <c r="X260" s="2230">
        <f t="shared" si="14"/>
        <v>0</v>
      </c>
      <c r="Y260" s="3260"/>
      <c r="Z260" s="3258"/>
    </row>
    <row r="261" spans="5:26" s="1652" customFormat="1">
      <c r="E261" s="2266"/>
      <c r="H261" s="3253" t="s">
        <v>2425</v>
      </c>
      <c r="I261" s="3254">
        <v>239</v>
      </c>
      <c r="J261" s="2226" t="s">
        <v>110</v>
      </c>
      <c r="K261" s="3253" t="s">
        <v>845</v>
      </c>
      <c r="L261" s="3256">
        <v>61.19</v>
      </c>
      <c r="M261" s="3256">
        <v>30.6</v>
      </c>
      <c r="N261" s="3257">
        <v>2.3435898894198191E-3</v>
      </c>
      <c r="O261" s="3253">
        <v>12</v>
      </c>
      <c r="P261" s="3258" t="s">
        <v>996</v>
      </c>
      <c r="Q261" s="3254"/>
      <c r="R261" s="3254">
        <v>50</v>
      </c>
      <c r="S261" s="3259"/>
      <c r="T261" s="3261"/>
      <c r="U261" s="2228">
        <f t="shared" si="13"/>
        <v>11950</v>
      </c>
      <c r="V261" s="3259"/>
      <c r="W261" s="3262"/>
      <c r="X261" s="2230">
        <f t="shared" si="14"/>
        <v>1530</v>
      </c>
      <c r="Y261" s="3260"/>
      <c r="Z261" s="3258"/>
    </row>
    <row r="262" spans="5:26" s="1652" customFormat="1">
      <c r="E262" s="2266"/>
      <c r="H262" s="3253" t="s">
        <v>2426</v>
      </c>
      <c r="I262" s="3254">
        <v>587</v>
      </c>
      <c r="J262" s="2226" t="s">
        <v>110</v>
      </c>
      <c r="K262" s="3253" t="s">
        <v>845</v>
      </c>
      <c r="L262" s="3256">
        <v>81.11</v>
      </c>
      <c r="M262" s="3256">
        <v>40.549999999999997</v>
      </c>
      <c r="N262" s="3257" t="s">
        <v>229</v>
      </c>
      <c r="O262" s="3253">
        <v>12</v>
      </c>
      <c r="P262" s="3258" t="s">
        <v>996</v>
      </c>
      <c r="Q262" s="3254"/>
      <c r="R262" s="3254"/>
      <c r="S262" s="3259"/>
      <c r="T262" s="3261"/>
      <c r="U262" s="2228">
        <f t="shared" si="13"/>
        <v>0</v>
      </c>
      <c r="V262" s="3259"/>
      <c r="W262" s="3262"/>
      <c r="X262" s="2230">
        <f t="shared" si="14"/>
        <v>0</v>
      </c>
      <c r="Y262" s="3260"/>
      <c r="Z262" s="3258"/>
    </row>
    <row r="263" spans="5:26" s="1652" customFormat="1">
      <c r="E263" s="2266"/>
      <c r="H263" s="3253" t="s">
        <v>2427</v>
      </c>
      <c r="I263" s="3254">
        <v>1508</v>
      </c>
      <c r="J263" s="2226" t="s">
        <v>110</v>
      </c>
      <c r="K263" s="3253" t="s">
        <v>845</v>
      </c>
      <c r="L263" s="3256">
        <v>81.11</v>
      </c>
      <c r="M263" s="3256">
        <v>56.77</v>
      </c>
      <c r="N263" s="3257">
        <v>1.4787169678849738E-2</v>
      </c>
      <c r="O263" s="3253">
        <v>12</v>
      </c>
      <c r="P263" s="3258" t="s">
        <v>996</v>
      </c>
      <c r="Q263" s="3254"/>
      <c r="R263" s="3254">
        <v>50</v>
      </c>
      <c r="S263" s="3259"/>
      <c r="T263" s="3261"/>
      <c r="U263" s="2228">
        <f t="shared" si="13"/>
        <v>75400</v>
      </c>
      <c r="V263" s="3259"/>
      <c r="W263" s="3262"/>
      <c r="X263" s="2230">
        <f t="shared" si="14"/>
        <v>2838.5</v>
      </c>
      <c r="Y263" s="3260"/>
      <c r="Z263" s="3258"/>
    </row>
    <row r="264" spans="5:26" s="1652" customFormat="1">
      <c r="E264" s="2266"/>
      <c r="H264" s="3253" t="s">
        <v>2428</v>
      </c>
      <c r="I264" s="3254">
        <v>80</v>
      </c>
      <c r="J264" s="2226" t="s">
        <v>110</v>
      </c>
      <c r="K264" s="3253" t="s">
        <v>845</v>
      </c>
      <c r="L264" s="3256">
        <v>75.02</v>
      </c>
      <c r="M264" s="3256">
        <v>37.51</v>
      </c>
      <c r="N264" s="3257" t="s">
        <v>229</v>
      </c>
      <c r="O264" s="3253">
        <v>12</v>
      </c>
      <c r="P264" s="3258" t="s">
        <v>996</v>
      </c>
      <c r="Q264" s="3254"/>
      <c r="R264" s="3254"/>
      <c r="S264" s="3259"/>
      <c r="T264" s="3261"/>
      <c r="U264" s="2228">
        <f t="shared" si="13"/>
        <v>0</v>
      </c>
      <c r="V264" s="3259"/>
      <c r="W264" s="3262"/>
      <c r="X264" s="2230">
        <f t="shared" si="14"/>
        <v>0</v>
      </c>
      <c r="Y264" s="3260"/>
      <c r="Z264" s="3258"/>
    </row>
    <row r="265" spans="5:26" s="1652" customFormat="1">
      <c r="E265" s="2266"/>
      <c r="H265" s="3253" t="s">
        <v>2429</v>
      </c>
      <c r="I265" s="3254">
        <v>204</v>
      </c>
      <c r="J265" s="2226" t="s">
        <v>110</v>
      </c>
      <c r="K265" s="3253" t="s">
        <v>845</v>
      </c>
      <c r="L265" s="3256">
        <v>75.02</v>
      </c>
      <c r="M265" s="3256">
        <v>37.51</v>
      </c>
      <c r="N265" s="3257">
        <v>2.000386349128214E-3</v>
      </c>
      <c r="O265" s="3253">
        <v>12</v>
      </c>
      <c r="P265" s="3258" t="s">
        <v>996</v>
      </c>
      <c r="Q265" s="3254"/>
      <c r="R265" s="3254">
        <v>50</v>
      </c>
      <c r="S265" s="3259"/>
      <c r="T265" s="3261"/>
      <c r="U265" s="2228">
        <f t="shared" si="13"/>
        <v>10200</v>
      </c>
      <c r="V265" s="3259"/>
      <c r="W265" s="3262"/>
      <c r="X265" s="2230">
        <f t="shared" si="14"/>
        <v>1875.5</v>
      </c>
      <c r="Y265" s="3260"/>
      <c r="Z265" s="3258"/>
    </row>
    <row r="266" spans="5:26" s="1652" customFormat="1">
      <c r="E266" s="2266"/>
      <c r="H266" s="3253" t="s">
        <v>2430</v>
      </c>
      <c r="I266" s="3254">
        <v>109</v>
      </c>
      <c r="J266" s="2226" t="s">
        <v>110</v>
      </c>
      <c r="K266" s="3253" t="s">
        <v>845</v>
      </c>
      <c r="L266" s="3256">
        <v>75.02</v>
      </c>
      <c r="M266" s="3256">
        <v>37.51</v>
      </c>
      <c r="N266" s="3257" t="s">
        <v>229</v>
      </c>
      <c r="O266" s="3253">
        <v>12</v>
      </c>
      <c r="P266" s="3258" t="s">
        <v>996</v>
      </c>
      <c r="Q266" s="3254"/>
      <c r="R266" s="3254"/>
      <c r="S266" s="3259"/>
      <c r="T266" s="3261"/>
      <c r="U266" s="2228">
        <f t="shared" si="13"/>
        <v>0</v>
      </c>
      <c r="V266" s="3259"/>
      <c r="W266" s="3262"/>
      <c r="X266" s="2230">
        <f t="shared" si="14"/>
        <v>0</v>
      </c>
      <c r="Y266" s="3260"/>
      <c r="Z266" s="3258"/>
    </row>
    <row r="267" spans="5:26" s="1652" customFormat="1">
      <c r="E267" s="2266"/>
      <c r="H267" s="3253" t="s">
        <v>2431</v>
      </c>
      <c r="I267" s="3254">
        <v>281</v>
      </c>
      <c r="J267" s="2226" t="s">
        <v>110</v>
      </c>
      <c r="K267" s="3253" t="s">
        <v>845</v>
      </c>
      <c r="L267" s="3256">
        <v>75.02</v>
      </c>
      <c r="M267" s="3256">
        <v>37.51</v>
      </c>
      <c r="N267" s="3257">
        <v>2.7554341377697459E-3</v>
      </c>
      <c r="O267" s="3253">
        <v>12</v>
      </c>
      <c r="P267" s="3258" t="s">
        <v>996</v>
      </c>
      <c r="Q267" s="3254"/>
      <c r="R267" s="3254">
        <v>50</v>
      </c>
      <c r="S267" s="3259"/>
      <c r="T267" s="3261"/>
      <c r="U267" s="2228">
        <f t="shared" si="13"/>
        <v>14050</v>
      </c>
      <c r="V267" s="3259"/>
      <c r="W267" s="3262"/>
      <c r="X267" s="2230">
        <f t="shared" si="14"/>
        <v>1875.5</v>
      </c>
      <c r="Y267" s="3260"/>
      <c r="Z267" s="3258"/>
    </row>
    <row r="268" spans="5:26" s="1652" customFormat="1">
      <c r="E268" s="2266"/>
      <c r="H268" s="3253" t="s">
        <v>2432</v>
      </c>
      <c r="I268" s="3254">
        <v>229</v>
      </c>
      <c r="J268" s="2226" t="s">
        <v>110</v>
      </c>
      <c r="K268" s="3253" t="s">
        <v>845</v>
      </c>
      <c r="L268" s="3256">
        <v>73.72</v>
      </c>
      <c r="M268" s="3256">
        <v>51.6</v>
      </c>
      <c r="N268" s="3257" t="s">
        <v>229</v>
      </c>
      <c r="O268" s="3253">
        <v>12</v>
      </c>
      <c r="P268" s="3258" t="s">
        <v>996</v>
      </c>
      <c r="Q268" s="3254"/>
      <c r="R268" s="3254"/>
      <c r="S268" s="3259"/>
      <c r="T268" s="3261"/>
      <c r="U268" s="2228">
        <f t="shared" si="13"/>
        <v>0</v>
      </c>
      <c r="V268" s="3259"/>
      <c r="W268" s="3262"/>
      <c r="X268" s="2230">
        <f t="shared" si="14"/>
        <v>0</v>
      </c>
      <c r="Y268" s="3260"/>
      <c r="Z268" s="3258"/>
    </row>
    <row r="269" spans="5:26" s="1652" customFormat="1">
      <c r="E269" s="2266"/>
      <c r="H269" s="3253" t="s">
        <v>2433</v>
      </c>
      <c r="I269" s="3254">
        <v>588</v>
      </c>
      <c r="J269" s="2226" t="s">
        <v>110</v>
      </c>
      <c r="K269" s="3253" t="s">
        <v>845</v>
      </c>
      <c r="L269" s="3256">
        <v>75.02</v>
      </c>
      <c r="M269" s="3256">
        <v>37.51</v>
      </c>
      <c r="N269" s="3257">
        <v>5.7658194768989701E-3</v>
      </c>
      <c r="O269" s="3253">
        <v>12</v>
      </c>
      <c r="P269" s="3258" t="s">
        <v>996</v>
      </c>
      <c r="Q269" s="3254"/>
      <c r="R269" s="3254">
        <v>50</v>
      </c>
      <c r="S269" s="3259"/>
      <c r="T269" s="3261"/>
      <c r="U269" s="2228">
        <f t="shared" si="13"/>
        <v>29400</v>
      </c>
      <c r="V269" s="3259"/>
      <c r="W269" s="3262"/>
      <c r="X269" s="2230">
        <f t="shared" si="14"/>
        <v>1875.5</v>
      </c>
      <c r="Y269" s="3260"/>
      <c r="Z269" s="3258"/>
    </row>
    <row r="270" spans="5:26" s="1652" customFormat="1">
      <c r="E270" s="2266"/>
      <c r="H270" s="3253" t="s">
        <v>2434</v>
      </c>
      <c r="I270" s="3254">
        <v>109</v>
      </c>
      <c r="J270" s="2226" t="s">
        <v>110</v>
      </c>
      <c r="K270" s="3253" t="s">
        <v>845</v>
      </c>
      <c r="L270" s="3256">
        <v>73.72</v>
      </c>
      <c r="M270" s="3256">
        <v>51.6</v>
      </c>
      <c r="N270" s="3257" t="s">
        <v>229</v>
      </c>
      <c r="O270" s="3253">
        <v>12</v>
      </c>
      <c r="P270" s="3258" t="s">
        <v>996</v>
      </c>
      <c r="Q270" s="3254"/>
      <c r="R270" s="3254"/>
      <c r="S270" s="3259"/>
      <c r="T270" s="3261"/>
      <c r="U270" s="2228">
        <f t="shared" si="13"/>
        <v>0</v>
      </c>
      <c r="V270" s="3259"/>
      <c r="W270" s="3262"/>
      <c r="X270" s="2230">
        <f t="shared" si="14"/>
        <v>0</v>
      </c>
      <c r="Y270" s="3260"/>
      <c r="Z270" s="3258"/>
    </row>
    <row r="271" spans="5:26" s="1652" customFormat="1">
      <c r="E271" s="2266"/>
      <c r="H271" s="3253" t="s">
        <v>2435</v>
      </c>
      <c r="I271" s="3254">
        <v>281</v>
      </c>
      <c r="J271" s="2226" t="s">
        <v>110</v>
      </c>
      <c r="K271" s="3253" t="s">
        <v>845</v>
      </c>
      <c r="L271" s="3256">
        <v>75.02</v>
      </c>
      <c r="M271" s="3256">
        <v>37.51</v>
      </c>
      <c r="N271" s="3257">
        <v>2.7554341377697459E-3</v>
      </c>
      <c r="O271" s="3253">
        <v>12</v>
      </c>
      <c r="P271" s="3258" t="s">
        <v>996</v>
      </c>
      <c r="Q271" s="3254"/>
      <c r="R271" s="3254">
        <v>50</v>
      </c>
      <c r="S271" s="3259"/>
      <c r="T271" s="3261"/>
      <c r="U271" s="2228">
        <f t="shared" si="13"/>
        <v>14050</v>
      </c>
      <c r="V271" s="3259"/>
      <c r="W271" s="3262"/>
      <c r="X271" s="2230">
        <f t="shared" si="14"/>
        <v>1875.5</v>
      </c>
      <c r="Y271" s="3260"/>
      <c r="Z271" s="3258"/>
    </row>
    <row r="272" spans="5:26" s="1652" customFormat="1">
      <c r="E272" s="2266"/>
      <c r="H272" s="3253" t="s">
        <v>2436</v>
      </c>
      <c r="I272" s="3254">
        <v>139</v>
      </c>
      <c r="J272" s="2226" t="s">
        <v>110</v>
      </c>
      <c r="K272" s="3253" t="s">
        <v>845</v>
      </c>
      <c r="L272" s="3256">
        <v>73.72</v>
      </c>
      <c r="M272" s="3256">
        <v>51.6</v>
      </c>
      <c r="N272" s="3257" t="s">
        <v>229</v>
      </c>
      <c r="O272" s="3253">
        <v>12</v>
      </c>
      <c r="P272" s="3258" t="s">
        <v>996</v>
      </c>
      <c r="Q272" s="3254"/>
      <c r="R272" s="3254"/>
      <c r="S272" s="3259"/>
      <c r="T272" s="3261"/>
      <c r="U272" s="2228">
        <f t="shared" si="13"/>
        <v>0</v>
      </c>
      <c r="V272" s="3259"/>
      <c r="W272" s="3262"/>
      <c r="X272" s="2230">
        <f t="shared" si="14"/>
        <v>0</v>
      </c>
      <c r="Y272" s="3260"/>
      <c r="Z272" s="3258"/>
    </row>
    <row r="273" spans="5:26" s="1652" customFormat="1">
      <c r="E273" s="2266"/>
      <c r="H273" s="3253" t="s">
        <v>2437</v>
      </c>
      <c r="I273" s="3254">
        <v>358</v>
      </c>
      <c r="J273" s="2226" t="s">
        <v>110</v>
      </c>
      <c r="K273" s="3253" t="s">
        <v>845</v>
      </c>
      <c r="L273" s="3256">
        <v>75.02</v>
      </c>
      <c r="M273" s="3256">
        <v>37.51</v>
      </c>
      <c r="N273" s="3257">
        <v>3.5104819264112773E-3</v>
      </c>
      <c r="O273" s="3253">
        <v>12</v>
      </c>
      <c r="P273" s="3258" t="s">
        <v>996</v>
      </c>
      <c r="Q273" s="3254"/>
      <c r="R273" s="3254">
        <v>50</v>
      </c>
      <c r="S273" s="3259"/>
      <c r="T273" s="3261"/>
      <c r="U273" s="2228">
        <f t="shared" si="13"/>
        <v>17900</v>
      </c>
      <c r="V273" s="3259"/>
      <c r="W273" s="3262"/>
      <c r="X273" s="2230">
        <f t="shared" si="14"/>
        <v>1875.5</v>
      </c>
      <c r="Y273" s="3260"/>
      <c r="Z273" s="3258"/>
    </row>
    <row r="274" spans="5:26" s="1652" customFormat="1">
      <c r="E274" s="2266"/>
      <c r="H274" s="3253" t="s">
        <v>2438</v>
      </c>
      <c r="I274" s="3254">
        <v>239</v>
      </c>
      <c r="J274" s="2226" t="s">
        <v>110</v>
      </c>
      <c r="K274" s="3253" t="s">
        <v>845</v>
      </c>
      <c r="L274" s="3256">
        <v>80.790000000000006</v>
      </c>
      <c r="M274" s="3256">
        <v>56.56</v>
      </c>
      <c r="N274" s="3257" t="s">
        <v>229</v>
      </c>
      <c r="O274" s="3253">
        <v>12</v>
      </c>
      <c r="P274" s="3258" t="s">
        <v>996</v>
      </c>
      <c r="Q274" s="3254"/>
      <c r="R274" s="3254"/>
      <c r="S274" s="3259"/>
      <c r="T274" s="3261"/>
      <c r="U274" s="2228">
        <f t="shared" si="13"/>
        <v>0</v>
      </c>
      <c r="V274" s="3259"/>
      <c r="W274" s="3262"/>
      <c r="X274" s="2230">
        <f t="shared" si="14"/>
        <v>0</v>
      </c>
      <c r="Y274" s="3260"/>
      <c r="Z274" s="3258"/>
    </row>
    <row r="275" spans="5:26" s="1652" customFormat="1">
      <c r="E275" s="2266"/>
      <c r="H275" s="3253" t="s">
        <v>2439</v>
      </c>
      <c r="I275" s="3254">
        <v>613</v>
      </c>
      <c r="J275" s="2226" t="s">
        <v>110</v>
      </c>
      <c r="K275" s="3253" t="s">
        <v>845</v>
      </c>
      <c r="L275" s="3256">
        <v>86.57</v>
      </c>
      <c r="M275" s="3256">
        <v>60.6</v>
      </c>
      <c r="N275" s="3257">
        <v>6.0109648628215448E-3</v>
      </c>
      <c r="O275" s="3253">
        <v>12</v>
      </c>
      <c r="P275" s="3258" t="s">
        <v>996</v>
      </c>
      <c r="Q275" s="3254"/>
      <c r="R275" s="3254">
        <v>50</v>
      </c>
      <c r="S275" s="3259"/>
      <c r="T275" s="3261"/>
      <c r="U275" s="2228">
        <f t="shared" si="13"/>
        <v>30650</v>
      </c>
      <c r="V275" s="3259"/>
      <c r="W275" s="3262"/>
      <c r="X275" s="2230">
        <f t="shared" si="14"/>
        <v>3030</v>
      </c>
      <c r="Y275" s="3260"/>
      <c r="Z275" s="3258"/>
    </row>
    <row r="276" spans="5:26" s="1652" customFormat="1">
      <c r="E276" s="2266"/>
      <c r="H276" s="3253" t="s">
        <v>2440</v>
      </c>
      <c r="I276" s="3254">
        <v>318</v>
      </c>
      <c r="J276" s="2226" t="s">
        <v>110</v>
      </c>
      <c r="K276" s="3253" t="s">
        <v>845</v>
      </c>
      <c r="L276" s="3256">
        <v>93.31</v>
      </c>
      <c r="M276" s="3256">
        <v>65.319999999999993</v>
      </c>
      <c r="N276" s="3257" t="s">
        <v>229</v>
      </c>
      <c r="O276" s="3253">
        <v>12</v>
      </c>
      <c r="P276" s="3258" t="s">
        <v>996</v>
      </c>
      <c r="Q276" s="3254"/>
      <c r="R276" s="3254"/>
      <c r="S276" s="3259"/>
      <c r="T276" s="3261"/>
      <c r="U276" s="2228">
        <f t="shared" si="13"/>
        <v>0</v>
      </c>
      <c r="V276" s="3259"/>
      <c r="W276" s="3262"/>
      <c r="X276" s="2230">
        <f t="shared" si="14"/>
        <v>0</v>
      </c>
      <c r="Y276" s="3260"/>
      <c r="Z276" s="3258"/>
    </row>
    <row r="277" spans="5:26" s="1652" customFormat="1">
      <c r="E277" s="2266"/>
      <c r="H277" s="3253" t="s">
        <v>2441</v>
      </c>
      <c r="I277" s="3254">
        <v>818</v>
      </c>
      <c r="J277" s="2226" t="s">
        <v>110</v>
      </c>
      <c r="K277" s="3253" t="s">
        <v>845</v>
      </c>
      <c r="L277" s="3256">
        <v>107.67</v>
      </c>
      <c r="M277" s="3256">
        <v>75.37</v>
      </c>
      <c r="N277" s="3257">
        <v>8.0211570273866616E-3</v>
      </c>
      <c r="O277" s="3253">
        <v>12</v>
      </c>
      <c r="P277" s="3258" t="s">
        <v>996</v>
      </c>
      <c r="Q277" s="3254"/>
      <c r="R277" s="3254">
        <v>50</v>
      </c>
      <c r="S277" s="3259"/>
      <c r="T277" s="3261"/>
      <c r="U277" s="2228">
        <f t="shared" si="13"/>
        <v>40900</v>
      </c>
      <c r="V277" s="3259"/>
      <c r="W277" s="3262"/>
      <c r="X277" s="2230">
        <f t="shared" si="14"/>
        <v>3768.5</v>
      </c>
      <c r="Y277" s="3260"/>
      <c r="Z277" s="3258"/>
    </row>
    <row r="278" spans="5:26" s="1652" customFormat="1">
      <c r="E278" s="2266"/>
      <c r="H278" s="3253" t="s">
        <v>2442</v>
      </c>
      <c r="I278" s="3254">
        <v>783</v>
      </c>
      <c r="J278" s="2226" t="s">
        <v>110</v>
      </c>
      <c r="K278" s="3253" t="s">
        <v>845</v>
      </c>
      <c r="L278" s="3256">
        <v>89.32</v>
      </c>
      <c r="M278" s="3256">
        <v>44.66</v>
      </c>
      <c r="N278" s="3257" t="s">
        <v>229</v>
      </c>
      <c r="O278" s="3253">
        <v>12</v>
      </c>
      <c r="P278" s="3258" t="s">
        <v>996</v>
      </c>
      <c r="Q278" s="3254"/>
      <c r="R278" s="3254"/>
      <c r="S278" s="3259"/>
      <c r="T278" s="3261"/>
      <c r="U278" s="2228">
        <f t="shared" si="13"/>
        <v>0</v>
      </c>
      <c r="V278" s="3259"/>
      <c r="W278" s="3262"/>
      <c r="X278" s="2230">
        <f t="shared" si="14"/>
        <v>0</v>
      </c>
      <c r="Y278" s="3260"/>
      <c r="Z278" s="3258"/>
    </row>
    <row r="279" spans="5:26" s="1652" customFormat="1">
      <c r="E279" s="2266"/>
      <c r="H279" s="3253" t="s">
        <v>2443</v>
      </c>
      <c r="I279" s="3254">
        <v>2010</v>
      </c>
      <c r="J279" s="2226" t="s">
        <v>110</v>
      </c>
      <c r="K279" s="3253" t="s">
        <v>845</v>
      </c>
      <c r="L279" s="3256">
        <v>103.07</v>
      </c>
      <c r="M279" s="3256">
        <v>72.150000000000006</v>
      </c>
      <c r="N279" s="3257">
        <v>1.9709689028175048E-2</v>
      </c>
      <c r="O279" s="3253">
        <v>12</v>
      </c>
      <c r="P279" s="3258" t="s">
        <v>996</v>
      </c>
      <c r="Q279" s="3254"/>
      <c r="R279" s="3254">
        <v>50</v>
      </c>
      <c r="S279" s="3259"/>
      <c r="T279" s="3261"/>
      <c r="U279" s="2228">
        <f t="shared" ref="U279:U342" si="15">I279*R279</f>
        <v>100500</v>
      </c>
      <c r="V279" s="3259"/>
      <c r="W279" s="3262"/>
      <c r="X279" s="2230">
        <f t="shared" ref="X279:X342" si="16">M279*R279</f>
        <v>3607.5000000000005</v>
      </c>
      <c r="Y279" s="3260"/>
      <c r="Z279" s="3258"/>
    </row>
    <row r="280" spans="5:26" s="1652" customFormat="1">
      <c r="E280" s="2266"/>
      <c r="H280" s="3253" t="s">
        <v>2444</v>
      </c>
      <c r="I280" s="3254">
        <v>106</v>
      </c>
      <c r="J280" s="2226" t="s">
        <v>110</v>
      </c>
      <c r="K280" s="3253" t="s">
        <v>845</v>
      </c>
      <c r="L280" s="3256">
        <v>89.32</v>
      </c>
      <c r="M280" s="3256">
        <v>60.93</v>
      </c>
      <c r="N280" s="3257" t="s">
        <v>229</v>
      </c>
      <c r="O280" s="3253">
        <v>12</v>
      </c>
      <c r="P280" s="3258" t="s">
        <v>996</v>
      </c>
      <c r="Q280" s="3254"/>
      <c r="R280" s="3254"/>
      <c r="S280" s="3259"/>
      <c r="T280" s="3261"/>
      <c r="U280" s="2228">
        <f t="shared" si="15"/>
        <v>0</v>
      </c>
      <c r="V280" s="3259"/>
      <c r="W280" s="3262"/>
      <c r="X280" s="2230">
        <f t="shared" si="16"/>
        <v>0</v>
      </c>
      <c r="Y280" s="3260"/>
      <c r="Z280" s="3258"/>
    </row>
    <row r="281" spans="5:26" s="1652" customFormat="1">
      <c r="E281" s="2266"/>
      <c r="H281" s="3253" t="s">
        <v>2445</v>
      </c>
      <c r="I281" s="3254">
        <v>273</v>
      </c>
      <c r="J281" s="2226" t="s">
        <v>110</v>
      </c>
      <c r="K281" s="3253" t="s">
        <v>845</v>
      </c>
      <c r="L281" s="3256">
        <v>89.32</v>
      </c>
      <c r="M281" s="3256">
        <v>62.53</v>
      </c>
      <c r="N281" s="3257">
        <v>2.6769876142745215E-3</v>
      </c>
      <c r="O281" s="3253">
        <v>12</v>
      </c>
      <c r="P281" s="3258" t="s">
        <v>996</v>
      </c>
      <c r="Q281" s="3254"/>
      <c r="R281" s="3254">
        <v>50</v>
      </c>
      <c r="S281" s="3259"/>
      <c r="T281" s="3261"/>
      <c r="U281" s="2228">
        <f t="shared" si="15"/>
        <v>13650</v>
      </c>
      <c r="V281" s="3259"/>
      <c r="W281" s="3262"/>
      <c r="X281" s="2230">
        <f t="shared" si="16"/>
        <v>3126.5</v>
      </c>
      <c r="Y281" s="3260"/>
      <c r="Z281" s="3258"/>
    </row>
    <row r="282" spans="5:26" s="1652" customFormat="1">
      <c r="E282" s="2266"/>
      <c r="H282" s="3253" t="s">
        <v>2446</v>
      </c>
      <c r="I282" s="3254">
        <v>146</v>
      </c>
      <c r="J282" s="2226" t="s">
        <v>110</v>
      </c>
      <c r="K282" s="3253" t="s">
        <v>845</v>
      </c>
      <c r="L282" s="3256">
        <v>89.32</v>
      </c>
      <c r="M282" s="3256">
        <v>60.93</v>
      </c>
      <c r="N282" s="3257" t="s">
        <v>229</v>
      </c>
      <c r="O282" s="3253">
        <v>12</v>
      </c>
      <c r="P282" s="3258" t="s">
        <v>996</v>
      </c>
      <c r="Q282" s="3254"/>
      <c r="R282" s="3254"/>
      <c r="S282" s="3259"/>
      <c r="T282" s="3261"/>
      <c r="U282" s="2228">
        <f t="shared" si="15"/>
        <v>0</v>
      </c>
      <c r="V282" s="3259"/>
      <c r="W282" s="3262"/>
      <c r="X282" s="2230">
        <f t="shared" si="16"/>
        <v>0</v>
      </c>
      <c r="Y282" s="3260"/>
      <c r="Z282" s="3258"/>
    </row>
    <row r="283" spans="5:26" s="1652" customFormat="1">
      <c r="E283" s="2266"/>
      <c r="H283" s="3253" t="s">
        <v>2447</v>
      </c>
      <c r="I283" s="3254">
        <v>375</v>
      </c>
      <c r="J283" s="2226" t="s">
        <v>110</v>
      </c>
      <c r="K283" s="3253" t="s">
        <v>845</v>
      </c>
      <c r="L283" s="3256">
        <v>89.32</v>
      </c>
      <c r="M283" s="3256">
        <v>62.53</v>
      </c>
      <c r="N283" s="3257">
        <v>3.6771807888386285E-3</v>
      </c>
      <c r="O283" s="3253">
        <v>12</v>
      </c>
      <c r="P283" s="3258" t="s">
        <v>996</v>
      </c>
      <c r="Q283" s="3254"/>
      <c r="R283" s="3254">
        <v>50</v>
      </c>
      <c r="S283" s="3259"/>
      <c r="T283" s="3261"/>
      <c r="U283" s="2228">
        <f t="shared" si="15"/>
        <v>18750</v>
      </c>
      <c r="V283" s="3259"/>
      <c r="W283" s="3262"/>
      <c r="X283" s="2230">
        <f t="shared" si="16"/>
        <v>3126.5</v>
      </c>
      <c r="Y283" s="3260"/>
      <c r="Z283" s="3258"/>
    </row>
    <row r="284" spans="5:26" s="1652" customFormat="1">
      <c r="E284" s="2266"/>
      <c r="H284" s="3253" t="s">
        <v>2448</v>
      </c>
      <c r="I284" s="3254">
        <v>305</v>
      </c>
      <c r="J284" s="2226" t="s">
        <v>110</v>
      </c>
      <c r="K284" s="3253" t="s">
        <v>845</v>
      </c>
      <c r="L284" s="3256">
        <v>89.32</v>
      </c>
      <c r="M284" s="3256">
        <v>60.93</v>
      </c>
      <c r="N284" s="3257" t="s">
        <v>229</v>
      </c>
      <c r="O284" s="3253">
        <v>12</v>
      </c>
      <c r="P284" s="3258" t="s">
        <v>996</v>
      </c>
      <c r="Q284" s="3254"/>
      <c r="R284" s="3254"/>
      <c r="S284" s="3259"/>
      <c r="T284" s="3261"/>
      <c r="U284" s="2228">
        <f t="shared" si="15"/>
        <v>0</v>
      </c>
      <c r="V284" s="3259"/>
      <c r="W284" s="3262"/>
      <c r="X284" s="2230">
        <f t="shared" si="16"/>
        <v>0</v>
      </c>
      <c r="Y284" s="3260"/>
      <c r="Z284" s="3258"/>
    </row>
    <row r="285" spans="5:26" s="1652" customFormat="1">
      <c r="E285" s="2266"/>
      <c r="H285" s="3253" t="s">
        <v>2449</v>
      </c>
      <c r="I285" s="3254">
        <v>784</v>
      </c>
      <c r="J285" s="2226" t="s">
        <v>110</v>
      </c>
      <c r="K285" s="3253" t="s">
        <v>845</v>
      </c>
      <c r="L285" s="3256">
        <v>96.19</v>
      </c>
      <c r="M285" s="3256">
        <v>67.34</v>
      </c>
      <c r="N285" s="3257">
        <v>7.6877593025319593E-3</v>
      </c>
      <c r="O285" s="3253">
        <v>12</v>
      </c>
      <c r="P285" s="3258" t="s">
        <v>996</v>
      </c>
      <c r="Q285" s="3254"/>
      <c r="R285" s="3254">
        <v>50</v>
      </c>
      <c r="S285" s="3259"/>
      <c r="T285" s="3261"/>
      <c r="U285" s="2228">
        <f t="shared" si="15"/>
        <v>39200</v>
      </c>
      <c r="V285" s="3259"/>
      <c r="W285" s="3262"/>
      <c r="X285" s="2230">
        <f t="shared" si="16"/>
        <v>3367</v>
      </c>
      <c r="Y285" s="3260"/>
      <c r="Z285" s="3258"/>
    </row>
    <row r="286" spans="5:26" s="1652" customFormat="1">
      <c r="E286" s="2266"/>
      <c r="H286" s="3253" t="s">
        <v>2450</v>
      </c>
      <c r="I286" s="3254">
        <v>146</v>
      </c>
      <c r="J286" s="2226" t="s">
        <v>110</v>
      </c>
      <c r="K286" s="3253" t="s">
        <v>845</v>
      </c>
      <c r="L286" s="3256">
        <v>89.32</v>
      </c>
      <c r="M286" s="3256">
        <v>60.93</v>
      </c>
      <c r="N286" s="3257" t="s">
        <v>229</v>
      </c>
      <c r="O286" s="3253">
        <v>12</v>
      </c>
      <c r="P286" s="3258" t="s">
        <v>996</v>
      </c>
      <c r="Q286" s="3254"/>
      <c r="R286" s="3254"/>
      <c r="S286" s="3259"/>
      <c r="T286" s="3261"/>
      <c r="U286" s="2228">
        <f t="shared" si="15"/>
        <v>0</v>
      </c>
      <c r="V286" s="3259"/>
      <c r="W286" s="3262"/>
      <c r="X286" s="2230">
        <f t="shared" si="16"/>
        <v>0</v>
      </c>
      <c r="Y286" s="3260"/>
      <c r="Z286" s="3258"/>
    </row>
    <row r="287" spans="5:26" s="1652" customFormat="1">
      <c r="E287" s="2266"/>
      <c r="H287" s="3253" t="s">
        <v>2451</v>
      </c>
      <c r="I287" s="3254">
        <v>375</v>
      </c>
      <c r="J287" s="2226" t="s">
        <v>110</v>
      </c>
      <c r="K287" s="3253" t="s">
        <v>845</v>
      </c>
      <c r="L287" s="3256">
        <v>89.32</v>
      </c>
      <c r="M287" s="3256">
        <v>62.53</v>
      </c>
      <c r="N287" s="3257">
        <v>3.6771807888386285E-3</v>
      </c>
      <c r="O287" s="3253">
        <v>12</v>
      </c>
      <c r="P287" s="3258" t="s">
        <v>996</v>
      </c>
      <c r="Q287" s="3254"/>
      <c r="R287" s="3254">
        <v>50</v>
      </c>
      <c r="S287" s="3259"/>
      <c r="T287" s="3261"/>
      <c r="U287" s="2228">
        <f t="shared" si="15"/>
        <v>18750</v>
      </c>
      <c r="V287" s="3259"/>
      <c r="W287" s="3262"/>
      <c r="X287" s="2230">
        <f t="shared" si="16"/>
        <v>3126.5</v>
      </c>
      <c r="Y287" s="3260"/>
      <c r="Z287" s="3258"/>
    </row>
    <row r="288" spans="5:26" s="1652" customFormat="1">
      <c r="E288" s="2266"/>
      <c r="H288" s="3253" t="s">
        <v>2452</v>
      </c>
      <c r="I288" s="3254">
        <v>186</v>
      </c>
      <c r="J288" s="2226" t="s">
        <v>110</v>
      </c>
      <c r="K288" s="3253" t="s">
        <v>845</v>
      </c>
      <c r="L288" s="3256">
        <v>89.32</v>
      </c>
      <c r="M288" s="3256">
        <v>60.93</v>
      </c>
      <c r="N288" s="3257" t="s">
        <v>229</v>
      </c>
      <c r="O288" s="3253">
        <v>12</v>
      </c>
      <c r="P288" s="3258" t="s">
        <v>996</v>
      </c>
      <c r="Q288" s="3254"/>
      <c r="R288" s="3254"/>
      <c r="S288" s="3259"/>
      <c r="T288" s="3261"/>
      <c r="U288" s="2228">
        <f t="shared" si="15"/>
        <v>0</v>
      </c>
      <c r="V288" s="3259"/>
      <c r="W288" s="3262"/>
      <c r="X288" s="2230">
        <f t="shared" si="16"/>
        <v>0</v>
      </c>
      <c r="Y288" s="3260"/>
      <c r="Z288" s="3258"/>
    </row>
    <row r="289" spans="5:26" s="1652" customFormat="1">
      <c r="E289" s="2266"/>
      <c r="H289" s="3253" t="s">
        <v>2453</v>
      </c>
      <c r="I289" s="3254">
        <v>784</v>
      </c>
      <c r="J289" s="2226" t="s">
        <v>110</v>
      </c>
      <c r="K289" s="3253" t="s">
        <v>845</v>
      </c>
      <c r="L289" s="3256">
        <v>89.32</v>
      </c>
      <c r="M289" s="3256">
        <v>62.53</v>
      </c>
      <c r="N289" s="3257">
        <v>7.6877593025319593E-3</v>
      </c>
      <c r="O289" s="3253">
        <v>12</v>
      </c>
      <c r="P289" s="3258" t="s">
        <v>996</v>
      </c>
      <c r="Q289" s="3254"/>
      <c r="R289" s="3254">
        <v>50</v>
      </c>
      <c r="S289" s="3259"/>
      <c r="T289" s="3261"/>
      <c r="U289" s="2228">
        <f t="shared" si="15"/>
        <v>39200</v>
      </c>
      <c r="V289" s="3259"/>
      <c r="W289" s="3262"/>
      <c r="X289" s="2230">
        <f t="shared" si="16"/>
        <v>3126.5</v>
      </c>
      <c r="Y289" s="3260"/>
      <c r="Z289" s="3258"/>
    </row>
    <row r="290" spans="5:26" s="1652" customFormat="1">
      <c r="E290" s="2266"/>
      <c r="H290" s="3253" t="s">
        <v>2454</v>
      </c>
      <c r="I290" s="3254">
        <v>153.30000000000001</v>
      </c>
      <c r="J290" s="2226" t="s">
        <v>110</v>
      </c>
      <c r="K290" s="3253" t="s">
        <v>845</v>
      </c>
      <c r="L290" s="3256">
        <v>60</v>
      </c>
      <c r="M290" s="3256">
        <v>60</v>
      </c>
      <c r="N290" s="3257">
        <v>9.0193890388633891E-3</v>
      </c>
      <c r="O290" s="3253">
        <v>9</v>
      </c>
      <c r="P290" s="3258" t="s">
        <v>996</v>
      </c>
      <c r="Q290" s="3254"/>
      <c r="R290" s="3254">
        <v>300</v>
      </c>
      <c r="S290" s="3259"/>
      <c r="T290" s="3261"/>
      <c r="U290" s="2228">
        <f t="shared" si="15"/>
        <v>45990</v>
      </c>
      <c r="V290" s="3259"/>
      <c r="W290" s="3262"/>
      <c r="X290" s="2230">
        <f t="shared" si="16"/>
        <v>18000</v>
      </c>
      <c r="Y290" s="3260"/>
      <c r="Z290" s="3258"/>
    </row>
    <row r="291" spans="5:26" s="1652" customFormat="1">
      <c r="E291" s="2266"/>
      <c r="H291" s="3253" t="s">
        <v>2455</v>
      </c>
      <c r="I291" s="3254">
        <v>338</v>
      </c>
      <c r="J291" s="2226" t="s">
        <v>110</v>
      </c>
      <c r="K291" s="3253" t="s">
        <v>845</v>
      </c>
      <c r="L291" s="3256">
        <v>130.65</v>
      </c>
      <c r="M291" s="3256">
        <v>130.65</v>
      </c>
      <c r="N291" s="3257">
        <v>6.6287312353464347E-3</v>
      </c>
      <c r="O291" s="3253">
        <v>16</v>
      </c>
      <c r="P291" s="3258" t="s">
        <v>996</v>
      </c>
      <c r="Q291" s="3254"/>
      <c r="R291" s="3254">
        <v>100</v>
      </c>
      <c r="S291" s="3259"/>
      <c r="T291" s="3261"/>
      <c r="U291" s="2228">
        <f t="shared" si="15"/>
        <v>33800</v>
      </c>
      <c r="V291" s="3259"/>
      <c r="W291" s="3262"/>
      <c r="X291" s="2230">
        <f t="shared" si="16"/>
        <v>13065</v>
      </c>
      <c r="Y291" s="3260"/>
      <c r="Z291" s="3258"/>
    </row>
    <row r="292" spans="5:26" s="1652" customFormat="1">
      <c r="E292" s="2266"/>
      <c r="H292" s="3253" t="s">
        <v>2456</v>
      </c>
      <c r="I292" s="3254">
        <v>120</v>
      </c>
      <c r="J292" s="2226" t="s">
        <v>110</v>
      </c>
      <c r="K292" s="3253" t="s">
        <v>845</v>
      </c>
      <c r="L292" s="3256">
        <v>68</v>
      </c>
      <c r="M292" s="3256">
        <v>68</v>
      </c>
      <c r="N292" s="3257">
        <v>3.5300935572850833E-4</v>
      </c>
      <c r="O292" s="3253">
        <v>10</v>
      </c>
      <c r="P292" s="3258" t="s">
        <v>996</v>
      </c>
      <c r="Q292" s="3254"/>
      <c r="R292" s="3254">
        <v>15</v>
      </c>
      <c r="S292" s="3259"/>
      <c r="T292" s="3261"/>
      <c r="U292" s="2228">
        <f t="shared" si="15"/>
        <v>1800</v>
      </c>
      <c r="V292" s="3259"/>
      <c r="W292" s="3262"/>
      <c r="X292" s="2230">
        <f t="shared" si="16"/>
        <v>1020</v>
      </c>
      <c r="Y292" s="3260"/>
      <c r="Z292" s="3258"/>
    </row>
    <row r="293" spans="5:26" s="1652" customFormat="1">
      <c r="E293" s="2266"/>
      <c r="H293" s="3253" t="s">
        <v>2457</v>
      </c>
      <c r="I293" s="3254">
        <v>167</v>
      </c>
      <c r="J293" s="2226" t="s">
        <v>110</v>
      </c>
      <c r="K293" s="3253" t="s">
        <v>845</v>
      </c>
      <c r="L293" s="3256">
        <v>68</v>
      </c>
      <c r="M293" s="3256">
        <v>68</v>
      </c>
      <c r="N293" s="3257">
        <v>4.9127135338884081E-4</v>
      </c>
      <c r="O293" s="3253">
        <v>10</v>
      </c>
      <c r="P293" s="3258" t="s">
        <v>996</v>
      </c>
      <c r="Q293" s="3254"/>
      <c r="R293" s="3254">
        <v>15</v>
      </c>
      <c r="S293" s="3259"/>
      <c r="T293" s="3261"/>
      <c r="U293" s="2228">
        <f t="shared" si="15"/>
        <v>2505</v>
      </c>
      <c r="V293" s="3259"/>
      <c r="W293" s="3262"/>
      <c r="X293" s="2230">
        <f t="shared" si="16"/>
        <v>1020</v>
      </c>
      <c r="Y293" s="3260"/>
      <c r="Z293" s="3258"/>
    </row>
    <row r="294" spans="5:26" s="1652" customFormat="1">
      <c r="E294" s="2266"/>
      <c r="H294" s="3253" t="s">
        <v>2458</v>
      </c>
      <c r="I294" s="3254">
        <v>311</v>
      </c>
      <c r="J294" s="2226" t="s">
        <v>110</v>
      </c>
      <c r="K294" s="3253" t="s">
        <v>845</v>
      </c>
      <c r="L294" s="3256">
        <v>68</v>
      </c>
      <c r="M294" s="3256">
        <v>68</v>
      </c>
      <c r="N294" s="3257">
        <v>9.1488258026305082E-4</v>
      </c>
      <c r="O294" s="3253">
        <v>10</v>
      </c>
      <c r="P294" s="3258" t="s">
        <v>996</v>
      </c>
      <c r="Q294" s="3254"/>
      <c r="R294" s="3254">
        <v>15</v>
      </c>
      <c r="S294" s="3259"/>
      <c r="T294" s="3261"/>
      <c r="U294" s="2228">
        <f t="shared" si="15"/>
        <v>4665</v>
      </c>
      <c r="V294" s="3259"/>
      <c r="W294" s="3262"/>
      <c r="X294" s="2230">
        <f t="shared" si="16"/>
        <v>1020</v>
      </c>
      <c r="Y294" s="3260"/>
      <c r="Z294" s="3258"/>
    </row>
    <row r="295" spans="5:26" s="1652" customFormat="1">
      <c r="E295" s="2266"/>
      <c r="H295" s="3253" t="s">
        <v>2459</v>
      </c>
      <c r="I295" s="3254">
        <v>48</v>
      </c>
      <c r="J295" s="2226" t="s">
        <v>110</v>
      </c>
      <c r="K295" s="3253" t="s">
        <v>845</v>
      </c>
      <c r="L295" s="3256">
        <v>68</v>
      </c>
      <c r="M295" s="3256">
        <v>68</v>
      </c>
      <c r="N295" s="3257">
        <v>1.4120374229140335E-4</v>
      </c>
      <c r="O295" s="3253">
        <v>10</v>
      </c>
      <c r="P295" s="3258" t="s">
        <v>996</v>
      </c>
      <c r="Q295" s="3254"/>
      <c r="R295" s="3254">
        <v>15</v>
      </c>
      <c r="S295" s="3259"/>
      <c r="T295" s="3261"/>
      <c r="U295" s="2228">
        <f t="shared" si="15"/>
        <v>720</v>
      </c>
      <c r="V295" s="3259"/>
      <c r="W295" s="3262"/>
      <c r="X295" s="2230">
        <f t="shared" si="16"/>
        <v>1020</v>
      </c>
      <c r="Y295" s="3260"/>
      <c r="Z295" s="3258"/>
    </row>
    <row r="296" spans="5:26" s="1652" customFormat="1">
      <c r="E296" s="2266"/>
      <c r="H296" s="3253" t="s">
        <v>2460</v>
      </c>
      <c r="I296" s="3254">
        <v>478</v>
      </c>
      <c r="J296" s="2226" t="s">
        <v>110</v>
      </c>
      <c r="K296" s="3253" t="s">
        <v>845</v>
      </c>
      <c r="L296" s="3256">
        <v>68</v>
      </c>
      <c r="M296" s="3256">
        <v>68</v>
      </c>
      <c r="N296" s="3257">
        <v>1.4061539336518915E-3</v>
      </c>
      <c r="O296" s="3253">
        <v>10</v>
      </c>
      <c r="P296" s="3258" t="s">
        <v>996</v>
      </c>
      <c r="Q296" s="3254"/>
      <c r="R296" s="3254">
        <v>15</v>
      </c>
      <c r="S296" s="3259"/>
      <c r="T296" s="3261"/>
      <c r="U296" s="2228">
        <f t="shared" si="15"/>
        <v>7170</v>
      </c>
      <c r="V296" s="3259"/>
      <c r="W296" s="3262"/>
      <c r="X296" s="2230">
        <f t="shared" si="16"/>
        <v>1020</v>
      </c>
      <c r="Y296" s="3260"/>
      <c r="Z296" s="3258"/>
    </row>
    <row r="297" spans="5:26" s="1652" customFormat="1">
      <c r="E297" s="2266"/>
      <c r="H297" s="3253" t="s">
        <v>2461</v>
      </c>
      <c r="I297" s="3254">
        <v>301</v>
      </c>
      <c r="J297" s="2226" t="s">
        <v>110</v>
      </c>
      <c r="K297" s="3253" t="s">
        <v>845</v>
      </c>
      <c r="L297" s="3256">
        <v>58.548000000000002</v>
      </c>
      <c r="M297" s="3256">
        <v>58.55</v>
      </c>
      <c r="N297" s="3257">
        <v>8.8546513395234173E-4</v>
      </c>
      <c r="O297" s="3253">
        <v>11</v>
      </c>
      <c r="P297" s="3258" t="s">
        <v>996</v>
      </c>
      <c r="Q297" s="3254"/>
      <c r="R297" s="3254">
        <v>15</v>
      </c>
      <c r="S297" s="3259"/>
      <c r="T297" s="3261"/>
      <c r="U297" s="2228">
        <f t="shared" si="15"/>
        <v>4515</v>
      </c>
      <c r="V297" s="3259"/>
      <c r="W297" s="3262"/>
      <c r="X297" s="2230">
        <f t="shared" si="16"/>
        <v>878.25</v>
      </c>
      <c r="Y297" s="3260"/>
      <c r="Z297" s="3258"/>
    </row>
    <row r="298" spans="5:26" s="1652" customFormat="1">
      <c r="E298" s="2266"/>
      <c r="H298" s="3253" t="s">
        <v>2462</v>
      </c>
      <c r="I298" s="3254">
        <v>179</v>
      </c>
      <c r="J298" s="2226" t="s">
        <v>110</v>
      </c>
      <c r="K298" s="3253" t="s">
        <v>845</v>
      </c>
      <c r="L298" s="3256">
        <v>41.82</v>
      </c>
      <c r="M298" s="3256">
        <v>41.82</v>
      </c>
      <c r="N298" s="3257" t="s">
        <v>229</v>
      </c>
      <c r="O298" s="3253">
        <v>11</v>
      </c>
      <c r="P298" s="3258" t="s">
        <v>996</v>
      </c>
      <c r="Q298" s="3254"/>
      <c r="R298" s="3254"/>
      <c r="S298" s="3259"/>
      <c r="T298" s="3261"/>
      <c r="U298" s="2228">
        <f t="shared" si="15"/>
        <v>0</v>
      </c>
      <c r="V298" s="3259"/>
      <c r="W298" s="3262"/>
      <c r="X298" s="2230">
        <f t="shared" si="16"/>
        <v>0</v>
      </c>
      <c r="Y298" s="3260"/>
      <c r="Z298" s="3258"/>
    </row>
    <row r="299" spans="5:26" s="1652" customFormat="1">
      <c r="E299" s="2266"/>
      <c r="H299" s="3253" t="s">
        <v>2463</v>
      </c>
      <c r="I299" s="3254">
        <v>376</v>
      </c>
      <c r="J299" s="2226" t="s">
        <v>110</v>
      </c>
      <c r="K299" s="3253" t="s">
        <v>845</v>
      </c>
      <c r="L299" s="3256">
        <v>58.548000000000002</v>
      </c>
      <c r="M299" s="3256">
        <v>58.55</v>
      </c>
      <c r="N299" s="3257" t="s">
        <v>229</v>
      </c>
      <c r="O299" s="3253">
        <v>11</v>
      </c>
      <c r="P299" s="3258" t="s">
        <v>996</v>
      </c>
      <c r="Q299" s="3254"/>
      <c r="R299" s="3254"/>
      <c r="S299" s="3259"/>
      <c r="T299" s="3261"/>
      <c r="U299" s="2228">
        <f t="shared" si="15"/>
        <v>0</v>
      </c>
      <c r="V299" s="3259"/>
      <c r="W299" s="3262"/>
      <c r="X299" s="2230">
        <f t="shared" si="16"/>
        <v>0</v>
      </c>
      <c r="Y299" s="3260"/>
      <c r="Z299" s="3258"/>
    </row>
    <row r="300" spans="5:26" s="1652" customFormat="1">
      <c r="E300" s="2266"/>
      <c r="H300" s="3253" t="s">
        <v>2464</v>
      </c>
      <c r="I300" s="3254">
        <v>223</v>
      </c>
      <c r="J300" s="2226" t="s">
        <v>110</v>
      </c>
      <c r="K300" s="3253" t="s">
        <v>845</v>
      </c>
      <c r="L300" s="3256">
        <v>41.82</v>
      </c>
      <c r="M300" s="3256">
        <v>41.82</v>
      </c>
      <c r="N300" s="3257" t="s">
        <v>229</v>
      </c>
      <c r="O300" s="3253">
        <v>11</v>
      </c>
      <c r="P300" s="3258" t="s">
        <v>996</v>
      </c>
      <c r="Q300" s="3254"/>
      <c r="R300" s="3254"/>
      <c r="S300" s="3259"/>
      <c r="T300" s="3261"/>
      <c r="U300" s="2228">
        <f t="shared" si="15"/>
        <v>0</v>
      </c>
      <c r="V300" s="3259"/>
      <c r="W300" s="3262"/>
      <c r="X300" s="2230">
        <f t="shared" si="16"/>
        <v>0</v>
      </c>
      <c r="Y300" s="3260"/>
      <c r="Z300" s="3258"/>
    </row>
    <row r="301" spans="5:26" s="1652" customFormat="1">
      <c r="E301" s="2266"/>
      <c r="H301" s="3253" t="s">
        <v>2465</v>
      </c>
      <c r="I301" s="3254">
        <v>451</v>
      </c>
      <c r="J301" s="2226" t="s">
        <v>110</v>
      </c>
      <c r="K301" s="3253" t="s">
        <v>845</v>
      </c>
      <c r="L301" s="3256">
        <v>78.147999999999996</v>
      </c>
      <c r="M301" s="3256">
        <v>78.150000000000006</v>
      </c>
      <c r="N301" s="3257" t="s">
        <v>229</v>
      </c>
      <c r="O301" s="3253">
        <v>11</v>
      </c>
      <c r="P301" s="3258" t="s">
        <v>996</v>
      </c>
      <c r="Q301" s="3254"/>
      <c r="R301" s="3254"/>
      <c r="S301" s="3259"/>
      <c r="T301" s="3261"/>
      <c r="U301" s="2228">
        <f t="shared" si="15"/>
        <v>0</v>
      </c>
      <c r="V301" s="3259"/>
      <c r="W301" s="3262"/>
      <c r="X301" s="2230">
        <f t="shared" si="16"/>
        <v>0</v>
      </c>
      <c r="Y301" s="3260"/>
      <c r="Z301" s="3258"/>
    </row>
    <row r="302" spans="5:26" s="1652" customFormat="1">
      <c r="E302" s="2266"/>
      <c r="H302" s="3253" t="s">
        <v>2466</v>
      </c>
      <c r="I302" s="3254">
        <v>268</v>
      </c>
      <c r="J302" s="2226" t="s">
        <v>110</v>
      </c>
      <c r="K302" s="3253" t="s">
        <v>845</v>
      </c>
      <c r="L302" s="3256">
        <v>55.82</v>
      </c>
      <c r="M302" s="3256">
        <v>55.82</v>
      </c>
      <c r="N302" s="3257" t="s">
        <v>229</v>
      </c>
      <c r="O302" s="3253">
        <v>11</v>
      </c>
      <c r="P302" s="3258" t="s">
        <v>996</v>
      </c>
      <c r="Q302" s="3254"/>
      <c r="R302" s="3254"/>
      <c r="S302" s="3259"/>
      <c r="T302" s="3261"/>
      <c r="U302" s="2228">
        <f t="shared" si="15"/>
        <v>0</v>
      </c>
      <c r="V302" s="3259"/>
      <c r="W302" s="3262"/>
      <c r="X302" s="2230">
        <f t="shared" si="16"/>
        <v>0</v>
      </c>
      <c r="Y302" s="3260"/>
      <c r="Z302" s="3258"/>
    </row>
    <row r="303" spans="5:26" s="1652" customFormat="1">
      <c r="E303" s="2266"/>
      <c r="H303" s="3253" t="s">
        <v>2467</v>
      </c>
      <c r="I303" s="3254">
        <v>170</v>
      </c>
      <c r="J303" s="2226" t="s">
        <v>110</v>
      </c>
      <c r="K303" s="3253" t="s">
        <v>845</v>
      </c>
      <c r="L303" s="3256">
        <v>58.548000000000002</v>
      </c>
      <c r="M303" s="3256">
        <v>58.55</v>
      </c>
      <c r="N303" s="3257" t="s">
        <v>229</v>
      </c>
      <c r="O303" s="3253">
        <v>11</v>
      </c>
      <c r="P303" s="3258" t="s">
        <v>996</v>
      </c>
      <c r="Q303" s="3254"/>
      <c r="R303" s="3254"/>
      <c r="S303" s="3259"/>
      <c r="T303" s="3261"/>
      <c r="U303" s="2228">
        <f t="shared" si="15"/>
        <v>0</v>
      </c>
      <c r="V303" s="3259"/>
      <c r="W303" s="3262"/>
      <c r="X303" s="2230">
        <f t="shared" si="16"/>
        <v>0</v>
      </c>
      <c r="Y303" s="3260"/>
      <c r="Z303" s="3258"/>
    </row>
    <row r="304" spans="5:26" s="1652" customFormat="1">
      <c r="E304" s="2266"/>
      <c r="H304" s="3253" t="s">
        <v>2468</v>
      </c>
      <c r="I304" s="3254">
        <v>98</v>
      </c>
      <c r="J304" s="2226" t="s">
        <v>110</v>
      </c>
      <c r="K304" s="3253" t="s">
        <v>845</v>
      </c>
      <c r="L304" s="3256">
        <v>41.82</v>
      </c>
      <c r="M304" s="3256">
        <v>41.82</v>
      </c>
      <c r="N304" s="3257" t="s">
        <v>229</v>
      </c>
      <c r="O304" s="3253">
        <v>11</v>
      </c>
      <c r="P304" s="3258" t="s">
        <v>996</v>
      </c>
      <c r="Q304" s="3254"/>
      <c r="R304" s="3254"/>
      <c r="S304" s="3259"/>
      <c r="T304" s="3261"/>
      <c r="U304" s="2228">
        <f t="shared" si="15"/>
        <v>0</v>
      </c>
      <c r="V304" s="3259"/>
      <c r="W304" s="3262"/>
      <c r="X304" s="2230">
        <f t="shared" si="16"/>
        <v>0</v>
      </c>
      <c r="Y304" s="3260"/>
      <c r="Z304" s="3258"/>
    </row>
    <row r="305" spans="5:26" s="1652" customFormat="1">
      <c r="E305" s="2266"/>
      <c r="H305" s="3253" t="s">
        <v>2469</v>
      </c>
      <c r="I305" s="3254">
        <v>212</v>
      </c>
      <c r="J305" s="2226" t="s">
        <v>110</v>
      </c>
      <c r="K305" s="3253" t="s">
        <v>845</v>
      </c>
      <c r="L305" s="3256">
        <v>58.548000000000002</v>
      </c>
      <c r="M305" s="3256">
        <v>58.55</v>
      </c>
      <c r="N305" s="3257" t="s">
        <v>229</v>
      </c>
      <c r="O305" s="3253">
        <v>11</v>
      </c>
      <c r="P305" s="3258" t="s">
        <v>996</v>
      </c>
      <c r="Q305" s="3254"/>
      <c r="R305" s="3254"/>
      <c r="S305" s="3259"/>
      <c r="T305" s="3261"/>
      <c r="U305" s="2228">
        <f t="shared" si="15"/>
        <v>0</v>
      </c>
      <c r="V305" s="3259"/>
      <c r="W305" s="3262"/>
      <c r="X305" s="2230">
        <f t="shared" si="16"/>
        <v>0</v>
      </c>
      <c r="Y305" s="3260"/>
      <c r="Z305" s="3258"/>
    </row>
    <row r="306" spans="5:26" s="1652" customFormat="1">
      <c r="E306" s="2266"/>
      <c r="H306" s="3253" t="s">
        <v>2470</v>
      </c>
      <c r="I306" s="3254">
        <v>122</v>
      </c>
      <c r="J306" s="2226" t="s">
        <v>110</v>
      </c>
      <c r="K306" s="3253" t="s">
        <v>845</v>
      </c>
      <c r="L306" s="3256">
        <v>41.82</v>
      </c>
      <c r="M306" s="3256">
        <v>41.82</v>
      </c>
      <c r="N306" s="3257" t="s">
        <v>229</v>
      </c>
      <c r="O306" s="3253">
        <v>11</v>
      </c>
      <c r="P306" s="3258" t="s">
        <v>996</v>
      </c>
      <c r="Q306" s="3254"/>
      <c r="R306" s="3254"/>
      <c r="S306" s="3259"/>
      <c r="T306" s="3261"/>
      <c r="U306" s="2228">
        <f t="shared" si="15"/>
        <v>0</v>
      </c>
      <c r="V306" s="3259"/>
      <c r="W306" s="3262"/>
      <c r="X306" s="2230">
        <f t="shared" si="16"/>
        <v>0</v>
      </c>
      <c r="Y306" s="3260"/>
      <c r="Z306" s="3258"/>
    </row>
    <row r="307" spans="5:26" s="1652" customFormat="1">
      <c r="E307" s="2266"/>
      <c r="H307" s="3253" t="s">
        <v>2471</v>
      </c>
      <c r="I307" s="3254">
        <v>255</v>
      </c>
      <c r="J307" s="2226" t="s">
        <v>110</v>
      </c>
      <c r="K307" s="3253" t="s">
        <v>845</v>
      </c>
      <c r="L307" s="3256">
        <v>78.147999999999996</v>
      </c>
      <c r="M307" s="3256">
        <v>78.150000000000006</v>
      </c>
      <c r="N307" s="3257" t="s">
        <v>229</v>
      </c>
      <c r="O307" s="3253">
        <v>11</v>
      </c>
      <c r="P307" s="3258" t="s">
        <v>996</v>
      </c>
      <c r="Q307" s="3254"/>
      <c r="R307" s="3254"/>
      <c r="S307" s="3259"/>
      <c r="T307" s="3261"/>
      <c r="U307" s="2228">
        <f t="shared" si="15"/>
        <v>0</v>
      </c>
      <c r="V307" s="3259"/>
      <c r="W307" s="3262"/>
      <c r="X307" s="2230">
        <f t="shared" si="16"/>
        <v>0</v>
      </c>
      <c r="Y307" s="3260"/>
      <c r="Z307" s="3258"/>
    </row>
    <row r="308" spans="5:26" s="1652" customFormat="1">
      <c r="E308" s="2266"/>
      <c r="H308" s="3253" t="s">
        <v>2472</v>
      </c>
      <c r="I308" s="3254">
        <v>147</v>
      </c>
      <c r="J308" s="2226" t="s">
        <v>110</v>
      </c>
      <c r="K308" s="3253" t="s">
        <v>845</v>
      </c>
      <c r="L308" s="3256">
        <v>55.82</v>
      </c>
      <c r="M308" s="3256">
        <v>55.82</v>
      </c>
      <c r="N308" s="3257" t="s">
        <v>229</v>
      </c>
      <c r="O308" s="3253">
        <v>11</v>
      </c>
      <c r="P308" s="3258" t="s">
        <v>996</v>
      </c>
      <c r="Q308" s="3254"/>
      <c r="R308" s="3254"/>
      <c r="S308" s="3259"/>
      <c r="T308" s="3261"/>
      <c r="U308" s="2228">
        <f t="shared" si="15"/>
        <v>0</v>
      </c>
      <c r="V308" s="3259"/>
      <c r="W308" s="3262"/>
      <c r="X308" s="2230">
        <f t="shared" si="16"/>
        <v>0</v>
      </c>
      <c r="Y308" s="3260"/>
      <c r="Z308" s="3258"/>
    </row>
    <row r="309" spans="5:26" s="1652" customFormat="1">
      <c r="E309" s="2266"/>
      <c r="H309" s="3253" t="s">
        <v>2473</v>
      </c>
      <c r="I309" s="3254">
        <v>226</v>
      </c>
      <c r="J309" s="2226" t="s">
        <v>110</v>
      </c>
      <c r="K309" s="3253" t="s">
        <v>845</v>
      </c>
      <c r="L309" s="3256">
        <v>58.548000000000002</v>
      </c>
      <c r="M309" s="3256">
        <v>58.55</v>
      </c>
      <c r="N309" s="3257" t="s">
        <v>229</v>
      </c>
      <c r="O309" s="3253">
        <v>11</v>
      </c>
      <c r="P309" s="3258" t="s">
        <v>996</v>
      </c>
      <c r="Q309" s="3254"/>
      <c r="R309" s="3254"/>
      <c r="S309" s="3259"/>
      <c r="T309" s="3261"/>
      <c r="U309" s="2228">
        <f t="shared" si="15"/>
        <v>0</v>
      </c>
      <c r="V309" s="3259"/>
      <c r="W309" s="3262"/>
      <c r="X309" s="2230">
        <f t="shared" si="16"/>
        <v>0</v>
      </c>
      <c r="Y309" s="3260"/>
      <c r="Z309" s="3258"/>
    </row>
    <row r="310" spans="5:26" s="1652" customFormat="1">
      <c r="E310" s="2266"/>
      <c r="H310" s="3253" t="s">
        <v>2474</v>
      </c>
      <c r="I310" s="3254">
        <v>282</v>
      </c>
      <c r="J310" s="2226" t="s">
        <v>110</v>
      </c>
      <c r="K310" s="3253" t="s">
        <v>845</v>
      </c>
      <c r="L310" s="3256">
        <v>58.548000000000002</v>
      </c>
      <c r="M310" s="3256">
        <v>58.55</v>
      </c>
      <c r="N310" s="3257" t="s">
        <v>229</v>
      </c>
      <c r="O310" s="3253">
        <v>11</v>
      </c>
      <c r="P310" s="3258" t="s">
        <v>996</v>
      </c>
      <c r="Q310" s="3254"/>
      <c r="R310" s="3254"/>
      <c r="S310" s="3259"/>
      <c r="T310" s="3261"/>
      <c r="U310" s="2228">
        <f t="shared" si="15"/>
        <v>0</v>
      </c>
      <c r="V310" s="3259"/>
      <c r="W310" s="3262"/>
      <c r="X310" s="2230">
        <f t="shared" si="16"/>
        <v>0</v>
      </c>
      <c r="Y310" s="3260"/>
      <c r="Z310" s="3258"/>
    </row>
    <row r="311" spans="5:26" s="1652" customFormat="1">
      <c r="E311" s="2266"/>
      <c r="H311" s="3253" t="s">
        <v>2475</v>
      </c>
      <c r="I311" s="3254">
        <v>339</v>
      </c>
      <c r="J311" s="2226" t="s">
        <v>110</v>
      </c>
      <c r="K311" s="3253" t="s">
        <v>845</v>
      </c>
      <c r="L311" s="3256">
        <v>78.147999999999996</v>
      </c>
      <c r="M311" s="3256">
        <v>78.150000000000006</v>
      </c>
      <c r="N311" s="3257" t="s">
        <v>229</v>
      </c>
      <c r="O311" s="3253">
        <v>11</v>
      </c>
      <c r="P311" s="3258" t="s">
        <v>996</v>
      </c>
      <c r="Q311" s="3254"/>
      <c r="R311" s="3254"/>
      <c r="S311" s="3259"/>
      <c r="T311" s="3261"/>
      <c r="U311" s="2228">
        <f t="shared" si="15"/>
        <v>0</v>
      </c>
      <c r="V311" s="3259"/>
      <c r="W311" s="3262"/>
      <c r="X311" s="2230">
        <f t="shared" si="16"/>
        <v>0</v>
      </c>
      <c r="Y311" s="3260"/>
      <c r="Z311" s="3258"/>
    </row>
    <row r="312" spans="5:26" s="1652" customFormat="1">
      <c r="E312" s="2266"/>
      <c r="H312" s="3253" t="s">
        <v>2476</v>
      </c>
      <c r="I312" s="3254">
        <v>165</v>
      </c>
      <c r="J312" s="2226" t="s">
        <v>110</v>
      </c>
      <c r="K312" s="3253" t="s">
        <v>845</v>
      </c>
      <c r="L312" s="3256">
        <v>41.82</v>
      </c>
      <c r="M312" s="3256">
        <v>41.82</v>
      </c>
      <c r="N312" s="3257" t="s">
        <v>229</v>
      </c>
      <c r="O312" s="3253">
        <v>11</v>
      </c>
      <c r="P312" s="3258" t="s">
        <v>996</v>
      </c>
      <c r="Q312" s="3254"/>
      <c r="R312" s="3254"/>
      <c r="S312" s="3259"/>
      <c r="T312" s="3261"/>
      <c r="U312" s="2228">
        <f t="shared" si="15"/>
        <v>0</v>
      </c>
      <c r="V312" s="3259"/>
      <c r="W312" s="3262"/>
      <c r="X312" s="2230">
        <f t="shared" si="16"/>
        <v>0</v>
      </c>
      <c r="Y312" s="3260"/>
      <c r="Z312" s="3258"/>
    </row>
    <row r="313" spans="5:26" s="1652" customFormat="1">
      <c r="E313" s="2266"/>
      <c r="H313" s="3253" t="s">
        <v>2477</v>
      </c>
      <c r="I313" s="3254">
        <v>206</v>
      </c>
      <c r="J313" s="2226" t="s">
        <v>110</v>
      </c>
      <c r="K313" s="3253" t="s">
        <v>845</v>
      </c>
      <c r="L313" s="3256">
        <v>41.82</v>
      </c>
      <c r="M313" s="3256">
        <v>41.82</v>
      </c>
      <c r="N313" s="3257" t="s">
        <v>229</v>
      </c>
      <c r="O313" s="3253">
        <v>11</v>
      </c>
      <c r="P313" s="3258" t="s">
        <v>996</v>
      </c>
      <c r="Q313" s="3254"/>
      <c r="R313" s="3254"/>
      <c r="S313" s="3259"/>
      <c r="T313" s="3261"/>
      <c r="U313" s="2228">
        <f t="shared" si="15"/>
        <v>0</v>
      </c>
      <c r="V313" s="3259"/>
      <c r="W313" s="3262"/>
      <c r="X313" s="2230">
        <f t="shared" si="16"/>
        <v>0</v>
      </c>
      <c r="Y313" s="3260"/>
      <c r="Z313" s="3258"/>
    </row>
    <row r="314" spans="5:26" s="1652" customFormat="1">
      <c r="E314" s="2266"/>
      <c r="H314" s="3253" t="s">
        <v>2478</v>
      </c>
      <c r="I314" s="3254">
        <v>247</v>
      </c>
      <c r="J314" s="2226" t="s">
        <v>110</v>
      </c>
      <c r="K314" s="3253" t="s">
        <v>845</v>
      </c>
      <c r="L314" s="3256">
        <v>55.82</v>
      </c>
      <c r="M314" s="3256">
        <v>55.82</v>
      </c>
      <c r="N314" s="3257" t="s">
        <v>229</v>
      </c>
      <c r="O314" s="3253">
        <v>11</v>
      </c>
      <c r="P314" s="3258" t="s">
        <v>996</v>
      </c>
      <c r="Q314" s="3254"/>
      <c r="R314" s="3254"/>
      <c r="S314" s="3259"/>
      <c r="T314" s="3261"/>
      <c r="U314" s="2228">
        <f t="shared" si="15"/>
        <v>0</v>
      </c>
      <c r="V314" s="3259"/>
      <c r="W314" s="3262"/>
      <c r="X314" s="2230">
        <f t="shared" si="16"/>
        <v>0</v>
      </c>
      <c r="Y314" s="3260"/>
      <c r="Z314" s="3258"/>
    </row>
    <row r="315" spans="5:26" s="1652" customFormat="1">
      <c r="E315" s="2266"/>
      <c r="H315" s="3253" t="s">
        <v>2479</v>
      </c>
      <c r="I315" s="3254">
        <v>118</v>
      </c>
      <c r="J315" s="2226" t="s">
        <v>110</v>
      </c>
      <c r="K315" s="3253" t="s">
        <v>845</v>
      </c>
      <c r="L315" s="3256">
        <v>40</v>
      </c>
      <c r="M315" s="3256">
        <v>40</v>
      </c>
      <c r="N315" s="3257">
        <v>2.3141724431091104E-3</v>
      </c>
      <c r="O315" s="3253">
        <v>4</v>
      </c>
      <c r="P315" s="3258" t="s">
        <v>996</v>
      </c>
      <c r="Q315" s="3254"/>
      <c r="R315" s="3254">
        <v>100</v>
      </c>
      <c r="S315" s="3259"/>
      <c r="T315" s="3261"/>
      <c r="U315" s="2228">
        <f t="shared" si="15"/>
        <v>11800</v>
      </c>
      <c r="V315" s="3259"/>
      <c r="W315" s="3262"/>
      <c r="X315" s="2230">
        <f t="shared" si="16"/>
        <v>4000</v>
      </c>
      <c r="Y315" s="3260"/>
      <c r="Z315" s="3258"/>
    </row>
    <row r="316" spans="5:26" s="1652" customFormat="1">
      <c r="E316" s="2266"/>
      <c r="H316" s="3253" t="s">
        <v>2480</v>
      </c>
      <c r="I316" s="3254">
        <v>302</v>
      </c>
      <c r="J316" s="2226" t="s">
        <v>110</v>
      </c>
      <c r="K316" s="3253" t="s">
        <v>845</v>
      </c>
      <c r="L316" s="3256">
        <v>58.548000000000002</v>
      </c>
      <c r="M316" s="3256">
        <v>58.55</v>
      </c>
      <c r="N316" s="3257" t="s">
        <v>229</v>
      </c>
      <c r="O316" s="3253">
        <v>11</v>
      </c>
      <c r="P316" s="3258" t="s">
        <v>996</v>
      </c>
      <c r="Q316" s="3254"/>
      <c r="R316" s="3254"/>
      <c r="S316" s="3259"/>
      <c r="T316" s="3261"/>
      <c r="U316" s="2228">
        <f t="shared" si="15"/>
        <v>0</v>
      </c>
      <c r="V316" s="3259"/>
      <c r="W316" s="3262"/>
      <c r="X316" s="2230">
        <f t="shared" si="16"/>
        <v>0</v>
      </c>
      <c r="Y316" s="3260"/>
      <c r="Z316" s="3258"/>
    </row>
    <row r="317" spans="5:26" s="1652" customFormat="1">
      <c r="E317" s="2266"/>
      <c r="H317" s="3253" t="s">
        <v>2481</v>
      </c>
      <c r="I317" s="3254">
        <v>206</v>
      </c>
      <c r="J317" s="2226" t="s">
        <v>110</v>
      </c>
      <c r="K317" s="3253" t="s">
        <v>845</v>
      </c>
      <c r="L317" s="3256">
        <v>41.82</v>
      </c>
      <c r="M317" s="3256">
        <v>41.82</v>
      </c>
      <c r="N317" s="3257" t="s">
        <v>229</v>
      </c>
      <c r="O317" s="3253">
        <v>11</v>
      </c>
      <c r="P317" s="3258" t="s">
        <v>996</v>
      </c>
      <c r="Q317" s="3254"/>
      <c r="R317" s="3254"/>
      <c r="S317" s="3259"/>
      <c r="T317" s="3261"/>
      <c r="U317" s="2228">
        <f t="shared" si="15"/>
        <v>0</v>
      </c>
      <c r="V317" s="3259"/>
      <c r="W317" s="3262"/>
      <c r="X317" s="2230">
        <f t="shared" si="16"/>
        <v>0</v>
      </c>
      <c r="Y317" s="3260"/>
      <c r="Z317" s="3258"/>
    </row>
    <row r="318" spans="5:26" s="1652" customFormat="1">
      <c r="E318" s="2266"/>
      <c r="H318" s="3253" t="s">
        <v>2482</v>
      </c>
      <c r="I318" s="3254">
        <v>378</v>
      </c>
      <c r="J318" s="2226" t="s">
        <v>110</v>
      </c>
      <c r="K318" s="3253" t="s">
        <v>845</v>
      </c>
      <c r="L318" s="3256">
        <v>58.548000000000002</v>
      </c>
      <c r="M318" s="3256">
        <v>58.55</v>
      </c>
      <c r="N318" s="3257" t="s">
        <v>229</v>
      </c>
      <c r="O318" s="3253">
        <v>11</v>
      </c>
      <c r="P318" s="3258" t="s">
        <v>996</v>
      </c>
      <c r="Q318" s="3254"/>
      <c r="R318" s="3254"/>
      <c r="S318" s="3259"/>
      <c r="T318" s="3261"/>
      <c r="U318" s="2228">
        <f t="shared" si="15"/>
        <v>0</v>
      </c>
      <c r="V318" s="3259"/>
      <c r="W318" s="3262"/>
      <c r="X318" s="2230">
        <f t="shared" si="16"/>
        <v>0</v>
      </c>
      <c r="Y318" s="3260"/>
      <c r="Z318" s="3258"/>
    </row>
    <row r="319" spans="5:26" s="1652" customFormat="1">
      <c r="E319" s="2266"/>
      <c r="H319" s="3253" t="s">
        <v>2483</v>
      </c>
      <c r="I319" s="3254">
        <v>258</v>
      </c>
      <c r="J319" s="2226" t="s">
        <v>110</v>
      </c>
      <c r="K319" s="3253" t="s">
        <v>845</v>
      </c>
      <c r="L319" s="3256">
        <v>41.82</v>
      </c>
      <c r="M319" s="3256">
        <v>41.82</v>
      </c>
      <c r="N319" s="3257" t="s">
        <v>229</v>
      </c>
      <c r="O319" s="3253">
        <v>11</v>
      </c>
      <c r="P319" s="3258" t="s">
        <v>996</v>
      </c>
      <c r="Q319" s="3254"/>
      <c r="R319" s="3254"/>
      <c r="S319" s="3259"/>
      <c r="T319" s="3261"/>
      <c r="U319" s="2228">
        <f t="shared" si="15"/>
        <v>0</v>
      </c>
      <c r="V319" s="3259"/>
      <c r="W319" s="3262"/>
      <c r="X319" s="2230">
        <f t="shared" si="16"/>
        <v>0</v>
      </c>
      <c r="Y319" s="3260"/>
      <c r="Z319" s="3258"/>
    </row>
    <row r="320" spans="5:26" s="1652" customFormat="1">
      <c r="E320" s="2266"/>
      <c r="H320" s="3253" t="s">
        <v>2484</v>
      </c>
      <c r="I320" s="3254">
        <v>453</v>
      </c>
      <c r="J320" s="2226" t="s">
        <v>110</v>
      </c>
      <c r="K320" s="3253" t="s">
        <v>845</v>
      </c>
      <c r="L320" s="3256">
        <v>78.147999999999996</v>
      </c>
      <c r="M320" s="3256">
        <v>78.150000000000006</v>
      </c>
      <c r="N320" s="3257" t="s">
        <v>229</v>
      </c>
      <c r="O320" s="3253">
        <v>11</v>
      </c>
      <c r="P320" s="3258" t="s">
        <v>996</v>
      </c>
      <c r="Q320" s="3254"/>
      <c r="R320" s="3254"/>
      <c r="S320" s="3259"/>
      <c r="T320" s="3261"/>
      <c r="U320" s="2228">
        <f t="shared" si="15"/>
        <v>0</v>
      </c>
      <c r="V320" s="3259"/>
      <c r="W320" s="3262"/>
      <c r="X320" s="2230">
        <f t="shared" si="16"/>
        <v>0</v>
      </c>
      <c r="Y320" s="3260"/>
      <c r="Z320" s="3258"/>
    </row>
    <row r="321" spans="5:26" s="1652" customFormat="1">
      <c r="E321" s="2266"/>
      <c r="H321" s="3253" t="s">
        <v>2485</v>
      </c>
      <c r="I321" s="3254">
        <v>309</v>
      </c>
      <c r="J321" s="2226" t="s">
        <v>110</v>
      </c>
      <c r="K321" s="3253" t="s">
        <v>845</v>
      </c>
      <c r="L321" s="3256">
        <v>55.82</v>
      </c>
      <c r="M321" s="3256">
        <v>55.82</v>
      </c>
      <c r="N321" s="3257" t="s">
        <v>229</v>
      </c>
      <c r="O321" s="3253">
        <v>11</v>
      </c>
      <c r="P321" s="3258" t="s">
        <v>996</v>
      </c>
      <c r="Q321" s="3254"/>
      <c r="R321" s="3254"/>
      <c r="S321" s="3259"/>
      <c r="T321" s="3261"/>
      <c r="U321" s="2228">
        <f t="shared" si="15"/>
        <v>0</v>
      </c>
      <c r="V321" s="3259"/>
      <c r="W321" s="3262"/>
      <c r="X321" s="2230">
        <f t="shared" si="16"/>
        <v>0</v>
      </c>
      <c r="Y321" s="3260"/>
      <c r="Z321" s="3258"/>
    </row>
    <row r="322" spans="5:26" s="1652" customFormat="1">
      <c r="E322" s="2266"/>
      <c r="H322" s="3253" t="s">
        <v>2486</v>
      </c>
      <c r="I322" s="3254">
        <v>222</v>
      </c>
      <c r="J322" s="2226" t="s">
        <v>110</v>
      </c>
      <c r="K322" s="3253" t="s">
        <v>845</v>
      </c>
      <c r="L322" s="3256">
        <v>58.548000000000002</v>
      </c>
      <c r="M322" s="3256">
        <v>58.55</v>
      </c>
      <c r="N322" s="3257" t="s">
        <v>229</v>
      </c>
      <c r="O322" s="3253">
        <v>11</v>
      </c>
      <c r="P322" s="3258" t="s">
        <v>996</v>
      </c>
      <c r="Q322" s="3254"/>
      <c r="R322" s="3254"/>
      <c r="S322" s="3259"/>
      <c r="T322" s="3261"/>
      <c r="U322" s="2228">
        <f t="shared" si="15"/>
        <v>0</v>
      </c>
      <c r="V322" s="3259"/>
      <c r="W322" s="3262"/>
      <c r="X322" s="2230">
        <f t="shared" si="16"/>
        <v>0</v>
      </c>
      <c r="Y322" s="3260"/>
      <c r="Z322" s="3258"/>
    </row>
    <row r="323" spans="5:26" s="1652" customFormat="1">
      <c r="E323" s="2266"/>
      <c r="H323" s="3253" t="s">
        <v>2487</v>
      </c>
      <c r="I323" s="3254">
        <v>152</v>
      </c>
      <c r="J323" s="2226" t="s">
        <v>110</v>
      </c>
      <c r="K323" s="3253" t="s">
        <v>845</v>
      </c>
      <c r="L323" s="3256">
        <v>41.82</v>
      </c>
      <c r="M323" s="3256">
        <v>41.82</v>
      </c>
      <c r="N323" s="3257" t="s">
        <v>229</v>
      </c>
      <c r="O323" s="3253">
        <v>11</v>
      </c>
      <c r="P323" s="3258" t="s">
        <v>996</v>
      </c>
      <c r="Q323" s="3254"/>
      <c r="R323" s="3254"/>
      <c r="S323" s="3259"/>
      <c r="T323" s="3261"/>
      <c r="U323" s="2228">
        <f t="shared" si="15"/>
        <v>0</v>
      </c>
      <c r="V323" s="3259"/>
      <c r="W323" s="3262"/>
      <c r="X323" s="2230">
        <f t="shared" si="16"/>
        <v>0</v>
      </c>
      <c r="Y323" s="3260"/>
      <c r="Z323" s="3258"/>
    </row>
    <row r="324" spans="5:26" s="1652" customFormat="1">
      <c r="E324" s="2266"/>
      <c r="H324" s="3253" t="s">
        <v>2488</v>
      </c>
      <c r="I324" s="3254">
        <v>278</v>
      </c>
      <c r="J324" s="2226" t="s">
        <v>110</v>
      </c>
      <c r="K324" s="3253" t="s">
        <v>845</v>
      </c>
      <c r="L324" s="3256">
        <v>58.548000000000002</v>
      </c>
      <c r="M324" s="3256">
        <v>58.55</v>
      </c>
      <c r="N324" s="3257" t="s">
        <v>229</v>
      </c>
      <c r="O324" s="3253">
        <v>11</v>
      </c>
      <c r="P324" s="3258" t="s">
        <v>996</v>
      </c>
      <c r="Q324" s="3254"/>
      <c r="R324" s="3254"/>
      <c r="S324" s="3259"/>
      <c r="T324" s="3261"/>
      <c r="U324" s="2228">
        <f t="shared" si="15"/>
        <v>0</v>
      </c>
      <c r="V324" s="3259"/>
      <c r="W324" s="3262"/>
      <c r="X324" s="2230">
        <f t="shared" si="16"/>
        <v>0</v>
      </c>
      <c r="Y324" s="3260"/>
      <c r="Z324" s="3258"/>
    </row>
    <row r="325" spans="5:26" s="1652" customFormat="1">
      <c r="E325" s="2266"/>
      <c r="H325" s="3253" t="s">
        <v>2489</v>
      </c>
      <c r="I325" s="3254">
        <v>190</v>
      </c>
      <c r="J325" s="2226" t="s">
        <v>110</v>
      </c>
      <c r="K325" s="3253" t="s">
        <v>845</v>
      </c>
      <c r="L325" s="3256">
        <v>41.82</v>
      </c>
      <c r="M325" s="3256">
        <v>41.82</v>
      </c>
      <c r="N325" s="3257" t="s">
        <v>229</v>
      </c>
      <c r="O325" s="3253">
        <v>11</v>
      </c>
      <c r="P325" s="3258" t="s">
        <v>996</v>
      </c>
      <c r="Q325" s="3254"/>
      <c r="R325" s="3254"/>
      <c r="S325" s="3259"/>
      <c r="T325" s="3261"/>
      <c r="U325" s="2228">
        <f t="shared" si="15"/>
        <v>0</v>
      </c>
      <c r="V325" s="3259"/>
      <c r="W325" s="3262"/>
      <c r="X325" s="2230">
        <f t="shared" si="16"/>
        <v>0</v>
      </c>
      <c r="Y325" s="3260"/>
      <c r="Z325" s="3258"/>
    </row>
    <row r="326" spans="5:26" s="1652" customFormat="1">
      <c r="E326" s="2266"/>
      <c r="H326" s="3253" t="s">
        <v>2490</v>
      </c>
      <c r="I326" s="3254">
        <v>333</v>
      </c>
      <c r="J326" s="2226" t="s">
        <v>110</v>
      </c>
      <c r="K326" s="3253" t="s">
        <v>845</v>
      </c>
      <c r="L326" s="3256">
        <v>78.147999999999996</v>
      </c>
      <c r="M326" s="3256">
        <v>78.150000000000006</v>
      </c>
      <c r="N326" s="3257" t="s">
        <v>229</v>
      </c>
      <c r="O326" s="3253">
        <v>11</v>
      </c>
      <c r="P326" s="3258" t="s">
        <v>996</v>
      </c>
      <c r="Q326" s="3254"/>
      <c r="R326" s="3254"/>
      <c r="S326" s="3259"/>
      <c r="T326" s="3261"/>
      <c r="U326" s="2228">
        <f t="shared" si="15"/>
        <v>0</v>
      </c>
      <c r="V326" s="3259"/>
      <c r="W326" s="3262"/>
      <c r="X326" s="2230">
        <f t="shared" si="16"/>
        <v>0</v>
      </c>
      <c r="Y326" s="3260"/>
      <c r="Z326" s="3258"/>
    </row>
    <row r="327" spans="5:26" s="1652" customFormat="1">
      <c r="E327" s="2266"/>
      <c r="H327" s="3253" t="s">
        <v>2491</v>
      </c>
      <c r="I327" s="3254">
        <v>228</v>
      </c>
      <c r="J327" s="2226" t="s">
        <v>110</v>
      </c>
      <c r="K327" s="3253" t="s">
        <v>845</v>
      </c>
      <c r="L327" s="3256">
        <v>55.82</v>
      </c>
      <c r="M327" s="3256">
        <v>55.82</v>
      </c>
      <c r="N327" s="3257" t="s">
        <v>229</v>
      </c>
      <c r="O327" s="3253">
        <v>11</v>
      </c>
      <c r="P327" s="3258" t="s">
        <v>996</v>
      </c>
      <c r="Q327" s="3254"/>
      <c r="R327" s="3254"/>
      <c r="S327" s="3259"/>
      <c r="T327" s="3261"/>
      <c r="U327" s="2228">
        <f t="shared" si="15"/>
        <v>0</v>
      </c>
      <c r="V327" s="3259"/>
      <c r="W327" s="3262"/>
      <c r="X327" s="2230">
        <f t="shared" si="16"/>
        <v>0</v>
      </c>
      <c r="Y327" s="3260"/>
      <c r="Z327" s="3258"/>
    </row>
    <row r="328" spans="5:26" s="1652" customFormat="1">
      <c r="E328" s="2266"/>
      <c r="H328" s="3253" t="s">
        <v>2492</v>
      </c>
      <c r="I328" s="3254">
        <v>336</v>
      </c>
      <c r="J328" s="2226" t="s">
        <v>110</v>
      </c>
      <c r="K328" s="3253" t="s">
        <v>845</v>
      </c>
      <c r="L328" s="3256">
        <v>190.4</v>
      </c>
      <c r="M328" s="3256">
        <v>133.28</v>
      </c>
      <c r="N328" s="3257">
        <v>6.5895079735988227E-4</v>
      </c>
      <c r="O328" s="3253">
        <v>8</v>
      </c>
      <c r="P328" s="3258" t="s">
        <v>1253</v>
      </c>
      <c r="Q328" s="3254"/>
      <c r="R328" s="3254">
        <v>10</v>
      </c>
      <c r="S328" s="3259"/>
      <c r="T328" s="3261"/>
      <c r="U328" s="2228">
        <f t="shared" si="15"/>
        <v>3360</v>
      </c>
      <c r="V328" s="3259"/>
      <c r="W328" s="3262"/>
      <c r="X328" s="2230">
        <f t="shared" si="16"/>
        <v>1332.8</v>
      </c>
      <c r="Y328" s="3260"/>
      <c r="Z328" s="3258"/>
    </row>
    <row r="329" spans="5:26" s="1652" customFormat="1">
      <c r="E329" s="2266"/>
      <c r="H329" s="3253" t="s">
        <v>2493</v>
      </c>
      <c r="I329" s="3254">
        <v>252</v>
      </c>
      <c r="J329" s="2226" t="s">
        <v>110</v>
      </c>
      <c r="K329" s="3253" t="s">
        <v>845</v>
      </c>
      <c r="L329" s="3256">
        <v>190.4</v>
      </c>
      <c r="M329" s="3256">
        <v>133.28</v>
      </c>
      <c r="N329" s="3257">
        <v>4.9421309801991171E-4</v>
      </c>
      <c r="O329" s="3253">
        <v>8</v>
      </c>
      <c r="P329" s="3258" t="s">
        <v>1253</v>
      </c>
      <c r="Q329" s="3254"/>
      <c r="R329" s="3254">
        <v>10</v>
      </c>
      <c r="S329" s="3259"/>
      <c r="T329" s="3261"/>
      <c r="U329" s="2228">
        <f t="shared" si="15"/>
        <v>2520</v>
      </c>
      <c r="V329" s="3259"/>
      <c r="W329" s="3262"/>
      <c r="X329" s="2230">
        <f t="shared" si="16"/>
        <v>1332.8</v>
      </c>
      <c r="Y329" s="3260"/>
      <c r="Z329" s="3258"/>
    </row>
    <row r="330" spans="5:26" s="1652" customFormat="1">
      <c r="E330" s="2266"/>
      <c r="H330" s="3253" t="s">
        <v>2494</v>
      </c>
      <c r="I330" s="3254">
        <v>250</v>
      </c>
      <c r="J330" s="2226" t="s">
        <v>110</v>
      </c>
      <c r="K330" s="3253" t="s">
        <v>845</v>
      </c>
      <c r="L330" s="3256">
        <v>190.4</v>
      </c>
      <c r="M330" s="3256">
        <v>133.28</v>
      </c>
      <c r="N330" s="3257">
        <v>4.9029077184515051E-4</v>
      </c>
      <c r="O330" s="3253">
        <v>8</v>
      </c>
      <c r="P330" s="3258" t="s">
        <v>1253</v>
      </c>
      <c r="Q330" s="3254"/>
      <c r="R330" s="3254">
        <v>10</v>
      </c>
      <c r="S330" s="3259"/>
      <c r="T330" s="3261"/>
      <c r="U330" s="2228">
        <f t="shared" si="15"/>
        <v>2500</v>
      </c>
      <c r="V330" s="3259"/>
      <c r="W330" s="3262"/>
      <c r="X330" s="2230">
        <f t="shared" si="16"/>
        <v>1332.8</v>
      </c>
      <c r="Y330" s="3260"/>
      <c r="Z330" s="3258"/>
    </row>
    <row r="331" spans="5:26" s="1652" customFormat="1">
      <c r="E331" s="2266"/>
      <c r="H331" s="3253" t="s">
        <v>2495</v>
      </c>
      <c r="I331" s="3254">
        <v>2836</v>
      </c>
      <c r="J331" s="2226" t="s">
        <v>110</v>
      </c>
      <c r="K331" s="3253" t="s">
        <v>845</v>
      </c>
      <c r="L331" s="3256">
        <v>190.4</v>
      </c>
      <c r="M331" s="3256">
        <v>133.28</v>
      </c>
      <c r="N331" s="3257">
        <v>5.5618585158113869E-3</v>
      </c>
      <c r="O331" s="3253">
        <v>8</v>
      </c>
      <c r="P331" s="3258" t="s">
        <v>1253</v>
      </c>
      <c r="Q331" s="3254"/>
      <c r="R331" s="3254">
        <v>10</v>
      </c>
      <c r="S331" s="3259"/>
      <c r="T331" s="3261"/>
      <c r="U331" s="2228">
        <f t="shared" si="15"/>
        <v>28360</v>
      </c>
      <c r="V331" s="3259"/>
      <c r="W331" s="3262"/>
      <c r="X331" s="2230">
        <f t="shared" si="16"/>
        <v>1332.8</v>
      </c>
      <c r="Y331" s="3260"/>
      <c r="Z331" s="3258"/>
    </row>
    <row r="332" spans="5:26" s="1652" customFormat="1">
      <c r="E332" s="2266"/>
      <c r="H332" s="3253" t="s">
        <v>2496</v>
      </c>
      <c r="I332" s="3254">
        <v>2809</v>
      </c>
      <c r="J332" s="2226" t="s">
        <v>110</v>
      </c>
      <c r="K332" s="3253" t="s">
        <v>845</v>
      </c>
      <c r="L332" s="3256">
        <v>190.4</v>
      </c>
      <c r="M332" s="3256">
        <v>133.28</v>
      </c>
      <c r="N332" s="3257">
        <v>5.5089071124521105E-3</v>
      </c>
      <c r="O332" s="3253">
        <v>8</v>
      </c>
      <c r="P332" s="3258" t="s">
        <v>1253</v>
      </c>
      <c r="Q332" s="3254"/>
      <c r="R332" s="3254">
        <v>10</v>
      </c>
      <c r="S332" s="3259"/>
      <c r="T332" s="3261"/>
      <c r="U332" s="2228">
        <f t="shared" si="15"/>
        <v>28090</v>
      </c>
      <c r="V332" s="3259"/>
      <c r="W332" s="3262"/>
      <c r="X332" s="2230">
        <f t="shared" si="16"/>
        <v>1332.8</v>
      </c>
      <c r="Y332" s="3260"/>
      <c r="Z332" s="3258"/>
    </row>
    <row r="333" spans="5:26" s="1652" customFormat="1">
      <c r="E333" s="2266"/>
      <c r="H333" s="3253" t="s">
        <v>2497</v>
      </c>
      <c r="I333" s="3254">
        <v>223</v>
      </c>
      <c r="J333" s="2226" t="s">
        <v>110</v>
      </c>
      <c r="K333" s="3253" t="s">
        <v>845</v>
      </c>
      <c r="L333" s="3256">
        <v>190.4</v>
      </c>
      <c r="M333" s="3256">
        <v>133.28</v>
      </c>
      <c r="N333" s="3257">
        <v>4.3733936848587421E-4</v>
      </c>
      <c r="O333" s="3253">
        <v>8</v>
      </c>
      <c r="P333" s="3258" t="s">
        <v>1253</v>
      </c>
      <c r="Q333" s="3254"/>
      <c r="R333" s="3254">
        <v>10</v>
      </c>
      <c r="S333" s="3259"/>
      <c r="T333" s="3261"/>
      <c r="U333" s="2228">
        <f t="shared" si="15"/>
        <v>2230</v>
      </c>
      <c r="V333" s="3259"/>
      <c r="W333" s="3262"/>
      <c r="X333" s="2230">
        <f t="shared" si="16"/>
        <v>1332.8</v>
      </c>
      <c r="Y333" s="3260"/>
      <c r="Z333" s="3258"/>
    </row>
    <row r="334" spans="5:26" s="1652" customFormat="1">
      <c r="E334" s="2266"/>
      <c r="H334" s="3253" t="s">
        <v>2498</v>
      </c>
      <c r="I334" s="3254">
        <v>221</v>
      </c>
      <c r="J334" s="2226" t="s">
        <v>110</v>
      </c>
      <c r="K334" s="3253" t="s">
        <v>845</v>
      </c>
      <c r="L334" s="3256">
        <v>190.4</v>
      </c>
      <c r="M334" s="3256">
        <v>133.28</v>
      </c>
      <c r="N334" s="3257">
        <v>4.3341704231111302E-4</v>
      </c>
      <c r="O334" s="3253">
        <v>8</v>
      </c>
      <c r="P334" s="3258" t="s">
        <v>1253</v>
      </c>
      <c r="Q334" s="3254"/>
      <c r="R334" s="3254">
        <v>10</v>
      </c>
      <c r="S334" s="3259"/>
      <c r="T334" s="3261"/>
      <c r="U334" s="2228">
        <f t="shared" si="15"/>
        <v>2210</v>
      </c>
      <c r="V334" s="3259"/>
      <c r="W334" s="3262"/>
      <c r="X334" s="2230">
        <f t="shared" si="16"/>
        <v>1332.8</v>
      </c>
      <c r="Y334" s="3260"/>
      <c r="Z334" s="3258"/>
    </row>
    <row r="335" spans="5:26" s="1652" customFormat="1">
      <c r="E335" s="2266"/>
      <c r="H335" s="3253" t="s">
        <v>2499</v>
      </c>
      <c r="I335" s="3254">
        <v>243</v>
      </c>
      <c r="J335" s="2226" t="s">
        <v>110</v>
      </c>
      <c r="K335" s="3253" t="s">
        <v>845</v>
      </c>
      <c r="L335" s="3256">
        <v>81</v>
      </c>
      <c r="M335" s="3256">
        <v>72.900000000000006</v>
      </c>
      <c r="N335" s="3257">
        <v>4.7656263023348626E-4</v>
      </c>
      <c r="O335" s="3253">
        <v>4</v>
      </c>
      <c r="P335" s="3258" t="s">
        <v>1253</v>
      </c>
      <c r="Q335" s="3254"/>
      <c r="R335" s="3254">
        <v>10</v>
      </c>
      <c r="S335" s="3259"/>
      <c r="T335" s="3261"/>
      <c r="U335" s="2228">
        <f t="shared" si="15"/>
        <v>2430</v>
      </c>
      <c r="V335" s="3259"/>
      <c r="W335" s="3262"/>
      <c r="X335" s="2230">
        <f t="shared" si="16"/>
        <v>729</v>
      </c>
      <c r="Y335" s="3260"/>
      <c r="Z335" s="3258"/>
    </row>
    <row r="336" spans="5:26" s="1652" customFormat="1">
      <c r="E336" s="2266"/>
      <c r="H336" s="3253" t="s">
        <v>2500</v>
      </c>
      <c r="I336" s="3254">
        <v>248</v>
      </c>
      <c r="J336" s="2226" t="s">
        <v>110</v>
      </c>
      <c r="K336" s="3253" t="s">
        <v>845</v>
      </c>
      <c r="L336" s="3256">
        <v>81</v>
      </c>
      <c r="M336" s="3256">
        <v>74.400000000000006</v>
      </c>
      <c r="N336" s="3257">
        <v>4.8636844567038925E-4</v>
      </c>
      <c r="O336" s="3253">
        <v>4</v>
      </c>
      <c r="P336" s="3258" t="s">
        <v>1253</v>
      </c>
      <c r="Q336" s="3254"/>
      <c r="R336" s="3254">
        <v>10</v>
      </c>
      <c r="S336" s="3259"/>
      <c r="T336" s="3261"/>
      <c r="U336" s="2228">
        <f t="shared" si="15"/>
        <v>2480</v>
      </c>
      <c r="V336" s="3259"/>
      <c r="W336" s="3262"/>
      <c r="X336" s="2230">
        <f t="shared" si="16"/>
        <v>744</v>
      </c>
      <c r="Y336" s="3260"/>
      <c r="Z336" s="3258"/>
    </row>
    <row r="337" spans="5:26" s="1652" customFormat="1">
      <c r="E337" s="2266"/>
      <c r="H337" s="3253" t="s">
        <v>2501</v>
      </c>
      <c r="I337" s="3254">
        <v>204</v>
      </c>
      <c r="J337" s="2226" t="s">
        <v>110</v>
      </c>
      <c r="K337" s="3253" t="s">
        <v>845</v>
      </c>
      <c r="L337" s="3256">
        <v>76</v>
      </c>
      <c r="M337" s="3256">
        <v>61.2</v>
      </c>
      <c r="N337" s="3257">
        <v>4.0007726982564277E-4</v>
      </c>
      <c r="O337" s="3253">
        <v>4</v>
      </c>
      <c r="P337" s="3258" t="s">
        <v>1253</v>
      </c>
      <c r="Q337" s="3254"/>
      <c r="R337" s="3254">
        <v>10</v>
      </c>
      <c r="S337" s="3259"/>
      <c r="T337" s="3261"/>
      <c r="U337" s="2228">
        <f t="shared" si="15"/>
        <v>2040</v>
      </c>
      <c r="V337" s="3259"/>
      <c r="W337" s="3262"/>
      <c r="X337" s="2230">
        <f t="shared" si="16"/>
        <v>612</v>
      </c>
      <c r="Y337" s="3260"/>
      <c r="Z337" s="3258"/>
    </row>
    <row r="338" spans="5:26" s="1652" customFormat="1">
      <c r="E338" s="2266"/>
      <c r="H338" s="3253" t="s">
        <v>2502</v>
      </c>
      <c r="I338" s="3254">
        <v>347</v>
      </c>
      <c r="J338" s="2226" t="s">
        <v>110</v>
      </c>
      <c r="K338" s="3253" t="s">
        <v>845</v>
      </c>
      <c r="L338" s="3256">
        <v>114</v>
      </c>
      <c r="M338" s="3256">
        <v>104.1</v>
      </c>
      <c r="N338" s="3257">
        <v>6.8052359132106887E-4</v>
      </c>
      <c r="O338" s="3253">
        <v>4</v>
      </c>
      <c r="P338" s="3258" t="s">
        <v>1253</v>
      </c>
      <c r="Q338" s="3254"/>
      <c r="R338" s="3254">
        <v>10</v>
      </c>
      <c r="S338" s="3259"/>
      <c r="T338" s="3261"/>
      <c r="U338" s="2228">
        <f t="shared" si="15"/>
        <v>3470</v>
      </c>
      <c r="V338" s="3259"/>
      <c r="W338" s="3262"/>
      <c r="X338" s="2230">
        <f t="shared" si="16"/>
        <v>1041</v>
      </c>
      <c r="Y338" s="3260"/>
      <c r="Z338" s="3258"/>
    </row>
    <row r="339" spans="5:26" s="1652" customFormat="1">
      <c r="E339" s="2266"/>
      <c r="H339" s="3253" t="s">
        <v>2503</v>
      </c>
      <c r="I339" s="3254">
        <v>86.4</v>
      </c>
      <c r="J339" s="2226" t="s">
        <v>110</v>
      </c>
      <c r="K339" s="3253" t="s">
        <v>845</v>
      </c>
      <c r="L339" s="3256">
        <v>60.2</v>
      </c>
      <c r="M339" s="3256">
        <v>42.14</v>
      </c>
      <c r="N339" s="3257" t="s">
        <v>229</v>
      </c>
      <c r="O339" s="3253">
        <v>5</v>
      </c>
      <c r="P339" s="3258" t="s">
        <v>1253</v>
      </c>
      <c r="Q339" s="3254"/>
      <c r="R339" s="3254"/>
      <c r="S339" s="3259"/>
      <c r="T339" s="3261"/>
      <c r="U339" s="2228">
        <f t="shared" si="15"/>
        <v>0</v>
      </c>
      <c r="V339" s="3259"/>
      <c r="W339" s="3262"/>
      <c r="X339" s="2230">
        <f t="shared" si="16"/>
        <v>0</v>
      </c>
      <c r="Y339" s="3260"/>
      <c r="Z339" s="3258"/>
    </row>
    <row r="340" spans="5:26" s="1652" customFormat="1">
      <c r="E340" s="2266"/>
      <c r="H340" s="3253" t="s">
        <v>2504</v>
      </c>
      <c r="I340" s="3254">
        <v>48.7</v>
      </c>
      <c r="J340" s="2226" t="s">
        <v>110</v>
      </c>
      <c r="K340" s="3253" t="s">
        <v>845</v>
      </c>
      <c r="L340" s="3256">
        <v>60.2</v>
      </c>
      <c r="M340" s="3256">
        <v>42.14</v>
      </c>
      <c r="N340" s="3257" t="s">
        <v>229</v>
      </c>
      <c r="O340" s="3253">
        <v>5</v>
      </c>
      <c r="P340" s="3258" t="s">
        <v>1253</v>
      </c>
      <c r="Q340" s="3254"/>
      <c r="R340" s="3254"/>
      <c r="S340" s="3259"/>
      <c r="T340" s="3261"/>
      <c r="U340" s="2228">
        <f t="shared" si="15"/>
        <v>0</v>
      </c>
      <c r="V340" s="3259"/>
      <c r="W340" s="3262"/>
      <c r="X340" s="2230">
        <f t="shared" si="16"/>
        <v>0</v>
      </c>
      <c r="Y340" s="3260"/>
      <c r="Z340" s="3258"/>
    </row>
    <row r="341" spans="5:26" s="1652" customFormat="1">
      <c r="E341" s="2266"/>
      <c r="H341" s="3253" t="s">
        <v>2505</v>
      </c>
      <c r="I341" s="3254">
        <v>21.9</v>
      </c>
      <c r="J341" s="2226" t="s">
        <v>110</v>
      </c>
      <c r="K341" s="3253" t="s">
        <v>845</v>
      </c>
      <c r="L341" s="3256">
        <v>60.2</v>
      </c>
      <c r="M341" s="3256">
        <v>42.14</v>
      </c>
      <c r="N341" s="3257" t="s">
        <v>229</v>
      </c>
      <c r="O341" s="3253">
        <v>5</v>
      </c>
      <c r="P341" s="3258" t="s">
        <v>1253</v>
      </c>
      <c r="Q341" s="3254"/>
      <c r="R341" s="3254"/>
      <c r="S341" s="3259"/>
      <c r="T341" s="3261"/>
      <c r="U341" s="2228">
        <f t="shared" si="15"/>
        <v>0</v>
      </c>
      <c r="V341" s="3259"/>
      <c r="W341" s="3262"/>
      <c r="X341" s="2230">
        <f t="shared" si="16"/>
        <v>0</v>
      </c>
      <c r="Y341" s="3260"/>
      <c r="Z341" s="3258"/>
    </row>
    <row r="342" spans="5:26" s="1652" customFormat="1">
      <c r="E342" s="2266"/>
      <c r="H342" s="3253" t="s">
        <v>2506</v>
      </c>
      <c r="I342" s="3254">
        <v>21.9</v>
      </c>
      <c r="J342" s="2226" t="s">
        <v>110</v>
      </c>
      <c r="K342" s="3253" t="s">
        <v>845</v>
      </c>
      <c r="L342" s="3256">
        <v>60.2</v>
      </c>
      <c r="M342" s="3256">
        <v>42.14</v>
      </c>
      <c r="N342" s="3257" t="s">
        <v>229</v>
      </c>
      <c r="O342" s="3253">
        <v>5</v>
      </c>
      <c r="P342" s="3258" t="s">
        <v>1253</v>
      </c>
      <c r="Q342" s="3254"/>
      <c r="R342" s="3254"/>
      <c r="S342" s="3259"/>
      <c r="T342" s="3261"/>
      <c r="U342" s="2228">
        <f t="shared" si="15"/>
        <v>0</v>
      </c>
      <c r="V342" s="3259"/>
      <c r="W342" s="3262"/>
      <c r="X342" s="2230">
        <f t="shared" si="16"/>
        <v>0</v>
      </c>
      <c r="Y342" s="3260"/>
      <c r="Z342" s="3258"/>
    </row>
    <row r="343" spans="5:26" s="1652" customFormat="1">
      <c r="E343" s="2266"/>
      <c r="H343" s="3253" t="s">
        <v>2507</v>
      </c>
      <c r="I343" s="3254">
        <v>129.80000000000001</v>
      </c>
      <c r="J343" s="2226" t="s">
        <v>110</v>
      </c>
      <c r="K343" s="3253" t="s">
        <v>845</v>
      </c>
      <c r="L343" s="3256">
        <v>60.2</v>
      </c>
      <c r="M343" s="3256">
        <v>42.14</v>
      </c>
      <c r="N343" s="3257" t="s">
        <v>229</v>
      </c>
      <c r="O343" s="3253">
        <v>5</v>
      </c>
      <c r="P343" s="3258" t="s">
        <v>1253</v>
      </c>
      <c r="Q343" s="3254"/>
      <c r="R343" s="3254"/>
      <c r="S343" s="3259"/>
      <c r="T343" s="3261"/>
      <c r="U343" s="2228">
        <f t="shared" ref="U343:U370" si="17">I343*R343</f>
        <v>0</v>
      </c>
      <c r="V343" s="3259"/>
      <c r="W343" s="3262"/>
      <c r="X343" s="2230">
        <f t="shared" ref="X343:X370" si="18">M343*R343</f>
        <v>0</v>
      </c>
      <c r="Y343" s="3260"/>
      <c r="Z343" s="3258"/>
    </row>
    <row r="344" spans="5:26" s="1652" customFormat="1">
      <c r="E344" s="2266"/>
      <c r="H344" s="3253" t="s">
        <v>2508</v>
      </c>
      <c r="I344" s="3254">
        <v>92.5</v>
      </c>
      <c r="J344" s="2226" t="s">
        <v>110</v>
      </c>
      <c r="K344" s="3253" t="s">
        <v>845</v>
      </c>
      <c r="L344" s="3256">
        <v>60.2</v>
      </c>
      <c r="M344" s="3256">
        <v>42.14</v>
      </c>
      <c r="N344" s="3257" t="s">
        <v>229</v>
      </c>
      <c r="O344" s="3253">
        <v>5</v>
      </c>
      <c r="P344" s="3258" t="s">
        <v>1253</v>
      </c>
      <c r="Q344" s="3254"/>
      <c r="R344" s="3254"/>
      <c r="S344" s="3259"/>
      <c r="T344" s="3261"/>
      <c r="U344" s="2228">
        <f t="shared" si="17"/>
        <v>0</v>
      </c>
      <c r="V344" s="3259"/>
      <c r="W344" s="3262"/>
      <c r="X344" s="2230">
        <f t="shared" si="18"/>
        <v>0</v>
      </c>
      <c r="Y344" s="3260"/>
      <c r="Z344" s="3258"/>
    </row>
    <row r="345" spans="5:26" s="1652" customFormat="1">
      <c r="E345" s="2266"/>
      <c r="H345" s="3253" t="s">
        <v>2509</v>
      </c>
      <c r="I345" s="3254">
        <v>65.7</v>
      </c>
      <c r="J345" s="2226" t="s">
        <v>110</v>
      </c>
      <c r="K345" s="3253" t="s">
        <v>845</v>
      </c>
      <c r="L345" s="3256">
        <v>60.2</v>
      </c>
      <c r="M345" s="3256">
        <v>42.14</v>
      </c>
      <c r="N345" s="3257" t="s">
        <v>229</v>
      </c>
      <c r="O345" s="3253">
        <v>5</v>
      </c>
      <c r="P345" s="3258" t="s">
        <v>1253</v>
      </c>
      <c r="Q345" s="3254"/>
      <c r="R345" s="3254"/>
      <c r="S345" s="3259"/>
      <c r="T345" s="3261"/>
      <c r="U345" s="2228">
        <f t="shared" si="17"/>
        <v>0</v>
      </c>
      <c r="V345" s="3259"/>
      <c r="W345" s="3262"/>
      <c r="X345" s="2230">
        <f t="shared" si="18"/>
        <v>0</v>
      </c>
      <c r="Y345" s="3260"/>
      <c r="Z345" s="3258"/>
    </row>
    <row r="346" spans="5:26" s="1652" customFormat="1">
      <c r="E346" s="2266"/>
      <c r="H346" s="3253" t="s">
        <v>2510</v>
      </c>
      <c r="I346" s="3254">
        <v>65.7</v>
      </c>
      <c r="J346" s="2226" t="s">
        <v>110</v>
      </c>
      <c r="K346" s="3253" t="s">
        <v>845</v>
      </c>
      <c r="L346" s="3256">
        <v>60.2</v>
      </c>
      <c r="M346" s="3256">
        <v>42.14</v>
      </c>
      <c r="N346" s="3257" t="s">
        <v>229</v>
      </c>
      <c r="O346" s="3253">
        <v>5</v>
      </c>
      <c r="P346" s="3258" t="s">
        <v>1253</v>
      </c>
      <c r="Q346" s="3254"/>
      <c r="R346" s="3254"/>
      <c r="S346" s="3259"/>
      <c r="T346" s="3261"/>
      <c r="U346" s="2228">
        <f t="shared" si="17"/>
        <v>0</v>
      </c>
      <c r="V346" s="3259"/>
      <c r="W346" s="3262"/>
      <c r="X346" s="2230">
        <f t="shared" si="18"/>
        <v>0</v>
      </c>
      <c r="Y346" s="3260"/>
      <c r="Z346" s="3258"/>
    </row>
    <row r="347" spans="5:26" s="1652" customFormat="1">
      <c r="E347" s="2266"/>
      <c r="H347" s="3253" t="s">
        <v>2511</v>
      </c>
      <c r="I347" s="3254">
        <v>130.19999999999999</v>
      </c>
      <c r="J347" s="2226" t="s">
        <v>110</v>
      </c>
      <c r="K347" s="3253" t="s">
        <v>845</v>
      </c>
      <c r="L347" s="3256">
        <v>60.2</v>
      </c>
      <c r="M347" s="3256">
        <v>42.14</v>
      </c>
      <c r="N347" s="3257" t="s">
        <v>229</v>
      </c>
      <c r="O347" s="3253">
        <v>5</v>
      </c>
      <c r="P347" s="3258" t="s">
        <v>1253</v>
      </c>
      <c r="Q347" s="3254"/>
      <c r="R347" s="3254"/>
      <c r="S347" s="3259"/>
      <c r="T347" s="3261"/>
      <c r="U347" s="2228">
        <f t="shared" si="17"/>
        <v>0</v>
      </c>
      <c r="V347" s="3259"/>
      <c r="W347" s="3262"/>
      <c r="X347" s="2230">
        <f t="shared" si="18"/>
        <v>0</v>
      </c>
      <c r="Y347" s="3260"/>
      <c r="Z347" s="3258"/>
    </row>
    <row r="348" spans="5:26" s="1652" customFormat="1">
      <c r="E348" s="2266"/>
      <c r="H348" s="3253" t="s">
        <v>2512</v>
      </c>
      <c r="I348" s="3254">
        <v>79.599999999999994</v>
      </c>
      <c r="J348" s="2226" t="s">
        <v>110</v>
      </c>
      <c r="K348" s="3253" t="s">
        <v>845</v>
      </c>
      <c r="L348" s="3256">
        <v>60.2</v>
      </c>
      <c r="M348" s="3256">
        <v>42.14</v>
      </c>
      <c r="N348" s="3257" t="s">
        <v>229</v>
      </c>
      <c r="O348" s="3253">
        <v>5</v>
      </c>
      <c r="P348" s="3258" t="s">
        <v>1253</v>
      </c>
      <c r="Q348" s="3254"/>
      <c r="R348" s="3254"/>
      <c r="S348" s="3259"/>
      <c r="T348" s="3261"/>
      <c r="U348" s="2228">
        <f t="shared" si="17"/>
        <v>0</v>
      </c>
      <c r="V348" s="3259"/>
      <c r="W348" s="3262"/>
      <c r="X348" s="2230">
        <f t="shared" si="18"/>
        <v>0</v>
      </c>
      <c r="Y348" s="3260"/>
      <c r="Z348" s="3258"/>
    </row>
    <row r="349" spans="5:26" s="1652" customFormat="1">
      <c r="E349" s="2266"/>
      <c r="H349" s="3253" t="s">
        <v>2513</v>
      </c>
      <c r="I349" s="3254">
        <v>43.8</v>
      </c>
      <c r="J349" s="2226" t="s">
        <v>110</v>
      </c>
      <c r="K349" s="3253" t="s">
        <v>845</v>
      </c>
      <c r="L349" s="3256">
        <v>60.2</v>
      </c>
      <c r="M349" s="3256">
        <v>42.14</v>
      </c>
      <c r="N349" s="3257" t="s">
        <v>229</v>
      </c>
      <c r="O349" s="3253">
        <v>5</v>
      </c>
      <c r="P349" s="3258" t="s">
        <v>1253</v>
      </c>
      <c r="Q349" s="3254"/>
      <c r="R349" s="3254"/>
      <c r="S349" s="3259"/>
      <c r="T349" s="3261"/>
      <c r="U349" s="2228">
        <f t="shared" si="17"/>
        <v>0</v>
      </c>
      <c r="V349" s="3259"/>
      <c r="W349" s="3262"/>
      <c r="X349" s="2230">
        <f t="shared" si="18"/>
        <v>0</v>
      </c>
      <c r="Y349" s="3260"/>
      <c r="Z349" s="3258"/>
    </row>
    <row r="350" spans="5:26" s="1652" customFormat="1">
      <c r="E350" s="2266"/>
      <c r="H350" s="3253" t="s">
        <v>2514</v>
      </c>
      <c r="I350" s="3254">
        <v>43.8</v>
      </c>
      <c r="J350" s="2226" t="s">
        <v>110</v>
      </c>
      <c r="K350" s="3253" t="s">
        <v>845</v>
      </c>
      <c r="L350" s="3256">
        <v>60.2</v>
      </c>
      <c r="M350" s="3256">
        <v>42.14</v>
      </c>
      <c r="N350" s="3257" t="s">
        <v>229</v>
      </c>
      <c r="O350" s="3253">
        <v>5</v>
      </c>
      <c r="P350" s="3258" t="s">
        <v>1253</v>
      </c>
      <c r="Q350" s="3254"/>
      <c r="R350" s="3254"/>
      <c r="S350" s="3259"/>
      <c r="T350" s="3261"/>
      <c r="U350" s="2228">
        <f t="shared" si="17"/>
        <v>0</v>
      </c>
      <c r="V350" s="3259"/>
      <c r="W350" s="3262"/>
      <c r="X350" s="2230">
        <f t="shared" si="18"/>
        <v>0</v>
      </c>
      <c r="Y350" s="3260"/>
      <c r="Z350" s="3258"/>
    </row>
    <row r="351" spans="5:26" s="1652" customFormat="1">
      <c r="E351" s="2266"/>
      <c r="H351" s="3253" t="s">
        <v>2515</v>
      </c>
      <c r="I351" s="3254">
        <v>123</v>
      </c>
      <c r="J351" s="2226" t="s">
        <v>110</v>
      </c>
      <c r="K351" s="3253" t="s">
        <v>845</v>
      </c>
      <c r="L351" s="3256">
        <v>16.100000000000001</v>
      </c>
      <c r="M351" s="3256">
        <v>16.100000000000001</v>
      </c>
      <c r="N351" s="3257" t="s">
        <v>229</v>
      </c>
      <c r="O351" s="3253">
        <v>2</v>
      </c>
      <c r="P351" s="3258" t="s">
        <v>1253</v>
      </c>
      <c r="Q351" s="3254"/>
      <c r="R351" s="3254"/>
      <c r="S351" s="3259"/>
      <c r="T351" s="3261"/>
      <c r="U351" s="2228">
        <f t="shared" si="17"/>
        <v>0</v>
      </c>
      <c r="V351" s="3259"/>
      <c r="W351" s="3262"/>
      <c r="X351" s="2230">
        <f t="shared" si="18"/>
        <v>0</v>
      </c>
      <c r="Y351" s="3260"/>
      <c r="Z351" s="3258"/>
    </row>
    <row r="352" spans="5:26" s="1652" customFormat="1">
      <c r="E352" s="2266"/>
      <c r="H352" s="3253" t="s">
        <v>2516</v>
      </c>
      <c r="I352" s="3254">
        <v>31</v>
      </c>
      <c r="J352" s="2226" t="s">
        <v>110</v>
      </c>
      <c r="K352" s="3253" t="s">
        <v>845</v>
      </c>
      <c r="L352" s="3256">
        <v>10.5</v>
      </c>
      <c r="M352" s="3256">
        <v>10.5</v>
      </c>
      <c r="N352" s="3257" t="s">
        <v>229</v>
      </c>
      <c r="O352" s="3253">
        <v>2</v>
      </c>
      <c r="P352" s="3258" t="s">
        <v>1253</v>
      </c>
      <c r="Q352" s="3254"/>
      <c r="R352" s="3254"/>
      <c r="S352" s="3259"/>
      <c r="T352" s="3261"/>
      <c r="U352" s="2228">
        <f t="shared" si="17"/>
        <v>0</v>
      </c>
      <c r="V352" s="3259"/>
      <c r="W352" s="3262"/>
      <c r="X352" s="2230">
        <f t="shared" si="18"/>
        <v>0</v>
      </c>
      <c r="Y352" s="3260"/>
      <c r="Z352" s="3258"/>
    </row>
    <row r="353" spans="5:26" s="1652" customFormat="1">
      <c r="E353" s="2266"/>
      <c r="H353" s="3253" t="s">
        <v>2517</v>
      </c>
      <c r="I353" s="3254">
        <v>535</v>
      </c>
      <c r="J353" s="2226" t="s">
        <v>110</v>
      </c>
      <c r="K353" s="3253" t="s">
        <v>845</v>
      </c>
      <c r="L353" s="3256">
        <v>16.100000000000001</v>
      </c>
      <c r="M353" s="3256">
        <v>16.100000000000001</v>
      </c>
      <c r="N353" s="3257" t="s">
        <v>229</v>
      </c>
      <c r="O353" s="3253">
        <v>2</v>
      </c>
      <c r="P353" s="3258" t="s">
        <v>1253</v>
      </c>
      <c r="Q353" s="3254"/>
      <c r="R353" s="3254"/>
      <c r="S353" s="3259"/>
      <c r="T353" s="3261"/>
      <c r="U353" s="2228">
        <f t="shared" si="17"/>
        <v>0</v>
      </c>
      <c r="V353" s="3259"/>
      <c r="W353" s="3262"/>
      <c r="X353" s="2230">
        <f t="shared" si="18"/>
        <v>0</v>
      </c>
      <c r="Y353" s="3260"/>
      <c r="Z353" s="3258"/>
    </row>
    <row r="354" spans="5:26" s="1652" customFormat="1">
      <c r="E354" s="2266"/>
      <c r="H354" s="3253" t="s">
        <v>2518</v>
      </c>
      <c r="I354" s="3254">
        <v>129</v>
      </c>
      <c r="J354" s="2226" t="s">
        <v>110</v>
      </c>
      <c r="K354" s="3253" t="s">
        <v>845</v>
      </c>
      <c r="L354" s="3256">
        <v>16.100000000000001</v>
      </c>
      <c r="M354" s="3256">
        <v>16.100000000000001</v>
      </c>
      <c r="N354" s="3257">
        <v>2.5299003827209763E-3</v>
      </c>
      <c r="O354" s="3253">
        <v>2</v>
      </c>
      <c r="P354" s="3258" t="s">
        <v>1253</v>
      </c>
      <c r="Q354" s="3254"/>
      <c r="R354" s="3254">
        <v>100</v>
      </c>
      <c r="S354" s="3259"/>
      <c r="T354" s="3261"/>
      <c r="U354" s="2228">
        <f t="shared" si="17"/>
        <v>12900</v>
      </c>
      <c r="V354" s="3259"/>
      <c r="W354" s="3262"/>
      <c r="X354" s="2230">
        <f t="shared" si="18"/>
        <v>1610.0000000000002</v>
      </c>
      <c r="Y354" s="3260"/>
      <c r="Z354" s="3258"/>
    </row>
    <row r="355" spans="5:26" s="1652" customFormat="1">
      <c r="E355" s="2266"/>
      <c r="H355" s="3253" t="s">
        <v>2519</v>
      </c>
      <c r="I355" s="3254">
        <v>10</v>
      </c>
      <c r="J355" s="2226" t="s">
        <v>110</v>
      </c>
      <c r="K355" s="3253" t="s">
        <v>845</v>
      </c>
      <c r="L355" s="3256">
        <v>0</v>
      </c>
      <c r="M355" s="3256">
        <v>0</v>
      </c>
      <c r="N355" s="3257">
        <v>5.8834892621418059E-4</v>
      </c>
      <c r="O355" s="3253">
        <v>10</v>
      </c>
      <c r="P355" s="3258" t="s">
        <v>997</v>
      </c>
      <c r="Q355" s="3254"/>
      <c r="R355" s="3254">
        <v>300</v>
      </c>
      <c r="S355" s="3259"/>
      <c r="T355" s="3261"/>
      <c r="U355" s="2228">
        <f t="shared" si="17"/>
        <v>3000</v>
      </c>
      <c r="V355" s="3259"/>
      <c r="W355" s="3262"/>
      <c r="X355" s="2230">
        <f t="shared" si="18"/>
        <v>0</v>
      </c>
      <c r="Y355" s="3260"/>
      <c r="Z355" s="3258"/>
    </row>
    <row r="356" spans="5:26" s="1652" customFormat="1">
      <c r="E356" s="2266"/>
      <c r="H356" s="3253" t="s">
        <v>2520</v>
      </c>
      <c r="I356" s="3254">
        <v>228</v>
      </c>
      <c r="J356" s="2226" t="s">
        <v>110</v>
      </c>
      <c r="K356" s="3253" t="s">
        <v>845</v>
      </c>
      <c r="L356" s="3256">
        <v>23.8</v>
      </c>
      <c r="M356" s="3256">
        <v>23.8</v>
      </c>
      <c r="N356" s="3257">
        <v>1.3414355517683317E-2</v>
      </c>
      <c r="O356" s="3253">
        <v>10</v>
      </c>
      <c r="P356" s="3258" t="s">
        <v>997</v>
      </c>
      <c r="Q356" s="3254"/>
      <c r="R356" s="3254">
        <v>300</v>
      </c>
      <c r="S356" s="3259"/>
      <c r="T356" s="3261"/>
      <c r="U356" s="2228">
        <f t="shared" si="17"/>
        <v>68400</v>
      </c>
      <c r="V356" s="3259"/>
      <c r="W356" s="3262"/>
      <c r="X356" s="2230">
        <f t="shared" si="18"/>
        <v>7140</v>
      </c>
      <c r="Y356" s="3260"/>
      <c r="Z356" s="3258"/>
    </row>
    <row r="357" spans="5:26" s="1652" customFormat="1">
      <c r="E357" s="2266"/>
      <c r="H357" s="3253" t="s">
        <v>2521</v>
      </c>
      <c r="I357" s="3254">
        <v>4288</v>
      </c>
      <c r="J357" s="2226" t="s">
        <v>110</v>
      </c>
      <c r="K357" s="3253" t="s">
        <v>845</v>
      </c>
      <c r="L357" s="3256">
        <v>23.8</v>
      </c>
      <c r="M357" s="3256">
        <v>23.8</v>
      </c>
      <c r="N357" s="3257">
        <v>0.25228401956064062</v>
      </c>
      <c r="O357" s="3253">
        <v>10</v>
      </c>
      <c r="P357" s="3258" t="s">
        <v>997</v>
      </c>
      <c r="Q357" s="3254"/>
      <c r="R357" s="3254">
        <v>300</v>
      </c>
      <c r="S357" s="3259"/>
      <c r="T357" s="3261"/>
      <c r="U357" s="2228">
        <f t="shared" si="17"/>
        <v>1286400</v>
      </c>
      <c r="V357" s="3259"/>
      <c r="W357" s="3262"/>
      <c r="X357" s="2230">
        <f t="shared" si="18"/>
        <v>7140</v>
      </c>
      <c r="Y357" s="3260"/>
      <c r="Z357" s="3258"/>
    </row>
    <row r="358" spans="5:26" s="1652" customFormat="1">
      <c r="E358" s="2266"/>
      <c r="H358" s="3253" t="s">
        <v>2522</v>
      </c>
      <c r="I358" s="3254">
        <v>190</v>
      </c>
      <c r="J358" s="2226" t="s">
        <v>110</v>
      </c>
      <c r="K358" s="3253" t="s">
        <v>845</v>
      </c>
      <c r="L358" s="3256">
        <v>0</v>
      </c>
      <c r="M358" s="3256">
        <v>0</v>
      </c>
      <c r="N358" s="3257">
        <v>1.1178629598069431E-2</v>
      </c>
      <c r="O358" s="3253">
        <v>10</v>
      </c>
      <c r="P358" s="3258" t="s">
        <v>997</v>
      </c>
      <c r="Q358" s="3254"/>
      <c r="R358" s="3254">
        <v>300</v>
      </c>
      <c r="S358" s="3259"/>
      <c r="T358" s="3261"/>
      <c r="U358" s="2228">
        <f t="shared" si="17"/>
        <v>57000</v>
      </c>
      <c r="V358" s="3259"/>
      <c r="W358" s="3262"/>
      <c r="X358" s="2230">
        <f t="shared" si="18"/>
        <v>0</v>
      </c>
      <c r="Y358" s="3260"/>
      <c r="Z358" s="3258"/>
    </row>
    <row r="359" spans="5:26" s="1652" customFormat="1">
      <c r="E359" s="2266"/>
      <c r="H359" s="3253" t="s">
        <v>2523</v>
      </c>
      <c r="I359" s="3254">
        <v>890</v>
      </c>
      <c r="J359" s="2226" t="s">
        <v>110</v>
      </c>
      <c r="K359" s="3253" t="s">
        <v>845</v>
      </c>
      <c r="L359" s="3256">
        <v>76.3</v>
      </c>
      <c r="M359" s="3256">
        <v>76.3</v>
      </c>
      <c r="N359" s="3257">
        <v>8.7271757388436792E-3</v>
      </c>
      <c r="O359" s="3253">
        <v>4</v>
      </c>
      <c r="P359" s="3258" t="s">
        <v>997</v>
      </c>
      <c r="Q359" s="3254"/>
      <c r="R359" s="3254">
        <v>50</v>
      </c>
      <c r="S359" s="3259"/>
      <c r="T359" s="3261"/>
      <c r="U359" s="2228">
        <f t="shared" si="17"/>
        <v>44500</v>
      </c>
      <c r="V359" s="3259"/>
      <c r="W359" s="3262"/>
      <c r="X359" s="2230">
        <f t="shared" si="18"/>
        <v>3815</v>
      </c>
      <c r="Y359" s="3260"/>
      <c r="Z359" s="3258"/>
    </row>
    <row r="360" spans="5:26" s="1652" customFormat="1">
      <c r="E360" s="2266"/>
      <c r="H360" s="3253" t="s">
        <v>2524</v>
      </c>
      <c r="I360" s="3254">
        <v>1393</v>
      </c>
      <c r="J360" s="2226" t="s">
        <v>110</v>
      </c>
      <c r="K360" s="3253" t="s">
        <v>845</v>
      </c>
      <c r="L360" s="3256">
        <v>76.3</v>
      </c>
      <c r="M360" s="3256">
        <v>76.3</v>
      </c>
      <c r="N360" s="3257">
        <v>1.3659500903605893E-2</v>
      </c>
      <c r="O360" s="3253">
        <v>4</v>
      </c>
      <c r="P360" s="3258" t="s">
        <v>997</v>
      </c>
      <c r="Q360" s="3254"/>
      <c r="R360" s="3254">
        <v>50</v>
      </c>
      <c r="S360" s="3259"/>
      <c r="T360" s="3261"/>
      <c r="U360" s="2228">
        <f t="shared" si="17"/>
        <v>69650</v>
      </c>
      <c r="V360" s="3259"/>
      <c r="W360" s="3262"/>
      <c r="X360" s="2230">
        <f t="shared" si="18"/>
        <v>3815</v>
      </c>
      <c r="Y360" s="3260"/>
      <c r="Z360" s="3258"/>
    </row>
    <row r="361" spans="5:26" s="1652" customFormat="1">
      <c r="E361" s="2266"/>
      <c r="H361" s="3253" t="s">
        <v>2525</v>
      </c>
      <c r="I361" s="3254">
        <v>2295</v>
      </c>
      <c r="J361" s="2226" t="s">
        <v>110</v>
      </c>
      <c r="K361" s="3253" t="s">
        <v>845</v>
      </c>
      <c r="L361" s="3256">
        <v>76.3</v>
      </c>
      <c r="M361" s="3256">
        <v>76.3</v>
      </c>
      <c r="N361" s="3257">
        <v>2.2504346427692407E-2</v>
      </c>
      <c r="O361" s="3253">
        <v>4</v>
      </c>
      <c r="P361" s="3258" t="s">
        <v>997</v>
      </c>
      <c r="Q361" s="3254"/>
      <c r="R361" s="3254">
        <v>50</v>
      </c>
      <c r="S361" s="3259"/>
      <c r="T361" s="3261"/>
      <c r="U361" s="2228">
        <f t="shared" si="17"/>
        <v>114750</v>
      </c>
      <c r="V361" s="3259"/>
      <c r="W361" s="3262"/>
      <c r="X361" s="2230">
        <f t="shared" si="18"/>
        <v>3815</v>
      </c>
      <c r="Y361" s="3260"/>
      <c r="Z361" s="3258"/>
    </row>
    <row r="362" spans="5:26" s="1652" customFormat="1">
      <c r="E362" s="2266"/>
      <c r="H362" s="3253" t="s">
        <v>2526</v>
      </c>
      <c r="I362" s="3254">
        <v>1267</v>
      </c>
      <c r="J362" s="2226" t="s">
        <v>110</v>
      </c>
      <c r="K362" s="3253" t="s">
        <v>845</v>
      </c>
      <c r="L362" s="3256">
        <v>76.3</v>
      </c>
      <c r="M362" s="3256">
        <v>76.3</v>
      </c>
      <c r="N362" s="3257">
        <v>1.2423968158556113E-2</v>
      </c>
      <c r="O362" s="3253">
        <v>4</v>
      </c>
      <c r="P362" s="3258" t="s">
        <v>997</v>
      </c>
      <c r="Q362" s="3254"/>
      <c r="R362" s="3254">
        <v>50</v>
      </c>
      <c r="S362" s="3259"/>
      <c r="T362" s="3261"/>
      <c r="U362" s="2228">
        <f t="shared" si="17"/>
        <v>63350</v>
      </c>
      <c r="V362" s="3259"/>
      <c r="W362" s="3262"/>
      <c r="X362" s="2230">
        <f t="shared" si="18"/>
        <v>3815</v>
      </c>
      <c r="Y362" s="3260"/>
      <c r="Z362" s="3258"/>
    </row>
    <row r="363" spans="5:26" s="1652" customFormat="1">
      <c r="E363" s="2266"/>
      <c r="H363" s="3253" t="s">
        <v>2527</v>
      </c>
      <c r="I363" s="3254">
        <v>49</v>
      </c>
      <c r="J363" s="2226" t="s">
        <v>110</v>
      </c>
      <c r="K363" s="3253" t="s">
        <v>845</v>
      </c>
      <c r="L363" s="3256">
        <v>0</v>
      </c>
      <c r="M363" s="3256">
        <v>0</v>
      </c>
      <c r="N363" s="3257">
        <v>4.8048495640824746E-4</v>
      </c>
      <c r="O363" s="3253">
        <v>4</v>
      </c>
      <c r="P363" s="3258" t="s">
        <v>997</v>
      </c>
      <c r="Q363" s="3254"/>
      <c r="R363" s="3254">
        <v>50</v>
      </c>
      <c r="S363" s="3259"/>
      <c r="T363" s="3261"/>
      <c r="U363" s="2228">
        <f t="shared" si="17"/>
        <v>2450</v>
      </c>
      <c r="V363" s="3259"/>
      <c r="W363" s="3262"/>
      <c r="X363" s="2230">
        <f t="shared" si="18"/>
        <v>0</v>
      </c>
      <c r="Y363" s="3260"/>
      <c r="Z363" s="3258"/>
    </row>
    <row r="364" spans="5:26" s="1652" customFormat="1">
      <c r="E364" s="2266"/>
      <c r="H364" s="3253" t="s">
        <v>2528</v>
      </c>
      <c r="I364" s="3254">
        <v>77</v>
      </c>
      <c r="J364" s="2226" t="s">
        <v>110</v>
      </c>
      <c r="K364" s="3253" t="s">
        <v>845</v>
      </c>
      <c r="L364" s="3256">
        <v>0</v>
      </c>
      <c r="M364" s="3256">
        <v>0</v>
      </c>
      <c r="N364" s="3257">
        <v>7.5504778864153175E-4</v>
      </c>
      <c r="O364" s="3253">
        <v>4</v>
      </c>
      <c r="P364" s="3258" t="s">
        <v>997</v>
      </c>
      <c r="Q364" s="3254"/>
      <c r="R364" s="3254">
        <v>50</v>
      </c>
      <c r="S364" s="3259"/>
      <c r="T364" s="3261"/>
      <c r="U364" s="2228">
        <f t="shared" si="17"/>
        <v>3850</v>
      </c>
      <c r="V364" s="3259"/>
      <c r="W364" s="3262"/>
      <c r="X364" s="2230">
        <f t="shared" si="18"/>
        <v>0</v>
      </c>
      <c r="Y364" s="3260"/>
      <c r="Z364" s="3258"/>
    </row>
    <row r="365" spans="5:26" s="1652" customFormat="1">
      <c r="E365" s="2266"/>
      <c r="H365" s="3253" t="s">
        <v>2529</v>
      </c>
      <c r="I365" s="3254">
        <v>127</v>
      </c>
      <c r="J365" s="2226" t="s">
        <v>110</v>
      </c>
      <c r="K365" s="3253" t="s">
        <v>845</v>
      </c>
      <c r="L365" s="3256">
        <v>0</v>
      </c>
      <c r="M365" s="3256">
        <v>0</v>
      </c>
      <c r="N365" s="3257">
        <v>1.2453385604866822E-3</v>
      </c>
      <c r="O365" s="3253">
        <v>4</v>
      </c>
      <c r="P365" s="3258" t="s">
        <v>997</v>
      </c>
      <c r="Q365" s="3254"/>
      <c r="R365" s="3254">
        <v>50</v>
      </c>
      <c r="S365" s="3259"/>
      <c r="T365" s="3261"/>
      <c r="U365" s="2228">
        <f t="shared" si="17"/>
        <v>6350</v>
      </c>
      <c r="V365" s="3259"/>
      <c r="W365" s="3262"/>
      <c r="X365" s="2230">
        <f t="shared" si="18"/>
        <v>0</v>
      </c>
      <c r="Y365" s="3260"/>
      <c r="Z365" s="3258"/>
    </row>
    <row r="366" spans="5:26" s="1652" customFormat="1">
      <c r="E366" s="2266"/>
      <c r="H366" s="3253" t="s">
        <v>2530</v>
      </c>
      <c r="I366" s="3254">
        <v>70</v>
      </c>
      <c r="J366" s="2226" t="s">
        <v>110</v>
      </c>
      <c r="K366" s="3253" t="s">
        <v>845</v>
      </c>
      <c r="L366" s="3256">
        <v>0</v>
      </c>
      <c r="M366" s="3256">
        <v>0</v>
      </c>
      <c r="N366" s="3257">
        <v>6.8640708058321067E-4</v>
      </c>
      <c r="O366" s="3253">
        <v>4</v>
      </c>
      <c r="P366" s="3258" t="s">
        <v>997</v>
      </c>
      <c r="Q366" s="3254"/>
      <c r="R366" s="3254">
        <v>50</v>
      </c>
      <c r="S366" s="3259"/>
      <c r="T366" s="3261"/>
      <c r="U366" s="2228">
        <f t="shared" si="17"/>
        <v>3500</v>
      </c>
      <c r="V366" s="3259"/>
      <c r="W366" s="3262"/>
      <c r="X366" s="2230">
        <f t="shared" si="18"/>
        <v>0</v>
      </c>
      <c r="Y366" s="3260"/>
      <c r="Z366" s="3258"/>
    </row>
    <row r="367" spans="5:26" s="1652" customFormat="1">
      <c r="E367" s="2266"/>
      <c r="H367" s="3253" t="s">
        <v>2531</v>
      </c>
      <c r="I367" s="3254">
        <v>473</v>
      </c>
      <c r="J367" s="2226" t="s">
        <v>110</v>
      </c>
      <c r="K367" s="3253" t="s">
        <v>845</v>
      </c>
      <c r="L367" s="3256">
        <v>160</v>
      </c>
      <c r="M367" s="3256">
        <v>160</v>
      </c>
      <c r="N367" s="3257">
        <v>4.6381507016551235E-3</v>
      </c>
      <c r="O367" s="3253">
        <v>10</v>
      </c>
      <c r="P367" s="3258" t="s">
        <v>997</v>
      </c>
      <c r="Q367" s="3254"/>
      <c r="R367" s="3254">
        <v>50</v>
      </c>
      <c r="S367" s="3259"/>
      <c r="T367" s="3261"/>
      <c r="U367" s="2228">
        <f t="shared" si="17"/>
        <v>23650</v>
      </c>
      <c r="V367" s="3259"/>
      <c r="W367" s="3262"/>
      <c r="X367" s="2230">
        <f t="shared" si="18"/>
        <v>8000</v>
      </c>
      <c r="Y367" s="3260"/>
      <c r="Z367" s="3258"/>
    </row>
    <row r="368" spans="5:26" s="1652" customFormat="1">
      <c r="E368" s="2266"/>
      <c r="H368" s="3253" t="s">
        <v>1615</v>
      </c>
      <c r="I368" s="3254">
        <v>776120</v>
      </c>
      <c r="J368" s="2226" t="s">
        <v>110</v>
      </c>
      <c r="K368" s="3253" t="s">
        <v>991</v>
      </c>
      <c r="L368" s="3256">
        <v>1320893</v>
      </c>
      <c r="M368" s="3256">
        <v>924626</v>
      </c>
      <c r="N368" s="3257">
        <v>0.15220978953778327</v>
      </c>
      <c r="O368" s="3253">
        <v>15</v>
      </c>
      <c r="P368" s="3258" t="s">
        <v>1426</v>
      </c>
      <c r="Q368" s="3254"/>
      <c r="R368" s="3254">
        <v>1</v>
      </c>
      <c r="S368" s="3259"/>
      <c r="T368" s="3261"/>
      <c r="U368" s="2228">
        <f t="shared" si="17"/>
        <v>776120</v>
      </c>
      <c r="V368" s="3259"/>
      <c r="W368" s="3262"/>
      <c r="X368" s="2230">
        <f t="shared" si="18"/>
        <v>924626</v>
      </c>
      <c r="Y368" s="3260"/>
      <c r="Z368" s="3258"/>
    </row>
    <row r="369" spans="5:27" s="1652" customFormat="1">
      <c r="E369" s="2266"/>
      <c r="H369" s="3253" t="s">
        <v>1912</v>
      </c>
      <c r="I369" s="3254">
        <v>737</v>
      </c>
      <c r="J369" s="2226" t="s">
        <v>110</v>
      </c>
      <c r="K369" s="3253" t="s">
        <v>845</v>
      </c>
      <c r="L369" s="3256">
        <v>6008.08</v>
      </c>
      <c r="M369" s="3256">
        <v>100</v>
      </c>
      <c r="N369" s="3257">
        <v>1.4453771953995036E-2</v>
      </c>
      <c r="O369" s="3253">
        <v>15</v>
      </c>
      <c r="P369" s="3258" t="s">
        <v>1160</v>
      </c>
      <c r="Q369" s="3254"/>
      <c r="R369" s="3254">
        <v>100</v>
      </c>
      <c r="S369" s="3259"/>
      <c r="T369" s="3261"/>
      <c r="U369" s="2228">
        <f t="shared" si="17"/>
        <v>73700</v>
      </c>
      <c r="V369" s="3259"/>
      <c r="W369" s="3262"/>
      <c r="X369" s="2230">
        <f t="shared" si="18"/>
        <v>10000</v>
      </c>
      <c r="Y369" s="3260"/>
      <c r="Z369" s="3258"/>
    </row>
    <row r="370" spans="5:27" s="1652" customFormat="1">
      <c r="E370" s="2266"/>
      <c r="H370" s="3253" t="s">
        <v>1911</v>
      </c>
      <c r="I370" s="3254">
        <v>264</v>
      </c>
      <c r="J370" s="2226" t="s">
        <v>110</v>
      </c>
      <c r="K370" s="3253" t="s">
        <v>845</v>
      </c>
      <c r="L370" s="3256">
        <v>186.09</v>
      </c>
      <c r="M370" s="3256">
        <v>100</v>
      </c>
      <c r="N370" s="3257">
        <v>5.1774705506847894E-3</v>
      </c>
      <c r="O370" s="3253">
        <v>15</v>
      </c>
      <c r="P370" s="3258" t="s">
        <v>1160</v>
      </c>
      <c r="Q370" s="3254"/>
      <c r="R370" s="3254">
        <v>100</v>
      </c>
      <c r="S370" s="3259"/>
      <c r="T370" s="3261"/>
      <c r="U370" s="2228">
        <f t="shared" si="17"/>
        <v>26400</v>
      </c>
      <c r="V370" s="3259"/>
      <c r="W370" s="3262"/>
      <c r="X370" s="2230">
        <f t="shared" si="18"/>
        <v>10000</v>
      </c>
      <c r="Y370" s="3260"/>
      <c r="Z370" s="3258"/>
    </row>
    <row r="371" spans="5:27" s="1652" customFormat="1">
      <c r="E371" s="2266"/>
      <c r="H371" s="3253"/>
      <c r="I371" s="3254"/>
      <c r="J371" s="3255"/>
      <c r="K371" s="3253"/>
      <c r="L371" s="3256"/>
      <c r="M371" s="3256"/>
      <c r="N371" s="3257"/>
      <c r="O371" s="3253"/>
      <c r="P371" s="3258"/>
      <c r="Q371" s="3254"/>
      <c r="R371" s="3254"/>
      <c r="S371" s="3259"/>
      <c r="T371" s="3261"/>
      <c r="U371" s="3259"/>
      <c r="V371" s="3259"/>
      <c r="W371" s="3262"/>
      <c r="X371" s="3260"/>
      <c r="Y371" s="3260"/>
      <c r="Z371" s="3258"/>
    </row>
    <row r="372" spans="5:27" s="1652" customFormat="1">
      <c r="E372" s="2266"/>
      <c r="H372" s="3253"/>
      <c r="I372" s="3254"/>
      <c r="J372" s="3255"/>
      <c r="K372" s="3253"/>
      <c r="L372" s="3256"/>
      <c r="M372" s="3256"/>
      <c r="N372" s="3257"/>
      <c r="O372" s="3253"/>
      <c r="P372" s="3258"/>
      <c r="Q372" s="3254"/>
      <c r="R372" s="3254"/>
      <c r="S372" s="3259"/>
      <c r="T372" s="3261"/>
      <c r="U372" s="3259"/>
      <c r="V372" s="3259"/>
      <c r="W372" s="3262"/>
      <c r="X372" s="3260"/>
      <c r="Y372" s="3260"/>
      <c r="Z372" s="3258"/>
    </row>
    <row r="373" spans="5:27" s="1652" customFormat="1">
      <c r="E373" s="2266"/>
      <c r="H373" s="3253"/>
      <c r="I373" s="3254"/>
      <c r="J373" s="3255"/>
      <c r="K373" s="3253"/>
      <c r="L373" s="3256"/>
      <c r="M373" s="3256"/>
      <c r="N373" s="3257"/>
      <c r="O373" s="3253"/>
      <c r="P373" s="3258"/>
      <c r="Q373" s="3254"/>
      <c r="R373" s="3254"/>
      <c r="S373" s="3259"/>
      <c r="T373" s="3261"/>
      <c r="U373" s="3259"/>
      <c r="V373" s="3259"/>
      <c r="W373" s="3262"/>
      <c r="X373" s="3260"/>
      <c r="Y373" s="3260"/>
      <c r="Z373" s="3258"/>
    </row>
    <row r="377" spans="5:27">
      <c r="H377" s="3003" t="s">
        <v>1751</v>
      </c>
    </row>
    <row r="378" spans="5:27">
      <c r="H378" s="3595" t="s">
        <v>300</v>
      </c>
      <c r="I378" s="3595"/>
      <c r="J378" s="3595"/>
      <c r="K378" s="3595"/>
      <c r="L378" s="3595"/>
      <c r="M378" s="3595"/>
      <c r="N378" s="3595"/>
      <c r="O378" s="3595"/>
      <c r="P378" s="3595"/>
      <c r="Q378" s="2279"/>
      <c r="R378" s="2279"/>
      <c r="S378" s="2279"/>
      <c r="T378" s="2279"/>
      <c r="U378" s="2279"/>
      <c r="V378" s="2279"/>
      <c r="W378" s="2280" t="s">
        <v>300</v>
      </c>
      <c r="X378" s="2279"/>
      <c r="Y378" s="2279"/>
      <c r="Z378" s="2280" t="s">
        <v>300</v>
      </c>
      <c r="AA378" s="2279"/>
    </row>
    <row r="379" spans="5:27">
      <c r="H379" s="2281"/>
      <c r="I379" s="2282"/>
      <c r="J379" s="2282"/>
      <c r="K379" s="2281"/>
      <c r="L379" s="2281"/>
      <c r="M379" s="2281"/>
      <c r="N379" s="2281"/>
      <c r="O379" s="2281"/>
      <c r="P379" s="2281"/>
      <c r="Q379" s="2281"/>
      <c r="R379" s="2281"/>
      <c r="S379" s="2281"/>
      <c r="T379" s="2281"/>
      <c r="U379" s="2281"/>
      <c r="V379" s="2281"/>
      <c r="W379" s="2281"/>
      <c r="X379" s="2281"/>
      <c r="Y379" s="2281"/>
      <c r="Z379" s="2281"/>
      <c r="AA379" s="2281"/>
    </row>
    <row r="380" spans="5:27">
      <c r="H380" s="3596" t="s">
        <v>301</v>
      </c>
      <c r="I380" s="3596"/>
      <c r="J380" s="3596"/>
      <c r="K380" s="3596"/>
      <c r="L380" s="3596"/>
      <c r="M380" s="3596"/>
      <c r="N380" s="3596"/>
      <c r="O380" s="3596"/>
      <c r="P380" s="3596"/>
      <c r="Q380" s="3597" t="s">
        <v>40</v>
      </c>
      <c r="R380" s="3597"/>
      <c r="S380" s="3597"/>
      <c r="T380" s="3598" t="s">
        <v>41</v>
      </c>
      <c r="U380" s="3598"/>
      <c r="V380" s="3598"/>
      <c r="W380" s="3599" t="s">
        <v>52</v>
      </c>
      <c r="X380" s="3599"/>
      <c r="Y380" s="3599"/>
      <c r="Z380" s="3567" t="s">
        <v>1728</v>
      </c>
      <c r="AA380" s="2281"/>
    </row>
    <row r="381" spans="5:27">
      <c r="H381" s="2290" t="s">
        <v>302</v>
      </c>
      <c r="I381" s="2290" t="s">
        <v>228</v>
      </c>
      <c r="J381" s="2290" t="s">
        <v>303</v>
      </c>
      <c r="K381" s="2290" t="s">
        <v>304</v>
      </c>
      <c r="L381" s="2290" t="s">
        <v>53</v>
      </c>
      <c r="M381" s="2290" t="s">
        <v>54</v>
      </c>
      <c r="N381" s="2290" t="s">
        <v>305</v>
      </c>
      <c r="O381" s="2290" t="s">
        <v>55</v>
      </c>
      <c r="P381" s="2290" t="s">
        <v>56</v>
      </c>
      <c r="Q381" s="2291">
        <v>2016</v>
      </c>
      <c r="R381" s="2291">
        <v>2017</v>
      </c>
      <c r="S381" s="2291" t="s">
        <v>306</v>
      </c>
      <c r="T381" s="2292">
        <v>2016</v>
      </c>
      <c r="U381" s="2292">
        <v>2017</v>
      </c>
      <c r="V381" s="2292" t="s">
        <v>306</v>
      </c>
      <c r="W381" s="2293">
        <v>2016</v>
      </c>
      <c r="X381" s="2293">
        <v>2017</v>
      </c>
      <c r="Y381" s="2293" t="s">
        <v>306</v>
      </c>
      <c r="Z381" s="3567"/>
      <c r="AA381" s="2281"/>
    </row>
    <row r="382" spans="5:27">
      <c r="H382" s="2296" t="s">
        <v>307</v>
      </c>
      <c r="I382" s="2296" t="s">
        <v>307</v>
      </c>
      <c r="J382" s="2290"/>
      <c r="K382" s="2296" t="s">
        <v>307</v>
      </c>
      <c r="L382" s="2296" t="s">
        <v>307</v>
      </c>
      <c r="M382" s="2296" t="s">
        <v>307</v>
      </c>
      <c r="N382" s="2296" t="s">
        <v>307</v>
      </c>
      <c r="O382" s="2296" t="s">
        <v>307</v>
      </c>
      <c r="P382" s="2296" t="s">
        <v>307</v>
      </c>
      <c r="Q382" s="2296" t="s">
        <v>307</v>
      </c>
      <c r="R382" s="2296" t="s">
        <v>307</v>
      </c>
      <c r="S382" s="2291"/>
      <c r="T382" s="2292"/>
      <c r="U382" s="2292"/>
      <c r="V382" s="2292"/>
      <c r="W382" s="2293"/>
      <c r="X382" s="2293"/>
      <c r="Y382" s="2293"/>
      <c r="Z382" s="2338"/>
      <c r="AA382" s="2281"/>
    </row>
    <row r="383" spans="5:27">
      <c r="H383" s="2299" t="s">
        <v>308</v>
      </c>
      <c r="I383" s="2300"/>
      <c r="J383" s="2300"/>
      <c r="K383" s="2301"/>
      <c r="L383" s="2302">
        <f>SUMPRODUCT(L384:L554,S384:S554)</f>
        <v>1658865.4838</v>
      </c>
      <c r="M383" s="2302">
        <f>SUM(M384:M554)</f>
        <v>14785.663769999999</v>
      </c>
      <c r="N383" s="2303" t="s">
        <v>229</v>
      </c>
      <c r="O383" s="2301">
        <v>7</v>
      </c>
      <c r="P383" s="2301"/>
      <c r="Q383" s="2301"/>
      <c r="R383" s="2301"/>
      <c r="S383" s="2301"/>
      <c r="T383" s="2996">
        <v>3090940.5</v>
      </c>
      <c r="U383" s="2304">
        <f t="shared" ref="U383:V383" si="19">SUM(U384:U554)</f>
        <v>3090940.5</v>
      </c>
      <c r="V383" s="2304">
        <f t="shared" si="19"/>
        <v>6181881</v>
      </c>
      <c r="W383" s="3001">
        <v>746489.46771000011</v>
      </c>
      <c r="X383" s="2302">
        <f t="shared" ref="X383:Y383" si="20">SUM(X384:X554)</f>
        <v>746489.46771000011</v>
      </c>
      <c r="Y383" s="2302">
        <f t="shared" si="20"/>
        <v>1492978.9354200002</v>
      </c>
      <c r="Z383" s="2301">
        <v>0</v>
      </c>
      <c r="AA383" s="2281"/>
    </row>
    <row r="384" spans="5:27">
      <c r="H384" s="2224" t="s">
        <v>1256</v>
      </c>
      <c r="I384" s="2229">
        <v>158</v>
      </c>
      <c r="J384" s="2226" t="s">
        <v>110</v>
      </c>
      <c r="K384" s="2224" t="s">
        <v>845</v>
      </c>
      <c r="L384" s="2227">
        <v>161</v>
      </c>
      <c r="M384" s="2227">
        <v>144.9</v>
      </c>
      <c r="N384" s="2250">
        <v>1.2779281904650058E-3</v>
      </c>
      <c r="O384" s="2224">
        <v>12</v>
      </c>
      <c r="P384" s="2225" t="s">
        <v>996</v>
      </c>
      <c r="Q384" s="2229">
        <v>25</v>
      </c>
      <c r="R384" s="2229">
        <v>25</v>
      </c>
      <c r="S384" s="2228">
        <f t="shared" ref="S384:S447" si="21">Q384+R384</f>
        <v>50</v>
      </c>
      <c r="T384" s="2997">
        <v>3950</v>
      </c>
      <c r="U384" s="2228">
        <f t="shared" ref="U384:U447" si="22">I384*R384</f>
        <v>3950</v>
      </c>
      <c r="V384" s="2228">
        <f t="shared" ref="V384:V447" si="23">T384+U384</f>
        <v>7900</v>
      </c>
      <c r="W384" s="2999">
        <v>3622.5</v>
      </c>
      <c r="X384" s="2230">
        <f t="shared" ref="X384:X447" si="24">M384*R384</f>
        <v>3622.5</v>
      </c>
      <c r="Y384" s="2230">
        <f t="shared" ref="Y384:Y447" si="25">W384+X384</f>
        <v>7245</v>
      </c>
      <c r="Z384" s="2225"/>
      <c r="AA384" s="2281"/>
    </row>
    <row r="385" spans="8:27">
      <c r="H385" s="2224" t="s">
        <v>1257</v>
      </c>
      <c r="I385" s="2229">
        <v>100</v>
      </c>
      <c r="J385" s="2226" t="s">
        <v>110</v>
      </c>
      <c r="K385" s="2224" t="s">
        <v>845</v>
      </c>
      <c r="L385" s="2227">
        <v>54.6</v>
      </c>
      <c r="M385" s="2227">
        <v>49.14</v>
      </c>
      <c r="N385" s="2250">
        <v>8.0881531042088968E-4</v>
      </c>
      <c r="O385" s="2224">
        <v>5</v>
      </c>
      <c r="P385" s="2225" t="s">
        <v>1426</v>
      </c>
      <c r="Q385" s="2229">
        <v>25</v>
      </c>
      <c r="R385" s="2229">
        <v>25</v>
      </c>
      <c r="S385" s="2228">
        <f t="shared" si="21"/>
        <v>50</v>
      </c>
      <c r="T385" s="2997">
        <v>2500</v>
      </c>
      <c r="U385" s="2228">
        <f t="shared" si="22"/>
        <v>2500</v>
      </c>
      <c r="V385" s="2228">
        <f t="shared" si="23"/>
        <v>5000</v>
      </c>
      <c r="W385" s="2999">
        <v>1228.5</v>
      </c>
      <c r="X385" s="2230">
        <f t="shared" si="24"/>
        <v>1228.5</v>
      </c>
      <c r="Y385" s="2230">
        <f t="shared" si="25"/>
        <v>2457</v>
      </c>
      <c r="Z385" s="2225"/>
      <c r="AA385" s="2281"/>
    </row>
    <row r="386" spans="8:27">
      <c r="H386" s="2224" t="s">
        <v>1258</v>
      </c>
      <c r="I386" s="2229">
        <v>300</v>
      </c>
      <c r="J386" s="2226" t="s">
        <v>110</v>
      </c>
      <c r="K386" s="2224" t="s">
        <v>845</v>
      </c>
      <c r="L386" s="2227">
        <v>65</v>
      </c>
      <c r="M386" s="2227">
        <v>58.5</v>
      </c>
      <c r="N386" s="2250">
        <v>2.4264459312626691E-2</v>
      </c>
      <c r="O386" s="2224">
        <v>5</v>
      </c>
      <c r="P386" s="2225" t="s">
        <v>1426</v>
      </c>
      <c r="Q386" s="2229">
        <v>250</v>
      </c>
      <c r="R386" s="2229">
        <v>250</v>
      </c>
      <c r="S386" s="2228">
        <f t="shared" si="21"/>
        <v>500</v>
      </c>
      <c r="T386" s="2997">
        <v>75000</v>
      </c>
      <c r="U386" s="2228">
        <f t="shared" si="22"/>
        <v>75000</v>
      </c>
      <c r="V386" s="2228">
        <f t="shared" si="23"/>
        <v>150000</v>
      </c>
      <c r="W386" s="2999">
        <v>14625</v>
      </c>
      <c r="X386" s="2230">
        <f t="shared" si="24"/>
        <v>14625</v>
      </c>
      <c r="Y386" s="2230">
        <f t="shared" si="25"/>
        <v>29250</v>
      </c>
      <c r="Z386" s="2225"/>
      <c r="AA386" s="2281"/>
    </row>
    <row r="387" spans="8:27">
      <c r="H387" s="2224" t="s">
        <v>1259</v>
      </c>
      <c r="I387" s="2229">
        <v>46</v>
      </c>
      <c r="J387" s="2226" t="s">
        <v>110</v>
      </c>
      <c r="K387" s="2224" t="s">
        <v>845</v>
      </c>
      <c r="L387" s="2227">
        <v>81.132999999999996</v>
      </c>
      <c r="M387" s="2227">
        <v>73.0197</v>
      </c>
      <c r="N387" s="2250">
        <v>1.8602752139680464E-3</v>
      </c>
      <c r="O387" s="2224">
        <v>10</v>
      </c>
      <c r="P387" s="2225" t="s">
        <v>996</v>
      </c>
      <c r="Q387" s="2229">
        <v>125</v>
      </c>
      <c r="R387" s="2229">
        <v>125</v>
      </c>
      <c r="S387" s="2228">
        <f t="shared" si="21"/>
        <v>250</v>
      </c>
      <c r="T387" s="2997">
        <v>5750</v>
      </c>
      <c r="U387" s="2228">
        <f t="shared" si="22"/>
        <v>5750</v>
      </c>
      <c r="V387" s="2228">
        <f t="shared" si="23"/>
        <v>11500</v>
      </c>
      <c r="W387" s="2999">
        <v>9127.4624999999996</v>
      </c>
      <c r="X387" s="2230">
        <f t="shared" si="24"/>
        <v>9127.4624999999996</v>
      </c>
      <c r="Y387" s="2230">
        <f t="shared" si="25"/>
        <v>18254.924999999999</v>
      </c>
      <c r="Z387" s="2225"/>
      <c r="AA387" s="2281"/>
    </row>
    <row r="388" spans="8:27">
      <c r="H388" s="2224" t="s">
        <v>1260</v>
      </c>
      <c r="I388" s="2229">
        <v>116</v>
      </c>
      <c r="J388" s="2226" t="s">
        <v>110</v>
      </c>
      <c r="K388" s="2224" t="s">
        <v>845</v>
      </c>
      <c r="L388" s="2227">
        <v>81.132999999999996</v>
      </c>
      <c r="M388" s="2227">
        <v>73.0197</v>
      </c>
      <c r="N388" s="2250">
        <v>1.8764515201764642E-4</v>
      </c>
      <c r="O388" s="2224">
        <v>10</v>
      </c>
      <c r="P388" s="2225" t="s">
        <v>996</v>
      </c>
      <c r="Q388" s="2229">
        <v>5</v>
      </c>
      <c r="R388" s="2229">
        <v>5</v>
      </c>
      <c r="S388" s="2228">
        <f t="shared" si="21"/>
        <v>10</v>
      </c>
      <c r="T388" s="2997">
        <v>580</v>
      </c>
      <c r="U388" s="2228">
        <f t="shared" si="22"/>
        <v>580</v>
      </c>
      <c r="V388" s="2228">
        <f t="shared" si="23"/>
        <v>1160</v>
      </c>
      <c r="W388" s="2999">
        <v>365.0985</v>
      </c>
      <c r="X388" s="2230">
        <f t="shared" si="24"/>
        <v>365.0985</v>
      </c>
      <c r="Y388" s="2230">
        <f t="shared" si="25"/>
        <v>730.197</v>
      </c>
      <c r="Z388" s="2225"/>
      <c r="AA388" s="2281"/>
    </row>
    <row r="389" spans="8:27">
      <c r="H389" s="2224" t="s">
        <v>1261</v>
      </c>
      <c r="I389" s="2229">
        <v>162</v>
      </c>
      <c r="J389" s="2226" t="s">
        <v>110</v>
      </c>
      <c r="K389" s="2224" t="s">
        <v>845</v>
      </c>
      <c r="L389" s="2227">
        <v>81.132999999999996</v>
      </c>
      <c r="M389" s="2227">
        <v>73.0197</v>
      </c>
      <c r="N389" s="2250">
        <v>2.6205616057636827E-4</v>
      </c>
      <c r="O389" s="2224">
        <v>10</v>
      </c>
      <c r="P389" s="2225" t="s">
        <v>996</v>
      </c>
      <c r="Q389" s="2229">
        <v>5</v>
      </c>
      <c r="R389" s="2229">
        <v>5</v>
      </c>
      <c r="S389" s="2228">
        <f t="shared" si="21"/>
        <v>10</v>
      </c>
      <c r="T389" s="2997">
        <v>810</v>
      </c>
      <c r="U389" s="2228">
        <f t="shared" si="22"/>
        <v>810</v>
      </c>
      <c r="V389" s="2228">
        <f t="shared" si="23"/>
        <v>1620</v>
      </c>
      <c r="W389" s="2999">
        <v>365.0985</v>
      </c>
      <c r="X389" s="2230">
        <f t="shared" si="24"/>
        <v>365.0985</v>
      </c>
      <c r="Y389" s="2230">
        <f t="shared" si="25"/>
        <v>730.197</v>
      </c>
      <c r="Z389" s="2225"/>
      <c r="AA389" s="2281"/>
    </row>
    <row r="390" spans="8:27">
      <c r="H390" s="2224" t="s">
        <v>1262</v>
      </c>
      <c r="I390" s="2229">
        <v>302</v>
      </c>
      <c r="J390" s="2226" t="s">
        <v>110</v>
      </c>
      <c r="K390" s="2224" t="s">
        <v>845</v>
      </c>
      <c r="L390" s="2227">
        <v>81.132999999999996</v>
      </c>
      <c r="M390" s="2227">
        <v>73.0197</v>
      </c>
      <c r="N390" s="2250">
        <v>4.8852444749421741E-4</v>
      </c>
      <c r="O390" s="2224">
        <v>10</v>
      </c>
      <c r="P390" s="2225" t="s">
        <v>996</v>
      </c>
      <c r="Q390" s="2229">
        <v>5</v>
      </c>
      <c r="R390" s="2229">
        <v>5</v>
      </c>
      <c r="S390" s="2228">
        <f t="shared" si="21"/>
        <v>10</v>
      </c>
      <c r="T390" s="2997">
        <v>1510</v>
      </c>
      <c r="U390" s="2228">
        <f t="shared" si="22"/>
        <v>1510</v>
      </c>
      <c r="V390" s="2228">
        <f t="shared" si="23"/>
        <v>3020</v>
      </c>
      <c r="W390" s="2999">
        <v>365.0985</v>
      </c>
      <c r="X390" s="2230">
        <f t="shared" si="24"/>
        <v>365.0985</v>
      </c>
      <c r="Y390" s="2230">
        <f t="shared" si="25"/>
        <v>730.197</v>
      </c>
      <c r="Z390" s="2225"/>
      <c r="AA390" s="2281"/>
    </row>
    <row r="391" spans="8:27">
      <c r="H391" s="2224" t="s">
        <v>1430</v>
      </c>
      <c r="I391" s="2229">
        <v>464</v>
      </c>
      <c r="J391" s="2226" t="s">
        <v>110</v>
      </c>
      <c r="K391" s="2224" t="s">
        <v>845</v>
      </c>
      <c r="L391" s="2227">
        <v>81.132999999999996</v>
      </c>
      <c r="M391" s="2227">
        <v>73.0197</v>
      </c>
      <c r="N391" s="2250">
        <v>7.5058060807058568E-4</v>
      </c>
      <c r="O391" s="2224">
        <v>10</v>
      </c>
      <c r="P391" s="2225" t="s">
        <v>996</v>
      </c>
      <c r="Q391" s="2229">
        <v>5</v>
      </c>
      <c r="R391" s="2229">
        <v>5</v>
      </c>
      <c r="S391" s="2228">
        <f t="shared" si="21"/>
        <v>10</v>
      </c>
      <c r="T391" s="2997">
        <v>2320</v>
      </c>
      <c r="U391" s="2228">
        <f t="shared" si="22"/>
        <v>2320</v>
      </c>
      <c r="V391" s="2228">
        <f t="shared" si="23"/>
        <v>4640</v>
      </c>
      <c r="W391" s="2999">
        <v>365.0985</v>
      </c>
      <c r="X391" s="2230">
        <f t="shared" si="24"/>
        <v>365.0985</v>
      </c>
      <c r="Y391" s="2230">
        <f t="shared" si="25"/>
        <v>730.197</v>
      </c>
      <c r="Z391" s="2225"/>
      <c r="AA391" s="2281"/>
    </row>
    <row r="392" spans="8:27">
      <c r="H392" s="2224" t="s">
        <v>1264</v>
      </c>
      <c r="I392" s="2229">
        <v>153</v>
      </c>
      <c r="J392" s="2226" t="s">
        <v>110</v>
      </c>
      <c r="K392" s="2224" t="s">
        <v>845</v>
      </c>
      <c r="L392" s="2227">
        <v>60.12</v>
      </c>
      <c r="M392" s="2227">
        <v>54.107999999999997</v>
      </c>
      <c r="N392" s="2250">
        <v>2.4749748498879225E-2</v>
      </c>
      <c r="O392" s="2224">
        <v>10</v>
      </c>
      <c r="P392" s="2225" t="s">
        <v>996</v>
      </c>
      <c r="Q392" s="2229">
        <v>500</v>
      </c>
      <c r="R392" s="2229">
        <v>500</v>
      </c>
      <c r="S392" s="2228">
        <f t="shared" si="21"/>
        <v>1000</v>
      </c>
      <c r="T392" s="2997">
        <v>76500</v>
      </c>
      <c r="U392" s="2228">
        <f t="shared" si="22"/>
        <v>76500</v>
      </c>
      <c r="V392" s="2228">
        <f t="shared" si="23"/>
        <v>153000</v>
      </c>
      <c r="W392" s="2999">
        <v>27054</v>
      </c>
      <c r="X392" s="2230">
        <f t="shared" si="24"/>
        <v>27054</v>
      </c>
      <c r="Y392" s="2230">
        <f t="shared" si="25"/>
        <v>54108</v>
      </c>
      <c r="Z392" s="2225"/>
      <c r="AA392" s="2281"/>
    </row>
    <row r="393" spans="8:27">
      <c r="H393" s="2224" t="s">
        <v>1265</v>
      </c>
      <c r="I393" s="2229">
        <v>41</v>
      </c>
      <c r="J393" s="2226" t="s">
        <v>110</v>
      </c>
      <c r="K393" s="2224" t="s">
        <v>845</v>
      </c>
      <c r="L393" s="2227">
        <v>52.239899999999999</v>
      </c>
      <c r="M393" s="2227">
        <v>47.015909999999998</v>
      </c>
      <c r="N393" s="2250">
        <v>1.326457109090259E-4</v>
      </c>
      <c r="O393" s="2224">
        <v>12</v>
      </c>
      <c r="P393" s="2225" t="s">
        <v>996</v>
      </c>
      <c r="Q393" s="2229">
        <v>10</v>
      </c>
      <c r="R393" s="2229">
        <v>10</v>
      </c>
      <c r="S393" s="2228">
        <f t="shared" si="21"/>
        <v>20</v>
      </c>
      <c r="T393" s="2997">
        <v>410</v>
      </c>
      <c r="U393" s="2228">
        <f t="shared" si="22"/>
        <v>410</v>
      </c>
      <c r="V393" s="2228">
        <f t="shared" si="23"/>
        <v>820</v>
      </c>
      <c r="W393" s="2999">
        <v>470.15909999999997</v>
      </c>
      <c r="X393" s="2230">
        <f t="shared" si="24"/>
        <v>470.15909999999997</v>
      </c>
      <c r="Y393" s="2230">
        <f t="shared" si="25"/>
        <v>940.31819999999993</v>
      </c>
      <c r="Z393" s="2225"/>
      <c r="AA393" s="2281"/>
    </row>
    <row r="394" spans="8:27">
      <c r="H394" s="2224" t="s">
        <v>1266</v>
      </c>
      <c r="I394" s="2229">
        <v>70</v>
      </c>
      <c r="J394" s="2226" t="s">
        <v>110</v>
      </c>
      <c r="K394" s="2224" t="s">
        <v>845</v>
      </c>
      <c r="L394" s="2227">
        <v>53.279499999999999</v>
      </c>
      <c r="M394" s="2227">
        <v>47.951549999999997</v>
      </c>
      <c r="N394" s="2250">
        <v>1.1323414345892456E-4</v>
      </c>
      <c r="O394" s="2224">
        <v>12</v>
      </c>
      <c r="P394" s="2225" t="s">
        <v>996</v>
      </c>
      <c r="Q394" s="2229">
        <v>5</v>
      </c>
      <c r="R394" s="2229">
        <v>5</v>
      </c>
      <c r="S394" s="2228">
        <f t="shared" si="21"/>
        <v>10</v>
      </c>
      <c r="T394" s="2997">
        <v>350</v>
      </c>
      <c r="U394" s="2228">
        <f t="shared" si="22"/>
        <v>350</v>
      </c>
      <c r="V394" s="2228">
        <f t="shared" si="23"/>
        <v>700</v>
      </c>
      <c r="W394" s="2999">
        <v>239.75774999999999</v>
      </c>
      <c r="X394" s="2230">
        <f t="shared" si="24"/>
        <v>239.75774999999999</v>
      </c>
      <c r="Y394" s="2230">
        <f t="shared" si="25"/>
        <v>479.51549999999997</v>
      </c>
      <c r="Z394" s="2225"/>
      <c r="AA394" s="2281"/>
    </row>
    <row r="395" spans="8:27">
      <c r="H395" s="2224" t="s">
        <v>1267</v>
      </c>
      <c r="I395" s="2229">
        <v>66</v>
      </c>
      <c r="J395" s="2226" t="s">
        <v>110</v>
      </c>
      <c r="K395" s="2224" t="s">
        <v>845</v>
      </c>
      <c r="L395" s="2227">
        <v>55.878500000000003</v>
      </c>
      <c r="M395" s="2227">
        <v>50.290650000000007</v>
      </c>
      <c r="N395" s="2250">
        <v>2.6690905243889362E-3</v>
      </c>
      <c r="O395" s="2224">
        <v>12</v>
      </c>
      <c r="P395" s="2225" t="s">
        <v>996</v>
      </c>
      <c r="Q395" s="2229">
        <v>125</v>
      </c>
      <c r="R395" s="2229">
        <v>125</v>
      </c>
      <c r="S395" s="2228">
        <f t="shared" si="21"/>
        <v>250</v>
      </c>
      <c r="T395" s="2997">
        <v>8250</v>
      </c>
      <c r="U395" s="2228">
        <f t="shared" si="22"/>
        <v>8250</v>
      </c>
      <c r="V395" s="2228">
        <f t="shared" si="23"/>
        <v>16500</v>
      </c>
      <c r="W395" s="2999">
        <v>6286.3312500000011</v>
      </c>
      <c r="X395" s="2230">
        <f t="shared" si="24"/>
        <v>6286.3312500000011</v>
      </c>
      <c r="Y395" s="2230">
        <f t="shared" si="25"/>
        <v>12572.662500000002</v>
      </c>
      <c r="Z395" s="2225"/>
      <c r="AA395" s="2281"/>
    </row>
    <row r="396" spans="8:27">
      <c r="H396" s="2224" t="s">
        <v>1268</v>
      </c>
      <c r="I396" s="2229">
        <v>34</v>
      </c>
      <c r="J396" s="2226" t="s">
        <v>110</v>
      </c>
      <c r="K396" s="2224" t="s">
        <v>845</v>
      </c>
      <c r="L396" s="2227">
        <v>57.385999999999996</v>
      </c>
      <c r="M396" s="2227">
        <v>51.647399999999998</v>
      </c>
      <c r="N396" s="2250">
        <v>1.0999888221724099E-3</v>
      </c>
      <c r="O396" s="2224">
        <v>12</v>
      </c>
      <c r="P396" s="2225" t="s">
        <v>996</v>
      </c>
      <c r="Q396" s="2229">
        <v>100</v>
      </c>
      <c r="R396" s="2229">
        <v>100</v>
      </c>
      <c r="S396" s="2228">
        <f t="shared" si="21"/>
        <v>200</v>
      </c>
      <c r="T396" s="2997">
        <v>3400</v>
      </c>
      <c r="U396" s="2228">
        <f t="shared" si="22"/>
        <v>3400</v>
      </c>
      <c r="V396" s="2228">
        <f t="shared" si="23"/>
        <v>6800</v>
      </c>
      <c r="W396" s="2999">
        <v>5164.74</v>
      </c>
      <c r="X396" s="2230">
        <f t="shared" si="24"/>
        <v>5164.74</v>
      </c>
      <c r="Y396" s="2230">
        <f t="shared" si="25"/>
        <v>10329.48</v>
      </c>
      <c r="Z396" s="2225"/>
      <c r="AA396" s="2281"/>
    </row>
    <row r="397" spans="8:27">
      <c r="H397" s="2224" t="s">
        <v>1269</v>
      </c>
      <c r="I397" s="2229">
        <v>34</v>
      </c>
      <c r="J397" s="2226" t="s">
        <v>110</v>
      </c>
      <c r="K397" s="2224" t="s">
        <v>845</v>
      </c>
      <c r="L397" s="2227">
        <v>57.385999999999996</v>
      </c>
      <c r="M397" s="2227">
        <v>51.647399999999998</v>
      </c>
      <c r="N397" s="2250">
        <v>1.0999888221724099E-3</v>
      </c>
      <c r="O397" s="2224">
        <v>12</v>
      </c>
      <c r="P397" s="2225" t="s">
        <v>996</v>
      </c>
      <c r="Q397" s="2229">
        <v>100</v>
      </c>
      <c r="R397" s="2229">
        <v>100</v>
      </c>
      <c r="S397" s="2228">
        <f t="shared" si="21"/>
        <v>200</v>
      </c>
      <c r="T397" s="2997">
        <v>3400</v>
      </c>
      <c r="U397" s="2228">
        <f t="shared" si="22"/>
        <v>3400</v>
      </c>
      <c r="V397" s="2228">
        <f t="shared" si="23"/>
        <v>6800</v>
      </c>
      <c r="W397" s="2999">
        <v>5164.74</v>
      </c>
      <c r="X397" s="2230">
        <f t="shared" si="24"/>
        <v>5164.74</v>
      </c>
      <c r="Y397" s="2230">
        <f t="shared" si="25"/>
        <v>10329.48</v>
      </c>
      <c r="Z397" s="2225"/>
      <c r="AA397" s="2281"/>
    </row>
    <row r="398" spans="8:27">
      <c r="H398" s="2224" t="s">
        <v>1270</v>
      </c>
      <c r="I398" s="2229">
        <v>136</v>
      </c>
      <c r="J398" s="2226" t="s">
        <v>110</v>
      </c>
      <c r="K398" s="2224" t="s">
        <v>845</v>
      </c>
      <c r="L398" s="2227">
        <v>41.076000000000001</v>
      </c>
      <c r="M398" s="2227">
        <v>36.968400000000003</v>
      </c>
      <c r="N398" s="2250">
        <v>3.2999664665172297E-2</v>
      </c>
      <c r="O398" s="2224">
        <v>12</v>
      </c>
      <c r="P398" s="2225" t="s">
        <v>996</v>
      </c>
      <c r="Q398" s="2229">
        <v>750</v>
      </c>
      <c r="R398" s="2229">
        <v>750</v>
      </c>
      <c r="S398" s="2228">
        <f t="shared" si="21"/>
        <v>1500</v>
      </c>
      <c r="T398" s="2997">
        <v>102000</v>
      </c>
      <c r="U398" s="2228">
        <f t="shared" si="22"/>
        <v>102000</v>
      </c>
      <c r="V398" s="2228">
        <f t="shared" si="23"/>
        <v>204000</v>
      </c>
      <c r="W398" s="2999">
        <v>27726.300000000003</v>
      </c>
      <c r="X398" s="2230">
        <f t="shared" si="24"/>
        <v>27726.300000000003</v>
      </c>
      <c r="Y398" s="2230">
        <f t="shared" si="25"/>
        <v>55452.600000000006</v>
      </c>
      <c r="Z398" s="2225"/>
      <c r="AA398" s="2281"/>
    </row>
    <row r="399" spans="8:27">
      <c r="H399" s="2224" t="s">
        <v>1271</v>
      </c>
      <c r="I399" s="2229">
        <v>264.44799999999998</v>
      </c>
      <c r="J399" s="2226" t="s">
        <v>110</v>
      </c>
      <c r="K399" s="2224" t="s">
        <v>845</v>
      </c>
      <c r="L399" s="2227">
        <v>79.575999999999993</v>
      </c>
      <c r="M399" s="2227">
        <v>71.618399999999994</v>
      </c>
      <c r="N399" s="2250">
        <v>2.1388959121018344E-2</v>
      </c>
      <c r="O399" s="2224">
        <v>12</v>
      </c>
      <c r="P399" s="2225" t="s">
        <v>996</v>
      </c>
      <c r="Q399" s="2229">
        <v>250</v>
      </c>
      <c r="R399" s="2229">
        <v>250</v>
      </c>
      <c r="S399" s="2228">
        <f t="shared" si="21"/>
        <v>500</v>
      </c>
      <c r="T399" s="2997">
        <v>66112</v>
      </c>
      <c r="U399" s="2228">
        <f t="shared" si="22"/>
        <v>66112</v>
      </c>
      <c r="V399" s="2228">
        <f t="shared" si="23"/>
        <v>132224</v>
      </c>
      <c r="W399" s="2999">
        <v>17904.599999999999</v>
      </c>
      <c r="X399" s="2230">
        <f t="shared" si="24"/>
        <v>17904.599999999999</v>
      </c>
      <c r="Y399" s="2230">
        <f t="shared" si="25"/>
        <v>35809.199999999997</v>
      </c>
      <c r="Z399" s="2225"/>
      <c r="AA399" s="2281"/>
    </row>
    <row r="400" spans="8:27">
      <c r="H400" s="2224" t="s">
        <v>1271</v>
      </c>
      <c r="I400" s="2229">
        <v>190.072</v>
      </c>
      <c r="J400" s="2226" t="s">
        <v>110</v>
      </c>
      <c r="K400" s="2224" t="s">
        <v>845</v>
      </c>
      <c r="L400" s="2227">
        <v>79.575999999999993</v>
      </c>
      <c r="M400" s="2227">
        <v>71.618399999999994</v>
      </c>
      <c r="N400" s="2250">
        <v>1.5373314368231935E-2</v>
      </c>
      <c r="O400" s="2224">
        <v>12</v>
      </c>
      <c r="P400" s="2225" t="s">
        <v>996</v>
      </c>
      <c r="Q400" s="2229">
        <v>250</v>
      </c>
      <c r="R400" s="2229">
        <v>250</v>
      </c>
      <c r="S400" s="2228">
        <f t="shared" si="21"/>
        <v>500</v>
      </c>
      <c r="T400" s="2997">
        <v>47518</v>
      </c>
      <c r="U400" s="2228">
        <f t="shared" si="22"/>
        <v>47518</v>
      </c>
      <c r="V400" s="2228">
        <f t="shared" si="23"/>
        <v>95036</v>
      </c>
      <c r="W400" s="2999">
        <v>17904.599999999999</v>
      </c>
      <c r="X400" s="2230">
        <f t="shared" si="24"/>
        <v>17904.599999999999</v>
      </c>
      <c r="Y400" s="2230">
        <f t="shared" si="25"/>
        <v>35809.199999999997</v>
      </c>
      <c r="Z400" s="2225"/>
      <c r="AA400" s="2281"/>
    </row>
    <row r="401" spans="8:27">
      <c r="H401" s="2224" t="s">
        <v>1272</v>
      </c>
      <c r="I401" s="2229">
        <v>202</v>
      </c>
      <c r="J401" s="2226" t="s">
        <v>110</v>
      </c>
      <c r="K401" s="2224" t="s">
        <v>845</v>
      </c>
      <c r="L401" s="2227">
        <v>42.503999999999998</v>
      </c>
      <c r="M401" s="2227">
        <v>38.253599999999999</v>
      </c>
      <c r="N401" s="2250">
        <v>3.2676138541003945E-3</v>
      </c>
      <c r="O401" s="2224">
        <v>12</v>
      </c>
      <c r="P401" s="2225" t="s">
        <v>996</v>
      </c>
      <c r="Q401" s="2229">
        <v>50</v>
      </c>
      <c r="R401" s="2229">
        <v>50</v>
      </c>
      <c r="S401" s="2228">
        <f t="shared" si="21"/>
        <v>100</v>
      </c>
      <c r="T401" s="2997">
        <v>10100</v>
      </c>
      <c r="U401" s="2228">
        <f t="shared" si="22"/>
        <v>10100</v>
      </c>
      <c r="V401" s="2228">
        <f t="shared" si="23"/>
        <v>20200</v>
      </c>
      <c r="W401" s="2999">
        <v>1912.6799999999998</v>
      </c>
      <c r="X401" s="2230">
        <f t="shared" si="24"/>
        <v>1912.6799999999998</v>
      </c>
      <c r="Y401" s="2230">
        <f t="shared" si="25"/>
        <v>3825.3599999999997</v>
      </c>
      <c r="Z401" s="2225"/>
      <c r="AA401" s="2281"/>
    </row>
    <row r="402" spans="8:27">
      <c r="H402" s="2224" t="s">
        <v>1273</v>
      </c>
      <c r="I402" s="2229">
        <v>421.464</v>
      </c>
      <c r="J402" s="2226" t="s">
        <v>110</v>
      </c>
      <c r="K402" s="2224" t="s">
        <v>845</v>
      </c>
      <c r="L402" s="2227">
        <v>105.50399999999999</v>
      </c>
      <c r="M402" s="2227">
        <v>94.953599999999994</v>
      </c>
      <c r="N402" s="2250">
        <v>3.4088653599122988E-3</v>
      </c>
      <c r="O402" s="2224">
        <v>12</v>
      </c>
      <c r="P402" s="2225" t="s">
        <v>996</v>
      </c>
      <c r="Q402" s="2229">
        <v>25</v>
      </c>
      <c r="R402" s="2229">
        <v>25</v>
      </c>
      <c r="S402" s="2228">
        <f t="shared" si="21"/>
        <v>50</v>
      </c>
      <c r="T402" s="2997">
        <v>10536.6</v>
      </c>
      <c r="U402" s="2228">
        <f t="shared" si="22"/>
        <v>10536.6</v>
      </c>
      <c r="V402" s="2228">
        <f t="shared" si="23"/>
        <v>21073.200000000001</v>
      </c>
      <c r="W402" s="2999">
        <v>2373.8399999999997</v>
      </c>
      <c r="X402" s="2230">
        <f t="shared" si="24"/>
        <v>2373.8399999999997</v>
      </c>
      <c r="Y402" s="2230">
        <f t="shared" si="25"/>
        <v>4747.6799999999994</v>
      </c>
      <c r="Z402" s="2225"/>
      <c r="AA402" s="2281"/>
    </row>
    <row r="403" spans="8:27">
      <c r="H403" s="2224" t="s">
        <v>1273</v>
      </c>
      <c r="I403" s="2229">
        <v>280.976</v>
      </c>
      <c r="J403" s="2226" t="s">
        <v>110</v>
      </c>
      <c r="K403" s="2224" t="s">
        <v>845</v>
      </c>
      <c r="L403" s="2227">
        <v>105.50399999999999</v>
      </c>
      <c r="M403" s="2227">
        <v>94.953599999999994</v>
      </c>
      <c r="N403" s="2250">
        <v>2.2725769066081988E-3</v>
      </c>
      <c r="O403" s="2224">
        <v>12</v>
      </c>
      <c r="P403" s="2225" t="s">
        <v>996</v>
      </c>
      <c r="Q403" s="2229">
        <v>25</v>
      </c>
      <c r="R403" s="2229">
        <v>25</v>
      </c>
      <c r="S403" s="2228">
        <f t="shared" si="21"/>
        <v>50</v>
      </c>
      <c r="T403" s="2997">
        <v>7024.4</v>
      </c>
      <c r="U403" s="2228">
        <f t="shared" si="22"/>
        <v>7024.4</v>
      </c>
      <c r="V403" s="2228">
        <f t="shared" si="23"/>
        <v>14048.8</v>
      </c>
      <c r="W403" s="2999">
        <v>2373.8399999999997</v>
      </c>
      <c r="X403" s="2230">
        <f t="shared" si="24"/>
        <v>2373.8399999999997</v>
      </c>
      <c r="Y403" s="2230">
        <f t="shared" si="25"/>
        <v>4747.6799999999994</v>
      </c>
      <c r="Z403" s="2225"/>
      <c r="AA403" s="2281"/>
    </row>
    <row r="404" spans="8:27">
      <c r="H404" s="2224" t="s">
        <v>1274</v>
      </c>
      <c r="I404" s="2229">
        <v>446</v>
      </c>
      <c r="J404" s="2226" t="s">
        <v>110</v>
      </c>
      <c r="K404" s="2224" t="s">
        <v>845</v>
      </c>
      <c r="L404" s="2227">
        <v>57.357999999999997</v>
      </c>
      <c r="M404" s="2227">
        <v>51.622199999999999</v>
      </c>
      <c r="N404" s="2250">
        <v>3.6073162844771682E-2</v>
      </c>
      <c r="O404" s="2224">
        <v>12</v>
      </c>
      <c r="P404" s="2225" t="s">
        <v>996</v>
      </c>
      <c r="Q404" s="2229">
        <v>250</v>
      </c>
      <c r="R404" s="2229">
        <v>250</v>
      </c>
      <c r="S404" s="2228">
        <f t="shared" si="21"/>
        <v>500</v>
      </c>
      <c r="T404" s="2997">
        <v>111500</v>
      </c>
      <c r="U404" s="2228">
        <f t="shared" si="22"/>
        <v>111500</v>
      </c>
      <c r="V404" s="2228">
        <f t="shared" si="23"/>
        <v>223000</v>
      </c>
      <c r="W404" s="2999">
        <v>12905.55</v>
      </c>
      <c r="X404" s="2230">
        <f t="shared" si="24"/>
        <v>12905.55</v>
      </c>
      <c r="Y404" s="2230">
        <f t="shared" si="25"/>
        <v>25811.1</v>
      </c>
      <c r="Z404" s="2225"/>
      <c r="AA404" s="2281"/>
    </row>
    <row r="405" spans="8:27">
      <c r="H405" s="2224" t="s">
        <v>1275</v>
      </c>
      <c r="I405" s="2229">
        <v>462.78399999999999</v>
      </c>
      <c r="J405" s="2226" t="s">
        <v>110</v>
      </c>
      <c r="K405" s="2224" t="s">
        <v>845</v>
      </c>
      <c r="L405" s="2227">
        <v>99.35799999999999</v>
      </c>
      <c r="M405" s="2227">
        <v>89.422199999999989</v>
      </c>
      <c r="N405" s="2250">
        <v>7.4861356923564201E-3</v>
      </c>
      <c r="O405" s="2224">
        <v>12</v>
      </c>
      <c r="P405" s="2225" t="s">
        <v>996</v>
      </c>
      <c r="Q405" s="2229">
        <v>50</v>
      </c>
      <c r="R405" s="2229">
        <v>50</v>
      </c>
      <c r="S405" s="2228">
        <f t="shared" si="21"/>
        <v>100</v>
      </c>
      <c r="T405" s="2997">
        <v>23139.200000000001</v>
      </c>
      <c r="U405" s="2228">
        <f t="shared" si="22"/>
        <v>23139.200000000001</v>
      </c>
      <c r="V405" s="2228">
        <f t="shared" si="23"/>
        <v>46278.400000000001</v>
      </c>
      <c r="W405" s="2999">
        <v>4471.1099999999997</v>
      </c>
      <c r="X405" s="2230">
        <f t="shared" si="24"/>
        <v>4471.1099999999997</v>
      </c>
      <c r="Y405" s="2230">
        <f t="shared" si="25"/>
        <v>8942.2199999999993</v>
      </c>
      <c r="Z405" s="2225"/>
      <c r="AA405" s="2281"/>
    </row>
    <row r="406" spans="8:27">
      <c r="H406" s="2224" t="s">
        <v>1275</v>
      </c>
      <c r="I406" s="2229">
        <v>322.29599999999999</v>
      </c>
      <c r="J406" s="2226" t="s">
        <v>110</v>
      </c>
      <c r="K406" s="2224" t="s">
        <v>845</v>
      </c>
      <c r="L406" s="2227">
        <v>99.35799999999999</v>
      </c>
      <c r="M406" s="2227">
        <v>89.422199999999989</v>
      </c>
      <c r="N406" s="2250">
        <v>2.6067793928741105E-3</v>
      </c>
      <c r="O406" s="2224">
        <v>12</v>
      </c>
      <c r="P406" s="2225" t="s">
        <v>996</v>
      </c>
      <c r="Q406" s="2229">
        <v>25</v>
      </c>
      <c r="R406" s="2229">
        <v>25</v>
      </c>
      <c r="S406" s="2228">
        <f t="shared" si="21"/>
        <v>50</v>
      </c>
      <c r="T406" s="2997">
        <v>8057.4</v>
      </c>
      <c r="U406" s="2228">
        <f t="shared" si="22"/>
        <v>8057.4</v>
      </c>
      <c r="V406" s="2228">
        <f t="shared" si="23"/>
        <v>16114.8</v>
      </c>
      <c r="W406" s="2999">
        <v>2235.5549999999998</v>
      </c>
      <c r="X406" s="2230">
        <f t="shared" si="24"/>
        <v>2235.5549999999998</v>
      </c>
      <c r="Y406" s="2230">
        <f t="shared" si="25"/>
        <v>4471.1099999999997</v>
      </c>
      <c r="Z406" s="2225"/>
      <c r="AA406" s="2281"/>
    </row>
    <row r="407" spans="8:27">
      <c r="H407" s="2224" t="s">
        <v>1276</v>
      </c>
      <c r="I407" s="2229">
        <v>273</v>
      </c>
      <c r="J407" s="2226" t="s">
        <v>110</v>
      </c>
      <c r="K407" s="2224" t="s">
        <v>845</v>
      </c>
      <c r="L407" s="2227">
        <v>50.722000000000001</v>
      </c>
      <c r="M407" s="2227">
        <v>45.649799999999999</v>
      </c>
      <c r="N407" s="2250">
        <v>8.8322631897961162E-3</v>
      </c>
      <c r="O407" s="2224">
        <v>12</v>
      </c>
      <c r="P407" s="2225" t="s">
        <v>996</v>
      </c>
      <c r="Q407" s="2229">
        <v>100</v>
      </c>
      <c r="R407" s="2229">
        <v>100</v>
      </c>
      <c r="S407" s="2228">
        <f t="shared" si="21"/>
        <v>200</v>
      </c>
      <c r="T407" s="2997">
        <v>27300</v>
      </c>
      <c r="U407" s="2228">
        <f t="shared" si="22"/>
        <v>27300</v>
      </c>
      <c r="V407" s="2228">
        <f t="shared" si="23"/>
        <v>54600</v>
      </c>
      <c r="W407" s="2999">
        <v>4564.9799999999996</v>
      </c>
      <c r="X407" s="2230">
        <f t="shared" si="24"/>
        <v>4564.9799999999996</v>
      </c>
      <c r="Y407" s="2230">
        <f t="shared" si="25"/>
        <v>9129.9599999999991</v>
      </c>
      <c r="Z407" s="2225"/>
      <c r="AA407" s="2281"/>
    </row>
    <row r="408" spans="8:27">
      <c r="H408" s="2224" t="s">
        <v>1277</v>
      </c>
      <c r="I408" s="2229">
        <v>524.76400000000001</v>
      </c>
      <c r="J408" s="2226" t="s">
        <v>110</v>
      </c>
      <c r="K408" s="2224" t="s">
        <v>845</v>
      </c>
      <c r="L408" s="2227">
        <v>134.72200000000001</v>
      </c>
      <c r="M408" s="2227">
        <v>121.24980000000001</v>
      </c>
      <c r="N408" s="2250">
        <v>8.4887431511541551E-3</v>
      </c>
      <c r="O408" s="2224">
        <v>12</v>
      </c>
      <c r="P408" s="2225" t="s">
        <v>996</v>
      </c>
      <c r="Q408" s="2229">
        <v>50</v>
      </c>
      <c r="R408" s="2229">
        <v>50</v>
      </c>
      <c r="S408" s="2228">
        <f t="shared" si="21"/>
        <v>100</v>
      </c>
      <c r="T408" s="2997">
        <v>26238.2</v>
      </c>
      <c r="U408" s="2228">
        <f t="shared" si="22"/>
        <v>26238.2</v>
      </c>
      <c r="V408" s="2228">
        <f t="shared" si="23"/>
        <v>52476.4</v>
      </c>
      <c r="W408" s="2999">
        <v>6062.4900000000007</v>
      </c>
      <c r="X408" s="2230">
        <f t="shared" si="24"/>
        <v>6062.4900000000007</v>
      </c>
      <c r="Y408" s="2230">
        <f t="shared" si="25"/>
        <v>12124.980000000001</v>
      </c>
      <c r="Z408" s="2225"/>
      <c r="AA408" s="2281"/>
    </row>
    <row r="409" spans="8:27">
      <c r="H409" s="2224" t="s">
        <v>1277</v>
      </c>
      <c r="I409" s="2229">
        <v>376.012</v>
      </c>
      <c r="J409" s="2226" t="s">
        <v>110</v>
      </c>
      <c r="K409" s="2224" t="s">
        <v>845</v>
      </c>
      <c r="L409" s="2227">
        <v>134.72200000000001</v>
      </c>
      <c r="M409" s="2227">
        <v>121.24980000000001</v>
      </c>
      <c r="N409" s="2250">
        <v>3.0412426250197955E-3</v>
      </c>
      <c r="O409" s="2224">
        <v>12</v>
      </c>
      <c r="P409" s="2225" t="s">
        <v>996</v>
      </c>
      <c r="Q409" s="2229">
        <v>25</v>
      </c>
      <c r="R409" s="2229">
        <v>25</v>
      </c>
      <c r="S409" s="2228">
        <f t="shared" si="21"/>
        <v>50</v>
      </c>
      <c r="T409" s="2997">
        <v>9400.2999999999993</v>
      </c>
      <c r="U409" s="2228">
        <f t="shared" si="22"/>
        <v>9400.2999999999993</v>
      </c>
      <c r="V409" s="2228">
        <f t="shared" si="23"/>
        <v>18800.599999999999</v>
      </c>
      <c r="W409" s="2999">
        <v>3031.2450000000003</v>
      </c>
      <c r="X409" s="2230">
        <f t="shared" si="24"/>
        <v>3031.2450000000003</v>
      </c>
      <c r="Y409" s="2230">
        <f t="shared" si="25"/>
        <v>6062.4900000000007</v>
      </c>
      <c r="Z409" s="2225"/>
      <c r="AA409" s="2281"/>
    </row>
    <row r="410" spans="8:27">
      <c r="H410" s="2224" t="s">
        <v>1278</v>
      </c>
      <c r="I410" s="2229">
        <v>202</v>
      </c>
      <c r="J410" s="2226" t="s">
        <v>110</v>
      </c>
      <c r="K410" s="2224" t="s">
        <v>845</v>
      </c>
      <c r="L410" s="2227">
        <v>60.451999999999998</v>
      </c>
      <c r="M410" s="2227">
        <v>54.406799999999997</v>
      </c>
      <c r="N410" s="2250">
        <v>8.1690346352509859E-3</v>
      </c>
      <c r="O410" s="2224">
        <v>12</v>
      </c>
      <c r="P410" s="2225" t="s">
        <v>996</v>
      </c>
      <c r="Q410" s="2229">
        <v>125</v>
      </c>
      <c r="R410" s="2229">
        <v>125</v>
      </c>
      <c r="S410" s="2228">
        <f t="shared" si="21"/>
        <v>250</v>
      </c>
      <c r="T410" s="2997">
        <v>25250</v>
      </c>
      <c r="U410" s="2228">
        <f t="shared" si="22"/>
        <v>25250</v>
      </c>
      <c r="V410" s="2228">
        <f t="shared" si="23"/>
        <v>50500</v>
      </c>
      <c r="W410" s="2999">
        <v>6800.8499999999995</v>
      </c>
      <c r="X410" s="2230">
        <f t="shared" si="24"/>
        <v>6800.8499999999995</v>
      </c>
      <c r="Y410" s="2230">
        <f t="shared" si="25"/>
        <v>13601.699999999999</v>
      </c>
      <c r="Z410" s="2225"/>
      <c r="AA410" s="2281"/>
    </row>
    <row r="411" spans="8:27">
      <c r="H411" s="2224" t="s">
        <v>1279</v>
      </c>
      <c r="I411" s="2229">
        <v>561.952</v>
      </c>
      <c r="J411" s="2226" t="s">
        <v>110</v>
      </c>
      <c r="K411" s="2224" t="s">
        <v>845</v>
      </c>
      <c r="L411" s="2227">
        <v>109.452</v>
      </c>
      <c r="M411" s="2227">
        <v>98.506799999999998</v>
      </c>
      <c r="N411" s="2250">
        <v>4.5451538132163976E-3</v>
      </c>
      <c r="O411" s="2224">
        <v>12</v>
      </c>
      <c r="P411" s="2225" t="s">
        <v>996</v>
      </c>
      <c r="Q411" s="2229">
        <v>25</v>
      </c>
      <c r="R411" s="2229">
        <v>25</v>
      </c>
      <c r="S411" s="2228">
        <f t="shared" si="21"/>
        <v>50</v>
      </c>
      <c r="T411" s="2997">
        <v>14048.8</v>
      </c>
      <c r="U411" s="2228">
        <f t="shared" si="22"/>
        <v>14048.8</v>
      </c>
      <c r="V411" s="2228">
        <f t="shared" si="23"/>
        <v>28097.599999999999</v>
      </c>
      <c r="W411" s="2999">
        <v>2462.67</v>
      </c>
      <c r="X411" s="2230">
        <f t="shared" si="24"/>
        <v>2462.67</v>
      </c>
      <c r="Y411" s="2230">
        <f t="shared" si="25"/>
        <v>4925.34</v>
      </c>
      <c r="Z411" s="2225"/>
      <c r="AA411" s="2281"/>
    </row>
    <row r="412" spans="8:27">
      <c r="H412" s="2224" t="s">
        <v>1279</v>
      </c>
      <c r="I412" s="2229">
        <v>413.2</v>
      </c>
      <c r="J412" s="2226" t="s">
        <v>110</v>
      </c>
      <c r="K412" s="2224" t="s">
        <v>845</v>
      </c>
      <c r="L412" s="2227">
        <v>109.452</v>
      </c>
      <c r="M412" s="2227">
        <v>98.506799999999998</v>
      </c>
      <c r="N412" s="2250">
        <v>3.3420248626591163E-3</v>
      </c>
      <c r="O412" s="2224">
        <v>12</v>
      </c>
      <c r="P412" s="2225" t="s">
        <v>996</v>
      </c>
      <c r="Q412" s="2229">
        <v>25</v>
      </c>
      <c r="R412" s="2229">
        <v>25</v>
      </c>
      <c r="S412" s="2228">
        <f t="shared" si="21"/>
        <v>50</v>
      </c>
      <c r="T412" s="2997">
        <v>10330</v>
      </c>
      <c r="U412" s="2228">
        <f t="shared" si="22"/>
        <v>10330</v>
      </c>
      <c r="V412" s="2228">
        <f t="shared" si="23"/>
        <v>20660</v>
      </c>
      <c r="W412" s="2999">
        <v>2462.67</v>
      </c>
      <c r="X412" s="2230">
        <f t="shared" si="24"/>
        <v>2462.67</v>
      </c>
      <c r="Y412" s="2230">
        <f t="shared" si="25"/>
        <v>4925.34</v>
      </c>
      <c r="Z412" s="2225"/>
      <c r="AA412" s="2281"/>
    </row>
    <row r="413" spans="8:27">
      <c r="H413" s="2224" t="s">
        <v>1280</v>
      </c>
      <c r="I413" s="2229">
        <v>446</v>
      </c>
      <c r="J413" s="2226" t="s">
        <v>110</v>
      </c>
      <c r="K413" s="2224" t="s">
        <v>845</v>
      </c>
      <c r="L413" s="2227">
        <v>57.806000000000004</v>
      </c>
      <c r="M413" s="2227">
        <v>52.025400000000005</v>
      </c>
      <c r="N413" s="2250">
        <v>1.8036581422385841E-2</v>
      </c>
      <c r="O413" s="2224">
        <v>12</v>
      </c>
      <c r="P413" s="2225" t="s">
        <v>996</v>
      </c>
      <c r="Q413" s="2229">
        <v>125</v>
      </c>
      <c r="R413" s="2229">
        <v>125</v>
      </c>
      <c r="S413" s="2228">
        <f t="shared" si="21"/>
        <v>250</v>
      </c>
      <c r="T413" s="2997">
        <v>55750</v>
      </c>
      <c r="U413" s="2228">
        <f t="shared" si="22"/>
        <v>55750</v>
      </c>
      <c r="V413" s="2228">
        <f t="shared" si="23"/>
        <v>111500</v>
      </c>
      <c r="W413" s="2999">
        <v>6503.1750000000002</v>
      </c>
      <c r="X413" s="2230">
        <f t="shared" si="24"/>
        <v>6503.1750000000002</v>
      </c>
      <c r="Y413" s="2230">
        <f t="shared" si="25"/>
        <v>13006.35</v>
      </c>
      <c r="Z413" s="2225"/>
      <c r="AA413" s="2281"/>
    </row>
    <row r="414" spans="8:27">
      <c r="H414" s="2224" t="s">
        <v>1281</v>
      </c>
      <c r="I414" s="2229">
        <v>599.14</v>
      </c>
      <c r="J414" s="2226" t="s">
        <v>110</v>
      </c>
      <c r="K414" s="2224" t="s">
        <v>845</v>
      </c>
      <c r="L414" s="2227">
        <v>99.805999999999983</v>
      </c>
      <c r="M414" s="2227">
        <v>89.825399999999988</v>
      </c>
      <c r="N414" s="2250">
        <v>9.6918721017114368E-3</v>
      </c>
      <c r="O414" s="2224">
        <v>12</v>
      </c>
      <c r="P414" s="2225" t="s">
        <v>996</v>
      </c>
      <c r="Q414" s="2229">
        <v>50</v>
      </c>
      <c r="R414" s="2229">
        <v>50</v>
      </c>
      <c r="S414" s="2228">
        <f t="shared" si="21"/>
        <v>100</v>
      </c>
      <c r="T414" s="2997">
        <v>29957</v>
      </c>
      <c r="U414" s="2228">
        <f t="shared" si="22"/>
        <v>29957</v>
      </c>
      <c r="V414" s="2228">
        <f t="shared" si="23"/>
        <v>59914</v>
      </c>
      <c r="W414" s="2999">
        <v>4491.2699999999995</v>
      </c>
      <c r="X414" s="2230">
        <f t="shared" si="24"/>
        <v>4491.2699999999995</v>
      </c>
      <c r="Y414" s="2230">
        <f t="shared" si="25"/>
        <v>8982.5399999999991</v>
      </c>
      <c r="Z414" s="2225"/>
      <c r="AA414" s="2281"/>
    </row>
    <row r="415" spans="8:27">
      <c r="H415" s="2224" t="s">
        <v>1281</v>
      </c>
      <c r="I415" s="2229">
        <v>450.38799999999998</v>
      </c>
      <c r="J415" s="2226" t="s">
        <v>110</v>
      </c>
      <c r="K415" s="2224" t="s">
        <v>845</v>
      </c>
      <c r="L415" s="2227">
        <v>99.805999999999983</v>
      </c>
      <c r="M415" s="2227">
        <v>89.825399999999988</v>
      </c>
      <c r="N415" s="2250">
        <v>7.2856142005968726E-3</v>
      </c>
      <c r="O415" s="2224">
        <v>12</v>
      </c>
      <c r="P415" s="2225" t="s">
        <v>996</v>
      </c>
      <c r="Q415" s="2229">
        <v>50</v>
      </c>
      <c r="R415" s="2229">
        <v>50</v>
      </c>
      <c r="S415" s="2228">
        <f t="shared" si="21"/>
        <v>100</v>
      </c>
      <c r="T415" s="2997">
        <v>22519.399999999998</v>
      </c>
      <c r="U415" s="2228">
        <f t="shared" si="22"/>
        <v>22519.399999999998</v>
      </c>
      <c r="V415" s="2228">
        <f t="shared" si="23"/>
        <v>45038.799999999996</v>
      </c>
      <c r="W415" s="2999">
        <v>4491.2699999999995</v>
      </c>
      <c r="X415" s="2230">
        <f t="shared" si="24"/>
        <v>4491.2699999999995</v>
      </c>
      <c r="Y415" s="2230">
        <f t="shared" si="25"/>
        <v>8982.5399999999991</v>
      </c>
      <c r="Z415" s="2225"/>
      <c r="AA415" s="2281"/>
    </row>
    <row r="416" spans="8:27">
      <c r="H416" s="2224" t="s">
        <v>1282</v>
      </c>
      <c r="I416" s="2229">
        <v>77</v>
      </c>
      <c r="J416" s="2226" t="s">
        <v>110</v>
      </c>
      <c r="K416" s="2224" t="s">
        <v>845</v>
      </c>
      <c r="L416" s="2227">
        <v>60.437999999999995</v>
      </c>
      <c r="M416" s="2227">
        <v>54.394199999999998</v>
      </c>
      <c r="N416" s="2250">
        <v>2.4911511560963403E-3</v>
      </c>
      <c r="O416" s="2224">
        <v>12</v>
      </c>
      <c r="P416" s="2225" t="s">
        <v>996</v>
      </c>
      <c r="Q416" s="2229">
        <v>100</v>
      </c>
      <c r="R416" s="2229">
        <v>100</v>
      </c>
      <c r="S416" s="2228">
        <f t="shared" si="21"/>
        <v>200</v>
      </c>
      <c r="T416" s="2997">
        <v>7700</v>
      </c>
      <c r="U416" s="2228">
        <f t="shared" si="22"/>
        <v>7700</v>
      </c>
      <c r="V416" s="2228">
        <f t="shared" si="23"/>
        <v>15400</v>
      </c>
      <c r="W416" s="2999">
        <v>5439.42</v>
      </c>
      <c r="X416" s="2230">
        <f t="shared" si="24"/>
        <v>5439.42</v>
      </c>
      <c r="Y416" s="2230">
        <f t="shared" si="25"/>
        <v>10878.84</v>
      </c>
      <c r="Z416" s="2225"/>
      <c r="AA416" s="2281"/>
    </row>
    <row r="417" spans="8:27">
      <c r="H417" s="2224" t="s">
        <v>1283</v>
      </c>
      <c r="I417" s="2229">
        <v>231.392</v>
      </c>
      <c r="J417" s="2226" t="s">
        <v>110</v>
      </c>
      <c r="K417" s="2224" t="s">
        <v>845</v>
      </c>
      <c r="L417" s="2227">
        <v>102.438</v>
      </c>
      <c r="M417" s="2227">
        <v>92.194200000000009</v>
      </c>
      <c r="N417" s="2250">
        <v>1.871533923089105E-3</v>
      </c>
      <c r="O417" s="2224">
        <v>12</v>
      </c>
      <c r="P417" s="2225" t="s">
        <v>996</v>
      </c>
      <c r="Q417" s="2229">
        <v>25</v>
      </c>
      <c r="R417" s="2229">
        <v>25</v>
      </c>
      <c r="S417" s="2228">
        <f t="shared" si="21"/>
        <v>50</v>
      </c>
      <c r="T417" s="2997">
        <v>5784.8</v>
      </c>
      <c r="U417" s="2228">
        <f t="shared" si="22"/>
        <v>5784.8</v>
      </c>
      <c r="V417" s="2228">
        <f t="shared" si="23"/>
        <v>11569.6</v>
      </c>
      <c r="W417" s="2999">
        <v>2304.855</v>
      </c>
      <c r="X417" s="2230">
        <f t="shared" si="24"/>
        <v>2304.855</v>
      </c>
      <c r="Y417" s="2230">
        <f t="shared" si="25"/>
        <v>4609.71</v>
      </c>
      <c r="Z417" s="2225"/>
      <c r="AA417" s="2281"/>
    </row>
    <row r="418" spans="8:27">
      <c r="H418" s="2224" t="s">
        <v>1283</v>
      </c>
      <c r="I418" s="2229">
        <v>165.28</v>
      </c>
      <c r="J418" s="2226" t="s">
        <v>110</v>
      </c>
      <c r="K418" s="2224" t="s">
        <v>845</v>
      </c>
      <c r="L418" s="2227">
        <v>102.438</v>
      </c>
      <c r="M418" s="2227">
        <v>92.194200000000009</v>
      </c>
      <c r="N418" s="2250">
        <v>1.3368099450636465E-3</v>
      </c>
      <c r="O418" s="2224">
        <v>12</v>
      </c>
      <c r="P418" s="2225" t="s">
        <v>996</v>
      </c>
      <c r="Q418" s="2229">
        <v>25</v>
      </c>
      <c r="R418" s="2229">
        <v>25</v>
      </c>
      <c r="S418" s="2228">
        <f t="shared" si="21"/>
        <v>50</v>
      </c>
      <c r="T418" s="2997">
        <v>4132</v>
      </c>
      <c r="U418" s="2228">
        <f t="shared" si="22"/>
        <v>4132</v>
      </c>
      <c r="V418" s="2228">
        <f t="shared" si="23"/>
        <v>8264</v>
      </c>
      <c r="W418" s="2999">
        <v>2304.855</v>
      </c>
      <c r="X418" s="2230">
        <f t="shared" si="24"/>
        <v>2304.855</v>
      </c>
      <c r="Y418" s="2230">
        <f t="shared" si="25"/>
        <v>4609.71</v>
      </c>
      <c r="Z418" s="2225"/>
      <c r="AA418" s="2281"/>
    </row>
    <row r="419" spans="8:27">
      <c r="H419" s="2224" t="s">
        <v>1284</v>
      </c>
      <c r="I419" s="2229">
        <v>103</v>
      </c>
      <c r="J419" s="2226" t="s">
        <v>110</v>
      </c>
      <c r="K419" s="2224" t="s">
        <v>845</v>
      </c>
      <c r="L419" s="2227">
        <v>70.587999999999994</v>
      </c>
      <c r="M419" s="2227">
        <v>63.529199999999996</v>
      </c>
      <c r="N419" s="2250">
        <v>3.3323190789340657E-3</v>
      </c>
      <c r="O419" s="2224">
        <v>12</v>
      </c>
      <c r="P419" s="2225" t="s">
        <v>996</v>
      </c>
      <c r="Q419" s="2229">
        <v>100</v>
      </c>
      <c r="R419" s="2229">
        <v>100</v>
      </c>
      <c r="S419" s="2228">
        <f t="shared" si="21"/>
        <v>200</v>
      </c>
      <c r="T419" s="2997">
        <v>10300</v>
      </c>
      <c r="U419" s="2228">
        <f t="shared" si="22"/>
        <v>10300</v>
      </c>
      <c r="V419" s="2228">
        <f t="shared" si="23"/>
        <v>20600</v>
      </c>
      <c r="W419" s="2999">
        <v>6352.9199999999992</v>
      </c>
      <c r="X419" s="2230">
        <f t="shared" si="24"/>
        <v>6352.9199999999992</v>
      </c>
      <c r="Y419" s="2230">
        <f t="shared" si="25"/>
        <v>12705.839999999998</v>
      </c>
      <c r="Z419" s="2225"/>
      <c r="AA419" s="2281"/>
    </row>
    <row r="420" spans="8:27">
      <c r="H420" s="2224" t="s">
        <v>1285</v>
      </c>
      <c r="I420" s="2229">
        <v>466.916</v>
      </c>
      <c r="J420" s="2226" t="s">
        <v>110</v>
      </c>
      <c r="K420" s="2224" t="s">
        <v>845</v>
      </c>
      <c r="L420" s="2227">
        <v>154.58799999999999</v>
      </c>
      <c r="M420" s="2227">
        <v>139.1292</v>
      </c>
      <c r="N420" s="2250">
        <v>3.7764880948048013E-3</v>
      </c>
      <c r="O420" s="2224">
        <v>12</v>
      </c>
      <c r="P420" s="2225" t="s">
        <v>996</v>
      </c>
      <c r="Q420" s="2229">
        <v>25</v>
      </c>
      <c r="R420" s="2229">
        <v>25</v>
      </c>
      <c r="S420" s="2228">
        <f t="shared" si="21"/>
        <v>50</v>
      </c>
      <c r="T420" s="2997">
        <v>11672.9</v>
      </c>
      <c r="U420" s="2228">
        <f t="shared" si="22"/>
        <v>11672.9</v>
      </c>
      <c r="V420" s="2228">
        <f t="shared" si="23"/>
        <v>23345.8</v>
      </c>
      <c r="W420" s="2999">
        <v>3478.23</v>
      </c>
      <c r="X420" s="2230">
        <f t="shared" si="24"/>
        <v>3478.23</v>
      </c>
      <c r="Y420" s="2230">
        <f t="shared" si="25"/>
        <v>6956.46</v>
      </c>
      <c r="Z420" s="2225"/>
      <c r="AA420" s="2281"/>
    </row>
    <row r="421" spans="8:27">
      <c r="H421" s="2224" t="s">
        <v>1285</v>
      </c>
      <c r="I421" s="2229">
        <v>334.69200000000001</v>
      </c>
      <c r="J421" s="2226" t="s">
        <v>110</v>
      </c>
      <c r="K421" s="2224" t="s">
        <v>845</v>
      </c>
      <c r="L421" s="2227">
        <v>154.58799999999999</v>
      </c>
      <c r="M421" s="2227">
        <v>139.1292</v>
      </c>
      <c r="N421" s="2250">
        <v>2.7070401387538838E-3</v>
      </c>
      <c r="O421" s="2224">
        <v>12</v>
      </c>
      <c r="P421" s="2225" t="s">
        <v>996</v>
      </c>
      <c r="Q421" s="2229">
        <v>25</v>
      </c>
      <c r="R421" s="2229">
        <v>25</v>
      </c>
      <c r="S421" s="2228">
        <f t="shared" si="21"/>
        <v>50</v>
      </c>
      <c r="T421" s="2997">
        <v>8367.2999999999993</v>
      </c>
      <c r="U421" s="2228">
        <f t="shared" si="22"/>
        <v>8367.2999999999993</v>
      </c>
      <c r="V421" s="2228">
        <f t="shared" si="23"/>
        <v>16734.599999999999</v>
      </c>
      <c r="W421" s="2999">
        <v>3478.23</v>
      </c>
      <c r="X421" s="2230">
        <f t="shared" si="24"/>
        <v>3478.23</v>
      </c>
      <c r="Y421" s="2230">
        <f t="shared" si="25"/>
        <v>6956.46</v>
      </c>
      <c r="Z421" s="2225"/>
      <c r="AA421" s="2281"/>
    </row>
    <row r="422" spans="8:27">
      <c r="H422" s="2224" t="s">
        <v>1282</v>
      </c>
      <c r="I422" s="2229">
        <v>403</v>
      </c>
      <c r="J422" s="2226" t="s">
        <v>110</v>
      </c>
      <c r="K422" s="2224" t="s">
        <v>845</v>
      </c>
      <c r="L422" s="2227">
        <v>61.333999999999996</v>
      </c>
      <c r="M422" s="2227">
        <v>55.200599999999994</v>
      </c>
      <c r="N422" s="2250">
        <v>3.2595257009961857E-3</v>
      </c>
      <c r="O422" s="2224">
        <v>12</v>
      </c>
      <c r="P422" s="2225" t="s">
        <v>996</v>
      </c>
      <c r="Q422" s="2229">
        <v>25</v>
      </c>
      <c r="R422" s="2229">
        <v>25</v>
      </c>
      <c r="S422" s="2228">
        <f t="shared" si="21"/>
        <v>50</v>
      </c>
      <c r="T422" s="2997">
        <v>10075</v>
      </c>
      <c r="U422" s="2228">
        <f t="shared" si="22"/>
        <v>10075</v>
      </c>
      <c r="V422" s="2228">
        <f t="shared" si="23"/>
        <v>20150</v>
      </c>
      <c r="W422" s="2999">
        <v>1380.0149999999999</v>
      </c>
      <c r="X422" s="2230">
        <f t="shared" si="24"/>
        <v>1380.0149999999999</v>
      </c>
      <c r="Y422" s="2230">
        <f t="shared" si="25"/>
        <v>2760.0299999999997</v>
      </c>
      <c r="Z422" s="2225"/>
      <c r="AA422" s="2281"/>
    </row>
    <row r="423" spans="8:27">
      <c r="H423" s="2224" t="s">
        <v>1283</v>
      </c>
      <c r="I423" s="2229">
        <v>50</v>
      </c>
      <c r="J423" s="2226" t="s">
        <v>110</v>
      </c>
      <c r="K423" s="2224" t="s">
        <v>845</v>
      </c>
      <c r="L423" s="2227">
        <v>103.334</v>
      </c>
      <c r="M423" s="2227">
        <v>93.000600000000006</v>
      </c>
      <c r="N423" s="2250">
        <v>4.0440765521044484E-4</v>
      </c>
      <c r="O423" s="2224">
        <v>12</v>
      </c>
      <c r="P423" s="2225" t="s">
        <v>996</v>
      </c>
      <c r="Q423" s="2229">
        <v>25</v>
      </c>
      <c r="R423" s="2229">
        <v>25</v>
      </c>
      <c r="S423" s="2228">
        <f t="shared" si="21"/>
        <v>50</v>
      </c>
      <c r="T423" s="2997">
        <v>1250</v>
      </c>
      <c r="U423" s="2228">
        <f t="shared" si="22"/>
        <v>1250</v>
      </c>
      <c r="V423" s="2228">
        <f t="shared" si="23"/>
        <v>2500</v>
      </c>
      <c r="W423" s="2999">
        <v>2325.0150000000003</v>
      </c>
      <c r="X423" s="2230">
        <f t="shared" si="24"/>
        <v>2325.0150000000003</v>
      </c>
      <c r="Y423" s="2230">
        <f t="shared" si="25"/>
        <v>4650.0300000000007</v>
      </c>
      <c r="Z423" s="2225"/>
      <c r="AA423" s="2281"/>
    </row>
    <row r="424" spans="8:27">
      <c r="H424" s="2224" t="s">
        <v>1286</v>
      </c>
      <c r="I424" s="2229">
        <v>516</v>
      </c>
      <c r="J424" s="2226" t="s">
        <v>110</v>
      </c>
      <c r="K424" s="2224" t="s">
        <v>845</v>
      </c>
      <c r="L424" s="2227">
        <v>73.009999999999991</v>
      </c>
      <c r="M424" s="2227">
        <v>65.708999999999989</v>
      </c>
      <c r="N424" s="2250">
        <v>4.1734870017717911E-3</v>
      </c>
      <c r="O424" s="2224">
        <v>12</v>
      </c>
      <c r="P424" s="2225" t="s">
        <v>996</v>
      </c>
      <c r="Q424" s="2229">
        <v>25</v>
      </c>
      <c r="R424" s="2229">
        <v>25</v>
      </c>
      <c r="S424" s="2228">
        <f t="shared" si="21"/>
        <v>50</v>
      </c>
      <c r="T424" s="2997">
        <v>12900</v>
      </c>
      <c r="U424" s="2228">
        <f t="shared" si="22"/>
        <v>12900</v>
      </c>
      <c r="V424" s="2228">
        <f t="shared" si="23"/>
        <v>25800</v>
      </c>
      <c r="W424" s="2999">
        <v>1642.7249999999997</v>
      </c>
      <c r="X424" s="2230">
        <f t="shared" si="24"/>
        <v>1642.7249999999997</v>
      </c>
      <c r="Y424" s="2230">
        <f t="shared" si="25"/>
        <v>3285.4499999999994</v>
      </c>
      <c r="Z424" s="2225"/>
      <c r="AA424" s="2281"/>
    </row>
    <row r="425" spans="8:27">
      <c r="H425" s="2224" t="s">
        <v>1287</v>
      </c>
      <c r="I425" s="2229">
        <v>115.696</v>
      </c>
      <c r="J425" s="2226" t="s">
        <v>110</v>
      </c>
      <c r="K425" s="2224" t="s">
        <v>845</v>
      </c>
      <c r="L425" s="2227">
        <v>155.48399999999998</v>
      </c>
      <c r="M425" s="2227">
        <v>139.93559999999999</v>
      </c>
      <c r="N425" s="2250">
        <v>9.3576696154455252E-4</v>
      </c>
      <c r="O425" s="2224">
        <v>12</v>
      </c>
      <c r="P425" s="2225" t="s">
        <v>996</v>
      </c>
      <c r="Q425" s="2229">
        <v>25</v>
      </c>
      <c r="R425" s="2229">
        <v>25</v>
      </c>
      <c r="S425" s="2228">
        <f t="shared" si="21"/>
        <v>50</v>
      </c>
      <c r="T425" s="2997">
        <v>2892.4</v>
      </c>
      <c r="U425" s="2228">
        <f t="shared" si="22"/>
        <v>2892.4</v>
      </c>
      <c r="V425" s="2228">
        <f t="shared" si="23"/>
        <v>5784.8</v>
      </c>
      <c r="W425" s="2999">
        <v>3498.39</v>
      </c>
      <c r="X425" s="2230">
        <f t="shared" si="24"/>
        <v>3498.39</v>
      </c>
      <c r="Y425" s="2230">
        <f t="shared" si="25"/>
        <v>6996.78</v>
      </c>
      <c r="Z425" s="2225"/>
      <c r="AA425" s="2281"/>
    </row>
    <row r="426" spans="8:27">
      <c r="H426" s="2224" t="s">
        <v>1288</v>
      </c>
      <c r="I426" s="2229">
        <v>397</v>
      </c>
      <c r="J426" s="2226" t="s">
        <v>110</v>
      </c>
      <c r="K426" s="2224" t="s">
        <v>845</v>
      </c>
      <c r="L426" s="2227">
        <v>119.3927</v>
      </c>
      <c r="M426" s="2227">
        <v>107.45343000000001</v>
      </c>
      <c r="N426" s="2250">
        <v>3.2109967823709322E-3</v>
      </c>
      <c r="O426" s="2224">
        <v>12</v>
      </c>
      <c r="P426" s="2225" t="s">
        <v>996</v>
      </c>
      <c r="Q426" s="2229">
        <v>25</v>
      </c>
      <c r="R426" s="2229">
        <v>25</v>
      </c>
      <c r="S426" s="2228">
        <f t="shared" si="21"/>
        <v>50</v>
      </c>
      <c r="T426" s="2997">
        <v>9925</v>
      </c>
      <c r="U426" s="2228">
        <f t="shared" si="22"/>
        <v>9925</v>
      </c>
      <c r="V426" s="2228">
        <f t="shared" si="23"/>
        <v>19850</v>
      </c>
      <c r="W426" s="2999">
        <v>2686.3357500000002</v>
      </c>
      <c r="X426" s="2230">
        <f t="shared" si="24"/>
        <v>2686.3357500000002</v>
      </c>
      <c r="Y426" s="2230">
        <f t="shared" si="25"/>
        <v>5372.6715000000004</v>
      </c>
      <c r="Z426" s="2225"/>
      <c r="AA426" s="2281"/>
    </row>
    <row r="427" spans="8:27">
      <c r="H427" s="2224" t="s">
        <v>1431</v>
      </c>
      <c r="I427" s="2229">
        <v>404.93599999999998</v>
      </c>
      <c r="J427" s="2226" t="s">
        <v>110</v>
      </c>
      <c r="K427" s="2224" t="s">
        <v>845</v>
      </c>
      <c r="L427" s="2227">
        <v>99.805999999999983</v>
      </c>
      <c r="M427" s="2227">
        <v>89.825399999999988</v>
      </c>
      <c r="N427" s="2250">
        <v>3.2751843654059338E-3</v>
      </c>
      <c r="O427" s="2224">
        <v>12</v>
      </c>
      <c r="P427" s="2225" t="s">
        <v>996</v>
      </c>
      <c r="Q427" s="2229">
        <v>25</v>
      </c>
      <c r="R427" s="2229">
        <v>25</v>
      </c>
      <c r="S427" s="2228">
        <f t="shared" si="21"/>
        <v>50</v>
      </c>
      <c r="T427" s="2997">
        <v>10123.4</v>
      </c>
      <c r="U427" s="2228">
        <f t="shared" si="22"/>
        <v>10123.4</v>
      </c>
      <c r="V427" s="2228">
        <f t="shared" si="23"/>
        <v>20246.8</v>
      </c>
      <c r="W427" s="2999">
        <v>2245.6349999999998</v>
      </c>
      <c r="X427" s="2230">
        <f t="shared" si="24"/>
        <v>2245.6349999999998</v>
      </c>
      <c r="Y427" s="2230">
        <f t="shared" si="25"/>
        <v>4491.2699999999995</v>
      </c>
      <c r="Z427" s="2225"/>
      <c r="AA427" s="2281"/>
    </row>
    <row r="428" spans="8:27">
      <c r="H428" s="2224" t="s">
        <v>1289</v>
      </c>
      <c r="I428" s="2229">
        <v>404.93599999999998</v>
      </c>
      <c r="J428" s="2226" t="s">
        <v>110</v>
      </c>
      <c r="K428" s="2224" t="s">
        <v>845</v>
      </c>
      <c r="L428" s="2227">
        <v>99.805999999999983</v>
      </c>
      <c r="M428" s="2227">
        <v>89.825399999999988</v>
      </c>
      <c r="N428" s="2250">
        <v>3.2751843654059338E-3</v>
      </c>
      <c r="O428" s="2224">
        <v>12</v>
      </c>
      <c r="P428" s="2225" t="s">
        <v>996</v>
      </c>
      <c r="Q428" s="2229">
        <v>25</v>
      </c>
      <c r="R428" s="2229">
        <v>25</v>
      </c>
      <c r="S428" s="2228">
        <f t="shared" si="21"/>
        <v>50</v>
      </c>
      <c r="T428" s="2997">
        <v>10123.4</v>
      </c>
      <c r="U428" s="2228">
        <f t="shared" si="22"/>
        <v>10123.4</v>
      </c>
      <c r="V428" s="2228">
        <f t="shared" si="23"/>
        <v>20246.8</v>
      </c>
      <c r="W428" s="2999">
        <v>2245.6349999999998</v>
      </c>
      <c r="X428" s="2230">
        <f t="shared" si="24"/>
        <v>2245.6349999999998</v>
      </c>
      <c r="Y428" s="2230">
        <f t="shared" si="25"/>
        <v>4491.2699999999995</v>
      </c>
      <c r="Z428" s="2225"/>
      <c r="AA428" s="2281"/>
    </row>
    <row r="429" spans="8:27">
      <c r="H429" s="2224" t="s">
        <v>1290</v>
      </c>
      <c r="I429" s="2229">
        <v>1556.932</v>
      </c>
      <c r="J429" s="2226" t="s">
        <v>110</v>
      </c>
      <c r="K429" s="2224" t="s">
        <v>845</v>
      </c>
      <c r="L429" s="2227">
        <v>334.59999999999997</v>
      </c>
      <c r="M429" s="2227">
        <v>301.14</v>
      </c>
      <c r="N429" s="2250">
        <v>0</v>
      </c>
      <c r="O429" s="2224">
        <v>12</v>
      </c>
      <c r="P429" s="2225" t="s">
        <v>996</v>
      </c>
      <c r="Q429" s="2229">
        <v>0</v>
      </c>
      <c r="R429" s="2229">
        <v>0</v>
      </c>
      <c r="S429" s="2228">
        <f t="shared" si="21"/>
        <v>0</v>
      </c>
      <c r="T429" s="2997">
        <v>0</v>
      </c>
      <c r="U429" s="2228">
        <f t="shared" si="22"/>
        <v>0</v>
      </c>
      <c r="V429" s="2228">
        <f t="shared" si="23"/>
        <v>0</v>
      </c>
      <c r="W429" s="2999">
        <v>0</v>
      </c>
      <c r="X429" s="2230">
        <f t="shared" si="24"/>
        <v>0</v>
      </c>
      <c r="Y429" s="2230">
        <f t="shared" si="25"/>
        <v>0</v>
      </c>
      <c r="Z429" s="2225"/>
      <c r="AA429" s="2281"/>
    </row>
    <row r="430" spans="8:27">
      <c r="H430" s="2224" t="s">
        <v>1432</v>
      </c>
      <c r="I430" s="2229">
        <v>1655.5239999999999</v>
      </c>
      <c r="J430" s="2226" t="s">
        <v>110</v>
      </c>
      <c r="K430" s="2224" t="s">
        <v>845</v>
      </c>
      <c r="L430" s="2227">
        <v>637</v>
      </c>
      <c r="M430" s="2227">
        <v>573.30000000000007</v>
      </c>
      <c r="N430" s="2250">
        <v>0</v>
      </c>
      <c r="O430" s="2224">
        <v>12</v>
      </c>
      <c r="P430" s="2225" t="s">
        <v>996</v>
      </c>
      <c r="Q430" s="2229">
        <v>0</v>
      </c>
      <c r="R430" s="2229">
        <v>0</v>
      </c>
      <c r="S430" s="2228">
        <f t="shared" si="21"/>
        <v>0</v>
      </c>
      <c r="T430" s="2997">
        <v>0</v>
      </c>
      <c r="U430" s="2228">
        <f t="shared" si="22"/>
        <v>0</v>
      </c>
      <c r="V430" s="2228">
        <f t="shared" si="23"/>
        <v>0</v>
      </c>
      <c r="W430" s="2999">
        <v>0</v>
      </c>
      <c r="X430" s="2230">
        <f t="shared" si="24"/>
        <v>0</v>
      </c>
      <c r="Y430" s="2230">
        <f t="shared" si="25"/>
        <v>0</v>
      </c>
      <c r="Z430" s="2225"/>
      <c r="AA430" s="2281"/>
    </row>
    <row r="431" spans="8:27">
      <c r="H431" s="2224" t="s">
        <v>1291</v>
      </c>
      <c r="I431" s="2229">
        <v>1107</v>
      </c>
      <c r="J431" s="2226" t="s">
        <v>110</v>
      </c>
      <c r="K431" s="2224" t="s">
        <v>845</v>
      </c>
      <c r="L431" s="2227">
        <v>261.27269999999999</v>
      </c>
      <c r="M431" s="2227">
        <v>235.14543</v>
      </c>
      <c r="N431" s="2250">
        <v>7.162868389087399E-4</v>
      </c>
      <c r="O431" s="2224">
        <v>12</v>
      </c>
      <c r="P431" s="2225" t="s">
        <v>996</v>
      </c>
      <c r="Q431" s="2229">
        <v>2</v>
      </c>
      <c r="R431" s="2229">
        <v>2</v>
      </c>
      <c r="S431" s="2228">
        <f t="shared" si="21"/>
        <v>4</v>
      </c>
      <c r="T431" s="2997">
        <v>2214</v>
      </c>
      <c r="U431" s="2228">
        <f t="shared" si="22"/>
        <v>2214</v>
      </c>
      <c r="V431" s="2228">
        <f t="shared" si="23"/>
        <v>4428</v>
      </c>
      <c r="W431" s="2999">
        <v>470.29086000000001</v>
      </c>
      <c r="X431" s="2230">
        <f t="shared" si="24"/>
        <v>470.29086000000001</v>
      </c>
      <c r="Y431" s="2230">
        <f t="shared" si="25"/>
        <v>940.58172000000002</v>
      </c>
      <c r="Z431" s="2225"/>
      <c r="AA431" s="2281"/>
    </row>
    <row r="432" spans="8:27">
      <c r="H432" s="2224" t="s">
        <v>1292</v>
      </c>
      <c r="I432" s="2229">
        <v>2482</v>
      </c>
      <c r="J432" s="2226" t="s">
        <v>110</v>
      </c>
      <c r="K432" s="2224" t="s">
        <v>845</v>
      </c>
      <c r="L432" s="2227">
        <v>409.40999999999997</v>
      </c>
      <c r="M432" s="2227">
        <v>368.46899999999999</v>
      </c>
      <c r="N432" s="2250">
        <v>0</v>
      </c>
      <c r="O432" s="2224">
        <v>12</v>
      </c>
      <c r="P432" s="2225" t="s">
        <v>996</v>
      </c>
      <c r="Q432" s="2229">
        <v>0</v>
      </c>
      <c r="R432" s="2229">
        <v>0</v>
      </c>
      <c r="S432" s="2228">
        <f t="shared" si="21"/>
        <v>0</v>
      </c>
      <c r="T432" s="2997">
        <v>0</v>
      </c>
      <c r="U432" s="2228">
        <f t="shared" si="22"/>
        <v>0</v>
      </c>
      <c r="V432" s="2228">
        <f t="shared" si="23"/>
        <v>0</v>
      </c>
      <c r="W432" s="2999">
        <v>0</v>
      </c>
      <c r="X432" s="2230">
        <f t="shared" si="24"/>
        <v>0</v>
      </c>
      <c r="Y432" s="2230">
        <f t="shared" si="25"/>
        <v>0</v>
      </c>
      <c r="Z432" s="2225"/>
      <c r="AA432" s="2281"/>
    </row>
    <row r="433" spans="8:27">
      <c r="H433" s="2224" t="s">
        <v>1293</v>
      </c>
      <c r="I433" s="2229">
        <v>202</v>
      </c>
      <c r="J433" s="2226" t="s">
        <v>110</v>
      </c>
      <c r="K433" s="2224" t="s">
        <v>845</v>
      </c>
      <c r="L433" s="2227">
        <v>104.80000000000001</v>
      </c>
      <c r="M433" s="2227">
        <v>94.320000000000007</v>
      </c>
      <c r="N433" s="2250">
        <v>8.1690346352509863E-4</v>
      </c>
      <c r="O433" s="2224">
        <v>12</v>
      </c>
      <c r="P433" s="2225" t="s">
        <v>996</v>
      </c>
      <c r="Q433" s="2229">
        <v>12.5</v>
      </c>
      <c r="R433" s="2229">
        <v>12.5</v>
      </c>
      <c r="S433" s="2228">
        <f t="shared" si="21"/>
        <v>25</v>
      </c>
      <c r="T433" s="2997">
        <v>2525</v>
      </c>
      <c r="U433" s="2228">
        <f t="shared" si="22"/>
        <v>2525</v>
      </c>
      <c r="V433" s="2228">
        <f t="shared" si="23"/>
        <v>5050</v>
      </c>
      <c r="W433" s="2999">
        <v>1179</v>
      </c>
      <c r="X433" s="2230">
        <f t="shared" si="24"/>
        <v>1179</v>
      </c>
      <c r="Y433" s="2230">
        <f t="shared" si="25"/>
        <v>2358</v>
      </c>
      <c r="Z433" s="2225"/>
      <c r="AA433" s="2281"/>
    </row>
    <row r="434" spans="8:27">
      <c r="H434" s="2224" t="s">
        <v>1293</v>
      </c>
      <c r="I434" s="2229">
        <v>368</v>
      </c>
      <c r="J434" s="2226" t="s">
        <v>110</v>
      </c>
      <c r="K434" s="2224" t="s">
        <v>845</v>
      </c>
      <c r="L434" s="2227">
        <v>85.15</v>
      </c>
      <c r="M434" s="2227">
        <v>76.635000000000005</v>
      </c>
      <c r="N434" s="2250">
        <v>0</v>
      </c>
      <c r="O434" s="2224">
        <v>12</v>
      </c>
      <c r="P434" s="2225" t="s">
        <v>996</v>
      </c>
      <c r="Q434" s="2229">
        <v>0</v>
      </c>
      <c r="R434" s="2229">
        <v>0</v>
      </c>
      <c r="S434" s="2228">
        <f t="shared" si="21"/>
        <v>0</v>
      </c>
      <c r="T434" s="2997">
        <v>0</v>
      </c>
      <c r="U434" s="2228">
        <f t="shared" si="22"/>
        <v>0</v>
      </c>
      <c r="V434" s="2228">
        <f t="shared" si="23"/>
        <v>0</v>
      </c>
      <c r="W434" s="2999">
        <v>0</v>
      </c>
      <c r="X434" s="2230">
        <f t="shared" si="24"/>
        <v>0</v>
      </c>
      <c r="Y434" s="2230">
        <f t="shared" si="25"/>
        <v>0</v>
      </c>
      <c r="Z434" s="2225"/>
      <c r="AA434" s="1652"/>
    </row>
    <row r="435" spans="8:27">
      <c r="H435" s="2224" t="s">
        <v>1294</v>
      </c>
      <c r="I435" s="2229">
        <v>479</v>
      </c>
      <c r="J435" s="2226" t="s">
        <v>110</v>
      </c>
      <c r="K435" s="2224" t="s">
        <v>845</v>
      </c>
      <c r="L435" s="2227">
        <v>87.75</v>
      </c>
      <c r="M435" s="2227">
        <v>78.975000000000009</v>
      </c>
      <c r="N435" s="2250">
        <v>1.9371126684580308E-3</v>
      </c>
      <c r="O435" s="2224">
        <v>12</v>
      </c>
      <c r="P435" s="2225" t="s">
        <v>996</v>
      </c>
      <c r="Q435" s="2229">
        <v>12.5</v>
      </c>
      <c r="R435" s="2229">
        <v>12.5</v>
      </c>
      <c r="S435" s="2228">
        <f t="shared" si="21"/>
        <v>25</v>
      </c>
      <c r="T435" s="2997">
        <v>5987.5</v>
      </c>
      <c r="U435" s="2228">
        <f t="shared" si="22"/>
        <v>5987.5</v>
      </c>
      <c r="V435" s="2228">
        <f t="shared" si="23"/>
        <v>11975</v>
      </c>
      <c r="W435" s="2999">
        <v>987.18750000000011</v>
      </c>
      <c r="X435" s="2230">
        <f t="shared" si="24"/>
        <v>987.18750000000011</v>
      </c>
      <c r="Y435" s="2230">
        <f t="shared" si="25"/>
        <v>1974.3750000000002</v>
      </c>
      <c r="Z435" s="2225"/>
      <c r="AA435" s="1652"/>
    </row>
    <row r="436" spans="8:27">
      <c r="H436" s="2224" t="s">
        <v>1295</v>
      </c>
      <c r="I436" s="2229">
        <v>793</v>
      </c>
      <c r="J436" s="2226" t="s">
        <v>110</v>
      </c>
      <c r="K436" s="2224" t="s">
        <v>845</v>
      </c>
      <c r="L436" s="2227">
        <v>87.75</v>
      </c>
      <c r="M436" s="2227">
        <v>78.975000000000009</v>
      </c>
      <c r="N436" s="2250">
        <v>3.2069527058188278E-3</v>
      </c>
      <c r="O436" s="2224">
        <v>12</v>
      </c>
      <c r="P436" s="2225" t="s">
        <v>996</v>
      </c>
      <c r="Q436" s="2229">
        <v>12.5</v>
      </c>
      <c r="R436" s="2229">
        <v>12.5</v>
      </c>
      <c r="S436" s="2228">
        <f t="shared" si="21"/>
        <v>25</v>
      </c>
      <c r="T436" s="2997">
        <v>9912.5</v>
      </c>
      <c r="U436" s="2228">
        <f t="shared" si="22"/>
        <v>9912.5</v>
      </c>
      <c r="V436" s="2228">
        <f t="shared" si="23"/>
        <v>19825</v>
      </c>
      <c r="W436" s="2999">
        <v>987.18750000000011</v>
      </c>
      <c r="X436" s="2230">
        <f t="shared" si="24"/>
        <v>987.18750000000011</v>
      </c>
      <c r="Y436" s="2230">
        <f t="shared" si="25"/>
        <v>1974.3750000000002</v>
      </c>
      <c r="Z436" s="2225"/>
      <c r="AA436" s="1652"/>
    </row>
    <row r="437" spans="8:27">
      <c r="H437" s="2224" t="s">
        <v>1296</v>
      </c>
      <c r="I437" s="2229">
        <v>685</v>
      </c>
      <c r="J437" s="2226" t="s">
        <v>110</v>
      </c>
      <c r="K437" s="2224" t="s">
        <v>845</v>
      </c>
      <c r="L437" s="2227">
        <v>196.3</v>
      </c>
      <c r="M437" s="2227">
        <v>176.67000000000002</v>
      </c>
      <c r="N437" s="2250">
        <v>2.7701924381915472E-3</v>
      </c>
      <c r="O437" s="2224">
        <v>12</v>
      </c>
      <c r="P437" s="2225" t="s">
        <v>996</v>
      </c>
      <c r="Q437" s="2229">
        <v>12.5</v>
      </c>
      <c r="R437" s="2229">
        <v>12.5</v>
      </c>
      <c r="S437" s="2228">
        <f t="shared" si="21"/>
        <v>25</v>
      </c>
      <c r="T437" s="2997">
        <v>8562.5</v>
      </c>
      <c r="U437" s="2228">
        <f t="shared" si="22"/>
        <v>8562.5</v>
      </c>
      <c r="V437" s="2228">
        <f t="shared" si="23"/>
        <v>17125</v>
      </c>
      <c r="W437" s="2999">
        <v>2208.375</v>
      </c>
      <c r="X437" s="2230">
        <f t="shared" si="24"/>
        <v>2208.375</v>
      </c>
      <c r="Y437" s="2230">
        <f t="shared" si="25"/>
        <v>4416.75</v>
      </c>
      <c r="Z437" s="2225"/>
      <c r="AA437" s="1652"/>
    </row>
    <row r="438" spans="8:27">
      <c r="H438" s="2224" t="s">
        <v>1297</v>
      </c>
      <c r="I438" s="2229">
        <v>685</v>
      </c>
      <c r="J438" s="2226" t="s">
        <v>110</v>
      </c>
      <c r="K438" s="2224" t="s">
        <v>845</v>
      </c>
      <c r="L438" s="2227">
        <v>376.59999999999997</v>
      </c>
      <c r="M438" s="2227">
        <v>338.94</v>
      </c>
      <c r="N438" s="2250">
        <v>2.2161539505532379E-3</v>
      </c>
      <c r="O438" s="2224">
        <v>12</v>
      </c>
      <c r="P438" s="2225" t="s">
        <v>996</v>
      </c>
      <c r="Q438" s="2229">
        <v>10</v>
      </c>
      <c r="R438" s="2229">
        <v>10</v>
      </c>
      <c r="S438" s="2228">
        <f t="shared" si="21"/>
        <v>20</v>
      </c>
      <c r="T438" s="2997">
        <v>6850</v>
      </c>
      <c r="U438" s="2228">
        <f t="shared" si="22"/>
        <v>6850</v>
      </c>
      <c r="V438" s="2228">
        <f t="shared" si="23"/>
        <v>13700</v>
      </c>
      <c r="W438" s="2999">
        <v>3389.4</v>
      </c>
      <c r="X438" s="2230">
        <f t="shared" si="24"/>
        <v>3389.4</v>
      </c>
      <c r="Y438" s="2230">
        <f t="shared" si="25"/>
        <v>6778.8</v>
      </c>
      <c r="Z438" s="2225"/>
      <c r="AA438" s="1652"/>
    </row>
    <row r="439" spans="8:27">
      <c r="H439" s="2224" t="s">
        <v>1298</v>
      </c>
      <c r="I439" s="2229">
        <v>601</v>
      </c>
      <c r="J439" s="2226" t="s">
        <v>110</v>
      </c>
      <c r="K439" s="2224" t="s">
        <v>845</v>
      </c>
      <c r="L439" s="2227">
        <v>162.39999999999998</v>
      </c>
      <c r="M439" s="2227">
        <v>146.16</v>
      </c>
      <c r="N439" s="2250">
        <v>4.8609800156295471E-2</v>
      </c>
      <c r="O439" s="2224">
        <v>12</v>
      </c>
      <c r="P439" s="2225" t="s">
        <v>996</v>
      </c>
      <c r="Q439" s="2229">
        <v>250</v>
      </c>
      <c r="R439" s="2229">
        <v>250</v>
      </c>
      <c r="S439" s="2228">
        <f t="shared" si="21"/>
        <v>500</v>
      </c>
      <c r="T439" s="2997">
        <v>150250</v>
      </c>
      <c r="U439" s="2228">
        <f t="shared" si="22"/>
        <v>150250</v>
      </c>
      <c r="V439" s="2228">
        <f t="shared" si="23"/>
        <v>300500</v>
      </c>
      <c r="W439" s="2999">
        <v>36540</v>
      </c>
      <c r="X439" s="2230">
        <f t="shared" si="24"/>
        <v>36540</v>
      </c>
      <c r="Y439" s="2230">
        <f t="shared" si="25"/>
        <v>73080</v>
      </c>
      <c r="Z439" s="2225"/>
      <c r="AA439" s="1652"/>
    </row>
    <row r="440" spans="8:27">
      <c r="H440" s="2224" t="s">
        <v>1433</v>
      </c>
      <c r="I440" s="2229">
        <v>190.21600000000001</v>
      </c>
      <c r="J440" s="2226" t="s">
        <v>110</v>
      </c>
      <c r="K440" s="2224" t="s">
        <v>845</v>
      </c>
      <c r="L440" s="2227">
        <v>88.199999999999989</v>
      </c>
      <c r="M440" s="2227">
        <v>79.38</v>
      </c>
      <c r="N440" s="2250">
        <v>1.5384961308701995E-2</v>
      </c>
      <c r="O440" s="2224">
        <v>12</v>
      </c>
      <c r="P440" s="2225" t="s">
        <v>996</v>
      </c>
      <c r="Q440" s="2229">
        <v>250</v>
      </c>
      <c r="R440" s="2229">
        <v>250</v>
      </c>
      <c r="S440" s="2228">
        <f t="shared" si="21"/>
        <v>500</v>
      </c>
      <c r="T440" s="2997">
        <v>47554</v>
      </c>
      <c r="U440" s="2228">
        <f t="shared" si="22"/>
        <v>47554</v>
      </c>
      <c r="V440" s="2228">
        <f t="shared" si="23"/>
        <v>95108</v>
      </c>
      <c r="W440" s="2999">
        <v>19845</v>
      </c>
      <c r="X440" s="2230">
        <f t="shared" si="24"/>
        <v>19845</v>
      </c>
      <c r="Y440" s="2230">
        <f t="shared" si="25"/>
        <v>39690</v>
      </c>
      <c r="Z440" s="2225"/>
      <c r="AA440" s="1652"/>
    </row>
    <row r="441" spans="8:27">
      <c r="H441" s="2224" t="s">
        <v>1300</v>
      </c>
      <c r="I441" s="2229">
        <v>157</v>
      </c>
      <c r="J441" s="2226" t="s">
        <v>110</v>
      </c>
      <c r="K441" s="2224" t="s">
        <v>845</v>
      </c>
      <c r="L441" s="2227">
        <v>15.75</v>
      </c>
      <c r="M441" s="2227">
        <v>14.175000000000001</v>
      </c>
      <c r="N441" s="2250">
        <v>2.5396800747215936E-2</v>
      </c>
      <c r="O441" s="2224">
        <v>3</v>
      </c>
      <c r="P441" s="2225" t="s">
        <v>996</v>
      </c>
      <c r="Q441" s="2229">
        <v>500</v>
      </c>
      <c r="R441" s="2229">
        <v>500</v>
      </c>
      <c r="S441" s="2228">
        <f t="shared" si="21"/>
        <v>1000</v>
      </c>
      <c r="T441" s="2997">
        <v>78500</v>
      </c>
      <c r="U441" s="2228">
        <f t="shared" si="22"/>
        <v>78500</v>
      </c>
      <c r="V441" s="2228">
        <f t="shared" si="23"/>
        <v>157000</v>
      </c>
      <c r="W441" s="2999">
        <v>7087.5</v>
      </c>
      <c r="X441" s="2230">
        <f t="shared" si="24"/>
        <v>7087.5</v>
      </c>
      <c r="Y441" s="2230">
        <f t="shared" si="25"/>
        <v>14175</v>
      </c>
      <c r="Z441" s="2225"/>
      <c r="AA441" s="1652"/>
    </row>
    <row r="442" spans="8:27">
      <c r="H442" s="2224" t="s">
        <v>1300</v>
      </c>
      <c r="I442" s="2229">
        <v>58</v>
      </c>
      <c r="J442" s="2226" t="s">
        <v>110</v>
      </c>
      <c r="K442" s="2224" t="s">
        <v>845</v>
      </c>
      <c r="L442" s="2227">
        <v>14.7</v>
      </c>
      <c r="M442" s="2227">
        <v>13.23</v>
      </c>
      <c r="N442" s="2250">
        <v>1.8764515201764641E-3</v>
      </c>
      <c r="O442" s="2224">
        <v>3</v>
      </c>
      <c r="P442" s="2225" t="s">
        <v>996</v>
      </c>
      <c r="Q442" s="2229">
        <v>100</v>
      </c>
      <c r="R442" s="2229">
        <v>100</v>
      </c>
      <c r="S442" s="2228">
        <f t="shared" si="21"/>
        <v>200</v>
      </c>
      <c r="T442" s="2997">
        <v>5800</v>
      </c>
      <c r="U442" s="2228">
        <f t="shared" si="22"/>
        <v>5800</v>
      </c>
      <c r="V442" s="2228">
        <f t="shared" si="23"/>
        <v>11600</v>
      </c>
      <c r="W442" s="2999">
        <v>1323</v>
      </c>
      <c r="X442" s="2230">
        <f t="shared" si="24"/>
        <v>1323</v>
      </c>
      <c r="Y442" s="2230">
        <f t="shared" si="25"/>
        <v>2646</v>
      </c>
      <c r="Z442" s="2225"/>
      <c r="AA442" s="1652"/>
    </row>
    <row r="443" spans="8:27">
      <c r="H443" s="2224" t="s">
        <v>1300</v>
      </c>
      <c r="I443" s="2229">
        <v>43</v>
      </c>
      <c r="J443" s="2226" t="s">
        <v>110</v>
      </c>
      <c r="K443" s="2224" t="s">
        <v>845</v>
      </c>
      <c r="L443" s="2227">
        <v>14.7</v>
      </c>
      <c r="M443" s="2227">
        <v>13.23</v>
      </c>
      <c r="N443" s="2250">
        <v>1.3911623339239303E-4</v>
      </c>
      <c r="O443" s="2224">
        <v>3</v>
      </c>
      <c r="P443" s="2225" t="s">
        <v>996</v>
      </c>
      <c r="Q443" s="2229">
        <v>10</v>
      </c>
      <c r="R443" s="2229">
        <v>10</v>
      </c>
      <c r="S443" s="2228">
        <f t="shared" si="21"/>
        <v>20</v>
      </c>
      <c r="T443" s="2997">
        <v>430</v>
      </c>
      <c r="U443" s="2228">
        <f t="shared" si="22"/>
        <v>430</v>
      </c>
      <c r="V443" s="2228">
        <f t="shared" si="23"/>
        <v>860</v>
      </c>
      <c r="W443" s="2999">
        <v>132.30000000000001</v>
      </c>
      <c r="X443" s="2230">
        <f t="shared" si="24"/>
        <v>132.30000000000001</v>
      </c>
      <c r="Y443" s="2230">
        <f t="shared" si="25"/>
        <v>264.60000000000002</v>
      </c>
      <c r="Z443" s="2225"/>
      <c r="AA443" s="1652"/>
    </row>
    <row r="444" spans="8:27">
      <c r="H444" s="2224" t="s">
        <v>1300</v>
      </c>
      <c r="I444" s="2229">
        <v>84</v>
      </c>
      <c r="J444" s="2226" t="s">
        <v>110</v>
      </c>
      <c r="K444" s="2224" t="s">
        <v>845</v>
      </c>
      <c r="L444" s="2227">
        <v>14.7</v>
      </c>
      <c r="M444" s="2227">
        <v>13.23</v>
      </c>
      <c r="N444" s="2250">
        <v>0</v>
      </c>
      <c r="O444" s="2224">
        <v>3</v>
      </c>
      <c r="P444" s="2225" t="s">
        <v>996</v>
      </c>
      <c r="Q444" s="2229">
        <v>0</v>
      </c>
      <c r="R444" s="2229">
        <v>0</v>
      </c>
      <c r="S444" s="2228">
        <f t="shared" si="21"/>
        <v>0</v>
      </c>
      <c r="T444" s="2997">
        <v>0</v>
      </c>
      <c r="U444" s="2228">
        <f t="shared" si="22"/>
        <v>0</v>
      </c>
      <c r="V444" s="2228">
        <f t="shared" si="23"/>
        <v>0</v>
      </c>
      <c r="W444" s="2999">
        <v>0</v>
      </c>
      <c r="X444" s="2230">
        <f t="shared" si="24"/>
        <v>0</v>
      </c>
      <c r="Y444" s="2230">
        <f t="shared" si="25"/>
        <v>0</v>
      </c>
      <c r="Z444" s="2225"/>
      <c r="AA444" s="1652"/>
    </row>
    <row r="445" spans="8:27">
      <c r="H445" s="2224" t="s">
        <v>1300</v>
      </c>
      <c r="I445" s="2229">
        <v>69</v>
      </c>
      <c r="J445" s="2226" t="s">
        <v>110</v>
      </c>
      <c r="K445" s="2224" t="s">
        <v>845</v>
      </c>
      <c r="L445" s="2227">
        <v>14.7</v>
      </c>
      <c r="M445" s="2227">
        <v>13.23</v>
      </c>
      <c r="N445" s="2250">
        <v>3.3484953851424834E-3</v>
      </c>
      <c r="O445" s="2224">
        <v>3</v>
      </c>
      <c r="P445" s="2225" t="s">
        <v>996</v>
      </c>
      <c r="Q445" s="2229">
        <v>150</v>
      </c>
      <c r="R445" s="2229">
        <v>150</v>
      </c>
      <c r="S445" s="2228">
        <f t="shared" si="21"/>
        <v>300</v>
      </c>
      <c r="T445" s="2997">
        <v>10350</v>
      </c>
      <c r="U445" s="2228">
        <f t="shared" si="22"/>
        <v>10350</v>
      </c>
      <c r="V445" s="2228">
        <f t="shared" si="23"/>
        <v>20700</v>
      </c>
      <c r="W445" s="2999">
        <v>1984.5</v>
      </c>
      <c r="X445" s="2230">
        <f t="shared" si="24"/>
        <v>1984.5</v>
      </c>
      <c r="Y445" s="2230">
        <f t="shared" si="25"/>
        <v>3969</v>
      </c>
      <c r="Z445" s="2225"/>
      <c r="AA445" s="1652"/>
    </row>
    <row r="446" spans="8:27">
      <c r="H446" s="2224" t="s">
        <v>1300</v>
      </c>
      <c r="I446" s="2229">
        <v>63</v>
      </c>
      <c r="J446" s="2226" t="s">
        <v>110</v>
      </c>
      <c r="K446" s="2224" t="s">
        <v>845</v>
      </c>
      <c r="L446" s="2227">
        <v>14.7</v>
      </c>
      <c r="M446" s="2227">
        <v>13.23</v>
      </c>
      <c r="N446" s="2250">
        <v>0</v>
      </c>
      <c r="O446" s="2224">
        <v>3</v>
      </c>
      <c r="P446" s="2225" t="s">
        <v>996</v>
      </c>
      <c r="Q446" s="2229">
        <v>0</v>
      </c>
      <c r="R446" s="2229">
        <v>0</v>
      </c>
      <c r="S446" s="2228">
        <f t="shared" si="21"/>
        <v>0</v>
      </c>
      <c r="T446" s="2997">
        <v>0</v>
      </c>
      <c r="U446" s="2228">
        <f t="shared" si="22"/>
        <v>0</v>
      </c>
      <c r="V446" s="2228">
        <f t="shared" si="23"/>
        <v>0</v>
      </c>
      <c r="W446" s="2999">
        <v>0</v>
      </c>
      <c r="X446" s="2230">
        <f t="shared" si="24"/>
        <v>0</v>
      </c>
      <c r="Y446" s="2230">
        <f t="shared" si="25"/>
        <v>0</v>
      </c>
      <c r="Z446" s="2225"/>
      <c r="AA446" s="1652"/>
    </row>
    <row r="447" spans="8:27">
      <c r="H447" s="2224" t="s">
        <v>1300</v>
      </c>
      <c r="I447" s="2229">
        <v>44</v>
      </c>
      <c r="J447" s="2226" t="s">
        <v>110</v>
      </c>
      <c r="K447" s="2224" t="s">
        <v>845</v>
      </c>
      <c r="L447" s="2227">
        <v>14.7</v>
      </c>
      <c r="M447" s="2227">
        <v>13.23</v>
      </c>
      <c r="N447" s="2250">
        <v>0</v>
      </c>
      <c r="O447" s="2224">
        <v>3</v>
      </c>
      <c r="P447" s="2225" t="s">
        <v>996</v>
      </c>
      <c r="Q447" s="2229">
        <v>0</v>
      </c>
      <c r="R447" s="2229">
        <v>0</v>
      </c>
      <c r="S447" s="2228">
        <f t="shared" si="21"/>
        <v>0</v>
      </c>
      <c r="T447" s="2997">
        <v>0</v>
      </c>
      <c r="U447" s="2228">
        <f t="shared" si="22"/>
        <v>0</v>
      </c>
      <c r="V447" s="2228">
        <f t="shared" si="23"/>
        <v>0</v>
      </c>
      <c r="W447" s="2999">
        <v>0</v>
      </c>
      <c r="X447" s="2230">
        <f t="shared" si="24"/>
        <v>0</v>
      </c>
      <c r="Y447" s="2230">
        <f t="shared" si="25"/>
        <v>0</v>
      </c>
      <c r="Z447" s="2225"/>
      <c r="AA447" s="1652"/>
    </row>
    <row r="448" spans="8:27">
      <c r="H448" s="2224" t="s">
        <v>1300</v>
      </c>
      <c r="I448" s="2229">
        <v>46</v>
      </c>
      <c r="J448" s="2226" t="s">
        <v>110</v>
      </c>
      <c r="K448" s="2224" t="s">
        <v>845</v>
      </c>
      <c r="L448" s="2227">
        <v>14.7</v>
      </c>
      <c r="M448" s="2227">
        <v>13.23</v>
      </c>
      <c r="N448" s="2250">
        <v>0</v>
      </c>
      <c r="O448" s="2224">
        <v>3</v>
      </c>
      <c r="P448" s="2225" t="s">
        <v>996</v>
      </c>
      <c r="Q448" s="2229">
        <v>0</v>
      </c>
      <c r="R448" s="2229">
        <v>0</v>
      </c>
      <c r="S448" s="2228">
        <f t="shared" ref="S448:S511" si="26">Q448+R448</f>
        <v>0</v>
      </c>
      <c r="T448" s="2997">
        <v>0</v>
      </c>
      <c r="U448" s="2228">
        <f t="shared" ref="U448:U511" si="27">I448*R448</f>
        <v>0</v>
      </c>
      <c r="V448" s="2228">
        <f t="shared" ref="V448:V511" si="28">T448+U448</f>
        <v>0</v>
      </c>
      <c r="W448" s="2999">
        <v>0</v>
      </c>
      <c r="X448" s="2230">
        <f t="shared" ref="X448:X511" si="29">M448*R448</f>
        <v>0</v>
      </c>
      <c r="Y448" s="2230">
        <f t="shared" ref="Y448:Y511" si="30">W448+X448</f>
        <v>0</v>
      </c>
      <c r="Z448" s="2225"/>
      <c r="AA448" s="1652"/>
    </row>
    <row r="449" spans="8:27">
      <c r="H449" s="2224" t="s">
        <v>1301</v>
      </c>
      <c r="I449" s="2229">
        <v>247</v>
      </c>
      <c r="J449" s="2226" t="s">
        <v>110</v>
      </c>
      <c r="K449" s="2224" t="s">
        <v>845</v>
      </c>
      <c r="L449" s="2227">
        <v>14.819999999999999</v>
      </c>
      <c r="M449" s="2227">
        <v>13.337999999999999</v>
      </c>
      <c r="N449" s="2250">
        <v>3.9955476334791948E-2</v>
      </c>
      <c r="O449" s="2224">
        <v>3</v>
      </c>
      <c r="P449" s="2225" t="s">
        <v>996</v>
      </c>
      <c r="Q449" s="2229">
        <v>500</v>
      </c>
      <c r="R449" s="2229">
        <v>500</v>
      </c>
      <c r="S449" s="2228">
        <f t="shared" si="26"/>
        <v>1000</v>
      </c>
      <c r="T449" s="2997">
        <v>123500</v>
      </c>
      <c r="U449" s="2228">
        <f t="shared" si="27"/>
        <v>123500</v>
      </c>
      <c r="V449" s="2228">
        <f t="shared" si="28"/>
        <v>247000</v>
      </c>
      <c r="W449" s="2999">
        <v>6669</v>
      </c>
      <c r="X449" s="2230">
        <f t="shared" si="29"/>
        <v>6669</v>
      </c>
      <c r="Y449" s="2230">
        <f t="shared" si="30"/>
        <v>13338</v>
      </c>
      <c r="Z449" s="2225"/>
      <c r="AA449" s="1652"/>
    </row>
    <row r="450" spans="8:27">
      <c r="H450" s="2224" t="s">
        <v>1301</v>
      </c>
      <c r="I450" s="2229">
        <v>90</v>
      </c>
      <c r="J450" s="2226" t="s">
        <v>110</v>
      </c>
      <c r="K450" s="2224" t="s">
        <v>845</v>
      </c>
      <c r="L450" s="2227">
        <v>13.831999999999997</v>
      </c>
      <c r="M450" s="2227">
        <v>12.448799999999999</v>
      </c>
      <c r="N450" s="2250">
        <v>2.9117351175152028E-3</v>
      </c>
      <c r="O450" s="2224">
        <v>3</v>
      </c>
      <c r="P450" s="2225" t="s">
        <v>996</v>
      </c>
      <c r="Q450" s="2229">
        <v>100</v>
      </c>
      <c r="R450" s="2229">
        <v>100</v>
      </c>
      <c r="S450" s="2228">
        <f t="shared" si="26"/>
        <v>200</v>
      </c>
      <c r="T450" s="2997">
        <v>9000</v>
      </c>
      <c r="U450" s="2228">
        <f t="shared" si="27"/>
        <v>9000</v>
      </c>
      <c r="V450" s="2228">
        <f t="shared" si="28"/>
        <v>18000</v>
      </c>
      <c r="W450" s="2999">
        <v>1244.8799999999999</v>
      </c>
      <c r="X450" s="2230">
        <f t="shared" si="29"/>
        <v>1244.8799999999999</v>
      </c>
      <c r="Y450" s="2230">
        <f t="shared" si="30"/>
        <v>2489.7599999999998</v>
      </c>
      <c r="Z450" s="2225"/>
      <c r="AA450" s="1652"/>
    </row>
    <row r="451" spans="8:27">
      <c r="H451" s="2224" t="s">
        <v>1301</v>
      </c>
      <c r="I451" s="2229">
        <v>68</v>
      </c>
      <c r="J451" s="2226" t="s">
        <v>110</v>
      </c>
      <c r="K451" s="2224" t="s">
        <v>845</v>
      </c>
      <c r="L451" s="2227">
        <v>13.831999999999997</v>
      </c>
      <c r="M451" s="2227">
        <v>12.448799999999999</v>
      </c>
      <c r="N451" s="2250">
        <v>2.7499720554310247E-4</v>
      </c>
      <c r="O451" s="2224">
        <v>3</v>
      </c>
      <c r="P451" s="2225" t="s">
        <v>996</v>
      </c>
      <c r="Q451" s="2229">
        <v>12.5</v>
      </c>
      <c r="R451" s="2229">
        <v>12.5</v>
      </c>
      <c r="S451" s="2228">
        <f t="shared" si="26"/>
        <v>25</v>
      </c>
      <c r="T451" s="2997">
        <v>850</v>
      </c>
      <c r="U451" s="2228">
        <f t="shared" si="27"/>
        <v>850</v>
      </c>
      <c r="V451" s="2228">
        <f t="shared" si="28"/>
        <v>1700</v>
      </c>
      <c r="W451" s="2999">
        <v>155.60999999999999</v>
      </c>
      <c r="X451" s="2230">
        <f t="shared" si="29"/>
        <v>155.60999999999999</v>
      </c>
      <c r="Y451" s="2230">
        <f t="shared" si="30"/>
        <v>311.21999999999997</v>
      </c>
      <c r="Z451" s="2225"/>
      <c r="AA451" s="1652"/>
    </row>
    <row r="452" spans="8:27">
      <c r="H452" s="2224" t="s">
        <v>1301</v>
      </c>
      <c r="I452" s="2229">
        <v>133</v>
      </c>
      <c r="J452" s="2226" t="s">
        <v>110</v>
      </c>
      <c r="K452" s="2224" t="s">
        <v>845</v>
      </c>
      <c r="L452" s="2227">
        <v>13.831999999999997</v>
      </c>
      <c r="M452" s="2227">
        <v>12.448799999999999</v>
      </c>
      <c r="N452" s="2250">
        <v>0</v>
      </c>
      <c r="O452" s="2224">
        <v>3</v>
      </c>
      <c r="P452" s="2225" t="s">
        <v>996</v>
      </c>
      <c r="Q452" s="2229">
        <v>0</v>
      </c>
      <c r="R452" s="2229">
        <v>0</v>
      </c>
      <c r="S452" s="2228">
        <f t="shared" si="26"/>
        <v>0</v>
      </c>
      <c r="T452" s="2997">
        <v>0</v>
      </c>
      <c r="U452" s="2228">
        <f t="shared" si="27"/>
        <v>0</v>
      </c>
      <c r="V452" s="2228">
        <f t="shared" si="28"/>
        <v>0</v>
      </c>
      <c r="W452" s="2999">
        <v>0</v>
      </c>
      <c r="X452" s="2230">
        <f t="shared" si="29"/>
        <v>0</v>
      </c>
      <c r="Y452" s="2230">
        <f t="shared" si="30"/>
        <v>0</v>
      </c>
      <c r="Z452" s="2225"/>
      <c r="AA452" s="1652"/>
    </row>
    <row r="453" spans="8:27">
      <c r="H453" s="2224" t="s">
        <v>1301</v>
      </c>
      <c r="I453" s="2229">
        <v>108</v>
      </c>
      <c r="J453" s="2226" t="s">
        <v>110</v>
      </c>
      <c r="K453" s="2224" t="s">
        <v>845</v>
      </c>
      <c r="L453" s="2227">
        <v>13.831999999999997</v>
      </c>
      <c r="M453" s="2227">
        <v>12.448799999999999</v>
      </c>
      <c r="N453" s="2250">
        <v>8.7352053525456084E-3</v>
      </c>
      <c r="O453" s="2224">
        <v>3</v>
      </c>
      <c r="P453" s="2225" t="s">
        <v>996</v>
      </c>
      <c r="Q453" s="2229">
        <v>250</v>
      </c>
      <c r="R453" s="2229">
        <v>250</v>
      </c>
      <c r="S453" s="2228">
        <f t="shared" si="26"/>
        <v>500</v>
      </c>
      <c r="T453" s="2997">
        <v>27000</v>
      </c>
      <c r="U453" s="2228">
        <f t="shared" si="27"/>
        <v>27000</v>
      </c>
      <c r="V453" s="2228">
        <f t="shared" si="28"/>
        <v>54000</v>
      </c>
      <c r="W453" s="2999">
        <v>3112.2</v>
      </c>
      <c r="X453" s="2230">
        <f t="shared" si="29"/>
        <v>3112.2</v>
      </c>
      <c r="Y453" s="2230">
        <f t="shared" si="30"/>
        <v>6224.4</v>
      </c>
      <c r="Z453" s="2225"/>
      <c r="AA453" s="1652"/>
    </row>
    <row r="454" spans="8:27">
      <c r="H454" s="2224" t="s">
        <v>1301</v>
      </c>
      <c r="I454" s="2229">
        <v>99</v>
      </c>
      <c r="J454" s="2226" t="s">
        <v>110</v>
      </c>
      <c r="K454" s="2224" t="s">
        <v>845</v>
      </c>
      <c r="L454" s="2227">
        <v>13.831999999999997</v>
      </c>
      <c r="M454" s="2227">
        <v>12.448799999999999</v>
      </c>
      <c r="N454" s="2250">
        <v>0</v>
      </c>
      <c r="O454" s="2224">
        <v>3</v>
      </c>
      <c r="P454" s="2225" t="s">
        <v>996</v>
      </c>
      <c r="Q454" s="2229">
        <v>0</v>
      </c>
      <c r="R454" s="2229">
        <v>0</v>
      </c>
      <c r="S454" s="2228">
        <f t="shared" si="26"/>
        <v>0</v>
      </c>
      <c r="T454" s="2997">
        <v>0</v>
      </c>
      <c r="U454" s="2228">
        <f t="shared" si="27"/>
        <v>0</v>
      </c>
      <c r="V454" s="2228">
        <f t="shared" si="28"/>
        <v>0</v>
      </c>
      <c r="W454" s="2999">
        <v>0</v>
      </c>
      <c r="X454" s="2230">
        <f t="shared" si="29"/>
        <v>0</v>
      </c>
      <c r="Y454" s="2230">
        <f t="shared" si="30"/>
        <v>0</v>
      </c>
      <c r="Z454" s="2225"/>
      <c r="AA454" s="1652"/>
    </row>
    <row r="455" spans="8:27">
      <c r="H455" s="2224" t="s">
        <v>1301</v>
      </c>
      <c r="I455" s="2229">
        <v>69</v>
      </c>
      <c r="J455" s="2226" t="s">
        <v>110</v>
      </c>
      <c r="K455" s="2224" t="s">
        <v>845</v>
      </c>
      <c r="L455" s="2227">
        <v>13.831999999999997</v>
      </c>
      <c r="M455" s="2227">
        <v>12.448799999999999</v>
      </c>
      <c r="N455" s="2250">
        <v>0</v>
      </c>
      <c r="O455" s="2224">
        <v>3</v>
      </c>
      <c r="P455" s="2225" t="s">
        <v>996</v>
      </c>
      <c r="Q455" s="2229">
        <v>0</v>
      </c>
      <c r="R455" s="2229">
        <v>0</v>
      </c>
      <c r="S455" s="2228">
        <f t="shared" si="26"/>
        <v>0</v>
      </c>
      <c r="T455" s="2997">
        <v>0</v>
      </c>
      <c r="U455" s="2228">
        <f t="shared" si="27"/>
        <v>0</v>
      </c>
      <c r="V455" s="2228">
        <f t="shared" si="28"/>
        <v>0</v>
      </c>
      <c r="W455" s="2999">
        <v>0</v>
      </c>
      <c r="X455" s="2230">
        <f t="shared" si="29"/>
        <v>0</v>
      </c>
      <c r="Y455" s="2230">
        <f t="shared" si="30"/>
        <v>0</v>
      </c>
      <c r="Z455" s="2225"/>
      <c r="AA455" s="1652"/>
    </row>
    <row r="456" spans="8:27">
      <c r="H456" s="2224" t="s">
        <v>1301</v>
      </c>
      <c r="I456" s="2229">
        <v>72</v>
      </c>
      <c r="J456" s="2226" t="s">
        <v>110</v>
      </c>
      <c r="K456" s="2224" t="s">
        <v>845</v>
      </c>
      <c r="L456" s="2227">
        <v>13.831999999999997</v>
      </c>
      <c r="M456" s="2227">
        <v>12.448799999999999</v>
      </c>
      <c r="N456" s="2250">
        <v>0</v>
      </c>
      <c r="O456" s="2224">
        <v>3</v>
      </c>
      <c r="P456" s="2225" t="s">
        <v>996</v>
      </c>
      <c r="Q456" s="2229">
        <v>0</v>
      </c>
      <c r="R456" s="2229">
        <v>0</v>
      </c>
      <c r="S456" s="2228">
        <f t="shared" si="26"/>
        <v>0</v>
      </c>
      <c r="T456" s="2997">
        <v>0</v>
      </c>
      <c r="U456" s="2228">
        <f t="shared" si="27"/>
        <v>0</v>
      </c>
      <c r="V456" s="2228">
        <f t="shared" si="28"/>
        <v>0</v>
      </c>
      <c r="W456" s="2999">
        <v>0</v>
      </c>
      <c r="X456" s="2230">
        <f t="shared" si="29"/>
        <v>0</v>
      </c>
      <c r="Y456" s="2230">
        <f t="shared" si="30"/>
        <v>0</v>
      </c>
      <c r="Z456" s="2225"/>
      <c r="AA456" s="1652"/>
    </row>
    <row r="457" spans="8:27">
      <c r="H457" s="2224" t="s">
        <v>1302</v>
      </c>
      <c r="I457" s="2229">
        <v>112</v>
      </c>
      <c r="J457" s="2226" t="s">
        <v>110</v>
      </c>
      <c r="K457" s="2224" t="s">
        <v>845</v>
      </c>
      <c r="L457" s="2227">
        <v>21.87</v>
      </c>
      <c r="M457" s="2227">
        <v>19.683</v>
      </c>
      <c r="N457" s="2250">
        <v>1.3588097215070948E-2</v>
      </c>
      <c r="O457" s="2224">
        <v>3</v>
      </c>
      <c r="P457" s="2225" t="s">
        <v>996</v>
      </c>
      <c r="Q457" s="2229">
        <v>375</v>
      </c>
      <c r="R457" s="2229">
        <v>375</v>
      </c>
      <c r="S457" s="2228">
        <f t="shared" si="26"/>
        <v>750</v>
      </c>
      <c r="T457" s="2997">
        <v>42000</v>
      </c>
      <c r="U457" s="2228">
        <f t="shared" si="27"/>
        <v>42000</v>
      </c>
      <c r="V457" s="2228">
        <f t="shared" si="28"/>
        <v>84000</v>
      </c>
      <c r="W457" s="2999">
        <v>7381.125</v>
      </c>
      <c r="X457" s="2230">
        <f t="shared" si="29"/>
        <v>7381.125</v>
      </c>
      <c r="Y457" s="2230">
        <f t="shared" si="30"/>
        <v>14762.25</v>
      </c>
      <c r="Z457" s="2225"/>
      <c r="AA457" s="1652"/>
    </row>
    <row r="458" spans="8:27">
      <c r="H458" s="2224" t="s">
        <v>1302</v>
      </c>
      <c r="I458" s="2229">
        <v>41</v>
      </c>
      <c r="J458" s="2226" t="s">
        <v>110</v>
      </c>
      <c r="K458" s="2224" t="s">
        <v>845</v>
      </c>
      <c r="L458" s="2227">
        <v>20.411999999999999</v>
      </c>
      <c r="M458" s="2227">
        <v>18.370799999999999</v>
      </c>
      <c r="N458" s="2250">
        <v>1.6580713863628238E-4</v>
      </c>
      <c r="O458" s="2224">
        <v>3</v>
      </c>
      <c r="P458" s="2225" t="s">
        <v>996</v>
      </c>
      <c r="Q458" s="2229">
        <v>12.5</v>
      </c>
      <c r="R458" s="2229">
        <v>12.5</v>
      </c>
      <c r="S458" s="2228">
        <f t="shared" si="26"/>
        <v>25</v>
      </c>
      <c r="T458" s="2997">
        <v>512.5</v>
      </c>
      <c r="U458" s="2228">
        <f t="shared" si="27"/>
        <v>512.5</v>
      </c>
      <c r="V458" s="2228">
        <f t="shared" si="28"/>
        <v>1025</v>
      </c>
      <c r="W458" s="2999">
        <v>229.63499999999999</v>
      </c>
      <c r="X458" s="2230">
        <f t="shared" si="29"/>
        <v>229.63499999999999</v>
      </c>
      <c r="Y458" s="2230">
        <f t="shared" si="30"/>
        <v>459.27</v>
      </c>
      <c r="Z458" s="2225"/>
      <c r="AA458" s="1652"/>
    </row>
    <row r="459" spans="8:27">
      <c r="H459" s="2224" t="s">
        <v>1302</v>
      </c>
      <c r="I459" s="2229">
        <v>31</v>
      </c>
      <c r="J459" s="2226" t="s">
        <v>110</v>
      </c>
      <c r="K459" s="2224" t="s">
        <v>845</v>
      </c>
      <c r="L459" s="2227">
        <v>20.411999999999999</v>
      </c>
      <c r="M459" s="2227">
        <v>18.370799999999999</v>
      </c>
      <c r="N459" s="2250">
        <v>2.5073274623047578E-4</v>
      </c>
      <c r="O459" s="2224">
        <v>3</v>
      </c>
      <c r="P459" s="2225" t="s">
        <v>996</v>
      </c>
      <c r="Q459" s="2229">
        <v>25</v>
      </c>
      <c r="R459" s="2229">
        <v>25</v>
      </c>
      <c r="S459" s="2228">
        <f t="shared" si="26"/>
        <v>50</v>
      </c>
      <c r="T459" s="2997">
        <v>775</v>
      </c>
      <c r="U459" s="2228">
        <f t="shared" si="27"/>
        <v>775</v>
      </c>
      <c r="V459" s="2228">
        <f t="shared" si="28"/>
        <v>1550</v>
      </c>
      <c r="W459" s="2999">
        <v>459.27</v>
      </c>
      <c r="X459" s="2230">
        <f t="shared" si="29"/>
        <v>459.27</v>
      </c>
      <c r="Y459" s="2230">
        <f t="shared" si="30"/>
        <v>918.54</v>
      </c>
      <c r="Z459" s="2225"/>
      <c r="AA459" s="1652"/>
    </row>
    <row r="460" spans="8:27">
      <c r="H460" s="2224" t="s">
        <v>1302</v>
      </c>
      <c r="I460" s="2229">
        <v>60</v>
      </c>
      <c r="J460" s="2226" t="s">
        <v>110</v>
      </c>
      <c r="K460" s="2224" t="s">
        <v>845</v>
      </c>
      <c r="L460" s="2227">
        <v>20.411999999999999</v>
      </c>
      <c r="M460" s="2227">
        <v>18.370799999999999</v>
      </c>
      <c r="N460" s="2250">
        <v>0</v>
      </c>
      <c r="O460" s="2224">
        <v>3</v>
      </c>
      <c r="P460" s="2225" t="s">
        <v>996</v>
      </c>
      <c r="Q460" s="2229">
        <v>0</v>
      </c>
      <c r="R460" s="2229">
        <v>0</v>
      </c>
      <c r="S460" s="2228">
        <f t="shared" si="26"/>
        <v>0</v>
      </c>
      <c r="T460" s="2997">
        <v>0</v>
      </c>
      <c r="U460" s="2228">
        <f t="shared" si="27"/>
        <v>0</v>
      </c>
      <c r="V460" s="2228">
        <f t="shared" si="28"/>
        <v>0</v>
      </c>
      <c r="W460" s="2999">
        <v>0</v>
      </c>
      <c r="X460" s="2230">
        <f t="shared" si="29"/>
        <v>0</v>
      </c>
      <c r="Y460" s="2230">
        <f t="shared" si="30"/>
        <v>0</v>
      </c>
      <c r="Z460" s="2225"/>
      <c r="AA460" s="1652"/>
    </row>
    <row r="461" spans="8:27">
      <c r="H461" s="2224" t="s">
        <v>1302</v>
      </c>
      <c r="I461" s="2229">
        <v>49</v>
      </c>
      <c r="J461" s="2226" t="s">
        <v>110</v>
      </c>
      <c r="K461" s="2224" t="s">
        <v>845</v>
      </c>
      <c r="L461" s="2227">
        <v>20.411999999999999</v>
      </c>
      <c r="M461" s="2227">
        <v>18.370799999999999</v>
      </c>
      <c r="N461" s="2250">
        <v>1.5852780084249438E-3</v>
      </c>
      <c r="O461" s="2224">
        <v>3</v>
      </c>
      <c r="P461" s="2225" t="s">
        <v>996</v>
      </c>
      <c r="Q461" s="2229">
        <v>100</v>
      </c>
      <c r="R461" s="2229">
        <v>100</v>
      </c>
      <c r="S461" s="2228">
        <f t="shared" si="26"/>
        <v>200</v>
      </c>
      <c r="T461" s="2997">
        <v>4900</v>
      </c>
      <c r="U461" s="2228">
        <f t="shared" si="27"/>
        <v>4900</v>
      </c>
      <c r="V461" s="2228">
        <f t="shared" si="28"/>
        <v>9800</v>
      </c>
      <c r="W461" s="2999">
        <v>1837.08</v>
      </c>
      <c r="X461" s="2230">
        <f t="shared" si="29"/>
        <v>1837.08</v>
      </c>
      <c r="Y461" s="2230">
        <f t="shared" si="30"/>
        <v>3674.16</v>
      </c>
      <c r="Z461" s="2225"/>
      <c r="AA461" s="1652"/>
    </row>
    <row r="462" spans="8:27">
      <c r="H462" s="2224" t="s">
        <v>1302</v>
      </c>
      <c r="I462" s="2229">
        <v>45</v>
      </c>
      <c r="J462" s="2226" t="s">
        <v>110</v>
      </c>
      <c r="K462" s="2224" t="s">
        <v>845</v>
      </c>
      <c r="L462" s="2227">
        <v>20.411999999999999</v>
      </c>
      <c r="M462" s="2227">
        <v>18.370799999999999</v>
      </c>
      <c r="N462" s="2250">
        <v>0</v>
      </c>
      <c r="O462" s="2224">
        <v>3</v>
      </c>
      <c r="P462" s="2225" t="s">
        <v>996</v>
      </c>
      <c r="Q462" s="2229">
        <v>0</v>
      </c>
      <c r="R462" s="2229">
        <v>0</v>
      </c>
      <c r="S462" s="2228">
        <f t="shared" si="26"/>
        <v>0</v>
      </c>
      <c r="T462" s="2997">
        <v>0</v>
      </c>
      <c r="U462" s="2228">
        <f t="shared" si="27"/>
        <v>0</v>
      </c>
      <c r="V462" s="2228">
        <f t="shared" si="28"/>
        <v>0</v>
      </c>
      <c r="W462" s="2999">
        <v>0</v>
      </c>
      <c r="X462" s="2230">
        <f t="shared" si="29"/>
        <v>0</v>
      </c>
      <c r="Y462" s="2230">
        <f t="shared" si="30"/>
        <v>0</v>
      </c>
      <c r="Z462" s="2225"/>
      <c r="AA462" s="1652"/>
    </row>
    <row r="463" spans="8:27">
      <c r="H463" s="2224" t="s">
        <v>1302</v>
      </c>
      <c r="I463" s="2229">
        <v>31</v>
      </c>
      <c r="J463" s="2226" t="s">
        <v>110</v>
      </c>
      <c r="K463" s="2224" t="s">
        <v>845</v>
      </c>
      <c r="L463" s="2227">
        <v>20.411999999999999</v>
      </c>
      <c r="M463" s="2227">
        <v>18.370799999999999</v>
      </c>
      <c r="N463" s="2250">
        <v>0</v>
      </c>
      <c r="O463" s="2224">
        <v>3</v>
      </c>
      <c r="P463" s="2225" t="s">
        <v>996</v>
      </c>
      <c r="Q463" s="2229">
        <v>0</v>
      </c>
      <c r="R463" s="2229">
        <v>0</v>
      </c>
      <c r="S463" s="2228">
        <f t="shared" si="26"/>
        <v>0</v>
      </c>
      <c r="T463" s="2997">
        <v>0</v>
      </c>
      <c r="U463" s="2228">
        <f t="shared" si="27"/>
        <v>0</v>
      </c>
      <c r="V463" s="2228">
        <f t="shared" si="28"/>
        <v>0</v>
      </c>
      <c r="W463" s="2999">
        <v>0</v>
      </c>
      <c r="X463" s="2230">
        <f t="shared" si="29"/>
        <v>0</v>
      </c>
      <c r="Y463" s="2230">
        <f t="shared" si="30"/>
        <v>0</v>
      </c>
      <c r="Z463" s="2225"/>
      <c r="AA463" s="1652"/>
    </row>
    <row r="464" spans="8:27">
      <c r="H464" s="2224" t="s">
        <v>1302</v>
      </c>
      <c r="I464" s="2229">
        <v>33</v>
      </c>
      <c r="J464" s="2226" t="s">
        <v>110</v>
      </c>
      <c r="K464" s="2224" t="s">
        <v>845</v>
      </c>
      <c r="L464" s="2227">
        <v>20.411999999999999</v>
      </c>
      <c r="M464" s="2227">
        <v>18.370799999999999</v>
      </c>
      <c r="N464" s="2250">
        <v>0</v>
      </c>
      <c r="O464" s="2224">
        <v>3</v>
      </c>
      <c r="P464" s="2225" t="s">
        <v>996</v>
      </c>
      <c r="Q464" s="2229">
        <v>0</v>
      </c>
      <c r="R464" s="2229">
        <v>0</v>
      </c>
      <c r="S464" s="2228">
        <f t="shared" si="26"/>
        <v>0</v>
      </c>
      <c r="T464" s="2997">
        <v>0</v>
      </c>
      <c r="U464" s="2228">
        <f t="shared" si="27"/>
        <v>0</v>
      </c>
      <c r="V464" s="2228">
        <f t="shared" si="28"/>
        <v>0</v>
      </c>
      <c r="W464" s="2999">
        <v>0</v>
      </c>
      <c r="X464" s="2230">
        <f t="shared" si="29"/>
        <v>0</v>
      </c>
      <c r="Y464" s="2230">
        <f t="shared" si="30"/>
        <v>0</v>
      </c>
      <c r="Z464" s="2225"/>
      <c r="AA464" s="1652"/>
    </row>
    <row r="465" spans="8:27">
      <c r="H465" s="2224" t="s">
        <v>1303</v>
      </c>
      <c r="I465" s="2229">
        <v>210</v>
      </c>
      <c r="J465" s="2226" t="s">
        <v>110</v>
      </c>
      <c r="K465" s="2224" t="s">
        <v>845</v>
      </c>
      <c r="L465" s="2227">
        <v>22.77</v>
      </c>
      <c r="M465" s="2227">
        <v>20.492999999999999</v>
      </c>
      <c r="N465" s="2250">
        <v>6.7940486075354731E-2</v>
      </c>
      <c r="O465" s="2224">
        <v>3</v>
      </c>
      <c r="P465" s="2225" t="s">
        <v>996</v>
      </c>
      <c r="Q465" s="2229">
        <v>1000</v>
      </c>
      <c r="R465" s="2229">
        <v>1000</v>
      </c>
      <c r="S465" s="2228">
        <f t="shared" si="26"/>
        <v>2000</v>
      </c>
      <c r="T465" s="2997">
        <v>210000</v>
      </c>
      <c r="U465" s="2228">
        <f t="shared" si="27"/>
        <v>210000</v>
      </c>
      <c r="V465" s="2228">
        <f t="shared" si="28"/>
        <v>420000</v>
      </c>
      <c r="W465" s="2999">
        <v>20493</v>
      </c>
      <c r="X465" s="2230">
        <f t="shared" si="29"/>
        <v>20493</v>
      </c>
      <c r="Y465" s="2230">
        <f t="shared" si="30"/>
        <v>40986</v>
      </c>
      <c r="Z465" s="2225"/>
      <c r="AA465" s="1652"/>
    </row>
    <row r="466" spans="8:27">
      <c r="H466" s="2224" t="s">
        <v>1303</v>
      </c>
      <c r="I466" s="2229">
        <v>77</v>
      </c>
      <c r="J466" s="2226" t="s">
        <v>110</v>
      </c>
      <c r="K466" s="2224" t="s">
        <v>845</v>
      </c>
      <c r="L466" s="2227">
        <v>21.251999999999999</v>
      </c>
      <c r="M466" s="2227">
        <v>19.126799999999999</v>
      </c>
      <c r="N466" s="2250">
        <v>2.4911511560963401E-4</v>
      </c>
      <c r="O466" s="2224">
        <v>3</v>
      </c>
      <c r="P466" s="2225" t="s">
        <v>996</v>
      </c>
      <c r="Q466" s="2229">
        <v>10</v>
      </c>
      <c r="R466" s="2229">
        <v>10</v>
      </c>
      <c r="S466" s="2228">
        <f t="shared" si="26"/>
        <v>20</v>
      </c>
      <c r="T466" s="2997">
        <v>770</v>
      </c>
      <c r="U466" s="2228">
        <f t="shared" si="27"/>
        <v>770</v>
      </c>
      <c r="V466" s="2228">
        <f t="shared" si="28"/>
        <v>1540</v>
      </c>
      <c r="W466" s="2999">
        <v>191.268</v>
      </c>
      <c r="X466" s="2230">
        <f t="shared" si="29"/>
        <v>191.268</v>
      </c>
      <c r="Y466" s="2230">
        <f t="shared" si="30"/>
        <v>382.536</v>
      </c>
      <c r="Z466" s="2225"/>
      <c r="AA466" s="1652"/>
    </row>
    <row r="467" spans="8:27">
      <c r="H467" s="2224" t="s">
        <v>1303</v>
      </c>
      <c r="I467" s="2229">
        <v>58</v>
      </c>
      <c r="J467" s="2226" t="s">
        <v>110</v>
      </c>
      <c r="K467" s="2224" t="s">
        <v>845</v>
      </c>
      <c r="L467" s="2227">
        <v>21.251999999999999</v>
      </c>
      <c r="M467" s="2227">
        <v>19.126799999999999</v>
      </c>
      <c r="N467" s="2250">
        <v>1.8764515201764642E-4</v>
      </c>
      <c r="O467" s="2224">
        <v>3</v>
      </c>
      <c r="P467" s="2225" t="s">
        <v>996</v>
      </c>
      <c r="Q467" s="2229">
        <v>10</v>
      </c>
      <c r="R467" s="2229">
        <v>10</v>
      </c>
      <c r="S467" s="2228">
        <f t="shared" si="26"/>
        <v>20</v>
      </c>
      <c r="T467" s="2997">
        <v>580</v>
      </c>
      <c r="U467" s="2228">
        <f t="shared" si="27"/>
        <v>580</v>
      </c>
      <c r="V467" s="2228">
        <f t="shared" si="28"/>
        <v>1160</v>
      </c>
      <c r="W467" s="2999">
        <v>191.268</v>
      </c>
      <c r="X467" s="2230">
        <f t="shared" si="29"/>
        <v>191.268</v>
      </c>
      <c r="Y467" s="2230">
        <f t="shared" si="30"/>
        <v>382.536</v>
      </c>
      <c r="Z467" s="2225"/>
      <c r="AA467" s="1652"/>
    </row>
    <row r="468" spans="8:27">
      <c r="H468" s="2224" t="s">
        <v>1303</v>
      </c>
      <c r="I468" s="2229">
        <v>113</v>
      </c>
      <c r="J468" s="2226" t="s">
        <v>110</v>
      </c>
      <c r="K468" s="2224" t="s">
        <v>845</v>
      </c>
      <c r="L468" s="2227">
        <v>21.251999999999999</v>
      </c>
      <c r="M468" s="2227">
        <v>19.126799999999999</v>
      </c>
      <c r="N468" s="2250">
        <v>0</v>
      </c>
      <c r="O468" s="2224">
        <v>3</v>
      </c>
      <c r="P468" s="2225" t="s">
        <v>996</v>
      </c>
      <c r="Q468" s="2229">
        <v>0</v>
      </c>
      <c r="R468" s="2229">
        <v>0</v>
      </c>
      <c r="S468" s="2228">
        <f t="shared" si="26"/>
        <v>0</v>
      </c>
      <c r="T468" s="2997">
        <v>0</v>
      </c>
      <c r="U468" s="2228">
        <f t="shared" si="27"/>
        <v>0</v>
      </c>
      <c r="V468" s="2228">
        <f t="shared" si="28"/>
        <v>0</v>
      </c>
      <c r="W468" s="2999">
        <v>0</v>
      </c>
      <c r="X468" s="2230">
        <f t="shared" si="29"/>
        <v>0</v>
      </c>
      <c r="Y468" s="2230">
        <f t="shared" si="30"/>
        <v>0</v>
      </c>
      <c r="Z468" s="2225"/>
      <c r="AA468" s="1652"/>
    </row>
    <row r="469" spans="8:27">
      <c r="H469" s="2224" t="s">
        <v>1303</v>
      </c>
      <c r="I469" s="2229">
        <v>92</v>
      </c>
      <c r="J469" s="2226" t="s">
        <v>110</v>
      </c>
      <c r="K469" s="2224" t="s">
        <v>845</v>
      </c>
      <c r="L469" s="2227">
        <v>21.251999999999999</v>
      </c>
      <c r="M469" s="2227">
        <v>19.126799999999999</v>
      </c>
      <c r="N469" s="2250">
        <v>7.4411008558721856E-3</v>
      </c>
      <c r="O469" s="2224">
        <v>3</v>
      </c>
      <c r="P469" s="2225" t="s">
        <v>996</v>
      </c>
      <c r="Q469" s="2229">
        <v>250</v>
      </c>
      <c r="R469" s="2229">
        <v>250</v>
      </c>
      <c r="S469" s="2228">
        <f t="shared" si="26"/>
        <v>500</v>
      </c>
      <c r="T469" s="2997">
        <v>23000</v>
      </c>
      <c r="U469" s="2228">
        <f t="shared" si="27"/>
        <v>23000</v>
      </c>
      <c r="V469" s="2228">
        <f t="shared" si="28"/>
        <v>46000</v>
      </c>
      <c r="W469" s="2999">
        <v>4781.7</v>
      </c>
      <c r="X469" s="2230">
        <f t="shared" si="29"/>
        <v>4781.7</v>
      </c>
      <c r="Y469" s="2230">
        <f t="shared" si="30"/>
        <v>9563.4</v>
      </c>
      <c r="Z469" s="2225"/>
      <c r="AA469" s="1652"/>
    </row>
    <row r="470" spans="8:27">
      <c r="H470" s="2224" t="s">
        <v>1303</v>
      </c>
      <c r="I470" s="2229">
        <v>84</v>
      </c>
      <c r="J470" s="2226" t="s">
        <v>110</v>
      </c>
      <c r="K470" s="2224" t="s">
        <v>845</v>
      </c>
      <c r="L470" s="2227">
        <v>21.251999999999999</v>
      </c>
      <c r="M470" s="2227">
        <v>19.126799999999999</v>
      </c>
      <c r="N470" s="2250">
        <v>0</v>
      </c>
      <c r="O470" s="2224">
        <v>3</v>
      </c>
      <c r="P470" s="2225" t="s">
        <v>996</v>
      </c>
      <c r="Q470" s="2229">
        <v>0</v>
      </c>
      <c r="R470" s="2229">
        <v>0</v>
      </c>
      <c r="S470" s="2228">
        <f t="shared" si="26"/>
        <v>0</v>
      </c>
      <c r="T470" s="2997">
        <v>0</v>
      </c>
      <c r="U470" s="2228">
        <f t="shared" si="27"/>
        <v>0</v>
      </c>
      <c r="V470" s="2228">
        <f t="shared" si="28"/>
        <v>0</v>
      </c>
      <c r="W470" s="2999">
        <v>0</v>
      </c>
      <c r="X470" s="2230">
        <f t="shared" si="29"/>
        <v>0</v>
      </c>
      <c r="Y470" s="2230">
        <f t="shared" si="30"/>
        <v>0</v>
      </c>
      <c r="Z470" s="2225"/>
      <c r="AA470" s="1652"/>
    </row>
    <row r="471" spans="8:27">
      <c r="H471" s="2224" t="s">
        <v>1303</v>
      </c>
      <c r="I471" s="2229">
        <v>59</v>
      </c>
      <c r="J471" s="2226" t="s">
        <v>110</v>
      </c>
      <c r="K471" s="2224" t="s">
        <v>845</v>
      </c>
      <c r="L471" s="2227">
        <v>21.251999999999999</v>
      </c>
      <c r="M471" s="2227">
        <v>19.126799999999999</v>
      </c>
      <c r="N471" s="2250">
        <v>0</v>
      </c>
      <c r="O471" s="2224">
        <v>3</v>
      </c>
      <c r="P471" s="2225" t="s">
        <v>996</v>
      </c>
      <c r="Q471" s="2229">
        <v>0</v>
      </c>
      <c r="R471" s="2229">
        <v>0</v>
      </c>
      <c r="S471" s="2228">
        <f t="shared" si="26"/>
        <v>0</v>
      </c>
      <c r="T471" s="2997">
        <v>0</v>
      </c>
      <c r="U471" s="2228">
        <f t="shared" si="27"/>
        <v>0</v>
      </c>
      <c r="V471" s="2228">
        <f t="shared" si="28"/>
        <v>0</v>
      </c>
      <c r="W471" s="2999">
        <v>0</v>
      </c>
      <c r="X471" s="2230">
        <f t="shared" si="29"/>
        <v>0</v>
      </c>
      <c r="Y471" s="2230">
        <f t="shared" si="30"/>
        <v>0</v>
      </c>
      <c r="Z471" s="2225"/>
      <c r="AA471" s="1652"/>
    </row>
    <row r="472" spans="8:27">
      <c r="H472" s="2224" t="s">
        <v>1303</v>
      </c>
      <c r="I472" s="2229">
        <v>61</v>
      </c>
      <c r="J472" s="2226" t="s">
        <v>110</v>
      </c>
      <c r="K472" s="2224" t="s">
        <v>845</v>
      </c>
      <c r="L472" s="2227">
        <v>21.251999999999999</v>
      </c>
      <c r="M472" s="2227">
        <v>19.126799999999999</v>
      </c>
      <c r="N472" s="2250">
        <v>0</v>
      </c>
      <c r="O472" s="2224">
        <v>3</v>
      </c>
      <c r="P472" s="2225" t="s">
        <v>996</v>
      </c>
      <c r="Q472" s="2229">
        <v>0</v>
      </c>
      <c r="R472" s="2229">
        <v>0</v>
      </c>
      <c r="S472" s="2228">
        <f t="shared" si="26"/>
        <v>0</v>
      </c>
      <c r="T472" s="2997">
        <v>0</v>
      </c>
      <c r="U472" s="2228">
        <f t="shared" si="27"/>
        <v>0</v>
      </c>
      <c r="V472" s="2228">
        <f t="shared" si="28"/>
        <v>0</v>
      </c>
      <c r="W472" s="2999">
        <v>0</v>
      </c>
      <c r="X472" s="2230">
        <f t="shared" si="29"/>
        <v>0</v>
      </c>
      <c r="Y472" s="2230">
        <f t="shared" si="30"/>
        <v>0</v>
      </c>
      <c r="Z472" s="2225"/>
      <c r="AA472" s="1652"/>
    </row>
    <row r="473" spans="8:27">
      <c r="H473" s="2224" t="s">
        <v>1304</v>
      </c>
      <c r="I473" s="2229">
        <v>299</v>
      </c>
      <c r="J473" s="2226" t="s">
        <v>110</v>
      </c>
      <c r="K473" s="2224" t="s">
        <v>845</v>
      </c>
      <c r="L473" s="2227">
        <v>29.655000000000001</v>
      </c>
      <c r="M473" s="2227">
        <v>26.689500000000002</v>
      </c>
      <c r="N473" s="2250">
        <v>4.8367155563169201E-2</v>
      </c>
      <c r="O473" s="2224">
        <v>3</v>
      </c>
      <c r="P473" s="2225" t="s">
        <v>996</v>
      </c>
      <c r="Q473" s="2229">
        <v>500</v>
      </c>
      <c r="R473" s="2229">
        <v>500</v>
      </c>
      <c r="S473" s="2228">
        <f t="shared" si="26"/>
        <v>1000</v>
      </c>
      <c r="T473" s="2997">
        <v>149500</v>
      </c>
      <c r="U473" s="2228">
        <f t="shared" si="27"/>
        <v>149500</v>
      </c>
      <c r="V473" s="2228">
        <f t="shared" si="28"/>
        <v>299000</v>
      </c>
      <c r="W473" s="2999">
        <v>13344.750000000002</v>
      </c>
      <c r="X473" s="2230">
        <f t="shared" si="29"/>
        <v>13344.750000000002</v>
      </c>
      <c r="Y473" s="2230">
        <f t="shared" si="30"/>
        <v>26689.500000000004</v>
      </c>
      <c r="Z473" s="2225"/>
      <c r="AA473" s="1652"/>
    </row>
    <row r="474" spans="8:27">
      <c r="H474" s="2224" t="s">
        <v>1304</v>
      </c>
      <c r="I474" s="2229">
        <v>110</v>
      </c>
      <c r="J474" s="2226" t="s">
        <v>110</v>
      </c>
      <c r="K474" s="2224" t="s">
        <v>845</v>
      </c>
      <c r="L474" s="2227">
        <v>27.677999999999997</v>
      </c>
      <c r="M474" s="2227">
        <v>24.9102</v>
      </c>
      <c r="N474" s="2250">
        <v>4.4484842073148933E-4</v>
      </c>
      <c r="O474" s="2224">
        <v>3</v>
      </c>
      <c r="P474" s="2225" t="s">
        <v>996</v>
      </c>
      <c r="Q474" s="2229">
        <v>12.5</v>
      </c>
      <c r="R474" s="2229">
        <v>12.5</v>
      </c>
      <c r="S474" s="2228">
        <f t="shared" si="26"/>
        <v>25</v>
      </c>
      <c r="T474" s="2997">
        <v>1375</v>
      </c>
      <c r="U474" s="2228">
        <f t="shared" si="27"/>
        <v>1375</v>
      </c>
      <c r="V474" s="2228">
        <f t="shared" si="28"/>
        <v>2750</v>
      </c>
      <c r="W474" s="2999">
        <v>311.3775</v>
      </c>
      <c r="X474" s="2230">
        <f t="shared" si="29"/>
        <v>311.3775</v>
      </c>
      <c r="Y474" s="2230">
        <f t="shared" si="30"/>
        <v>622.755</v>
      </c>
      <c r="Z474" s="2225"/>
      <c r="AA474" s="1652"/>
    </row>
    <row r="475" spans="8:27">
      <c r="H475" s="2224" t="s">
        <v>1304</v>
      </c>
      <c r="I475" s="2229">
        <v>82</v>
      </c>
      <c r="J475" s="2226" t="s">
        <v>110</v>
      </c>
      <c r="K475" s="2224" t="s">
        <v>845</v>
      </c>
      <c r="L475" s="2227">
        <v>27.677999999999997</v>
      </c>
      <c r="M475" s="2227">
        <v>24.9102</v>
      </c>
      <c r="N475" s="2250">
        <v>0</v>
      </c>
      <c r="O475" s="2224">
        <v>3</v>
      </c>
      <c r="P475" s="2225" t="s">
        <v>996</v>
      </c>
      <c r="Q475" s="2229">
        <v>0</v>
      </c>
      <c r="R475" s="2229">
        <v>0</v>
      </c>
      <c r="S475" s="2228">
        <f t="shared" si="26"/>
        <v>0</v>
      </c>
      <c r="T475" s="2997">
        <v>0</v>
      </c>
      <c r="U475" s="2228">
        <f t="shared" si="27"/>
        <v>0</v>
      </c>
      <c r="V475" s="2228">
        <f t="shared" si="28"/>
        <v>0</v>
      </c>
      <c r="W475" s="2999">
        <v>0</v>
      </c>
      <c r="X475" s="2230">
        <f t="shared" si="29"/>
        <v>0</v>
      </c>
      <c r="Y475" s="2230">
        <f t="shared" si="30"/>
        <v>0</v>
      </c>
      <c r="Z475" s="2225"/>
      <c r="AA475" s="1652"/>
    </row>
    <row r="476" spans="8:27">
      <c r="H476" s="2224" t="s">
        <v>1304</v>
      </c>
      <c r="I476" s="2229">
        <v>161</v>
      </c>
      <c r="J476" s="2226" t="s">
        <v>110</v>
      </c>
      <c r="K476" s="2224" t="s">
        <v>845</v>
      </c>
      <c r="L476" s="2227">
        <v>27.677999999999997</v>
      </c>
      <c r="M476" s="2227">
        <v>24.9102</v>
      </c>
      <c r="N476" s="2250">
        <v>0</v>
      </c>
      <c r="O476" s="2224">
        <v>3</v>
      </c>
      <c r="P476" s="2225" t="s">
        <v>996</v>
      </c>
      <c r="Q476" s="2229">
        <v>0</v>
      </c>
      <c r="R476" s="2229">
        <v>0</v>
      </c>
      <c r="S476" s="2228">
        <f t="shared" si="26"/>
        <v>0</v>
      </c>
      <c r="T476" s="2997">
        <v>0</v>
      </c>
      <c r="U476" s="2228">
        <f t="shared" si="27"/>
        <v>0</v>
      </c>
      <c r="V476" s="2228">
        <f t="shared" si="28"/>
        <v>0</v>
      </c>
      <c r="W476" s="2999">
        <v>0</v>
      </c>
      <c r="X476" s="2230">
        <f t="shared" si="29"/>
        <v>0</v>
      </c>
      <c r="Y476" s="2230">
        <f t="shared" si="30"/>
        <v>0</v>
      </c>
      <c r="Z476" s="2225"/>
      <c r="AA476" s="1652"/>
    </row>
    <row r="477" spans="8:27">
      <c r="H477" s="2224" t="s">
        <v>1304</v>
      </c>
      <c r="I477" s="2229">
        <v>131</v>
      </c>
      <c r="J477" s="2226" t="s">
        <v>110</v>
      </c>
      <c r="K477" s="2224" t="s">
        <v>845</v>
      </c>
      <c r="L477" s="2227">
        <v>27.677999999999997</v>
      </c>
      <c r="M477" s="2227">
        <v>24.9102</v>
      </c>
      <c r="N477" s="2250">
        <v>1.0595480566513655E-2</v>
      </c>
      <c r="O477" s="2224">
        <v>3</v>
      </c>
      <c r="P477" s="2225" t="s">
        <v>996</v>
      </c>
      <c r="Q477" s="2229">
        <v>250</v>
      </c>
      <c r="R477" s="2229">
        <v>250</v>
      </c>
      <c r="S477" s="2228">
        <f t="shared" si="26"/>
        <v>500</v>
      </c>
      <c r="T477" s="2997">
        <v>32750</v>
      </c>
      <c r="U477" s="2228">
        <f t="shared" si="27"/>
        <v>32750</v>
      </c>
      <c r="V477" s="2228">
        <f t="shared" si="28"/>
        <v>65500</v>
      </c>
      <c r="W477" s="2999">
        <v>6227.55</v>
      </c>
      <c r="X477" s="2230">
        <f t="shared" si="29"/>
        <v>6227.55</v>
      </c>
      <c r="Y477" s="2230">
        <f t="shared" si="30"/>
        <v>12455.1</v>
      </c>
      <c r="Z477" s="2225"/>
      <c r="AA477" s="1652"/>
    </row>
    <row r="478" spans="8:27">
      <c r="H478" s="2224" t="s">
        <v>1304</v>
      </c>
      <c r="I478" s="2229">
        <v>120</v>
      </c>
      <c r="J478" s="2226" t="s">
        <v>110</v>
      </c>
      <c r="K478" s="2224" t="s">
        <v>845</v>
      </c>
      <c r="L478" s="2227">
        <v>27.677999999999997</v>
      </c>
      <c r="M478" s="2227">
        <v>24.9102</v>
      </c>
      <c r="N478" s="2250">
        <v>0</v>
      </c>
      <c r="O478" s="2224">
        <v>3</v>
      </c>
      <c r="P478" s="2225" t="s">
        <v>996</v>
      </c>
      <c r="Q478" s="2229">
        <v>0</v>
      </c>
      <c r="R478" s="2229">
        <v>0</v>
      </c>
      <c r="S478" s="2228">
        <f t="shared" si="26"/>
        <v>0</v>
      </c>
      <c r="T478" s="2997">
        <v>0</v>
      </c>
      <c r="U478" s="2228">
        <f t="shared" si="27"/>
        <v>0</v>
      </c>
      <c r="V478" s="2228">
        <f t="shared" si="28"/>
        <v>0</v>
      </c>
      <c r="W478" s="2999">
        <v>0</v>
      </c>
      <c r="X478" s="2230">
        <f t="shared" si="29"/>
        <v>0</v>
      </c>
      <c r="Y478" s="2230">
        <f t="shared" si="30"/>
        <v>0</v>
      </c>
      <c r="Z478" s="2225"/>
      <c r="AA478" s="1652"/>
    </row>
    <row r="479" spans="8:27">
      <c r="H479" s="2224" t="s">
        <v>1304</v>
      </c>
      <c r="I479" s="2229">
        <v>84</v>
      </c>
      <c r="J479" s="2226" t="s">
        <v>110</v>
      </c>
      <c r="K479" s="2224" t="s">
        <v>845</v>
      </c>
      <c r="L479" s="2227">
        <v>27.677999999999997</v>
      </c>
      <c r="M479" s="2227">
        <v>24.9102</v>
      </c>
      <c r="N479" s="2250">
        <v>0</v>
      </c>
      <c r="O479" s="2224">
        <v>3</v>
      </c>
      <c r="P479" s="2225" t="s">
        <v>996</v>
      </c>
      <c r="Q479" s="2229">
        <v>0</v>
      </c>
      <c r="R479" s="2229">
        <v>0</v>
      </c>
      <c r="S479" s="2228">
        <f t="shared" si="26"/>
        <v>0</v>
      </c>
      <c r="T479" s="2997">
        <v>0</v>
      </c>
      <c r="U479" s="2228">
        <f t="shared" si="27"/>
        <v>0</v>
      </c>
      <c r="V479" s="2228">
        <f t="shared" si="28"/>
        <v>0</v>
      </c>
      <c r="W479" s="2999">
        <v>0</v>
      </c>
      <c r="X479" s="2230">
        <f t="shared" si="29"/>
        <v>0</v>
      </c>
      <c r="Y479" s="2230">
        <f t="shared" si="30"/>
        <v>0</v>
      </c>
      <c r="Z479" s="2225"/>
      <c r="AA479" s="1652"/>
    </row>
    <row r="480" spans="8:27">
      <c r="H480" s="2224" t="s">
        <v>1304</v>
      </c>
      <c r="I480" s="2229">
        <v>87</v>
      </c>
      <c r="J480" s="2226" t="s">
        <v>110</v>
      </c>
      <c r="K480" s="2224" t="s">
        <v>845</v>
      </c>
      <c r="L480" s="2227">
        <v>27.677999999999997</v>
      </c>
      <c r="M480" s="2227">
        <v>24.9102</v>
      </c>
      <c r="N480" s="2250">
        <v>0</v>
      </c>
      <c r="O480" s="2224">
        <v>3</v>
      </c>
      <c r="P480" s="2225" t="s">
        <v>996</v>
      </c>
      <c r="Q480" s="2229">
        <v>0</v>
      </c>
      <c r="R480" s="2229">
        <v>0</v>
      </c>
      <c r="S480" s="2228">
        <f t="shared" si="26"/>
        <v>0</v>
      </c>
      <c r="T480" s="2997">
        <v>0</v>
      </c>
      <c r="U480" s="2228">
        <f t="shared" si="27"/>
        <v>0</v>
      </c>
      <c r="V480" s="2228">
        <f t="shared" si="28"/>
        <v>0</v>
      </c>
      <c r="W480" s="2999">
        <v>0</v>
      </c>
      <c r="X480" s="2230">
        <f t="shared" si="29"/>
        <v>0</v>
      </c>
      <c r="Y480" s="2230">
        <f t="shared" si="30"/>
        <v>0</v>
      </c>
      <c r="Z480" s="2225"/>
      <c r="AA480" s="1652"/>
    </row>
    <row r="481" spans="8:27">
      <c r="H481" s="2224" t="s">
        <v>1305</v>
      </c>
      <c r="I481" s="2229">
        <v>255</v>
      </c>
      <c r="J481" s="2226" t="s">
        <v>110</v>
      </c>
      <c r="K481" s="2224" t="s">
        <v>845</v>
      </c>
      <c r="L481" s="2227">
        <v>33.480000000000004</v>
      </c>
      <c r="M481" s="2227">
        <v>30.132000000000005</v>
      </c>
      <c r="N481" s="2250">
        <v>6.1874371247198065E-2</v>
      </c>
      <c r="O481" s="2224">
        <v>3</v>
      </c>
      <c r="P481" s="2225" t="s">
        <v>996</v>
      </c>
      <c r="Q481" s="2229">
        <v>750</v>
      </c>
      <c r="R481" s="2229">
        <v>750</v>
      </c>
      <c r="S481" s="2228">
        <f t="shared" si="26"/>
        <v>1500</v>
      </c>
      <c r="T481" s="2997">
        <v>191250</v>
      </c>
      <c r="U481" s="2228">
        <f t="shared" si="27"/>
        <v>191250</v>
      </c>
      <c r="V481" s="2228">
        <f t="shared" si="28"/>
        <v>382500</v>
      </c>
      <c r="W481" s="2999">
        <v>22599.000000000004</v>
      </c>
      <c r="X481" s="2230">
        <f t="shared" si="29"/>
        <v>22599.000000000004</v>
      </c>
      <c r="Y481" s="2230">
        <f t="shared" si="30"/>
        <v>45198.000000000007</v>
      </c>
      <c r="Z481" s="2225"/>
      <c r="AA481" s="1652"/>
    </row>
    <row r="482" spans="8:27">
      <c r="H482" s="2224" t="s">
        <v>1305</v>
      </c>
      <c r="I482" s="2229">
        <v>93</v>
      </c>
      <c r="J482" s="2226" t="s">
        <v>110</v>
      </c>
      <c r="K482" s="2224" t="s">
        <v>845</v>
      </c>
      <c r="L482" s="2227">
        <v>31.247999999999998</v>
      </c>
      <c r="M482" s="2227">
        <v>28.123199999999997</v>
      </c>
      <c r="N482" s="2250">
        <v>3.7609911934571372E-4</v>
      </c>
      <c r="O482" s="2224">
        <v>3</v>
      </c>
      <c r="P482" s="2225" t="s">
        <v>996</v>
      </c>
      <c r="Q482" s="2229">
        <v>12.5</v>
      </c>
      <c r="R482" s="2229">
        <v>12.5</v>
      </c>
      <c r="S482" s="2228">
        <f t="shared" si="26"/>
        <v>25</v>
      </c>
      <c r="T482" s="2997">
        <v>1162.5</v>
      </c>
      <c r="U482" s="2228">
        <f t="shared" si="27"/>
        <v>1162.5</v>
      </c>
      <c r="V482" s="2228">
        <f t="shared" si="28"/>
        <v>2325</v>
      </c>
      <c r="W482" s="2999">
        <v>351.53999999999996</v>
      </c>
      <c r="X482" s="2230">
        <f t="shared" si="29"/>
        <v>351.53999999999996</v>
      </c>
      <c r="Y482" s="2230">
        <f t="shared" si="30"/>
        <v>703.07999999999993</v>
      </c>
      <c r="Z482" s="2225"/>
      <c r="AA482" s="1652"/>
    </row>
    <row r="483" spans="8:27">
      <c r="H483" s="2224" t="s">
        <v>1305</v>
      </c>
      <c r="I483" s="2229">
        <v>70</v>
      </c>
      <c r="J483" s="2226" t="s">
        <v>110</v>
      </c>
      <c r="K483" s="2224" t="s">
        <v>845</v>
      </c>
      <c r="L483" s="2227">
        <v>31.247999999999998</v>
      </c>
      <c r="M483" s="2227">
        <v>28.123199999999997</v>
      </c>
      <c r="N483" s="2250">
        <v>5.6617071729462274E-4</v>
      </c>
      <c r="O483" s="2224">
        <v>3</v>
      </c>
      <c r="P483" s="2225" t="s">
        <v>996</v>
      </c>
      <c r="Q483" s="2229">
        <v>25</v>
      </c>
      <c r="R483" s="2229">
        <v>25</v>
      </c>
      <c r="S483" s="2228">
        <f t="shared" si="26"/>
        <v>50</v>
      </c>
      <c r="T483" s="2997">
        <v>1750</v>
      </c>
      <c r="U483" s="2228">
        <f t="shared" si="27"/>
        <v>1750</v>
      </c>
      <c r="V483" s="2228">
        <f t="shared" si="28"/>
        <v>3500</v>
      </c>
      <c r="W483" s="2999">
        <v>703.07999999999993</v>
      </c>
      <c r="X483" s="2230">
        <f t="shared" si="29"/>
        <v>703.07999999999993</v>
      </c>
      <c r="Y483" s="2230">
        <f t="shared" si="30"/>
        <v>1406.1599999999999</v>
      </c>
      <c r="Z483" s="2225"/>
      <c r="AA483" s="1652"/>
    </row>
    <row r="484" spans="8:27">
      <c r="H484" s="2224" t="s">
        <v>1305</v>
      </c>
      <c r="I484" s="2229">
        <v>137</v>
      </c>
      <c r="J484" s="2226" t="s">
        <v>110</v>
      </c>
      <c r="K484" s="2224" t="s">
        <v>845</v>
      </c>
      <c r="L484" s="2227">
        <v>31.247999999999998</v>
      </c>
      <c r="M484" s="2227">
        <v>28.123199999999997</v>
      </c>
      <c r="N484" s="2250">
        <v>0</v>
      </c>
      <c r="O484" s="2224">
        <v>3</v>
      </c>
      <c r="P484" s="2225" t="s">
        <v>996</v>
      </c>
      <c r="Q484" s="2229">
        <v>0</v>
      </c>
      <c r="R484" s="2229">
        <v>0</v>
      </c>
      <c r="S484" s="2228">
        <f t="shared" si="26"/>
        <v>0</v>
      </c>
      <c r="T484" s="2997">
        <v>0</v>
      </c>
      <c r="U484" s="2228">
        <f t="shared" si="27"/>
        <v>0</v>
      </c>
      <c r="V484" s="2228">
        <f t="shared" si="28"/>
        <v>0</v>
      </c>
      <c r="W484" s="2999">
        <v>0</v>
      </c>
      <c r="X484" s="2230">
        <f t="shared" si="29"/>
        <v>0</v>
      </c>
      <c r="Y484" s="2230">
        <f t="shared" si="30"/>
        <v>0</v>
      </c>
      <c r="Z484" s="2225"/>
      <c r="AA484" s="1652"/>
    </row>
    <row r="485" spans="8:27">
      <c r="H485" s="2224" t="s">
        <v>1305</v>
      </c>
      <c r="I485" s="2229">
        <v>112</v>
      </c>
      <c r="J485" s="2226" t="s">
        <v>110</v>
      </c>
      <c r="K485" s="2224" t="s">
        <v>845</v>
      </c>
      <c r="L485" s="2227">
        <v>31.247999999999998</v>
      </c>
      <c r="M485" s="2227">
        <v>28.123199999999997</v>
      </c>
      <c r="N485" s="2250">
        <v>1.8117462953427928E-2</v>
      </c>
      <c r="O485" s="2224">
        <v>3</v>
      </c>
      <c r="P485" s="2225" t="s">
        <v>996</v>
      </c>
      <c r="Q485" s="2229">
        <v>500</v>
      </c>
      <c r="R485" s="2229">
        <v>500</v>
      </c>
      <c r="S485" s="2228">
        <f t="shared" si="26"/>
        <v>1000</v>
      </c>
      <c r="T485" s="2997">
        <v>56000</v>
      </c>
      <c r="U485" s="2228">
        <f t="shared" si="27"/>
        <v>56000</v>
      </c>
      <c r="V485" s="2228">
        <f t="shared" si="28"/>
        <v>112000</v>
      </c>
      <c r="W485" s="2999">
        <v>14061.599999999999</v>
      </c>
      <c r="X485" s="2230">
        <f t="shared" si="29"/>
        <v>14061.599999999999</v>
      </c>
      <c r="Y485" s="2230">
        <f t="shared" si="30"/>
        <v>28123.199999999997</v>
      </c>
      <c r="Z485" s="2225"/>
      <c r="AA485" s="1652"/>
    </row>
    <row r="486" spans="8:27">
      <c r="H486" s="2224" t="s">
        <v>1305</v>
      </c>
      <c r="I486" s="2229">
        <v>103</v>
      </c>
      <c r="J486" s="2226" t="s">
        <v>110</v>
      </c>
      <c r="K486" s="2224" t="s">
        <v>845</v>
      </c>
      <c r="L486" s="2227">
        <v>31.247999999999998</v>
      </c>
      <c r="M486" s="2227">
        <v>28.123199999999997</v>
      </c>
      <c r="N486" s="2250">
        <v>0</v>
      </c>
      <c r="O486" s="2224">
        <v>3</v>
      </c>
      <c r="P486" s="2225" t="s">
        <v>996</v>
      </c>
      <c r="Q486" s="2229">
        <v>0</v>
      </c>
      <c r="R486" s="2229">
        <v>0</v>
      </c>
      <c r="S486" s="2228">
        <f t="shared" si="26"/>
        <v>0</v>
      </c>
      <c r="T486" s="2997">
        <v>0</v>
      </c>
      <c r="U486" s="2228">
        <f t="shared" si="27"/>
        <v>0</v>
      </c>
      <c r="V486" s="2228">
        <f t="shared" si="28"/>
        <v>0</v>
      </c>
      <c r="W486" s="2999">
        <v>0</v>
      </c>
      <c r="X486" s="2230">
        <f t="shared" si="29"/>
        <v>0</v>
      </c>
      <c r="Y486" s="2230">
        <f t="shared" si="30"/>
        <v>0</v>
      </c>
      <c r="Z486" s="2225"/>
      <c r="AA486" s="1652"/>
    </row>
    <row r="487" spans="8:27">
      <c r="H487" s="2224" t="s">
        <v>1305</v>
      </c>
      <c r="I487" s="2229">
        <v>71</v>
      </c>
      <c r="J487" s="2226" t="s">
        <v>110</v>
      </c>
      <c r="K487" s="2224" t="s">
        <v>845</v>
      </c>
      <c r="L487" s="2227">
        <v>31.247999999999998</v>
      </c>
      <c r="M487" s="2227">
        <v>28.123199999999997</v>
      </c>
      <c r="N487" s="2250">
        <v>0</v>
      </c>
      <c r="O487" s="2224">
        <v>3</v>
      </c>
      <c r="P487" s="2225" t="s">
        <v>996</v>
      </c>
      <c r="Q487" s="2229">
        <v>0</v>
      </c>
      <c r="R487" s="2229">
        <v>0</v>
      </c>
      <c r="S487" s="2228">
        <f t="shared" si="26"/>
        <v>0</v>
      </c>
      <c r="T487" s="2997">
        <v>0</v>
      </c>
      <c r="U487" s="2228">
        <f t="shared" si="27"/>
        <v>0</v>
      </c>
      <c r="V487" s="2228">
        <f t="shared" si="28"/>
        <v>0</v>
      </c>
      <c r="W487" s="2999">
        <v>0</v>
      </c>
      <c r="X487" s="2230">
        <f t="shared" si="29"/>
        <v>0</v>
      </c>
      <c r="Y487" s="2230">
        <f t="shared" si="30"/>
        <v>0</v>
      </c>
      <c r="Z487" s="2225"/>
      <c r="AA487" s="1652"/>
    </row>
    <row r="488" spans="8:27">
      <c r="H488" s="2224" t="s">
        <v>1305</v>
      </c>
      <c r="I488" s="2229">
        <v>74</v>
      </c>
      <c r="J488" s="2226" t="s">
        <v>110</v>
      </c>
      <c r="K488" s="2224" t="s">
        <v>845</v>
      </c>
      <c r="L488" s="2227">
        <v>31.247999999999998</v>
      </c>
      <c r="M488" s="2227">
        <v>28.123199999999997</v>
      </c>
      <c r="N488" s="2250">
        <v>0</v>
      </c>
      <c r="O488" s="2224">
        <v>3</v>
      </c>
      <c r="P488" s="2225" t="s">
        <v>996</v>
      </c>
      <c r="Q488" s="2229">
        <v>0</v>
      </c>
      <c r="R488" s="2229">
        <v>0</v>
      </c>
      <c r="S488" s="2228">
        <f t="shared" si="26"/>
        <v>0</v>
      </c>
      <c r="T488" s="2997">
        <v>0</v>
      </c>
      <c r="U488" s="2228">
        <f t="shared" si="27"/>
        <v>0</v>
      </c>
      <c r="V488" s="2228">
        <f t="shared" si="28"/>
        <v>0</v>
      </c>
      <c r="W488" s="2999">
        <v>0</v>
      </c>
      <c r="X488" s="2230">
        <f t="shared" si="29"/>
        <v>0</v>
      </c>
      <c r="Y488" s="2230">
        <f t="shared" si="30"/>
        <v>0</v>
      </c>
      <c r="Z488" s="2225"/>
      <c r="AA488" s="1652"/>
    </row>
    <row r="489" spans="8:27">
      <c r="H489" s="2224" t="s">
        <v>1306</v>
      </c>
      <c r="I489" s="2229">
        <v>344</v>
      </c>
      <c r="J489" s="2226" t="s">
        <v>110</v>
      </c>
      <c r="K489" s="2224" t="s">
        <v>845</v>
      </c>
      <c r="L489" s="2227">
        <v>33.480000000000004</v>
      </c>
      <c r="M489" s="2227">
        <v>30.132000000000005</v>
      </c>
      <c r="N489" s="2250">
        <v>1.1129298671391442E-2</v>
      </c>
      <c r="O489" s="2224">
        <v>3</v>
      </c>
      <c r="P489" s="2225" t="s">
        <v>996</v>
      </c>
      <c r="Q489" s="2229">
        <v>100</v>
      </c>
      <c r="R489" s="2229">
        <v>100</v>
      </c>
      <c r="S489" s="2228">
        <f t="shared" si="26"/>
        <v>200</v>
      </c>
      <c r="T489" s="2997">
        <v>34400</v>
      </c>
      <c r="U489" s="2228">
        <f t="shared" si="27"/>
        <v>34400</v>
      </c>
      <c r="V489" s="2228">
        <f t="shared" si="28"/>
        <v>68800</v>
      </c>
      <c r="W489" s="2999">
        <v>3013.2000000000007</v>
      </c>
      <c r="X489" s="2230">
        <f t="shared" si="29"/>
        <v>3013.2000000000007</v>
      </c>
      <c r="Y489" s="2230">
        <f t="shared" si="30"/>
        <v>6026.4000000000015</v>
      </c>
      <c r="Z489" s="2225"/>
      <c r="AA489" s="1652"/>
    </row>
    <row r="490" spans="8:27">
      <c r="H490" s="2224" t="s">
        <v>1306</v>
      </c>
      <c r="I490" s="2229">
        <v>126</v>
      </c>
      <c r="J490" s="2226" t="s">
        <v>110</v>
      </c>
      <c r="K490" s="2224" t="s">
        <v>845</v>
      </c>
      <c r="L490" s="2227">
        <v>31.247999999999998</v>
      </c>
      <c r="M490" s="2227">
        <v>28.123199999999997</v>
      </c>
      <c r="N490" s="2250">
        <v>5.0955364556516051E-4</v>
      </c>
      <c r="O490" s="2224">
        <v>3</v>
      </c>
      <c r="P490" s="2225" t="s">
        <v>996</v>
      </c>
      <c r="Q490" s="2229">
        <v>12.5</v>
      </c>
      <c r="R490" s="2229">
        <v>12.5</v>
      </c>
      <c r="S490" s="2228">
        <f t="shared" si="26"/>
        <v>25</v>
      </c>
      <c r="T490" s="2997">
        <v>1575</v>
      </c>
      <c r="U490" s="2228">
        <f t="shared" si="27"/>
        <v>1575</v>
      </c>
      <c r="V490" s="2228">
        <f t="shared" si="28"/>
        <v>3150</v>
      </c>
      <c r="W490" s="2999">
        <v>351.53999999999996</v>
      </c>
      <c r="X490" s="2230">
        <f t="shared" si="29"/>
        <v>351.53999999999996</v>
      </c>
      <c r="Y490" s="2230">
        <f t="shared" si="30"/>
        <v>703.07999999999993</v>
      </c>
      <c r="Z490" s="2225"/>
      <c r="AA490" s="1652"/>
    </row>
    <row r="491" spans="8:27">
      <c r="H491" s="2224" t="s">
        <v>1306</v>
      </c>
      <c r="I491" s="2229">
        <v>95</v>
      </c>
      <c r="J491" s="2226" t="s">
        <v>110</v>
      </c>
      <c r="K491" s="2224" t="s">
        <v>845</v>
      </c>
      <c r="L491" s="2227">
        <v>31.247999999999998</v>
      </c>
      <c r="M491" s="2227">
        <v>28.123199999999997</v>
      </c>
      <c r="N491" s="2250">
        <v>3.0734981795993806E-4</v>
      </c>
      <c r="O491" s="2224">
        <v>3</v>
      </c>
      <c r="P491" s="2225" t="s">
        <v>996</v>
      </c>
      <c r="Q491" s="2229">
        <v>10</v>
      </c>
      <c r="R491" s="2229">
        <v>10</v>
      </c>
      <c r="S491" s="2228">
        <f t="shared" si="26"/>
        <v>20</v>
      </c>
      <c r="T491" s="2997">
        <v>950</v>
      </c>
      <c r="U491" s="2228">
        <f t="shared" si="27"/>
        <v>950</v>
      </c>
      <c r="V491" s="2228">
        <f t="shared" si="28"/>
        <v>1900</v>
      </c>
      <c r="W491" s="2999">
        <v>281.23199999999997</v>
      </c>
      <c r="X491" s="2230">
        <f t="shared" si="29"/>
        <v>281.23199999999997</v>
      </c>
      <c r="Y491" s="2230">
        <f t="shared" si="30"/>
        <v>562.46399999999994</v>
      </c>
      <c r="Z491" s="2225"/>
      <c r="AA491" s="1652"/>
    </row>
    <row r="492" spans="8:27">
      <c r="H492" s="2224" t="s">
        <v>1306</v>
      </c>
      <c r="I492" s="2229">
        <v>185</v>
      </c>
      <c r="J492" s="2226" t="s">
        <v>110</v>
      </c>
      <c r="K492" s="2224" t="s">
        <v>845</v>
      </c>
      <c r="L492" s="2227">
        <v>31.247999999999998</v>
      </c>
      <c r="M492" s="2227">
        <v>28.123199999999997</v>
      </c>
      <c r="N492" s="2250">
        <v>0</v>
      </c>
      <c r="O492" s="2224">
        <v>3</v>
      </c>
      <c r="P492" s="2225" t="s">
        <v>996</v>
      </c>
      <c r="Q492" s="2229">
        <v>0</v>
      </c>
      <c r="R492" s="2229">
        <v>0</v>
      </c>
      <c r="S492" s="2228">
        <f t="shared" si="26"/>
        <v>0</v>
      </c>
      <c r="T492" s="2997">
        <v>0</v>
      </c>
      <c r="U492" s="2228">
        <f t="shared" si="27"/>
        <v>0</v>
      </c>
      <c r="V492" s="2228">
        <f t="shared" si="28"/>
        <v>0</v>
      </c>
      <c r="W492" s="2999">
        <v>0</v>
      </c>
      <c r="X492" s="2230">
        <f t="shared" si="29"/>
        <v>0</v>
      </c>
      <c r="Y492" s="2230">
        <f t="shared" si="30"/>
        <v>0</v>
      </c>
      <c r="Z492" s="2225"/>
      <c r="AA492" s="1652"/>
    </row>
    <row r="493" spans="8:27">
      <c r="H493" s="2224" t="s">
        <v>1306</v>
      </c>
      <c r="I493" s="2229">
        <v>151</v>
      </c>
      <c r="J493" s="2226" t="s">
        <v>110</v>
      </c>
      <c r="K493" s="2224" t="s">
        <v>845</v>
      </c>
      <c r="L493" s="2227">
        <v>31.247999999999998</v>
      </c>
      <c r="M493" s="2227">
        <v>28.123199999999997</v>
      </c>
      <c r="N493" s="2250">
        <v>4.8852444749421737E-3</v>
      </c>
      <c r="O493" s="2224">
        <v>3</v>
      </c>
      <c r="P493" s="2225" t="s">
        <v>996</v>
      </c>
      <c r="Q493" s="2229">
        <v>100</v>
      </c>
      <c r="R493" s="2229">
        <v>100</v>
      </c>
      <c r="S493" s="2228">
        <f t="shared" si="26"/>
        <v>200</v>
      </c>
      <c r="T493" s="2997">
        <v>15100</v>
      </c>
      <c r="U493" s="2228">
        <f t="shared" si="27"/>
        <v>15100</v>
      </c>
      <c r="V493" s="2228">
        <f t="shared" si="28"/>
        <v>30200</v>
      </c>
      <c r="W493" s="2999">
        <v>2812.3199999999997</v>
      </c>
      <c r="X493" s="2230">
        <f t="shared" si="29"/>
        <v>2812.3199999999997</v>
      </c>
      <c r="Y493" s="2230">
        <f t="shared" si="30"/>
        <v>5624.6399999999994</v>
      </c>
      <c r="Z493" s="2225"/>
      <c r="AA493" s="1652"/>
    </row>
    <row r="494" spans="8:27">
      <c r="H494" s="2224" t="s">
        <v>1306</v>
      </c>
      <c r="I494" s="2229">
        <v>139</v>
      </c>
      <c r="J494" s="2226" t="s">
        <v>110</v>
      </c>
      <c r="K494" s="2224" t="s">
        <v>845</v>
      </c>
      <c r="L494" s="2227">
        <v>31.247999999999998</v>
      </c>
      <c r="M494" s="2227">
        <v>28.123199999999997</v>
      </c>
      <c r="N494" s="2250">
        <v>0</v>
      </c>
      <c r="O494" s="2224">
        <v>3</v>
      </c>
      <c r="P494" s="2225" t="s">
        <v>996</v>
      </c>
      <c r="Q494" s="2229">
        <v>0</v>
      </c>
      <c r="R494" s="2229">
        <v>0</v>
      </c>
      <c r="S494" s="2228">
        <f t="shared" si="26"/>
        <v>0</v>
      </c>
      <c r="T494" s="2997">
        <v>0</v>
      </c>
      <c r="U494" s="2228">
        <f t="shared" si="27"/>
        <v>0</v>
      </c>
      <c r="V494" s="2228">
        <f t="shared" si="28"/>
        <v>0</v>
      </c>
      <c r="W494" s="2999">
        <v>0</v>
      </c>
      <c r="X494" s="2230">
        <f t="shared" si="29"/>
        <v>0</v>
      </c>
      <c r="Y494" s="2230">
        <f t="shared" si="30"/>
        <v>0</v>
      </c>
      <c r="Z494" s="2225"/>
      <c r="AA494" s="1652"/>
    </row>
    <row r="495" spans="8:27">
      <c r="H495" s="2224" t="s">
        <v>1306</v>
      </c>
      <c r="I495" s="2229">
        <v>96</v>
      </c>
      <c r="J495" s="2226" t="s">
        <v>110</v>
      </c>
      <c r="K495" s="2224" t="s">
        <v>845</v>
      </c>
      <c r="L495" s="2227">
        <v>31.247999999999998</v>
      </c>
      <c r="M495" s="2227">
        <v>28.123199999999997</v>
      </c>
      <c r="N495" s="2250">
        <v>0</v>
      </c>
      <c r="O495" s="2224">
        <v>3</v>
      </c>
      <c r="P495" s="2225" t="s">
        <v>996</v>
      </c>
      <c r="Q495" s="2229">
        <v>0</v>
      </c>
      <c r="R495" s="2229">
        <v>0</v>
      </c>
      <c r="S495" s="2228">
        <f t="shared" si="26"/>
        <v>0</v>
      </c>
      <c r="T495" s="2997">
        <v>0</v>
      </c>
      <c r="U495" s="2228">
        <f t="shared" si="27"/>
        <v>0</v>
      </c>
      <c r="V495" s="2228">
        <f t="shared" si="28"/>
        <v>0</v>
      </c>
      <c r="W495" s="2999">
        <v>0</v>
      </c>
      <c r="X495" s="2230">
        <f t="shared" si="29"/>
        <v>0</v>
      </c>
      <c r="Y495" s="2230">
        <f t="shared" si="30"/>
        <v>0</v>
      </c>
      <c r="Z495" s="2225"/>
      <c r="AA495" s="1652"/>
    </row>
    <row r="496" spans="8:27">
      <c r="H496" s="2224" t="s">
        <v>1306</v>
      </c>
      <c r="I496" s="2229">
        <v>100</v>
      </c>
      <c r="J496" s="2226" t="s">
        <v>110</v>
      </c>
      <c r="K496" s="2224" t="s">
        <v>845</v>
      </c>
      <c r="L496" s="2227">
        <v>31.247999999999998</v>
      </c>
      <c r="M496" s="2227">
        <v>28.123199999999997</v>
      </c>
      <c r="N496" s="2250">
        <v>0</v>
      </c>
      <c r="O496" s="2224">
        <v>3</v>
      </c>
      <c r="P496" s="2225" t="s">
        <v>996</v>
      </c>
      <c r="Q496" s="2229">
        <v>0</v>
      </c>
      <c r="R496" s="2229">
        <v>0</v>
      </c>
      <c r="S496" s="2228">
        <f t="shared" si="26"/>
        <v>0</v>
      </c>
      <c r="T496" s="2997">
        <v>0</v>
      </c>
      <c r="U496" s="2228">
        <f t="shared" si="27"/>
        <v>0</v>
      </c>
      <c r="V496" s="2228">
        <f t="shared" si="28"/>
        <v>0</v>
      </c>
      <c r="W496" s="2999">
        <v>0</v>
      </c>
      <c r="X496" s="2230">
        <f t="shared" si="29"/>
        <v>0</v>
      </c>
      <c r="Y496" s="2230">
        <f t="shared" si="30"/>
        <v>0</v>
      </c>
      <c r="Z496" s="2225"/>
      <c r="AA496" s="1652"/>
    </row>
    <row r="497" spans="8:27">
      <c r="H497" s="2224" t="s">
        <v>1307</v>
      </c>
      <c r="I497" s="2229">
        <v>159</v>
      </c>
      <c r="J497" s="2226" t="s">
        <v>110</v>
      </c>
      <c r="K497" s="2224" t="s">
        <v>845</v>
      </c>
      <c r="L497" s="2227">
        <v>12.825000000000001</v>
      </c>
      <c r="M497" s="2227">
        <v>11.5425</v>
      </c>
      <c r="N497" s="2250">
        <v>2.5720326871384293E-2</v>
      </c>
      <c r="O497" s="2224">
        <v>3</v>
      </c>
      <c r="P497" s="2225" t="s">
        <v>996</v>
      </c>
      <c r="Q497" s="2229">
        <v>500</v>
      </c>
      <c r="R497" s="2229">
        <v>500</v>
      </c>
      <c r="S497" s="2228">
        <f t="shared" si="26"/>
        <v>1000</v>
      </c>
      <c r="T497" s="2997">
        <v>79500</v>
      </c>
      <c r="U497" s="2228">
        <f t="shared" si="27"/>
        <v>79500</v>
      </c>
      <c r="V497" s="2228">
        <f t="shared" si="28"/>
        <v>159000</v>
      </c>
      <c r="W497" s="2999">
        <v>5771.25</v>
      </c>
      <c r="X497" s="2230">
        <f t="shared" si="29"/>
        <v>5771.25</v>
      </c>
      <c r="Y497" s="2230">
        <f t="shared" si="30"/>
        <v>11542.5</v>
      </c>
      <c r="Z497" s="2225"/>
      <c r="AA497" s="1652"/>
    </row>
    <row r="498" spans="8:27">
      <c r="H498" s="2224" t="s">
        <v>1307</v>
      </c>
      <c r="I498" s="2229">
        <v>58</v>
      </c>
      <c r="J498" s="2226" t="s">
        <v>110</v>
      </c>
      <c r="K498" s="2224" t="s">
        <v>845</v>
      </c>
      <c r="L498" s="2227">
        <v>11.97</v>
      </c>
      <c r="M498" s="2227">
        <v>10.773000000000001</v>
      </c>
      <c r="N498" s="2250">
        <v>2.3455644002205801E-4</v>
      </c>
      <c r="O498" s="2224">
        <v>3</v>
      </c>
      <c r="P498" s="2225" t="s">
        <v>996</v>
      </c>
      <c r="Q498" s="2229">
        <v>12.5</v>
      </c>
      <c r="R498" s="2229">
        <v>12.5</v>
      </c>
      <c r="S498" s="2228">
        <f t="shared" si="26"/>
        <v>25</v>
      </c>
      <c r="T498" s="2997">
        <v>725</v>
      </c>
      <c r="U498" s="2228">
        <f t="shared" si="27"/>
        <v>725</v>
      </c>
      <c r="V498" s="2228">
        <f t="shared" si="28"/>
        <v>1450</v>
      </c>
      <c r="W498" s="2999">
        <v>134.66250000000002</v>
      </c>
      <c r="X498" s="2230">
        <f t="shared" si="29"/>
        <v>134.66250000000002</v>
      </c>
      <c r="Y498" s="2230">
        <f t="shared" si="30"/>
        <v>269.32500000000005</v>
      </c>
      <c r="Z498" s="2225"/>
      <c r="AA498" s="1652"/>
    </row>
    <row r="499" spans="8:27">
      <c r="H499" s="2224" t="s">
        <v>1307</v>
      </c>
      <c r="I499" s="2229">
        <v>44</v>
      </c>
      <c r="J499" s="2226" t="s">
        <v>110</v>
      </c>
      <c r="K499" s="2224" t="s">
        <v>845</v>
      </c>
      <c r="L499" s="2227">
        <v>11.97</v>
      </c>
      <c r="M499" s="2227">
        <v>10.773000000000001</v>
      </c>
      <c r="N499" s="2250">
        <v>1.4235149463407658E-3</v>
      </c>
      <c r="O499" s="2224">
        <v>3</v>
      </c>
      <c r="P499" s="2225" t="s">
        <v>996</v>
      </c>
      <c r="Q499" s="2229">
        <v>100</v>
      </c>
      <c r="R499" s="2229">
        <v>100</v>
      </c>
      <c r="S499" s="2228">
        <f t="shared" si="26"/>
        <v>200</v>
      </c>
      <c r="T499" s="2997">
        <v>4400</v>
      </c>
      <c r="U499" s="2228">
        <f t="shared" si="27"/>
        <v>4400</v>
      </c>
      <c r="V499" s="2228">
        <f t="shared" si="28"/>
        <v>8800</v>
      </c>
      <c r="W499" s="2999">
        <v>1077.3000000000002</v>
      </c>
      <c r="X499" s="2230">
        <f t="shared" si="29"/>
        <v>1077.3000000000002</v>
      </c>
      <c r="Y499" s="2230">
        <f t="shared" si="30"/>
        <v>2154.6000000000004</v>
      </c>
      <c r="Z499" s="2225"/>
      <c r="AA499" s="1652"/>
    </row>
    <row r="500" spans="8:27">
      <c r="H500" s="2224" t="s">
        <v>1307</v>
      </c>
      <c r="I500" s="2229">
        <v>86</v>
      </c>
      <c r="J500" s="2226" t="s">
        <v>110</v>
      </c>
      <c r="K500" s="2224" t="s">
        <v>845</v>
      </c>
      <c r="L500" s="2227">
        <v>11.97</v>
      </c>
      <c r="M500" s="2227">
        <v>10.773000000000001</v>
      </c>
      <c r="N500" s="2250">
        <v>0</v>
      </c>
      <c r="O500" s="2224">
        <v>3</v>
      </c>
      <c r="P500" s="2225" t="s">
        <v>996</v>
      </c>
      <c r="Q500" s="2229">
        <v>0</v>
      </c>
      <c r="R500" s="2229">
        <v>0</v>
      </c>
      <c r="S500" s="2228">
        <f t="shared" si="26"/>
        <v>0</v>
      </c>
      <c r="T500" s="2997">
        <v>0</v>
      </c>
      <c r="U500" s="2228">
        <f t="shared" si="27"/>
        <v>0</v>
      </c>
      <c r="V500" s="2228">
        <f t="shared" si="28"/>
        <v>0</v>
      </c>
      <c r="W500" s="2999">
        <v>0</v>
      </c>
      <c r="X500" s="2230">
        <f t="shared" si="29"/>
        <v>0</v>
      </c>
      <c r="Y500" s="2230">
        <f t="shared" si="30"/>
        <v>0</v>
      </c>
      <c r="Z500" s="2225"/>
      <c r="AA500" s="1652"/>
    </row>
    <row r="501" spans="8:27">
      <c r="H501" s="2224" t="s">
        <v>1307</v>
      </c>
      <c r="I501" s="2229">
        <v>70</v>
      </c>
      <c r="J501" s="2226" t="s">
        <v>110</v>
      </c>
      <c r="K501" s="2224" t="s">
        <v>845</v>
      </c>
      <c r="L501" s="2227">
        <v>11.97</v>
      </c>
      <c r="M501" s="2227">
        <v>10.773000000000001</v>
      </c>
      <c r="N501" s="2250">
        <v>5.6617071729462278E-3</v>
      </c>
      <c r="O501" s="2224">
        <v>3</v>
      </c>
      <c r="P501" s="2225" t="s">
        <v>996</v>
      </c>
      <c r="Q501" s="2229">
        <v>250</v>
      </c>
      <c r="R501" s="2229">
        <v>250</v>
      </c>
      <c r="S501" s="2228">
        <f t="shared" si="26"/>
        <v>500</v>
      </c>
      <c r="T501" s="2997">
        <v>17500</v>
      </c>
      <c r="U501" s="2228">
        <f t="shared" si="27"/>
        <v>17500</v>
      </c>
      <c r="V501" s="2228">
        <f t="shared" si="28"/>
        <v>35000</v>
      </c>
      <c r="W501" s="2999">
        <v>2693.2500000000005</v>
      </c>
      <c r="X501" s="2230">
        <f t="shared" si="29"/>
        <v>2693.2500000000005</v>
      </c>
      <c r="Y501" s="2230">
        <f t="shared" si="30"/>
        <v>5386.5000000000009</v>
      </c>
      <c r="Z501" s="2225"/>
      <c r="AA501" s="1652"/>
    </row>
    <row r="502" spans="8:27">
      <c r="H502" s="2224" t="s">
        <v>1307</v>
      </c>
      <c r="I502" s="2229">
        <v>64</v>
      </c>
      <c r="J502" s="2226" t="s">
        <v>110</v>
      </c>
      <c r="K502" s="2224" t="s">
        <v>845</v>
      </c>
      <c r="L502" s="2227">
        <v>11.97</v>
      </c>
      <c r="M502" s="2227">
        <v>10.773000000000001</v>
      </c>
      <c r="N502" s="2250">
        <v>0</v>
      </c>
      <c r="O502" s="2224">
        <v>3</v>
      </c>
      <c r="P502" s="2225" t="s">
        <v>996</v>
      </c>
      <c r="Q502" s="2229">
        <v>0</v>
      </c>
      <c r="R502" s="2229">
        <v>0</v>
      </c>
      <c r="S502" s="2228">
        <f t="shared" si="26"/>
        <v>0</v>
      </c>
      <c r="T502" s="2997">
        <v>0</v>
      </c>
      <c r="U502" s="2228">
        <f t="shared" si="27"/>
        <v>0</v>
      </c>
      <c r="V502" s="2228">
        <f t="shared" si="28"/>
        <v>0</v>
      </c>
      <c r="W502" s="2999">
        <v>0</v>
      </c>
      <c r="X502" s="2230">
        <f t="shared" si="29"/>
        <v>0</v>
      </c>
      <c r="Y502" s="2230">
        <f t="shared" si="30"/>
        <v>0</v>
      </c>
      <c r="Z502" s="2225"/>
      <c r="AA502" s="1652"/>
    </row>
    <row r="503" spans="8:27">
      <c r="H503" s="2224" t="s">
        <v>1307</v>
      </c>
      <c r="I503" s="2229">
        <v>45</v>
      </c>
      <c r="J503" s="2226" t="s">
        <v>110</v>
      </c>
      <c r="K503" s="2224" t="s">
        <v>845</v>
      </c>
      <c r="L503" s="2227">
        <v>11.97</v>
      </c>
      <c r="M503" s="2227">
        <v>10.773000000000001</v>
      </c>
      <c r="N503" s="2250">
        <v>0</v>
      </c>
      <c r="O503" s="2224">
        <v>3</v>
      </c>
      <c r="P503" s="2225" t="s">
        <v>996</v>
      </c>
      <c r="Q503" s="2229">
        <v>0</v>
      </c>
      <c r="R503" s="2229">
        <v>0</v>
      </c>
      <c r="S503" s="2228">
        <f t="shared" si="26"/>
        <v>0</v>
      </c>
      <c r="T503" s="2997">
        <v>0</v>
      </c>
      <c r="U503" s="2228">
        <f t="shared" si="27"/>
        <v>0</v>
      </c>
      <c r="V503" s="2228">
        <f t="shared" si="28"/>
        <v>0</v>
      </c>
      <c r="W503" s="2999">
        <v>0</v>
      </c>
      <c r="X503" s="2230">
        <f t="shared" si="29"/>
        <v>0</v>
      </c>
      <c r="Y503" s="2230">
        <f t="shared" si="30"/>
        <v>0</v>
      </c>
      <c r="Z503" s="2225"/>
      <c r="AA503" s="1652"/>
    </row>
    <row r="504" spans="8:27">
      <c r="H504" s="2224" t="s">
        <v>1307</v>
      </c>
      <c r="I504" s="2229">
        <v>46</v>
      </c>
      <c r="J504" s="2226" t="s">
        <v>110</v>
      </c>
      <c r="K504" s="2224" t="s">
        <v>845</v>
      </c>
      <c r="L504" s="2227">
        <v>11.97</v>
      </c>
      <c r="M504" s="2227">
        <v>10.773000000000001</v>
      </c>
      <c r="N504" s="2250">
        <v>0</v>
      </c>
      <c r="O504" s="2224">
        <v>3</v>
      </c>
      <c r="P504" s="2225" t="s">
        <v>996</v>
      </c>
      <c r="Q504" s="2229">
        <v>0</v>
      </c>
      <c r="R504" s="2229">
        <v>0</v>
      </c>
      <c r="S504" s="2228">
        <f t="shared" si="26"/>
        <v>0</v>
      </c>
      <c r="T504" s="2997">
        <v>0</v>
      </c>
      <c r="U504" s="2228">
        <f t="shared" si="27"/>
        <v>0</v>
      </c>
      <c r="V504" s="2228">
        <f t="shared" si="28"/>
        <v>0</v>
      </c>
      <c r="W504" s="2999">
        <v>0</v>
      </c>
      <c r="X504" s="2230">
        <f t="shared" si="29"/>
        <v>0</v>
      </c>
      <c r="Y504" s="2230">
        <f t="shared" si="30"/>
        <v>0</v>
      </c>
      <c r="Z504" s="2225"/>
      <c r="AA504" s="1652"/>
    </row>
    <row r="505" spans="8:27">
      <c r="H505" s="2224" t="s">
        <v>1308</v>
      </c>
      <c r="I505" s="2229">
        <v>712</v>
      </c>
      <c r="J505" s="2226" t="s">
        <v>110</v>
      </c>
      <c r="K505" s="2224" t="s">
        <v>845</v>
      </c>
      <c r="L505" s="2227">
        <v>11.787999999999998</v>
      </c>
      <c r="M505" s="2227">
        <v>10.6092</v>
      </c>
      <c r="N505" s="2250">
        <v>2.8793825050983674E-2</v>
      </c>
      <c r="O505" s="2224">
        <v>5</v>
      </c>
      <c r="P505" s="2225" t="s">
        <v>997</v>
      </c>
      <c r="Q505" s="2229">
        <v>125</v>
      </c>
      <c r="R505" s="2229">
        <v>125</v>
      </c>
      <c r="S505" s="2228">
        <f t="shared" si="26"/>
        <v>250</v>
      </c>
      <c r="T505" s="2997">
        <v>89000</v>
      </c>
      <c r="U505" s="2228">
        <f t="shared" si="27"/>
        <v>89000</v>
      </c>
      <c r="V505" s="2228">
        <f t="shared" si="28"/>
        <v>178000</v>
      </c>
      <c r="W505" s="2999">
        <v>1326.1499999999999</v>
      </c>
      <c r="X505" s="2230">
        <f t="shared" si="29"/>
        <v>1326.1499999999999</v>
      </c>
      <c r="Y505" s="2230">
        <f t="shared" si="30"/>
        <v>2652.2999999999997</v>
      </c>
      <c r="Z505" s="2225"/>
      <c r="AA505" s="1652"/>
    </row>
    <row r="506" spans="8:27">
      <c r="H506" s="2224"/>
      <c r="I506" s="2229"/>
      <c r="J506" s="2226" t="s">
        <v>110</v>
      </c>
      <c r="K506" s="2224" t="s">
        <v>845</v>
      </c>
      <c r="L506" s="2227"/>
      <c r="M506" s="2227">
        <v>0</v>
      </c>
      <c r="N506" s="2250" t="s">
        <v>229</v>
      </c>
      <c r="O506" s="2224"/>
      <c r="P506" s="2225"/>
      <c r="Q506" s="2229">
        <v>250</v>
      </c>
      <c r="R506" s="2229">
        <v>250</v>
      </c>
      <c r="S506" s="2228">
        <f t="shared" si="26"/>
        <v>500</v>
      </c>
      <c r="T506" s="2997">
        <v>0</v>
      </c>
      <c r="U506" s="2228">
        <f t="shared" si="27"/>
        <v>0</v>
      </c>
      <c r="V506" s="2228">
        <f t="shared" si="28"/>
        <v>0</v>
      </c>
      <c r="W506" s="2999">
        <v>0</v>
      </c>
      <c r="X506" s="2230">
        <f t="shared" si="29"/>
        <v>0</v>
      </c>
      <c r="Y506" s="2230">
        <f t="shared" si="30"/>
        <v>0</v>
      </c>
      <c r="Z506" s="2225"/>
      <c r="AA506" s="1652"/>
    </row>
    <row r="507" spans="8:27">
      <c r="H507" s="2224" t="s">
        <v>1309</v>
      </c>
      <c r="I507" s="2229">
        <v>350</v>
      </c>
      <c r="J507" s="2226" t="s">
        <v>110</v>
      </c>
      <c r="K507" s="2224" t="s">
        <v>845</v>
      </c>
      <c r="L507" s="2227">
        <v>10.946</v>
      </c>
      <c r="M507" s="2227">
        <v>9.8513999999999999</v>
      </c>
      <c r="N507" s="2250">
        <v>2.8308535864731137E-4</v>
      </c>
      <c r="O507" s="2224">
        <v>5</v>
      </c>
      <c r="P507" s="2225" t="s">
        <v>997</v>
      </c>
      <c r="Q507" s="2229">
        <v>2.5</v>
      </c>
      <c r="R507" s="2229">
        <v>2.5</v>
      </c>
      <c r="S507" s="2228">
        <f t="shared" si="26"/>
        <v>5</v>
      </c>
      <c r="T507" s="2997">
        <v>875</v>
      </c>
      <c r="U507" s="2228">
        <f t="shared" si="27"/>
        <v>875</v>
      </c>
      <c r="V507" s="2228">
        <f t="shared" si="28"/>
        <v>1750</v>
      </c>
      <c r="W507" s="2999">
        <v>24.628499999999999</v>
      </c>
      <c r="X507" s="2230">
        <f t="shared" si="29"/>
        <v>24.628499999999999</v>
      </c>
      <c r="Y507" s="2230">
        <f t="shared" si="30"/>
        <v>49.256999999999998</v>
      </c>
      <c r="Z507" s="2225"/>
      <c r="AA507" s="1652"/>
    </row>
    <row r="508" spans="8:27">
      <c r="H508" s="2224"/>
      <c r="I508" s="2229"/>
      <c r="J508" s="2226" t="s">
        <v>110</v>
      </c>
      <c r="K508" s="2224" t="s">
        <v>845</v>
      </c>
      <c r="L508" s="2227"/>
      <c r="M508" s="2227">
        <v>0</v>
      </c>
      <c r="N508" s="2250" t="s">
        <v>229</v>
      </c>
      <c r="O508" s="2224"/>
      <c r="P508" s="2225"/>
      <c r="Q508" s="2229">
        <v>0</v>
      </c>
      <c r="R508" s="2229">
        <v>0</v>
      </c>
      <c r="S508" s="2228">
        <f t="shared" si="26"/>
        <v>0</v>
      </c>
      <c r="T508" s="2997">
        <v>0</v>
      </c>
      <c r="U508" s="2228">
        <f t="shared" si="27"/>
        <v>0</v>
      </c>
      <c r="V508" s="2228">
        <f t="shared" si="28"/>
        <v>0</v>
      </c>
      <c r="W508" s="2999">
        <v>0</v>
      </c>
      <c r="X508" s="2230">
        <f t="shared" si="29"/>
        <v>0</v>
      </c>
      <c r="Y508" s="2230">
        <f t="shared" si="30"/>
        <v>0</v>
      </c>
      <c r="Z508" s="2225"/>
      <c r="AA508" s="1652"/>
    </row>
    <row r="509" spans="8:27">
      <c r="H509" s="2224" t="s">
        <v>1310</v>
      </c>
      <c r="I509" s="2229">
        <v>1208</v>
      </c>
      <c r="J509" s="2226" t="s">
        <v>110</v>
      </c>
      <c r="K509" s="2224" t="s">
        <v>845</v>
      </c>
      <c r="L509" s="2227">
        <v>70.421000000000006</v>
      </c>
      <c r="M509" s="2227">
        <v>63.378900000000009</v>
      </c>
      <c r="N509" s="2250">
        <v>1.9540977899768696E-3</v>
      </c>
      <c r="O509" s="2224">
        <v>5</v>
      </c>
      <c r="P509" s="2225" t="s">
        <v>997</v>
      </c>
      <c r="Q509" s="2229">
        <v>5</v>
      </c>
      <c r="R509" s="2229">
        <v>5</v>
      </c>
      <c r="S509" s="2228">
        <f t="shared" si="26"/>
        <v>10</v>
      </c>
      <c r="T509" s="2997">
        <v>6040</v>
      </c>
      <c r="U509" s="2228">
        <f t="shared" si="27"/>
        <v>6040</v>
      </c>
      <c r="V509" s="2228">
        <f t="shared" si="28"/>
        <v>12080</v>
      </c>
      <c r="W509" s="2999">
        <v>316.89450000000005</v>
      </c>
      <c r="X509" s="2230">
        <f t="shared" si="29"/>
        <v>316.89450000000005</v>
      </c>
      <c r="Y509" s="2230">
        <f t="shared" si="30"/>
        <v>633.7890000000001</v>
      </c>
      <c r="Z509" s="2225"/>
      <c r="AA509" s="1652"/>
    </row>
    <row r="510" spans="8:27">
      <c r="H510" s="2224" t="s">
        <v>1311</v>
      </c>
      <c r="I510" s="2229">
        <v>839</v>
      </c>
      <c r="J510" s="2226" t="s">
        <v>110</v>
      </c>
      <c r="K510" s="2224" t="s">
        <v>845</v>
      </c>
      <c r="L510" s="2227">
        <v>70.421000000000006</v>
      </c>
      <c r="M510" s="2227">
        <v>63.378900000000009</v>
      </c>
      <c r="N510" s="2250">
        <v>1.3571920908862529E-3</v>
      </c>
      <c r="O510" s="2224">
        <v>5</v>
      </c>
      <c r="P510" s="2225" t="s">
        <v>997</v>
      </c>
      <c r="Q510" s="2229">
        <v>5</v>
      </c>
      <c r="R510" s="2229">
        <v>5</v>
      </c>
      <c r="S510" s="2228">
        <f t="shared" si="26"/>
        <v>10</v>
      </c>
      <c r="T510" s="2997">
        <v>4195</v>
      </c>
      <c r="U510" s="2228">
        <f t="shared" si="27"/>
        <v>4195</v>
      </c>
      <c r="V510" s="2228">
        <f t="shared" si="28"/>
        <v>8390</v>
      </c>
      <c r="W510" s="2999">
        <v>316.89450000000005</v>
      </c>
      <c r="X510" s="2230">
        <f t="shared" si="29"/>
        <v>316.89450000000005</v>
      </c>
      <c r="Y510" s="2230">
        <f t="shared" si="30"/>
        <v>633.7890000000001</v>
      </c>
      <c r="Z510" s="2225"/>
      <c r="AA510" s="1652"/>
    </row>
    <row r="511" spans="8:27">
      <c r="H511" s="2224" t="s">
        <v>1312</v>
      </c>
      <c r="I511" s="2229">
        <v>1322</v>
      </c>
      <c r="J511" s="2226" t="s">
        <v>110</v>
      </c>
      <c r="K511" s="2224" t="s">
        <v>845</v>
      </c>
      <c r="L511" s="2227">
        <v>70.421000000000006</v>
      </c>
      <c r="M511" s="2227">
        <v>63.378900000000009</v>
      </c>
      <c r="N511" s="2250">
        <v>2.1385076807528321E-3</v>
      </c>
      <c r="O511" s="2224">
        <v>5</v>
      </c>
      <c r="P511" s="2225" t="s">
        <v>997</v>
      </c>
      <c r="Q511" s="2229">
        <v>5</v>
      </c>
      <c r="R511" s="2229">
        <v>5</v>
      </c>
      <c r="S511" s="2228">
        <f t="shared" si="26"/>
        <v>10</v>
      </c>
      <c r="T511" s="2997">
        <v>6610</v>
      </c>
      <c r="U511" s="2228">
        <f t="shared" si="27"/>
        <v>6610</v>
      </c>
      <c r="V511" s="2228">
        <f t="shared" si="28"/>
        <v>13220</v>
      </c>
      <c r="W511" s="2999">
        <v>316.89450000000005</v>
      </c>
      <c r="X511" s="2230">
        <f t="shared" si="29"/>
        <v>316.89450000000005</v>
      </c>
      <c r="Y511" s="2230">
        <f t="shared" si="30"/>
        <v>633.7890000000001</v>
      </c>
      <c r="Z511" s="2225"/>
      <c r="AA511" s="1652"/>
    </row>
    <row r="512" spans="8:27">
      <c r="H512" s="2224" t="s">
        <v>1313</v>
      </c>
      <c r="I512" s="2229">
        <v>2187</v>
      </c>
      <c r="J512" s="2226" t="s">
        <v>110</v>
      </c>
      <c r="K512" s="2224" t="s">
        <v>845</v>
      </c>
      <c r="L512" s="2227">
        <v>70.421000000000006</v>
      </c>
      <c r="M512" s="2227">
        <v>63.378900000000009</v>
      </c>
      <c r="N512" s="2250">
        <v>3.5377581677809716E-3</v>
      </c>
      <c r="O512" s="2224">
        <v>5</v>
      </c>
      <c r="P512" s="2225" t="s">
        <v>997</v>
      </c>
      <c r="Q512" s="2229">
        <v>5</v>
      </c>
      <c r="R512" s="2229">
        <v>5</v>
      </c>
      <c r="S512" s="2228">
        <f t="shared" ref="S512:S554" si="31">Q512+R512</f>
        <v>10</v>
      </c>
      <c r="T512" s="2997">
        <v>10935</v>
      </c>
      <c r="U512" s="2228">
        <f t="shared" ref="U512:U554" si="32">I512*R512</f>
        <v>10935</v>
      </c>
      <c r="V512" s="2228">
        <f t="shared" ref="V512:V554" si="33">T512+U512</f>
        <v>21870</v>
      </c>
      <c r="W512" s="2999">
        <v>316.89450000000005</v>
      </c>
      <c r="X512" s="2230">
        <f t="shared" ref="X512:X554" si="34">M512*R512</f>
        <v>316.89450000000005</v>
      </c>
      <c r="Y512" s="2230">
        <f t="shared" ref="Y512:Y554" si="35">W512+X512</f>
        <v>633.7890000000001</v>
      </c>
      <c r="Z512" s="2225"/>
      <c r="AA512" s="1652"/>
    </row>
    <row r="513" spans="8:27">
      <c r="H513" s="2224"/>
      <c r="I513" s="2229"/>
      <c r="J513" s="2226" t="s">
        <v>110</v>
      </c>
      <c r="K513" s="2224" t="s">
        <v>845</v>
      </c>
      <c r="L513" s="2227"/>
      <c r="M513" s="2227">
        <v>0</v>
      </c>
      <c r="N513" s="2250" t="s">
        <v>229</v>
      </c>
      <c r="O513" s="2224"/>
      <c r="P513" s="2225"/>
      <c r="Q513" s="2229">
        <v>0</v>
      </c>
      <c r="R513" s="2229">
        <v>0</v>
      </c>
      <c r="S513" s="2228">
        <f t="shared" si="31"/>
        <v>0</v>
      </c>
      <c r="T513" s="2997">
        <v>0</v>
      </c>
      <c r="U513" s="2228">
        <f t="shared" si="32"/>
        <v>0</v>
      </c>
      <c r="V513" s="2228">
        <f t="shared" si="33"/>
        <v>0</v>
      </c>
      <c r="W513" s="2999">
        <v>0</v>
      </c>
      <c r="X513" s="2230">
        <f t="shared" si="34"/>
        <v>0</v>
      </c>
      <c r="Y513" s="2230">
        <f t="shared" si="35"/>
        <v>0</v>
      </c>
      <c r="Z513" s="2225"/>
      <c r="AA513" s="1652"/>
    </row>
    <row r="514" spans="8:27">
      <c r="H514" s="2224"/>
      <c r="I514" s="2229"/>
      <c r="J514" s="2226" t="s">
        <v>110</v>
      </c>
      <c r="K514" s="2224" t="s">
        <v>845</v>
      </c>
      <c r="L514" s="2227"/>
      <c r="M514" s="2227">
        <v>0</v>
      </c>
      <c r="N514" s="2250" t="s">
        <v>229</v>
      </c>
      <c r="O514" s="2224"/>
      <c r="P514" s="2225"/>
      <c r="Q514" s="2229">
        <v>0</v>
      </c>
      <c r="R514" s="2229">
        <v>0</v>
      </c>
      <c r="S514" s="2228">
        <f t="shared" si="31"/>
        <v>0</v>
      </c>
      <c r="T514" s="2997">
        <v>0</v>
      </c>
      <c r="U514" s="2228">
        <f t="shared" si="32"/>
        <v>0</v>
      </c>
      <c r="V514" s="2228">
        <f t="shared" si="33"/>
        <v>0</v>
      </c>
      <c r="W514" s="2999">
        <v>0</v>
      </c>
      <c r="X514" s="2230">
        <f t="shared" si="34"/>
        <v>0</v>
      </c>
      <c r="Y514" s="2230">
        <f t="shared" si="35"/>
        <v>0</v>
      </c>
      <c r="Z514" s="2225"/>
      <c r="AA514" s="1652"/>
    </row>
    <row r="515" spans="8:27">
      <c r="H515" s="2224"/>
      <c r="I515" s="2229"/>
      <c r="J515" s="2226" t="s">
        <v>110</v>
      </c>
      <c r="K515" s="2224" t="s">
        <v>845</v>
      </c>
      <c r="L515" s="2227"/>
      <c r="M515" s="2227">
        <v>0</v>
      </c>
      <c r="N515" s="2250" t="s">
        <v>229</v>
      </c>
      <c r="O515" s="2224"/>
      <c r="P515" s="2225"/>
      <c r="Q515" s="2229">
        <v>0</v>
      </c>
      <c r="R515" s="2229">
        <v>0</v>
      </c>
      <c r="S515" s="2228">
        <f t="shared" si="31"/>
        <v>0</v>
      </c>
      <c r="T515" s="2997">
        <v>0</v>
      </c>
      <c r="U515" s="2228">
        <f t="shared" si="32"/>
        <v>0</v>
      </c>
      <c r="V515" s="2228">
        <f t="shared" si="33"/>
        <v>0</v>
      </c>
      <c r="W515" s="2999">
        <v>0</v>
      </c>
      <c r="X515" s="2230">
        <f t="shared" si="34"/>
        <v>0</v>
      </c>
      <c r="Y515" s="2230">
        <f t="shared" si="35"/>
        <v>0</v>
      </c>
      <c r="Z515" s="2225"/>
      <c r="AA515" s="1652"/>
    </row>
    <row r="516" spans="8:27">
      <c r="H516" s="2224"/>
      <c r="I516" s="2229"/>
      <c r="J516" s="2226" t="s">
        <v>110</v>
      </c>
      <c r="K516" s="2224" t="s">
        <v>845</v>
      </c>
      <c r="L516" s="2227"/>
      <c r="M516" s="2227">
        <v>0</v>
      </c>
      <c r="N516" s="2250" t="s">
        <v>229</v>
      </c>
      <c r="O516" s="2224"/>
      <c r="P516" s="2225"/>
      <c r="Q516" s="2229">
        <v>0</v>
      </c>
      <c r="R516" s="2229">
        <v>0</v>
      </c>
      <c r="S516" s="2228">
        <f t="shared" si="31"/>
        <v>0</v>
      </c>
      <c r="T516" s="2997">
        <v>0</v>
      </c>
      <c r="U516" s="2228">
        <f t="shared" si="32"/>
        <v>0</v>
      </c>
      <c r="V516" s="2228">
        <f t="shared" si="33"/>
        <v>0</v>
      </c>
      <c r="W516" s="2999">
        <v>0</v>
      </c>
      <c r="X516" s="2230">
        <f t="shared" si="34"/>
        <v>0</v>
      </c>
      <c r="Y516" s="2230">
        <f t="shared" si="35"/>
        <v>0</v>
      </c>
      <c r="Z516" s="2225"/>
      <c r="AA516" s="1652"/>
    </row>
    <row r="517" spans="8:27">
      <c r="H517" s="2224" t="s">
        <v>1314</v>
      </c>
      <c r="I517" s="2229">
        <v>228</v>
      </c>
      <c r="J517" s="2226" t="s">
        <v>110</v>
      </c>
      <c r="K517" s="2224" t="s">
        <v>845</v>
      </c>
      <c r="L517" s="2227">
        <v>21.671000000000003</v>
      </c>
      <c r="M517" s="2227">
        <v>19.503900000000002</v>
      </c>
      <c r="N517" s="2250">
        <v>3.688197815519257E-2</v>
      </c>
      <c r="O517" s="2224">
        <v>10</v>
      </c>
      <c r="P517" s="2225" t="s">
        <v>997</v>
      </c>
      <c r="Q517" s="2229">
        <v>500</v>
      </c>
      <c r="R517" s="2229">
        <v>500</v>
      </c>
      <c r="S517" s="2228">
        <f t="shared" si="31"/>
        <v>1000</v>
      </c>
      <c r="T517" s="2997">
        <v>114000</v>
      </c>
      <c r="U517" s="2228">
        <f t="shared" si="32"/>
        <v>114000</v>
      </c>
      <c r="V517" s="2228">
        <f t="shared" si="33"/>
        <v>228000</v>
      </c>
      <c r="W517" s="2999">
        <v>9751.9500000000007</v>
      </c>
      <c r="X517" s="2230">
        <f t="shared" si="34"/>
        <v>9751.9500000000007</v>
      </c>
      <c r="Y517" s="2230">
        <f t="shared" si="35"/>
        <v>19503.900000000001</v>
      </c>
      <c r="Z517" s="2225"/>
      <c r="AA517" s="1652"/>
    </row>
    <row r="518" spans="8:27">
      <c r="H518" s="2224" t="s">
        <v>1315</v>
      </c>
      <c r="I518" s="2229">
        <v>4288</v>
      </c>
      <c r="J518" s="2226" t="s">
        <v>110</v>
      </c>
      <c r="K518" s="2224" t="s">
        <v>845</v>
      </c>
      <c r="L518" s="2227">
        <v>21.671000000000003</v>
      </c>
      <c r="M518" s="2227">
        <v>19.503900000000002</v>
      </c>
      <c r="N518" s="2250">
        <v>0</v>
      </c>
      <c r="O518" s="2224">
        <v>10</v>
      </c>
      <c r="P518" s="2225" t="s">
        <v>997</v>
      </c>
      <c r="Q518" s="2229">
        <v>0</v>
      </c>
      <c r="R518" s="2229">
        <v>0</v>
      </c>
      <c r="S518" s="2228">
        <f t="shared" si="31"/>
        <v>0</v>
      </c>
      <c r="T518" s="2997">
        <v>0</v>
      </c>
      <c r="U518" s="2228">
        <f t="shared" si="32"/>
        <v>0</v>
      </c>
      <c r="V518" s="2228">
        <f t="shared" si="33"/>
        <v>0</v>
      </c>
      <c r="W518" s="2999">
        <v>0</v>
      </c>
      <c r="X518" s="2230">
        <f t="shared" si="34"/>
        <v>0</v>
      </c>
      <c r="Y518" s="2230">
        <f t="shared" si="35"/>
        <v>0</v>
      </c>
      <c r="Z518" s="2225"/>
      <c r="AA518" s="1652"/>
    </row>
    <row r="519" spans="8:27">
      <c r="H519" s="2224"/>
      <c r="I519" s="2229"/>
      <c r="J519" s="2226" t="s">
        <v>110</v>
      </c>
      <c r="K519" s="2224" t="s">
        <v>845</v>
      </c>
      <c r="L519" s="2227">
        <v>21.671000000000003</v>
      </c>
      <c r="M519" s="2227">
        <v>19.503900000000002</v>
      </c>
      <c r="N519" s="2250" t="s">
        <v>229</v>
      </c>
      <c r="O519" s="2224"/>
      <c r="P519" s="2225"/>
      <c r="Q519" s="2229">
        <v>0</v>
      </c>
      <c r="R519" s="2229">
        <v>0</v>
      </c>
      <c r="S519" s="2228">
        <f t="shared" si="31"/>
        <v>0</v>
      </c>
      <c r="T519" s="2997">
        <v>0</v>
      </c>
      <c r="U519" s="2228">
        <f t="shared" si="32"/>
        <v>0</v>
      </c>
      <c r="V519" s="2228">
        <f t="shared" si="33"/>
        <v>0</v>
      </c>
      <c r="W519" s="2999">
        <v>0</v>
      </c>
      <c r="X519" s="2230">
        <f t="shared" si="34"/>
        <v>0</v>
      </c>
      <c r="Y519" s="2230">
        <f t="shared" si="35"/>
        <v>0</v>
      </c>
      <c r="Z519" s="2225"/>
      <c r="AA519" s="1652"/>
    </row>
    <row r="520" spans="8:27">
      <c r="H520" s="2224" t="s">
        <v>1434</v>
      </c>
      <c r="I520" s="2229">
        <v>164</v>
      </c>
      <c r="J520" s="2226" t="s">
        <v>110</v>
      </c>
      <c r="K520" s="2224" t="s">
        <v>845</v>
      </c>
      <c r="L520" s="2227">
        <v>14.95</v>
      </c>
      <c r="M520" s="2227">
        <v>13.455</v>
      </c>
      <c r="N520" s="2250">
        <v>2.6529142181805181E-3</v>
      </c>
      <c r="O520" s="2224">
        <v>5</v>
      </c>
      <c r="P520" s="2225" t="s">
        <v>997</v>
      </c>
      <c r="Q520" s="2229">
        <v>50</v>
      </c>
      <c r="R520" s="2229">
        <v>50</v>
      </c>
      <c r="S520" s="2228">
        <f t="shared" si="31"/>
        <v>100</v>
      </c>
      <c r="T520" s="2997">
        <v>8200</v>
      </c>
      <c r="U520" s="2228">
        <f t="shared" si="32"/>
        <v>8200</v>
      </c>
      <c r="V520" s="2228">
        <f t="shared" si="33"/>
        <v>16400</v>
      </c>
      <c r="W520" s="2999">
        <v>672.75</v>
      </c>
      <c r="X520" s="2230">
        <f t="shared" si="34"/>
        <v>672.75</v>
      </c>
      <c r="Y520" s="2230">
        <f t="shared" si="35"/>
        <v>1345.5</v>
      </c>
      <c r="Z520" s="2225"/>
      <c r="AA520" s="1652"/>
    </row>
    <row r="521" spans="8:27">
      <c r="H521" s="2224"/>
      <c r="I521" s="2229"/>
      <c r="J521" s="2226" t="s">
        <v>110</v>
      </c>
      <c r="K521" s="2224" t="s">
        <v>845</v>
      </c>
      <c r="L521" s="2227">
        <v>14.950000000000001</v>
      </c>
      <c r="M521" s="2227">
        <v>13.455000000000002</v>
      </c>
      <c r="N521" s="2250" t="s">
        <v>229</v>
      </c>
      <c r="O521" s="2224"/>
      <c r="P521" s="2225"/>
      <c r="Q521" s="2229">
        <v>0</v>
      </c>
      <c r="R521" s="2229">
        <v>0</v>
      </c>
      <c r="S521" s="2228">
        <f t="shared" si="31"/>
        <v>0</v>
      </c>
      <c r="T521" s="2997">
        <v>0</v>
      </c>
      <c r="U521" s="2228">
        <f t="shared" si="32"/>
        <v>0</v>
      </c>
      <c r="V521" s="2228">
        <f t="shared" si="33"/>
        <v>0</v>
      </c>
      <c r="W521" s="2999">
        <v>0</v>
      </c>
      <c r="X521" s="2230">
        <f t="shared" si="34"/>
        <v>0</v>
      </c>
      <c r="Y521" s="2230">
        <f t="shared" si="35"/>
        <v>0</v>
      </c>
      <c r="Z521" s="2225"/>
      <c r="AA521" s="1652"/>
    </row>
    <row r="522" spans="8:27">
      <c r="H522" s="2224" t="s">
        <v>1316</v>
      </c>
      <c r="I522" s="2229">
        <v>340</v>
      </c>
      <c r="J522" s="2226" t="s">
        <v>110</v>
      </c>
      <c r="K522" s="2224" t="s">
        <v>845</v>
      </c>
      <c r="L522" s="2227">
        <v>198.43199999999999</v>
      </c>
      <c r="M522" s="2227">
        <v>178.58879999999999</v>
      </c>
      <c r="N522" s="2250">
        <v>5.4999441108620495E-4</v>
      </c>
      <c r="O522" s="2224">
        <v>12</v>
      </c>
      <c r="P522" s="2225" t="s">
        <v>996</v>
      </c>
      <c r="Q522" s="2229">
        <v>5</v>
      </c>
      <c r="R522" s="2229">
        <v>5</v>
      </c>
      <c r="S522" s="2228">
        <f t="shared" si="31"/>
        <v>10</v>
      </c>
      <c r="T522" s="2997">
        <v>1700</v>
      </c>
      <c r="U522" s="2228">
        <f t="shared" si="32"/>
        <v>1700</v>
      </c>
      <c r="V522" s="2228">
        <f t="shared" si="33"/>
        <v>3400</v>
      </c>
      <c r="W522" s="2999">
        <v>892.94399999999996</v>
      </c>
      <c r="X522" s="2230">
        <f t="shared" si="34"/>
        <v>892.94399999999996</v>
      </c>
      <c r="Y522" s="2230">
        <f t="shared" si="35"/>
        <v>1785.8879999999999</v>
      </c>
      <c r="Z522" s="2225"/>
      <c r="AA522" s="1652"/>
    </row>
    <row r="523" spans="8:27">
      <c r="H523" s="2224" t="s">
        <v>1317</v>
      </c>
      <c r="I523" s="2229">
        <v>263</v>
      </c>
      <c r="J523" s="2226" t="s">
        <v>110</v>
      </c>
      <c r="K523" s="2224" t="s">
        <v>845</v>
      </c>
      <c r="L523" s="2227">
        <v>198.43199999999999</v>
      </c>
      <c r="M523" s="2227">
        <v>178.58879999999999</v>
      </c>
      <c r="N523" s="2250">
        <v>4.2543685328138799E-4</v>
      </c>
      <c r="O523" s="2224">
        <v>12</v>
      </c>
      <c r="P523" s="2225" t="s">
        <v>996</v>
      </c>
      <c r="Q523" s="2229">
        <v>5</v>
      </c>
      <c r="R523" s="2229">
        <v>5</v>
      </c>
      <c r="S523" s="2228">
        <f t="shared" si="31"/>
        <v>10</v>
      </c>
      <c r="T523" s="2997">
        <v>1315</v>
      </c>
      <c r="U523" s="2228">
        <f t="shared" si="32"/>
        <v>1315</v>
      </c>
      <c r="V523" s="2228">
        <f t="shared" si="33"/>
        <v>2630</v>
      </c>
      <c r="W523" s="2999">
        <v>892.94399999999996</v>
      </c>
      <c r="X523" s="2230">
        <f t="shared" si="34"/>
        <v>892.94399999999996</v>
      </c>
      <c r="Y523" s="2230">
        <f t="shared" si="35"/>
        <v>1785.8879999999999</v>
      </c>
      <c r="Z523" s="2225"/>
      <c r="AA523" s="1652"/>
    </row>
    <row r="524" spans="8:27">
      <c r="H524" s="2224" t="s">
        <v>1318</v>
      </c>
      <c r="I524" s="2229">
        <v>408</v>
      </c>
      <c r="J524" s="2226" t="s">
        <v>110</v>
      </c>
      <c r="K524" s="2224" t="s">
        <v>845</v>
      </c>
      <c r="L524" s="2227">
        <v>204.93199999999999</v>
      </c>
      <c r="M524" s="2227">
        <v>184.43879999999999</v>
      </c>
      <c r="N524" s="2250">
        <v>6.5999329330344598E-4</v>
      </c>
      <c r="O524" s="2224">
        <v>12</v>
      </c>
      <c r="P524" s="2225" t="s">
        <v>996</v>
      </c>
      <c r="Q524" s="2229">
        <v>5</v>
      </c>
      <c r="R524" s="2229">
        <v>5</v>
      </c>
      <c r="S524" s="2228">
        <f t="shared" si="31"/>
        <v>10</v>
      </c>
      <c r="T524" s="2997">
        <v>2040</v>
      </c>
      <c r="U524" s="2228">
        <f t="shared" si="32"/>
        <v>2040</v>
      </c>
      <c r="V524" s="2228">
        <f t="shared" si="33"/>
        <v>4080</v>
      </c>
      <c r="W524" s="2999">
        <v>922.19399999999996</v>
      </c>
      <c r="X524" s="2230">
        <f t="shared" si="34"/>
        <v>922.19399999999996</v>
      </c>
      <c r="Y524" s="2230">
        <f t="shared" si="35"/>
        <v>1844.3879999999999</v>
      </c>
      <c r="Z524" s="2225"/>
      <c r="AA524" s="1652"/>
    </row>
    <row r="525" spans="8:27">
      <c r="H525" s="2224" t="s">
        <v>1319</v>
      </c>
      <c r="I525" s="2229">
        <v>315</v>
      </c>
      <c r="J525" s="2226" t="s">
        <v>110</v>
      </c>
      <c r="K525" s="2224" t="s">
        <v>845</v>
      </c>
      <c r="L525" s="2227">
        <v>204.93199999999999</v>
      </c>
      <c r="M525" s="2227">
        <v>184.43879999999999</v>
      </c>
      <c r="N525" s="2250">
        <v>1.2738841139129013E-3</v>
      </c>
      <c r="O525" s="2224">
        <v>12</v>
      </c>
      <c r="P525" s="2225" t="s">
        <v>996</v>
      </c>
      <c r="Q525" s="2229">
        <v>12.5</v>
      </c>
      <c r="R525" s="2229">
        <v>12.5</v>
      </c>
      <c r="S525" s="2228">
        <f t="shared" si="31"/>
        <v>25</v>
      </c>
      <c r="T525" s="2997">
        <v>3937.5</v>
      </c>
      <c r="U525" s="2228">
        <f t="shared" si="32"/>
        <v>3937.5</v>
      </c>
      <c r="V525" s="2228">
        <f t="shared" si="33"/>
        <v>7875</v>
      </c>
      <c r="W525" s="2999">
        <v>2305.4849999999997</v>
      </c>
      <c r="X525" s="2230">
        <f t="shared" si="34"/>
        <v>2305.4849999999997</v>
      </c>
      <c r="Y525" s="2230">
        <f t="shared" si="35"/>
        <v>4610.9699999999993</v>
      </c>
      <c r="Z525" s="2225"/>
      <c r="AA525" s="1652"/>
    </row>
    <row r="526" spans="8:27">
      <c r="H526" s="2224" t="s">
        <v>1320</v>
      </c>
      <c r="I526" s="2229">
        <v>235</v>
      </c>
      <c r="J526" s="2226" t="s">
        <v>110</v>
      </c>
      <c r="K526" s="2224" t="s">
        <v>845</v>
      </c>
      <c r="L526" s="2227">
        <v>6.5</v>
      </c>
      <c r="M526" s="2227">
        <v>5.8500000000000005</v>
      </c>
      <c r="N526" s="2250">
        <v>3.8014319589781818E-2</v>
      </c>
      <c r="O526" s="2224">
        <v>4</v>
      </c>
      <c r="P526" s="2225" t="s">
        <v>1253</v>
      </c>
      <c r="Q526" s="2229">
        <v>500</v>
      </c>
      <c r="R526" s="2229">
        <v>500</v>
      </c>
      <c r="S526" s="2228">
        <f t="shared" si="31"/>
        <v>1000</v>
      </c>
      <c r="T526" s="2997">
        <v>117500</v>
      </c>
      <c r="U526" s="2228">
        <f t="shared" si="32"/>
        <v>117500</v>
      </c>
      <c r="V526" s="2228">
        <f t="shared" si="33"/>
        <v>235000</v>
      </c>
      <c r="W526" s="2999">
        <v>2925.0000000000005</v>
      </c>
      <c r="X526" s="2230">
        <f t="shared" si="34"/>
        <v>2925.0000000000005</v>
      </c>
      <c r="Y526" s="2230">
        <f t="shared" si="35"/>
        <v>5850.0000000000009</v>
      </c>
      <c r="Z526" s="2225"/>
      <c r="AA526" s="1652"/>
    </row>
    <row r="527" spans="8:27">
      <c r="H527" s="2224" t="s">
        <v>1321</v>
      </c>
      <c r="I527" s="2229">
        <v>40</v>
      </c>
      <c r="J527" s="2226" t="s">
        <v>110</v>
      </c>
      <c r="K527" s="2224" t="s">
        <v>845</v>
      </c>
      <c r="L527" s="2227">
        <v>6.5</v>
      </c>
      <c r="M527" s="2227">
        <v>5.8500000000000005</v>
      </c>
      <c r="N527" s="2250">
        <v>6.4705224833671174E-3</v>
      </c>
      <c r="O527" s="2224">
        <v>4</v>
      </c>
      <c r="P527" s="2225" t="s">
        <v>1253</v>
      </c>
      <c r="Q527" s="2229">
        <v>500</v>
      </c>
      <c r="R527" s="2229">
        <v>500</v>
      </c>
      <c r="S527" s="2228">
        <f t="shared" si="31"/>
        <v>1000</v>
      </c>
      <c r="T527" s="2997">
        <v>20000</v>
      </c>
      <c r="U527" s="2228">
        <f t="shared" si="32"/>
        <v>20000</v>
      </c>
      <c r="V527" s="2228">
        <f t="shared" si="33"/>
        <v>40000</v>
      </c>
      <c r="W527" s="2999">
        <v>2925.0000000000005</v>
      </c>
      <c r="X527" s="2230">
        <f t="shared" si="34"/>
        <v>2925.0000000000005</v>
      </c>
      <c r="Y527" s="2230">
        <f t="shared" si="35"/>
        <v>5850.0000000000009</v>
      </c>
      <c r="Z527" s="2225"/>
      <c r="AA527" s="1652"/>
    </row>
    <row r="528" spans="8:27">
      <c r="H528" s="2224" t="s">
        <v>1322</v>
      </c>
      <c r="I528" s="2229">
        <v>1000</v>
      </c>
      <c r="J528" s="2226" t="s">
        <v>110</v>
      </c>
      <c r="K528" s="2224" t="s">
        <v>845</v>
      </c>
      <c r="L528" s="2227">
        <v>195</v>
      </c>
      <c r="M528" s="2227">
        <v>175.5</v>
      </c>
      <c r="N528" s="2250">
        <v>4.0440765521044482E-2</v>
      </c>
      <c r="O528" s="2224">
        <v>4</v>
      </c>
      <c r="P528" s="2225" t="s">
        <v>1426</v>
      </c>
      <c r="Q528" s="2229">
        <v>125</v>
      </c>
      <c r="R528" s="2229">
        <v>125</v>
      </c>
      <c r="S528" s="2228">
        <f t="shared" si="31"/>
        <v>250</v>
      </c>
      <c r="T528" s="2997">
        <v>125000</v>
      </c>
      <c r="U528" s="2228">
        <f t="shared" si="32"/>
        <v>125000</v>
      </c>
      <c r="V528" s="2228">
        <f t="shared" si="33"/>
        <v>250000</v>
      </c>
      <c r="W528" s="2999">
        <v>21937.5</v>
      </c>
      <c r="X528" s="2230">
        <f t="shared" si="34"/>
        <v>21937.5</v>
      </c>
      <c r="Y528" s="2230">
        <f t="shared" si="35"/>
        <v>43875</v>
      </c>
      <c r="Z528" s="2225"/>
      <c r="AA528" s="1652"/>
    </row>
    <row r="529" spans="8:27">
      <c r="H529" s="2224" t="s">
        <v>1323</v>
      </c>
      <c r="I529" s="2229">
        <v>107</v>
      </c>
      <c r="J529" s="2226" t="s">
        <v>110</v>
      </c>
      <c r="K529" s="2224" t="s">
        <v>845</v>
      </c>
      <c r="L529" s="2227">
        <v>14.950000000000001</v>
      </c>
      <c r="M529" s="2227">
        <v>13.455000000000002</v>
      </c>
      <c r="N529" s="2250">
        <v>6.9234590572028161E-3</v>
      </c>
      <c r="O529" s="2224">
        <v>5</v>
      </c>
      <c r="P529" s="2225" t="s">
        <v>1253</v>
      </c>
      <c r="Q529" s="2229">
        <v>200</v>
      </c>
      <c r="R529" s="2229">
        <v>200</v>
      </c>
      <c r="S529" s="2228">
        <f t="shared" si="31"/>
        <v>400</v>
      </c>
      <c r="T529" s="2997">
        <v>21400</v>
      </c>
      <c r="U529" s="2228">
        <f t="shared" si="32"/>
        <v>21400</v>
      </c>
      <c r="V529" s="2228">
        <f t="shared" si="33"/>
        <v>42800</v>
      </c>
      <c r="W529" s="2999">
        <v>2691.0000000000005</v>
      </c>
      <c r="X529" s="2230">
        <f t="shared" si="34"/>
        <v>2691.0000000000005</v>
      </c>
      <c r="Y529" s="2230">
        <f t="shared" si="35"/>
        <v>5382.0000000000009</v>
      </c>
      <c r="Z529" s="2225"/>
      <c r="AA529" s="1652"/>
    </row>
    <row r="530" spans="8:27">
      <c r="H530" s="2224" t="s">
        <v>1324</v>
      </c>
      <c r="I530" s="2229">
        <v>148</v>
      </c>
      <c r="J530" s="2226" t="s">
        <v>110</v>
      </c>
      <c r="K530" s="2224" t="s">
        <v>845</v>
      </c>
      <c r="L530" s="2227">
        <v>14.950000000000001</v>
      </c>
      <c r="M530" s="2227">
        <v>13.455000000000002</v>
      </c>
      <c r="N530" s="2250">
        <v>9.5763732753833333E-3</v>
      </c>
      <c r="O530" s="2224">
        <v>5</v>
      </c>
      <c r="P530" s="2225" t="s">
        <v>1253</v>
      </c>
      <c r="Q530" s="2229">
        <v>200</v>
      </c>
      <c r="R530" s="2229">
        <v>200</v>
      </c>
      <c r="S530" s="2228">
        <f t="shared" si="31"/>
        <v>400</v>
      </c>
      <c r="T530" s="2997">
        <v>29600</v>
      </c>
      <c r="U530" s="2228">
        <f t="shared" si="32"/>
        <v>29600</v>
      </c>
      <c r="V530" s="2228">
        <f t="shared" si="33"/>
        <v>59200</v>
      </c>
      <c r="W530" s="2999">
        <v>2691.0000000000005</v>
      </c>
      <c r="X530" s="2230">
        <f t="shared" si="34"/>
        <v>2691.0000000000005</v>
      </c>
      <c r="Y530" s="2230">
        <f t="shared" si="35"/>
        <v>5382.0000000000009</v>
      </c>
      <c r="Z530" s="2225"/>
      <c r="AA530" s="1652"/>
    </row>
    <row r="531" spans="8:27">
      <c r="H531" s="2224" t="s">
        <v>1325</v>
      </c>
      <c r="I531" s="2229">
        <v>1075</v>
      </c>
      <c r="J531" s="2226" t="s">
        <v>110</v>
      </c>
      <c r="K531" s="2224" t="s">
        <v>845</v>
      </c>
      <c r="L531" s="2227">
        <v>169</v>
      </c>
      <c r="M531" s="2227">
        <v>152.1</v>
      </c>
      <c r="N531" s="2250">
        <v>1.7389529174049129E-3</v>
      </c>
      <c r="O531" s="2224">
        <v>10</v>
      </c>
      <c r="P531" s="2225" t="s">
        <v>1253</v>
      </c>
      <c r="Q531" s="2229">
        <v>5</v>
      </c>
      <c r="R531" s="2229">
        <v>5</v>
      </c>
      <c r="S531" s="2228">
        <f t="shared" si="31"/>
        <v>10</v>
      </c>
      <c r="T531" s="2997">
        <v>5375</v>
      </c>
      <c r="U531" s="2228">
        <f t="shared" si="32"/>
        <v>5375</v>
      </c>
      <c r="V531" s="2228">
        <f t="shared" si="33"/>
        <v>10750</v>
      </c>
      <c r="W531" s="2999">
        <v>760.5</v>
      </c>
      <c r="X531" s="2230">
        <f t="shared" si="34"/>
        <v>760.5</v>
      </c>
      <c r="Y531" s="2230">
        <f t="shared" si="35"/>
        <v>1521</v>
      </c>
      <c r="Z531" s="2225"/>
      <c r="AA531" s="1652"/>
    </row>
    <row r="532" spans="8:27">
      <c r="H532" s="2224" t="s">
        <v>1326</v>
      </c>
      <c r="I532" s="2229">
        <v>2786</v>
      </c>
      <c r="J532" s="2226" t="s">
        <v>110</v>
      </c>
      <c r="K532" s="2224" t="s">
        <v>845</v>
      </c>
      <c r="L532" s="2227">
        <v>169</v>
      </c>
      <c r="M532" s="2227">
        <v>152.1</v>
      </c>
      <c r="N532" s="2250">
        <v>0</v>
      </c>
      <c r="O532" s="2224">
        <v>10</v>
      </c>
      <c r="P532" s="2225" t="s">
        <v>1253</v>
      </c>
      <c r="Q532" s="2229">
        <v>0</v>
      </c>
      <c r="R532" s="2229">
        <v>0</v>
      </c>
      <c r="S532" s="2228">
        <f t="shared" si="31"/>
        <v>0</v>
      </c>
      <c r="T532" s="2997">
        <v>0</v>
      </c>
      <c r="U532" s="2228">
        <f t="shared" si="32"/>
        <v>0</v>
      </c>
      <c r="V532" s="2228">
        <f t="shared" si="33"/>
        <v>0</v>
      </c>
      <c r="W532" s="2999">
        <v>0</v>
      </c>
      <c r="X532" s="2230">
        <f t="shared" si="34"/>
        <v>0</v>
      </c>
      <c r="Y532" s="2230">
        <f t="shared" si="35"/>
        <v>0</v>
      </c>
      <c r="Z532" s="2225"/>
      <c r="AA532" s="1652"/>
    </row>
    <row r="533" spans="8:27">
      <c r="H533" s="2224" t="s">
        <v>1327</v>
      </c>
      <c r="I533" s="2229">
        <v>14</v>
      </c>
      <c r="J533" s="2226" t="s">
        <v>110</v>
      </c>
      <c r="K533" s="2224" t="s">
        <v>845</v>
      </c>
      <c r="L533" s="2227">
        <v>52</v>
      </c>
      <c r="M533" s="2227">
        <v>46.800000000000004</v>
      </c>
      <c r="N533" s="2250">
        <v>0</v>
      </c>
      <c r="O533" s="2224">
        <v>5</v>
      </c>
      <c r="P533" s="2225" t="s">
        <v>1253</v>
      </c>
      <c r="Q533" s="2229">
        <v>0</v>
      </c>
      <c r="R533" s="2229">
        <v>0</v>
      </c>
      <c r="S533" s="2228">
        <f t="shared" si="31"/>
        <v>0</v>
      </c>
      <c r="T533" s="2997">
        <v>0</v>
      </c>
      <c r="U533" s="2228">
        <f t="shared" si="32"/>
        <v>0</v>
      </c>
      <c r="V533" s="2228">
        <f t="shared" si="33"/>
        <v>0</v>
      </c>
      <c r="W533" s="2999">
        <v>0</v>
      </c>
      <c r="X533" s="2230">
        <f t="shared" si="34"/>
        <v>0</v>
      </c>
      <c r="Y533" s="2230">
        <f t="shared" si="35"/>
        <v>0</v>
      </c>
      <c r="Z533" s="2225"/>
      <c r="AA533" s="1652"/>
    </row>
    <row r="534" spans="8:27">
      <c r="H534" s="2224" t="s">
        <v>1328</v>
      </c>
      <c r="I534" s="2229">
        <v>535</v>
      </c>
      <c r="J534" s="2226" t="s">
        <v>110</v>
      </c>
      <c r="K534" s="2224" t="s">
        <v>845</v>
      </c>
      <c r="L534" s="2227">
        <v>9.1</v>
      </c>
      <c r="M534" s="2227">
        <v>8.19</v>
      </c>
      <c r="N534" s="2250">
        <v>0</v>
      </c>
      <c r="O534" s="2224">
        <v>2</v>
      </c>
      <c r="P534" s="2225" t="s">
        <v>1253</v>
      </c>
      <c r="Q534" s="2229">
        <v>0</v>
      </c>
      <c r="R534" s="2229">
        <v>0</v>
      </c>
      <c r="S534" s="2228">
        <f t="shared" si="31"/>
        <v>0</v>
      </c>
      <c r="T534" s="2997">
        <v>0</v>
      </c>
      <c r="U534" s="2228">
        <f t="shared" si="32"/>
        <v>0</v>
      </c>
      <c r="V534" s="2228">
        <f t="shared" si="33"/>
        <v>0</v>
      </c>
      <c r="W534" s="2999">
        <v>0</v>
      </c>
      <c r="X534" s="2230">
        <f t="shared" si="34"/>
        <v>0</v>
      </c>
      <c r="Y534" s="2230">
        <f t="shared" si="35"/>
        <v>0</v>
      </c>
      <c r="Z534" s="2225"/>
      <c r="AA534" s="1652"/>
    </row>
    <row r="535" spans="8:27">
      <c r="H535" s="2224" t="s">
        <v>1329</v>
      </c>
      <c r="I535" s="2229">
        <v>123</v>
      </c>
      <c r="J535" s="2226" t="s">
        <v>110</v>
      </c>
      <c r="K535" s="2224" t="s">
        <v>845</v>
      </c>
      <c r="L535" s="2227">
        <v>9.1</v>
      </c>
      <c r="M535" s="2227">
        <v>8.19</v>
      </c>
      <c r="N535" s="2250">
        <v>0</v>
      </c>
      <c r="O535" s="2224">
        <v>2</v>
      </c>
      <c r="P535" s="2225" t="s">
        <v>1253</v>
      </c>
      <c r="Q535" s="2229">
        <v>0</v>
      </c>
      <c r="R535" s="2229">
        <v>0</v>
      </c>
      <c r="S535" s="2228">
        <f t="shared" si="31"/>
        <v>0</v>
      </c>
      <c r="T535" s="2997">
        <v>0</v>
      </c>
      <c r="U535" s="2228">
        <f t="shared" si="32"/>
        <v>0</v>
      </c>
      <c r="V535" s="2228">
        <f t="shared" si="33"/>
        <v>0</v>
      </c>
      <c r="W535" s="2999">
        <v>0</v>
      </c>
      <c r="X535" s="2230">
        <f t="shared" si="34"/>
        <v>0</v>
      </c>
      <c r="Y535" s="2230">
        <f t="shared" si="35"/>
        <v>0</v>
      </c>
      <c r="Z535" s="2225"/>
      <c r="AA535" s="1652"/>
    </row>
    <row r="536" spans="8:27">
      <c r="H536" s="2224" t="s">
        <v>1330</v>
      </c>
      <c r="I536" s="2229">
        <v>31</v>
      </c>
      <c r="J536" s="2226" t="s">
        <v>110</v>
      </c>
      <c r="K536" s="2224" t="s">
        <v>845</v>
      </c>
      <c r="L536" s="2227">
        <v>9.1</v>
      </c>
      <c r="M536" s="2227">
        <v>8.19</v>
      </c>
      <c r="N536" s="2250">
        <v>0</v>
      </c>
      <c r="O536" s="2224">
        <v>2</v>
      </c>
      <c r="P536" s="2225" t="s">
        <v>1253</v>
      </c>
      <c r="Q536" s="2229">
        <v>0</v>
      </c>
      <c r="R536" s="2229">
        <v>0</v>
      </c>
      <c r="S536" s="2228">
        <f t="shared" si="31"/>
        <v>0</v>
      </c>
      <c r="T536" s="2997">
        <v>0</v>
      </c>
      <c r="U536" s="2228">
        <f t="shared" si="32"/>
        <v>0</v>
      </c>
      <c r="V536" s="2228">
        <f t="shared" si="33"/>
        <v>0</v>
      </c>
      <c r="W536" s="2999">
        <v>0</v>
      </c>
      <c r="X536" s="2230">
        <f t="shared" si="34"/>
        <v>0</v>
      </c>
      <c r="Y536" s="2230">
        <f t="shared" si="35"/>
        <v>0</v>
      </c>
      <c r="Z536" s="2225"/>
      <c r="AA536" s="1652"/>
    </row>
    <row r="537" spans="8:27">
      <c r="H537" s="2224" t="s">
        <v>1331</v>
      </c>
      <c r="I537" s="2229">
        <v>129</v>
      </c>
      <c r="J537" s="2226" t="s">
        <v>110</v>
      </c>
      <c r="K537" s="2224" t="s">
        <v>845</v>
      </c>
      <c r="L537" s="2227">
        <v>9.1</v>
      </c>
      <c r="M537" s="2227">
        <v>8.19</v>
      </c>
      <c r="N537" s="2250">
        <v>0</v>
      </c>
      <c r="O537" s="2224">
        <v>2</v>
      </c>
      <c r="P537" s="2225" t="s">
        <v>1253</v>
      </c>
      <c r="Q537" s="2229">
        <v>0</v>
      </c>
      <c r="R537" s="2229">
        <v>0</v>
      </c>
      <c r="S537" s="2228">
        <f t="shared" si="31"/>
        <v>0</v>
      </c>
      <c r="T537" s="2997">
        <v>0</v>
      </c>
      <c r="U537" s="2228">
        <f t="shared" si="32"/>
        <v>0</v>
      </c>
      <c r="V537" s="2228">
        <f t="shared" si="33"/>
        <v>0</v>
      </c>
      <c r="W537" s="2999">
        <v>0</v>
      </c>
      <c r="X537" s="2230">
        <f t="shared" si="34"/>
        <v>0</v>
      </c>
      <c r="Y537" s="2230">
        <f t="shared" si="35"/>
        <v>0</v>
      </c>
      <c r="Z537" s="2225"/>
      <c r="AA537" s="1652"/>
    </row>
    <row r="538" spans="8:27">
      <c r="H538" s="2224" t="s">
        <v>1332</v>
      </c>
      <c r="I538" s="2229">
        <v>477</v>
      </c>
      <c r="J538" s="2226" t="s">
        <v>110</v>
      </c>
      <c r="K538" s="2224" t="s">
        <v>845</v>
      </c>
      <c r="L538" s="2227">
        <v>172.25</v>
      </c>
      <c r="M538" s="2227">
        <v>155.02500000000001</v>
      </c>
      <c r="N538" s="2250">
        <v>0</v>
      </c>
      <c r="O538" s="2224">
        <v>15</v>
      </c>
      <c r="P538" s="2225" t="s">
        <v>1253</v>
      </c>
      <c r="Q538" s="2229">
        <v>0</v>
      </c>
      <c r="R538" s="2229">
        <v>0</v>
      </c>
      <c r="S538" s="2228">
        <f t="shared" si="31"/>
        <v>0</v>
      </c>
      <c r="T538" s="2997">
        <v>0</v>
      </c>
      <c r="U538" s="2228">
        <f t="shared" si="32"/>
        <v>0</v>
      </c>
      <c r="V538" s="2228">
        <f t="shared" si="33"/>
        <v>0</v>
      </c>
      <c r="W538" s="2999">
        <v>0</v>
      </c>
      <c r="X538" s="2230">
        <f t="shared" si="34"/>
        <v>0</v>
      </c>
      <c r="Y538" s="2230">
        <f t="shared" si="35"/>
        <v>0</v>
      </c>
      <c r="Z538" s="2225"/>
      <c r="AA538" s="1652"/>
    </row>
    <row r="539" spans="8:27">
      <c r="H539" s="2224" t="s">
        <v>1333</v>
      </c>
      <c r="I539" s="2229">
        <v>1199</v>
      </c>
      <c r="J539" s="2226" t="s">
        <v>110</v>
      </c>
      <c r="K539" s="2224" t="s">
        <v>845</v>
      </c>
      <c r="L539" s="2227">
        <v>204.75</v>
      </c>
      <c r="M539" s="2227">
        <v>184.27500000000001</v>
      </c>
      <c r="N539" s="2250">
        <v>0</v>
      </c>
      <c r="O539" s="2224">
        <v>15</v>
      </c>
      <c r="P539" s="2225" t="s">
        <v>1253</v>
      </c>
      <c r="Q539" s="2229">
        <v>0</v>
      </c>
      <c r="R539" s="2229">
        <v>0</v>
      </c>
      <c r="S539" s="2228">
        <f t="shared" si="31"/>
        <v>0</v>
      </c>
      <c r="T539" s="2997">
        <v>0</v>
      </c>
      <c r="U539" s="2228">
        <f t="shared" si="32"/>
        <v>0</v>
      </c>
      <c r="V539" s="2228">
        <f t="shared" si="33"/>
        <v>0</v>
      </c>
      <c r="W539" s="2999">
        <v>0</v>
      </c>
      <c r="X539" s="2230">
        <f t="shared" si="34"/>
        <v>0</v>
      </c>
      <c r="Y539" s="2230">
        <f t="shared" si="35"/>
        <v>0</v>
      </c>
      <c r="Z539" s="2225"/>
      <c r="AA539" s="1652"/>
    </row>
    <row r="540" spans="8:27">
      <c r="H540" s="2224" t="s">
        <v>1334</v>
      </c>
      <c r="I540" s="2229">
        <v>9.59</v>
      </c>
      <c r="J540" s="2226" t="s">
        <v>110</v>
      </c>
      <c r="K540" s="2224" t="s">
        <v>845</v>
      </c>
      <c r="L540" s="2227">
        <v>4.29</v>
      </c>
      <c r="M540" s="2227">
        <v>3.8610000000000002</v>
      </c>
      <c r="N540" s="2250">
        <v>0</v>
      </c>
      <c r="O540" s="2224">
        <v>8</v>
      </c>
      <c r="P540" s="2225" t="s">
        <v>996</v>
      </c>
      <c r="Q540" s="2229">
        <v>0</v>
      </c>
      <c r="R540" s="2229">
        <v>0</v>
      </c>
      <c r="S540" s="2228">
        <f t="shared" si="31"/>
        <v>0</v>
      </c>
      <c r="T540" s="2997">
        <v>0</v>
      </c>
      <c r="U540" s="2228">
        <f t="shared" si="32"/>
        <v>0</v>
      </c>
      <c r="V540" s="2228">
        <f t="shared" si="33"/>
        <v>0</v>
      </c>
      <c r="W540" s="2999">
        <v>0</v>
      </c>
      <c r="X540" s="2230">
        <f t="shared" si="34"/>
        <v>0</v>
      </c>
      <c r="Y540" s="2230">
        <f t="shared" si="35"/>
        <v>0</v>
      </c>
      <c r="Z540" s="2225"/>
      <c r="AA540" s="1652"/>
    </row>
    <row r="541" spans="8:27">
      <c r="H541" s="2224" t="s">
        <v>1335</v>
      </c>
      <c r="I541" s="2229">
        <v>369</v>
      </c>
      <c r="J541" s="2226" t="s">
        <v>110</v>
      </c>
      <c r="K541" s="2224" t="s">
        <v>845</v>
      </c>
      <c r="L541" s="2227">
        <v>42.25</v>
      </c>
      <c r="M541" s="2227">
        <v>38.024999999999999</v>
      </c>
      <c r="N541" s="2250">
        <v>0</v>
      </c>
      <c r="O541" s="2224">
        <v>8</v>
      </c>
      <c r="P541" s="2225" t="s">
        <v>1253</v>
      </c>
      <c r="Q541" s="2229">
        <v>0</v>
      </c>
      <c r="R541" s="2229">
        <v>0</v>
      </c>
      <c r="S541" s="2228">
        <f t="shared" si="31"/>
        <v>0</v>
      </c>
      <c r="T541" s="2997">
        <v>0</v>
      </c>
      <c r="U541" s="2228">
        <f t="shared" si="32"/>
        <v>0</v>
      </c>
      <c r="V541" s="2228">
        <f t="shared" si="33"/>
        <v>0</v>
      </c>
      <c r="W541" s="2999">
        <v>0</v>
      </c>
      <c r="X541" s="2230">
        <f t="shared" si="34"/>
        <v>0</v>
      </c>
      <c r="Y541" s="2230">
        <f t="shared" si="35"/>
        <v>0</v>
      </c>
      <c r="Z541" s="2225"/>
      <c r="AA541" s="1652"/>
    </row>
    <row r="542" spans="8:27">
      <c r="H542" s="2224" t="s">
        <v>1336</v>
      </c>
      <c r="I542" s="2229">
        <v>230</v>
      </c>
      <c r="J542" s="2226" t="s">
        <v>110</v>
      </c>
      <c r="K542" s="2224" t="s">
        <v>845</v>
      </c>
      <c r="L542" s="2227">
        <v>42.25</v>
      </c>
      <c r="M542" s="2227">
        <v>38.024999999999999</v>
      </c>
      <c r="N542" s="2250">
        <v>0</v>
      </c>
      <c r="O542" s="2224">
        <v>8</v>
      </c>
      <c r="P542" s="2225" t="s">
        <v>1253</v>
      </c>
      <c r="Q542" s="2229">
        <v>0</v>
      </c>
      <c r="R542" s="2229">
        <v>0</v>
      </c>
      <c r="S542" s="2228">
        <f t="shared" si="31"/>
        <v>0</v>
      </c>
      <c r="T542" s="2997">
        <v>0</v>
      </c>
      <c r="U542" s="2228">
        <f t="shared" si="32"/>
        <v>0</v>
      </c>
      <c r="V542" s="2228">
        <f t="shared" si="33"/>
        <v>0</v>
      </c>
      <c r="W542" s="2999">
        <v>0</v>
      </c>
      <c r="X542" s="2230">
        <f t="shared" si="34"/>
        <v>0</v>
      </c>
      <c r="Y542" s="2230">
        <f t="shared" si="35"/>
        <v>0</v>
      </c>
      <c r="Z542" s="2225"/>
      <c r="AA542" s="1652"/>
    </row>
    <row r="543" spans="8:27">
      <c r="H543" s="2224" t="s">
        <v>1340</v>
      </c>
      <c r="I543" s="2229">
        <v>757</v>
      </c>
      <c r="J543" s="2226" t="s">
        <v>110</v>
      </c>
      <c r="K543" s="2224" t="s">
        <v>845</v>
      </c>
      <c r="L543" s="2227">
        <v>364</v>
      </c>
      <c r="M543" s="2227">
        <v>327.60000000000002</v>
      </c>
      <c r="N543" s="2250">
        <v>0</v>
      </c>
      <c r="O543" s="2224">
        <v>15</v>
      </c>
      <c r="P543" s="2225" t="s">
        <v>1253</v>
      </c>
      <c r="Q543" s="2229">
        <v>0</v>
      </c>
      <c r="R543" s="2229">
        <v>0</v>
      </c>
      <c r="S543" s="2228">
        <f t="shared" si="31"/>
        <v>0</v>
      </c>
      <c r="T543" s="2997">
        <v>0</v>
      </c>
      <c r="U543" s="2228">
        <f t="shared" si="32"/>
        <v>0</v>
      </c>
      <c r="V543" s="2228">
        <f t="shared" si="33"/>
        <v>0</v>
      </c>
      <c r="W543" s="2999">
        <v>0</v>
      </c>
      <c r="X543" s="2230">
        <f t="shared" si="34"/>
        <v>0</v>
      </c>
      <c r="Y543" s="2230">
        <f t="shared" si="35"/>
        <v>0</v>
      </c>
      <c r="Z543" s="2225"/>
      <c r="AA543" s="1652"/>
    </row>
    <row r="544" spans="8:27">
      <c r="H544" s="2224" t="s">
        <v>1341</v>
      </c>
      <c r="I544" s="2229">
        <v>855</v>
      </c>
      <c r="J544" s="2226" t="s">
        <v>110</v>
      </c>
      <c r="K544" s="2224" t="s">
        <v>845</v>
      </c>
      <c r="L544" s="2227">
        <v>364</v>
      </c>
      <c r="M544" s="2227">
        <v>327.60000000000002</v>
      </c>
      <c r="N544" s="2250">
        <v>0</v>
      </c>
      <c r="O544" s="2224">
        <v>15</v>
      </c>
      <c r="P544" s="2225" t="s">
        <v>1253</v>
      </c>
      <c r="Q544" s="2229">
        <v>0</v>
      </c>
      <c r="R544" s="2229">
        <v>0</v>
      </c>
      <c r="S544" s="2228">
        <f t="shared" si="31"/>
        <v>0</v>
      </c>
      <c r="T544" s="2997">
        <v>0</v>
      </c>
      <c r="U544" s="2228">
        <f t="shared" si="32"/>
        <v>0</v>
      </c>
      <c r="V544" s="2228">
        <f t="shared" si="33"/>
        <v>0</v>
      </c>
      <c r="W544" s="2999">
        <v>0</v>
      </c>
      <c r="X544" s="2230">
        <f t="shared" si="34"/>
        <v>0</v>
      </c>
      <c r="Y544" s="2230">
        <f t="shared" si="35"/>
        <v>0</v>
      </c>
      <c r="Z544" s="2225"/>
      <c r="AA544" s="1652"/>
    </row>
    <row r="545" spans="8:27">
      <c r="H545" s="2224" t="s">
        <v>1343</v>
      </c>
      <c r="I545" s="2229">
        <v>212</v>
      </c>
      <c r="J545" s="2226" t="s">
        <v>110</v>
      </c>
      <c r="K545" s="2224" t="s">
        <v>845</v>
      </c>
      <c r="L545" s="2227">
        <v>57.6</v>
      </c>
      <c r="M545" s="2227">
        <v>51.84</v>
      </c>
      <c r="N545" s="2250">
        <v>6.8587538323691445E-3</v>
      </c>
      <c r="O545" s="2224">
        <v>10</v>
      </c>
      <c r="P545" s="2225" t="s">
        <v>1160</v>
      </c>
      <c r="Q545" s="2229">
        <v>100</v>
      </c>
      <c r="R545" s="2229">
        <v>100</v>
      </c>
      <c r="S545" s="2228">
        <f t="shared" si="31"/>
        <v>200</v>
      </c>
      <c r="T545" s="2997">
        <v>21200</v>
      </c>
      <c r="U545" s="2228">
        <f t="shared" si="32"/>
        <v>21200</v>
      </c>
      <c r="V545" s="2228">
        <f t="shared" si="33"/>
        <v>42400</v>
      </c>
      <c r="W545" s="2999">
        <v>5184</v>
      </c>
      <c r="X545" s="2230">
        <f t="shared" si="34"/>
        <v>5184</v>
      </c>
      <c r="Y545" s="2230">
        <f t="shared" si="35"/>
        <v>10368</v>
      </c>
      <c r="Z545" s="2225"/>
      <c r="AA545" s="1652"/>
    </row>
    <row r="546" spans="8:27">
      <c r="H546" s="2224" t="s">
        <v>1344</v>
      </c>
      <c r="I546" s="2229">
        <v>212</v>
      </c>
      <c r="J546" s="2226" t="s">
        <v>110</v>
      </c>
      <c r="K546" s="2224" t="s">
        <v>845</v>
      </c>
      <c r="L546" s="2227">
        <v>65.600000000000009</v>
      </c>
      <c r="M546" s="2227">
        <v>59.040000000000006</v>
      </c>
      <c r="N546" s="2250">
        <v>6.8587538323691445E-3</v>
      </c>
      <c r="O546" s="2224">
        <v>10</v>
      </c>
      <c r="P546" s="2225" t="s">
        <v>1160</v>
      </c>
      <c r="Q546" s="2229">
        <v>100</v>
      </c>
      <c r="R546" s="2229">
        <v>100</v>
      </c>
      <c r="S546" s="2228">
        <f t="shared" si="31"/>
        <v>200</v>
      </c>
      <c r="T546" s="2997">
        <v>21200</v>
      </c>
      <c r="U546" s="2228">
        <f t="shared" si="32"/>
        <v>21200</v>
      </c>
      <c r="V546" s="2228">
        <f t="shared" si="33"/>
        <v>42400</v>
      </c>
      <c r="W546" s="2999">
        <v>5904.0000000000009</v>
      </c>
      <c r="X546" s="2230">
        <f t="shared" si="34"/>
        <v>5904.0000000000009</v>
      </c>
      <c r="Y546" s="2230">
        <f t="shared" si="35"/>
        <v>11808.000000000002</v>
      </c>
      <c r="Z546" s="2225"/>
      <c r="AA546" s="1652"/>
    </row>
    <row r="547" spans="8:27">
      <c r="H547" s="2224" t="s">
        <v>1345</v>
      </c>
      <c r="I547" s="2229">
        <v>212</v>
      </c>
      <c r="J547" s="2226" t="s">
        <v>110</v>
      </c>
      <c r="K547" s="2224" t="s">
        <v>845</v>
      </c>
      <c r="L547" s="2227">
        <v>48</v>
      </c>
      <c r="M547" s="2227">
        <v>43.2</v>
      </c>
      <c r="N547" s="2250">
        <v>6.8587538323691445E-3</v>
      </c>
      <c r="O547" s="2224">
        <v>10</v>
      </c>
      <c r="P547" s="2225" t="s">
        <v>1160</v>
      </c>
      <c r="Q547" s="2229">
        <v>100</v>
      </c>
      <c r="R547" s="2229">
        <v>100</v>
      </c>
      <c r="S547" s="2228">
        <f t="shared" si="31"/>
        <v>200</v>
      </c>
      <c r="T547" s="2997">
        <v>21200</v>
      </c>
      <c r="U547" s="2228">
        <f t="shared" si="32"/>
        <v>21200</v>
      </c>
      <c r="V547" s="2228">
        <f t="shared" si="33"/>
        <v>42400</v>
      </c>
      <c r="W547" s="2999">
        <v>4320</v>
      </c>
      <c r="X547" s="2230">
        <f t="shared" si="34"/>
        <v>4320</v>
      </c>
      <c r="Y547" s="2230">
        <f t="shared" si="35"/>
        <v>8640</v>
      </c>
      <c r="Z547" s="2225"/>
      <c r="AA547" s="1652"/>
    </row>
    <row r="548" spans="8:27">
      <c r="H548" s="2224" t="s">
        <v>1346</v>
      </c>
      <c r="I548" s="2229">
        <v>212</v>
      </c>
      <c r="J548" s="2226" t="s">
        <v>110</v>
      </c>
      <c r="K548" s="2224" t="s">
        <v>845</v>
      </c>
      <c r="L548" s="2227">
        <v>48</v>
      </c>
      <c r="M548" s="2227">
        <v>43.2</v>
      </c>
      <c r="N548" s="2250">
        <v>6.8587538323691445E-3</v>
      </c>
      <c r="O548" s="2224">
        <v>10</v>
      </c>
      <c r="P548" s="2225" t="s">
        <v>1160</v>
      </c>
      <c r="Q548" s="2229">
        <v>100</v>
      </c>
      <c r="R548" s="2229">
        <v>100</v>
      </c>
      <c r="S548" s="2228">
        <f t="shared" si="31"/>
        <v>200</v>
      </c>
      <c r="T548" s="2997">
        <v>21200</v>
      </c>
      <c r="U548" s="2228">
        <f t="shared" si="32"/>
        <v>21200</v>
      </c>
      <c r="V548" s="2228">
        <f t="shared" si="33"/>
        <v>42400</v>
      </c>
      <c r="W548" s="2999">
        <v>4320</v>
      </c>
      <c r="X548" s="2230">
        <f t="shared" si="34"/>
        <v>4320</v>
      </c>
      <c r="Y548" s="2230">
        <f t="shared" si="35"/>
        <v>8640</v>
      </c>
      <c r="Z548" s="2225"/>
      <c r="AA548" s="1652"/>
    </row>
    <row r="549" spans="8:27">
      <c r="H549" s="2224" t="s">
        <v>1347</v>
      </c>
      <c r="I549" s="2229">
        <v>212</v>
      </c>
      <c r="J549" s="2226" t="s">
        <v>110</v>
      </c>
      <c r="K549" s="2224" t="s">
        <v>845</v>
      </c>
      <c r="L549" s="2227">
        <v>255.49999999999997</v>
      </c>
      <c r="M549" s="2227">
        <v>229.95</v>
      </c>
      <c r="N549" s="2250">
        <v>5.1440653742768584E-3</v>
      </c>
      <c r="O549" s="2224">
        <v>10</v>
      </c>
      <c r="P549" s="2225" t="s">
        <v>1160</v>
      </c>
      <c r="Q549" s="2229">
        <v>75</v>
      </c>
      <c r="R549" s="2229">
        <v>75</v>
      </c>
      <c r="S549" s="2228">
        <f t="shared" si="31"/>
        <v>150</v>
      </c>
      <c r="T549" s="2997">
        <v>15900</v>
      </c>
      <c r="U549" s="2228">
        <f t="shared" si="32"/>
        <v>15900</v>
      </c>
      <c r="V549" s="2228">
        <f t="shared" si="33"/>
        <v>31800</v>
      </c>
      <c r="W549" s="2999">
        <v>17246.25</v>
      </c>
      <c r="X549" s="2230">
        <f t="shared" si="34"/>
        <v>17246.25</v>
      </c>
      <c r="Y549" s="2230">
        <f t="shared" si="35"/>
        <v>34492.5</v>
      </c>
      <c r="Z549" s="2225"/>
      <c r="AA549" s="1652"/>
    </row>
    <row r="550" spans="8:27">
      <c r="H550" s="2224"/>
      <c r="I550" s="2229"/>
      <c r="J550" s="2226" t="s">
        <v>110</v>
      </c>
      <c r="K550" s="2224" t="s">
        <v>845</v>
      </c>
      <c r="L550" s="2227"/>
      <c r="M550" s="2227">
        <v>0</v>
      </c>
      <c r="N550" s="2250" t="s">
        <v>229</v>
      </c>
      <c r="O550" s="2224"/>
      <c r="P550" s="2225"/>
      <c r="Q550" s="2229">
        <v>0</v>
      </c>
      <c r="R550" s="2229">
        <v>0</v>
      </c>
      <c r="S550" s="2228">
        <f t="shared" si="31"/>
        <v>0</v>
      </c>
      <c r="T550" s="2997">
        <v>0</v>
      </c>
      <c r="U550" s="2228">
        <f t="shared" si="32"/>
        <v>0</v>
      </c>
      <c r="V550" s="2228">
        <f t="shared" si="33"/>
        <v>0</v>
      </c>
      <c r="W550" s="2999">
        <v>0</v>
      </c>
      <c r="X550" s="2230">
        <f t="shared" si="34"/>
        <v>0</v>
      </c>
      <c r="Y550" s="2230">
        <f t="shared" si="35"/>
        <v>0</v>
      </c>
      <c r="Z550" s="2225"/>
      <c r="AA550" s="1652"/>
    </row>
    <row r="551" spans="8:27">
      <c r="H551" s="2224" t="s">
        <v>1435</v>
      </c>
      <c r="I551" s="2229">
        <v>600</v>
      </c>
      <c r="J551" s="2226" t="s">
        <v>110</v>
      </c>
      <c r="K551" s="2224" t="s">
        <v>845</v>
      </c>
      <c r="L551" s="2227">
        <v>1155</v>
      </c>
      <c r="M551" s="2227">
        <v>1039.5</v>
      </c>
      <c r="N551" s="2250">
        <v>9.7057837250506766E-3</v>
      </c>
      <c r="O551" s="2224">
        <v>10</v>
      </c>
      <c r="P551" s="2225" t="s">
        <v>1160</v>
      </c>
      <c r="Q551" s="2229">
        <v>50</v>
      </c>
      <c r="R551" s="2229">
        <v>50</v>
      </c>
      <c r="S551" s="2228">
        <f t="shared" si="31"/>
        <v>100</v>
      </c>
      <c r="T551" s="2997">
        <v>30000</v>
      </c>
      <c r="U551" s="2228">
        <f t="shared" si="32"/>
        <v>30000</v>
      </c>
      <c r="V551" s="2228">
        <f t="shared" si="33"/>
        <v>60000</v>
      </c>
      <c r="W551" s="2999">
        <v>51975</v>
      </c>
      <c r="X551" s="2230">
        <f t="shared" si="34"/>
        <v>51975</v>
      </c>
      <c r="Y551" s="2230">
        <f t="shared" si="35"/>
        <v>103950</v>
      </c>
      <c r="Z551" s="2225"/>
      <c r="AA551" s="1652"/>
    </row>
    <row r="552" spans="8:27">
      <c r="H552" s="2224" t="s">
        <v>1436</v>
      </c>
      <c r="I552" s="2229">
        <v>4486</v>
      </c>
      <c r="J552" s="2226" t="s">
        <v>110</v>
      </c>
      <c r="K552" s="2224" t="s">
        <v>845</v>
      </c>
      <c r="L552" s="2227">
        <v>1653.6000000000001</v>
      </c>
      <c r="M552" s="2227">
        <v>1488.2400000000002</v>
      </c>
      <c r="N552" s="2250">
        <v>0</v>
      </c>
      <c r="O552" s="2224">
        <v>8</v>
      </c>
      <c r="P552" s="2225" t="s">
        <v>1160</v>
      </c>
      <c r="Q552" s="2229">
        <v>0</v>
      </c>
      <c r="R552" s="2229">
        <v>0</v>
      </c>
      <c r="S552" s="2228">
        <f t="shared" si="31"/>
        <v>0</v>
      </c>
      <c r="T552" s="2997">
        <v>0</v>
      </c>
      <c r="U552" s="2228">
        <f t="shared" si="32"/>
        <v>0</v>
      </c>
      <c r="V552" s="2228">
        <f t="shared" si="33"/>
        <v>0</v>
      </c>
      <c r="W552" s="2999">
        <v>0</v>
      </c>
      <c r="X552" s="2230">
        <f t="shared" si="34"/>
        <v>0</v>
      </c>
      <c r="Y552" s="2230">
        <f t="shared" si="35"/>
        <v>0</v>
      </c>
      <c r="Z552" s="2225"/>
      <c r="AA552" s="1652"/>
    </row>
    <row r="553" spans="8:27">
      <c r="H553" s="2224" t="s">
        <v>1437</v>
      </c>
      <c r="I553" s="2229">
        <v>222</v>
      </c>
      <c r="J553" s="2226" t="s">
        <v>110</v>
      </c>
      <c r="K553" s="2224" t="s">
        <v>845</v>
      </c>
      <c r="L553" s="2227">
        <v>284</v>
      </c>
      <c r="M553" s="2227">
        <v>255.6</v>
      </c>
      <c r="N553" s="2250">
        <v>3.5911399782687502E-2</v>
      </c>
      <c r="O553" s="2224">
        <v>10</v>
      </c>
      <c r="P553" s="2225" t="s">
        <v>1160</v>
      </c>
      <c r="Q553" s="2229">
        <v>500</v>
      </c>
      <c r="R553" s="2229">
        <v>500</v>
      </c>
      <c r="S553" s="2228">
        <f t="shared" si="31"/>
        <v>1000</v>
      </c>
      <c r="T553" s="2997">
        <v>111000</v>
      </c>
      <c r="U553" s="2228">
        <f t="shared" si="32"/>
        <v>111000</v>
      </c>
      <c r="V553" s="2228">
        <f t="shared" si="33"/>
        <v>222000</v>
      </c>
      <c r="W553" s="2999">
        <v>127800</v>
      </c>
      <c r="X553" s="2230">
        <f t="shared" si="34"/>
        <v>127800</v>
      </c>
      <c r="Y553" s="2230">
        <f t="shared" si="35"/>
        <v>255600</v>
      </c>
      <c r="Z553" s="2225"/>
      <c r="AA553" s="1652"/>
    </row>
    <row r="554" spans="8:27">
      <c r="H554" s="2224" t="s">
        <v>1438</v>
      </c>
      <c r="I554" s="2229">
        <v>1000</v>
      </c>
      <c r="J554" s="2226" t="s">
        <v>110</v>
      </c>
      <c r="K554" s="2224" t="s">
        <v>845</v>
      </c>
      <c r="L554" s="2227">
        <v>1628.25</v>
      </c>
      <c r="M554" s="2227">
        <v>1465.425</v>
      </c>
      <c r="N554" s="2250">
        <v>8.0881531042088974E-3</v>
      </c>
      <c r="O554" s="2224">
        <v>10</v>
      </c>
      <c r="P554" s="2225" t="s">
        <v>1426</v>
      </c>
      <c r="Q554" s="2229">
        <v>25</v>
      </c>
      <c r="R554" s="2229">
        <v>25</v>
      </c>
      <c r="S554" s="2228">
        <f t="shared" si="31"/>
        <v>50</v>
      </c>
      <c r="T554" s="2997">
        <v>25000</v>
      </c>
      <c r="U554" s="2228">
        <f t="shared" si="32"/>
        <v>25000</v>
      </c>
      <c r="V554" s="2228">
        <f t="shared" si="33"/>
        <v>50000</v>
      </c>
      <c r="W554" s="2999">
        <v>36635.625</v>
      </c>
      <c r="X554" s="2230">
        <f t="shared" si="34"/>
        <v>36635.625</v>
      </c>
      <c r="Y554" s="2230">
        <f t="shared" si="35"/>
        <v>73271.25</v>
      </c>
      <c r="Z554" s="2225"/>
      <c r="AA554" s="1652"/>
    </row>
  </sheetData>
  <customSheetViews>
    <customSheetView guid="{D9EFFE19-D14B-4C6F-BDF4-FF696F73968D}" showGridLines="0">
      <pane xSplit="1" ySplit="1" topLeftCell="B2" activePane="bottomRight" state="frozen"/>
      <selection pane="bottomRight" activeCell="F12" sqref="F12"/>
      <pageMargins left="0.7" right="0.7" top="0.75" bottom="0.75" header="0.3" footer="0.3"/>
    </customSheetView>
    <customSheetView guid="{074EB09C-6289-46D7-9513-012B68BCA7BF}" showGridLines="0">
      <pane xSplit="1" ySplit="1" topLeftCell="F173" activePane="bottomRight" state="frozen"/>
      <selection pane="bottomRight" activeCell="H190" sqref="H190"/>
      <pageMargins left="0.7" right="0.7" top="0.75" bottom="0.75" header="0.3" footer="0.3"/>
      <pageSetup paperSize="17" scale="70" orientation="landscape" r:id="rId1"/>
    </customSheetView>
  </customSheetViews>
  <mergeCells count="12">
    <mergeCell ref="Z380:Z381"/>
    <mergeCell ref="H378:P378"/>
    <mergeCell ref="H380:P380"/>
    <mergeCell ref="Q380:S380"/>
    <mergeCell ref="T380:V380"/>
    <mergeCell ref="W380:Y380"/>
    <mergeCell ref="H10:P10"/>
    <mergeCell ref="Z12:Z13"/>
    <mergeCell ref="H12:P12"/>
    <mergeCell ref="Q12:S12"/>
    <mergeCell ref="T12:V12"/>
    <mergeCell ref="W12:Y12"/>
  </mergeCells>
  <pageMargins left="0.45" right="0.2" top="0.75" bottom="0.75" header="0.3" footer="0.3"/>
  <pageSetup paperSize="3" scale="43" orientation="landscape" r:id="rId2"/>
  <rowBreaks count="1" manualBreakCount="1">
    <brk id="375" max="16383" man="1"/>
  </rowBreak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FABF8F"/>
  </sheetPr>
  <dimension ref="E2:P36"/>
  <sheetViews>
    <sheetView showGridLines="0" zoomScaleNormal="100" workbookViewId="0">
      <pane xSplit="3" ySplit="4" topLeftCell="E5" activePane="bottomRight" state="frozen"/>
      <selection pane="topRight" activeCell="D1" sqref="D1"/>
      <selection pane="bottomLeft" activeCell="A5" sqref="A5"/>
      <selection pane="bottomRight" activeCell="M56" sqref="M56"/>
    </sheetView>
  </sheetViews>
  <sheetFormatPr defaultColWidth="9.140625" defaultRowHeight="12.75"/>
  <cols>
    <col min="1" max="2" width="9.140625" style="1652"/>
    <col min="3" max="3" width="1.28515625" style="1652" customWidth="1"/>
    <col min="4" max="5" width="9.140625" style="1652"/>
    <col min="6" max="6" width="0.85546875" style="1652" customWidth="1"/>
    <col min="7" max="7" width="9.140625" style="1652"/>
    <col min="8" max="8" width="45.42578125" style="1652" customWidth="1"/>
    <col min="9" max="10" width="12.7109375" style="1652" customWidth="1"/>
    <col min="11" max="11" width="17.5703125" style="1652" hidden="1" customWidth="1"/>
    <col min="12" max="12" width="17.5703125" style="1652" customWidth="1"/>
    <col min="13" max="13" width="28.5703125" style="1652" customWidth="1"/>
    <col min="14" max="14" width="13.7109375" style="1569" customWidth="1"/>
    <col min="15" max="15" width="30.7109375" style="1569" customWidth="1"/>
    <col min="16" max="16" width="0.85546875" style="1652" customWidth="1"/>
    <col min="17" max="16384" width="9.140625" style="1652"/>
  </cols>
  <sheetData>
    <row r="2" spans="6:16" ht="18">
      <c r="G2" s="2504"/>
    </row>
    <row r="4" spans="6:16" ht="13.5" thickBot="1"/>
    <row r="5" spans="6:16" ht="5.25" customHeight="1">
      <c r="F5" s="3538"/>
      <c r="G5" s="2092"/>
      <c r="H5" s="3540" t="s">
        <v>1677</v>
      </c>
      <c r="I5" s="3540"/>
      <c r="J5" s="3541"/>
      <c r="K5" s="3541"/>
      <c r="L5" s="3541"/>
      <c r="M5" s="3541"/>
      <c r="N5" s="3541"/>
      <c r="O5" s="3543"/>
    </row>
    <row r="6" spans="6:16" ht="21" customHeight="1">
      <c r="F6" s="3539"/>
      <c r="G6" s="2093"/>
      <c r="H6" s="3542"/>
      <c r="I6" s="3542"/>
      <c r="J6" s="3542"/>
      <c r="K6" s="3542"/>
      <c r="L6" s="3542"/>
      <c r="M6" s="3542"/>
      <c r="N6" s="3542"/>
      <c r="O6" s="3544"/>
      <c r="P6" s="2094"/>
    </row>
    <row r="7" spans="6:16" ht="2.25" customHeight="1">
      <c r="F7" s="2095"/>
      <c r="G7" s="2096"/>
      <c r="H7" s="2097"/>
      <c r="I7" s="2119"/>
      <c r="J7" s="2098"/>
      <c r="K7" s="2099"/>
      <c r="L7" s="2099"/>
      <c r="M7" s="2100"/>
      <c r="N7" s="2099"/>
      <c r="O7" s="2101"/>
      <c r="P7" s="2094"/>
    </row>
    <row r="8" spans="6:16" s="1567" customFormat="1">
      <c r="F8" s="2102"/>
      <c r="G8" s="2103"/>
      <c r="H8" s="2104" t="s">
        <v>19</v>
      </c>
      <c r="I8" s="2120" t="s">
        <v>608</v>
      </c>
      <c r="J8" s="2105" t="s">
        <v>600</v>
      </c>
      <c r="K8" s="3545" t="s">
        <v>590</v>
      </c>
      <c r="L8" s="3546"/>
      <c r="M8" s="3547"/>
      <c r="N8" s="2514" t="s">
        <v>601</v>
      </c>
      <c r="O8" s="2106"/>
      <c r="P8" s="2107"/>
    </row>
    <row r="9" spans="6:16" ht="3" customHeight="1">
      <c r="F9" s="2463"/>
      <c r="G9" s="2057"/>
      <c r="H9" s="2464"/>
      <c r="I9" s="2465"/>
      <c r="J9" s="2466"/>
      <c r="K9" s="2467"/>
      <c r="L9" s="2467"/>
      <c r="M9" s="2057"/>
      <c r="N9" s="2467"/>
      <c r="O9" s="2468"/>
      <c r="P9" s="2094"/>
    </row>
    <row r="10" spans="6:16" s="1310" customFormat="1" ht="21.75" customHeight="1">
      <c r="F10" s="2469"/>
      <c r="G10" s="2110"/>
      <c r="H10" s="2473" t="s">
        <v>1670</v>
      </c>
      <c r="I10" s="2109"/>
      <c r="J10" s="2110"/>
      <c r="K10" s="2109"/>
      <c r="L10" s="2109"/>
      <c r="M10" s="2110"/>
      <c r="N10" s="2109"/>
      <c r="O10" s="2028"/>
      <c r="P10" s="2111"/>
    </row>
    <row r="11" spans="6:16" s="1310" customFormat="1" ht="21" customHeight="1">
      <c r="F11" s="2469"/>
      <c r="G11" s="2110"/>
      <c r="H11" s="2547" t="s">
        <v>1627</v>
      </c>
      <c r="I11" s="2108"/>
      <c r="J11" s="2110"/>
      <c r="K11" s="2109"/>
      <c r="L11" s="2550" t="s">
        <v>1663</v>
      </c>
      <c r="M11" s="2110"/>
      <c r="N11" s="2109"/>
      <c r="O11" s="2028"/>
      <c r="P11" s="2111"/>
    </row>
    <row r="12" spans="6:16" s="1310" customFormat="1" ht="30" customHeight="1">
      <c r="F12" s="2501"/>
      <c r="G12" s="2198" t="s">
        <v>418</v>
      </c>
      <c r="H12" s="2470" t="s">
        <v>702</v>
      </c>
      <c r="I12" s="2471">
        <v>554132</v>
      </c>
      <c r="J12" s="2472">
        <f>I12/8760</f>
        <v>63.257077625570773</v>
      </c>
      <c r="K12" s="2475" t="s">
        <v>602</v>
      </c>
      <c r="L12" s="2473" t="s">
        <v>703</v>
      </c>
      <c r="M12" s="2474"/>
      <c r="N12" s="2475" t="s">
        <v>1647</v>
      </c>
      <c r="O12" s="2476"/>
      <c r="P12" s="2111"/>
    </row>
    <row r="13" spans="6:16" s="1310" customFormat="1" ht="15.75" customHeight="1">
      <c r="F13" s="2469"/>
      <c r="G13" s="2198" t="s">
        <v>419</v>
      </c>
      <c r="H13" s="2477" t="s">
        <v>1671</v>
      </c>
      <c r="I13" s="2478">
        <v>5722</v>
      </c>
      <c r="J13" s="2472">
        <f>I13/8760</f>
        <v>0.6531963470319635</v>
      </c>
      <c r="K13" s="2473" t="s">
        <v>603</v>
      </c>
      <c r="L13" s="2473"/>
      <c r="M13" s="2474"/>
      <c r="N13" s="2475" t="s">
        <v>1649</v>
      </c>
      <c r="O13" s="2476"/>
      <c r="P13" s="2111"/>
    </row>
    <row r="14" spans="6:16" s="1310" customFormat="1" ht="21" customHeight="1">
      <c r="F14" s="2469"/>
      <c r="G14" s="2198" t="s">
        <v>420</v>
      </c>
      <c r="H14" s="2477" t="s">
        <v>1672</v>
      </c>
      <c r="I14" s="2471">
        <f>I12+I13</f>
        <v>559854</v>
      </c>
      <c r="J14" s="2552">
        <f>I14/8760</f>
        <v>63.910273972602738</v>
      </c>
      <c r="K14" s="2473"/>
      <c r="L14" s="2473"/>
      <c r="M14" s="2474"/>
      <c r="N14" s="2505" t="s">
        <v>1628</v>
      </c>
      <c r="O14" s="2476"/>
      <c r="P14" s="2111"/>
    </row>
    <row r="15" spans="6:16" s="1310" customFormat="1" ht="25.5" customHeight="1">
      <c r="F15" s="2501"/>
      <c r="G15" s="2198" t="s">
        <v>421</v>
      </c>
      <c r="H15" s="2489" t="s">
        <v>1619</v>
      </c>
      <c r="I15" s="2490">
        <f>(I12+I13)*0.05</f>
        <v>27992.7</v>
      </c>
      <c r="J15" s="2491">
        <f>J17*0.05</f>
        <v>3.4543019406392697</v>
      </c>
      <c r="K15" s="2475" t="s">
        <v>604</v>
      </c>
      <c r="L15" s="2473" t="s">
        <v>1664</v>
      </c>
      <c r="M15" s="2474"/>
      <c r="N15" s="2506" t="s">
        <v>1629</v>
      </c>
      <c r="O15" s="2476"/>
      <c r="P15" s="2111"/>
    </row>
    <row r="16" spans="6:16" s="1310" customFormat="1" ht="26.25" customHeight="1">
      <c r="F16" s="2501"/>
      <c r="G16" s="2057" t="s">
        <v>422</v>
      </c>
      <c r="H16" s="2479" t="s">
        <v>1673</v>
      </c>
      <c r="I16" s="2465">
        <v>17347</v>
      </c>
      <c r="J16" s="2472">
        <f>I16/8760</f>
        <v>1.9802511415525115</v>
      </c>
      <c r="K16" s="2475" t="s">
        <v>605</v>
      </c>
      <c r="L16" s="2473" t="s">
        <v>1620</v>
      </c>
      <c r="M16" s="2474"/>
      <c r="N16" s="2475" t="s">
        <v>1648</v>
      </c>
      <c r="O16" s="2476"/>
      <c r="P16" s="2111"/>
    </row>
    <row r="17" spans="5:16" s="1173" customFormat="1" ht="19.5" customHeight="1">
      <c r="F17" s="2502"/>
      <c r="G17" s="2198" t="s">
        <v>423</v>
      </c>
      <c r="H17" s="2486" t="s">
        <v>1621</v>
      </c>
      <c r="I17" s="2487">
        <f>I14+I15+I16</f>
        <v>605193.69999999995</v>
      </c>
      <c r="J17" s="2488">
        <f>I17/8760</f>
        <v>69.086038812785389</v>
      </c>
      <c r="K17" s="2473"/>
      <c r="L17" s="3536" t="s">
        <v>1622</v>
      </c>
      <c r="M17" s="3537"/>
      <c r="N17" s="3548" t="s">
        <v>1650</v>
      </c>
      <c r="O17" s="3549"/>
      <c r="P17" s="2107"/>
    </row>
    <row r="18" spans="5:16" s="1310" customFormat="1" ht="23.25" customHeight="1">
      <c r="F18" s="2469"/>
      <c r="G18" s="2474"/>
      <c r="H18" s="2546" t="s">
        <v>1623</v>
      </c>
      <c r="I18" s="2477"/>
      <c r="J18" s="2477"/>
      <c r="K18" s="2473"/>
      <c r="L18" s="2551" t="s">
        <v>1662</v>
      </c>
      <c r="M18" s="2474"/>
      <c r="N18" s="2473"/>
      <c r="O18" s="2476"/>
      <c r="P18" s="2111"/>
    </row>
    <row r="19" spans="5:16" s="1310" customFormat="1" ht="18.75" customHeight="1">
      <c r="F19" s="2480"/>
      <c r="G19" s="2495" t="s">
        <v>424</v>
      </c>
      <c r="H19" s="2489" t="s">
        <v>1624</v>
      </c>
      <c r="I19" s="2490">
        <v>22776</v>
      </c>
      <c r="J19" s="2499">
        <f>I19/8760</f>
        <v>2.6</v>
      </c>
      <c r="K19" s="2482"/>
      <c r="L19" s="2482"/>
      <c r="M19" s="2503"/>
      <c r="N19" s="2545" t="s">
        <v>1651</v>
      </c>
      <c r="O19" s="2483"/>
      <c r="P19" s="2111"/>
    </row>
    <row r="20" spans="5:16" s="1173" customFormat="1" ht="18.75" customHeight="1">
      <c r="F20" s="2469"/>
      <c r="G20" s="2198" t="s">
        <v>425</v>
      </c>
      <c r="H20" s="2497" t="s">
        <v>1625</v>
      </c>
      <c r="I20" s="2471">
        <f>-I16</f>
        <v>-17347</v>
      </c>
      <c r="J20" s="2472">
        <f>-J16</f>
        <v>-1.9802511415525115</v>
      </c>
      <c r="K20" s="1507"/>
      <c r="L20" s="1507"/>
      <c r="M20" s="2198"/>
      <c r="N20" s="2507" t="s">
        <v>1630</v>
      </c>
      <c r="O20" s="2500"/>
      <c r="P20" s="2111"/>
    </row>
    <row r="21" spans="5:16" s="1173" customFormat="1" ht="18.75" customHeight="1">
      <c r="F21" s="2469"/>
      <c r="G21" s="2198" t="s">
        <v>307</v>
      </c>
      <c r="H21" s="2497" t="s">
        <v>1657</v>
      </c>
      <c r="I21" s="2478">
        <f>-I15</f>
        <v>-27992.7</v>
      </c>
      <c r="J21" s="2548">
        <f>-J15</f>
        <v>-3.4543019406392697</v>
      </c>
      <c r="K21" s="1507"/>
      <c r="L21" s="1507"/>
      <c r="M21" s="2198"/>
      <c r="N21" s="2507" t="s">
        <v>1641</v>
      </c>
      <c r="O21" s="2500"/>
      <c r="P21" s="2111"/>
    </row>
    <row r="22" spans="5:16" s="1173" customFormat="1" ht="18.75" customHeight="1">
      <c r="F22" s="2469"/>
      <c r="G22" s="2198" t="s">
        <v>426</v>
      </c>
      <c r="H22" s="2497" t="s">
        <v>1659</v>
      </c>
      <c r="I22" s="2471">
        <f>SUM(I19:I21)</f>
        <v>-22563.7</v>
      </c>
      <c r="J22" s="2472">
        <f>SUM(J19:J21)</f>
        <v>-2.834553082191781</v>
      </c>
      <c r="K22" s="1507"/>
      <c r="L22" s="1507"/>
      <c r="M22" s="2198"/>
      <c r="N22" s="2507" t="s">
        <v>1660</v>
      </c>
      <c r="O22" s="2500"/>
      <c r="P22" s="2111"/>
    </row>
    <row r="23" spans="5:16" s="1173" customFormat="1" ht="22.5" customHeight="1">
      <c r="F23" s="2469"/>
      <c r="G23" s="2198"/>
      <c r="H23" s="2546" t="s">
        <v>1658</v>
      </c>
      <c r="I23" s="2471"/>
      <c r="J23" s="2472"/>
      <c r="K23" s="1507"/>
      <c r="L23" s="1507"/>
      <c r="M23" s="2198"/>
      <c r="N23" s="2507"/>
      <c r="O23" s="2500"/>
      <c r="P23" s="2111"/>
    </row>
    <row r="24" spans="5:16" s="1310" customFormat="1" ht="18.75" customHeight="1">
      <c r="F24" s="2469"/>
      <c r="G24" s="2481" t="s">
        <v>427</v>
      </c>
      <c r="H24" s="2498" t="s">
        <v>1618</v>
      </c>
      <c r="I24" s="2484">
        <f>I17+I22</f>
        <v>582630</v>
      </c>
      <c r="J24" s="2485">
        <f>I24/8760</f>
        <v>66.510273972602747</v>
      </c>
      <c r="K24" s="2493" t="s">
        <v>1626</v>
      </c>
      <c r="L24" s="2473" t="s">
        <v>1639</v>
      </c>
      <c r="M24" s="2494"/>
      <c r="N24" s="2508" t="s">
        <v>1661</v>
      </c>
      <c r="O24" s="2483"/>
      <c r="P24" s="2107"/>
    </row>
    <row r="25" spans="5:16" s="1310" customFormat="1" ht="9" customHeight="1">
      <c r="F25" s="2469"/>
      <c r="G25" s="2198"/>
      <c r="H25" s="2489"/>
      <c r="I25" s="2490"/>
      <c r="J25" s="2491"/>
      <c r="K25" s="2473"/>
      <c r="L25" s="2473"/>
      <c r="M25" s="2474"/>
      <c r="N25" s="2473"/>
      <c r="O25" s="2476"/>
      <c r="P25" s="2111"/>
    </row>
    <row r="26" spans="5:16" s="1310" customFormat="1" ht="18.75" customHeight="1">
      <c r="F26" s="2480"/>
      <c r="G26" s="2520" t="s">
        <v>428</v>
      </c>
      <c r="H26" s="2521" t="s">
        <v>1640</v>
      </c>
      <c r="I26" s="2522">
        <f>I15</f>
        <v>27992.7</v>
      </c>
      <c r="J26" s="2523">
        <f>J15</f>
        <v>3.4543019406392697</v>
      </c>
      <c r="K26" s="2513"/>
      <c r="L26" s="2515" t="s">
        <v>1639</v>
      </c>
      <c r="M26" s="2513"/>
      <c r="N26" s="2549" t="s">
        <v>1641</v>
      </c>
      <c r="O26" s="2476"/>
      <c r="P26" s="2111"/>
    </row>
    <row r="27" spans="5:16" s="1173" customFormat="1" ht="30" hidden="1" customHeight="1">
      <c r="F27" s="2469"/>
      <c r="G27" s="2198"/>
      <c r="H27" s="2489"/>
      <c r="I27" s="2496"/>
      <c r="J27" s="2491"/>
      <c r="K27" s="2473"/>
      <c r="L27" s="2473"/>
      <c r="M27" s="2474"/>
      <c r="N27" s="2473"/>
      <c r="O27" s="2476"/>
      <c r="P27" s="2111"/>
    </row>
    <row r="28" spans="5:16" ht="7.5" customHeight="1">
      <c r="F28" s="2463"/>
      <c r="G28" s="2057"/>
      <c r="H28" s="2525"/>
      <c r="I28" s="2517"/>
      <c r="J28" s="2518"/>
      <c r="K28" s="2475"/>
      <c r="L28" s="2475"/>
      <c r="M28" s="2519"/>
      <c r="N28" s="2475"/>
      <c r="O28" s="2516"/>
      <c r="P28" s="2094"/>
    </row>
    <row r="29" spans="5:16" ht="0.75" customHeight="1" thickBot="1">
      <c r="E29" s="1201"/>
      <c r="F29" s="2112"/>
      <c r="G29" s="2113"/>
      <c r="H29" s="2114"/>
      <c r="I29" s="2121"/>
      <c r="J29" s="2115"/>
      <c r="K29" s="2116"/>
      <c r="L29" s="2116"/>
      <c r="M29" s="2117"/>
      <c r="N29" s="2460"/>
      <c r="O29" s="2461"/>
      <c r="P29" s="2094"/>
    </row>
    <row r="30" spans="5:16" ht="4.5" customHeight="1">
      <c r="E30" s="1201"/>
      <c r="G30" s="2094"/>
      <c r="H30" s="2094"/>
      <c r="I30" s="2122"/>
      <c r="J30" s="2118"/>
      <c r="K30" s="2094"/>
      <c r="L30" s="2094"/>
      <c r="M30" s="2094"/>
      <c r="N30" s="2462"/>
      <c r="O30" s="2462"/>
      <c r="P30" s="2094"/>
    </row>
    <row r="31" spans="5:16" ht="4.5" customHeight="1"/>
    <row r="33" spans="12:12">
      <c r="L33" s="1652" t="s">
        <v>698</v>
      </c>
    </row>
    <row r="34" spans="12:12">
      <c r="L34" s="1652" t="s">
        <v>701</v>
      </c>
    </row>
    <row r="35" spans="12:12">
      <c r="L35" s="1652" t="s">
        <v>606</v>
      </c>
    </row>
    <row r="36" spans="12:12">
      <c r="L36" s="1652" t="s">
        <v>607</v>
      </c>
    </row>
  </sheetData>
  <customSheetViews>
    <customSheetView guid="{D9EFFE19-D14B-4C6F-BDF4-FF696F73968D}" showPageBreaks="1" showGridLines="0">
      <pane xSplit="3" ySplit="4" topLeftCell="D5" activePane="bottomRight" state="frozen"/>
      <selection pane="bottomRight" activeCell="F34" sqref="F34"/>
      <pageMargins left="0.55000000000000004" right="0.12" top="0.75" bottom="0.75" header="0.3" footer="0.3"/>
      <pageSetup scale="70" orientation="landscape" r:id="rId1"/>
    </customSheetView>
    <customSheetView guid="{074EB09C-6289-46D7-9513-012B68BCA7BF}" showGridLines="0" hiddenRows="1" hiddenColumns="1">
      <pane xSplit="3" ySplit="4" topLeftCell="E17" activePane="bottomRight" state="frozen"/>
      <selection pane="bottomRight"/>
      <pageMargins left="0.55000000000000004" right="0.12" top="0.75" bottom="0.75" header="0.3" footer="0.3"/>
      <pageSetup scale="70" orientation="landscape" r:id="rId2"/>
    </customSheetView>
  </customSheetViews>
  <mergeCells count="6">
    <mergeCell ref="L17:M17"/>
    <mergeCell ref="F5:F6"/>
    <mergeCell ref="H5:N6"/>
    <mergeCell ref="O5:O6"/>
    <mergeCell ref="K8:M8"/>
    <mergeCell ref="N17:O17"/>
  </mergeCells>
  <pageMargins left="0.55000000000000004" right="0.12" top="0.75" bottom="0.75" header="0.3" footer="0.3"/>
  <pageSetup paperSize="3" scale="70" orientation="landscape" r:id="rId3"/>
  <drawing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8DB4E3"/>
  </sheetPr>
  <dimension ref="A1:AA535"/>
  <sheetViews>
    <sheetView showGridLines="0" workbookViewId="0">
      <pane xSplit="1" ySplit="1" topLeftCell="B2" activePane="bottomRight" state="frozen"/>
      <selection pane="topRight" activeCell="B1" sqref="B1"/>
      <selection pane="bottomLeft" activeCell="A2" sqref="A2"/>
      <selection pane="bottomRight" activeCell="H9" sqref="H9"/>
    </sheetView>
  </sheetViews>
  <sheetFormatPr defaultRowHeight="12.75"/>
  <cols>
    <col min="1" max="1" width="18.710937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44.285156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4" style="1652" bestFit="1" customWidth="1"/>
    <col min="25" max="25" width="16.8554687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84" width="9.140625" style="1652"/>
  </cols>
  <sheetData>
    <row r="1" spans="1:27" ht="57" customHeight="1" thickBot="1">
      <c r="C1" s="1361" t="s">
        <v>530</v>
      </c>
      <c r="D1" s="1361" t="s">
        <v>262</v>
      </c>
      <c r="E1" s="1361" t="s">
        <v>5</v>
      </c>
      <c r="F1" s="1361">
        <v>18231134</v>
      </c>
      <c r="G1" s="1361" t="s">
        <v>4</v>
      </c>
      <c r="J1" s="1190"/>
      <c r="M1" s="1361" t="s">
        <v>530</v>
      </c>
      <c r="N1" s="1361" t="s">
        <v>262</v>
      </c>
      <c r="O1" s="1361" t="s">
        <v>5</v>
      </c>
      <c r="P1" s="1361">
        <v>18231134</v>
      </c>
      <c r="Q1" s="1361" t="s">
        <v>4</v>
      </c>
      <c r="V1" s="1361" t="s">
        <v>530</v>
      </c>
      <c r="W1" s="1361" t="s">
        <v>262</v>
      </c>
      <c r="X1" s="1361" t="s">
        <v>5</v>
      </c>
      <c r="Y1" s="1361">
        <v>18231134</v>
      </c>
      <c r="Z1" s="1361" t="s">
        <v>4</v>
      </c>
    </row>
    <row r="2" spans="1:27" ht="16.5" thickBot="1">
      <c r="C2" s="1190"/>
      <c r="D2" s="1177"/>
      <c r="I2" s="1178" t="s">
        <v>627</v>
      </c>
      <c r="S2" s="3575"/>
      <c r="T2" s="3575"/>
      <c r="U2" s="3576" t="s">
        <v>33</v>
      </c>
      <c r="V2" s="3577"/>
      <c r="W2" s="3578"/>
      <c r="X2" s="3579" t="s">
        <v>34</v>
      </c>
    </row>
    <row r="3" spans="1:27" ht="26.25" thickBot="1">
      <c r="A3" s="2143" t="s">
        <v>530</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79757.040000000008</v>
      </c>
      <c r="J4" s="2960">
        <f>D21</f>
        <v>4800</v>
      </c>
      <c r="K4" s="2960">
        <f>D27</f>
        <v>56399.54568000001</v>
      </c>
      <c r="L4" s="2960">
        <f>D37</f>
        <v>40000</v>
      </c>
      <c r="M4" s="2960">
        <f>D43</f>
        <v>3500</v>
      </c>
      <c r="N4" s="2960">
        <f>D49</f>
        <v>54000</v>
      </c>
      <c r="O4" s="2960">
        <f>D55</f>
        <v>2500</v>
      </c>
      <c r="P4" s="2960">
        <f>D61</f>
        <v>610420.5</v>
      </c>
      <c r="Q4" s="2960">
        <f>D67</f>
        <v>2342693.7400000002</v>
      </c>
      <c r="R4" s="2960">
        <f>D68</f>
        <v>0</v>
      </c>
      <c r="S4" s="2961">
        <f>SUM(I4:R4)</f>
        <v>3194070.8256800002</v>
      </c>
      <c r="T4" s="2962">
        <f>T15</f>
        <v>0</v>
      </c>
      <c r="U4" s="2954">
        <f>Q4/S4</f>
        <v>0.73345078047893741</v>
      </c>
      <c r="V4" s="2954">
        <f>(L4+(J4*1.63))/S4</f>
        <v>1.4972742500103621E-2</v>
      </c>
      <c r="W4" s="2954">
        <f>N4/S4</f>
        <v>1.6906325171579029E-2</v>
      </c>
      <c r="X4" s="2953" t="e">
        <f>S4/T4</f>
        <v>#DIV/0!</v>
      </c>
    </row>
    <row r="5" spans="1:27" ht="16.5" thickBot="1">
      <c r="A5" s="2143" t="s">
        <v>5</v>
      </c>
      <c r="B5" s="2143"/>
      <c r="C5" s="1177"/>
      <c r="H5" s="3205" t="s">
        <v>1753</v>
      </c>
      <c r="I5" s="2617">
        <v>81751.12</v>
      </c>
      <c r="J5" s="2618">
        <v>4920</v>
      </c>
      <c r="K5" s="2618">
        <v>58936.361599999997</v>
      </c>
      <c r="L5" s="2618">
        <v>30000</v>
      </c>
      <c r="M5" s="2618">
        <v>3500</v>
      </c>
      <c r="N5" s="2618">
        <v>54000</v>
      </c>
      <c r="O5" s="2618">
        <v>2500</v>
      </c>
      <c r="P5" s="2618">
        <v>610420.5</v>
      </c>
      <c r="Q5" s="2618">
        <v>2419231.3600000003</v>
      </c>
      <c r="R5" s="2618">
        <v>0</v>
      </c>
      <c r="S5" s="2619">
        <v>3265259.3416000004</v>
      </c>
      <c r="T5" s="2620">
        <v>11332748.5</v>
      </c>
      <c r="U5" s="1187">
        <f>Q5/S5</f>
        <v>0.74090021860700339</v>
      </c>
      <c r="V5" s="1187">
        <f>(L5+(J5*1.63))/S5</f>
        <v>1.1643669314600329E-2</v>
      </c>
      <c r="W5" s="1187">
        <f>N5/S5</f>
        <v>1.6537736930120721E-2</v>
      </c>
      <c r="X5" s="1155">
        <f>S5/T5</f>
        <v>0.2881259865248047</v>
      </c>
    </row>
    <row r="6" spans="1:27" ht="16.5" thickBot="1">
      <c r="A6" s="2143">
        <v>18231134</v>
      </c>
      <c r="D6" s="1190"/>
      <c r="H6" s="3206" t="s">
        <v>1754</v>
      </c>
      <c r="I6" s="2621">
        <f>E15</f>
        <v>81751.12</v>
      </c>
      <c r="J6" s="2622">
        <f>E21</f>
        <v>4920</v>
      </c>
      <c r="K6" s="2623">
        <f>E27</f>
        <v>77830.665759999989</v>
      </c>
      <c r="L6" s="2622">
        <f>E37</f>
        <v>30000</v>
      </c>
      <c r="M6" s="2622">
        <f>E43</f>
        <v>3500</v>
      </c>
      <c r="N6" s="2622">
        <f>E49</f>
        <v>54000</v>
      </c>
      <c r="O6" s="2622">
        <f>E55</f>
        <v>2500</v>
      </c>
      <c r="P6" s="2622">
        <f>E61</f>
        <v>610420.5</v>
      </c>
      <c r="Q6" s="2622">
        <f>E67</f>
        <v>2327991.6100000008</v>
      </c>
      <c r="R6" s="2622">
        <f>E68</f>
        <v>0</v>
      </c>
      <c r="S6" s="2624">
        <f>SUM(I6:R6)</f>
        <v>3192913.8957600007</v>
      </c>
      <c r="T6" s="2625">
        <f>U15</f>
        <v>10042948.552057886</v>
      </c>
      <c r="U6" s="2631">
        <f>Q6/S6</f>
        <v>0.72911192910383049</v>
      </c>
      <c r="V6" s="2631">
        <f>(L6+(J6*1.63))/S6</f>
        <v>1.1907493042793219E-2</v>
      </c>
      <c r="W6" s="2631">
        <f>N6/S6</f>
        <v>1.6912451059738497E-2</v>
      </c>
      <c r="X6" s="2626">
        <f>S6/T6</f>
        <v>0.31792594368172333</v>
      </c>
    </row>
    <row r="7" spans="1:27" ht="15.75">
      <c r="A7" s="2143" t="s">
        <v>4</v>
      </c>
      <c r="B7" s="2143"/>
      <c r="D7" s="1190"/>
      <c r="G7" s="2606"/>
      <c r="H7" s="2607"/>
      <c r="I7" s="2607"/>
      <c r="J7" s="2607"/>
      <c r="K7" s="2607"/>
      <c r="L7" s="2607"/>
      <c r="M7" s="2607"/>
      <c r="N7" s="2607"/>
      <c r="O7" s="2607"/>
      <c r="P7" s="2607"/>
      <c r="Q7" s="2607"/>
      <c r="R7" s="2607"/>
      <c r="S7" s="2608"/>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207"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c r="A12" s="2143"/>
      <c r="B12" s="2143"/>
      <c r="C12" s="1434" t="s">
        <v>298</v>
      </c>
      <c r="D12" s="2766">
        <f>D15+D21+D27+D37+D43+D49+D55+D61+D67</f>
        <v>3194070.8256800002</v>
      </c>
      <c r="E12" s="1484">
        <f>E15+E21+E27+E37+E43+E49+E55+E61+E67</f>
        <v>3192913.8957600007</v>
      </c>
      <c r="F12" s="1638">
        <f>D12+E12</f>
        <v>6386984.7214400005</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2244"/>
      <c r="AA14" s="1456"/>
    </row>
    <row r="15" spans="1:27">
      <c r="B15" s="1433" t="s">
        <v>296</v>
      </c>
      <c r="C15" s="1597" t="s">
        <v>43</v>
      </c>
      <c r="D15" s="2771">
        <f>SUM(D16:D19)</f>
        <v>79757.040000000008</v>
      </c>
      <c r="E15" s="1464">
        <f>SUM(E16:E19)</f>
        <v>81751.12</v>
      </c>
      <c r="F15" s="1638">
        <f>D15+E15</f>
        <v>161508.16</v>
      </c>
      <c r="H15" s="1475" t="s">
        <v>308</v>
      </c>
      <c r="I15" s="1476"/>
      <c r="J15" s="1476"/>
      <c r="K15" s="1477"/>
      <c r="L15" s="1478">
        <f>SUMPRODUCT(L16:L179,S16:S179)</f>
        <v>0</v>
      </c>
      <c r="M15" s="1478">
        <f>SUM(M16:M179)</f>
        <v>11518.222000000002</v>
      </c>
      <c r="N15" s="1479" t="s">
        <v>229</v>
      </c>
      <c r="O15" s="1477">
        <v>10</v>
      </c>
      <c r="P15" s="1477"/>
      <c r="Q15" s="1477"/>
      <c r="R15" s="1477"/>
      <c r="S15" s="1477"/>
      <c r="T15" s="2983"/>
      <c r="U15" s="1480">
        <f>SUM(U16:U360)</f>
        <v>10042948.552057886</v>
      </c>
      <c r="V15" s="1480">
        <f t="shared" ref="V15:Y15" si="0">SUM(V16:V179)</f>
        <v>0</v>
      </c>
      <c r="W15" s="3002">
        <v>2342693.7400000002</v>
      </c>
      <c r="X15" s="1478">
        <f>SUM(X16:X360)</f>
        <v>2327991.6100000008</v>
      </c>
      <c r="Y15" s="2459">
        <f t="shared" si="0"/>
        <v>0</v>
      </c>
      <c r="Z15" s="1481">
        <v>0</v>
      </c>
      <c r="AA15" s="1456"/>
    </row>
    <row r="16" spans="1:27">
      <c r="B16" s="1982">
        <v>0.8</v>
      </c>
      <c r="C16" s="1667" t="s">
        <v>735</v>
      </c>
      <c r="D16" s="2772">
        <v>72506.400000000009</v>
      </c>
      <c r="E16" s="1669">
        <v>74319.199999999997</v>
      </c>
      <c r="F16" s="1426">
        <f>SUM(D16:E16)</f>
        <v>146825.60000000001</v>
      </c>
      <c r="H16" s="2224" t="s">
        <v>1256</v>
      </c>
      <c r="I16" s="2229">
        <v>398</v>
      </c>
      <c r="J16" s="1470" t="s">
        <v>110</v>
      </c>
      <c r="K16" s="1460" t="s">
        <v>845</v>
      </c>
      <c r="L16" s="1467">
        <v>165</v>
      </c>
      <c r="M16" s="1467">
        <v>165</v>
      </c>
      <c r="N16" s="1461">
        <v>3.299462013376208E-2</v>
      </c>
      <c r="O16" s="1460">
        <v>12</v>
      </c>
      <c r="P16" s="1463" t="s">
        <v>996</v>
      </c>
      <c r="Q16" s="1466"/>
      <c r="R16" s="1466">
        <v>1250</v>
      </c>
      <c r="S16" s="1469"/>
      <c r="T16" s="2991"/>
      <c r="U16" s="1469">
        <f t="shared" ref="U16:U47" si="1">I16*R16</f>
        <v>497500</v>
      </c>
      <c r="V16" s="1469"/>
      <c r="W16" s="2993"/>
      <c r="X16" s="1459">
        <f t="shared" ref="X16:X47" si="2">M16*R16</f>
        <v>206250</v>
      </c>
      <c r="Y16" s="1459"/>
      <c r="Z16" s="1482"/>
      <c r="AA16" s="1456"/>
    </row>
    <row r="17" spans="2:27">
      <c r="B17" s="1982">
        <v>0.08</v>
      </c>
      <c r="C17" s="1667" t="s">
        <v>734</v>
      </c>
      <c r="D17" s="2784">
        <v>7250.64</v>
      </c>
      <c r="E17" s="1668">
        <v>7431.92</v>
      </c>
      <c r="F17" s="1661">
        <f t="shared" ref="F17:F30" si="3">SUM(D17:E17)</f>
        <v>14682.560000000001</v>
      </c>
      <c r="H17" s="2224" t="s">
        <v>1257</v>
      </c>
      <c r="I17" s="2229">
        <v>118</v>
      </c>
      <c r="J17" s="1470" t="s">
        <v>110</v>
      </c>
      <c r="K17" s="1460" t="s">
        <v>845</v>
      </c>
      <c r="L17" s="1467">
        <v>40</v>
      </c>
      <c r="M17" s="1467">
        <v>40</v>
      </c>
      <c r="N17" s="1461">
        <v>1.0990294332325068E-2</v>
      </c>
      <c r="O17" s="1460">
        <v>4</v>
      </c>
      <c r="P17" s="1463" t="s">
        <v>996</v>
      </c>
      <c r="Q17" s="1466"/>
      <c r="R17" s="1466">
        <v>1750</v>
      </c>
      <c r="S17" s="1469"/>
      <c r="T17" s="2991"/>
      <c r="U17" s="1469">
        <f t="shared" si="1"/>
        <v>206500</v>
      </c>
      <c r="V17" s="1469"/>
      <c r="W17" s="2993"/>
      <c r="X17" s="1459">
        <f t="shared" si="2"/>
        <v>70000</v>
      </c>
      <c r="Y17" s="1459"/>
      <c r="Z17" s="1482"/>
      <c r="AA17" s="1456"/>
    </row>
    <row r="18" spans="2:27">
      <c r="B18" s="1982"/>
      <c r="C18" s="1667"/>
      <c r="D18" s="2784"/>
      <c r="E18" s="1668"/>
      <c r="F18" s="1661">
        <f t="shared" si="3"/>
        <v>0</v>
      </c>
      <c r="H18" s="2224" t="s">
        <v>1258</v>
      </c>
      <c r="I18" s="2229">
        <v>300</v>
      </c>
      <c r="J18" s="1470" t="s">
        <v>110</v>
      </c>
      <c r="K18" s="1460" t="s">
        <v>845</v>
      </c>
      <c r="L18" s="1467">
        <v>65</v>
      </c>
      <c r="M18" s="1467">
        <v>65</v>
      </c>
      <c r="N18" s="1461">
        <v>2.1363423108191278E-2</v>
      </c>
      <c r="O18" s="1460">
        <v>5</v>
      </c>
      <c r="P18" s="1463" t="s">
        <v>996</v>
      </c>
      <c r="Q18" s="1466"/>
      <c r="R18" s="1466">
        <v>0</v>
      </c>
      <c r="S18" s="1469"/>
      <c r="T18" s="2991"/>
      <c r="U18" s="1469">
        <f t="shared" si="1"/>
        <v>0</v>
      </c>
      <c r="V18" s="1469"/>
      <c r="W18" s="2993"/>
      <c r="X18" s="1459">
        <f t="shared" si="2"/>
        <v>0</v>
      </c>
      <c r="Y18" s="1459"/>
      <c r="Z18" s="1482"/>
      <c r="AA18" s="1456"/>
    </row>
    <row r="19" spans="2:27">
      <c r="B19" s="1982"/>
      <c r="C19" s="1667"/>
      <c r="D19" s="2786"/>
      <c r="E19" s="1446"/>
      <c r="F19" s="1661">
        <f t="shared" si="3"/>
        <v>0</v>
      </c>
      <c r="H19" s="2224" t="s">
        <v>1259</v>
      </c>
      <c r="I19" s="2229">
        <v>46</v>
      </c>
      <c r="J19" s="1470" t="s">
        <v>110</v>
      </c>
      <c r="K19" s="1460" t="s">
        <v>845</v>
      </c>
      <c r="L19" s="1467">
        <v>82</v>
      </c>
      <c r="M19" s="1467">
        <v>82</v>
      </c>
      <c r="N19" s="1461">
        <v>5.363453531268928E-3</v>
      </c>
      <c r="O19" s="1460">
        <v>10</v>
      </c>
      <c r="P19" s="1463" t="s">
        <v>996</v>
      </c>
      <c r="Q19" s="1466"/>
      <c r="R19" s="1466">
        <v>1256</v>
      </c>
      <c r="S19" s="1469"/>
      <c r="T19" s="2991"/>
      <c r="U19" s="1469">
        <f t="shared" si="1"/>
        <v>57776</v>
      </c>
      <c r="V19" s="1469"/>
      <c r="W19" s="2993"/>
      <c r="X19" s="1459">
        <f t="shared" si="2"/>
        <v>102992</v>
      </c>
      <c r="Y19" s="1459"/>
      <c r="Z19" s="1482"/>
      <c r="AA19" s="1456"/>
    </row>
    <row r="20" spans="2:27">
      <c r="B20" s="1449">
        <f>SUM(B16:B19)</f>
        <v>0.88</v>
      </c>
      <c r="C20" s="1488"/>
      <c r="D20" s="2770"/>
      <c r="E20" s="1490"/>
      <c r="F20" s="1492"/>
      <c r="H20" s="2224" t="s">
        <v>1260</v>
      </c>
      <c r="I20" s="2229">
        <v>116</v>
      </c>
      <c r="J20" s="1470" t="s">
        <v>110</v>
      </c>
      <c r="K20" s="1460" t="s">
        <v>845</v>
      </c>
      <c r="L20" s="1467">
        <v>82</v>
      </c>
      <c r="M20" s="1467">
        <v>82</v>
      </c>
      <c r="N20" s="1461">
        <v>2.7535078672779868E-4</v>
      </c>
      <c r="O20" s="1460">
        <v>10</v>
      </c>
      <c r="P20" s="1463" t="s">
        <v>996</v>
      </c>
      <c r="Q20" s="1466"/>
      <c r="R20" s="1466">
        <v>25</v>
      </c>
      <c r="S20" s="1469"/>
      <c r="T20" s="2991"/>
      <c r="U20" s="1469">
        <f t="shared" si="1"/>
        <v>2900</v>
      </c>
      <c r="V20" s="1469"/>
      <c r="W20" s="2993"/>
      <c r="X20" s="1459">
        <f t="shared" si="2"/>
        <v>2050</v>
      </c>
      <c r="Y20" s="1459"/>
      <c r="Z20" s="1482"/>
      <c r="AA20" s="1456"/>
    </row>
    <row r="21" spans="2:27">
      <c r="B21" s="1433" t="s">
        <v>296</v>
      </c>
      <c r="C21" s="1597" t="s">
        <v>44</v>
      </c>
      <c r="D21" s="2771">
        <f>SUM(D22:D25)</f>
        <v>4800</v>
      </c>
      <c r="E21" s="1464">
        <f>SUM(E22:E25)</f>
        <v>4920</v>
      </c>
      <c r="F21" s="1638">
        <f>D21+E21</f>
        <v>9720</v>
      </c>
      <c r="H21" s="2224" t="s">
        <v>1261</v>
      </c>
      <c r="I21" s="2229">
        <v>162</v>
      </c>
      <c r="J21" s="1470" t="s">
        <v>110</v>
      </c>
      <c r="K21" s="1460" t="s">
        <v>845</v>
      </c>
      <c r="L21" s="1467">
        <v>82</v>
      </c>
      <c r="M21" s="1467">
        <v>82</v>
      </c>
      <c r="N21" s="1461">
        <v>3.8454161594744297E-4</v>
      </c>
      <c r="O21" s="1460">
        <v>10</v>
      </c>
      <c r="P21" s="1463" t="s">
        <v>996</v>
      </c>
      <c r="Q21" s="1466"/>
      <c r="R21" s="1466">
        <v>25</v>
      </c>
      <c r="S21" s="1469"/>
      <c r="T21" s="2991"/>
      <c r="U21" s="1469">
        <f t="shared" si="1"/>
        <v>4050</v>
      </c>
      <c r="V21" s="1469"/>
      <c r="W21" s="2993"/>
      <c r="X21" s="1459">
        <f t="shared" si="2"/>
        <v>2050</v>
      </c>
      <c r="Y21" s="1459"/>
      <c r="Z21" s="1482"/>
      <c r="AA21" s="1456"/>
    </row>
    <row r="22" spans="2:27">
      <c r="B22" s="1982">
        <f>(SUM(D22:E22)/2)/((80000+(80000*1.025))/2)</f>
        <v>0.06</v>
      </c>
      <c r="C22" s="1667" t="s">
        <v>734</v>
      </c>
      <c r="D22" s="2772">
        <v>4800</v>
      </c>
      <c r="E22" s="1669">
        <v>4920</v>
      </c>
      <c r="F22" s="1426">
        <f t="shared" si="3"/>
        <v>9720</v>
      </c>
      <c r="H22" s="2224" t="s">
        <v>1262</v>
      </c>
      <c r="I22" s="2229">
        <v>301</v>
      </c>
      <c r="J22" s="1470" t="s">
        <v>110</v>
      </c>
      <c r="K22" s="1460" t="s">
        <v>845</v>
      </c>
      <c r="L22" s="1467">
        <v>82</v>
      </c>
      <c r="M22" s="1467">
        <v>82</v>
      </c>
      <c r="N22" s="1461">
        <v>7.1567467412440779E-4</v>
      </c>
      <c r="O22" s="1460">
        <v>10</v>
      </c>
      <c r="P22" s="1463" t="s">
        <v>996</v>
      </c>
      <c r="Q22" s="1466"/>
      <c r="R22" s="1466">
        <v>25</v>
      </c>
      <c r="S22" s="1469"/>
      <c r="T22" s="2991"/>
      <c r="U22" s="1469">
        <f t="shared" si="1"/>
        <v>7525</v>
      </c>
      <c r="V22" s="1469"/>
      <c r="W22" s="2993"/>
      <c r="X22" s="1459">
        <f t="shared" si="2"/>
        <v>2050</v>
      </c>
      <c r="Y22" s="1459"/>
      <c r="Z22" s="1482"/>
      <c r="AA22" s="1456"/>
    </row>
    <row r="23" spans="2:27">
      <c r="B23" s="1982"/>
      <c r="C23" s="1667"/>
      <c r="D23" s="2773"/>
      <c r="E23" s="1444"/>
      <c r="F23" s="1661">
        <f t="shared" si="3"/>
        <v>0</v>
      </c>
      <c r="H23" s="2224" t="s">
        <v>1263</v>
      </c>
      <c r="I23" s="2229">
        <v>463</v>
      </c>
      <c r="J23" s="1470" t="s">
        <v>110</v>
      </c>
      <c r="K23" s="1460" t="s">
        <v>845</v>
      </c>
      <c r="L23" s="1467">
        <v>82</v>
      </c>
      <c r="M23" s="1467">
        <v>82</v>
      </c>
      <c r="N23" s="1461">
        <v>2.2004325801437017E-3</v>
      </c>
      <c r="O23" s="1460">
        <v>10</v>
      </c>
      <c r="P23" s="1463" t="s">
        <v>996</v>
      </c>
      <c r="Q23" s="1466"/>
      <c r="R23" s="1466">
        <v>50</v>
      </c>
      <c r="S23" s="1469"/>
      <c r="T23" s="2991"/>
      <c r="U23" s="1469">
        <f t="shared" si="1"/>
        <v>23150</v>
      </c>
      <c r="V23" s="1469"/>
      <c r="W23" s="2993"/>
      <c r="X23" s="1459">
        <f t="shared" si="2"/>
        <v>4100</v>
      </c>
      <c r="Y23" s="1459"/>
      <c r="Z23" s="1482"/>
      <c r="AA23" s="1456"/>
    </row>
    <row r="24" spans="2:27">
      <c r="B24" s="1982"/>
      <c r="C24" s="1667"/>
      <c r="D24" s="2774"/>
      <c r="E24" s="1443"/>
      <c r="F24" s="1661">
        <f t="shared" si="3"/>
        <v>0</v>
      </c>
      <c r="H24" s="2224" t="s">
        <v>1264</v>
      </c>
      <c r="I24" s="2229">
        <v>153.30000000000001</v>
      </c>
      <c r="J24" s="1470" t="s">
        <v>110</v>
      </c>
      <c r="K24" s="1460" t="s">
        <v>845</v>
      </c>
      <c r="L24" s="1467">
        <v>60</v>
      </c>
      <c r="M24" s="1467">
        <v>60</v>
      </c>
      <c r="N24" s="1461">
        <v>1.4555612277714323E-2</v>
      </c>
      <c r="O24" s="1460">
        <v>10</v>
      </c>
      <c r="P24" s="1463" t="s">
        <v>996</v>
      </c>
      <c r="Q24" s="1466"/>
      <c r="R24" s="1466">
        <v>1000</v>
      </c>
      <c r="S24" s="1469"/>
      <c r="T24" s="2991"/>
      <c r="U24" s="1469">
        <f t="shared" si="1"/>
        <v>153300</v>
      </c>
      <c r="V24" s="1469"/>
      <c r="W24" s="2993"/>
      <c r="X24" s="1459">
        <f t="shared" si="2"/>
        <v>60000</v>
      </c>
      <c r="Y24" s="1459"/>
      <c r="Z24" s="1482"/>
      <c r="AA24" s="1456"/>
    </row>
    <row r="25" spans="2:27">
      <c r="B25" s="1982"/>
      <c r="C25" s="1667"/>
      <c r="D25" s="2775"/>
      <c r="E25" s="1444"/>
      <c r="F25" s="1661">
        <f t="shared" si="3"/>
        <v>0</v>
      </c>
      <c r="H25" s="2224" t="s">
        <v>1591</v>
      </c>
      <c r="I25" s="2229">
        <v>33</v>
      </c>
      <c r="J25" s="1470" t="s">
        <v>110</v>
      </c>
      <c r="K25" s="1460" t="s">
        <v>845</v>
      </c>
      <c r="L25" s="1467">
        <v>52.23</v>
      </c>
      <c r="M25" s="1467">
        <v>8.25</v>
      </c>
      <c r="N25" s="1461">
        <v>5.2696443666871821E-4</v>
      </c>
      <c r="O25" s="1460">
        <v>12</v>
      </c>
      <c r="P25" s="1463" t="s">
        <v>996</v>
      </c>
      <c r="Q25" s="1466"/>
      <c r="R25" s="1466">
        <v>150</v>
      </c>
      <c r="S25" s="1469"/>
      <c r="T25" s="2991"/>
      <c r="U25" s="1469">
        <f t="shared" si="1"/>
        <v>4950</v>
      </c>
      <c r="V25" s="1469"/>
      <c r="W25" s="2993"/>
      <c r="X25" s="1459">
        <f t="shared" si="2"/>
        <v>1237.5</v>
      </c>
      <c r="Y25" s="1459"/>
      <c r="Z25" s="1482"/>
      <c r="AA25" s="1456"/>
    </row>
    <row r="26" spans="2:27">
      <c r="B26" s="1449">
        <f>SUM(B22:B25)</f>
        <v>0.06</v>
      </c>
      <c r="C26" s="1424"/>
      <c r="D26" s="2776"/>
      <c r="E26" s="1431"/>
      <c r="F26" s="1439"/>
      <c r="H26" s="2224" t="s">
        <v>1592</v>
      </c>
      <c r="I26" s="2229">
        <v>56</v>
      </c>
      <c r="J26" s="1470" t="s">
        <v>110</v>
      </c>
      <c r="K26" s="1460" t="s">
        <v>845</v>
      </c>
      <c r="L26" s="1467">
        <v>53.28</v>
      </c>
      <c r="M26" s="1467">
        <v>14</v>
      </c>
      <c r="N26" s="1461">
        <v>8.9726377054403367E-4</v>
      </c>
      <c r="O26" s="1460">
        <v>12</v>
      </c>
      <c r="P26" s="1463" t="s">
        <v>996</v>
      </c>
      <c r="Q26" s="1466"/>
      <c r="R26" s="1466">
        <v>150</v>
      </c>
      <c r="S26" s="1469"/>
      <c r="T26" s="2991"/>
      <c r="U26" s="1469">
        <f t="shared" si="1"/>
        <v>8400</v>
      </c>
      <c r="V26" s="1469"/>
      <c r="W26" s="2993"/>
      <c r="X26" s="1459">
        <f t="shared" si="2"/>
        <v>2100</v>
      </c>
      <c r="Y26" s="1459"/>
      <c r="Z26" s="1482"/>
      <c r="AA26" s="1456"/>
    </row>
    <row r="27" spans="2:27">
      <c r="C27" s="1597" t="s">
        <v>1737</v>
      </c>
      <c r="D27" s="2771">
        <f>SUM(D29:D35)</f>
        <v>56399.54568000001</v>
      </c>
      <c r="E27" s="1657">
        <f>SUM(E29:E31)+SUM(E33:E35)</f>
        <v>77830.665759999989</v>
      </c>
      <c r="F27" s="1638">
        <f>D27+E27</f>
        <v>134230.21143999998</v>
      </c>
      <c r="H27" s="2224" t="s">
        <v>1593</v>
      </c>
      <c r="I27" s="2229">
        <v>53</v>
      </c>
      <c r="J27" s="1470" t="s">
        <v>110</v>
      </c>
      <c r="K27" s="1460" t="s">
        <v>845</v>
      </c>
      <c r="L27" s="1467">
        <v>54.75</v>
      </c>
      <c r="M27" s="1467">
        <v>13.25</v>
      </c>
      <c r="N27" s="1461">
        <v>8.4741578329158732E-4</v>
      </c>
      <c r="O27" s="1460">
        <v>12</v>
      </c>
      <c r="P27" s="1463" t="s">
        <v>996</v>
      </c>
      <c r="Q27" s="1466"/>
      <c r="R27" s="1466">
        <v>150</v>
      </c>
      <c r="S27" s="1469"/>
      <c r="T27" s="2991"/>
      <c r="U27" s="1469">
        <f t="shared" si="1"/>
        <v>7950</v>
      </c>
      <c r="V27" s="1469"/>
      <c r="W27" s="2993"/>
      <c r="X27" s="1459">
        <f t="shared" si="2"/>
        <v>1987.5</v>
      </c>
      <c r="Y27" s="1459"/>
      <c r="Z27" s="1482"/>
      <c r="AA27" s="1456"/>
    </row>
    <row r="28" spans="2:27">
      <c r="C28" s="1450" t="s">
        <v>1733</v>
      </c>
      <c r="D28" s="2777">
        <v>0.66700000000000004</v>
      </c>
      <c r="E28" s="1452">
        <v>0.68799999999999994</v>
      </c>
      <c r="F28" s="1485"/>
      <c r="H28" s="2224" t="s">
        <v>1594</v>
      </c>
      <c r="I28" s="2229">
        <v>337</v>
      </c>
      <c r="J28" s="1470" t="s">
        <v>110</v>
      </c>
      <c r="K28" s="1460" t="s">
        <v>845</v>
      </c>
      <c r="L28" s="1467">
        <v>57.23</v>
      </c>
      <c r="M28" s="1467">
        <v>40.060999999999993</v>
      </c>
      <c r="N28" s="1461">
        <v>3.598549936890886E-3</v>
      </c>
      <c r="O28" s="1460">
        <v>12</v>
      </c>
      <c r="P28" s="1463" t="s">
        <v>996</v>
      </c>
      <c r="Q28" s="1466"/>
      <c r="R28" s="1466">
        <v>100</v>
      </c>
      <c r="S28" s="1469"/>
      <c r="T28" s="2991"/>
      <c r="U28" s="1469">
        <f t="shared" si="1"/>
        <v>33700</v>
      </c>
      <c r="V28" s="1469"/>
      <c r="W28" s="2993"/>
      <c r="X28" s="1459">
        <f t="shared" si="2"/>
        <v>4006.0999999999995</v>
      </c>
      <c r="Y28" s="1459"/>
      <c r="Z28" s="1482"/>
      <c r="AA28" s="1456"/>
    </row>
    <row r="29" spans="2:27">
      <c r="C29" s="1667" t="s">
        <v>719</v>
      </c>
      <c r="D29" s="2778">
        <f>D15*D28</f>
        <v>53197.945680000012</v>
      </c>
      <c r="E29" s="1641">
        <f>E15*E28</f>
        <v>56244.77055999999</v>
      </c>
      <c r="F29" s="1661">
        <f t="shared" si="3"/>
        <v>109442.71624000001</v>
      </c>
      <c r="H29" s="2224" t="s">
        <v>1269</v>
      </c>
      <c r="I29" s="2229">
        <v>34</v>
      </c>
      <c r="J29" s="1470" t="s">
        <v>110</v>
      </c>
      <c r="K29" s="1460" t="s">
        <v>845</v>
      </c>
      <c r="L29" s="1467">
        <v>53.29</v>
      </c>
      <c r="M29" s="1467">
        <v>8.5</v>
      </c>
      <c r="N29" s="1461">
        <v>3.228250603015571E-4</v>
      </c>
      <c r="O29" s="1460">
        <v>12</v>
      </c>
      <c r="P29" s="1463" t="s">
        <v>996</v>
      </c>
      <c r="Q29" s="1466"/>
      <c r="R29" s="1466">
        <v>0</v>
      </c>
      <c r="S29" s="1469"/>
      <c r="T29" s="2991"/>
      <c r="U29" s="1469">
        <f t="shared" si="1"/>
        <v>0</v>
      </c>
      <c r="V29" s="1469"/>
      <c r="W29" s="2993"/>
      <c r="X29" s="1459">
        <f t="shared" si="2"/>
        <v>0</v>
      </c>
      <c r="Y29" s="1459"/>
      <c r="Z29" s="1482"/>
      <c r="AA29" s="1456"/>
    </row>
    <row r="30" spans="2:27">
      <c r="C30" s="1667" t="s">
        <v>720</v>
      </c>
      <c r="D30" s="2785">
        <f>D21*D28</f>
        <v>3201.6000000000004</v>
      </c>
      <c r="E30" s="1641">
        <f>E21*E28</f>
        <v>3384.9599999999996</v>
      </c>
      <c r="F30" s="1661">
        <f t="shared" si="3"/>
        <v>6586.5599999999995</v>
      </c>
      <c r="H30" s="2224" t="s">
        <v>1595</v>
      </c>
      <c r="I30" s="2229">
        <v>109</v>
      </c>
      <c r="J30" s="1470" t="s">
        <v>110</v>
      </c>
      <c r="K30" s="1460" t="s">
        <v>845</v>
      </c>
      <c r="L30" s="1467">
        <v>57.23</v>
      </c>
      <c r="M30" s="1467">
        <v>27.25</v>
      </c>
      <c r="N30" s="1461">
        <v>8.7233977691781039E-3</v>
      </c>
      <c r="O30" s="1460">
        <v>12</v>
      </c>
      <c r="P30" s="1463" t="s">
        <v>996</v>
      </c>
      <c r="Q30" s="1466"/>
      <c r="R30" s="1466">
        <v>750</v>
      </c>
      <c r="S30" s="1469"/>
      <c r="T30" s="2991"/>
      <c r="U30" s="1469">
        <f t="shared" si="1"/>
        <v>81750</v>
      </c>
      <c r="V30" s="1469"/>
      <c r="W30" s="2993"/>
      <c r="X30" s="1459">
        <f t="shared" si="2"/>
        <v>20437.5</v>
      </c>
      <c r="Y30" s="1459"/>
      <c r="Z30" s="1482"/>
      <c r="AA30" s="1456"/>
    </row>
    <row r="31" spans="2:27">
      <c r="C31" s="1667"/>
      <c r="D31" s="2774"/>
      <c r="E31" s="1443"/>
      <c r="F31" s="1436"/>
      <c r="H31" s="2224" t="s">
        <v>1596</v>
      </c>
      <c r="I31" s="2229">
        <v>264</v>
      </c>
      <c r="J31" s="1470" t="s">
        <v>110</v>
      </c>
      <c r="K31" s="1460" t="s">
        <v>845</v>
      </c>
      <c r="L31" s="1467">
        <v>73.89</v>
      </c>
      <c r="M31" s="1467">
        <v>66</v>
      </c>
      <c r="N31" s="1461">
        <v>9.3999061676041621E-4</v>
      </c>
      <c r="O31" s="1460">
        <v>12</v>
      </c>
      <c r="P31" s="1463" t="s">
        <v>996</v>
      </c>
      <c r="Q31" s="1466"/>
      <c r="R31" s="1466">
        <v>0</v>
      </c>
      <c r="S31" s="1469"/>
      <c r="T31" s="2991"/>
      <c r="U31" s="1469">
        <f t="shared" si="1"/>
        <v>0</v>
      </c>
      <c r="V31" s="1469"/>
      <c r="W31" s="2993"/>
      <c r="X31" s="1459">
        <f t="shared" si="2"/>
        <v>0</v>
      </c>
      <c r="Y31" s="1459"/>
      <c r="Z31" s="1482"/>
      <c r="AA31" s="1456"/>
    </row>
    <row r="32" spans="2:27">
      <c r="C32" s="1450" t="s">
        <v>1734</v>
      </c>
      <c r="D32" s="2777"/>
      <c r="E32" s="1452">
        <v>0.21</v>
      </c>
      <c r="F32" s="1485"/>
      <c r="H32" s="2224" t="s">
        <v>1597</v>
      </c>
      <c r="I32" s="2229">
        <v>190</v>
      </c>
      <c r="J32" s="1470" t="s">
        <v>110</v>
      </c>
      <c r="K32" s="1460" t="s">
        <v>845</v>
      </c>
      <c r="L32" s="1467">
        <v>73.89</v>
      </c>
      <c r="M32" s="1467">
        <v>47.5</v>
      </c>
      <c r="N32" s="1461">
        <v>6.7650839842605716E-4</v>
      </c>
      <c r="O32" s="1460">
        <v>12</v>
      </c>
      <c r="P32" s="1463" t="s">
        <v>996</v>
      </c>
      <c r="Q32" s="1466"/>
      <c r="R32" s="1466">
        <v>0</v>
      </c>
      <c r="S32" s="1469"/>
      <c r="T32" s="2991"/>
      <c r="U32" s="1469">
        <f t="shared" si="1"/>
        <v>0</v>
      </c>
      <c r="V32" s="1469"/>
      <c r="W32" s="2993"/>
      <c r="X32" s="1459">
        <f t="shared" si="2"/>
        <v>0</v>
      </c>
      <c r="Y32" s="1459"/>
      <c r="Z32" s="1482"/>
      <c r="AA32" s="1456"/>
    </row>
    <row r="33" spans="1:27">
      <c r="C33" s="1667" t="s">
        <v>719</v>
      </c>
      <c r="D33" s="2778"/>
      <c r="E33" s="1641">
        <f>E15*E32</f>
        <v>17167.735199999999</v>
      </c>
      <c r="F33" s="1661">
        <f>SUM(D33:E33)</f>
        <v>17167.735199999999</v>
      </c>
      <c r="H33" s="2224" t="s">
        <v>1598</v>
      </c>
      <c r="I33" s="2229">
        <v>505</v>
      </c>
      <c r="J33" s="1470" t="s">
        <v>110</v>
      </c>
      <c r="K33" s="1460" t="s">
        <v>845</v>
      </c>
      <c r="L33" s="1467">
        <v>61.25</v>
      </c>
      <c r="M33" s="1467">
        <v>42.875</v>
      </c>
      <c r="N33" s="1461">
        <v>6.7472811316704115E-2</v>
      </c>
      <c r="O33" s="1460">
        <v>12</v>
      </c>
      <c r="P33" s="1463" t="s">
        <v>996</v>
      </c>
      <c r="Q33" s="1466"/>
      <c r="R33" s="1466">
        <v>1250</v>
      </c>
      <c r="S33" s="1469"/>
      <c r="T33" s="2991"/>
      <c r="U33" s="1469">
        <f t="shared" si="1"/>
        <v>631250</v>
      </c>
      <c r="V33" s="1469"/>
      <c r="W33" s="2993"/>
      <c r="X33" s="1459">
        <f t="shared" si="2"/>
        <v>53593.75</v>
      </c>
      <c r="Y33" s="1459"/>
      <c r="Z33" s="1482"/>
      <c r="AA33" s="1456"/>
    </row>
    <row r="34" spans="1:27" ht="25.5">
      <c r="A34" s="2143" t="s">
        <v>530</v>
      </c>
      <c r="C34" s="1667" t="s">
        <v>720</v>
      </c>
      <c r="D34" s="2785"/>
      <c r="E34" s="1641">
        <f>E21*E32</f>
        <v>1033.2</v>
      </c>
      <c r="F34" s="1661">
        <f t="shared" ref="F34" si="4">SUM(D34:E34)</f>
        <v>1033.2</v>
      </c>
      <c r="H34" s="2224" t="s">
        <v>1599</v>
      </c>
      <c r="I34" s="2229">
        <v>421</v>
      </c>
      <c r="J34" s="1470" t="s">
        <v>110</v>
      </c>
      <c r="K34" s="1460" t="s">
        <v>845</v>
      </c>
      <c r="L34" s="1467">
        <v>97.97</v>
      </c>
      <c r="M34" s="1467">
        <v>68.578999999999994</v>
      </c>
      <c r="N34" s="1461">
        <v>4.9966672936380704E-4</v>
      </c>
      <c r="O34" s="1460">
        <v>12</v>
      </c>
      <c r="P34" s="1463" t="s">
        <v>996</v>
      </c>
      <c r="Q34" s="1466"/>
      <c r="R34" s="1466">
        <v>0</v>
      </c>
      <c r="S34" s="1469"/>
      <c r="T34" s="2991"/>
      <c r="U34" s="1469">
        <f t="shared" si="1"/>
        <v>0</v>
      </c>
      <c r="V34" s="1469"/>
      <c r="W34" s="2993"/>
      <c r="X34" s="1459">
        <f t="shared" si="2"/>
        <v>0</v>
      </c>
      <c r="Y34" s="1459"/>
      <c r="Z34" s="1482"/>
      <c r="AA34" s="1456"/>
    </row>
    <row r="35" spans="1:27">
      <c r="A35" s="2143" t="s">
        <v>262</v>
      </c>
      <c r="C35" s="1445"/>
      <c r="D35" s="2775"/>
      <c r="E35" s="1444"/>
      <c r="F35" s="1437"/>
      <c r="H35" s="2224" t="s">
        <v>1600</v>
      </c>
      <c r="I35" s="2229">
        <v>281</v>
      </c>
      <c r="J35" s="1470" t="s">
        <v>110</v>
      </c>
      <c r="K35" s="1460" t="s">
        <v>845</v>
      </c>
      <c r="L35" s="1467">
        <v>97.97</v>
      </c>
      <c r="M35" s="1467">
        <v>70.25</v>
      </c>
      <c r="N35" s="1461">
        <v>3.335067718556527E-4</v>
      </c>
      <c r="O35" s="1460">
        <v>12</v>
      </c>
      <c r="P35" s="1463" t="s">
        <v>996</v>
      </c>
      <c r="Q35" s="1466"/>
      <c r="R35" s="1466">
        <v>0</v>
      </c>
      <c r="S35" s="1469"/>
      <c r="T35" s="2991"/>
      <c r="U35" s="1469">
        <f t="shared" si="1"/>
        <v>0</v>
      </c>
      <c r="V35" s="1469"/>
      <c r="W35" s="2993"/>
      <c r="X35" s="1459">
        <f t="shared" si="2"/>
        <v>0</v>
      </c>
      <c r="Y35" s="1459"/>
      <c r="Z35" s="1482"/>
      <c r="AA35" s="1456"/>
    </row>
    <row r="36" spans="1:27">
      <c r="A36" s="2143" t="s">
        <v>5</v>
      </c>
      <c r="C36" s="1488"/>
      <c r="D36" s="2779"/>
      <c r="E36" s="1490"/>
      <c r="F36" s="1493"/>
      <c r="H36" s="2224" t="s">
        <v>1601</v>
      </c>
      <c r="I36" s="2229">
        <v>356</v>
      </c>
      <c r="J36" s="1470" t="s">
        <v>110</v>
      </c>
      <c r="K36" s="1460" t="s">
        <v>845</v>
      </c>
      <c r="L36" s="1467">
        <v>88.83</v>
      </c>
      <c r="M36" s="1467">
        <v>62.180999999999997</v>
      </c>
      <c r="N36" s="1461">
        <v>9.5185918515385583E-3</v>
      </c>
      <c r="O36" s="1460">
        <v>12</v>
      </c>
      <c r="P36" s="1463" t="s">
        <v>996</v>
      </c>
      <c r="Q36" s="1466"/>
      <c r="R36" s="1466">
        <v>250</v>
      </c>
      <c r="S36" s="1469"/>
      <c r="T36" s="2991"/>
      <c r="U36" s="1469">
        <f t="shared" si="1"/>
        <v>89000</v>
      </c>
      <c r="V36" s="1469"/>
      <c r="W36" s="2993"/>
      <c r="X36" s="1459">
        <f t="shared" si="2"/>
        <v>15545.25</v>
      </c>
      <c r="Y36" s="1459"/>
      <c r="Z36" s="1482"/>
      <c r="AA36" s="1456"/>
    </row>
    <row r="37" spans="1:27">
      <c r="A37" s="2143">
        <v>18231134</v>
      </c>
      <c r="C37" s="1597" t="s">
        <v>46</v>
      </c>
      <c r="D37" s="2771">
        <f>SUM(D38:D41)</f>
        <v>40000</v>
      </c>
      <c r="E37" s="1464">
        <f>SUM(E38:E41)</f>
        <v>30000</v>
      </c>
      <c r="F37" s="1638">
        <f>D37+E37</f>
        <v>70000</v>
      </c>
      <c r="H37" s="2224" t="s">
        <v>1275</v>
      </c>
      <c r="I37" s="2229">
        <v>463</v>
      </c>
      <c r="J37" s="1470" t="s">
        <v>110</v>
      </c>
      <c r="K37" s="1460" t="s">
        <v>845</v>
      </c>
      <c r="L37" s="1467">
        <v>92.26</v>
      </c>
      <c r="M37" s="1467">
        <v>64.581999999999994</v>
      </c>
      <c r="N37" s="1461">
        <v>1.0990294332325068E-3</v>
      </c>
      <c r="O37" s="1460">
        <v>12</v>
      </c>
      <c r="P37" s="1463" t="s">
        <v>996</v>
      </c>
      <c r="Q37" s="1466"/>
      <c r="R37" s="1466">
        <v>25</v>
      </c>
      <c r="S37" s="1469"/>
      <c r="T37" s="2991"/>
      <c r="U37" s="1469">
        <f t="shared" si="1"/>
        <v>11575</v>
      </c>
      <c r="V37" s="1469"/>
      <c r="W37" s="2993"/>
      <c r="X37" s="1459">
        <f t="shared" si="2"/>
        <v>1614.5499999999997</v>
      </c>
      <c r="Y37" s="1459"/>
      <c r="Z37" s="1482"/>
      <c r="AA37" s="1456"/>
    </row>
    <row r="38" spans="1:27">
      <c r="A38" s="2143" t="s">
        <v>4</v>
      </c>
      <c r="C38" s="1667" t="s">
        <v>1254</v>
      </c>
      <c r="D38" s="2778">
        <v>40000</v>
      </c>
      <c r="E38" s="1672">
        <v>30000</v>
      </c>
      <c r="F38" s="1661">
        <f t="shared" ref="F38:F47" si="5">SUM(D38:E38)</f>
        <v>70000</v>
      </c>
      <c r="H38" s="2224" t="s">
        <v>1275</v>
      </c>
      <c r="I38" s="2229">
        <v>322</v>
      </c>
      <c r="J38" s="1470" t="s">
        <v>110</v>
      </c>
      <c r="K38" s="1460" t="s">
        <v>845</v>
      </c>
      <c r="L38" s="1467">
        <v>92.26</v>
      </c>
      <c r="M38" s="1467">
        <v>64.581999999999994</v>
      </c>
      <c r="N38" s="1461">
        <v>7.6433580453751017E-4</v>
      </c>
      <c r="O38" s="1460">
        <v>12</v>
      </c>
      <c r="P38" s="1463" t="s">
        <v>996</v>
      </c>
      <c r="Q38" s="1466"/>
      <c r="R38" s="1466">
        <v>25</v>
      </c>
      <c r="S38" s="1469"/>
      <c r="T38" s="2991"/>
      <c r="U38" s="1469">
        <f t="shared" si="1"/>
        <v>8050</v>
      </c>
      <c r="V38" s="1469"/>
      <c r="W38" s="2993"/>
      <c r="X38" s="1459">
        <f t="shared" si="2"/>
        <v>1614.5499999999997</v>
      </c>
      <c r="Y38" s="1459"/>
      <c r="Z38" s="1482"/>
      <c r="AA38" s="1456"/>
    </row>
    <row r="39" spans="1:27">
      <c r="A39" s="1663"/>
      <c r="C39" s="1667"/>
      <c r="D39" s="2778"/>
      <c r="E39" s="1672"/>
      <c r="F39" s="1661">
        <f t="shared" si="5"/>
        <v>0</v>
      </c>
      <c r="H39" s="2224" t="s">
        <v>1602</v>
      </c>
      <c r="I39" s="2229">
        <v>218</v>
      </c>
      <c r="J39" s="1470" t="s">
        <v>110</v>
      </c>
      <c r="K39" s="1460" t="s">
        <v>845</v>
      </c>
      <c r="L39" s="1467">
        <v>67.83</v>
      </c>
      <c r="M39" s="1467">
        <v>47.480999999999995</v>
      </c>
      <c r="N39" s="1461">
        <v>2.330986832471537E-2</v>
      </c>
      <c r="O39" s="1460">
        <v>12</v>
      </c>
      <c r="P39" s="1463" t="s">
        <v>996</v>
      </c>
      <c r="Q39" s="1466"/>
      <c r="R39" s="1466">
        <v>1000</v>
      </c>
      <c r="S39" s="1469"/>
      <c r="T39" s="2991"/>
      <c r="U39" s="1469">
        <f t="shared" si="1"/>
        <v>218000</v>
      </c>
      <c r="V39" s="1469"/>
      <c r="W39" s="2993"/>
      <c r="X39" s="1459">
        <f t="shared" si="2"/>
        <v>47480.999999999993</v>
      </c>
      <c r="Y39" s="1459"/>
      <c r="Z39" s="1482"/>
      <c r="AA39" s="1456"/>
    </row>
    <row r="40" spans="1:27">
      <c r="A40" s="1663"/>
      <c r="C40" s="1667"/>
      <c r="D40" s="2778"/>
      <c r="E40" s="1672"/>
      <c r="F40" s="1661">
        <f t="shared" si="5"/>
        <v>0</v>
      </c>
      <c r="H40" s="2224" t="s">
        <v>1277</v>
      </c>
      <c r="I40" s="2229">
        <v>525</v>
      </c>
      <c r="J40" s="1470" t="s">
        <v>110</v>
      </c>
      <c r="K40" s="1460" t="s">
        <v>845</v>
      </c>
      <c r="L40" s="1467">
        <v>125.1</v>
      </c>
      <c r="M40" s="1467">
        <v>87.57</v>
      </c>
      <c r="N40" s="1461">
        <v>1.2461996813111578E-3</v>
      </c>
      <c r="O40" s="1460">
        <v>12</v>
      </c>
      <c r="P40" s="1463" t="s">
        <v>996</v>
      </c>
      <c r="Q40" s="1466"/>
      <c r="R40" s="1466">
        <v>0</v>
      </c>
      <c r="S40" s="1469"/>
      <c r="T40" s="2991"/>
      <c r="U40" s="1469">
        <f t="shared" si="1"/>
        <v>0</v>
      </c>
      <c r="V40" s="1469"/>
      <c r="W40" s="2993"/>
      <c r="X40" s="1459">
        <f t="shared" si="2"/>
        <v>0</v>
      </c>
      <c r="Y40" s="1459"/>
      <c r="Z40" s="1482"/>
      <c r="AA40" s="1456"/>
    </row>
    <row r="41" spans="1:27">
      <c r="C41" s="1667"/>
      <c r="D41" s="2778"/>
      <c r="E41" s="1672"/>
      <c r="F41" s="1661">
        <f t="shared" si="5"/>
        <v>0</v>
      </c>
      <c r="H41" s="2224" t="s">
        <v>1277</v>
      </c>
      <c r="I41" s="2229">
        <v>376</v>
      </c>
      <c r="J41" s="1470" t="s">
        <v>110</v>
      </c>
      <c r="K41" s="1460" t="s">
        <v>845</v>
      </c>
      <c r="L41" s="1467">
        <v>125.1</v>
      </c>
      <c r="M41" s="1467">
        <v>87.57</v>
      </c>
      <c r="N41" s="1461">
        <v>3.5700653727466308E-2</v>
      </c>
      <c r="O41" s="1460">
        <v>12</v>
      </c>
      <c r="P41" s="1463" t="s">
        <v>996</v>
      </c>
      <c r="Q41" s="1466"/>
      <c r="R41" s="1466">
        <v>0</v>
      </c>
      <c r="S41" s="1469"/>
      <c r="T41" s="2991"/>
      <c r="U41" s="1469">
        <f t="shared" si="1"/>
        <v>0</v>
      </c>
      <c r="V41" s="1469"/>
      <c r="W41" s="2993"/>
      <c r="X41" s="1459">
        <f t="shared" si="2"/>
        <v>0</v>
      </c>
      <c r="Y41" s="1459"/>
      <c r="Z41" s="1482"/>
      <c r="AA41" s="1456"/>
    </row>
    <row r="42" spans="1:27">
      <c r="C42" s="1488"/>
      <c r="D42" s="2779"/>
      <c r="E42" s="1490"/>
      <c r="F42" s="1493"/>
      <c r="H42" s="2224" t="s">
        <v>1603</v>
      </c>
      <c r="I42" s="2229">
        <v>287</v>
      </c>
      <c r="J42" s="1470" t="s">
        <v>110</v>
      </c>
      <c r="K42" s="1460" t="s">
        <v>845</v>
      </c>
      <c r="L42" s="1467">
        <v>91</v>
      </c>
      <c r="M42" s="1467">
        <v>63.699999999999996</v>
      </c>
      <c r="N42" s="1461">
        <v>3.0715855002221681E-2</v>
      </c>
      <c r="O42" s="1460">
        <v>12</v>
      </c>
      <c r="P42" s="1463" t="s">
        <v>996</v>
      </c>
      <c r="Q42" s="1466"/>
      <c r="R42" s="1466">
        <v>1000</v>
      </c>
      <c r="S42" s="1469"/>
      <c r="T42" s="2991"/>
      <c r="U42" s="1469">
        <f t="shared" si="1"/>
        <v>287000</v>
      </c>
      <c r="V42" s="1469"/>
      <c r="W42" s="2993"/>
      <c r="X42" s="1459">
        <f t="shared" si="2"/>
        <v>63699.999999999993</v>
      </c>
      <c r="Y42" s="1459"/>
      <c r="Z42" s="1482"/>
      <c r="AA42" s="1456"/>
    </row>
    <row r="43" spans="1:27">
      <c r="C43" s="1597" t="s">
        <v>483</v>
      </c>
      <c r="D43" s="2771">
        <f>SUM(D44:D47)</f>
        <v>3500</v>
      </c>
      <c r="E43" s="1464">
        <f>SUM(E44:E47)</f>
        <v>3500</v>
      </c>
      <c r="F43" s="1638">
        <f>D43+E43</f>
        <v>7000</v>
      </c>
      <c r="H43" s="2224" t="s">
        <v>1279</v>
      </c>
      <c r="I43" s="2229">
        <v>562</v>
      </c>
      <c r="J43" s="1470" t="s">
        <v>110</v>
      </c>
      <c r="K43" s="1460" t="s">
        <v>845</v>
      </c>
      <c r="L43" s="1467">
        <v>101.63</v>
      </c>
      <c r="M43" s="1467">
        <v>71.140999999999991</v>
      </c>
      <c r="N43" s="1461">
        <v>6.6701354371130541E-4</v>
      </c>
      <c r="O43" s="1460">
        <v>12</v>
      </c>
      <c r="P43" s="1463" t="s">
        <v>996</v>
      </c>
      <c r="Q43" s="1466"/>
      <c r="R43" s="1466">
        <v>0</v>
      </c>
      <c r="S43" s="1469"/>
      <c r="T43" s="2991"/>
      <c r="U43" s="1469">
        <f t="shared" si="1"/>
        <v>0</v>
      </c>
      <c r="V43" s="1469"/>
      <c r="W43" s="2993"/>
      <c r="X43" s="1459">
        <f t="shared" si="2"/>
        <v>0</v>
      </c>
      <c r="Y43" s="1459"/>
      <c r="Z43" s="1482"/>
      <c r="AA43" s="1456"/>
    </row>
    <row r="44" spans="1:27">
      <c r="C44" s="1667" t="s">
        <v>735</v>
      </c>
      <c r="D44" s="2778">
        <v>3500</v>
      </c>
      <c r="E44" s="1672">
        <v>3500</v>
      </c>
      <c r="F44" s="1661">
        <f t="shared" si="5"/>
        <v>7000</v>
      </c>
      <c r="H44" s="2224" t="s">
        <v>1279</v>
      </c>
      <c r="I44" s="2229">
        <v>413</v>
      </c>
      <c r="J44" s="1470" t="s">
        <v>110</v>
      </c>
      <c r="K44" s="1460" t="s">
        <v>845</v>
      </c>
      <c r="L44" s="1467">
        <v>101.63</v>
      </c>
      <c r="M44" s="1467">
        <v>71.140999999999991</v>
      </c>
      <c r="N44" s="1461">
        <v>4.9017187464905541E-4</v>
      </c>
      <c r="O44" s="1460">
        <v>12</v>
      </c>
      <c r="P44" s="1463" t="s">
        <v>996</v>
      </c>
      <c r="Q44" s="1466"/>
      <c r="R44" s="1466">
        <v>0</v>
      </c>
      <c r="S44" s="1469"/>
      <c r="T44" s="2991"/>
      <c r="U44" s="1469">
        <f t="shared" si="1"/>
        <v>0</v>
      </c>
      <c r="V44" s="1469"/>
      <c r="W44" s="2993"/>
      <c r="X44" s="1459">
        <f t="shared" si="2"/>
        <v>0</v>
      </c>
      <c r="Y44" s="1459"/>
      <c r="Z44" s="1482"/>
      <c r="AA44" s="1456"/>
    </row>
    <row r="45" spans="1:27">
      <c r="C45" s="1667"/>
      <c r="D45" s="2778"/>
      <c r="E45" s="1672"/>
      <c r="F45" s="1661">
        <f t="shared" si="5"/>
        <v>0</v>
      </c>
      <c r="H45" s="2224" t="s">
        <v>1604</v>
      </c>
      <c r="I45" s="2229">
        <v>812</v>
      </c>
      <c r="J45" s="1470" t="s">
        <v>110</v>
      </c>
      <c r="K45" s="1460" t="s">
        <v>845</v>
      </c>
      <c r="L45" s="1467">
        <v>88.83</v>
      </c>
      <c r="M45" s="1467">
        <v>62.180999999999997</v>
      </c>
      <c r="N45" s="1461">
        <v>2.6034891627849104E-2</v>
      </c>
      <c r="O45" s="1460">
        <v>12</v>
      </c>
      <c r="P45" s="1463" t="s">
        <v>996</v>
      </c>
      <c r="Q45" s="1466"/>
      <c r="R45" s="1466">
        <v>300</v>
      </c>
      <c r="S45" s="1469"/>
      <c r="T45" s="2991"/>
      <c r="U45" s="1469">
        <f t="shared" si="1"/>
        <v>243600</v>
      </c>
      <c r="V45" s="1469"/>
      <c r="W45" s="2993"/>
      <c r="X45" s="1459">
        <f t="shared" si="2"/>
        <v>18654.3</v>
      </c>
      <c r="Y45" s="1459"/>
      <c r="Z45" s="1482"/>
      <c r="AA45" s="1456"/>
    </row>
    <row r="46" spans="1:27">
      <c r="C46" s="1667"/>
      <c r="D46" s="2778"/>
      <c r="E46" s="1672"/>
      <c r="F46" s="1661">
        <f t="shared" si="5"/>
        <v>0</v>
      </c>
      <c r="H46" s="2224" t="s">
        <v>1281</v>
      </c>
      <c r="I46" s="2229">
        <v>599</v>
      </c>
      <c r="J46" s="1470" t="s">
        <v>110</v>
      </c>
      <c r="K46" s="1460" t="s">
        <v>845</v>
      </c>
      <c r="L46" s="1467">
        <v>92.68</v>
      </c>
      <c r="M46" s="1467">
        <v>64.876000000000005</v>
      </c>
      <c r="N46" s="1461">
        <v>7.1092724676703192E-4</v>
      </c>
      <c r="O46" s="1460">
        <v>12</v>
      </c>
      <c r="P46" s="1463" t="s">
        <v>996</v>
      </c>
      <c r="Q46" s="1466"/>
      <c r="R46" s="1466">
        <v>0</v>
      </c>
      <c r="S46" s="1469"/>
      <c r="T46" s="2991"/>
      <c r="U46" s="1469">
        <f t="shared" si="1"/>
        <v>0</v>
      </c>
      <c r="V46" s="1469"/>
      <c r="W46" s="2993"/>
      <c r="X46" s="1459">
        <f t="shared" si="2"/>
        <v>0</v>
      </c>
      <c r="Y46" s="1459"/>
      <c r="Z46" s="1482"/>
      <c r="AA46" s="1456"/>
    </row>
    <row r="47" spans="1:27">
      <c r="C47" s="1667"/>
      <c r="D47" s="2778"/>
      <c r="E47" s="1672"/>
      <c r="F47" s="1661">
        <f t="shared" si="5"/>
        <v>0</v>
      </c>
      <c r="H47" s="2224" t="s">
        <v>1281</v>
      </c>
      <c r="I47" s="2229">
        <v>450</v>
      </c>
      <c r="J47" s="1470" t="s">
        <v>110</v>
      </c>
      <c r="K47" s="1460" t="s">
        <v>845</v>
      </c>
      <c r="L47" s="1467">
        <v>92.68</v>
      </c>
      <c r="M47" s="1467">
        <v>64.876000000000005</v>
      </c>
      <c r="N47" s="1461">
        <v>5.3408557770478191E-4</v>
      </c>
      <c r="O47" s="1460">
        <v>12</v>
      </c>
      <c r="P47" s="1463" t="s">
        <v>996</v>
      </c>
      <c r="Q47" s="1466"/>
      <c r="R47" s="1466">
        <v>0</v>
      </c>
      <c r="S47" s="1469"/>
      <c r="T47" s="2991"/>
      <c r="U47" s="1469">
        <f t="shared" si="1"/>
        <v>0</v>
      </c>
      <c r="V47" s="1469"/>
      <c r="W47" s="2993"/>
      <c r="X47" s="1459">
        <f t="shared" si="2"/>
        <v>0</v>
      </c>
      <c r="Y47" s="1459"/>
      <c r="Z47" s="1482"/>
      <c r="AA47" s="1456"/>
    </row>
    <row r="48" spans="1:27">
      <c r="C48" s="1488"/>
      <c r="D48" s="2779"/>
      <c r="E48" s="1490"/>
      <c r="F48" s="1493"/>
      <c r="H48" s="2224" t="s">
        <v>1605</v>
      </c>
      <c r="I48" s="2229">
        <v>208</v>
      </c>
      <c r="J48" s="1470" t="s">
        <v>110</v>
      </c>
      <c r="K48" s="1460" t="s">
        <v>845</v>
      </c>
      <c r="L48" s="1467">
        <v>97.5</v>
      </c>
      <c r="M48" s="1467">
        <v>68.25</v>
      </c>
      <c r="N48" s="1461">
        <v>2.2217960032518927E-2</v>
      </c>
      <c r="O48" s="1460">
        <v>12</v>
      </c>
      <c r="P48" s="1463" t="s">
        <v>996</v>
      </c>
      <c r="Q48" s="1466"/>
      <c r="R48" s="1466">
        <v>1000</v>
      </c>
      <c r="S48" s="1469"/>
      <c r="T48" s="2991"/>
      <c r="U48" s="1469">
        <f t="shared" ref="U48:U79" si="6">I48*R48</f>
        <v>208000</v>
      </c>
      <c r="V48" s="1469"/>
      <c r="W48" s="2993"/>
      <c r="X48" s="1459">
        <f t="shared" ref="X48:X79" si="7">M48*R48</f>
        <v>68250</v>
      </c>
      <c r="Y48" s="1459"/>
      <c r="Z48" s="1482"/>
      <c r="AA48" s="1456"/>
    </row>
    <row r="49" spans="1:27">
      <c r="C49" s="1597" t="s">
        <v>47</v>
      </c>
      <c r="D49" s="2771">
        <f>SUM(D50:D53)</f>
        <v>54000</v>
      </c>
      <c r="E49" s="1464">
        <f>SUM(E50:E53)</f>
        <v>54000</v>
      </c>
      <c r="F49" s="1638">
        <f>D49+E49</f>
        <v>108000</v>
      </c>
      <c r="H49" s="2224" t="s">
        <v>1283</v>
      </c>
      <c r="I49" s="2229">
        <v>231</v>
      </c>
      <c r="J49" s="1470" t="s">
        <v>110</v>
      </c>
      <c r="K49" s="1460" t="s">
        <v>845</v>
      </c>
      <c r="L49" s="1467">
        <v>95.12</v>
      </c>
      <c r="M49" s="1467">
        <v>66.584000000000003</v>
      </c>
      <c r="N49" s="1461">
        <v>2.7416392988845471E-4</v>
      </c>
      <c r="O49" s="1460">
        <v>12</v>
      </c>
      <c r="P49" s="1463" t="s">
        <v>996</v>
      </c>
      <c r="Q49" s="1466"/>
      <c r="R49" s="1466">
        <v>0</v>
      </c>
      <c r="S49" s="1469"/>
      <c r="T49" s="2991"/>
      <c r="U49" s="1469">
        <f t="shared" si="6"/>
        <v>0</v>
      </c>
      <c r="V49" s="1469"/>
      <c r="W49" s="2993"/>
      <c r="X49" s="1459">
        <f t="shared" si="7"/>
        <v>0</v>
      </c>
      <c r="Y49" s="1459"/>
      <c r="Z49" s="1482"/>
      <c r="AA49" s="1456"/>
    </row>
    <row r="50" spans="1:27">
      <c r="C50" s="1667" t="s">
        <v>1255</v>
      </c>
      <c r="D50" s="2778">
        <v>54000</v>
      </c>
      <c r="E50" s="1672">
        <v>54000</v>
      </c>
      <c r="F50" s="1661">
        <f t="shared" ref="F50:F65" si="8">SUM(D50:E50)</f>
        <v>108000</v>
      </c>
      <c r="H50" s="2224" t="s">
        <v>1283</v>
      </c>
      <c r="I50" s="2229">
        <v>165</v>
      </c>
      <c r="J50" s="1470" t="s">
        <v>110</v>
      </c>
      <c r="K50" s="1460" t="s">
        <v>845</v>
      </c>
      <c r="L50" s="1467">
        <v>95.12</v>
      </c>
      <c r="M50" s="1467">
        <v>66.584000000000003</v>
      </c>
      <c r="N50" s="1461">
        <v>1.9583137849175336E-4</v>
      </c>
      <c r="O50" s="1460">
        <v>12</v>
      </c>
      <c r="P50" s="1463" t="s">
        <v>996</v>
      </c>
      <c r="Q50" s="1466"/>
      <c r="R50" s="1466">
        <v>0</v>
      </c>
      <c r="S50" s="1469"/>
      <c r="T50" s="2991"/>
      <c r="U50" s="1469">
        <f t="shared" si="6"/>
        <v>0</v>
      </c>
      <c r="V50" s="1469"/>
      <c r="W50" s="2993"/>
      <c r="X50" s="1459">
        <f t="shared" si="7"/>
        <v>0</v>
      </c>
      <c r="Y50" s="1459"/>
      <c r="Z50" s="1482"/>
      <c r="AA50" s="1456"/>
    </row>
    <row r="51" spans="1:27">
      <c r="C51" s="1667"/>
      <c r="D51" s="2778"/>
      <c r="E51" s="1672"/>
      <c r="F51" s="1661">
        <f t="shared" si="8"/>
        <v>0</v>
      </c>
      <c r="H51" s="2224" t="s">
        <v>1606</v>
      </c>
      <c r="I51" s="2229">
        <v>412</v>
      </c>
      <c r="J51" s="1470" t="s">
        <v>110</v>
      </c>
      <c r="K51" s="1460" t="s">
        <v>845</v>
      </c>
      <c r="L51" s="1467">
        <v>98</v>
      </c>
      <c r="M51" s="1467">
        <v>68.599999999999994</v>
      </c>
      <c r="N51" s="1461">
        <v>4.4056125876447791E-2</v>
      </c>
      <c r="O51" s="1460">
        <v>12</v>
      </c>
      <c r="P51" s="1463" t="s">
        <v>996</v>
      </c>
      <c r="Q51" s="1466"/>
      <c r="R51" s="1466">
        <v>1000</v>
      </c>
      <c r="S51" s="1469"/>
      <c r="T51" s="2991"/>
      <c r="U51" s="1469">
        <f t="shared" si="6"/>
        <v>412000</v>
      </c>
      <c r="V51" s="1469"/>
      <c r="W51" s="2993"/>
      <c r="X51" s="1459">
        <f t="shared" si="7"/>
        <v>68600</v>
      </c>
      <c r="Y51" s="1459"/>
      <c r="Z51" s="1482"/>
      <c r="AA51" s="1456"/>
    </row>
    <row r="52" spans="1:27">
      <c r="C52" s="1667"/>
      <c r="D52" s="2778"/>
      <c r="E52" s="1672"/>
      <c r="F52" s="1661">
        <f t="shared" si="8"/>
        <v>0</v>
      </c>
      <c r="H52" s="2224" t="s">
        <v>1285</v>
      </c>
      <c r="I52" s="2229">
        <v>467</v>
      </c>
      <c r="J52" s="1470" t="s">
        <v>110</v>
      </c>
      <c r="K52" s="1460" t="s">
        <v>845</v>
      </c>
      <c r="L52" s="1467">
        <v>143.55000000000001</v>
      </c>
      <c r="M52" s="1467">
        <v>100.485</v>
      </c>
      <c r="N52" s="1461">
        <v>1.1085242879472585E-2</v>
      </c>
      <c r="O52" s="1460">
        <v>12</v>
      </c>
      <c r="P52" s="1463" t="s">
        <v>996</v>
      </c>
      <c r="Q52" s="1466"/>
      <c r="R52" s="1466">
        <v>0</v>
      </c>
      <c r="S52" s="1469"/>
      <c r="T52" s="2991"/>
      <c r="U52" s="1469">
        <f t="shared" si="6"/>
        <v>0</v>
      </c>
      <c r="V52" s="1469"/>
      <c r="W52" s="2993"/>
      <c r="X52" s="1459">
        <f t="shared" si="7"/>
        <v>0</v>
      </c>
      <c r="Y52" s="1459"/>
      <c r="Z52" s="1482"/>
      <c r="AA52" s="1456"/>
    </row>
    <row r="53" spans="1:27">
      <c r="C53" s="1667"/>
      <c r="D53" s="2778"/>
      <c r="E53" s="1672"/>
      <c r="F53" s="1661">
        <f t="shared" si="8"/>
        <v>0</v>
      </c>
      <c r="H53" s="2224" t="s">
        <v>1285</v>
      </c>
      <c r="I53" s="2229">
        <v>335</v>
      </c>
      <c r="J53" s="1470" t="s">
        <v>110</v>
      </c>
      <c r="K53" s="1460" t="s">
        <v>845</v>
      </c>
      <c r="L53" s="1467">
        <v>143.55000000000001</v>
      </c>
      <c r="M53" s="1467">
        <v>83.75</v>
      </c>
      <c r="N53" s="1461">
        <v>3.9759704118022657E-4</v>
      </c>
      <c r="O53" s="1460">
        <v>12</v>
      </c>
      <c r="P53" s="1463" t="s">
        <v>996</v>
      </c>
      <c r="Q53" s="1466"/>
      <c r="R53" s="1466">
        <v>0</v>
      </c>
      <c r="S53" s="1469"/>
      <c r="T53" s="2991"/>
      <c r="U53" s="1469">
        <f t="shared" si="6"/>
        <v>0</v>
      </c>
      <c r="V53" s="1469"/>
      <c r="W53" s="2993"/>
      <c r="X53" s="1459">
        <f t="shared" si="7"/>
        <v>0</v>
      </c>
      <c r="Y53" s="1459"/>
      <c r="Z53" s="1482"/>
      <c r="AA53" s="1456"/>
    </row>
    <row r="54" spans="1:27">
      <c r="C54" s="1488"/>
      <c r="D54" s="2779"/>
      <c r="E54" s="1490"/>
      <c r="F54" s="1493"/>
      <c r="H54" s="2224" t="s">
        <v>1607</v>
      </c>
      <c r="I54" s="2229">
        <v>40</v>
      </c>
      <c r="J54" s="1470" t="s">
        <v>110</v>
      </c>
      <c r="K54" s="1460" t="s">
        <v>845</v>
      </c>
      <c r="L54" s="1467">
        <v>78</v>
      </c>
      <c r="M54" s="1467">
        <v>10</v>
      </c>
      <c r="N54" s="1461">
        <v>2.1363423108191277E-3</v>
      </c>
      <c r="O54" s="1460">
        <v>12</v>
      </c>
      <c r="P54" s="1463" t="s">
        <v>996</v>
      </c>
      <c r="Q54" s="1466"/>
      <c r="R54" s="1466">
        <v>500</v>
      </c>
      <c r="S54" s="1469"/>
      <c r="T54" s="2991"/>
      <c r="U54" s="1469">
        <f t="shared" si="6"/>
        <v>20000</v>
      </c>
      <c r="V54" s="1469"/>
      <c r="W54" s="2993"/>
      <c r="X54" s="1459">
        <f t="shared" si="7"/>
        <v>5000</v>
      </c>
      <c r="Y54" s="1459"/>
      <c r="Z54" s="1482"/>
      <c r="AA54" s="1456"/>
    </row>
    <row r="55" spans="1:27">
      <c r="C55" s="1597" t="s">
        <v>48</v>
      </c>
      <c r="D55" s="2771">
        <f>SUM(D56:D59)</f>
        <v>2500</v>
      </c>
      <c r="E55" s="1464">
        <f>SUM(E56:E59)</f>
        <v>2500</v>
      </c>
      <c r="F55" s="1638">
        <f>D55+E55</f>
        <v>5000</v>
      </c>
      <c r="H55" s="2224" t="s">
        <v>1283</v>
      </c>
      <c r="I55" s="2229">
        <v>355</v>
      </c>
      <c r="J55" s="1470" t="s">
        <v>110</v>
      </c>
      <c r="K55" s="1460" t="s">
        <v>845</v>
      </c>
      <c r="L55" s="1467">
        <v>95.95</v>
      </c>
      <c r="M55" s="1467">
        <v>67.164999999999992</v>
      </c>
      <c r="N55" s="1461">
        <v>5.0560101356052689E-4</v>
      </c>
      <c r="O55" s="1460">
        <v>12</v>
      </c>
      <c r="P55" s="1463" t="s">
        <v>996</v>
      </c>
      <c r="Q55" s="1466"/>
      <c r="R55" s="1466">
        <v>0</v>
      </c>
      <c r="S55" s="1469"/>
      <c r="T55" s="2991"/>
      <c r="U55" s="1469">
        <f t="shared" si="6"/>
        <v>0</v>
      </c>
      <c r="V55" s="1469"/>
      <c r="W55" s="2993"/>
      <c r="X55" s="1459">
        <f t="shared" si="7"/>
        <v>0</v>
      </c>
      <c r="Y55" s="1459"/>
      <c r="Z55" s="1482"/>
      <c r="AA55" s="1456"/>
    </row>
    <row r="56" spans="1:27">
      <c r="C56" s="1667"/>
      <c r="D56" s="2778">
        <v>2500</v>
      </c>
      <c r="E56" s="1641">
        <v>2500</v>
      </c>
      <c r="F56" s="1661">
        <f t="shared" si="8"/>
        <v>5000</v>
      </c>
      <c r="H56" s="2224" t="s">
        <v>1608</v>
      </c>
      <c r="I56" s="2229">
        <v>82</v>
      </c>
      <c r="J56" s="1470" t="s">
        <v>110</v>
      </c>
      <c r="K56" s="1460" t="s">
        <v>845</v>
      </c>
      <c r="L56" s="1467">
        <v>90.25</v>
      </c>
      <c r="M56" s="1467">
        <v>20.5</v>
      </c>
      <c r="N56" s="1461">
        <v>8.7827406111453035E-3</v>
      </c>
      <c r="O56" s="1460">
        <v>12</v>
      </c>
      <c r="P56" s="1463" t="s">
        <v>996</v>
      </c>
      <c r="Q56" s="1466"/>
      <c r="R56" s="1466">
        <v>1000</v>
      </c>
      <c r="S56" s="1469"/>
      <c r="T56" s="2991"/>
      <c r="U56" s="1469">
        <f t="shared" si="6"/>
        <v>82000</v>
      </c>
      <c r="V56" s="1469"/>
      <c r="W56" s="2993"/>
      <c r="X56" s="1459">
        <f t="shared" si="7"/>
        <v>20500</v>
      </c>
      <c r="Y56" s="1459"/>
      <c r="Z56" s="1482"/>
      <c r="AA56" s="1456"/>
    </row>
    <row r="57" spans="1:27">
      <c r="C57" s="1667"/>
      <c r="D57" s="2778"/>
      <c r="E57" s="1641"/>
      <c r="F57" s="1661">
        <f t="shared" si="8"/>
        <v>0</v>
      </c>
      <c r="H57" s="2224" t="s">
        <v>1287</v>
      </c>
      <c r="I57" s="2229">
        <v>116</v>
      </c>
      <c r="J57" s="1470" t="s">
        <v>110</v>
      </c>
      <c r="K57" s="1460" t="s">
        <v>845</v>
      </c>
      <c r="L57" s="1467">
        <v>144.38</v>
      </c>
      <c r="M57" s="1467">
        <v>29</v>
      </c>
      <c r="N57" s="1461">
        <v>1.3767539336389934E-4</v>
      </c>
      <c r="O57" s="1460">
        <v>12</v>
      </c>
      <c r="P57" s="1463" t="s">
        <v>996</v>
      </c>
      <c r="Q57" s="1466"/>
      <c r="R57" s="1466">
        <v>0</v>
      </c>
      <c r="S57" s="1469"/>
      <c r="T57" s="2991"/>
      <c r="U57" s="1469">
        <f t="shared" si="6"/>
        <v>0</v>
      </c>
      <c r="V57" s="1469"/>
      <c r="W57" s="2993"/>
      <c r="X57" s="1459">
        <f t="shared" si="7"/>
        <v>0</v>
      </c>
      <c r="Y57" s="1459"/>
      <c r="Z57" s="1482"/>
      <c r="AA57" s="1456"/>
    </row>
    <row r="58" spans="1:27">
      <c r="C58" s="1667"/>
      <c r="D58" s="2778"/>
      <c r="E58" s="1641"/>
      <c r="F58" s="1661">
        <f t="shared" si="8"/>
        <v>0</v>
      </c>
      <c r="H58" s="2224" t="s">
        <v>1609</v>
      </c>
      <c r="I58" s="2229">
        <v>317</v>
      </c>
      <c r="J58" s="1470" t="s">
        <v>110</v>
      </c>
      <c r="K58" s="1460" t="s">
        <v>845</v>
      </c>
      <c r="L58" s="1467">
        <v>114.17</v>
      </c>
      <c r="M58" s="1467">
        <v>79.918999999999997</v>
      </c>
      <c r="N58" s="1461">
        <v>3.3896631331663492E-2</v>
      </c>
      <c r="O58" s="1460">
        <v>12</v>
      </c>
      <c r="P58" s="1463" t="s">
        <v>996</v>
      </c>
      <c r="Q58" s="1466"/>
      <c r="R58" s="1466">
        <v>1000</v>
      </c>
      <c r="S58" s="1469"/>
      <c r="T58" s="2991"/>
      <c r="U58" s="1469">
        <f t="shared" si="6"/>
        <v>317000</v>
      </c>
      <c r="V58" s="1469"/>
      <c r="W58" s="2993"/>
      <c r="X58" s="1459">
        <f t="shared" si="7"/>
        <v>79919</v>
      </c>
      <c r="Y58" s="1459"/>
      <c r="Z58" s="1482"/>
      <c r="AA58" s="1456"/>
    </row>
    <row r="59" spans="1:27">
      <c r="C59" s="1667"/>
      <c r="D59" s="2778"/>
      <c r="E59" s="1641"/>
      <c r="F59" s="1661">
        <f t="shared" si="8"/>
        <v>0</v>
      </c>
      <c r="H59" s="2224" t="s">
        <v>1289</v>
      </c>
      <c r="I59" s="2229">
        <v>405</v>
      </c>
      <c r="J59" s="1470" t="s">
        <v>110</v>
      </c>
      <c r="K59" s="1460" t="s">
        <v>845</v>
      </c>
      <c r="L59" s="1467">
        <v>92.68</v>
      </c>
      <c r="M59" s="1467">
        <v>64.876000000000005</v>
      </c>
      <c r="N59" s="1461">
        <v>4.8067701993430371E-4</v>
      </c>
      <c r="O59" s="1460">
        <v>12</v>
      </c>
      <c r="P59" s="1463" t="s">
        <v>996</v>
      </c>
      <c r="Q59" s="1466"/>
      <c r="R59" s="1466">
        <v>0</v>
      </c>
      <c r="S59" s="1469"/>
      <c r="T59" s="2991"/>
      <c r="U59" s="1469">
        <f t="shared" si="6"/>
        <v>0</v>
      </c>
      <c r="V59" s="1469"/>
      <c r="W59" s="2993"/>
      <c r="X59" s="1459">
        <f t="shared" si="7"/>
        <v>0</v>
      </c>
      <c r="Y59" s="1459"/>
      <c r="Z59" s="1482"/>
      <c r="AA59" s="1456"/>
    </row>
    <row r="60" spans="1:27">
      <c r="C60" s="1488"/>
      <c r="D60" s="2779"/>
      <c r="E60" s="1490"/>
      <c r="F60" s="1493"/>
      <c r="H60" s="2224" t="s">
        <v>1290</v>
      </c>
      <c r="I60" s="2229">
        <v>1557</v>
      </c>
      <c r="J60" s="1470" t="s">
        <v>110</v>
      </c>
      <c r="K60" s="1460" t="s">
        <v>845</v>
      </c>
      <c r="L60" s="1467">
        <v>297.7</v>
      </c>
      <c r="M60" s="1467">
        <v>208.39</v>
      </c>
      <c r="N60" s="1461">
        <v>1.4783488790868363E-3</v>
      </c>
      <c r="O60" s="1460">
        <v>12</v>
      </c>
      <c r="P60" s="1463" t="s">
        <v>996</v>
      </c>
      <c r="Q60" s="1466"/>
      <c r="R60" s="1466">
        <v>0</v>
      </c>
      <c r="S60" s="1469"/>
      <c r="T60" s="2991"/>
      <c r="U60" s="1469">
        <f t="shared" si="6"/>
        <v>0</v>
      </c>
      <c r="V60" s="1469"/>
      <c r="W60" s="2993"/>
      <c r="X60" s="1459">
        <f t="shared" si="7"/>
        <v>0</v>
      </c>
      <c r="Y60" s="1459"/>
      <c r="Z60" s="1482"/>
      <c r="AA60" s="1456"/>
    </row>
    <row r="61" spans="1:27">
      <c r="C61" s="1597" t="s">
        <v>49</v>
      </c>
      <c r="D61" s="2771">
        <f>SUM(D62:D65)</f>
        <v>610420.5</v>
      </c>
      <c r="E61" s="1464">
        <f>SUM(E62:E65)</f>
        <v>610420.5</v>
      </c>
      <c r="F61" s="1638">
        <f>D61+E61</f>
        <v>1220841</v>
      </c>
      <c r="H61" s="2224" t="s">
        <v>1290</v>
      </c>
      <c r="I61" s="2229">
        <v>1656</v>
      </c>
      <c r="J61" s="1470" t="s">
        <v>110</v>
      </c>
      <c r="K61" s="1460" t="s">
        <v>845</v>
      </c>
      <c r="L61" s="1467">
        <v>578.5</v>
      </c>
      <c r="M61" s="1467">
        <v>404.95</v>
      </c>
      <c r="N61" s="1461">
        <v>1.9654349259535975E-3</v>
      </c>
      <c r="O61" s="1460">
        <v>12</v>
      </c>
      <c r="P61" s="1463" t="s">
        <v>996</v>
      </c>
      <c r="Q61" s="1466"/>
      <c r="R61" s="1466">
        <v>0</v>
      </c>
      <c r="S61" s="1469"/>
      <c r="T61" s="2991"/>
      <c r="U61" s="1469">
        <f t="shared" si="6"/>
        <v>0</v>
      </c>
      <c r="V61" s="1469"/>
      <c r="W61" s="2993"/>
      <c r="X61" s="1459">
        <f t="shared" si="7"/>
        <v>0</v>
      </c>
      <c r="Y61" s="1459"/>
      <c r="Z61" s="1482"/>
      <c r="AA61" s="1456"/>
    </row>
    <row r="62" spans="1:27">
      <c r="C62" s="1667" t="s">
        <v>1185</v>
      </c>
      <c r="D62" s="2778">
        <v>610420.5</v>
      </c>
      <c r="E62" s="1672">
        <v>610420.5</v>
      </c>
      <c r="F62" s="1661">
        <f t="shared" si="8"/>
        <v>1220841</v>
      </c>
      <c r="H62" s="2224" t="s">
        <v>1610</v>
      </c>
      <c r="I62" s="2229">
        <v>884</v>
      </c>
      <c r="J62" s="1470" t="s">
        <v>110</v>
      </c>
      <c r="K62" s="1460" t="s">
        <v>845</v>
      </c>
      <c r="L62" s="1467">
        <v>236.54</v>
      </c>
      <c r="M62" s="1467">
        <v>165.57799999999997</v>
      </c>
      <c r="N62" s="1461">
        <v>9.4521278685352969E-3</v>
      </c>
      <c r="O62" s="1460">
        <v>12</v>
      </c>
      <c r="P62" s="1463" t="s">
        <v>996</v>
      </c>
      <c r="Q62" s="1466"/>
      <c r="R62" s="1466">
        <v>100</v>
      </c>
      <c r="S62" s="1469"/>
      <c r="T62" s="2991"/>
      <c r="U62" s="1469">
        <f t="shared" si="6"/>
        <v>88400</v>
      </c>
      <c r="V62" s="1469"/>
      <c r="W62" s="2993"/>
      <c r="X62" s="1459">
        <f t="shared" si="7"/>
        <v>16557.799999999996</v>
      </c>
      <c r="Y62" s="1459"/>
      <c r="Z62" s="1482"/>
      <c r="AA62" s="1456"/>
    </row>
    <row r="63" spans="1:27">
      <c r="C63" s="1667"/>
      <c r="D63" s="2778"/>
      <c r="E63" s="1672"/>
      <c r="F63" s="1661">
        <f t="shared" si="8"/>
        <v>0</v>
      </c>
      <c r="H63" s="2224" t="s">
        <v>1611</v>
      </c>
      <c r="I63" s="2229">
        <v>162</v>
      </c>
      <c r="J63" s="1470" t="s">
        <v>110</v>
      </c>
      <c r="K63" s="1460" t="s">
        <v>845</v>
      </c>
      <c r="L63" s="1467">
        <v>108</v>
      </c>
      <c r="M63" s="1467">
        <v>40.5</v>
      </c>
      <c r="N63" s="1461">
        <v>1.2960476685636041E-2</v>
      </c>
      <c r="O63" s="1460">
        <v>12</v>
      </c>
      <c r="P63" s="1463" t="s">
        <v>996</v>
      </c>
      <c r="Q63" s="1466"/>
      <c r="R63" s="1466">
        <v>750</v>
      </c>
      <c r="S63" s="1469"/>
      <c r="T63" s="2991"/>
      <c r="U63" s="1469">
        <f t="shared" si="6"/>
        <v>121500</v>
      </c>
      <c r="V63" s="1469"/>
      <c r="W63" s="2993"/>
      <c r="X63" s="1459">
        <f t="shared" si="7"/>
        <v>30375</v>
      </c>
      <c r="Y63" s="1459"/>
      <c r="Z63" s="1482"/>
      <c r="AA63" s="1456"/>
    </row>
    <row r="64" spans="1:27" ht="25.5">
      <c r="A64" s="2143" t="s">
        <v>530</v>
      </c>
      <c r="C64" s="1667"/>
      <c r="D64" s="2778"/>
      <c r="E64" s="1672"/>
      <c r="F64" s="1437">
        <f t="shared" si="8"/>
        <v>0</v>
      </c>
      <c r="H64" s="2224" t="s">
        <v>1293</v>
      </c>
      <c r="I64" s="2229">
        <v>294</v>
      </c>
      <c r="J64" s="1470" t="s">
        <v>110</v>
      </c>
      <c r="K64" s="1460" t="s">
        <v>845</v>
      </c>
      <c r="L64" s="1467">
        <v>108</v>
      </c>
      <c r="M64" s="1467">
        <v>75.599999999999994</v>
      </c>
      <c r="N64" s="1461">
        <v>2.3570976829371043E-3</v>
      </c>
      <c r="O64" s="1460">
        <v>12</v>
      </c>
      <c r="P64" s="1463" t="s">
        <v>996</v>
      </c>
      <c r="Q64" s="1466"/>
      <c r="R64" s="1466">
        <v>75</v>
      </c>
      <c r="S64" s="1469"/>
      <c r="T64" s="2991"/>
      <c r="U64" s="1469">
        <f t="shared" si="6"/>
        <v>22050</v>
      </c>
      <c r="V64" s="1469"/>
      <c r="W64" s="2993"/>
      <c r="X64" s="1459">
        <f t="shared" si="7"/>
        <v>5670</v>
      </c>
      <c r="Y64" s="1459"/>
      <c r="Z64" s="1482"/>
      <c r="AA64" s="1456"/>
    </row>
    <row r="65" spans="1:27">
      <c r="A65" s="2143" t="s">
        <v>262</v>
      </c>
      <c r="C65" s="1667"/>
      <c r="D65" s="2778"/>
      <c r="E65" s="1672"/>
      <c r="F65" s="1661">
        <f t="shared" si="8"/>
        <v>0</v>
      </c>
      <c r="H65" s="2224" t="s">
        <v>1294</v>
      </c>
      <c r="I65" s="2229">
        <v>383</v>
      </c>
      <c r="J65" s="1470" t="s">
        <v>110</v>
      </c>
      <c r="K65" s="1460" t="s">
        <v>845</v>
      </c>
      <c r="L65" s="1467">
        <v>109</v>
      </c>
      <c r="M65" s="1467">
        <v>76.3</v>
      </c>
      <c r="N65" s="1461">
        <v>2.0461411910289869E-3</v>
      </c>
      <c r="O65" s="1460">
        <v>12</v>
      </c>
      <c r="P65" s="1463" t="s">
        <v>996</v>
      </c>
      <c r="Q65" s="1466"/>
      <c r="R65" s="1466">
        <v>50</v>
      </c>
      <c r="S65" s="1469"/>
      <c r="T65" s="2991"/>
      <c r="U65" s="1469">
        <f t="shared" si="6"/>
        <v>19150</v>
      </c>
      <c r="V65" s="1469"/>
      <c r="W65" s="2993"/>
      <c r="X65" s="1459">
        <f t="shared" si="7"/>
        <v>3815</v>
      </c>
      <c r="Y65" s="1459"/>
      <c r="Z65" s="1482"/>
      <c r="AA65" s="1456"/>
    </row>
    <row r="66" spans="1:27">
      <c r="A66" s="2143" t="s">
        <v>5</v>
      </c>
      <c r="C66" s="1488"/>
      <c r="D66" s="2779"/>
      <c r="E66" s="1490"/>
      <c r="F66" s="1493"/>
      <c r="H66" s="2224" t="s">
        <v>1295</v>
      </c>
      <c r="I66" s="2229">
        <v>634</v>
      </c>
      <c r="J66" s="2226" t="s">
        <v>110</v>
      </c>
      <c r="K66" s="2224" t="s">
        <v>845</v>
      </c>
      <c r="L66" s="2227">
        <v>111</v>
      </c>
      <c r="M66" s="2227">
        <v>77.699999999999989</v>
      </c>
      <c r="N66" s="2250">
        <v>1.6936447097438308E-3</v>
      </c>
      <c r="O66" s="2224">
        <v>12</v>
      </c>
      <c r="P66" s="2225" t="s">
        <v>996</v>
      </c>
      <c r="Q66" s="2229"/>
      <c r="R66" s="2229">
        <v>25</v>
      </c>
      <c r="S66" s="2228"/>
      <c r="T66" s="2986"/>
      <c r="U66" s="2228">
        <f t="shared" si="6"/>
        <v>15850</v>
      </c>
      <c r="V66" s="2228"/>
      <c r="W66" s="2990"/>
      <c r="X66" s="2230">
        <f t="shared" si="7"/>
        <v>1942.4999999999998</v>
      </c>
      <c r="Y66" s="2230"/>
    </row>
    <row r="67" spans="1:27">
      <c r="A67" s="2143">
        <v>18231134</v>
      </c>
      <c r="C67" s="1597" t="s">
        <v>50</v>
      </c>
      <c r="D67" s="2771">
        <f>W15</f>
        <v>2342693.7400000002</v>
      </c>
      <c r="E67" s="1464">
        <f>X15</f>
        <v>2327991.6100000008</v>
      </c>
      <c r="F67" s="1638">
        <f>D67+E67</f>
        <v>4670685.3500000015</v>
      </c>
      <c r="H67" s="2224" t="s">
        <v>1296</v>
      </c>
      <c r="I67" s="2229">
        <v>685</v>
      </c>
      <c r="J67" s="2226" t="s">
        <v>110</v>
      </c>
      <c r="K67" s="2224" t="s">
        <v>845</v>
      </c>
      <c r="L67" s="2227">
        <v>211.25</v>
      </c>
      <c r="M67" s="2227">
        <v>147.875</v>
      </c>
      <c r="N67" s="2250">
        <v>8.1299693495061245E-3</v>
      </c>
      <c r="O67" s="2224">
        <v>12</v>
      </c>
      <c r="P67" s="2225" t="s">
        <v>996</v>
      </c>
      <c r="Q67" s="2229"/>
      <c r="R67" s="2229">
        <v>125</v>
      </c>
      <c r="S67" s="2228"/>
      <c r="T67" s="2986"/>
      <c r="U67" s="2228">
        <f t="shared" si="6"/>
        <v>85625</v>
      </c>
      <c r="V67" s="2228"/>
      <c r="W67" s="2990"/>
      <c r="X67" s="2230">
        <f t="shared" si="7"/>
        <v>18484.375</v>
      </c>
      <c r="Y67" s="2230"/>
    </row>
    <row r="68" spans="1:27">
      <c r="A68" s="2143" t="s">
        <v>4</v>
      </c>
      <c r="C68" s="1500" t="s">
        <v>297</v>
      </c>
      <c r="D68" s="2781"/>
      <c r="E68" s="1496"/>
      <c r="F68" s="1499"/>
      <c r="H68" s="2224" t="s">
        <v>1297</v>
      </c>
      <c r="I68" s="2229">
        <v>685</v>
      </c>
      <c r="J68" s="2226" t="s">
        <v>110</v>
      </c>
      <c r="K68" s="2224" t="s">
        <v>845</v>
      </c>
      <c r="L68" s="2227">
        <v>430.4</v>
      </c>
      <c r="M68" s="2227">
        <v>171.25</v>
      </c>
      <c r="N68" s="2250">
        <v>6.5039754796048996E-3</v>
      </c>
      <c r="O68" s="2224">
        <v>12</v>
      </c>
      <c r="P68" s="2225" t="s">
        <v>996</v>
      </c>
      <c r="Q68" s="2229"/>
      <c r="R68" s="2229">
        <v>0</v>
      </c>
      <c r="S68" s="2228"/>
      <c r="T68" s="2986"/>
      <c r="U68" s="2228">
        <f t="shared" si="6"/>
        <v>0</v>
      </c>
      <c r="V68" s="2228"/>
      <c r="W68" s="2990"/>
      <c r="X68" s="2230">
        <f t="shared" si="7"/>
        <v>0</v>
      </c>
      <c r="Y68" s="2230"/>
    </row>
    <row r="69" spans="1:27">
      <c r="A69" s="1663"/>
      <c r="C69" s="1501"/>
      <c r="D69" s="2782"/>
      <c r="E69" s="1497"/>
      <c r="F69" s="1498"/>
      <c r="H69" s="2224" t="s">
        <v>1612</v>
      </c>
      <c r="I69" s="2229">
        <v>601</v>
      </c>
      <c r="J69" s="2226" t="s">
        <v>110</v>
      </c>
      <c r="K69" s="2224" t="s">
        <v>845</v>
      </c>
      <c r="L69" s="2227">
        <v>156.25</v>
      </c>
      <c r="M69" s="2227">
        <v>109.375</v>
      </c>
      <c r="N69" s="2250">
        <v>5.7064076835657588E-3</v>
      </c>
      <c r="O69" s="2224">
        <v>12</v>
      </c>
      <c r="P69" s="2225" t="s">
        <v>996</v>
      </c>
      <c r="Q69" s="2229"/>
      <c r="R69" s="2229">
        <v>100</v>
      </c>
      <c r="S69" s="2228"/>
      <c r="T69" s="2986"/>
      <c r="U69" s="2228">
        <f t="shared" si="6"/>
        <v>60100</v>
      </c>
      <c r="V69" s="2228"/>
      <c r="W69" s="2990"/>
      <c r="X69" s="2230">
        <f t="shared" si="7"/>
        <v>10937.5</v>
      </c>
      <c r="Y69" s="2230"/>
    </row>
    <row r="70" spans="1:27">
      <c r="A70" s="1663"/>
      <c r="C70" s="1494" t="s">
        <v>51</v>
      </c>
      <c r="D70" s="2778">
        <v>0</v>
      </c>
      <c r="E70" s="1671">
        <v>0</v>
      </c>
      <c r="F70" s="1491">
        <v>0</v>
      </c>
      <c r="H70" s="2224" t="s">
        <v>1299</v>
      </c>
      <c r="I70" s="2229">
        <v>190</v>
      </c>
      <c r="J70" s="2226" t="s">
        <v>110</v>
      </c>
      <c r="K70" s="2224" t="s">
        <v>845</v>
      </c>
      <c r="L70" s="2227">
        <v>81.900000000000006</v>
      </c>
      <c r="M70" s="2227">
        <v>47.5</v>
      </c>
      <c r="N70" s="2250">
        <v>9.0201119790140945E-3</v>
      </c>
      <c r="O70" s="2224">
        <v>12</v>
      </c>
      <c r="P70" s="2225" t="s">
        <v>996</v>
      </c>
      <c r="Q70" s="2229"/>
      <c r="R70" s="2229">
        <v>500</v>
      </c>
      <c r="S70" s="2228"/>
      <c r="T70" s="2986"/>
      <c r="U70" s="2228">
        <f t="shared" si="6"/>
        <v>95000</v>
      </c>
      <c r="V70" s="2228"/>
      <c r="W70" s="2990"/>
      <c r="X70" s="2230">
        <f t="shared" si="7"/>
        <v>23750</v>
      </c>
      <c r="Y70" s="2230"/>
    </row>
    <row r="71" spans="1:27">
      <c r="D71" s="2767"/>
      <c r="H71" s="2224" t="s">
        <v>1913</v>
      </c>
      <c r="I71" s="2229">
        <v>43</v>
      </c>
      <c r="J71" s="2226" t="s">
        <v>110</v>
      </c>
      <c r="K71" s="2224" t="s">
        <v>845</v>
      </c>
      <c r="L71" s="2227">
        <v>18.7</v>
      </c>
      <c r="M71" s="2227">
        <v>18.7</v>
      </c>
      <c r="N71" s="2250">
        <v>1.1227665700193859E-3</v>
      </c>
      <c r="O71" s="2224">
        <v>12</v>
      </c>
      <c r="P71" s="2225" t="s">
        <v>996</v>
      </c>
      <c r="Q71" s="2229"/>
      <c r="R71" s="2229">
        <v>275</v>
      </c>
      <c r="S71" s="2228"/>
      <c r="T71" s="2986"/>
      <c r="U71" s="2228">
        <f t="shared" si="6"/>
        <v>11825</v>
      </c>
      <c r="V71" s="2228"/>
      <c r="W71" s="2990"/>
      <c r="X71" s="2230">
        <f t="shared" si="7"/>
        <v>5142.5</v>
      </c>
      <c r="Y71" s="2230"/>
    </row>
    <row r="72" spans="1:27">
      <c r="D72" s="2767"/>
      <c r="H72" s="2224" t="s">
        <v>1914</v>
      </c>
      <c r="I72" s="2229">
        <v>44</v>
      </c>
      <c r="J72" s="2226" t="s">
        <v>110</v>
      </c>
      <c r="K72" s="2224" t="s">
        <v>845</v>
      </c>
      <c r="L72" s="2227">
        <v>18.7</v>
      </c>
      <c r="M72" s="2227">
        <v>18.7</v>
      </c>
      <c r="N72" s="2250">
        <v>2.0888680372453694E-4</v>
      </c>
      <c r="O72" s="2224">
        <v>3</v>
      </c>
      <c r="P72" s="2225" t="s">
        <v>996</v>
      </c>
      <c r="Q72" s="2229"/>
      <c r="R72" s="2229">
        <v>50</v>
      </c>
      <c r="S72" s="2228"/>
      <c r="T72" s="2986"/>
      <c r="U72" s="2228">
        <f t="shared" si="6"/>
        <v>2200</v>
      </c>
      <c r="V72" s="2228"/>
      <c r="W72" s="2990"/>
      <c r="X72" s="2230">
        <f t="shared" si="7"/>
        <v>935</v>
      </c>
      <c r="Y72" s="2230"/>
    </row>
    <row r="73" spans="1:27">
      <c r="D73" s="2767"/>
      <c r="H73" s="2224" t="s">
        <v>1915</v>
      </c>
      <c r="I73" s="2229">
        <v>46</v>
      </c>
      <c r="J73" s="2226" t="s">
        <v>110</v>
      </c>
      <c r="K73" s="2224" t="s">
        <v>845</v>
      </c>
      <c r="L73" s="2227">
        <v>18.7</v>
      </c>
      <c r="M73" s="2227">
        <v>18.7</v>
      </c>
      <c r="N73" s="2250">
        <v>6.5514497531786583E-3</v>
      </c>
      <c r="O73" s="2224">
        <v>3</v>
      </c>
      <c r="P73" s="2225" t="s">
        <v>996</v>
      </c>
      <c r="Q73" s="2229"/>
      <c r="R73" s="2229">
        <v>1500</v>
      </c>
      <c r="S73" s="2228"/>
      <c r="T73" s="2986"/>
      <c r="U73" s="2228">
        <f t="shared" si="6"/>
        <v>69000</v>
      </c>
      <c r="V73" s="2228"/>
      <c r="W73" s="2990"/>
      <c r="X73" s="2230">
        <f t="shared" si="7"/>
        <v>28050</v>
      </c>
      <c r="Y73" s="2230"/>
    </row>
    <row r="74" spans="1:27">
      <c r="D74" s="2767"/>
      <c r="H74" s="2224" t="s">
        <v>1916</v>
      </c>
      <c r="I74" s="2229">
        <v>58</v>
      </c>
      <c r="J74" s="2226" t="s">
        <v>110</v>
      </c>
      <c r="K74" s="2224" t="s">
        <v>845</v>
      </c>
      <c r="L74" s="2227">
        <v>18.7</v>
      </c>
      <c r="M74" s="2227">
        <v>18.7</v>
      </c>
      <c r="N74" s="2250">
        <v>1.3767539336389935E-3</v>
      </c>
      <c r="O74" s="2224">
        <v>3</v>
      </c>
      <c r="P74" s="2225" t="s">
        <v>996</v>
      </c>
      <c r="Q74" s="2229"/>
      <c r="R74" s="2229">
        <v>250</v>
      </c>
      <c r="S74" s="2228"/>
      <c r="T74" s="2986"/>
      <c r="U74" s="2228">
        <f t="shared" si="6"/>
        <v>14500</v>
      </c>
      <c r="V74" s="2228"/>
      <c r="W74" s="2990"/>
      <c r="X74" s="2230">
        <f t="shared" si="7"/>
        <v>4675</v>
      </c>
      <c r="Y74" s="2230"/>
    </row>
    <row r="75" spans="1:27">
      <c r="D75" s="2767"/>
      <c r="H75" s="2224" t="s">
        <v>1917</v>
      </c>
      <c r="I75" s="2229">
        <v>64</v>
      </c>
      <c r="J75" s="2226" t="s">
        <v>110</v>
      </c>
      <c r="K75" s="2224" t="s">
        <v>845</v>
      </c>
      <c r="L75" s="2227">
        <v>18.7</v>
      </c>
      <c r="M75" s="2227">
        <v>18.7</v>
      </c>
      <c r="N75" s="2250">
        <v>3.0146163719336577E-4</v>
      </c>
      <c r="O75" s="2224">
        <v>3</v>
      </c>
      <c r="P75" s="2225" t="s">
        <v>996</v>
      </c>
      <c r="Q75" s="2229"/>
      <c r="R75" s="2229">
        <v>50</v>
      </c>
      <c r="S75" s="2228"/>
      <c r="T75" s="2986"/>
      <c r="U75" s="2228">
        <f t="shared" si="6"/>
        <v>3200</v>
      </c>
      <c r="V75" s="2228"/>
      <c r="W75" s="2990"/>
      <c r="X75" s="2230">
        <f t="shared" si="7"/>
        <v>935</v>
      </c>
      <c r="Y75" s="2230"/>
    </row>
    <row r="76" spans="1:27">
      <c r="D76" s="2767"/>
      <c r="H76" s="2224" t="s">
        <v>1918</v>
      </c>
      <c r="I76" s="2229">
        <v>70</v>
      </c>
      <c r="J76" s="2226" t="s">
        <v>110</v>
      </c>
      <c r="K76" s="2224" t="s">
        <v>845</v>
      </c>
      <c r="L76" s="2227">
        <v>18.7</v>
      </c>
      <c r="M76" s="2227">
        <v>18.7</v>
      </c>
      <c r="N76" s="2250">
        <v>3.2994620133762085E-4</v>
      </c>
      <c r="O76" s="2224">
        <v>3</v>
      </c>
      <c r="P76" s="2225" t="s">
        <v>996</v>
      </c>
      <c r="Q76" s="2229"/>
      <c r="R76" s="2229">
        <v>50</v>
      </c>
      <c r="S76" s="2228"/>
      <c r="T76" s="2986"/>
      <c r="U76" s="2228">
        <f t="shared" si="6"/>
        <v>3500</v>
      </c>
      <c r="V76" s="2228"/>
      <c r="W76" s="2990"/>
      <c r="X76" s="2230">
        <f t="shared" si="7"/>
        <v>935</v>
      </c>
      <c r="Y76" s="2230"/>
    </row>
    <row r="77" spans="1:27">
      <c r="D77" s="2767"/>
      <c r="H77" s="2224" t="s">
        <v>1919</v>
      </c>
      <c r="I77" s="2229">
        <v>85</v>
      </c>
      <c r="J77" s="2226" t="s">
        <v>110</v>
      </c>
      <c r="K77" s="2224" t="s">
        <v>845</v>
      </c>
      <c r="L77" s="2227">
        <v>18.7</v>
      </c>
      <c r="M77" s="2227">
        <v>18.7</v>
      </c>
      <c r="N77" s="2250">
        <v>4.0115761169825844E-3</v>
      </c>
      <c r="O77" s="2224">
        <v>3</v>
      </c>
      <c r="P77" s="2225" t="s">
        <v>996</v>
      </c>
      <c r="Q77" s="2229"/>
      <c r="R77" s="2229">
        <v>500</v>
      </c>
      <c r="S77" s="2228"/>
      <c r="T77" s="2986"/>
      <c r="U77" s="2228">
        <f t="shared" si="6"/>
        <v>42500</v>
      </c>
      <c r="V77" s="2228"/>
      <c r="W77" s="2990"/>
      <c r="X77" s="2230">
        <f t="shared" si="7"/>
        <v>9350</v>
      </c>
      <c r="Y77" s="2230"/>
    </row>
    <row r="78" spans="1:27">
      <c r="D78" s="2767"/>
      <c r="H78" s="2224" t="s">
        <v>1920</v>
      </c>
      <c r="I78" s="2229">
        <v>158</v>
      </c>
      <c r="J78" s="2226" t="s">
        <v>110</v>
      </c>
      <c r="K78" s="2224" t="s">
        <v>845</v>
      </c>
      <c r="L78" s="2227">
        <v>18.7</v>
      </c>
      <c r="M78" s="2227">
        <v>18.7</v>
      </c>
      <c r="N78" s="2250">
        <v>3.7385990439334736E-3</v>
      </c>
      <c r="O78" s="2224">
        <v>3</v>
      </c>
      <c r="P78" s="2225" t="s">
        <v>996</v>
      </c>
      <c r="Q78" s="2229"/>
      <c r="R78" s="2229">
        <v>250</v>
      </c>
      <c r="S78" s="2228"/>
      <c r="T78" s="2986"/>
      <c r="U78" s="2228">
        <f t="shared" si="6"/>
        <v>39500</v>
      </c>
      <c r="V78" s="2228"/>
      <c r="W78" s="2990"/>
      <c r="X78" s="2230">
        <f t="shared" si="7"/>
        <v>4675</v>
      </c>
      <c r="Y78" s="2230"/>
    </row>
    <row r="79" spans="1:27">
      <c r="D79" s="2767"/>
      <c r="H79" s="2224" t="s">
        <v>1921</v>
      </c>
      <c r="I79" s="2229">
        <v>68</v>
      </c>
      <c r="J79" s="2226" t="s">
        <v>110</v>
      </c>
      <c r="K79" s="2224" t="s">
        <v>845</v>
      </c>
      <c r="L79" s="2227">
        <v>19.68</v>
      </c>
      <c r="M79" s="2227">
        <v>19.68</v>
      </c>
      <c r="N79" s="2250">
        <v>1.6141253015077854E-3</v>
      </c>
      <c r="O79" s="2224">
        <v>3</v>
      </c>
      <c r="P79" s="2225" t="s">
        <v>996</v>
      </c>
      <c r="Q79" s="2229"/>
      <c r="R79" s="2229">
        <v>250</v>
      </c>
      <c r="S79" s="2228"/>
      <c r="T79" s="2986"/>
      <c r="U79" s="2228">
        <f t="shared" si="6"/>
        <v>17000</v>
      </c>
      <c r="V79" s="2228"/>
      <c r="W79" s="2990"/>
      <c r="X79" s="2230">
        <f t="shared" si="7"/>
        <v>4920</v>
      </c>
      <c r="Y79" s="2230"/>
    </row>
    <row r="80" spans="1:27">
      <c r="D80" s="2767"/>
      <c r="H80" s="2224" t="s">
        <v>1922</v>
      </c>
      <c r="I80" s="2229">
        <v>70</v>
      </c>
      <c r="J80" s="2226" t="s">
        <v>110</v>
      </c>
      <c r="K80" s="2224" t="s">
        <v>845</v>
      </c>
      <c r="L80" s="2227">
        <v>19.68</v>
      </c>
      <c r="M80" s="2227">
        <v>19.68</v>
      </c>
      <c r="N80" s="2250">
        <v>3.2994620133762085E-4</v>
      </c>
      <c r="O80" s="2224">
        <v>3</v>
      </c>
      <c r="P80" s="2225" t="s">
        <v>996</v>
      </c>
      <c r="Q80" s="2229"/>
      <c r="R80" s="2229">
        <v>50</v>
      </c>
      <c r="S80" s="2228"/>
      <c r="T80" s="2986"/>
      <c r="U80" s="2228">
        <f t="shared" ref="U80:U111" si="9">I80*R80</f>
        <v>3500</v>
      </c>
      <c r="V80" s="2228"/>
      <c r="W80" s="2990"/>
      <c r="X80" s="2230">
        <f t="shared" ref="X80:X111" si="10">M80*R80</f>
        <v>984</v>
      </c>
      <c r="Y80" s="2230"/>
    </row>
    <row r="81" spans="4:25">
      <c r="D81" s="2767"/>
      <c r="H81" s="2224" t="s">
        <v>1923</v>
      </c>
      <c r="I81" s="2229">
        <v>72</v>
      </c>
      <c r="J81" s="2226" t="s">
        <v>110</v>
      </c>
      <c r="K81" s="2224" t="s">
        <v>845</v>
      </c>
      <c r="L81" s="2227">
        <v>19.68</v>
      </c>
      <c r="M81" s="2227">
        <v>19.68</v>
      </c>
      <c r="N81" s="2250">
        <v>3.4181476973106043E-4</v>
      </c>
      <c r="O81" s="2224">
        <v>3</v>
      </c>
      <c r="P81" s="2225" t="s">
        <v>996</v>
      </c>
      <c r="Q81" s="2229"/>
      <c r="R81" s="2229">
        <v>50</v>
      </c>
      <c r="S81" s="2228"/>
      <c r="T81" s="2986"/>
      <c r="U81" s="2228">
        <f t="shared" si="9"/>
        <v>3600</v>
      </c>
      <c r="V81" s="2228"/>
      <c r="W81" s="2990"/>
      <c r="X81" s="2230">
        <f t="shared" si="10"/>
        <v>984</v>
      </c>
      <c r="Y81" s="2230"/>
    </row>
    <row r="82" spans="4:25">
      <c r="D82" s="2767"/>
      <c r="H82" s="2224" t="s">
        <v>1924</v>
      </c>
      <c r="I82" s="2229">
        <v>91</v>
      </c>
      <c r="J82" s="2226" t="s">
        <v>110</v>
      </c>
      <c r="K82" s="2224" t="s">
        <v>845</v>
      </c>
      <c r="L82" s="2227">
        <v>19.68</v>
      </c>
      <c r="M82" s="2227">
        <v>19.68</v>
      </c>
      <c r="N82" s="2250">
        <v>2.1482108792125674E-2</v>
      </c>
      <c r="O82" s="2224">
        <v>3</v>
      </c>
      <c r="P82" s="2225" t="s">
        <v>996</v>
      </c>
      <c r="Q82" s="2229"/>
      <c r="R82" s="2229">
        <v>2500</v>
      </c>
      <c r="S82" s="2228"/>
      <c r="T82" s="2986"/>
      <c r="U82" s="2228">
        <f t="shared" si="9"/>
        <v>227500</v>
      </c>
      <c r="V82" s="2228"/>
      <c r="W82" s="2990"/>
      <c r="X82" s="2230">
        <f t="shared" si="10"/>
        <v>49200</v>
      </c>
      <c r="Y82" s="2230"/>
    </row>
    <row r="83" spans="4:25">
      <c r="D83" s="2767"/>
      <c r="H83" s="2224" t="s">
        <v>1925</v>
      </c>
      <c r="I83" s="2229">
        <v>100</v>
      </c>
      <c r="J83" s="2226" t="s">
        <v>110</v>
      </c>
      <c r="K83" s="2224" t="s">
        <v>845</v>
      </c>
      <c r="L83" s="2227">
        <v>19.68</v>
      </c>
      <c r="M83" s="2227">
        <v>19.68</v>
      </c>
      <c r="N83" s="2250">
        <v>4.7236902205889599E-4</v>
      </c>
      <c r="O83" s="2224">
        <v>3</v>
      </c>
      <c r="P83" s="2225" t="s">
        <v>996</v>
      </c>
      <c r="Q83" s="2229"/>
      <c r="R83" s="2229">
        <v>50</v>
      </c>
      <c r="S83" s="2228"/>
      <c r="T83" s="2986"/>
      <c r="U83" s="2228">
        <f t="shared" si="9"/>
        <v>5000</v>
      </c>
      <c r="V83" s="2228"/>
      <c r="W83" s="2990"/>
      <c r="X83" s="2230">
        <f t="shared" si="10"/>
        <v>984</v>
      </c>
      <c r="Y83" s="2230"/>
    </row>
    <row r="84" spans="4:25">
      <c r="D84" s="2767"/>
      <c r="E84" s="1652"/>
      <c r="H84" s="2224" t="s">
        <v>1926</v>
      </c>
      <c r="I84" s="2229">
        <v>109</v>
      </c>
      <c r="J84" s="2226" t="s">
        <v>110</v>
      </c>
      <c r="K84" s="2224" t="s">
        <v>845</v>
      </c>
      <c r="L84" s="2227">
        <v>19.68</v>
      </c>
      <c r="M84" s="2227">
        <v>19.68</v>
      </c>
      <c r="N84" s="2250">
        <v>5.1509586827527853E-4</v>
      </c>
      <c r="O84" s="2224">
        <v>3</v>
      </c>
      <c r="P84" s="2225" t="s">
        <v>996</v>
      </c>
      <c r="Q84" s="2229"/>
      <c r="R84" s="2229">
        <v>50</v>
      </c>
      <c r="S84" s="2228"/>
      <c r="T84" s="2986"/>
      <c r="U84" s="2228">
        <f t="shared" si="9"/>
        <v>5450</v>
      </c>
      <c r="V84" s="2228"/>
      <c r="W84" s="2990"/>
      <c r="X84" s="2230">
        <f t="shared" si="10"/>
        <v>984</v>
      </c>
      <c r="Y84" s="2230"/>
    </row>
    <row r="85" spans="4:25">
      <c r="D85" s="2767"/>
      <c r="E85" s="1652"/>
      <c r="H85" s="2224" t="s">
        <v>1927</v>
      </c>
      <c r="I85" s="2229">
        <v>134</v>
      </c>
      <c r="J85" s="2226" t="s">
        <v>110</v>
      </c>
      <c r="K85" s="2224" t="s">
        <v>845</v>
      </c>
      <c r="L85" s="2227">
        <v>19.68</v>
      </c>
      <c r="M85" s="2227">
        <v>19.68</v>
      </c>
      <c r="N85" s="2250">
        <v>3.1689077610483726E-3</v>
      </c>
      <c r="O85" s="2224">
        <v>3</v>
      </c>
      <c r="P85" s="2225" t="s">
        <v>996</v>
      </c>
      <c r="Q85" s="2229"/>
      <c r="R85" s="2229">
        <v>250</v>
      </c>
      <c r="S85" s="2228"/>
      <c r="T85" s="2986"/>
      <c r="U85" s="2228">
        <f t="shared" si="9"/>
        <v>33500</v>
      </c>
      <c r="V85" s="2228"/>
      <c r="W85" s="2990"/>
      <c r="X85" s="2230">
        <f t="shared" si="10"/>
        <v>4920</v>
      </c>
      <c r="Y85" s="2230"/>
    </row>
    <row r="86" spans="4:25">
      <c r="D86" s="2767"/>
      <c r="E86" s="1652"/>
      <c r="H86" s="2224" t="s">
        <v>1928</v>
      </c>
      <c r="I86" s="2229">
        <v>247</v>
      </c>
      <c r="J86" s="2226" t="s">
        <v>110</v>
      </c>
      <c r="K86" s="2224" t="s">
        <v>845</v>
      </c>
      <c r="L86" s="2227">
        <v>19.68</v>
      </c>
      <c r="M86" s="2227">
        <v>19.68</v>
      </c>
      <c r="N86" s="2250">
        <v>5.8630727863591614E-3</v>
      </c>
      <c r="O86" s="2224">
        <v>3</v>
      </c>
      <c r="P86" s="2225" t="s">
        <v>996</v>
      </c>
      <c r="Q86" s="2229"/>
      <c r="R86" s="2229">
        <v>250</v>
      </c>
      <c r="S86" s="2228"/>
      <c r="T86" s="2986"/>
      <c r="U86" s="2228">
        <f t="shared" si="9"/>
        <v>61750</v>
      </c>
      <c r="V86" s="2228"/>
      <c r="W86" s="2990"/>
      <c r="X86" s="2230">
        <f t="shared" si="10"/>
        <v>4920</v>
      </c>
      <c r="Y86" s="2230"/>
    </row>
    <row r="87" spans="4:25">
      <c r="D87" s="2767"/>
      <c r="E87" s="1652"/>
      <c r="H87" s="2224" t="s">
        <v>1929</v>
      </c>
      <c r="I87" s="2229">
        <v>31</v>
      </c>
      <c r="J87" s="2226" t="s">
        <v>110</v>
      </c>
      <c r="K87" s="2224" t="s">
        <v>845</v>
      </c>
      <c r="L87" s="2227">
        <v>21.07</v>
      </c>
      <c r="M87" s="2227">
        <v>21.07</v>
      </c>
      <c r="N87" s="2250">
        <v>7.3585124039325515E-4</v>
      </c>
      <c r="O87" s="2224">
        <v>3</v>
      </c>
      <c r="P87" s="2225" t="s">
        <v>996</v>
      </c>
      <c r="Q87" s="2229"/>
      <c r="R87" s="2229">
        <v>250</v>
      </c>
      <c r="S87" s="2228"/>
      <c r="T87" s="2986"/>
      <c r="U87" s="2228">
        <f t="shared" si="9"/>
        <v>7750</v>
      </c>
      <c r="V87" s="2228"/>
      <c r="W87" s="2990"/>
      <c r="X87" s="2230">
        <f t="shared" si="10"/>
        <v>5267.5</v>
      </c>
      <c r="Y87" s="2230"/>
    </row>
    <row r="88" spans="4:25">
      <c r="D88" s="2767"/>
      <c r="E88" s="1652"/>
      <c r="H88" s="2224" t="s">
        <v>1930</v>
      </c>
      <c r="I88" s="2229">
        <v>32</v>
      </c>
      <c r="J88" s="2226" t="s">
        <v>110</v>
      </c>
      <c r="K88" s="2224" t="s">
        <v>845</v>
      </c>
      <c r="L88" s="2227">
        <v>21.07</v>
      </c>
      <c r="M88" s="2227">
        <v>21.07</v>
      </c>
      <c r="N88" s="2250">
        <v>1.4954396175733894E-4</v>
      </c>
      <c r="O88" s="2224">
        <v>3</v>
      </c>
      <c r="P88" s="2225" t="s">
        <v>996</v>
      </c>
      <c r="Q88" s="2229"/>
      <c r="R88" s="2229">
        <v>50</v>
      </c>
      <c r="S88" s="2228"/>
      <c r="T88" s="2986"/>
      <c r="U88" s="2228">
        <f t="shared" si="9"/>
        <v>1600</v>
      </c>
      <c r="V88" s="2228"/>
      <c r="W88" s="2990"/>
      <c r="X88" s="2230">
        <f t="shared" si="10"/>
        <v>1053.5</v>
      </c>
      <c r="Y88" s="2230"/>
    </row>
    <row r="89" spans="4:25">
      <c r="D89" s="2767"/>
      <c r="E89" s="1652"/>
      <c r="H89" s="2224" t="s">
        <v>1931</v>
      </c>
      <c r="I89" s="2229">
        <v>33</v>
      </c>
      <c r="J89" s="2226" t="s">
        <v>110</v>
      </c>
      <c r="K89" s="2224" t="s">
        <v>845</v>
      </c>
      <c r="L89" s="2227">
        <v>21.07</v>
      </c>
      <c r="M89" s="2227">
        <v>21.07</v>
      </c>
      <c r="N89" s="2250">
        <v>7.8332551396701345E-4</v>
      </c>
      <c r="O89" s="2224">
        <v>3</v>
      </c>
      <c r="P89" s="2225" t="s">
        <v>996</v>
      </c>
      <c r="Q89" s="2229"/>
      <c r="R89" s="2229">
        <v>250</v>
      </c>
      <c r="S89" s="2228"/>
      <c r="T89" s="2986"/>
      <c r="U89" s="2228">
        <f t="shared" si="9"/>
        <v>8250</v>
      </c>
      <c r="V89" s="2228"/>
      <c r="W89" s="2990"/>
      <c r="X89" s="2230">
        <f t="shared" si="10"/>
        <v>5267.5</v>
      </c>
      <c r="Y89" s="2230"/>
    </row>
    <row r="90" spans="4:25">
      <c r="D90" s="2767"/>
      <c r="E90" s="1652"/>
      <c r="H90" s="2224" t="s">
        <v>1932</v>
      </c>
      <c r="I90" s="2229">
        <v>41</v>
      </c>
      <c r="J90" s="2226" t="s">
        <v>110</v>
      </c>
      <c r="K90" s="2224" t="s">
        <v>845</v>
      </c>
      <c r="L90" s="2227">
        <v>21.07</v>
      </c>
      <c r="M90" s="2227">
        <v>21.07</v>
      </c>
      <c r="N90" s="2250">
        <v>1.9464452165240942E-4</v>
      </c>
      <c r="O90" s="2224">
        <v>3</v>
      </c>
      <c r="P90" s="2225" t="s">
        <v>996</v>
      </c>
      <c r="Q90" s="2229"/>
      <c r="R90" s="2229">
        <v>50</v>
      </c>
      <c r="S90" s="2228"/>
      <c r="T90" s="2986"/>
      <c r="U90" s="2228">
        <f t="shared" si="9"/>
        <v>2050</v>
      </c>
      <c r="V90" s="2228"/>
      <c r="W90" s="2990"/>
      <c r="X90" s="2230">
        <f t="shared" si="10"/>
        <v>1053.5</v>
      </c>
      <c r="Y90" s="2230"/>
    </row>
    <row r="91" spans="4:25">
      <c r="D91" s="2767"/>
      <c r="E91" s="1652"/>
      <c r="H91" s="2224" t="s">
        <v>1933</v>
      </c>
      <c r="I91" s="2229">
        <v>46</v>
      </c>
      <c r="J91" s="2226" t="s">
        <v>110</v>
      </c>
      <c r="K91" s="2224" t="s">
        <v>845</v>
      </c>
      <c r="L91" s="2227">
        <v>21.07</v>
      </c>
      <c r="M91" s="2227">
        <v>21.07</v>
      </c>
      <c r="N91" s="2250">
        <v>1.0800397238030035E-4</v>
      </c>
      <c r="O91" s="2224">
        <v>3</v>
      </c>
      <c r="P91" s="2225" t="s">
        <v>996</v>
      </c>
      <c r="Q91" s="2229"/>
      <c r="R91" s="2229">
        <v>25</v>
      </c>
      <c r="S91" s="2228"/>
      <c r="T91" s="2986"/>
      <c r="U91" s="2228">
        <f t="shared" si="9"/>
        <v>1150</v>
      </c>
      <c r="V91" s="2228"/>
      <c r="W91" s="2990"/>
      <c r="X91" s="2230">
        <f t="shared" si="10"/>
        <v>526.75</v>
      </c>
      <c r="Y91" s="2230"/>
    </row>
    <row r="92" spans="4:25">
      <c r="D92" s="2767"/>
      <c r="E92" s="1652"/>
      <c r="H92" s="2224" t="s">
        <v>1934</v>
      </c>
      <c r="I92" s="2229">
        <v>50</v>
      </c>
      <c r="J92" s="2226" t="s">
        <v>110</v>
      </c>
      <c r="K92" s="2224" t="s">
        <v>845</v>
      </c>
      <c r="L92" s="2227">
        <v>21.07</v>
      </c>
      <c r="M92" s="2227">
        <v>21.07</v>
      </c>
      <c r="N92" s="2250">
        <v>5.863072786359162E-4</v>
      </c>
      <c r="O92" s="2224">
        <v>3</v>
      </c>
      <c r="P92" s="2225" t="s">
        <v>996</v>
      </c>
      <c r="Q92" s="2229"/>
      <c r="R92" s="2229">
        <v>100</v>
      </c>
      <c r="S92" s="2228"/>
      <c r="T92" s="2986"/>
      <c r="U92" s="2228">
        <f t="shared" si="9"/>
        <v>5000</v>
      </c>
      <c r="V92" s="2228"/>
      <c r="W92" s="2990"/>
      <c r="X92" s="2230">
        <f t="shared" si="10"/>
        <v>2107</v>
      </c>
      <c r="Y92" s="2230"/>
    </row>
    <row r="93" spans="4:25">
      <c r="D93" s="2767"/>
      <c r="E93" s="1652"/>
      <c r="H93" s="2224" t="s">
        <v>1935</v>
      </c>
      <c r="I93" s="2229">
        <v>61</v>
      </c>
      <c r="J93" s="2226" t="s">
        <v>110</v>
      </c>
      <c r="K93" s="2224" t="s">
        <v>845</v>
      </c>
      <c r="L93" s="2227">
        <v>21.07</v>
      </c>
      <c r="M93" s="2227">
        <v>21.07</v>
      </c>
      <c r="N93" s="2250">
        <v>1.4360967756061913E-4</v>
      </c>
      <c r="O93" s="2224">
        <v>3</v>
      </c>
      <c r="P93" s="2225" t="s">
        <v>996</v>
      </c>
      <c r="Q93" s="2229"/>
      <c r="R93" s="2229">
        <v>25</v>
      </c>
      <c r="S93" s="2228"/>
      <c r="T93" s="2986"/>
      <c r="U93" s="2228">
        <f t="shared" si="9"/>
        <v>1525</v>
      </c>
      <c r="V93" s="2228"/>
      <c r="W93" s="2990"/>
      <c r="X93" s="2230">
        <f t="shared" si="10"/>
        <v>526.75</v>
      </c>
      <c r="Y93" s="2230"/>
    </row>
    <row r="94" spans="4:25">
      <c r="E94" s="1652"/>
      <c r="H94" s="2224" t="s">
        <v>1936</v>
      </c>
      <c r="I94" s="2229">
        <v>113</v>
      </c>
      <c r="J94" s="2226" t="s">
        <v>110</v>
      </c>
      <c r="K94" s="2224" t="s">
        <v>845</v>
      </c>
      <c r="L94" s="2227">
        <v>21.07</v>
      </c>
      <c r="M94" s="2227">
        <v>21.07</v>
      </c>
      <c r="N94" s="2250">
        <v>1.6022567331143457E-3</v>
      </c>
      <c r="O94" s="2224">
        <v>3</v>
      </c>
      <c r="P94" s="2225" t="s">
        <v>996</v>
      </c>
      <c r="Q94" s="2229"/>
      <c r="R94" s="2229">
        <v>150</v>
      </c>
      <c r="S94" s="2228"/>
      <c r="T94" s="2986"/>
      <c r="U94" s="2228">
        <f t="shared" si="9"/>
        <v>16950</v>
      </c>
      <c r="V94" s="2228"/>
      <c r="W94" s="2990"/>
      <c r="X94" s="2230">
        <f t="shared" si="10"/>
        <v>3160.5</v>
      </c>
      <c r="Y94" s="2230"/>
    </row>
    <row r="95" spans="4:25">
      <c r="E95" s="1652"/>
      <c r="H95" s="2224" t="s">
        <v>1937</v>
      </c>
      <c r="I95" s="2229">
        <v>58</v>
      </c>
      <c r="J95" s="2226" t="s">
        <v>110</v>
      </c>
      <c r="K95" s="2224" t="s">
        <v>845</v>
      </c>
      <c r="L95" s="2227">
        <v>32.409999999999997</v>
      </c>
      <c r="M95" s="2227">
        <v>32.409999999999997</v>
      </c>
      <c r="N95" s="2250">
        <v>5.5070157345559736E-4</v>
      </c>
      <c r="O95" s="2224">
        <v>3</v>
      </c>
      <c r="P95" s="2225" t="s">
        <v>996</v>
      </c>
      <c r="Q95" s="2229"/>
      <c r="R95" s="2229">
        <v>100</v>
      </c>
      <c r="S95" s="2228"/>
      <c r="T95" s="2986"/>
      <c r="U95" s="2228">
        <f t="shared" si="9"/>
        <v>5800</v>
      </c>
      <c r="V95" s="2228"/>
      <c r="W95" s="2990"/>
      <c r="X95" s="2230">
        <f t="shared" si="10"/>
        <v>3240.9999999999995</v>
      </c>
      <c r="Y95" s="2230"/>
    </row>
    <row r="96" spans="4:25">
      <c r="E96" s="1652"/>
      <c r="H96" s="2224" t="s">
        <v>1938</v>
      </c>
      <c r="I96" s="2229">
        <v>59</v>
      </c>
      <c r="J96" s="2226" t="s">
        <v>110</v>
      </c>
      <c r="K96" s="2224" t="s">
        <v>845</v>
      </c>
      <c r="L96" s="2227">
        <v>32.409999999999997</v>
      </c>
      <c r="M96" s="2227">
        <v>32.409999999999997</v>
      </c>
      <c r="N96" s="2250">
        <v>2.800982140851745E-4</v>
      </c>
      <c r="O96" s="2224">
        <v>3</v>
      </c>
      <c r="P96" s="2225" t="s">
        <v>996</v>
      </c>
      <c r="Q96" s="2229"/>
      <c r="R96" s="2229">
        <v>50</v>
      </c>
      <c r="S96" s="2228"/>
      <c r="T96" s="2986"/>
      <c r="U96" s="2228">
        <f t="shared" si="9"/>
        <v>2950</v>
      </c>
      <c r="V96" s="2228"/>
      <c r="W96" s="2990"/>
      <c r="X96" s="2230">
        <f t="shared" si="10"/>
        <v>1620.4999999999998</v>
      </c>
      <c r="Y96" s="2230"/>
    </row>
    <row r="97" spans="5:25">
      <c r="E97" s="1652"/>
      <c r="H97" s="2224" t="s">
        <v>1939</v>
      </c>
      <c r="I97" s="2229">
        <v>61</v>
      </c>
      <c r="J97" s="2226" t="s">
        <v>110</v>
      </c>
      <c r="K97" s="2224" t="s">
        <v>845</v>
      </c>
      <c r="L97" s="2227">
        <v>32.409999999999997</v>
      </c>
      <c r="M97" s="2227">
        <v>32.409999999999997</v>
      </c>
      <c r="N97" s="2250">
        <v>7.2398267199981546E-4</v>
      </c>
      <c r="O97" s="2224">
        <v>3</v>
      </c>
      <c r="P97" s="2225" t="s">
        <v>996</v>
      </c>
      <c r="Q97" s="2229"/>
      <c r="R97" s="2229">
        <v>125</v>
      </c>
      <c r="S97" s="2228"/>
      <c r="T97" s="2986"/>
      <c r="U97" s="2228">
        <f t="shared" si="9"/>
        <v>7625</v>
      </c>
      <c r="V97" s="2228"/>
      <c r="W97" s="2990"/>
      <c r="X97" s="2230">
        <f t="shared" si="10"/>
        <v>4051.2499999999995</v>
      </c>
      <c r="Y97" s="2230"/>
    </row>
    <row r="98" spans="5:25">
      <c r="E98" s="1652"/>
      <c r="H98" s="2224" t="s">
        <v>1940</v>
      </c>
      <c r="I98" s="2229">
        <v>77</v>
      </c>
      <c r="J98" s="2226" t="s">
        <v>110</v>
      </c>
      <c r="K98" s="2224" t="s">
        <v>845</v>
      </c>
      <c r="L98" s="2227">
        <v>32.409999999999997</v>
      </c>
      <c r="M98" s="2227">
        <v>32.409999999999997</v>
      </c>
      <c r="N98" s="2250">
        <v>5.4832785977690941E-3</v>
      </c>
      <c r="O98" s="2224">
        <v>3</v>
      </c>
      <c r="P98" s="2225" t="s">
        <v>996</v>
      </c>
      <c r="Q98" s="2229"/>
      <c r="R98" s="2229">
        <v>750</v>
      </c>
      <c r="S98" s="2228"/>
      <c r="T98" s="2986"/>
      <c r="U98" s="2228">
        <f t="shared" si="9"/>
        <v>57750</v>
      </c>
      <c r="V98" s="2228"/>
      <c r="W98" s="2990"/>
      <c r="X98" s="2230">
        <f t="shared" si="10"/>
        <v>24307.499999999996</v>
      </c>
      <c r="Y98" s="2230"/>
    </row>
    <row r="99" spans="5:25">
      <c r="E99" s="1652"/>
      <c r="H99" s="2224" t="s">
        <v>1941</v>
      </c>
      <c r="I99" s="2229">
        <v>84</v>
      </c>
      <c r="J99" s="2226" t="s">
        <v>110</v>
      </c>
      <c r="K99" s="2224" t="s">
        <v>845</v>
      </c>
      <c r="L99" s="2227">
        <v>32.409999999999997</v>
      </c>
      <c r="M99" s="2227">
        <v>32.409999999999997</v>
      </c>
      <c r="N99" s="2250">
        <v>3.9878389801957048E-4</v>
      </c>
      <c r="O99" s="2224">
        <v>3</v>
      </c>
      <c r="P99" s="2225" t="s">
        <v>996</v>
      </c>
      <c r="Q99" s="2229"/>
      <c r="R99" s="2229">
        <v>50</v>
      </c>
      <c r="S99" s="2228"/>
      <c r="T99" s="2986"/>
      <c r="U99" s="2228">
        <f t="shared" si="9"/>
        <v>4200</v>
      </c>
      <c r="V99" s="2228"/>
      <c r="W99" s="2990"/>
      <c r="X99" s="2230">
        <f t="shared" si="10"/>
        <v>1620.4999999999998</v>
      </c>
      <c r="Y99" s="2230"/>
    </row>
    <row r="100" spans="5:25">
      <c r="E100" s="1652"/>
      <c r="H100" s="2224" t="s">
        <v>1942</v>
      </c>
      <c r="I100" s="2229">
        <v>92</v>
      </c>
      <c r="J100" s="2226" t="s">
        <v>110</v>
      </c>
      <c r="K100" s="2224" t="s">
        <v>845</v>
      </c>
      <c r="L100" s="2227">
        <v>32.409999999999997</v>
      </c>
      <c r="M100" s="2227">
        <v>32.409999999999997</v>
      </c>
      <c r="N100" s="2250">
        <v>4.367633168785772E-4</v>
      </c>
      <c r="O100" s="2224">
        <v>3</v>
      </c>
      <c r="P100" s="2225" t="s">
        <v>996</v>
      </c>
      <c r="Q100" s="2229"/>
      <c r="R100" s="2229">
        <v>50</v>
      </c>
      <c r="S100" s="2228"/>
      <c r="T100" s="2986"/>
      <c r="U100" s="2228">
        <f t="shared" si="9"/>
        <v>4600</v>
      </c>
      <c r="V100" s="2228"/>
      <c r="W100" s="2990"/>
      <c r="X100" s="2230">
        <f t="shared" si="10"/>
        <v>1620.4999999999998</v>
      </c>
      <c r="Y100" s="2230"/>
    </row>
    <row r="101" spans="5:25">
      <c r="E101" s="1652"/>
      <c r="H101" s="2224" t="s">
        <v>1943</v>
      </c>
      <c r="I101" s="2229">
        <v>113</v>
      </c>
      <c r="J101" s="2226" t="s">
        <v>110</v>
      </c>
      <c r="K101" s="2224" t="s">
        <v>845</v>
      </c>
      <c r="L101" s="2227">
        <v>32.409999999999997</v>
      </c>
      <c r="M101" s="2227">
        <v>32.409999999999997</v>
      </c>
      <c r="N101" s="2250">
        <v>2.6822964569173493E-4</v>
      </c>
      <c r="O101" s="2224">
        <v>3</v>
      </c>
      <c r="P101" s="2225" t="s">
        <v>996</v>
      </c>
      <c r="Q101" s="2229"/>
      <c r="R101" s="2229">
        <v>25</v>
      </c>
      <c r="S101" s="2228"/>
      <c r="T101" s="2986"/>
      <c r="U101" s="2228">
        <f t="shared" si="9"/>
        <v>2825</v>
      </c>
      <c r="V101" s="2228"/>
      <c r="W101" s="2990"/>
      <c r="X101" s="2230">
        <f t="shared" si="10"/>
        <v>810.24999999999989</v>
      </c>
      <c r="Y101" s="2230"/>
    </row>
    <row r="102" spans="5:25">
      <c r="E102" s="1652"/>
      <c r="H102" s="2224" t="s">
        <v>1944</v>
      </c>
      <c r="I102" s="2229">
        <v>210</v>
      </c>
      <c r="J102" s="2226" t="s">
        <v>110</v>
      </c>
      <c r="K102" s="2224" t="s">
        <v>845</v>
      </c>
      <c r="L102" s="2227">
        <v>32.409999999999997</v>
      </c>
      <c r="M102" s="2227">
        <v>32.409999999999997</v>
      </c>
      <c r="N102" s="2250">
        <v>4.9847987252446312E-3</v>
      </c>
      <c r="O102" s="2224">
        <v>3</v>
      </c>
      <c r="P102" s="2225" t="s">
        <v>996</v>
      </c>
      <c r="Q102" s="2229"/>
      <c r="R102" s="2229">
        <v>250</v>
      </c>
      <c r="S102" s="2228"/>
      <c r="T102" s="2986"/>
      <c r="U102" s="2228">
        <f t="shared" si="9"/>
        <v>52500</v>
      </c>
      <c r="V102" s="2228"/>
      <c r="W102" s="2990"/>
      <c r="X102" s="2230">
        <f t="shared" si="10"/>
        <v>8102.4999999999991</v>
      </c>
      <c r="Y102" s="2230"/>
    </row>
    <row r="103" spans="5:25">
      <c r="E103" s="1652"/>
      <c r="H103" s="2224" t="s">
        <v>1945</v>
      </c>
      <c r="I103" s="2229">
        <v>82</v>
      </c>
      <c r="J103" s="2226" t="s">
        <v>110</v>
      </c>
      <c r="K103" s="2224" t="s">
        <v>845</v>
      </c>
      <c r="L103" s="2227">
        <v>36.68</v>
      </c>
      <c r="M103" s="2227">
        <v>36.68</v>
      </c>
      <c r="N103" s="2250">
        <v>1.9464452165240942E-3</v>
      </c>
      <c r="O103" s="2224">
        <v>3</v>
      </c>
      <c r="P103" s="2225" t="s">
        <v>996</v>
      </c>
      <c r="Q103" s="2229"/>
      <c r="R103" s="2229">
        <v>250</v>
      </c>
      <c r="S103" s="2228"/>
      <c r="T103" s="2986"/>
      <c r="U103" s="2228">
        <f t="shared" si="9"/>
        <v>20500</v>
      </c>
      <c r="V103" s="2228"/>
      <c r="W103" s="2990"/>
      <c r="X103" s="2230">
        <f t="shared" si="10"/>
        <v>9170</v>
      </c>
      <c r="Y103" s="2230"/>
    </row>
    <row r="104" spans="5:25">
      <c r="E104" s="1652"/>
      <c r="H104" s="2224" t="s">
        <v>1946</v>
      </c>
      <c r="I104" s="2229">
        <v>84</v>
      </c>
      <c r="J104" s="2226" t="s">
        <v>110</v>
      </c>
      <c r="K104" s="2224" t="s">
        <v>845</v>
      </c>
      <c r="L104" s="2227">
        <v>36.68</v>
      </c>
      <c r="M104" s="2227">
        <v>36.68</v>
      </c>
      <c r="N104" s="2250">
        <v>5.9817584702935578E-4</v>
      </c>
      <c r="O104" s="2224">
        <v>3</v>
      </c>
      <c r="P104" s="2225" t="s">
        <v>996</v>
      </c>
      <c r="Q104" s="2229"/>
      <c r="R104" s="2229">
        <v>75</v>
      </c>
      <c r="S104" s="2228"/>
      <c r="T104" s="2986"/>
      <c r="U104" s="2228">
        <f t="shared" si="9"/>
        <v>6300</v>
      </c>
      <c r="V104" s="2228"/>
      <c r="W104" s="2990"/>
      <c r="X104" s="2230">
        <f t="shared" si="10"/>
        <v>2751</v>
      </c>
      <c r="Y104" s="2230"/>
    </row>
    <row r="105" spans="5:25">
      <c r="E105" s="1652"/>
      <c r="H105" s="2224" t="s">
        <v>1947</v>
      </c>
      <c r="I105" s="2229">
        <v>87</v>
      </c>
      <c r="J105" s="2226" t="s">
        <v>110</v>
      </c>
      <c r="K105" s="2224" t="s">
        <v>845</v>
      </c>
      <c r="L105" s="2227">
        <v>36.68</v>
      </c>
      <c r="M105" s="2227">
        <v>36.68</v>
      </c>
      <c r="N105" s="2250">
        <v>4.13026180091698E-4</v>
      </c>
      <c r="O105" s="2224">
        <v>3</v>
      </c>
      <c r="P105" s="2225" t="s">
        <v>996</v>
      </c>
      <c r="Q105" s="2229"/>
      <c r="R105" s="2229">
        <v>50</v>
      </c>
      <c r="S105" s="2228"/>
      <c r="T105" s="2986"/>
      <c r="U105" s="2228">
        <f t="shared" si="9"/>
        <v>4350</v>
      </c>
      <c r="V105" s="2228"/>
      <c r="W105" s="2990"/>
      <c r="X105" s="2230">
        <f t="shared" si="10"/>
        <v>1834</v>
      </c>
      <c r="Y105" s="2230"/>
    </row>
    <row r="106" spans="5:25">
      <c r="E106" s="1652"/>
      <c r="H106" s="2224" t="s">
        <v>1948</v>
      </c>
      <c r="I106" s="2229">
        <v>110</v>
      </c>
      <c r="J106" s="2226" t="s">
        <v>110</v>
      </c>
      <c r="K106" s="2224" t="s">
        <v>845</v>
      </c>
      <c r="L106" s="2227">
        <v>36.68</v>
      </c>
      <c r="M106" s="2227">
        <v>36.68</v>
      </c>
      <c r="N106" s="2250">
        <v>2.0888680372453694E-3</v>
      </c>
      <c r="O106" s="2224">
        <v>3</v>
      </c>
      <c r="P106" s="2225" t="s">
        <v>996</v>
      </c>
      <c r="Q106" s="2229"/>
      <c r="R106" s="2229">
        <v>200</v>
      </c>
      <c r="S106" s="2228"/>
      <c r="T106" s="2986"/>
      <c r="U106" s="2228">
        <f t="shared" si="9"/>
        <v>22000</v>
      </c>
      <c r="V106" s="2228"/>
      <c r="W106" s="2990"/>
      <c r="X106" s="2230">
        <f t="shared" si="10"/>
        <v>7336</v>
      </c>
      <c r="Y106" s="2230"/>
    </row>
    <row r="107" spans="5:25">
      <c r="E107" s="1652"/>
      <c r="H107" s="2224" t="s">
        <v>1949</v>
      </c>
      <c r="I107" s="2229">
        <v>120</v>
      </c>
      <c r="J107" s="2226" t="s">
        <v>110</v>
      </c>
      <c r="K107" s="2224" t="s">
        <v>845</v>
      </c>
      <c r="L107" s="2227">
        <v>36.68</v>
      </c>
      <c r="M107" s="2227">
        <v>36.68</v>
      </c>
      <c r="N107" s="2250">
        <v>8.5453692432765113E-4</v>
      </c>
      <c r="O107" s="2224">
        <v>3</v>
      </c>
      <c r="P107" s="2225" t="s">
        <v>996</v>
      </c>
      <c r="Q107" s="2229"/>
      <c r="R107" s="2229">
        <v>75</v>
      </c>
      <c r="S107" s="2228"/>
      <c r="T107" s="2986"/>
      <c r="U107" s="2228">
        <f t="shared" si="9"/>
        <v>9000</v>
      </c>
      <c r="V107" s="2228"/>
      <c r="W107" s="2990"/>
      <c r="X107" s="2230">
        <f t="shared" si="10"/>
        <v>2751</v>
      </c>
      <c r="Y107" s="2230"/>
    </row>
    <row r="108" spans="5:25">
      <c r="E108" s="1652"/>
      <c r="H108" s="2224" t="s">
        <v>1950</v>
      </c>
      <c r="I108" s="2229">
        <v>131</v>
      </c>
      <c r="J108" s="2226" t="s">
        <v>110</v>
      </c>
      <c r="K108" s="2224" t="s">
        <v>845</v>
      </c>
      <c r="L108" s="2227">
        <v>36.68</v>
      </c>
      <c r="M108" s="2227">
        <v>36.68</v>
      </c>
      <c r="N108" s="2250">
        <v>9.328694757243524E-4</v>
      </c>
      <c r="O108" s="2224">
        <v>3</v>
      </c>
      <c r="P108" s="2225" t="s">
        <v>996</v>
      </c>
      <c r="Q108" s="2229"/>
      <c r="R108" s="2229">
        <v>75</v>
      </c>
      <c r="S108" s="2228"/>
      <c r="T108" s="2986"/>
      <c r="U108" s="2228">
        <f t="shared" si="9"/>
        <v>9825</v>
      </c>
      <c r="V108" s="2228"/>
      <c r="W108" s="2990"/>
      <c r="X108" s="2230">
        <f t="shared" si="10"/>
        <v>2751</v>
      </c>
      <c r="Y108" s="2230"/>
    </row>
    <row r="109" spans="5:25">
      <c r="E109" s="1652"/>
      <c r="H109" s="2224" t="s">
        <v>1951</v>
      </c>
      <c r="I109" s="2229">
        <v>161</v>
      </c>
      <c r="J109" s="2226" t="s">
        <v>110</v>
      </c>
      <c r="K109" s="2224" t="s">
        <v>845</v>
      </c>
      <c r="L109" s="2227">
        <v>36.68</v>
      </c>
      <c r="M109" s="2227">
        <v>36.68</v>
      </c>
      <c r="N109" s="2250">
        <v>3.8216790226875508E-3</v>
      </c>
      <c r="O109" s="2224">
        <v>3</v>
      </c>
      <c r="P109" s="2225" t="s">
        <v>996</v>
      </c>
      <c r="Q109" s="2229"/>
      <c r="R109" s="2229">
        <v>250</v>
      </c>
      <c r="S109" s="2228"/>
      <c r="T109" s="2986"/>
      <c r="U109" s="2228">
        <f t="shared" si="9"/>
        <v>40250</v>
      </c>
      <c r="V109" s="2228"/>
      <c r="W109" s="2990"/>
      <c r="X109" s="2230">
        <f t="shared" si="10"/>
        <v>9170</v>
      </c>
      <c r="Y109" s="2230"/>
    </row>
    <row r="110" spans="5:25">
      <c r="E110" s="1652"/>
      <c r="H110" s="2224" t="s">
        <v>1952</v>
      </c>
      <c r="I110" s="2229">
        <v>299</v>
      </c>
      <c r="J110" s="2226" t="s">
        <v>110</v>
      </c>
      <c r="K110" s="2224" t="s">
        <v>845</v>
      </c>
      <c r="L110" s="2227">
        <v>36.68</v>
      </c>
      <c r="M110" s="2227">
        <v>36.68</v>
      </c>
      <c r="N110" s="2250">
        <v>4.2584423395661281E-3</v>
      </c>
      <c r="O110" s="2224">
        <v>3</v>
      </c>
      <c r="P110" s="2225" t="s">
        <v>996</v>
      </c>
      <c r="Q110" s="2229"/>
      <c r="R110" s="2229">
        <v>150</v>
      </c>
      <c r="S110" s="2228"/>
      <c r="T110" s="2986"/>
      <c r="U110" s="2228">
        <f t="shared" si="9"/>
        <v>44850</v>
      </c>
      <c r="V110" s="2228"/>
      <c r="W110" s="2990"/>
      <c r="X110" s="2230">
        <f t="shared" si="10"/>
        <v>5502</v>
      </c>
      <c r="Y110" s="2230"/>
    </row>
    <row r="111" spans="5:25">
      <c r="E111" s="1652"/>
      <c r="H111" s="2224" t="s">
        <v>1953</v>
      </c>
      <c r="I111" s="2229">
        <v>70</v>
      </c>
      <c r="J111" s="2226" t="s">
        <v>110</v>
      </c>
      <c r="K111" s="2224" t="s">
        <v>845</v>
      </c>
      <c r="L111" s="2227">
        <v>50.64</v>
      </c>
      <c r="M111" s="2227">
        <v>50.64</v>
      </c>
      <c r="N111" s="2250">
        <v>6.6463983003261747E-4</v>
      </c>
      <c r="O111" s="2224">
        <v>3</v>
      </c>
      <c r="P111" s="2225" t="s">
        <v>996</v>
      </c>
      <c r="Q111" s="2229"/>
      <c r="R111" s="2229">
        <v>100</v>
      </c>
      <c r="S111" s="2228"/>
      <c r="T111" s="2986"/>
      <c r="U111" s="2228">
        <f t="shared" si="9"/>
        <v>7000</v>
      </c>
      <c r="V111" s="2228"/>
      <c r="W111" s="2990"/>
      <c r="X111" s="2230">
        <f t="shared" si="10"/>
        <v>5064</v>
      </c>
      <c r="Y111" s="2230"/>
    </row>
    <row r="112" spans="5:25">
      <c r="E112" s="1652"/>
      <c r="H112" s="2224" t="s">
        <v>1954</v>
      </c>
      <c r="I112" s="2229">
        <v>71</v>
      </c>
      <c r="J112" s="2226" t="s">
        <v>110</v>
      </c>
      <c r="K112" s="2224" t="s">
        <v>845</v>
      </c>
      <c r="L112" s="2227">
        <v>50.64</v>
      </c>
      <c r="M112" s="2227">
        <v>50.64</v>
      </c>
      <c r="N112" s="2250">
        <v>3.3706734237368461E-4</v>
      </c>
      <c r="O112" s="2224">
        <v>3</v>
      </c>
      <c r="P112" s="2225" t="s">
        <v>996</v>
      </c>
      <c r="Q112" s="2229"/>
      <c r="R112" s="2229">
        <v>50</v>
      </c>
      <c r="S112" s="2228"/>
      <c r="T112" s="2986"/>
      <c r="U112" s="2228">
        <f t="shared" ref="U112:U143" si="11">I112*R112</f>
        <v>3550</v>
      </c>
      <c r="V112" s="2228"/>
      <c r="W112" s="2990"/>
      <c r="X112" s="2230">
        <f t="shared" ref="X112:X143" si="12">M112*R112</f>
        <v>2532</v>
      </c>
      <c r="Y112" s="2230"/>
    </row>
    <row r="113" spans="5:25">
      <c r="E113" s="1652"/>
      <c r="H113" s="2224" t="s">
        <v>1955</v>
      </c>
      <c r="I113" s="2229">
        <v>74</v>
      </c>
      <c r="J113" s="2226" t="s">
        <v>110</v>
      </c>
      <c r="K113" s="2224" t="s">
        <v>845</v>
      </c>
      <c r="L113" s="2227">
        <v>50.64</v>
      </c>
      <c r="M113" s="2227">
        <v>50.64</v>
      </c>
      <c r="N113" s="2250">
        <v>1.7565481222290606E-4</v>
      </c>
      <c r="O113" s="2224">
        <v>3</v>
      </c>
      <c r="P113" s="2225" t="s">
        <v>996</v>
      </c>
      <c r="Q113" s="2229"/>
      <c r="R113" s="2229">
        <v>25</v>
      </c>
      <c r="S113" s="2228"/>
      <c r="T113" s="2986"/>
      <c r="U113" s="2228">
        <f t="shared" si="11"/>
        <v>1850</v>
      </c>
      <c r="V113" s="2228"/>
      <c r="W113" s="2990"/>
      <c r="X113" s="2230">
        <f t="shared" si="12"/>
        <v>1266</v>
      </c>
      <c r="Y113" s="2230"/>
    </row>
    <row r="114" spans="5:25">
      <c r="E114" s="1652"/>
      <c r="H114" s="2224" t="s">
        <v>1956</v>
      </c>
      <c r="I114" s="2229">
        <v>93</v>
      </c>
      <c r="J114" s="2226" t="s">
        <v>110</v>
      </c>
      <c r="K114" s="2224" t="s">
        <v>845</v>
      </c>
      <c r="L114" s="2227">
        <v>50.64</v>
      </c>
      <c r="M114" s="2227">
        <v>50.64</v>
      </c>
      <c r="N114" s="2250">
        <v>6.622661163539296E-3</v>
      </c>
      <c r="O114" s="2224">
        <v>3</v>
      </c>
      <c r="P114" s="2225" t="s">
        <v>996</v>
      </c>
      <c r="Q114" s="2229"/>
      <c r="R114" s="2229">
        <v>750</v>
      </c>
      <c r="S114" s="2228"/>
      <c r="T114" s="2986"/>
      <c r="U114" s="2228">
        <f t="shared" si="11"/>
        <v>69750</v>
      </c>
      <c r="V114" s="2228"/>
      <c r="W114" s="2990"/>
      <c r="X114" s="2230">
        <f t="shared" si="12"/>
        <v>37980</v>
      </c>
      <c r="Y114" s="2230"/>
    </row>
    <row r="115" spans="5:25">
      <c r="H115" s="2224" t="s">
        <v>1957</v>
      </c>
      <c r="I115" s="2229">
        <v>103</v>
      </c>
      <c r="J115" s="2226" t="s">
        <v>110</v>
      </c>
      <c r="K115" s="2224" t="s">
        <v>845</v>
      </c>
      <c r="L115" s="2227">
        <v>50.64</v>
      </c>
      <c r="M115" s="2227">
        <v>50.64</v>
      </c>
      <c r="N115" s="2250">
        <v>9.7797003561942285E-5</v>
      </c>
      <c r="O115" s="2224">
        <v>3</v>
      </c>
      <c r="P115" s="2225" t="s">
        <v>996</v>
      </c>
      <c r="Q115" s="2229"/>
      <c r="R115" s="2229">
        <v>10</v>
      </c>
      <c r="S115" s="2228"/>
      <c r="T115" s="2986"/>
      <c r="U115" s="2228">
        <f t="shared" si="11"/>
        <v>1030</v>
      </c>
      <c r="V115" s="2228"/>
      <c r="W115" s="2990"/>
      <c r="X115" s="2230">
        <f t="shared" si="12"/>
        <v>506.4</v>
      </c>
      <c r="Y115" s="2230"/>
    </row>
    <row r="116" spans="5:25">
      <c r="H116" s="2224" t="s">
        <v>1958</v>
      </c>
      <c r="I116" s="2229">
        <v>112</v>
      </c>
      <c r="J116" s="2226" t="s">
        <v>110</v>
      </c>
      <c r="K116" s="2224" t="s">
        <v>845</v>
      </c>
      <c r="L116" s="2227">
        <v>50.64</v>
      </c>
      <c r="M116" s="2227">
        <v>50.64</v>
      </c>
      <c r="N116" s="2250">
        <v>7.9756779603914097E-4</v>
      </c>
      <c r="O116" s="2224">
        <v>3</v>
      </c>
      <c r="P116" s="2225" t="s">
        <v>996</v>
      </c>
      <c r="Q116" s="2229"/>
      <c r="R116" s="2229">
        <v>75</v>
      </c>
      <c r="S116" s="2228"/>
      <c r="T116" s="2986"/>
      <c r="U116" s="2228">
        <f t="shared" si="11"/>
        <v>8400</v>
      </c>
      <c r="V116" s="2228"/>
      <c r="W116" s="2990"/>
      <c r="X116" s="2230">
        <f t="shared" si="12"/>
        <v>3798</v>
      </c>
      <c r="Y116" s="2230"/>
    </row>
    <row r="117" spans="5:25">
      <c r="H117" s="2224" t="s">
        <v>1959</v>
      </c>
      <c r="I117" s="2229">
        <v>137</v>
      </c>
      <c r="J117" s="2226" t="s">
        <v>110</v>
      </c>
      <c r="K117" s="2224" t="s">
        <v>845</v>
      </c>
      <c r="L117" s="2227">
        <v>50.64</v>
      </c>
      <c r="M117" s="2227">
        <v>50.64</v>
      </c>
      <c r="N117" s="2250">
        <v>3.2519877398024498E-4</v>
      </c>
      <c r="O117" s="2224">
        <v>3</v>
      </c>
      <c r="P117" s="2225" t="s">
        <v>996</v>
      </c>
      <c r="Q117" s="2229"/>
      <c r="R117" s="2229">
        <v>25</v>
      </c>
      <c r="S117" s="2228"/>
      <c r="T117" s="2986"/>
      <c r="U117" s="2228">
        <f t="shared" si="11"/>
        <v>3425</v>
      </c>
      <c r="V117" s="2228"/>
      <c r="W117" s="2990"/>
      <c r="X117" s="2230">
        <f t="shared" si="12"/>
        <v>1266</v>
      </c>
      <c r="Y117" s="2230"/>
    </row>
    <row r="118" spans="5:25">
      <c r="H118" s="2224" t="s">
        <v>1960</v>
      </c>
      <c r="I118" s="2229">
        <v>255</v>
      </c>
      <c r="J118" s="2226" t="s">
        <v>110</v>
      </c>
      <c r="K118" s="2224" t="s">
        <v>845</v>
      </c>
      <c r="L118" s="2227">
        <v>50.64</v>
      </c>
      <c r="M118" s="2227">
        <v>50.64</v>
      </c>
      <c r="N118" s="2250">
        <v>6.0529698806541955E-3</v>
      </c>
      <c r="O118" s="2224">
        <v>3</v>
      </c>
      <c r="P118" s="2225" t="s">
        <v>996</v>
      </c>
      <c r="Q118" s="2229"/>
      <c r="R118" s="2229">
        <v>250</v>
      </c>
      <c r="S118" s="2228"/>
      <c r="T118" s="2986"/>
      <c r="U118" s="2228">
        <f t="shared" si="11"/>
        <v>63750</v>
      </c>
      <c r="V118" s="2228"/>
      <c r="W118" s="2990"/>
      <c r="X118" s="2230">
        <f t="shared" si="12"/>
        <v>12660</v>
      </c>
      <c r="Y118" s="2230"/>
    </row>
    <row r="119" spans="5:25">
      <c r="H119" s="2224" t="s">
        <v>1961</v>
      </c>
      <c r="I119" s="2229">
        <v>95</v>
      </c>
      <c r="J119" s="2226" t="s">
        <v>110</v>
      </c>
      <c r="K119" s="2224" t="s">
        <v>845</v>
      </c>
      <c r="L119" s="2227">
        <v>52.35</v>
      </c>
      <c r="M119" s="2227">
        <v>52.35</v>
      </c>
      <c r="N119" s="2250">
        <v>4.5100559895070472E-4</v>
      </c>
      <c r="O119" s="2224">
        <v>3</v>
      </c>
      <c r="P119" s="2225" t="s">
        <v>996</v>
      </c>
      <c r="Q119" s="2229"/>
      <c r="R119" s="2229">
        <v>50</v>
      </c>
      <c r="S119" s="2228"/>
      <c r="T119" s="2986"/>
      <c r="U119" s="2228">
        <f t="shared" si="11"/>
        <v>4750</v>
      </c>
      <c r="V119" s="2228"/>
      <c r="W119" s="2990"/>
      <c r="X119" s="2230">
        <f t="shared" si="12"/>
        <v>2617.5</v>
      </c>
      <c r="Y119" s="2230"/>
    </row>
    <row r="120" spans="5:25">
      <c r="H120" s="2224" t="s">
        <v>1962</v>
      </c>
      <c r="I120" s="2229">
        <v>96</v>
      </c>
      <c r="J120" s="2226" t="s">
        <v>110</v>
      </c>
      <c r="K120" s="2224" t="s">
        <v>845</v>
      </c>
      <c r="L120" s="2227">
        <v>52.35</v>
      </c>
      <c r="M120" s="2227">
        <v>52.35</v>
      </c>
      <c r="N120" s="2250">
        <v>6.8362953946212086E-4</v>
      </c>
      <c r="O120" s="2224">
        <v>3</v>
      </c>
      <c r="P120" s="2225" t="s">
        <v>996</v>
      </c>
      <c r="Q120" s="2229"/>
      <c r="R120" s="2229">
        <v>75</v>
      </c>
      <c r="S120" s="2228"/>
      <c r="T120" s="2986"/>
      <c r="U120" s="2228">
        <f t="shared" si="11"/>
        <v>7200</v>
      </c>
      <c r="V120" s="2228"/>
      <c r="W120" s="2990"/>
      <c r="X120" s="2230">
        <f t="shared" si="12"/>
        <v>3926.25</v>
      </c>
      <c r="Y120" s="2230"/>
    </row>
    <row r="121" spans="5:25">
      <c r="H121" s="2224" t="s">
        <v>1963</v>
      </c>
      <c r="I121" s="2229">
        <v>100</v>
      </c>
      <c r="J121" s="2226" t="s">
        <v>110</v>
      </c>
      <c r="K121" s="2224" t="s">
        <v>845</v>
      </c>
      <c r="L121" s="2227">
        <v>52.35</v>
      </c>
      <c r="M121" s="2227">
        <v>52.35</v>
      </c>
      <c r="N121" s="2250">
        <v>2.3737136786879196E-4</v>
      </c>
      <c r="O121" s="2224">
        <v>3</v>
      </c>
      <c r="P121" s="2225" t="s">
        <v>996</v>
      </c>
      <c r="Q121" s="2229"/>
      <c r="R121" s="2229">
        <v>25</v>
      </c>
      <c r="S121" s="2228"/>
      <c r="T121" s="2986"/>
      <c r="U121" s="2228">
        <f t="shared" si="11"/>
        <v>2500</v>
      </c>
      <c r="V121" s="2228"/>
      <c r="W121" s="2990"/>
      <c r="X121" s="2230">
        <f t="shared" si="12"/>
        <v>1308.75</v>
      </c>
      <c r="Y121" s="2230"/>
    </row>
    <row r="122" spans="5:25">
      <c r="H122" s="2224" t="s">
        <v>1964</v>
      </c>
      <c r="I122" s="2229">
        <v>126</v>
      </c>
      <c r="J122" s="2226" t="s">
        <v>110</v>
      </c>
      <c r="K122" s="2224" t="s">
        <v>845</v>
      </c>
      <c r="L122" s="2227">
        <v>52.35</v>
      </c>
      <c r="M122" s="2227">
        <v>52.35</v>
      </c>
      <c r="N122" s="2250">
        <v>1.1963516940587116E-3</v>
      </c>
      <c r="O122" s="2224">
        <v>3</v>
      </c>
      <c r="P122" s="2225" t="s">
        <v>996</v>
      </c>
      <c r="Q122" s="2229"/>
      <c r="R122" s="2229">
        <v>100</v>
      </c>
      <c r="S122" s="2228"/>
      <c r="T122" s="2986"/>
      <c r="U122" s="2228">
        <f t="shared" si="11"/>
        <v>12600</v>
      </c>
      <c r="V122" s="2228"/>
      <c r="W122" s="2990"/>
      <c r="X122" s="2230">
        <f t="shared" si="12"/>
        <v>5235</v>
      </c>
      <c r="Y122" s="2230"/>
    </row>
    <row r="123" spans="5:25">
      <c r="H123" s="2224" t="s">
        <v>1965</v>
      </c>
      <c r="I123" s="2229">
        <v>139</v>
      </c>
      <c r="J123" s="2226" t="s">
        <v>110</v>
      </c>
      <c r="K123" s="2224" t="s">
        <v>845</v>
      </c>
      <c r="L123" s="2227">
        <v>52.35</v>
      </c>
      <c r="M123" s="2227">
        <v>52.35</v>
      </c>
      <c r="N123" s="2250">
        <v>1.3197848053504832E-4</v>
      </c>
      <c r="O123" s="2224">
        <v>3</v>
      </c>
      <c r="P123" s="2225" t="s">
        <v>996</v>
      </c>
      <c r="Q123" s="2229"/>
      <c r="R123" s="2229">
        <v>10</v>
      </c>
      <c r="S123" s="2228"/>
      <c r="T123" s="2986"/>
      <c r="U123" s="2228">
        <f t="shared" si="11"/>
        <v>1390</v>
      </c>
      <c r="V123" s="2228"/>
      <c r="W123" s="2990"/>
      <c r="X123" s="2230">
        <f t="shared" si="12"/>
        <v>523.5</v>
      </c>
      <c r="Y123" s="2230"/>
    </row>
    <row r="124" spans="5:25">
      <c r="H124" s="2224" t="s">
        <v>1966</v>
      </c>
      <c r="I124" s="2229">
        <v>151</v>
      </c>
      <c r="J124" s="2226" t="s">
        <v>110</v>
      </c>
      <c r="K124" s="2224" t="s">
        <v>845</v>
      </c>
      <c r="L124" s="2227">
        <v>52.35</v>
      </c>
      <c r="M124" s="2227">
        <v>52.35</v>
      </c>
      <c r="N124" s="2250">
        <v>7.1686153096375168E-5</v>
      </c>
      <c r="O124" s="2224">
        <v>3</v>
      </c>
      <c r="P124" s="2225" t="s">
        <v>996</v>
      </c>
      <c r="Q124" s="2229"/>
      <c r="R124" s="2229">
        <v>5</v>
      </c>
      <c r="S124" s="2228"/>
      <c r="T124" s="2986"/>
      <c r="U124" s="2228">
        <f t="shared" si="11"/>
        <v>755</v>
      </c>
      <c r="V124" s="2228"/>
      <c r="W124" s="2990"/>
      <c r="X124" s="2230">
        <f t="shared" si="12"/>
        <v>261.75</v>
      </c>
      <c r="Y124" s="2230"/>
    </row>
    <row r="125" spans="5:25">
      <c r="H125" s="2224" t="s">
        <v>1967</v>
      </c>
      <c r="I125" s="2229">
        <v>185</v>
      </c>
      <c r="J125" s="2226" t="s">
        <v>110</v>
      </c>
      <c r="K125" s="2224" t="s">
        <v>845</v>
      </c>
      <c r="L125" s="2227">
        <v>52.35</v>
      </c>
      <c r="M125" s="2227">
        <v>52.35</v>
      </c>
      <c r="N125" s="2250">
        <v>4.3913703055726515E-5</v>
      </c>
      <c r="O125" s="2224">
        <v>3</v>
      </c>
      <c r="P125" s="2225" t="s">
        <v>996</v>
      </c>
      <c r="Q125" s="2229"/>
      <c r="R125" s="2229">
        <v>2.5</v>
      </c>
      <c r="S125" s="2228"/>
      <c r="T125" s="2986"/>
      <c r="U125" s="2228">
        <f t="shared" si="11"/>
        <v>462.5</v>
      </c>
      <c r="V125" s="2228"/>
      <c r="W125" s="2990"/>
      <c r="X125" s="2230">
        <f t="shared" si="12"/>
        <v>130.875</v>
      </c>
      <c r="Y125" s="2230"/>
    </row>
    <row r="126" spans="5:25">
      <c r="H126" s="2224" t="s">
        <v>1968</v>
      </c>
      <c r="I126" s="2229">
        <v>344</v>
      </c>
      <c r="J126" s="2226" t="s">
        <v>110</v>
      </c>
      <c r="K126" s="2224" t="s">
        <v>845</v>
      </c>
      <c r="L126" s="2227">
        <v>52.35</v>
      </c>
      <c r="M126" s="2227">
        <v>52.35</v>
      </c>
      <c r="N126" s="2250">
        <v>9.1617752113581901E-3</v>
      </c>
      <c r="O126" s="2224">
        <v>3</v>
      </c>
      <c r="P126" s="2225" t="s">
        <v>996</v>
      </c>
      <c r="Q126" s="2229"/>
      <c r="R126" s="2229">
        <v>286</v>
      </c>
      <c r="S126" s="2228"/>
      <c r="T126" s="2986"/>
      <c r="U126" s="2228">
        <f t="shared" si="11"/>
        <v>98384</v>
      </c>
      <c r="V126" s="2228"/>
      <c r="W126" s="2990"/>
      <c r="X126" s="2230">
        <f t="shared" si="12"/>
        <v>14972.1</v>
      </c>
      <c r="Y126" s="2230"/>
    </row>
    <row r="127" spans="5:25">
      <c r="H127" s="2224" t="s">
        <v>1969</v>
      </c>
      <c r="I127" s="2229">
        <v>159</v>
      </c>
      <c r="J127" s="2226" t="s">
        <v>110</v>
      </c>
      <c r="K127" s="2224" t="s">
        <v>845</v>
      </c>
      <c r="L127" s="2227">
        <v>27.69</v>
      </c>
      <c r="M127" s="2227">
        <v>27.69</v>
      </c>
      <c r="N127" s="2250">
        <v>7.5484094982275843E-4</v>
      </c>
      <c r="O127" s="2224">
        <v>3</v>
      </c>
      <c r="P127" s="2225" t="s">
        <v>996</v>
      </c>
      <c r="Q127" s="2229"/>
      <c r="R127" s="2229">
        <v>49</v>
      </c>
      <c r="S127" s="2228"/>
      <c r="T127" s="2986"/>
      <c r="U127" s="2228">
        <f t="shared" si="11"/>
        <v>7791</v>
      </c>
      <c r="V127" s="2228"/>
      <c r="W127" s="2990"/>
      <c r="X127" s="2230">
        <f t="shared" si="12"/>
        <v>1356.8100000000002</v>
      </c>
      <c r="Y127" s="2230"/>
    </row>
    <row r="128" spans="5:25">
      <c r="H128" s="2224" t="s">
        <v>1970</v>
      </c>
      <c r="I128" s="2229">
        <v>58</v>
      </c>
      <c r="J128" s="2226" t="s">
        <v>110</v>
      </c>
      <c r="K128" s="2224" t="s">
        <v>845</v>
      </c>
      <c r="L128" s="2227">
        <v>27.69</v>
      </c>
      <c r="M128" s="2227">
        <v>27.69</v>
      </c>
      <c r="N128" s="2250">
        <v>5.5070157345559736E-4</v>
      </c>
      <c r="O128" s="2224">
        <v>3</v>
      </c>
      <c r="P128" s="2225" t="s">
        <v>996</v>
      </c>
      <c r="Q128" s="2229"/>
      <c r="R128" s="2229">
        <v>100</v>
      </c>
      <c r="S128" s="2228"/>
      <c r="T128" s="2986"/>
      <c r="U128" s="2228">
        <f t="shared" si="11"/>
        <v>5800</v>
      </c>
      <c r="V128" s="2228"/>
      <c r="W128" s="2990"/>
      <c r="X128" s="2230">
        <f t="shared" si="12"/>
        <v>2769</v>
      </c>
      <c r="Y128" s="2230"/>
    </row>
    <row r="129" spans="8:25">
      <c r="H129" s="2224" t="s">
        <v>1971</v>
      </c>
      <c r="I129" s="2229">
        <v>44</v>
      </c>
      <c r="J129" s="2226" t="s">
        <v>110</v>
      </c>
      <c r="K129" s="2224" t="s">
        <v>845</v>
      </c>
      <c r="L129" s="2227">
        <v>27.69</v>
      </c>
      <c r="M129" s="2227">
        <v>27.69</v>
      </c>
      <c r="N129" s="2250">
        <v>8.3554721489814771E-5</v>
      </c>
      <c r="O129" s="2224">
        <v>3</v>
      </c>
      <c r="P129" s="2225" t="s">
        <v>996</v>
      </c>
      <c r="Q129" s="2229"/>
      <c r="R129" s="2229">
        <v>20</v>
      </c>
      <c r="S129" s="2228"/>
      <c r="T129" s="2986"/>
      <c r="U129" s="2228">
        <f t="shared" si="11"/>
        <v>880</v>
      </c>
      <c r="V129" s="2228"/>
      <c r="W129" s="2990"/>
      <c r="X129" s="2230">
        <f t="shared" si="12"/>
        <v>553.80000000000007</v>
      </c>
      <c r="Y129" s="2230"/>
    </row>
    <row r="130" spans="8:25">
      <c r="H130" s="2224" t="s">
        <v>1972</v>
      </c>
      <c r="I130" s="2229">
        <v>86</v>
      </c>
      <c r="J130" s="2226" t="s">
        <v>110</v>
      </c>
      <c r="K130" s="2224" t="s">
        <v>845</v>
      </c>
      <c r="L130" s="2227">
        <v>27.69</v>
      </c>
      <c r="M130" s="2227">
        <v>27.69</v>
      </c>
      <c r="N130" s="2250">
        <v>1.2248362582029666E-3</v>
      </c>
      <c r="O130" s="2224">
        <v>3</v>
      </c>
      <c r="P130" s="2225" t="s">
        <v>996</v>
      </c>
      <c r="Q130" s="2229"/>
      <c r="R130" s="2229">
        <v>150</v>
      </c>
      <c r="S130" s="2228"/>
      <c r="T130" s="2986"/>
      <c r="U130" s="2228">
        <f t="shared" si="11"/>
        <v>12900</v>
      </c>
      <c r="V130" s="2228"/>
      <c r="W130" s="2990"/>
      <c r="X130" s="2230">
        <f t="shared" si="12"/>
        <v>4153.5</v>
      </c>
      <c r="Y130" s="2230"/>
    </row>
    <row r="131" spans="8:25">
      <c r="H131" s="2224" t="s">
        <v>1973</v>
      </c>
      <c r="I131" s="2229">
        <v>70</v>
      </c>
      <c r="J131" s="2226" t="s">
        <v>110</v>
      </c>
      <c r="K131" s="2224" t="s">
        <v>845</v>
      </c>
      <c r="L131" s="2227">
        <v>27.69</v>
      </c>
      <c r="M131" s="2227">
        <v>27.69</v>
      </c>
      <c r="N131" s="2250">
        <v>4.9847987252446308E-4</v>
      </c>
      <c r="O131" s="2224">
        <v>3</v>
      </c>
      <c r="P131" s="2225" t="s">
        <v>996</v>
      </c>
      <c r="Q131" s="2229"/>
      <c r="R131" s="2229">
        <v>75</v>
      </c>
      <c r="S131" s="2228"/>
      <c r="T131" s="2986"/>
      <c r="U131" s="2228">
        <f t="shared" si="11"/>
        <v>5250</v>
      </c>
      <c r="V131" s="2228"/>
      <c r="W131" s="2990"/>
      <c r="X131" s="2230">
        <f t="shared" si="12"/>
        <v>2076.75</v>
      </c>
      <c r="Y131" s="2230"/>
    </row>
    <row r="132" spans="8:25">
      <c r="H132" s="2224" t="s">
        <v>1974</v>
      </c>
      <c r="I132" s="2229">
        <v>64</v>
      </c>
      <c r="J132" s="2226" t="s">
        <v>110</v>
      </c>
      <c r="K132" s="2224" t="s">
        <v>845</v>
      </c>
      <c r="L132" s="2227">
        <v>27.69</v>
      </c>
      <c r="M132" s="2227">
        <v>27.69</v>
      </c>
      <c r="N132" s="2250">
        <v>4.5575302630808059E-4</v>
      </c>
      <c r="O132" s="2224">
        <v>3</v>
      </c>
      <c r="P132" s="2225" t="s">
        <v>996</v>
      </c>
      <c r="Q132" s="2229"/>
      <c r="R132" s="2229">
        <v>75</v>
      </c>
      <c r="S132" s="2228"/>
      <c r="T132" s="2986"/>
      <c r="U132" s="2228">
        <f t="shared" si="11"/>
        <v>4800</v>
      </c>
      <c r="V132" s="2228"/>
      <c r="W132" s="2990"/>
      <c r="X132" s="2230">
        <f t="shared" si="12"/>
        <v>2076.75</v>
      </c>
      <c r="Y132" s="2230"/>
    </row>
    <row r="133" spans="8:25">
      <c r="H133" s="2224" t="s">
        <v>1975</v>
      </c>
      <c r="I133" s="2229">
        <v>45</v>
      </c>
      <c r="J133" s="2226" t="s">
        <v>110</v>
      </c>
      <c r="K133" s="2224" t="s">
        <v>845</v>
      </c>
      <c r="L133" s="2227">
        <v>27.69</v>
      </c>
      <c r="M133" s="2227">
        <v>27.69</v>
      </c>
      <c r="N133" s="2250">
        <v>3.2045134662286916E-4</v>
      </c>
      <c r="O133" s="2224">
        <v>3</v>
      </c>
      <c r="P133" s="2225" t="s">
        <v>996</v>
      </c>
      <c r="Q133" s="2229"/>
      <c r="R133" s="2229">
        <v>75</v>
      </c>
      <c r="S133" s="2228"/>
      <c r="T133" s="2986"/>
      <c r="U133" s="2228">
        <f t="shared" si="11"/>
        <v>3375</v>
      </c>
      <c r="V133" s="2228"/>
      <c r="W133" s="2990"/>
      <c r="X133" s="2230">
        <f t="shared" si="12"/>
        <v>2076.75</v>
      </c>
      <c r="Y133" s="2230"/>
    </row>
    <row r="134" spans="8:25">
      <c r="H134" s="2224" t="s">
        <v>1976</v>
      </c>
      <c r="I134" s="2229">
        <v>46</v>
      </c>
      <c r="J134" s="2226" t="s">
        <v>110</v>
      </c>
      <c r="K134" s="2224" t="s">
        <v>845</v>
      </c>
      <c r="L134" s="2227">
        <v>27.69</v>
      </c>
      <c r="M134" s="2227">
        <v>27.69</v>
      </c>
      <c r="N134" s="2250">
        <v>5.4595414609822149E-4</v>
      </c>
      <c r="O134" s="2224">
        <v>3</v>
      </c>
      <c r="P134" s="2225" t="s">
        <v>996</v>
      </c>
      <c r="Q134" s="2229"/>
      <c r="R134" s="2229">
        <v>125</v>
      </c>
      <c r="S134" s="2228"/>
      <c r="T134" s="2986"/>
      <c r="U134" s="2228">
        <f t="shared" si="11"/>
        <v>5750</v>
      </c>
      <c r="V134" s="2228"/>
      <c r="W134" s="2990"/>
      <c r="X134" s="2230">
        <f t="shared" si="12"/>
        <v>3461.25</v>
      </c>
      <c r="Y134" s="2230"/>
    </row>
    <row r="135" spans="8:25">
      <c r="H135" s="2224" t="s">
        <v>1308</v>
      </c>
      <c r="I135" s="2229">
        <v>712</v>
      </c>
      <c r="J135" s="2226" t="s">
        <v>110</v>
      </c>
      <c r="K135" s="2224" t="s">
        <v>845</v>
      </c>
      <c r="L135" s="2227">
        <v>13.68</v>
      </c>
      <c r="M135" s="2227">
        <v>13.68</v>
      </c>
      <c r="N135" s="2250">
        <v>8.4504206961289931E-3</v>
      </c>
      <c r="O135" s="2224">
        <v>3</v>
      </c>
      <c r="P135" s="2225" t="s">
        <v>996</v>
      </c>
      <c r="Q135" s="2229"/>
      <c r="R135" s="2229">
        <v>125</v>
      </c>
      <c r="S135" s="2228"/>
      <c r="T135" s="2986"/>
      <c r="U135" s="2228">
        <f t="shared" si="11"/>
        <v>89000</v>
      </c>
      <c r="V135" s="2228"/>
      <c r="W135" s="2990"/>
      <c r="X135" s="2230">
        <f t="shared" si="12"/>
        <v>1710</v>
      </c>
      <c r="Y135" s="2230"/>
    </row>
    <row r="136" spans="8:25">
      <c r="H136" s="2224" t="s">
        <v>1309</v>
      </c>
      <c r="I136" s="2229">
        <v>350</v>
      </c>
      <c r="J136" s="2226" t="s">
        <v>110</v>
      </c>
      <c r="K136" s="2224" t="s">
        <v>845</v>
      </c>
      <c r="L136" s="2227">
        <v>10.95</v>
      </c>
      <c r="M136" s="2227">
        <v>10.95</v>
      </c>
      <c r="N136" s="2250">
        <v>4.984798725244631E-2</v>
      </c>
      <c r="O136" s="2224">
        <v>5</v>
      </c>
      <c r="P136" s="2225" t="s">
        <v>997</v>
      </c>
      <c r="Q136" s="2229"/>
      <c r="R136" s="2229">
        <v>1500</v>
      </c>
      <c r="S136" s="2228"/>
      <c r="T136" s="2986"/>
      <c r="U136" s="2228">
        <f t="shared" si="11"/>
        <v>525000</v>
      </c>
      <c r="V136" s="2228"/>
      <c r="W136" s="2990"/>
      <c r="X136" s="2230">
        <f t="shared" si="12"/>
        <v>16425</v>
      </c>
      <c r="Y136" s="2230"/>
    </row>
    <row r="137" spans="8:25">
      <c r="H137" s="2224" t="s">
        <v>1310</v>
      </c>
      <c r="I137" s="2229">
        <v>1208</v>
      </c>
      <c r="J137" s="2226" t="s">
        <v>110</v>
      </c>
      <c r="K137" s="2224" t="s">
        <v>845</v>
      </c>
      <c r="L137" s="2227">
        <v>71.209999999999994</v>
      </c>
      <c r="M137" s="2227">
        <v>71.209999999999994</v>
      </c>
      <c r="N137" s="2250">
        <v>1.7204676743130042E-2</v>
      </c>
      <c r="O137" s="2224">
        <v>5</v>
      </c>
      <c r="P137" s="2225" t="s">
        <v>997</v>
      </c>
      <c r="Q137" s="2229"/>
      <c r="R137" s="2229">
        <v>150</v>
      </c>
      <c r="S137" s="2228"/>
      <c r="T137" s="2986"/>
      <c r="U137" s="2228">
        <f t="shared" si="11"/>
        <v>181200</v>
      </c>
      <c r="V137" s="2228"/>
      <c r="W137" s="2990"/>
      <c r="X137" s="2230">
        <f t="shared" si="12"/>
        <v>10681.499999999998</v>
      </c>
      <c r="Y137" s="2230"/>
    </row>
    <row r="138" spans="8:25">
      <c r="H138" s="2224" t="s">
        <v>1311</v>
      </c>
      <c r="I138" s="2229">
        <v>839</v>
      </c>
      <c r="J138" s="2226" t="s">
        <v>110</v>
      </c>
      <c r="K138" s="2224" t="s">
        <v>845</v>
      </c>
      <c r="L138" s="2227">
        <v>71.209999999999994</v>
      </c>
      <c r="M138" s="2227">
        <v>71.209999999999994</v>
      </c>
      <c r="N138" s="2250">
        <v>1.9915457764191646E-3</v>
      </c>
      <c r="O138" s="2224">
        <v>5</v>
      </c>
      <c r="P138" s="2225" t="s">
        <v>997</v>
      </c>
      <c r="Q138" s="2229"/>
      <c r="R138" s="2229">
        <v>25</v>
      </c>
      <c r="S138" s="2228"/>
      <c r="T138" s="2986"/>
      <c r="U138" s="2228">
        <f t="shared" si="11"/>
        <v>20975</v>
      </c>
      <c r="V138" s="2228"/>
      <c r="W138" s="2990"/>
      <c r="X138" s="2230">
        <f t="shared" si="12"/>
        <v>1780.2499999999998</v>
      </c>
      <c r="Y138" s="2230"/>
    </row>
    <row r="139" spans="8:25">
      <c r="H139" s="2224" t="s">
        <v>1312</v>
      </c>
      <c r="I139" s="2229">
        <v>1322</v>
      </c>
      <c r="J139" s="2226" t="s">
        <v>110</v>
      </c>
      <c r="K139" s="2224" t="s">
        <v>845</v>
      </c>
      <c r="L139" s="2227">
        <v>71.209999999999994</v>
      </c>
      <c r="M139" s="2227">
        <v>71.209999999999994</v>
      </c>
      <c r="N139" s="2250">
        <v>6.2760989664508594E-3</v>
      </c>
      <c r="O139" s="2224">
        <v>5</v>
      </c>
      <c r="P139" s="2225" t="s">
        <v>997</v>
      </c>
      <c r="Q139" s="2229"/>
      <c r="R139" s="2229">
        <v>50</v>
      </c>
      <c r="S139" s="2228"/>
      <c r="T139" s="2986"/>
      <c r="U139" s="2228">
        <f t="shared" si="11"/>
        <v>66100</v>
      </c>
      <c r="V139" s="2228"/>
      <c r="W139" s="2990"/>
      <c r="X139" s="2230">
        <f t="shared" si="12"/>
        <v>3560.4999999999995</v>
      </c>
      <c r="Y139" s="2230"/>
    </row>
    <row r="140" spans="8:25">
      <c r="H140" s="2224" t="s">
        <v>1313</v>
      </c>
      <c r="I140" s="2229">
        <v>2187</v>
      </c>
      <c r="J140" s="2226" t="s">
        <v>110</v>
      </c>
      <c r="K140" s="2224" t="s">
        <v>845</v>
      </c>
      <c r="L140" s="2227">
        <v>71.209999999999994</v>
      </c>
      <c r="M140" s="2227">
        <v>71.209999999999994</v>
      </c>
      <c r="N140" s="2250">
        <v>1.0382623630580961E-2</v>
      </c>
      <c r="O140" s="2224">
        <v>5</v>
      </c>
      <c r="P140" s="2225" t="s">
        <v>997</v>
      </c>
      <c r="Q140" s="2229"/>
      <c r="R140" s="2229">
        <v>50</v>
      </c>
      <c r="S140" s="2228"/>
      <c r="T140" s="2986"/>
      <c r="U140" s="2228">
        <f t="shared" si="11"/>
        <v>109350</v>
      </c>
      <c r="V140" s="2228"/>
      <c r="W140" s="2990"/>
      <c r="X140" s="2230">
        <f t="shared" si="12"/>
        <v>3560.4999999999995</v>
      </c>
      <c r="Y140" s="2230"/>
    </row>
    <row r="141" spans="8:25">
      <c r="H141" s="2224" t="s">
        <v>1314</v>
      </c>
      <c r="I141" s="2229">
        <v>228</v>
      </c>
      <c r="J141" s="2226" t="s">
        <v>110</v>
      </c>
      <c r="K141" s="2224" t="s">
        <v>845</v>
      </c>
      <c r="L141" s="2227">
        <v>23.93</v>
      </c>
      <c r="M141" s="2227">
        <v>23.93</v>
      </c>
      <c r="N141" s="2250">
        <v>1.0824134374816914E-3</v>
      </c>
      <c r="O141" s="2224">
        <v>5</v>
      </c>
      <c r="P141" s="2225" t="s">
        <v>997</v>
      </c>
      <c r="Q141" s="2229"/>
      <c r="R141" s="2229">
        <v>50</v>
      </c>
      <c r="S141" s="2228"/>
      <c r="T141" s="2986"/>
      <c r="U141" s="2228">
        <f t="shared" si="11"/>
        <v>11400</v>
      </c>
      <c r="V141" s="2228"/>
      <c r="W141" s="2990"/>
      <c r="X141" s="2230">
        <f t="shared" si="12"/>
        <v>1196.5</v>
      </c>
      <c r="Y141" s="2230"/>
    </row>
    <row r="142" spans="8:25">
      <c r="H142" s="2224" t="s">
        <v>1315</v>
      </c>
      <c r="I142" s="2229">
        <v>4288</v>
      </c>
      <c r="J142" s="2226" t="s">
        <v>110</v>
      </c>
      <c r="K142" s="2224" t="s">
        <v>845</v>
      </c>
      <c r="L142" s="2227">
        <v>23.93</v>
      </c>
      <c r="M142" s="2227">
        <v>23.93</v>
      </c>
      <c r="N142" s="2250">
        <v>3.155330118806278E-2</v>
      </c>
      <c r="O142" s="2224">
        <v>10</v>
      </c>
      <c r="P142" s="2225" t="s">
        <v>997</v>
      </c>
      <c r="Q142" s="2229"/>
      <c r="R142" s="2229">
        <v>80</v>
      </c>
      <c r="S142" s="2228"/>
      <c r="T142" s="2986"/>
      <c r="U142" s="2228">
        <f t="shared" si="11"/>
        <v>343040</v>
      </c>
      <c r="V142" s="2228"/>
      <c r="W142" s="2990"/>
      <c r="X142" s="2230">
        <f t="shared" si="12"/>
        <v>1914.4</v>
      </c>
      <c r="Y142" s="2230"/>
    </row>
    <row r="143" spans="8:25">
      <c r="H143" s="2224" t="s">
        <v>1316</v>
      </c>
      <c r="I143" s="2229">
        <v>340</v>
      </c>
      <c r="J143" s="2226" t="s">
        <v>110</v>
      </c>
      <c r="K143" s="2224" t="s">
        <v>845</v>
      </c>
      <c r="L143" s="2227">
        <v>178.44</v>
      </c>
      <c r="M143" s="2227">
        <v>85</v>
      </c>
      <c r="N143" s="2250">
        <v>4.8423759045233558E-3</v>
      </c>
      <c r="O143" s="2224">
        <v>10</v>
      </c>
      <c r="P143" s="2225" t="s">
        <v>997</v>
      </c>
      <c r="Q143" s="2229"/>
      <c r="R143" s="2229">
        <v>250</v>
      </c>
      <c r="S143" s="2228"/>
      <c r="T143" s="2986"/>
      <c r="U143" s="2228">
        <f t="shared" si="11"/>
        <v>85000</v>
      </c>
      <c r="V143" s="2228"/>
      <c r="W143" s="2990"/>
      <c r="X143" s="2230">
        <f t="shared" si="12"/>
        <v>21250</v>
      </c>
      <c r="Y143" s="2230"/>
    </row>
    <row r="144" spans="8:25">
      <c r="H144" s="2224" t="s">
        <v>1317</v>
      </c>
      <c r="I144" s="2229">
        <v>263</v>
      </c>
      <c r="J144" s="2226" t="s">
        <v>110</v>
      </c>
      <c r="K144" s="2224" t="s">
        <v>845</v>
      </c>
      <c r="L144" s="2227">
        <v>178.44</v>
      </c>
      <c r="M144" s="2227">
        <v>65.75</v>
      </c>
      <c r="N144" s="2250">
        <v>1.8728600924847686E-2</v>
      </c>
      <c r="O144" s="2224">
        <v>12</v>
      </c>
      <c r="P144" s="2225" t="s">
        <v>997</v>
      </c>
      <c r="Q144" s="2229"/>
      <c r="R144" s="2229">
        <v>750</v>
      </c>
      <c r="S144" s="2228"/>
      <c r="T144" s="2986"/>
      <c r="U144" s="2228">
        <f t="shared" ref="U144:U207" si="13">I144*R144</f>
        <v>197250</v>
      </c>
      <c r="V144" s="2228"/>
      <c r="W144" s="2990"/>
      <c r="X144" s="2230">
        <f t="shared" ref="X144:X207" si="14">M144*R144</f>
        <v>49312.5</v>
      </c>
      <c r="Y144" s="2230"/>
    </row>
    <row r="145" spans="8:25">
      <c r="H145" s="2224" t="s">
        <v>1318</v>
      </c>
      <c r="I145" s="2229">
        <v>408</v>
      </c>
      <c r="J145" s="2226" t="s">
        <v>110</v>
      </c>
      <c r="K145" s="2224" t="s">
        <v>845</v>
      </c>
      <c r="L145" s="2227">
        <v>191.17</v>
      </c>
      <c r="M145" s="2227">
        <v>102</v>
      </c>
      <c r="N145" s="2250">
        <v>5.8108510854280274E-2</v>
      </c>
      <c r="O145" s="2224">
        <v>12</v>
      </c>
      <c r="P145" s="2225" t="s">
        <v>996</v>
      </c>
      <c r="Q145" s="2229"/>
      <c r="R145" s="2229">
        <v>1500</v>
      </c>
      <c r="S145" s="2228"/>
      <c r="T145" s="2986"/>
      <c r="U145" s="2228">
        <f t="shared" si="13"/>
        <v>612000</v>
      </c>
      <c r="V145" s="2228"/>
      <c r="W145" s="2990"/>
      <c r="X145" s="2230">
        <f t="shared" si="14"/>
        <v>153000</v>
      </c>
      <c r="Y145" s="2230"/>
    </row>
    <row r="146" spans="8:25">
      <c r="H146" s="2224" t="s">
        <v>1319</v>
      </c>
      <c r="I146" s="2229">
        <v>315</v>
      </c>
      <c r="J146" s="2226" t="s">
        <v>110</v>
      </c>
      <c r="K146" s="2224" t="s">
        <v>845</v>
      </c>
      <c r="L146" s="2227">
        <v>191.17</v>
      </c>
      <c r="M146" s="2227">
        <v>78.75</v>
      </c>
      <c r="N146" s="2250">
        <v>2.2431594263600842E-2</v>
      </c>
      <c r="O146" s="2224">
        <v>12</v>
      </c>
      <c r="P146" s="2225" t="s">
        <v>996</v>
      </c>
      <c r="Q146" s="2229"/>
      <c r="R146" s="2229">
        <v>750</v>
      </c>
      <c r="S146" s="2228"/>
      <c r="T146" s="2986"/>
      <c r="U146" s="2228">
        <f t="shared" si="13"/>
        <v>236250</v>
      </c>
      <c r="V146" s="2228"/>
      <c r="W146" s="2990"/>
      <c r="X146" s="2230">
        <f t="shared" si="14"/>
        <v>59062.5</v>
      </c>
      <c r="Y146" s="2230"/>
    </row>
    <row r="147" spans="8:25">
      <c r="H147" s="2224" t="s">
        <v>1320</v>
      </c>
      <c r="I147" s="2229">
        <v>235</v>
      </c>
      <c r="J147" s="2226" t="s">
        <v>110</v>
      </c>
      <c r="K147" s="2224" t="s">
        <v>845</v>
      </c>
      <c r="L147" s="2227">
        <v>6.5</v>
      </c>
      <c r="M147" s="2227">
        <v>6.5</v>
      </c>
      <c r="N147" s="2250">
        <v>8.3673407173749173E-3</v>
      </c>
      <c r="O147" s="2224">
        <v>4</v>
      </c>
      <c r="P147" s="2225" t="s">
        <v>996</v>
      </c>
      <c r="Q147" s="2229"/>
      <c r="R147" s="2229">
        <v>0</v>
      </c>
      <c r="S147" s="2228"/>
      <c r="T147" s="2986"/>
      <c r="U147" s="2228">
        <f t="shared" si="13"/>
        <v>0</v>
      </c>
      <c r="V147" s="2228"/>
      <c r="W147" s="2990"/>
      <c r="X147" s="2230">
        <f t="shared" si="14"/>
        <v>0</v>
      </c>
      <c r="Y147" s="2230"/>
    </row>
    <row r="148" spans="8:25">
      <c r="H148" s="2224" t="s">
        <v>1321</v>
      </c>
      <c r="I148" s="2229">
        <v>40</v>
      </c>
      <c r="J148" s="2226" t="s">
        <v>110</v>
      </c>
      <c r="K148" s="2224" t="s">
        <v>845</v>
      </c>
      <c r="L148" s="2227">
        <v>8</v>
      </c>
      <c r="M148" s="2227">
        <v>8</v>
      </c>
      <c r="N148" s="2250">
        <v>9.4948547147516785E-4</v>
      </c>
      <c r="O148" s="2224">
        <v>4</v>
      </c>
      <c r="P148" s="2225" t="s">
        <v>996</v>
      </c>
      <c r="Q148" s="2229"/>
      <c r="R148" s="2229">
        <v>0</v>
      </c>
      <c r="S148" s="2228"/>
      <c r="T148" s="2986"/>
      <c r="U148" s="2228">
        <f t="shared" si="13"/>
        <v>0</v>
      </c>
      <c r="V148" s="2228"/>
      <c r="W148" s="2990"/>
      <c r="X148" s="2230">
        <f t="shared" si="14"/>
        <v>0</v>
      </c>
      <c r="Y148" s="2230"/>
    </row>
    <row r="149" spans="8:25">
      <c r="H149" s="2224" t="s">
        <v>1322</v>
      </c>
      <c r="I149" s="2229">
        <v>40</v>
      </c>
      <c r="J149" s="2226" t="s">
        <v>110</v>
      </c>
      <c r="K149" s="2224" t="s">
        <v>845</v>
      </c>
      <c r="L149" s="2227">
        <v>175.5</v>
      </c>
      <c r="M149" s="2227">
        <v>175.5</v>
      </c>
      <c r="N149" s="2250">
        <v>1.8989709429503357E-3</v>
      </c>
      <c r="O149" s="2224">
        <v>4</v>
      </c>
      <c r="P149" s="2225" t="s">
        <v>1253</v>
      </c>
      <c r="Q149" s="2229"/>
      <c r="R149" s="2229">
        <v>500</v>
      </c>
      <c r="S149" s="2228"/>
      <c r="T149" s="2986"/>
      <c r="U149" s="2228">
        <f t="shared" si="13"/>
        <v>20000</v>
      </c>
      <c r="V149" s="2228"/>
      <c r="W149" s="2990"/>
      <c r="X149" s="2230">
        <f t="shared" si="14"/>
        <v>87750</v>
      </c>
      <c r="Y149" s="2230"/>
    </row>
    <row r="150" spans="8:25">
      <c r="H150" s="2224" t="s">
        <v>1323</v>
      </c>
      <c r="I150" s="2229">
        <v>107</v>
      </c>
      <c r="J150" s="2226" t="s">
        <v>110</v>
      </c>
      <c r="K150" s="2224" t="s">
        <v>845</v>
      </c>
      <c r="L150" s="2227">
        <v>46.15</v>
      </c>
      <c r="M150" s="2227">
        <v>46.15</v>
      </c>
      <c r="N150" s="2250">
        <v>2.5398736361960739E-3</v>
      </c>
      <c r="O150" s="2224">
        <v>5</v>
      </c>
      <c r="P150" s="2225" t="s">
        <v>1253</v>
      </c>
      <c r="Q150" s="2229"/>
      <c r="R150" s="2229">
        <v>250</v>
      </c>
      <c r="S150" s="2228"/>
      <c r="T150" s="2986"/>
      <c r="U150" s="2228">
        <f t="shared" si="13"/>
        <v>26750</v>
      </c>
      <c r="V150" s="2228"/>
      <c r="W150" s="2990"/>
      <c r="X150" s="2230">
        <f t="shared" si="14"/>
        <v>11537.5</v>
      </c>
      <c r="Y150" s="2230"/>
    </row>
    <row r="151" spans="8:25">
      <c r="H151" s="2224" t="s">
        <v>1324</v>
      </c>
      <c r="I151" s="2229">
        <v>148</v>
      </c>
      <c r="J151" s="2226" t="s">
        <v>110</v>
      </c>
      <c r="K151" s="2224" t="s">
        <v>845</v>
      </c>
      <c r="L151" s="2227">
        <v>46.15</v>
      </c>
      <c r="M151" s="2227">
        <v>46.15</v>
      </c>
      <c r="N151" s="2250">
        <v>3.5130962444581211E-3</v>
      </c>
      <c r="O151" s="2224">
        <v>5</v>
      </c>
      <c r="P151" s="2225" t="s">
        <v>1253</v>
      </c>
      <c r="Q151" s="2229"/>
      <c r="R151" s="2229">
        <v>250</v>
      </c>
      <c r="S151" s="2228"/>
      <c r="T151" s="2986"/>
      <c r="U151" s="2228">
        <f t="shared" si="13"/>
        <v>37000</v>
      </c>
      <c r="V151" s="2228"/>
      <c r="W151" s="2990"/>
      <c r="X151" s="2230">
        <f t="shared" si="14"/>
        <v>11537.5</v>
      </c>
      <c r="Y151" s="2230"/>
    </row>
    <row r="152" spans="8:25">
      <c r="H152" s="2224" t="s">
        <v>1325</v>
      </c>
      <c r="I152" s="2229">
        <v>1075</v>
      </c>
      <c r="J152" s="2226" t="s">
        <v>110</v>
      </c>
      <c r="K152" s="2224" t="s">
        <v>845</v>
      </c>
      <c r="L152" s="2227">
        <v>46.15</v>
      </c>
      <c r="M152" s="2227">
        <v>37</v>
      </c>
      <c r="N152" s="2250">
        <v>5.1034844091790276E-4</v>
      </c>
      <c r="O152" s="2224">
        <v>10</v>
      </c>
      <c r="P152" s="2225" t="s">
        <v>1253</v>
      </c>
      <c r="Q152" s="2229"/>
      <c r="R152" s="2229">
        <v>0</v>
      </c>
      <c r="S152" s="2228"/>
      <c r="T152" s="2986"/>
      <c r="U152" s="2228">
        <f t="shared" si="13"/>
        <v>0</v>
      </c>
      <c r="V152" s="2228"/>
      <c r="W152" s="2990"/>
      <c r="X152" s="2230">
        <f t="shared" si="14"/>
        <v>0</v>
      </c>
      <c r="Y152" s="2230"/>
    </row>
    <row r="153" spans="8:25">
      <c r="H153" s="2224" t="s">
        <v>1326</v>
      </c>
      <c r="I153" s="2229">
        <v>2786</v>
      </c>
      <c r="J153" s="2226" t="s">
        <v>110</v>
      </c>
      <c r="K153" s="2224" t="s">
        <v>845</v>
      </c>
      <c r="L153" s="2227">
        <v>169</v>
      </c>
      <c r="M153" s="2227">
        <v>116.75</v>
      </c>
      <c r="N153" s="2250">
        <v>1.3226332617649089E-3</v>
      </c>
      <c r="O153" s="2224">
        <v>10</v>
      </c>
      <c r="P153" s="2225" t="s">
        <v>1253</v>
      </c>
      <c r="Q153" s="2229"/>
      <c r="R153" s="2229">
        <v>0</v>
      </c>
      <c r="S153" s="2228"/>
      <c r="T153" s="2986"/>
      <c r="U153" s="2228">
        <f t="shared" si="13"/>
        <v>0</v>
      </c>
      <c r="V153" s="2228"/>
      <c r="W153" s="2990"/>
      <c r="X153" s="2230">
        <f t="shared" si="14"/>
        <v>0</v>
      </c>
      <c r="Y153" s="2230"/>
    </row>
    <row r="154" spans="8:25">
      <c r="H154" s="2224" t="s">
        <v>1327</v>
      </c>
      <c r="I154" s="2229">
        <v>14</v>
      </c>
      <c r="J154" s="2226" t="s">
        <v>110</v>
      </c>
      <c r="K154" s="2224" t="s">
        <v>845</v>
      </c>
      <c r="L154" s="2227">
        <v>169</v>
      </c>
      <c r="M154" s="2227">
        <v>0</v>
      </c>
      <c r="N154" s="2250">
        <v>6.6463983003261752E-6</v>
      </c>
      <c r="O154" s="2224">
        <v>5</v>
      </c>
      <c r="P154" s="2225" t="s">
        <v>1253</v>
      </c>
      <c r="Q154" s="2229"/>
      <c r="R154" s="2229">
        <v>0</v>
      </c>
      <c r="S154" s="2228"/>
      <c r="T154" s="2986"/>
      <c r="U154" s="2228">
        <f t="shared" si="13"/>
        <v>0</v>
      </c>
      <c r="V154" s="2228"/>
      <c r="W154" s="2990"/>
      <c r="X154" s="2230">
        <f t="shared" si="14"/>
        <v>0</v>
      </c>
      <c r="Y154" s="2230"/>
    </row>
    <row r="155" spans="8:25">
      <c r="H155" s="2224" t="s">
        <v>1328</v>
      </c>
      <c r="I155" s="2229">
        <v>535</v>
      </c>
      <c r="J155" s="2226" t="s">
        <v>110</v>
      </c>
      <c r="K155" s="2224" t="s">
        <v>845</v>
      </c>
      <c r="L155" s="2227">
        <v>16.100000000000001</v>
      </c>
      <c r="M155" s="2227">
        <v>16.100000000000001</v>
      </c>
      <c r="N155" s="2250">
        <v>1.269936818098037E-3</v>
      </c>
      <c r="O155" s="2224">
        <v>2</v>
      </c>
      <c r="P155" s="2225" t="s">
        <v>1253</v>
      </c>
      <c r="Q155" s="2229"/>
      <c r="R155" s="2229">
        <v>25</v>
      </c>
      <c r="S155" s="2228"/>
      <c r="T155" s="2986"/>
      <c r="U155" s="2228">
        <f t="shared" si="13"/>
        <v>13375</v>
      </c>
      <c r="V155" s="2228"/>
      <c r="W155" s="2990"/>
      <c r="X155" s="2230">
        <f t="shared" si="14"/>
        <v>402.50000000000006</v>
      </c>
      <c r="Y155" s="2230"/>
    </row>
    <row r="156" spans="8:25">
      <c r="H156" s="2224" t="s">
        <v>1329</v>
      </c>
      <c r="I156" s="2229">
        <v>123</v>
      </c>
      <c r="J156" s="2226" t="s">
        <v>110</v>
      </c>
      <c r="K156" s="2224" t="s">
        <v>845</v>
      </c>
      <c r="L156" s="2227">
        <v>16.100000000000001</v>
      </c>
      <c r="M156" s="2227">
        <v>16.100000000000001</v>
      </c>
      <c r="N156" s="2250">
        <v>5.8393356495722824E-3</v>
      </c>
      <c r="O156" s="2224">
        <v>2</v>
      </c>
      <c r="P156" s="2225" t="s">
        <v>1253</v>
      </c>
      <c r="Q156" s="2229"/>
      <c r="R156" s="2229">
        <v>500</v>
      </c>
      <c r="S156" s="2228"/>
      <c r="T156" s="2986"/>
      <c r="U156" s="2228">
        <f t="shared" si="13"/>
        <v>61500</v>
      </c>
      <c r="V156" s="2228"/>
      <c r="W156" s="2990"/>
      <c r="X156" s="2230">
        <f t="shared" si="14"/>
        <v>8050.0000000000009</v>
      </c>
      <c r="Y156" s="2230"/>
    </row>
    <row r="157" spans="8:25">
      <c r="H157" s="2224" t="s">
        <v>1330</v>
      </c>
      <c r="I157" s="2229">
        <v>31</v>
      </c>
      <c r="J157" s="2226" t="s">
        <v>110</v>
      </c>
      <c r="K157" s="2224" t="s">
        <v>845</v>
      </c>
      <c r="L157" s="2227">
        <v>16.100000000000001</v>
      </c>
      <c r="M157" s="2227">
        <v>16.100000000000001</v>
      </c>
      <c r="N157" s="2250">
        <v>1.4717024807865101E-4</v>
      </c>
      <c r="O157" s="2224">
        <v>2</v>
      </c>
      <c r="P157" s="2225" t="s">
        <v>1253</v>
      </c>
      <c r="Q157" s="2229"/>
      <c r="R157" s="2229">
        <v>50</v>
      </c>
      <c r="S157" s="2228"/>
      <c r="T157" s="2986"/>
      <c r="U157" s="2228">
        <f t="shared" si="13"/>
        <v>1550</v>
      </c>
      <c r="V157" s="2228"/>
      <c r="W157" s="2990"/>
      <c r="X157" s="2230">
        <f t="shared" si="14"/>
        <v>805.00000000000011</v>
      </c>
      <c r="Y157" s="2230"/>
    </row>
    <row r="158" spans="8:25">
      <c r="H158" s="2224" t="s">
        <v>1331</v>
      </c>
      <c r="I158" s="2229">
        <v>129</v>
      </c>
      <c r="J158" s="2226" t="s">
        <v>110</v>
      </c>
      <c r="K158" s="2224" t="s">
        <v>845</v>
      </c>
      <c r="L158" s="2227">
        <v>16.100000000000001</v>
      </c>
      <c r="M158" s="2227">
        <v>16.100000000000001</v>
      </c>
      <c r="N158" s="2250">
        <v>6.1241812910148329E-4</v>
      </c>
      <c r="O158" s="2224">
        <v>2</v>
      </c>
      <c r="P158" s="2225" t="s">
        <v>1253</v>
      </c>
      <c r="Q158" s="2229"/>
      <c r="R158" s="2229">
        <v>50</v>
      </c>
      <c r="S158" s="2228"/>
      <c r="T158" s="2986"/>
      <c r="U158" s="2228">
        <f t="shared" si="13"/>
        <v>6450</v>
      </c>
      <c r="V158" s="2228"/>
      <c r="W158" s="2990"/>
      <c r="X158" s="2230">
        <f t="shared" si="14"/>
        <v>805.00000000000011</v>
      </c>
      <c r="Y158" s="2230"/>
    </row>
    <row r="159" spans="8:25">
      <c r="H159" s="2224" t="s">
        <v>1332</v>
      </c>
      <c r="I159" s="2229">
        <v>685</v>
      </c>
      <c r="J159" s="2226" t="s">
        <v>110</v>
      </c>
      <c r="K159" s="2224" t="s">
        <v>845</v>
      </c>
      <c r="L159" s="2227">
        <v>172.25</v>
      </c>
      <c r="M159" s="2227">
        <v>171.25</v>
      </c>
      <c r="N159" s="2250">
        <v>2.7582552946353628E-3</v>
      </c>
      <c r="O159" s="2224">
        <v>15</v>
      </c>
      <c r="P159" s="2225" t="s">
        <v>1253</v>
      </c>
      <c r="Q159" s="2229"/>
      <c r="R159" s="2229">
        <v>50</v>
      </c>
      <c r="S159" s="2228"/>
      <c r="T159" s="2986"/>
      <c r="U159" s="2228">
        <f t="shared" si="13"/>
        <v>34250</v>
      </c>
      <c r="V159" s="2228"/>
      <c r="W159" s="2990"/>
      <c r="X159" s="2230">
        <f t="shared" si="14"/>
        <v>8562.5</v>
      </c>
      <c r="Y159" s="2230"/>
    </row>
    <row r="160" spans="8:25">
      <c r="H160" s="2224" t="s">
        <v>1333</v>
      </c>
      <c r="I160" s="2229">
        <v>1199</v>
      </c>
      <c r="J160" s="2226" t="s">
        <v>110</v>
      </c>
      <c r="K160" s="2224" t="s">
        <v>845</v>
      </c>
      <c r="L160" s="2227">
        <v>204.75</v>
      </c>
      <c r="M160" s="2227">
        <v>143.32499999999999</v>
      </c>
      <c r="N160" s="2250">
        <v>4.2691240511202235E-3</v>
      </c>
      <c r="O160" s="2224">
        <v>15</v>
      </c>
      <c r="P160" s="2225" t="s">
        <v>1253</v>
      </c>
      <c r="Q160" s="2229"/>
      <c r="R160" s="2229">
        <v>0</v>
      </c>
      <c r="S160" s="2228"/>
      <c r="T160" s="2986"/>
      <c r="U160" s="2228">
        <f t="shared" si="13"/>
        <v>0</v>
      </c>
      <c r="V160" s="2228"/>
      <c r="W160" s="2990"/>
      <c r="X160" s="2230">
        <f t="shared" si="14"/>
        <v>0</v>
      </c>
      <c r="Y160" s="2230"/>
    </row>
    <row r="161" spans="8:25">
      <c r="H161" s="2224" t="s">
        <v>1334</v>
      </c>
      <c r="I161" s="2229">
        <v>10</v>
      </c>
      <c r="J161" s="2226" t="s">
        <v>110</v>
      </c>
      <c r="K161" s="2224" t="s">
        <v>845</v>
      </c>
      <c r="L161" s="2227">
        <v>4.29</v>
      </c>
      <c r="M161" s="2227">
        <v>4.29</v>
      </c>
      <c r="N161" s="2250">
        <v>4.7474273573758394E-5</v>
      </c>
      <c r="O161" s="2224">
        <v>8</v>
      </c>
      <c r="P161" s="2225" t="s">
        <v>996</v>
      </c>
      <c r="Q161" s="2229"/>
      <c r="R161" s="2229">
        <v>50</v>
      </c>
      <c r="S161" s="2228"/>
      <c r="T161" s="2986"/>
      <c r="U161" s="2228">
        <f t="shared" si="13"/>
        <v>500</v>
      </c>
      <c r="V161" s="2228"/>
      <c r="W161" s="2990"/>
      <c r="X161" s="2230">
        <f t="shared" si="14"/>
        <v>214.5</v>
      </c>
      <c r="Y161" s="2230"/>
    </row>
    <row r="162" spans="8:25">
      <c r="H162" s="2224" t="s">
        <v>1335</v>
      </c>
      <c r="I162" s="2229">
        <v>369</v>
      </c>
      <c r="J162" s="2226" t="s">
        <v>110</v>
      </c>
      <c r="K162" s="2224" t="s">
        <v>845</v>
      </c>
      <c r="L162" s="2227">
        <v>42.24</v>
      </c>
      <c r="M162" s="2227">
        <v>42.4</v>
      </c>
      <c r="N162" s="2250">
        <v>1.1386704516665951E-2</v>
      </c>
      <c r="O162" s="2224">
        <v>8</v>
      </c>
      <c r="P162" s="2225" t="s">
        <v>1253</v>
      </c>
      <c r="Q162" s="2229"/>
      <c r="R162" s="2229">
        <v>150</v>
      </c>
      <c r="S162" s="2228"/>
      <c r="T162" s="2986"/>
      <c r="U162" s="2228">
        <f t="shared" si="13"/>
        <v>55350</v>
      </c>
      <c r="V162" s="2228"/>
      <c r="W162" s="2990"/>
      <c r="X162" s="2230">
        <f t="shared" si="14"/>
        <v>6360</v>
      </c>
      <c r="Y162" s="2230"/>
    </row>
    <row r="163" spans="8:25">
      <c r="H163" s="2224" t="s">
        <v>1336</v>
      </c>
      <c r="I163" s="2229">
        <v>230</v>
      </c>
      <c r="J163" s="2226" t="s">
        <v>110</v>
      </c>
      <c r="K163" s="2224" t="s">
        <v>845</v>
      </c>
      <c r="L163" s="2227">
        <v>42.4</v>
      </c>
      <c r="M163" s="2227">
        <v>42.4</v>
      </c>
      <c r="N163" s="2250">
        <v>3.2757248765893292E-3</v>
      </c>
      <c r="O163" s="2224">
        <v>8</v>
      </c>
      <c r="P163" s="2225" t="s">
        <v>1253</v>
      </c>
      <c r="Q163" s="2229"/>
      <c r="R163" s="2229">
        <v>150</v>
      </c>
      <c r="S163" s="2228"/>
      <c r="T163" s="2986"/>
      <c r="U163" s="2228">
        <f t="shared" si="13"/>
        <v>34500</v>
      </c>
      <c r="V163" s="2228"/>
      <c r="W163" s="2990"/>
      <c r="X163" s="2230">
        <f t="shared" si="14"/>
        <v>6360</v>
      </c>
      <c r="Y163" s="2230"/>
    </row>
    <row r="164" spans="8:25">
      <c r="H164" s="2224" t="s">
        <v>1337</v>
      </c>
      <c r="I164" s="2229">
        <v>200</v>
      </c>
      <c r="J164" s="2226" t="s">
        <v>110</v>
      </c>
      <c r="K164" s="2224" t="s">
        <v>845</v>
      </c>
      <c r="L164" s="2227">
        <v>104</v>
      </c>
      <c r="M164" s="2227">
        <v>50</v>
      </c>
      <c r="N164" s="2250">
        <v>3.3231991501630874E-4</v>
      </c>
      <c r="O164" s="2224">
        <v>8</v>
      </c>
      <c r="P164" s="2225" t="s">
        <v>1253</v>
      </c>
      <c r="Q164" s="2229"/>
      <c r="R164" s="2229">
        <v>25</v>
      </c>
      <c r="S164" s="2228"/>
      <c r="T164" s="2986"/>
      <c r="U164" s="2228">
        <f t="shared" si="13"/>
        <v>5000</v>
      </c>
      <c r="V164" s="2228"/>
      <c r="W164" s="2990"/>
      <c r="X164" s="2230">
        <f t="shared" si="14"/>
        <v>1250</v>
      </c>
      <c r="Y164" s="2230"/>
    </row>
    <row r="165" spans="8:25">
      <c r="H165" s="2224" t="s">
        <v>1338</v>
      </c>
      <c r="I165" s="2229">
        <v>100</v>
      </c>
      <c r="J165" s="2226" t="s">
        <v>110</v>
      </c>
      <c r="K165" s="2224" t="s">
        <v>845</v>
      </c>
      <c r="L165" s="2227">
        <v>165.1</v>
      </c>
      <c r="M165" s="2227">
        <v>25</v>
      </c>
      <c r="N165" s="2250">
        <v>1.6615995750815437E-4</v>
      </c>
      <c r="O165" s="2224">
        <v>8</v>
      </c>
      <c r="P165" s="2225" t="s">
        <v>1253</v>
      </c>
      <c r="Q165" s="2229"/>
      <c r="R165" s="2229">
        <v>25</v>
      </c>
      <c r="S165" s="2228"/>
      <c r="T165" s="2986"/>
      <c r="U165" s="2228">
        <f t="shared" si="13"/>
        <v>2500</v>
      </c>
      <c r="V165" s="2228"/>
      <c r="W165" s="2990"/>
      <c r="X165" s="2230">
        <f t="shared" si="14"/>
        <v>625</v>
      </c>
      <c r="Y165" s="2230"/>
    </row>
    <row r="166" spans="8:25">
      <c r="H166" s="2224" t="s">
        <v>1339</v>
      </c>
      <c r="I166" s="2229">
        <v>100</v>
      </c>
      <c r="J166" s="2226" t="s">
        <v>110</v>
      </c>
      <c r="K166" s="2224" t="s">
        <v>845</v>
      </c>
      <c r="L166" s="2227">
        <v>165.1</v>
      </c>
      <c r="M166" s="2227">
        <v>25</v>
      </c>
      <c r="N166" s="2250">
        <v>2.4893087792307058E-4</v>
      </c>
      <c r="O166" s="2224">
        <v>8</v>
      </c>
      <c r="P166" s="2225" t="s">
        <v>1253</v>
      </c>
      <c r="Q166" s="2229"/>
      <c r="R166" s="2229">
        <v>25</v>
      </c>
      <c r="S166" s="2228"/>
      <c r="T166" s="2986"/>
      <c r="U166" s="2228">
        <f t="shared" si="13"/>
        <v>2500</v>
      </c>
      <c r="V166" s="2228"/>
      <c r="W166" s="2990"/>
      <c r="X166" s="2230">
        <f t="shared" si="14"/>
        <v>625</v>
      </c>
      <c r="Y166" s="2230"/>
    </row>
    <row r="167" spans="8:25">
      <c r="H167" s="2224" t="s">
        <v>1340</v>
      </c>
      <c r="I167" s="2229">
        <v>757</v>
      </c>
      <c r="J167" s="2226" t="s">
        <v>110</v>
      </c>
      <c r="K167" s="2224" t="s">
        <v>845</v>
      </c>
      <c r="L167" s="2227">
        <v>364</v>
      </c>
      <c r="M167" s="2227">
        <v>189.25</v>
      </c>
      <c r="N167" s="2250">
        <v>1.8844067458776441E-3</v>
      </c>
      <c r="O167" s="2224">
        <v>15</v>
      </c>
      <c r="P167" s="2225" t="s">
        <v>1253</v>
      </c>
      <c r="Q167" s="2229"/>
      <c r="R167" s="2229">
        <v>25</v>
      </c>
      <c r="S167" s="2228"/>
      <c r="T167" s="2986"/>
      <c r="U167" s="2228">
        <f t="shared" si="13"/>
        <v>18925</v>
      </c>
      <c r="V167" s="2228"/>
      <c r="W167" s="2990"/>
      <c r="X167" s="2230">
        <f t="shared" si="14"/>
        <v>4731.25</v>
      </c>
      <c r="Y167" s="2230"/>
    </row>
    <row r="168" spans="8:25">
      <c r="H168" s="2224" t="s">
        <v>1341</v>
      </c>
      <c r="I168" s="2229">
        <v>855</v>
      </c>
      <c r="J168" s="2226" t="s">
        <v>110</v>
      </c>
      <c r="K168" s="2224" t="s">
        <v>845</v>
      </c>
      <c r="L168" s="2227">
        <v>364</v>
      </c>
      <c r="M168" s="2227">
        <v>213.75</v>
      </c>
      <c r="N168" s="2250">
        <v>2.1283590062422535E-3</v>
      </c>
      <c r="O168" s="2224">
        <v>15</v>
      </c>
      <c r="P168" s="2225" t="s">
        <v>1253</v>
      </c>
      <c r="Q168" s="2229"/>
      <c r="R168" s="2229">
        <v>25</v>
      </c>
      <c r="S168" s="2228"/>
      <c r="T168" s="2986"/>
      <c r="U168" s="2228">
        <f t="shared" si="13"/>
        <v>21375</v>
      </c>
      <c r="V168" s="2228"/>
      <c r="W168" s="2990"/>
      <c r="X168" s="2230">
        <f t="shared" si="14"/>
        <v>5343.75</v>
      </c>
      <c r="Y168" s="2230"/>
    </row>
    <row r="169" spans="8:25">
      <c r="H169" s="2224" t="s">
        <v>1342</v>
      </c>
      <c r="I169" s="2229">
        <v>5340</v>
      </c>
      <c r="J169" s="2226" t="s">
        <v>110</v>
      </c>
      <c r="K169" s="2224" t="s">
        <v>845</v>
      </c>
      <c r="L169" s="2227">
        <v>2544.75</v>
      </c>
      <c r="M169" s="2227">
        <v>1335</v>
      </c>
      <c r="N169" s="2250">
        <v>1.3292908881091968E-2</v>
      </c>
      <c r="O169" s="2224">
        <v>10</v>
      </c>
      <c r="P169" s="2225" t="s">
        <v>1160</v>
      </c>
      <c r="Q169" s="2229"/>
      <c r="R169" s="2229">
        <v>25</v>
      </c>
      <c r="S169" s="2228"/>
      <c r="T169" s="2986"/>
      <c r="U169" s="2228">
        <f t="shared" si="13"/>
        <v>133500</v>
      </c>
      <c r="V169" s="2228"/>
      <c r="W169" s="2990"/>
      <c r="X169" s="2230">
        <f t="shared" si="14"/>
        <v>33375</v>
      </c>
      <c r="Y169" s="2230"/>
    </row>
    <row r="170" spans="8:25">
      <c r="H170" s="2224" t="s">
        <v>1343</v>
      </c>
      <c r="I170" s="2229">
        <v>1258</v>
      </c>
      <c r="J170" s="2226" t="s">
        <v>110</v>
      </c>
      <c r="K170" s="2224" t="s">
        <v>845</v>
      </c>
      <c r="L170" s="2227">
        <v>57.6</v>
      </c>
      <c r="M170" s="2227">
        <v>314.5</v>
      </c>
      <c r="N170" s="2250">
        <v>9.3946513328166826E-3</v>
      </c>
      <c r="O170" s="2224">
        <v>10</v>
      </c>
      <c r="P170" s="2225" t="s">
        <v>1160</v>
      </c>
      <c r="Q170" s="2229"/>
      <c r="R170" s="2229">
        <v>75</v>
      </c>
      <c r="S170" s="2228"/>
      <c r="T170" s="2986"/>
      <c r="U170" s="2228">
        <f t="shared" si="13"/>
        <v>94350</v>
      </c>
      <c r="V170" s="2228"/>
      <c r="W170" s="2990"/>
      <c r="X170" s="2230">
        <f t="shared" si="14"/>
        <v>23587.5</v>
      </c>
      <c r="Y170" s="2230"/>
    </row>
    <row r="171" spans="8:25">
      <c r="H171" s="2224" t="s">
        <v>1344</v>
      </c>
      <c r="I171" s="2229">
        <v>1497</v>
      </c>
      <c r="J171" s="2226" t="s">
        <v>110</v>
      </c>
      <c r="K171" s="2224" t="s">
        <v>845</v>
      </c>
      <c r="L171" s="2227">
        <v>65.599999999999994</v>
      </c>
      <c r="M171" s="2227">
        <v>374.25</v>
      </c>
      <c r="N171" s="2250">
        <v>1.1179485727525099E-2</v>
      </c>
      <c r="O171" s="2224">
        <v>10</v>
      </c>
      <c r="P171" s="2225" t="s">
        <v>1160</v>
      </c>
      <c r="Q171" s="2229"/>
      <c r="R171" s="2229">
        <v>75</v>
      </c>
      <c r="S171" s="2228"/>
      <c r="T171" s="2986"/>
      <c r="U171" s="2228">
        <f t="shared" si="13"/>
        <v>112275</v>
      </c>
      <c r="V171" s="2228"/>
      <c r="W171" s="2990"/>
      <c r="X171" s="2230">
        <f t="shared" si="14"/>
        <v>28068.75</v>
      </c>
      <c r="Y171" s="2230"/>
    </row>
    <row r="172" spans="8:25">
      <c r="H172" s="2224" t="s">
        <v>1345</v>
      </c>
      <c r="I172" s="2229">
        <v>1353</v>
      </c>
      <c r="J172" s="2226" t="s">
        <v>110</v>
      </c>
      <c r="K172" s="2224" t="s">
        <v>845</v>
      </c>
      <c r="L172" s="2227">
        <v>48</v>
      </c>
      <c r="M172" s="2227">
        <v>338.25</v>
      </c>
      <c r="N172" s="2250">
        <v>1.0104104334897434E-2</v>
      </c>
      <c r="O172" s="2224">
        <v>10</v>
      </c>
      <c r="P172" s="2225" t="s">
        <v>1160</v>
      </c>
      <c r="Q172" s="2229"/>
      <c r="R172" s="2229">
        <v>75</v>
      </c>
      <c r="S172" s="2228"/>
      <c r="T172" s="2986"/>
      <c r="U172" s="2228">
        <f t="shared" si="13"/>
        <v>101475</v>
      </c>
      <c r="V172" s="2228"/>
      <c r="W172" s="2990"/>
      <c r="X172" s="2230">
        <f t="shared" si="14"/>
        <v>25368.75</v>
      </c>
      <c r="Y172" s="2230"/>
    </row>
    <row r="173" spans="8:25">
      <c r="H173" s="2224" t="s">
        <v>1346</v>
      </c>
      <c r="I173" s="2229">
        <v>1322</v>
      </c>
      <c r="J173" s="2226" t="s">
        <v>110</v>
      </c>
      <c r="K173" s="2224" t="s">
        <v>845</v>
      </c>
      <c r="L173" s="2227">
        <v>48</v>
      </c>
      <c r="M173" s="2227">
        <v>330.5</v>
      </c>
      <c r="N173" s="2250">
        <v>9.872598618428978E-3</v>
      </c>
      <c r="O173" s="2224">
        <v>10</v>
      </c>
      <c r="P173" s="2225" t="s">
        <v>1160</v>
      </c>
      <c r="Q173" s="2229"/>
      <c r="R173" s="2229">
        <v>75</v>
      </c>
      <c r="S173" s="2228"/>
      <c r="T173" s="2986"/>
      <c r="U173" s="2228">
        <f t="shared" si="13"/>
        <v>99150</v>
      </c>
      <c r="V173" s="2228"/>
      <c r="W173" s="2990"/>
      <c r="X173" s="2230">
        <f t="shared" si="14"/>
        <v>24787.5</v>
      </c>
      <c r="Y173" s="2230"/>
    </row>
    <row r="174" spans="8:25">
      <c r="H174" s="2224" t="s">
        <v>1347</v>
      </c>
      <c r="I174" s="2229">
        <v>473</v>
      </c>
      <c r="J174" s="2226" t="s">
        <v>110</v>
      </c>
      <c r="K174" s="2224" t="s">
        <v>845</v>
      </c>
      <c r="L174" s="2227">
        <v>160</v>
      </c>
      <c r="M174" s="2227">
        <v>160</v>
      </c>
      <c r="N174" s="2250">
        <v>7.0646583154567429E-3</v>
      </c>
      <c r="O174" s="2224">
        <v>10</v>
      </c>
      <c r="P174" s="2225" t="s">
        <v>1160</v>
      </c>
      <c r="Q174" s="2229"/>
      <c r="R174" s="2229">
        <v>150</v>
      </c>
      <c r="S174" s="2228"/>
      <c r="T174" s="2986"/>
      <c r="U174" s="2228">
        <f t="shared" si="13"/>
        <v>70950</v>
      </c>
      <c r="V174" s="2228"/>
      <c r="W174" s="2990"/>
      <c r="X174" s="2230">
        <f t="shared" si="14"/>
        <v>24000</v>
      </c>
      <c r="Y174" s="2230"/>
    </row>
    <row r="175" spans="8:25">
      <c r="H175" s="2224" t="s">
        <v>1348</v>
      </c>
      <c r="I175" s="2229">
        <v>380</v>
      </c>
      <c r="J175" s="2226" t="s">
        <v>110</v>
      </c>
      <c r="K175" s="2224" t="s">
        <v>845</v>
      </c>
      <c r="L175" s="2227">
        <v>845</v>
      </c>
      <c r="M175" s="2227">
        <v>95</v>
      </c>
      <c r="N175" s="2250">
        <v>1.8918746722153363E-3</v>
      </c>
      <c r="O175" s="2224">
        <v>10</v>
      </c>
      <c r="P175" s="2225" t="s">
        <v>1160</v>
      </c>
      <c r="Q175" s="2229"/>
      <c r="R175" s="2229">
        <v>50</v>
      </c>
      <c r="S175" s="2228"/>
      <c r="T175" s="2986"/>
      <c r="U175" s="2228">
        <f t="shared" si="13"/>
        <v>19000</v>
      </c>
      <c r="V175" s="2228"/>
      <c r="W175" s="2990"/>
      <c r="X175" s="2230">
        <f t="shared" si="14"/>
        <v>4750</v>
      </c>
      <c r="Y175" s="2230"/>
    </row>
    <row r="176" spans="8:25">
      <c r="H176" s="2224" t="s">
        <v>1613</v>
      </c>
      <c r="I176" s="2229">
        <v>457</v>
      </c>
      <c r="J176" s="2226" t="s">
        <v>110</v>
      </c>
      <c r="K176" s="2224" t="s">
        <v>845</v>
      </c>
      <c r="L176" s="2227">
        <v>233.5</v>
      </c>
      <c r="M176" s="2227">
        <v>114.25</v>
      </c>
      <c r="N176" s="2250">
        <v>3.4128423363252976E-3</v>
      </c>
      <c r="O176" s="2224">
        <v>12</v>
      </c>
      <c r="P176" s="2225" t="s">
        <v>996</v>
      </c>
      <c r="Q176" s="2229"/>
      <c r="R176" s="2229">
        <v>75</v>
      </c>
      <c r="S176" s="2228"/>
      <c r="T176" s="2986"/>
      <c r="U176" s="2228">
        <f t="shared" si="13"/>
        <v>34275</v>
      </c>
      <c r="V176" s="2228"/>
      <c r="W176" s="2990"/>
      <c r="X176" s="2230">
        <f t="shared" si="14"/>
        <v>8568.75</v>
      </c>
      <c r="Y176" s="2230"/>
    </row>
    <row r="177" spans="8:25">
      <c r="H177" s="2224" t="s">
        <v>1614</v>
      </c>
      <c r="I177" s="2229">
        <v>158</v>
      </c>
      <c r="J177" s="2226" t="s">
        <v>110</v>
      </c>
      <c r="K177" s="2224" t="s">
        <v>845</v>
      </c>
      <c r="L177" s="2227">
        <v>52.23</v>
      </c>
      <c r="M177" s="2227">
        <v>39.5</v>
      </c>
      <c r="N177" s="2250">
        <v>1.5732431484738059E-3</v>
      </c>
      <c r="O177" s="2224">
        <v>12</v>
      </c>
      <c r="P177" s="2225" t="s">
        <v>996</v>
      </c>
      <c r="Q177" s="2229"/>
      <c r="R177" s="2229">
        <v>100</v>
      </c>
      <c r="S177" s="2228"/>
      <c r="T177" s="2986"/>
      <c r="U177" s="2228">
        <f t="shared" si="13"/>
        <v>15800</v>
      </c>
      <c r="V177" s="2228"/>
      <c r="W177" s="2990"/>
      <c r="X177" s="2230">
        <f t="shared" si="14"/>
        <v>3950</v>
      </c>
      <c r="Y177" s="2230"/>
    </row>
    <row r="178" spans="8:25">
      <c r="H178" s="2224" t="s">
        <v>1977</v>
      </c>
      <c r="I178" s="2229">
        <v>92.4</v>
      </c>
      <c r="J178" s="2226" t="s">
        <v>110</v>
      </c>
      <c r="K178" s="2224" t="s">
        <v>845</v>
      </c>
      <c r="L178" s="2227">
        <v>43.85</v>
      </c>
      <c r="M178" s="2227">
        <v>19.07</v>
      </c>
      <c r="N178" s="2250" t="s">
        <v>229</v>
      </c>
      <c r="O178" s="2224">
        <v>12</v>
      </c>
      <c r="P178" s="2225" t="s">
        <v>996</v>
      </c>
      <c r="Q178" s="2229"/>
      <c r="R178" s="2229"/>
      <c r="S178" s="2228"/>
      <c r="T178" s="2228"/>
      <c r="U178" s="2228">
        <f t="shared" si="13"/>
        <v>0</v>
      </c>
      <c r="V178" s="2228"/>
      <c r="W178" s="2230"/>
      <c r="X178" s="2230">
        <f t="shared" si="14"/>
        <v>0</v>
      </c>
      <c r="Y178" s="2230"/>
    </row>
    <row r="179" spans="8:25">
      <c r="H179" s="2224" t="s">
        <v>1978</v>
      </c>
      <c r="I179" s="2229">
        <v>42.9</v>
      </c>
      <c r="J179" s="2226" t="s">
        <v>110</v>
      </c>
      <c r="K179" s="2224" t="s">
        <v>845</v>
      </c>
      <c r="L179" s="2227">
        <v>43.85</v>
      </c>
      <c r="M179" s="2227">
        <v>19.07</v>
      </c>
      <c r="N179" s="2250" t="s">
        <v>229</v>
      </c>
      <c r="O179" s="2224">
        <v>12</v>
      </c>
      <c r="P179" s="2225" t="s">
        <v>996</v>
      </c>
      <c r="Q179" s="2229"/>
      <c r="R179" s="2229"/>
      <c r="S179" s="2228"/>
      <c r="T179" s="2228"/>
      <c r="U179" s="2228">
        <f t="shared" si="13"/>
        <v>0</v>
      </c>
      <c r="V179" s="2228"/>
      <c r="W179" s="2230"/>
      <c r="X179" s="2230">
        <f t="shared" si="14"/>
        <v>0</v>
      </c>
      <c r="Y179" s="2230"/>
    </row>
    <row r="180" spans="8:25">
      <c r="H180" s="3253" t="s">
        <v>1979</v>
      </c>
      <c r="I180" s="3254">
        <v>79.2</v>
      </c>
      <c r="J180" s="2226" t="s">
        <v>110</v>
      </c>
      <c r="K180" s="3253" t="s">
        <v>845</v>
      </c>
      <c r="L180" s="3256">
        <v>58.59</v>
      </c>
      <c r="M180" s="3256">
        <v>29.3</v>
      </c>
      <c r="N180" s="3257">
        <v>1.5772260425205751E-3</v>
      </c>
      <c r="O180" s="3253">
        <v>12</v>
      </c>
      <c r="P180" s="3258" t="s">
        <v>996</v>
      </c>
      <c r="Q180" s="3254"/>
      <c r="R180" s="3254">
        <v>200</v>
      </c>
      <c r="S180" s="3259"/>
      <c r="T180" s="3259"/>
      <c r="U180" s="2228">
        <f t="shared" si="13"/>
        <v>15840</v>
      </c>
      <c r="V180" s="3259"/>
      <c r="W180" s="3260"/>
      <c r="X180" s="2230">
        <f t="shared" si="14"/>
        <v>5860</v>
      </c>
      <c r="Y180" s="3260"/>
    </row>
    <row r="181" spans="8:25">
      <c r="H181" s="3253" t="s">
        <v>1980</v>
      </c>
      <c r="I181" s="3254">
        <v>158.4</v>
      </c>
      <c r="J181" s="2226" t="s">
        <v>110</v>
      </c>
      <c r="K181" s="3253" t="s">
        <v>845</v>
      </c>
      <c r="L181" s="3256">
        <v>59.01</v>
      </c>
      <c r="M181" s="3256">
        <v>41.3</v>
      </c>
      <c r="N181" s="3257">
        <v>1.1829195318904314E-3</v>
      </c>
      <c r="O181" s="3253">
        <v>12</v>
      </c>
      <c r="P181" s="3258" t="s">
        <v>996</v>
      </c>
      <c r="Q181" s="3254"/>
      <c r="R181" s="3254">
        <v>75</v>
      </c>
      <c r="S181" s="3259"/>
      <c r="T181" s="3259"/>
      <c r="U181" s="2228">
        <f t="shared" si="13"/>
        <v>11880</v>
      </c>
      <c r="V181" s="3259"/>
      <c r="W181" s="3260"/>
      <c r="X181" s="2230">
        <f t="shared" si="14"/>
        <v>3097.5</v>
      </c>
      <c r="Y181" s="3260"/>
    </row>
    <row r="182" spans="8:25">
      <c r="H182" s="3253" t="s">
        <v>1981</v>
      </c>
      <c r="I182" s="3254">
        <v>389.4</v>
      </c>
      <c r="J182" s="2226" t="s">
        <v>110</v>
      </c>
      <c r="K182" s="3253" t="s">
        <v>845</v>
      </c>
      <c r="L182" s="3256">
        <v>66.349999999999994</v>
      </c>
      <c r="M182" s="3256">
        <v>33.17</v>
      </c>
      <c r="N182" s="3257">
        <v>9.6933683863243672E-4</v>
      </c>
      <c r="O182" s="3253">
        <v>12</v>
      </c>
      <c r="P182" s="3258" t="s">
        <v>996</v>
      </c>
      <c r="Q182" s="3254"/>
      <c r="R182" s="3254">
        <v>25</v>
      </c>
      <c r="S182" s="3259"/>
      <c r="T182" s="3259"/>
      <c r="U182" s="2228">
        <f t="shared" si="13"/>
        <v>9735</v>
      </c>
      <c r="V182" s="3259"/>
      <c r="W182" s="3260"/>
      <c r="X182" s="2230">
        <f t="shared" si="14"/>
        <v>829.25</v>
      </c>
      <c r="Y182" s="3260"/>
    </row>
    <row r="183" spans="8:25">
      <c r="H183" s="3253" t="s">
        <v>1982</v>
      </c>
      <c r="I183" s="3254">
        <v>237.6</v>
      </c>
      <c r="J183" s="2226" t="s">
        <v>110</v>
      </c>
      <c r="K183" s="3253" t="s">
        <v>845</v>
      </c>
      <c r="L183" s="3256">
        <v>80.790000000000006</v>
      </c>
      <c r="M183" s="3256">
        <v>56.56</v>
      </c>
      <c r="N183" s="3257">
        <v>5.9145976594521569E-4</v>
      </c>
      <c r="O183" s="3253">
        <v>12</v>
      </c>
      <c r="P183" s="3258" t="s">
        <v>996</v>
      </c>
      <c r="Q183" s="3254"/>
      <c r="R183" s="3254">
        <v>25</v>
      </c>
      <c r="S183" s="3259"/>
      <c r="T183" s="3259"/>
      <c r="U183" s="2228">
        <f t="shared" si="13"/>
        <v>5940</v>
      </c>
      <c r="V183" s="3259"/>
      <c r="W183" s="3260"/>
      <c r="X183" s="2230">
        <f t="shared" si="14"/>
        <v>1414</v>
      </c>
      <c r="Y183" s="3260"/>
    </row>
    <row r="184" spans="8:25">
      <c r="H184" s="3253" t="s">
        <v>1983</v>
      </c>
      <c r="I184" s="3254">
        <v>584.1</v>
      </c>
      <c r="J184" s="2226" t="s">
        <v>110</v>
      </c>
      <c r="K184" s="3253" t="s">
        <v>845</v>
      </c>
      <c r="L184" s="3256">
        <v>81.11</v>
      </c>
      <c r="M184" s="3256">
        <v>40.549999999999997</v>
      </c>
      <c r="N184" s="3257">
        <v>1.4540052579486552E-3</v>
      </c>
      <c r="O184" s="3253">
        <v>12</v>
      </c>
      <c r="P184" s="3258" t="s">
        <v>996</v>
      </c>
      <c r="Q184" s="3254"/>
      <c r="R184" s="3254">
        <v>25</v>
      </c>
      <c r="S184" s="3259"/>
      <c r="T184" s="3259"/>
      <c r="U184" s="2228">
        <f t="shared" si="13"/>
        <v>14602.5</v>
      </c>
      <c r="V184" s="3259"/>
      <c r="W184" s="3260"/>
      <c r="X184" s="2230">
        <f t="shared" si="14"/>
        <v>1013.7499999999999</v>
      </c>
      <c r="Y184" s="3260"/>
    </row>
    <row r="185" spans="8:25">
      <c r="H185" s="3253" t="s">
        <v>1984</v>
      </c>
      <c r="I185" s="3254">
        <v>280.5</v>
      </c>
      <c r="J185" s="2226" t="s">
        <v>110</v>
      </c>
      <c r="K185" s="3253" t="s">
        <v>845</v>
      </c>
      <c r="L185" s="3256">
        <v>87.05</v>
      </c>
      <c r="M185" s="3256">
        <v>60.93</v>
      </c>
      <c r="N185" s="3257" t="s">
        <v>229</v>
      </c>
      <c r="O185" s="3253">
        <v>12</v>
      </c>
      <c r="P185" s="3258" t="s">
        <v>996</v>
      </c>
      <c r="Q185" s="3254"/>
      <c r="R185" s="3254"/>
      <c r="S185" s="3259"/>
      <c r="T185" s="3259"/>
      <c r="U185" s="2228">
        <f t="shared" si="13"/>
        <v>0</v>
      </c>
      <c r="V185" s="3259"/>
      <c r="W185" s="3260"/>
      <c r="X185" s="2230">
        <f t="shared" si="14"/>
        <v>0</v>
      </c>
      <c r="Y185" s="3260"/>
    </row>
    <row r="186" spans="8:25">
      <c r="H186" s="3253" t="s">
        <v>1985</v>
      </c>
      <c r="I186" s="3254">
        <v>627</v>
      </c>
      <c r="J186" s="2226" t="s">
        <v>110</v>
      </c>
      <c r="K186" s="3253" t="s">
        <v>845</v>
      </c>
      <c r="L186" s="3256">
        <v>87.46</v>
      </c>
      <c r="M186" s="3256">
        <v>43.73</v>
      </c>
      <c r="N186" s="3257" t="s">
        <v>229</v>
      </c>
      <c r="O186" s="3253">
        <v>12</v>
      </c>
      <c r="P186" s="3258" t="s">
        <v>996</v>
      </c>
      <c r="Q186" s="3254"/>
      <c r="R186" s="3254"/>
      <c r="S186" s="3259"/>
      <c r="T186" s="3259"/>
      <c r="U186" s="2228">
        <f t="shared" si="13"/>
        <v>0</v>
      </c>
      <c r="V186" s="3259"/>
      <c r="W186" s="3260"/>
      <c r="X186" s="2230">
        <f t="shared" si="14"/>
        <v>0</v>
      </c>
      <c r="Y186" s="3260"/>
    </row>
    <row r="187" spans="8:25">
      <c r="H187" s="3253" t="s">
        <v>1986</v>
      </c>
      <c r="I187" s="3254">
        <v>316.8</v>
      </c>
      <c r="J187" s="2226" t="s">
        <v>110</v>
      </c>
      <c r="K187" s="3253" t="s">
        <v>845</v>
      </c>
      <c r="L187" s="3256">
        <v>93.31</v>
      </c>
      <c r="M187" s="3256">
        <v>65.319999999999993</v>
      </c>
      <c r="N187" s="3257">
        <v>1.5772260425205751E-3</v>
      </c>
      <c r="O187" s="3253">
        <v>12</v>
      </c>
      <c r="P187" s="3258" t="s">
        <v>996</v>
      </c>
      <c r="Q187" s="3254"/>
      <c r="R187" s="3254">
        <v>50</v>
      </c>
      <c r="S187" s="3259"/>
      <c r="T187" s="3259"/>
      <c r="U187" s="2228">
        <f t="shared" si="13"/>
        <v>15840</v>
      </c>
      <c r="V187" s="3259"/>
      <c r="W187" s="3260"/>
      <c r="X187" s="2230">
        <f t="shared" si="14"/>
        <v>3265.9999999999995</v>
      </c>
      <c r="Y187" s="3260"/>
    </row>
    <row r="188" spans="8:25">
      <c r="H188" s="3253" t="s">
        <v>1987</v>
      </c>
      <c r="I188" s="3254">
        <v>778.8</v>
      </c>
      <c r="J188" s="2226" t="s">
        <v>110</v>
      </c>
      <c r="K188" s="3253" t="s">
        <v>845</v>
      </c>
      <c r="L188" s="3256">
        <v>89.32</v>
      </c>
      <c r="M188" s="3256">
        <v>44.66</v>
      </c>
      <c r="N188" s="3257" t="s">
        <v>229</v>
      </c>
      <c r="O188" s="3253">
        <v>12</v>
      </c>
      <c r="P188" s="3258" t="s">
        <v>996</v>
      </c>
      <c r="Q188" s="3254"/>
      <c r="R188" s="3254"/>
      <c r="S188" s="3259"/>
      <c r="T188" s="3259"/>
      <c r="U188" s="2228">
        <f t="shared" si="13"/>
        <v>0</v>
      </c>
      <c r="V188" s="3259"/>
      <c r="W188" s="3260"/>
      <c r="X188" s="2230">
        <f t="shared" si="14"/>
        <v>0</v>
      </c>
      <c r="Y188" s="3260"/>
    </row>
    <row r="189" spans="8:25">
      <c r="H189" s="3253" t="s">
        <v>1988</v>
      </c>
      <c r="I189" s="3254">
        <v>359.7</v>
      </c>
      <c r="J189" s="2226" t="s">
        <v>110</v>
      </c>
      <c r="K189" s="3253" t="s">
        <v>845</v>
      </c>
      <c r="L189" s="3256">
        <v>79.010000000000005</v>
      </c>
      <c r="M189" s="3256">
        <v>55.31</v>
      </c>
      <c r="N189" s="3257" t="s">
        <v>229</v>
      </c>
      <c r="O189" s="3253">
        <v>12</v>
      </c>
      <c r="P189" s="3258" t="s">
        <v>996</v>
      </c>
      <c r="Q189" s="3254"/>
      <c r="R189" s="3254"/>
      <c r="S189" s="3259"/>
      <c r="T189" s="3259"/>
      <c r="U189" s="2228">
        <f t="shared" si="13"/>
        <v>0</v>
      </c>
      <c r="V189" s="3259"/>
      <c r="W189" s="3260"/>
      <c r="X189" s="2230">
        <f t="shared" si="14"/>
        <v>0</v>
      </c>
      <c r="Y189" s="3260"/>
    </row>
    <row r="190" spans="8:25">
      <c r="H190" s="3253" t="s">
        <v>1989</v>
      </c>
      <c r="I190" s="3254">
        <v>821.7</v>
      </c>
      <c r="J190" s="2226" t="s">
        <v>110</v>
      </c>
      <c r="K190" s="3253" t="s">
        <v>845</v>
      </c>
      <c r="L190" s="3256">
        <v>75.02</v>
      </c>
      <c r="M190" s="3256">
        <v>37.51</v>
      </c>
      <c r="N190" s="3257" t="s">
        <v>229</v>
      </c>
      <c r="O190" s="3253">
        <v>12</v>
      </c>
      <c r="P190" s="3258" t="s">
        <v>996</v>
      </c>
      <c r="Q190" s="3254"/>
      <c r="R190" s="3254"/>
      <c r="S190" s="3259"/>
      <c r="T190" s="3259"/>
      <c r="U190" s="2228">
        <f t="shared" si="13"/>
        <v>0</v>
      </c>
      <c r="V190" s="3259"/>
      <c r="W190" s="3260"/>
      <c r="X190" s="2230">
        <f t="shared" si="14"/>
        <v>0</v>
      </c>
      <c r="Y190" s="3260"/>
    </row>
    <row r="191" spans="8:25">
      <c r="H191" s="3253" t="s">
        <v>1990</v>
      </c>
      <c r="I191" s="3254">
        <v>402.6</v>
      </c>
      <c r="J191" s="2226" t="s">
        <v>110</v>
      </c>
      <c r="K191" s="3253" t="s">
        <v>845</v>
      </c>
      <c r="L191" s="3256">
        <v>87.46</v>
      </c>
      <c r="M191" s="3256">
        <v>61.22</v>
      </c>
      <c r="N191" s="3257" t="s">
        <v>229</v>
      </c>
      <c r="O191" s="3253">
        <v>12</v>
      </c>
      <c r="P191" s="3258" t="s">
        <v>996</v>
      </c>
      <c r="Q191" s="3254"/>
      <c r="R191" s="3254"/>
      <c r="S191" s="3259"/>
      <c r="T191" s="3259"/>
      <c r="U191" s="2228">
        <f t="shared" si="13"/>
        <v>0</v>
      </c>
      <c r="V191" s="3259"/>
      <c r="W191" s="3260"/>
      <c r="X191" s="2230">
        <f t="shared" si="14"/>
        <v>0</v>
      </c>
      <c r="Y191" s="3260"/>
    </row>
    <row r="192" spans="8:25">
      <c r="H192" s="3253" t="s">
        <v>1991</v>
      </c>
      <c r="I192" s="3254">
        <v>864.6</v>
      </c>
      <c r="J192" s="2226" t="s">
        <v>110</v>
      </c>
      <c r="K192" s="3253" t="s">
        <v>845</v>
      </c>
      <c r="L192" s="3256">
        <v>87.46</v>
      </c>
      <c r="M192" s="3256">
        <v>43.73</v>
      </c>
      <c r="N192" s="3257" t="s">
        <v>229</v>
      </c>
      <c r="O192" s="3253">
        <v>12</v>
      </c>
      <c r="P192" s="3258" t="s">
        <v>996</v>
      </c>
      <c r="Q192" s="3254"/>
      <c r="R192" s="3254"/>
      <c r="S192" s="3259"/>
      <c r="T192" s="3259"/>
      <c r="U192" s="2228">
        <f t="shared" si="13"/>
        <v>0</v>
      </c>
      <c r="V192" s="3259"/>
      <c r="W192" s="3260"/>
      <c r="X192" s="2230">
        <f t="shared" si="14"/>
        <v>0</v>
      </c>
      <c r="Y192" s="3260"/>
    </row>
    <row r="193" spans="8:25">
      <c r="H193" s="3253" t="s">
        <v>1992</v>
      </c>
      <c r="I193" s="3254">
        <v>36.299999999999997</v>
      </c>
      <c r="J193" s="2226" t="s">
        <v>110</v>
      </c>
      <c r="K193" s="3253" t="s">
        <v>845</v>
      </c>
      <c r="L193" s="3256">
        <v>58.95</v>
      </c>
      <c r="M193" s="3256">
        <v>29.3</v>
      </c>
      <c r="N193" s="3257" t="s">
        <v>229</v>
      </c>
      <c r="O193" s="3253">
        <v>12</v>
      </c>
      <c r="P193" s="3258" t="s">
        <v>996</v>
      </c>
      <c r="Q193" s="3254"/>
      <c r="R193" s="3254"/>
      <c r="S193" s="3259"/>
      <c r="T193" s="3259"/>
      <c r="U193" s="2228">
        <f t="shared" si="13"/>
        <v>0</v>
      </c>
      <c r="V193" s="3259"/>
      <c r="W193" s="3260"/>
      <c r="X193" s="2230">
        <f t="shared" si="14"/>
        <v>0</v>
      </c>
      <c r="Y193" s="3260"/>
    </row>
    <row r="194" spans="8:25">
      <c r="H194" s="3253" t="s">
        <v>1993</v>
      </c>
      <c r="I194" s="3254">
        <v>46.2</v>
      </c>
      <c r="J194" s="2226" t="s">
        <v>110</v>
      </c>
      <c r="K194" s="3253" t="s">
        <v>845</v>
      </c>
      <c r="L194" s="3256">
        <v>58.59</v>
      </c>
      <c r="M194" s="3256">
        <v>29.3</v>
      </c>
      <c r="N194" s="3257" t="s">
        <v>229</v>
      </c>
      <c r="O194" s="3253">
        <v>12</v>
      </c>
      <c r="P194" s="3258" t="s">
        <v>996</v>
      </c>
      <c r="Q194" s="3254"/>
      <c r="R194" s="3254"/>
      <c r="S194" s="3259"/>
      <c r="T194" s="3259"/>
      <c r="U194" s="2228">
        <f t="shared" si="13"/>
        <v>0</v>
      </c>
      <c r="V194" s="3259"/>
      <c r="W194" s="3260"/>
      <c r="X194" s="2230">
        <f t="shared" si="14"/>
        <v>0</v>
      </c>
      <c r="Y194" s="3260"/>
    </row>
    <row r="195" spans="8:25">
      <c r="H195" s="3253" t="s">
        <v>1994</v>
      </c>
      <c r="I195" s="3254">
        <v>75.900000000000006</v>
      </c>
      <c r="J195" s="2226" t="s">
        <v>110</v>
      </c>
      <c r="K195" s="3253" t="s">
        <v>845</v>
      </c>
      <c r="L195" s="3256">
        <v>58.59</v>
      </c>
      <c r="M195" s="3256">
        <v>29.3</v>
      </c>
      <c r="N195" s="3257" t="s">
        <v>229</v>
      </c>
      <c r="O195" s="3253">
        <v>12</v>
      </c>
      <c r="P195" s="3258" t="s">
        <v>996</v>
      </c>
      <c r="Q195" s="3254"/>
      <c r="R195" s="3254"/>
      <c r="S195" s="3259"/>
      <c r="T195" s="3259"/>
      <c r="U195" s="2228">
        <f t="shared" si="13"/>
        <v>0</v>
      </c>
      <c r="V195" s="3259"/>
      <c r="W195" s="3260"/>
      <c r="X195" s="2230">
        <f t="shared" si="14"/>
        <v>0</v>
      </c>
      <c r="Y195" s="3260"/>
    </row>
    <row r="196" spans="8:25">
      <c r="H196" s="3253" t="s">
        <v>1995</v>
      </c>
      <c r="I196" s="3254">
        <v>26.4</v>
      </c>
      <c r="J196" s="2226" t="s">
        <v>110</v>
      </c>
      <c r="K196" s="3253" t="s">
        <v>845</v>
      </c>
      <c r="L196" s="3256">
        <v>58.59</v>
      </c>
      <c r="M196" s="3256">
        <v>29.3</v>
      </c>
      <c r="N196" s="3257" t="s">
        <v>229</v>
      </c>
      <c r="O196" s="3253">
        <v>12</v>
      </c>
      <c r="P196" s="3258" t="s">
        <v>996</v>
      </c>
      <c r="Q196" s="3254"/>
      <c r="R196" s="3254"/>
      <c r="S196" s="3259"/>
      <c r="T196" s="3259"/>
      <c r="U196" s="2228">
        <f t="shared" si="13"/>
        <v>0</v>
      </c>
      <c r="V196" s="3259"/>
      <c r="W196" s="3260"/>
      <c r="X196" s="2230">
        <f t="shared" si="14"/>
        <v>0</v>
      </c>
      <c r="Y196" s="3260"/>
    </row>
    <row r="197" spans="8:25">
      <c r="H197" s="3253" t="s">
        <v>1996</v>
      </c>
      <c r="I197" s="3254">
        <v>36.299999999999997</v>
      </c>
      <c r="J197" s="2226" t="s">
        <v>110</v>
      </c>
      <c r="K197" s="3253" t="s">
        <v>845</v>
      </c>
      <c r="L197" s="3256">
        <v>58.59</v>
      </c>
      <c r="M197" s="3256">
        <v>29.3</v>
      </c>
      <c r="N197" s="3257" t="s">
        <v>229</v>
      </c>
      <c r="O197" s="3253">
        <v>12</v>
      </c>
      <c r="P197" s="3258" t="s">
        <v>996</v>
      </c>
      <c r="Q197" s="3254"/>
      <c r="R197" s="3254"/>
      <c r="S197" s="3259"/>
      <c r="T197" s="3259"/>
      <c r="U197" s="2228">
        <f t="shared" si="13"/>
        <v>0</v>
      </c>
      <c r="V197" s="3259"/>
      <c r="W197" s="3260"/>
      <c r="X197" s="2230">
        <f t="shared" si="14"/>
        <v>0</v>
      </c>
      <c r="Y197" s="3260"/>
    </row>
    <row r="198" spans="8:25">
      <c r="H198" s="3253" t="s">
        <v>1997</v>
      </c>
      <c r="I198" s="3254">
        <v>72.599999999999994</v>
      </c>
      <c r="J198" s="2226" t="s">
        <v>110</v>
      </c>
      <c r="K198" s="3253" t="s">
        <v>845</v>
      </c>
      <c r="L198" s="3256">
        <v>58.59</v>
      </c>
      <c r="M198" s="3256">
        <v>29.3</v>
      </c>
      <c r="N198" s="3257">
        <v>1.807238173721492E-4</v>
      </c>
      <c r="O198" s="3253">
        <v>12</v>
      </c>
      <c r="P198" s="3258" t="s">
        <v>996</v>
      </c>
      <c r="Q198" s="3254"/>
      <c r="R198" s="3254">
        <v>25</v>
      </c>
      <c r="S198" s="3259"/>
      <c r="T198" s="3259"/>
      <c r="U198" s="2228">
        <f t="shared" si="13"/>
        <v>1814.9999999999998</v>
      </c>
      <c r="V198" s="3259"/>
      <c r="W198" s="3260"/>
      <c r="X198" s="2230">
        <f t="shared" si="14"/>
        <v>732.5</v>
      </c>
      <c r="Y198" s="3260"/>
    </row>
    <row r="199" spans="8:25">
      <c r="H199" s="3253" t="s">
        <v>1998</v>
      </c>
      <c r="I199" s="3254">
        <v>92.4</v>
      </c>
      <c r="J199" s="2226" t="s">
        <v>110</v>
      </c>
      <c r="K199" s="3253" t="s">
        <v>845</v>
      </c>
      <c r="L199" s="3256">
        <v>61.19</v>
      </c>
      <c r="M199" s="3256">
        <v>42.83</v>
      </c>
      <c r="N199" s="3257">
        <v>2.3001213120091719E-4</v>
      </c>
      <c r="O199" s="3253">
        <v>12</v>
      </c>
      <c r="P199" s="3258" t="s">
        <v>996</v>
      </c>
      <c r="Q199" s="3254"/>
      <c r="R199" s="3254">
        <v>25</v>
      </c>
      <c r="S199" s="3259"/>
      <c r="T199" s="3259"/>
      <c r="U199" s="2228">
        <f t="shared" si="13"/>
        <v>2310</v>
      </c>
      <c r="V199" s="3259"/>
      <c r="W199" s="3260"/>
      <c r="X199" s="2230">
        <f t="shared" si="14"/>
        <v>1070.75</v>
      </c>
      <c r="Y199" s="3260"/>
    </row>
    <row r="200" spans="8:25">
      <c r="H200" s="3253" t="s">
        <v>1999</v>
      </c>
      <c r="I200" s="3254">
        <v>151.80000000000001</v>
      </c>
      <c r="J200" s="2226" t="s">
        <v>110</v>
      </c>
      <c r="K200" s="3253" t="s">
        <v>845</v>
      </c>
      <c r="L200" s="3256">
        <v>61.19</v>
      </c>
      <c r="M200" s="3256">
        <v>42.83</v>
      </c>
      <c r="N200" s="3257">
        <v>3.7787707268722114E-4</v>
      </c>
      <c r="O200" s="3253">
        <v>12</v>
      </c>
      <c r="P200" s="3258" t="s">
        <v>996</v>
      </c>
      <c r="Q200" s="3254"/>
      <c r="R200" s="3254">
        <v>25</v>
      </c>
      <c r="S200" s="3259"/>
      <c r="T200" s="3259"/>
      <c r="U200" s="2228">
        <f t="shared" si="13"/>
        <v>3795.0000000000005</v>
      </c>
      <c r="V200" s="3259"/>
      <c r="W200" s="3260"/>
      <c r="X200" s="2230">
        <f t="shared" si="14"/>
        <v>1070.75</v>
      </c>
      <c r="Y200" s="3260"/>
    </row>
    <row r="201" spans="8:25">
      <c r="H201" s="3253" t="s">
        <v>2000</v>
      </c>
      <c r="I201" s="3254">
        <v>52.8</v>
      </c>
      <c r="J201" s="2226" t="s">
        <v>110</v>
      </c>
      <c r="K201" s="3253" t="s">
        <v>845</v>
      </c>
      <c r="L201" s="3256">
        <v>58.59</v>
      </c>
      <c r="M201" s="3256">
        <v>29.3</v>
      </c>
      <c r="N201" s="3257" t="s">
        <v>229</v>
      </c>
      <c r="O201" s="3253">
        <v>12</v>
      </c>
      <c r="P201" s="3258" t="s">
        <v>996</v>
      </c>
      <c r="Q201" s="3254"/>
      <c r="R201" s="3254"/>
      <c r="S201" s="3259"/>
      <c r="T201" s="3259"/>
      <c r="U201" s="2228">
        <f t="shared" si="13"/>
        <v>0</v>
      </c>
      <c r="V201" s="3259"/>
      <c r="W201" s="3260"/>
      <c r="X201" s="2230">
        <f t="shared" si="14"/>
        <v>0</v>
      </c>
      <c r="Y201" s="3260"/>
    </row>
    <row r="202" spans="8:25">
      <c r="H202" s="3253" t="s">
        <v>2001</v>
      </c>
      <c r="I202" s="3254">
        <v>72.599999999999994</v>
      </c>
      <c r="J202" s="2226" t="s">
        <v>110</v>
      </c>
      <c r="K202" s="3253" t="s">
        <v>845</v>
      </c>
      <c r="L202" s="3256">
        <v>58.59</v>
      </c>
      <c r="M202" s="3256">
        <v>29.3</v>
      </c>
      <c r="N202" s="3257">
        <v>1.807238173721492E-4</v>
      </c>
      <c r="O202" s="3253">
        <v>12</v>
      </c>
      <c r="P202" s="3258" t="s">
        <v>996</v>
      </c>
      <c r="Q202" s="3254"/>
      <c r="R202" s="3254">
        <v>25</v>
      </c>
      <c r="S202" s="3259"/>
      <c r="T202" s="3259"/>
      <c r="U202" s="2228">
        <f t="shared" si="13"/>
        <v>1814.9999999999998</v>
      </c>
      <c r="V202" s="3259"/>
      <c r="W202" s="3260"/>
      <c r="X202" s="2230">
        <f t="shared" si="14"/>
        <v>732.5</v>
      </c>
      <c r="Y202" s="3260"/>
    </row>
    <row r="203" spans="8:25">
      <c r="H203" s="3253" t="s">
        <v>2002</v>
      </c>
      <c r="I203" s="3254">
        <v>108.9</v>
      </c>
      <c r="J203" s="2226" t="s">
        <v>110</v>
      </c>
      <c r="K203" s="3253" t="s">
        <v>845</v>
      </c>
      <c r="L203" s="3256">
        <v>75.02</v>
      </c>
      <c r="M203" s="3256">
        <v>37.51</v>
      </c>
      <c r="N203" s="3257" t="s">
        <v>229</v>
      </c>
      <c r="O203" s="3253">
        <v>12</v>
      </c>
      <c r="P203" s="3258" t="s">
        <v>996</v>
      </c>
      <c r="Q203" s="3254"/>
      <c r="R203" s="3254"/>
      <c r="S203" s="3259"/>
      <c r="T203" s="3259"/>
      <c r="U203" s="2228">
        <f t="shared" si="13"/>
        <v>0</v>
      </c>
      <c r="V203" s="3259"/>
      <c r="W203" s="3260"/>
      <c r="X203" s="2230">
        <f t="shared" si="14"/>
        <v>0</v>
      </c>
      <c r="Y203" s="3260"/>
    </row>
    <row r="204" spans="8:25">
      <c r="H204" s="3253" t="s">
        <v>2003</v>
      </c>
      <c r="I204" s="3254">
        <v>138.6</v>
      </c>
      <c r="J204" s="2226" t="s">
        <v>110</v>
      </c>
      <c r="K204" s="3253" t="s">
        <v>845</v>
      </c>
      <c r="L204" s="3256">
        <v>73.72</v>
      </c>
      <c r="M204" s="3256">
        <v>51.6</v>
      </c>
      <c r="N204" s="3257">
        <v>3.4501819680137581E-4</v>
      </c>
      <c r="O204" s="3253">
        <v>12</v>
      </c>
      <c r="P204" s="3258" t="s">
        <v>996</v>
      </c>
      <c r="Q204" s="3254"/>
      <c r="R204" s="3254">
        <v>25</v>
      </c>
      <c r="S204" s="3259"/>
      <c r="T204" s="3259"/>
      <c r="U204" s="2228">
        <f t="shared" si="13"/>
        <v>3465</v>
      </c>
      <c r="V204" s="3259"/>
      <c r="W204" s="3260"/>
      <c r="X204" s="2230">
        <f t="shared" si="14"/>
        <v>1290</v>
      </c>
      <c r="Y204" s="3260"/>
    </row>
    <row r="205" spans="8:25">
      <c r="H205" s="3253" t="s">
        <v>2003</v>
      </c>
      <c r="I205" s="3254">
        <v>227.7</v>
      </c>
      <c r="J205" s="2226" t="s">
        <v>110</v>
      </c>
      <c r="K205" s="3253" t="s">
        <v>845</v>
      </c>
      <c r="L205" s="3256">
        <v>73.72</v>
      </c>
      <c r="M205" s="3256">
        <v>51.6</v>
      </c>
      <c r="N205" s="3257">
        <v>5.6681560903083165E-4</v>
      </c>
      <c r="O205" s="3253">
        <v>12</v>
      </c>
      <c r="P205" s="3258" t="s">
        <v>996</v>
      </c>
      <c r="Q205" s="3254"/>
      <c r="R205" s="3254">
        <v>25</v>
      </c>
      <c r="S205" s="3259"/>
      <c r="T205" s="3259"/>
      <c r="U205" s="2228">
        <f t="shared" si="13"/>
        <v>5692.5</v>
      </c>
      <c r="V205" s="3259"/>
      <c r="W205" s="3260"/>
      <c r="X205" s="2230">
        <f t="shared" si="14"/>
        <v>1290</v>
      </c>
      <c r="Y205" s="3260"/>
    </row>
    <row r="206" spans="8:25">
      <c r="H206" s="3253" t="s">
        <v>2004</v>
      </c>
      <c r="I206" s="3254">
        <v>79.2</v>
      </c>
      <c r="J206" s="2226" t="s">
        <v>110</v>
      </c>
      <c r="K206" s="3253" t="s">
        <v>845</v>
      </c>
      <c r="L206" s="3256">
        <v>75.02</v>
      </c>
      <c r="M206" s="3256">
        <v>37.51</v>
      </c>
      <c r="N206" s="3257" t="s">
        <v>229</v>
      </c>
      <c r="O206" s="3253">
        <v>12</v>
      </c>
      <c r="P206" s="3258" t="s">
        <v>996</v>
      </c>
      <c r="Q206" s="3254"/>
      <c r="R206" s="3254"/>
      <c r="S206" s="3259"/>
      <c r="T206" s="3259"/>
      <c r="U206" s="2228">
        <f t="shared" si="13"/>
        <v>0</v>
      </c>
      <c r="V206" s="3259"/>
      <c r="W206" s="3260"/>
      <c r="X206" s="2230">
        <f t="shared" si="14"/>
        <v>0</v>
      </c>
      <c r="Y206" s="3260"/>
    </row>
    <row r="207" spans="8:25">
      <c r="H207" s="3253" t="s">
        <v>2005</v>
      </c>
      <c r="I207" s="3254">
        <v>108.9</v>
      </c>
      <c r="J207" s="2226" t="s">
        <v>110</v>
      </c>
      <c r="K207" s="3253" t="s">
        <v>845</v>
      </c>
      <c r="L207" s="3256">
        <v>75.02</v>
      </c>
      <c r="M207" s="3256">
        <v>37.51</v>
      </c>
      <c r="N207" s="3257" t="s">
        <v>229</v>
      </c>
      <c r="O207" s="3253">
        <v>12</v>
      </c>
      <c r="P207" s="3258" t="s">
        <v>996</v>
      </c>
      <c r="Q207" s="3254"/>
      <c r="R207" s="3254"/>
      <c r="S207" s="3259"/>
      <c r="T207" s="3259"/>
      <c r="U207" s="2228">
        <f t="shared" si="13"/>
        <v>0</v>
      </c>
      <c r="V207" s="3259"/>
      <c r="W207" s="3260"/>
      <c r="X207" s="2230">
        <f t="shared" si="14"/>
        <v>0</v>
      </c>
      <c r="Y207" s="3260"/>
    </row>
    <row r="208" spans="8:25">
      <c r="H208" s="3253" t="s">
        <v>2006</v>
      </c>
      <c r="I208" s="3254">
        <v>151.80000000000001</v>
      </c>
      <c r="J208" s="2226" t="s">
        <v>110</v>
      </c>
      <c r="K208" s="3253" t="s">
        <v>845</v>
      </c>
      <c r="L208" s="3256">
        <v>87.05</v>
      </c>
      <c r="M208" s="3256">
        <v>60.93</v>
      </c>
      <c r="N208" s="3257" t="s">
        <v>229</v>
      </c>
      <c r="O208" s="3253">
        <v>12</v>
      </c>
      <c r="P208" s="3258" t="s">
        <v>996</v>
      </c>
      <c r="Q208" s="3254"/>
      <c r="R208" s="3254"/>
      <c r="S208" s="3259"/>
      <c r="T208" s="3259"/>
      <c r="U208" s="2228">
        <f t="shared" ref="U208:U271" si="15">I208*R208</f>
        <v>0</v>
      </c>
      <c r="V208" s="3259"/>
      <c r="W208" s="3260"/>
      <c r="X208" s="2230">
        <f t="shared" ref="X208:X271" si="16">M208*R208</f>
        <v>0</v>
      </c>
      <c r="Y208" s="3260"/>
    </row>
    <row r="209" spans="8:25">
      <c r="H209" s="3253" t="s">
        <v>2007</v>
      </c>
      <c r="I209" s="3254">
        <v>181.5</v>
      </c>
      <c r="J209" s="2226" t="s">
        <v>110</v>
      </c>
      <c r="K209" s="3253" t="s">
        <v>845</v>
      </c>
      <c r="L209" s="3256">
        <v>87.05</v>
      </c>
      <c r="M209" s="3256">
        <v>60.93</v>
      </c>
      <c r="N209" s="3257" t="s">
        <v>229</v>
      </c>
      <c r="O209" s="3253">
        <v>12</v>
      </c>
      <c r="P209" s="3258" t="s">
        <v>996</v>
      </c>
      <c r="Q209" s="3254"/>
      <c r="R209" s="3254"/>
      <c r="S209" s="3259"/>
      <c r="T209" s="3259"/>
      <c r="U209" s="2228">
        <f t="shared" si="15"/>
        <v>0</v>
      </c>
      <c r="V209" s="3259"/>
      <c r="W209" s="3260"/>
      <c r="X209" s="2230">
        <f t="shared" si="16"/>
        <v>0</v>
      </c>
      <c r="Y209" s="3260"/>
    </row>
    <row r="210" spans="8:25">
      <c r="H210" s="3253" t="s">
        <v>2008</v>
      </c>
      <c r="I210" s="3254">
        <v>270.60000000000002</v>
      </c>
      <c r="J210" s="2226" t="s">
        <v>110</v>
      </c>
      <c r="K210" s="3253" t="s">
        <v>845</v>
      </c>
      <c r="L210" s="3256">
        <v>87.05</v>
      </c>
      <c r="M210" s="3256">
        <v>60.93</v>
      </c>
      <c r="N210" s="3257" t="s">
        <v>229</v>
      </c>
      <c r="O210" s="3253">
        <v>12</v>
      </c>
      <c r="P210" s="3258" t="s">
        <v>996</v>
      </c>
      <c r="Q210" s="3254"/>
      <c r="R210" s="3254"/>
      <c r="S210" s="3259"/>
      <c r="T210" s="3259"/>
      <c r="U210" s="2228">
        <f t="shared" si="15"/>
        <v>0</v>
      </c>
      <c r="V210" s="3259"/>
      <c r="W210" s="3260"/>
      <c r="X210" s="2230">
        <f t="shared" si="16"/>
        <v>0</v>
      </c>
      <c r="Y210" s="3260"/>
    </row>
    <row r="211" spans="8:25">
      <c r="H211" s="3253" t="s">
        <v>2009</v>
      </c>
      <c r="I211" s="3254">
        <v>105.6</v>
      </c>
      <c r="J211" s="2226" t="s">
        <v>110</v>
      </c>
      <c r="K211" s="3253" t="s">
        <v>845</v>
      </c>
      <c r="L211" s="3256">
        <v>89.32</v>
      </c>
      <c r="M211" s="3256">
        <v>60.93</v>
      </c>
      <c r="N211" s="3257">
        <v>6.8346461842558257E-3</v>
      </c>
      <c r="O211" s="3253">
        <v>12</v>
      </c>
      <c r="P211" s="3258" t="s">
        <v>996</v>
      </c>
      <c r="Q211" s="3254"/>
      <c r="R211" s="3254">
        <v>650</v>
      </c>
      <c r="S211" s="3259"/>
      <c r="T211" s="3259"/>
      <c r="U211" s="2228">
        <f t="shared" si="15"/>
        <v>68640</v>
      </c>
      <c r="V211" s="3259"/>
      <c r="W211" s="3260"/>
      <c r="X211" s="2230">
        <f t="shared" si="16"/>
        <v>39604.5</v>
      </c>
      <c r="Y211" s="3260"/>
    </row>
    <row r="212" spans="8:25">
      <c r="H212" s="3253" t="s">
        <v>2010</v>
      </c>
      <c r="I212" s="3254">
        <v>145.19999999999999</v>
      </c>
      <c r="J212" s="2226" t="s">
        <v>110</v>
      </c>
      <c r="K212" s="3253" t="s">
        <v>845</v>
      </c>
      <c r="L212" s="3256">
        <v>89.32</v>
      </c>
      <c r="M212" s="3256">
        <v>60.93</v>
      </c>
      <c r="N212" s="3257">
        <v>9.3976385033517577E-3</v>
      </c>
      <c r="O212" s="3253">
        <v>12</v>
      </c>
      <c r="P212" s="3258" t="s">
        <v>996</v>
      </c>
      <c r="Q212" s="3254"/>
      <c r="R212" s="3254">
        <v>650</v>
      </c>
      <c r="S212" s="3259"/>
      <c r="T212" s="3259"/>
      <c r="U212" s="2228">
        <f t="shared" si="15"/>
        <v>94379.999999999985</v>
      </c>
      <c r="V212" s="3259"/>
      <c r="W212" s="3260"/>
      <c r="X212" s="2230">
        <f t="shared" si="16"/>
        <v>39604.5</v>
      </c>
      <c r="Y212" s="3260"/>
    </row>
    <row r="213" spans="8:25">
      <c r="H213" s="3253" t="s">
        <v>2011</v>
      </c>
      <c r="I213" s="3254">
        <v>145.19999999999999</v>
      </c>
      <c r="J213" s="2226" t="s">
        <v>110</v>
      </c>
      <c r="K213" s="3253" t="s">
        <v>845</v>
      </c>
      <c r="L213" s="3256">
        <v>89.32</v>
      </c>
      <c r="M213" s="3256">
        <v>60.93</v>
      </c>
      <c r="N213" s="3257" t="s">
        <v>229</v>
      </c>
      <c r="O213" s="3253">
        <v>12</v>
      </c>
      <c r="P213" s="3258" t="s">
        <v>996</v>
      </c>
      <c r="Q213" s="3254"/>
      <c r="R213" s="3254"/>
      <c r="S213" s="3259"/>
      <c r="T213" s="3259"/>
      <c r="U213" s="2228">
        <f t="shared" si="15"/>
        <v>0</v>
      </c>
      <c r="V213" s="3259"/>
      <c r="W213" s="3260"/>
      <c r="X213" s="2230">
        <f t="shared" si="16"/>
        <v>0</v>
      </c>
      <c r="Y213" s="3260"/>
    </row>
    <row r="214" spans="8:25">
      <c r="H214" s="3253" t="s">
        <v>2012</v>
      </c>
      <c r="I214" s="3254">
        <v>184.8</v>
      </c>
      <c r="J214" s="2226" t="s">
        <v>110</v>
      </c>
      <c r="K214" s="3253" t="s">
        <v>845</v>
      </c>
      <c r="L214" s="3256">
        <v>89.32</v>
      </c>
      <c r="M214" s="3256">
        <v>60.93</v>
      </c>
      <c r="N214" s="3257">
        <v>1.1960630822447697E-2</v>
      </c>
      <c r="O214" s="3253">
        <v>12</v>
      </c>
      <c r="P214" s="3258" t="s">
        <v>996</v>
      </c>
      <c r="Q214" s="3254"/>
      <c r="R214" s="3254">
        <v>650</v>
      </c>
      <c r="S214" s="3259"/>
      <c r="T214" s="3259"/>
      <c r="U214" s="2228">
        <f t="shared" si="15"/>
        <v>120120.00000000001</v>
      </c>
      <c r="V214" s="3259"/>
      <c r="W214" s="3260"/>
      <c r="X214" s="2230">
        <f t="shared" si="16"/>
        <v>39604.5</v>
      </c>
      <c r="Y214" s="3260"/>
    </row>
    <row r="215" spans="8:25">
      <c r="H215" s="3253" t="s">
        <v>2013</v>
      </c>
      <c r="I215" s="3254">
        <v>303.60000000000002</v>
      </c>
      <c r="J215" s="2226" t="s">
        <v>110</v>
      </c>
      <c r="K215" s="3253" t="s">
        <v>845</v>
      </c>
      <c r="L215" s="3256">
        <v>89.32</v>
      </c>
      <c r="M215" s="3256">
        <v>60.93</v>
      </c>
      <c r="N215" s="3257" t="s">
        <v>229</v>
      </c>
      <c r="O215" s="3253">
        <v>12</v>
      </c>
      <c r="P215" s="3258" t="s">
        <v>996</v>
      </c>
      <c r="Q215" s="3254"/>
      <c r="R215" s="3254"/>
      <c r="S215" s="3259"/>
      <c r="T215" s="3259"/>
      <c r="U215" s="2228">
        <f t="shared" si="15"/>
        <v>0</v>
      </c>
      <c r="V215" s="3259"/>
      <c r="W215" s="3260"/>
      <c r="X215" s="2230">
        <f t="shared" si="16"/>
        <v>0</v>
      </c>
      <c r="Y215" s="3260"/>
    </row>
    <row r="216" spans="8:25">
      <c r="H216" s="3253" t="s">
        <v>2014</v>
      </c>
      <c r="I216" s="3254">
        <v>148.5</v>
      </c>
      <c r="J216" s="2226" t="s">
        <v>110</v>
      </c>
      <c r="K216" s="3253" t="s">
        <v>845</v>
      </c>
      <c r="L216" s="3256">
        <v>73.72</v>
      </c>
      <c r="M216" s="3256">
        <v>51.61</v>
      </c>
      <c r="N216" s="3257" t="s">
        <v>229</v>
      </c>
      <c r="O216" s="3253">
        <v>12</v>
      </c>
      <c r="P216" s="3258" t="s">
        <v>996</v>
      </c>
      <c r="Q216" s="3254"/>
      <c r="R216" s="3254"/>
      <c r="S216" s="3259"/>
      <c r="T216" s="3259"/>
      <c r="U216" s="2228">
        <f t="shared" si="15"/>
        <v>0</v>
      </c>
      <c r="V216" s="3259"/>
      <c r="W216" s="3260"/>
      <c r="X216" s="2230">
        <f t="shared" si="16"/>
        <v>0</v>
      </c>
      <c r="Y216" s="3260"/>
    </row>
    <row r="217" spans="8:25">
      <c r="H217" s="3253" t="s">
        <v>2015</v>
      </c>
      <c r="I217" s="3254">
        <v>231</v>
      </c>
      <c r="J217" s="2226" t="s">
        <v>110</v>
      </c>
      <c r="K217" s="3253" t="s">
        <v>845</v>
      </c>
      <c r="L217" s="3256">
        <v>98.39</v>
      </c>
      <c r="M217" s="3256">
        <v>68.87</v>
      </c>
      <c r="N217" s="3257" t="s">
        <v>229</v>
      </c>
      <c r="O217" s="3253">
        <v>12</v>
      </c>
      <c r="P217" s="3258" t="s">
        <v>996</v>
      </c>
      <c r="Q217" s="3254"/>
      <c r="R217" s="3254"/>
      <c r="S217" s="3259"/>
      <c r="T217" s="3259"/>
      <c r="U217" s="2228">
        <f t="shared" si="15"/>
        <v>0</v>
      </c>
      <c r="V217" s="3259"/>
      <c r="W217" s="3260"/>
      <c r="X217" s="2230">
        <f t="shared" si="16"/>
        <v>0</v>
      </c>
      <c r="Y217" s="3260"/>
    </row>
    <row r="218" spans="8:25">
      <c r="H218" s="3253" t="s">
        <v>2016</v>
      </c>
      <c r="I218" s="3254">
        <v>188.1</v>
      </c>
      <c r="J218" s="2226" t="s">
        <v>110</v>
      </c>
      <c r="K218" s="3253" t="s">
        <v>845</v>
      </c>
      <c r="L218" s="3256">
        <v>73.72</v>
      </c>
      <c r="M218" s="3256">
        <v>51.61</v>
      </c>
      <c r="N218" s="3257" t="s">
        <v>229</v>
      </c>
      <c r="O218" s="3253">
        <v>12</v>
      </c>
      <c r="P218" s="3258" t="s">
        <v>996</v>
      </c>
      <c r="Q218" s="3254"/>
      <c r="R218" s="3254"/>
      <c r="S218" s="3259"/>
      <c r="T218" s="3259"/>
      <c r="U218" s="2228">
        <f t="shared" si="15"/>
        <v>0</v>
      </c>
      <c r="V218" s="3259"/>
      <c r="W218" s="3260"/>
      <c r="X218" s="2230">
        <f t="shared" si="16"/>
        <v>0</v>
      </c>
      <c r="Y218" s="3260"/>
    </row>
    <row r="219" spans="8:25">
      <c r="H219" s="3253" t="s">
        <v>2017</v>
      </c>
      <c r="I219" s="3254">
        <v>270.60000000000002</v>
      </c>
      <c r="J219" s="2226" t="s">
        <v>110</v>
      </c>
      <c r="K219" s="3253" t="s">
        <v>845</v>
      </c>
      <c r="L219" s="3256">
        <v>98.39</v>
      </c>
      <c r="M219" s="3256">
        <v>68.87</v>
      </c>
      <c r="N219" s="3257" t="s">
        <v>229</v>
      </c>
      <c r="O219" s="3253">
        <v>12</v>
      </c>
      <c r="P219" s="3258" t="s">
        <v>996</v>
      </c>
      <c r="Q219" s="3254"/>
      <c r="R219" s="3254"/>
      <c r="S219" s="3259"/>
      <c r="T219" s="3259"/>
      <c r="U219" s="2228">
        <f t="shared" si="15"/>
        <v>0</v>
      </c>
      <c r="V219" s="3259"/>
      <c r="W219" s="3260"/>
      <c r="X219" s="2230">
        <f t="shared" si="16"/>
        <v>0</v>
      </c>
      <c r="Y219" s="3260"/>
    </row>
    <row r="220" spans="8:25">
      <c r="H220" s="3253" t="s">
        <v>2017</v>
      </c>
      <c r="I220" s="3254">
        <v>389.4</v>
      </c>
      <c r="J220" s="2226" t="s">
        <v>110</v>
      </c>
      <c r="K220" s="3253" t="s">
        <v>845</v>
      </c>
      <c r="L220" s="3256">
        <v>98.39</v>
      </c>
      <c r="M220" s="3256">
        <v>68.87</v>
      </c>
      <c r="N220" s="3257" t="s">
        <v>229</v>
      </c>
      <c r="O220" s="3253">
        <v>12</v>
      </c>
      <c r="P220" s="3258" t="s">
        <v>996</v>
      </c>
      <c r="Q220" s="3254"/>
      <c r="R220" s="3254"/>
      <c r="S220" s="3259"/>
      <c r="T220" s="3259"/>
      <c r="U220" s="2228">
        <f t="shared" si="15"/>
        <v>0</v>
      </c>
      <c r="V220" s="3259"/>
      <c r="W220" s="3260"/>
      <c r="X220" s="2230">
        <f t="shared" si="16"/>
        <v>0</v>
      </c>
      <c r="Y220" s="3260"/>
    </row>
    <row r="221" spans="8:25">
      <c r="H221" s="3253" t="s">
        <v>2018</v>
      </c>
      <c r="I221" s="3254">
        <v>260.7</v>
      </c>
      <c r="J221" s="2226" t="s">
        <v>110</v>
      </c>
      <c r="K221" s="3253" t="s">
        <v>845</v>
      </c>
      <c r="L221" s="3256">
        <v>93.55</v>
      </c>
      <c r="M221" s="3256">
        <v>65.48</v>
      </c>
      <c r="N221" s="3257">
        <v>6.48962798745445E-4</v>
      </c>
      <c r="O221" s="3253">
        <v>12</v>
      </c>
      <c r="P221" s="3258" t="s">
        <v>996</v>
      </c>
      <c r="Q221" s="3254"/>
      <c r="R221" s="3254">
        <v>25</v>
      </c>
      <c r="S221" s="3259"/>
      <c r="T221" s="3259"/>
      <c r="U221" s="2228">
        <f t="shared" si="15"/>
        <v>6517.5</v>
      </c>
      <c r="V221" s="3259"/>
      <c r="W221" s="3260"/>
      <c r="X221" s="2230">
        <f t="shared" si="16"/>
        <v>1637</v>
      </c>
      <c r="Y221" s="3260"/>
    </row>
    <row r="222" spans="8:25">
      <c r="H222" s="3253" t="s">
        <v>2019</v>
      </c>
      <c r="I222" s="3254">
        <v>521.4</v>
      </c>
      <c r="J222" s="2226" t="s">
        <v>110</v>
      </c>
      <c r="K222" s="3253" t="s">
        <v>845</v>
      </c>
      <c r="L222" s="3256">
        <v>77.209999999999994</v>
      </c>
      <c r="M222" s="3256">
        <v>54.05</v>
      </c>
      <c r="N222" s="3257">
        <v>1.29792559749089E-3</v>
      </c>
      <c r="O222" s="3253">
        <v>12</v>
      </c>
      <c r="P222" s="3258" t="s">
        <v>996</v>
      </c>
      <c r="Q222" s="3254"/>
      <c r="R222" s="3254">
        <v>25</v>
      </c>
      <c r="S222" s="3259"/>
      <c r="T222" s="3259"/>
      <c r="U222" s="2228">
        <f t="shared" si="15"/>
        <v>13035</v>
      </c>
      <c r="V222" s="3259"/>
      <c r="W222" s="3260"/>
      <c r="X222" s="2230">
        <f t="shared" si="16"/>
        <v>1351.25</v>
      </c>
      <c r="Y222" s="3260"/>
    </row>
    <row r="223" spans="8:25">
      <c r="H223" s="3253" t="s">
        <v>2020</v>
      </c>
      <c r="I223" s="3254">
        <v>369.6</v>
      </c>
      <c r="J223" s="2226" t="s">
        <v>110</v>
      </c>
      <c r="K223" s="3253" t="s">
        <v>845</v>
      </c>
      <c r="L223" s="3256">
        <v>94.19</v>
      </c>
      <c r="M223" s="3256">
        <v>65.930000000000007</v>
      </c>
      <c r="N223" s="3257">
        <v>1.8400970496073376E-2</v>
      </c>
      <c r="O223" s="3253">
        <v>12</v>
      </c>
      <c r="P223" s="3258" t="s">
        <v>996</v>
      </c>
      <c r="Q223" s="3254"/>
      <c r="R223" s="3254">
        <v>500</v>
      </c>
      <c r="S223" s="3259"/>
      <c r="T223" s="3259"/>
      <c r="U223" s="2228">
        <f t="shared" si="15"/>
        <v>184800</v>
      </c>
      <c r="V223" s="3259"/>
      <c r="W223" s="3260"/>
      <c r="X223" s="2230">
        <f t="shared" si="16"/>
        <v>32965</v>
      </c>
      <c r="Y223" s="3260"/>
    </row>
    <row r="224" spans="8:25">
      <c r="H224" s="3253" t="s">
        <v>2021</v>
      </c>
      <c r="I224" s="3254">
        <v>141.9</v>
      </c>
      <c r="J224" s="2226" t="s">
        <v>110</v>
      </c>
      <c r="K224" s="3253" t="s">
        <v>845</v>
      </c>
      <c r="L224" s="3256">
        <v>92.72</v>
      </c>
      <c r="M224" s="3256">
        <v>64.900000000000006</v>
      </c>
      <c r="N224" s="3257">
        <v>4.2387949892740454E-4</v>
      </c>
      <c r="O224" s="3253">
        <v>12</v>
      </c>
      <c r="P224" s="3258" t="s">
        <v>996</v>
      </c>
      <c r="Q224" s="3254"/>
      <c r="R224" s="3254">
        <v>30</v>
      </c>
      <c r="S224" s="3259"/>
      <c r="T224" s="3259"/>
      <c r="U224" s="2228">
        <f t="shared" si="15"/>
        <v>4257</v>
      </c>
      <c r="V224" s="3259"/>
      <c r="W224" s="3260"/>
      <c r="X224" s="2230">
        <f t="shared" si="16"/>
        <v>1947.0000000000002</v>
      </c>
      <c r="Y224" s="3260"/>
    </row>
    <row r="225" spans="8:25">
      <c r="H225" s="3253" t="s">
        <v>2022</v>
      </c>
      <c r="I225" s="3254">
        <v>283.8</v>
      </c>
      <c r="J225" s="2226" t="s">
        <v>110</v>
      </c>
      <c r="K225" s="3253" t="s">
        <v>845</v>
      </c>
      <c r="L225" s="3256">
        <v>120.43</v>
      </c>
      <c r="M225" s="3256">
        <v>84.3</v>
      </c>
      <c r="N225" s="3257">
        <v>7.064658315456742E-4</v>
      </c>
      <c r="O225" s="3253">
        <v>12</v>
      </c>
      <c r="P225" s="3258" t="s">
        <v>996</v>
      </c>
      <c r="Q225" s="3254"/>
      <c r="R225" s="3254">
        <v>25</v>
      </c>
      <c r="S225" s="3259"/>
      <c r="T225" s="3259"/>
      <c r="U225" s="2228">
        <f t="shared" si="15"/>
        <v>7095</v>
      </c>
      <c r="V225" s="3259"/>
      <c r="W225" s="3260"/>
      <c r="X225" s="2230">
        <f t="shared" si="16"/>
        <v>2107.5</v>
      </c>
      <c r="Y225" s="3260"/>
    </row>
    <row r="226" spans="8:25">
      <c r="H226" s="3253" t="s">
        <v>2023</v>
      </c>
      <c r="I226" s="3254">
        <v>162</v>
      </c>
      <c r="J226" s="2226" t="s">
        <v>110</v>
      </c>
      <c r="K226" s="3253" t="s">
        <v>845</v>
      </c>
      <c r="L226" s="3256">
        <v>61.25</v>
      </c>
      <c r="M226" s="3256">
        <v>61.25</v>
      </c>
      <c r="N226" s="3257">
        <v>4.0326802223537432E-4</v>
      </c>
      <c r="O226" s="3253">
        <v>12</v>
      </c>
      <c r="P226" s="3258" t="s">
        <v>996</v>
      </c>
      <c r="Q226" s="3254"/>
      <c r="R226" s="3254">
        <v>25</v>
      </c>
      <c r="S226" s="3259"/>
      <c r="T226" s="3259"/>
      <c r="U226" s="2228">
        <f t="shared" si="15"/>
        <v>4050</v>
      </c>
      <c r="V226" s="3259"/>
      <c r="W226" s="3260"/>
      <c r="X226" s="2230">
        <f t="shared" si="16"/>
        <v>1531.25</v>
      </c>
      <c r="Y226" s="3260"/>
    </row>
    <row r="227" spans="8:25">
      <c r="H227" s="3253" t="s">
        <v>2024</v>
      </c>
      <c r="I227" s="3254">
        <v>230.9931654788945</v>
      </c>
      <c r="J227" s="2226" t="s">
        <v>110</v>
      </c>
      <c r="K227" s="3253" t="s">
        <v>845</v>
      </c>
      <c r="L227" s="3256">
        <v>91</v>
      </c>
      <c r="M227" s="3256">
        <v>91</v>
      </c>
      <c r="N227" s="3257">
        <v>5.7501331476890319E-4</v>
      </c>
      <c r="O227" s="3253">
        <v>12</v>
      </c>
      <c r="P227" s="3258" t="s">
        <v>996</v>
      </c>
      <c r="Q227" s="3254"/>
      <c r="R227" s="3254">
        <v>25</v>
      </c>
      <c r="S227" s="3259"/>
      <c r="T227" s="3259"/>
      <c r="U227" s="2228">
        <f t="shared" si="15"/>
        <v>5774.829136972362</v>
      </c>
      <c r="V227" s="3259"/>
      <c r="W227" s="3260"/>
      <c r="X227" s="2230">
        <f t="shared" si="16"/>
        <v>2275</v>
      </c>
      <c r="Y227" s="3260"/>
    </row>
    <row r="228" spans="8:25">
      <c r="H228" s="3253" t="s">
        <v>2025</v>
      </c>
      <c r="I228" s="3254">
        <v>574.18301133325213</v>
      </c>
      <c r="J228" s="2226" t="s">
        <v>110</v>
      </c>
      <c r="K228" s="3253" t="s">
        <v>845</v>
      </c>
      <c r="L228" s="3256">
        <v>91</v>
      </c>
      <c r="M228" s="3256">
        <v>91</v>
      </c>
      <c r="N228" s="3257">
        <v>1.1434550487975906E-3</v>
      </c>
      <c r="O228" s="3253">
        <v>12</v>
      </c>
      <c r="P228" s="3258" t="s">
        <v>996</v>
      </c>
      <c r="Q228" s="3254"/>
      <c r="R228" s="3254">
        <v>20</v>
      </c>
      <c r="S228" s="3259"/>
      <c r="T228" s="3259"/>
      <c r="U228" s="2228">
        <f t="shared" si="15"/>
        <v>11483.660226665043</v>
      </c>
      <c r="V228" s="3259"/>
      <c r="W228" s="3260"/>
      <c r="X228" s="2230">
        <f t="shared" si="16"/>
        <v>1820</v>
      </c>
      <c r="Y228" s="3260"/>
    </row>
    <row r="229" spans="8:25">
      <c r="H229" s="3253" t="s">
        <v>2026</v>
      </c>
      <c r="I229" s="3254">
        <v>673.18008225277822</v>
      </c>
      <c r="J229" s="2226" t="s">
        <v>110</v>
      </c>
      <c r="K229" s="3253" t="s">
        <v>845</v>
      </c>
      <c r="L229" s="3256">
        <v>67.83</v>
      </c>
      <c r="M229" s="3256">
        <v>67.83</v>
      </c>
      <c r="N229" s="3257">
        <v>1.6757530887550893E-3</v>
      </c>
      <c r="O229" s="3253">
        <v>12</v>
      </c>
      <c r="P229" s="3258" t="s">
        <v>996</v>
      </c>
      <c r="Q229" s="3254"/>
      <c r="R229" s="3254">
        <v>25</v>
      </c>
      <c r="S229" s="3259"/>
      <c r="T229" s="3259"/>
      <c r="U229" s="2228">
        <f t="shared" si="15"/>
        <v>16829.502056319456</v>
      </c>
      <c r="V229" s="3259"/>
      <c r="W229" s="3260"/>
      <c r="X229" s="2230">
        <f t="shared" si="16"/>
        <v>1695.75</v>
      </c>
      <c r="Y229" s="3260"/>
    </row>
    <row r="230" spans="8:25">
      <c r="H230" s="3253" t="s">
        <v>2027</v>
      </c>
      <c r="I230" s="3254">
        <v>742.47803189644662</v>
      </c>
      <c r="J230" s="2226" t="s">
        <v>110</v>
      </c>
      <c r="K230" s="3253" t="s">
        <v>845</v>
      </c>
      <c r="L230" s="3256">
        <v>91</v>
      </c>
      <c r="M230" s="3256">
        <v>91</v>
      </c>
      <c r="N230" s="3257">
        <v>1.4786056665486084E-3</v>
      </c>
      <c r="O230" s="3253">
        <v>12</v>
      </c>
      <c r="P230" s="3258" t="s">
        <v>996</v>
      </c>
      <c r="Q230" s="3254"/>
      <c r="R230" s="3254">
        <v>20</v>
      </c>
      <c r="S230" s="3259"/>
      <c r="T230" s="3259"/>
      <c r="U230" s="2228">
        <f t="shared" si="15"/>
        <v>14849.560637928933</v>
      </c>
      <c r="V230" s="3259"/>
      <c r="W230" s="3260"/>
      <c r="X230" s="2230">
        <f t="shared" si="16"/>
        <v>1820</v>
      </c>
      <c r="Y230" s="3260"/>
    </row>
    <row r="231" spans="8:25">
      <c r="H231" s="3253" t="s">
        <v>2028</v>
      </c>
      <c r="I231" s="3254">
        <v>1588</v>
      </c>
      <c r="J231" s="2226" t="s">
        <v>110</v>
      </c>
      <c r="K231" s="3253" t="s">
        <v>845</v>
      </c>
      <c r="L231" s="3256">
        <v>471.07</v>
      </c>
      <c r="M231" s="3256">
        <v>317.52</v>
      </c>
      <c r="N231" s="3257">
        <v>1.5812089365673443E-3</v>
      </c>
      <c r="O231" s="3253">
        <v>12</v>
      </c>
      <c r="P231" s="3258" t="s">
        <v>996</v>
      </c>
      <c r="Q231" s="3254"/>
      <c r="R231" s="3254">
        <v>10</v>
      </c>
      <c r="S231" s="3259"/>
      <c r="T231" s="3259"/>
      <c r="U231" s="2228">
        <f t="shared" si="15"/>
        <v>15880</v>
      </c>
      <c r="V231" s="3259"/>
      <c r="W231" s="3260"/>
      <c r="X231" s="2230">
        <f t="shared" si="16"/>
        <v>3175.2</v>
      </c>
      <c r="Y231" s="3260"/>
    </row>
    <row r="232" spans="8:25">
      <c r="H232" s="3253" t="s">
        <v>2029</v>
      </c>
      <c r="I232" s="3254">
        <v>1672</v>
      </c>
      <c r="J232" s="2226" t="s">
        <v>110</v>
      </c>
      <c r="K232" s="3253" t="s">
        <v>845</v>
      </c>
      <c r="L232" s="3256">
        <v>471.07</v>
      </c>
      <c r="M232" s="3256">
        <v>329.75</v>
      </c>
      <c r="N232" s="3257">
        <v>1.6648497115494959E-3</v>
      </c>
      <c r="O232" s="3253">
        <v>12</v>
      </c>
      <c r="P232" s="3258" t="s">
        <v>996</v>
      </c>
      <c r="Q232" s="3254"/>
      <c r="R232" s="3254">
        <v>10</v>
      </c>
      <c r="S232" s="3259"/>
      <c r="T232" s="3259"/>
      <c r="U232" s="2228">
        <f t="shared" si="15"/>
        <v>16720</v>
      </c>
      <c r="V232" s="3259"/>
      <c r="W232" s="3260"/>
      <c r="X232" s="2230">
        <f t="shared" si="16"/>
        <v>3297.5</v>
      </c>
      <c r="Y232" s="3260"/>
    </row>
    <row r="233" spans="8:25">
      <c r="H233" s="3253" t="s">
        <v>2030</v>
      </c>
      <c r="I233" s="3254">
        <v>970</v>
      </c>
      <c r="J233" s="2226" t="s">
        <v>110</v>
      </c>
      <c r="K233" s="3253" t="s">
        <v>845</v>
      </c>
      <c r="L233" s="3256">
        <v>298.62</v>
      </c>
      <c r="M233" s="3256">
        <v>194.04</v>
      </c>
      <c r="N233" s="3257">
        <v>9.6585180634151373E-4</v>
      </c>
      <c r="O233" s="3253">
        <v>12</v>
      </c>
      <c r="P233" s="3258" t="s">
        <v>996</v>
      </c>
      <c r="Q233" s="3254"/>
      <c r="R233" s="3254">
        <v>10</v>
      </c>
      <c r="S233" s="3259"/>
      <c r="T233" s="3259"/>
      <c r="U233" s="2228">
        <f t="shared" si="15"/>
        <v>9700</v>
      </c>
      <c r="V233" s="3259"/>
      <c r="W233" s="3260"/>
      <c r="X233" s="2230">
        <f t="shared" si="16"/>
        <v>1940.3999999999999</v>
      </c>
      <c r="Y233" s="3260"/>
    </row>
    <row r="234" spans="8:25">
      <c r="H234" s="3253" t="s">
        <v>2031</v>
      </c>
      <c r="I234" s="3254">
        <v>1075</v>
      </c>
      <c r="J234" s="2226" t="s">
        <v>110</v>
      </c>
      <c r="K234" s="3253" t="s">
        <v>845</v>
      </c>
      <c r="L234" s="3256">
        <v>218.82</v>
      </c>
      <c r="M234" s="3256">
        <v>153.16999999999999</v>
      </c>
      <c r="N234" s="3257">
        <v>1.0704027750692035E-3</v>
      </c>
      <c r="O234" s="3253">
        <v>12</v>
      </c>
      <c r="P234" s="3258" t="s">
        <v>996</v>
      </c>
      <c r="Q234" s="3254"/>
      <c r="R234" s="3254">
        <v>10</v>
      </c>
      <c r="S234" s="3259"/>
      <c r="T234" s="3259"/>
      <c r="U234" s="2228">
        <f t="shared" si="15"/>
        <v>10750</v>
      </c>
      <c r="V234" s="3259"/>
      <c r="W234" s="3260"/>
      <c r="X234" s="2230">
        <f t="shared" si="16"/>
        <v>1531.6999999999998</v>
      </c>
      <c r="Y234" s="3260"/>
    </row>
    <row r="235" spans="8:25">
      <c r="H235" s="3253" t="s">
        <v>2032</v>
      </c>
      <c r="I235" s="3254">
        <v>735</v>
      </c>
      <c r="J235" s="2226" t="s">
        <v>110</v>
      </c>
      <c r="K235" s="3253" t="s">
        <v>845</v>
      </c>
      <c r="L235" s="3256">
        <v>218.82</v>
      </c>
      <c r="M235" s="3256">
        <v>153.16999999999999</v>
      </c>
      <c r="N235" s="3257">
        <v>7.3185678109382744E-4</v>
      </c>
      <c r="O235" s="3253">
        <v>12</v>
      </c>
      <c r="P235" s="3258" t="s">
        <v>996</v>
      </c>
      <c r="Q235" s="3254"/>
      <c r="R235" s="3254">
        <v>10</v>
      </c>
      <c r="S235" s="3259"/>
      <c r="T235" s="3259"/>
      <c r="U235" s="2228">
        <f t="shared" si="15"/>
        <v>7350</v>
      </c>
      <c r="V235" s="3259"/>
      <c r="W235" s="3260"/>
      <c r="X235" s="2230">
        <f t="shared" si="16"/>
        <v>1531.6999999999998</v>
      </c>
      <c r="Y235" s="3260"/>
    </row>
    <row r="236" spans="8:25">
      <c r="H236" s="3253" t="s">
        <v>2033</v>
      </c>
      <c r="I236" s="3254">
        <v>458</v>
      </c>
      <c r="J236" s="2226" t="s">
        <v>110</v>
      </c>
      <c r="K236" s="3253" t="s">
        <v>845</v>
      </c>
      <c r="L236" s="3256">
        <v>176.82</v>
      </c>
      <c r="M236" s="3256">
        <v>91.56</v>
      </c>
      <c r="N236" s="3257">
        <v>4.5604136835506527E-4</v>
      </c>
      <c r="O236" s="3253">
        <v>12</v>
      </c>
      <c r="P236" s="3258" t="s">
        <v>996</v>
      </c>
      <c r="Q236" s="3254"/>
      <c r="R236" s="3254">
        <v>10</v>
      </c>
      <c r="S236" s="3259"/>
      <c r="T236" s="3259"/>
      <c r="U236" s="2228">
        <f t="shared" si="15"/>
        <v>4580</v>
      </c>
      <c r="V236" s="3259"/>
      <c r="W236" s="3260"/>
      <c r="X236" s="2230">
        <f t="shared" si="16"/>
        <v>915.6</v>
      </c>
      <c r="Y236" s="3260"/>
    </row>
    <row r="237" spans="8:25">
      <c r="H237" s="3253" t="s">
        <v>2034</v>
      </c>
      <c r="I237" s="3254">
        <v>336</v>
      </c>
      <c r="J237" s="2226" t="s">
        <v>110</v>
      </c>
      <c r="K237" s="3253" t="s">
        <v>845</v>
      </c>
      <c r="L237" s="3256">
        <v>190.4</v>
      </c>
      <c r="M237" s="3256">
        <v>133.28</v>
      </c>
      <c r="N237" s="3257" t="s">
        <v>229</v>
      </c>
      <c r="O237" s="3253">
        <v>8</v>
      </c>
      <c r="P237" s="3258" t="s">
        <v>1253</v>
      </c>
      <c r="Q237" s="3254"/>
      <c r="R237" s="3254"/>
      <c r="S237" s="3259"/>
      <c r="T237" s="3259"/>
      <c r="U237" s="2228">
        <f t="shared" si="15"/>
        <v>0</v>
      </c>
      <c r="V237" s="3259"/>
      <c r="W237" s="3260"/>
      <c r="X237" s="2230">
        <f t="shared" si="16"/>
        <v>0</v>
      </c>
      <c r="Y237" s="3260"/>
    </row>
    <row r="238" spans="8:25">
      <c r="H238" s="3253" t="s">
        <v>2035</v>
      </c>
      <c r="I238" s="3254">
        <v>250</v>
      </c>
      <c r="J238" s="2226" t="s">
        <v>110</v>
      </c>
      <c r="K238" s="3253" t="s">
        <v>845</v>
      </c>
      <c r="L238" s="3256">
        <v>190.4</v>
      </c>
      <c r="M238" s="3256">
        <v>133.28</v>
      </c>
      <c r="N238" s="3257" t="s">
        <v>229</v>
      </c>
      <c r="O238" s="3253">
        <v>8</v>
      </c>
      <c r="P238" s="3258" t="s">
        <v>1253</v>
      </c>
      <c r="Q238" s="3254"/>
      <c r="R238" s="3254"/>
      <c r="S238" s="3259"/>
      <c r="T238" s="3259"/>
      <c r="U238" s="2228">
        <f t="shared" si="15"/>
        <v>0</v>
      </c>
      <c r="V238" s="3259"/>
      <c r="W238" s="3260"/>
      <c r="X238" s="2230">
        <f t="shared" si="16"/>
        <v>0</v>
      </c>
      <c r="Y238" s="3260"/>
    </row>
    <row r="239" spans="8:25">
      <c r="H239" s="3253" t="s">
        <v>2036</v>
      </c>
      <c r="I239" s="3254">
        <v>2809</v>
      </c>
      <c r="J239" s="2226" t="s">
        <v>110</v>
      </c>
      <c r="K239" s="3253" t="s">
        <v>845</v>
      </c>
      <c r="L239" s="3256">
        <v>190.4</v>
      </c>
      <c r="M239" s="3256">
        <v>133.28</v>
      </c>
      <c r="N239" s="3257" t="s">
        <v>229</v>
      </c>
      <c r="O239" s="3253">
        <v>8</v>
      </c>
      <c r="P239" s="3258" t="s">
        <v>1253</v>
      </c>
      <c r="Q239" s="3254"/>
      <c r="R239" s="3254"/>
      <c r="S239" s="3259"/>
      <c r="T239" s="3259"/>
      <c r="U239" s="2228">
        <f t="shared" si="15"/>
        <v>0</v>
      </c>
      <c r="V239" s="3259"/>
      <c r="W239" s="3260"/>
      <c r="X239" s="2230">
        <f t="shared" si="16"/>
        <v>0</v>
      </c>
      <c r="Y239" s="3260"/>
    </row>
    <row r="240" spans="8:25">
      <c r="H240" s="3253" t="s">
        <v>2037</v>
      </c>
      <c r="I240" s="3254">
        <v>221</v>
      </c>
      <c r="J240" s="2226" t="s">
        <v>110</v>
      </c>
      <c r="K240" s="3253" t="s">
        <v>845</v>
      </c>
      <c r="L240" s="3256">
        <v>190.4</v>
      </c>
      <c r="M240" s="3256">
        <v>133.28</v>
      </c>
      <c r="N240" s="3257" t="s">
        <v>229</v>
      </c>
      <c r="O240" s="3253">
        <v>8</v>
      </c>
      <c r="P240" s="3258" t="s">
        <v>1253</v>
      </c>
      <c r="Q240" s="3254"/>
      <c r="R240" s="3254"/>
      <c r="S240" s="3259"/>
      <c r="T240" s="3259"/>
      <c r="U240" s="2228">
        <f t="shared" si="15"/>
        <v>0</v>
      </c>
      <c r="V240" s="3259"/>
      <c r="W240" s="3260"/>
      <c r="X240" s="2230">
        <f t="shared" si="16"/>
        <v>0</v>
      </c>
      <c r="Y240" s="3260"/>
    </row>
    <row r="241" spans="8:25">
      <c r="H241" s="3253" t="s">
        <v>2038</v>
      </c>
      <c r="I241" s="3254">
        <v>343</v>
      </c>
      <c r="J241" s="2226" t="s">
        <v>110</v>
      </c>
      <c r="K241" s="3253" t="s">
        <v>845</v>
      </c>
      <c r="L241" s="3256">
        <v>190.4</v>
      </c>
      <c r="M241" s="3256">
        <v>133.28</v>
      </c>
      <c r="N241" s="3257" t="s">
        <v>229</v>
      </c>
      <c r="O241" s="3253">
        <v>8</v>
      </c>
      <c r="P241" s="3258" t="s">
        <v>1253</v>
      </c>
      <c r="Q241" s="3254"/>
      <c r="R241" s="3254"/>
      <c r="S241" s="3259"/>
      <c r="T241" s="3259"/>
      <c r="U241" s="2228">
        <f t="shared" si="15"/>
        <v>0</v>
      </c>
      <c r="V241" s="3259"/>
      <c r="W241" s="3260"/>
      <c r="X241" s="2230">
        <f t="shared" si="16"/>
        <v>0</v>
      </c>
      <c r="Y241" s="3260"/>
    </row>
    <row r="242" spans="8:25">
      <c r="H242" s="3253" t="s">
        <v>2039</v>
      </c>
      <c r="I242" s="3254">
        <v>252</v>
      </c>
      <c r="J242" s="2226" t="s">
        <v>110</v>
      </c>
      <c r="K242" s="3253" t="s">
        <v>845</v>
      </c>
      <c r="L242" s="3256">
        <v>190.4</v>
      </c>
      <c r="M242" s="3256">
        <v>133.28</v>
      </c>
      <c r="N242" s="3257" t="s">
        <v>229</v>
      </c>
      <c r="O242" s="3253">
        <v>8</v>
      </c>
      <c r="P242" s="3258" t="s">
        <v>1253</v>
      </c>
      <c r="Q242" s="3254"/>
      <c r="R242" s="3254"/>
      <c r="S242" s="3259"/>
      <c r="T242" s="3259"/>
      <c r="U242" s="2228">
        <f t="shared" si="15"/>
        <v>0</v>
      </c>
      <c r="V242" s="3259"/>
      <c r="W242" s="3260"/>
      <c r="X242" s="2230">
        <f t="shared" si="16"/>
        <v>0</v>
      </c>
      <c r="Y242" s="3260"/>
    </row>
    <row r="243" spans="8:25">
      <c r="H243" s="3253" t="s">
        <v>2040</v>
      </c>
      <c r="I243" s="3254">
        <v>2836</v>
      </c>
      <c r="J243" s="2226" t="s">
        <v>110</v>
      </c>
      <c r="K243" s="3253" t="s">
        <v>845</v>
      </c>
      <c r="L243" s="3256">
        <v>190.4</v>
      </c>
      <c r="M243" s="3256">
        <v>133.28</v>
      </c>
      <c r="N243" s="3257" t="s">
        <v>229</v>
      </c>
      <c r="O243" s="3253">
        <v>8</v>
      </c>
      <c r="P243" s="3258" t="s">
        <v>1253</v>
      </c>
      <c r="Q243" s="3254"/>
      <c r="R243" s="3254"/>
      <c r="S243" s="3259"/>
      <c r="T243" s="3259"/>
      <c r="U243" s="2228">
        <f t="shared" si="15"/>
        <v>0</v>
      </c>
      <c r="V243" s="3259"/>
      <c r="W243" s="3260"/>
      <c r="X243" s="2230">
        <f t="shared" si="16"/>
        <v>0</v>
      </c>
      <c r="Y243" s="3260"/>
    </row>
    <row r="244" spans="8:25">
      <c r="H244" s="3253" t="s">
        <v>2041</v>
      </c>
      <c r="I244" s="3254">
        <v>223</v>
      </c>
      <c r="J244" s="2226" t="s">
        <v>110</v>
      </c>
      <c r="K244" s="3253" t="s">
        <v>845</v>
      </c>
      <c r="L244" s="3256">
        <v>190.4</v>
      </c>
      <c r="M244" s="3256">
        <v>133.28</v>
      </c>
      <c r="N244" s="3257" t="s">
        <v>229</v>
      </c>
      <c r="O244" s="3253">
        <v>8</v>
      </c>
      <c r="P244" s="3258" t="s">
        <v>1253</v>
      </c>
      <c r="Q244" s="3254"/>
      <c r="R244" s="3254"/>
      <c r="S244" s="3259"/>
      <c r="T244" s="3259"/>
      <c r="U244" s="2228">
        <f t="shared" si="15"/>
        <v>0</v>
      </c>
      <c r="V244" s="3259"/>
      <c r="W244" s="3260"/>
      <c r="X244" s="2230">
        <f t="shared" si="16"/>
        <v>0</v>
      </c>
      <c r="Y244" s="3260"/>
    </row>
    <row r="245" spans="8:25">
      <c r="H245" s="3253" t="s">
        <v>2042</v>
      </c>
      <c r="I245" s="3254">
        <v>592</v>
      </c>
      <c r="J245" s="2226" t="s">
        <v>110</v>
      </c>
      <c r="K245" s="3253" t="s">
        <v>845</v>
      </c>
      <c r="L245" s="3256">
        <v>225.4</v>
      </c>
      <c r="M245" s="3256">
        <v>259.60000000000002</v>
      </c>
      <c r="N245" s="3257">
        <v>1.7684049567654933E-3</v>
      </c>
      <c r="O245" s="3253">
        <v>15</v>
      </c>
      <c r="P245" s="3258" t="s">
        <v>1253</v>
      </c>
      <c r="Q245" s="3254"/>
      <c r="R245" s="3254">
        <v>30</v>
      </c>
      <c r="S245" s="3259"/>
      <c r="T245" s="3259"/>
      <c r="U245" s="2228">
        <f t="shared" si="15"/>
        <v>17760</v>
      </c>
      <c r="V245" s="3259"/>
      <c r="W245" s="3260"/>
      <c r="X245" s="2230">
        <f t="shared" si="16"/>
        <v>7788.0000000000009</v>
      </c>
      <c r="Y245" s="3260"/>
    </row>
    <row r="246" spans="8:25">
      <c r="H246" s="3253" t="s">
        <v>2043</v>
      </c>
      <c r="I246" s="3254">
        <v>1458</v>
      </c>
      <c r="J246" s="2226" t="s">
        <v>110</v>
      </c>
      <c r="K246" s="3253" t="s">
        <v>845</v>
      </c>
      <c r="L246" s="3256">
        <v>225.4</v>
      </c>
      <c r="M246" s="3256">
        <v>259.60000000000002</v>
      </c>
      <c r="N246" s="3257">
        <v>4.3552946401420427E-3</v>
      </c>
      <c r="O246" s="3253">
        <v>15</v>
      </c>
      <c r="P246" s="3258" t="s">
        <v>1253</v>
      </c>
      <c r="Q246" s="3254"/>
      <c r="R246" s="3254">
        <v>30</v>
      </c>
      <c r="S246" s="3259"/>
      <c r="T246" s="3259"/>
      <c r="U246" s="2228">
        <f t="shared" si="15"/>
        <v>43740</v>
      </c>
      <c r="V246" s="3259"/>
      <c r="W246" s="3260"/>
      <c r="X246" s="2230">
        <f t="shared" si="16"/>
        <v>7788.0000000000009</v>
      </c>
      <c r="Y246" s="3260"/>
    </row>
    <row r="247" spans="8:25">
      <c r="H247" s="3253" t="s">
        <v>2044</v>
      </c>
      <c r="I247" s="3254">
        <v>243</v>
      </c>
      <c r="J247" s="2226" t="s">
        <v>110</v>
      </c>
      <c r="K247" s="3253" t="s">
        <v>845</v>
      </c>
      <c r="L247" s="3256">
        <v>100</v>
      </c>
      <c r="M247" s="3256">
        <v>72.900000000000006</v>
      </c>
      <c r="N247" s="3257" t="s">
        <v>229</v>
      </c>
      <c r="O247" s="3253">
        <v>4</v>
      </c>
      <c r="P247" s="3258" t="s">
        <v>1253</v>
      </c>
      <c r="Q247" s="3254"/>
      <c r="R247" s="3254"/>
      <c r="S247" s="3259"/>
      <c r="T247" s="3259"/>
      <c r="U247" s="2228">
        <f t="shared" si="15"/>
        <v>0</v>
      </c>
      <c r="V247" s="3259"/>
      <c r="W247" s="3260"/>
      <c r="X247" s="2230">
        <f t="shared" si="16"/>
        <v>0</v>
      </c>
      <c r="Y247" s="3260"/>
    </row>
    <row r="248" spans="8:25">
      <c r="H248" s="3253" t="s">
        <v>2045</v>
      </c>
      <c r="I248" s="3254">
        <v>248</v>
      </c>
      <c r="J248" s="2226" t="s">
        <v>110</v>
      </c>
      <c r="K248" s="3253" t="s">
        <v>845</v>
      </c>
      <c r="L248" s="3256">
        <v>81</v>
      </c>
      <c r="M248" s="3256">
        <v>74.400000000000006</v>
      </c>
      <c r="N248" s="3257" t="s">
        <v>229</v>
      </c>
      <c r="O248" s="3253">
        <v>4</v>
      </c>
      <c r="P248" s="3258" t="s">
        <v>1253</v>
      </c>
      <c r="Q248" s="3254"/>
      <c r="R248" s="3254"/>
      <c r="S248" s="3259"/>
      <c r="T248" s="3259"/>
      <c r="U248" s="2228">
        <f t="shared" si="15"/>
        <v>0</v>
      </c>
      <c r="V248" s="3259"/>
      <c r="W248" s="3260"/>
      <c r="X248" s="2230">
        <f t="shared" si="16"/>
        <v>0</v>
      </c>
      <c r="Y248" s="3260"/>
    </row>
    <row r="249" spans="8:25">
      <c r="H249" s="3253" t="s">
        <v>2046</v>
      </c>
      <c r="I249" s="3254">
        <v>347</v>
      </c>
      <c r="J249" s="2226" t="s">
        <v>110</v>
      </c>
      <c r="K249" s="3253" t="s">
        <v>845</v>
      </c>
      <c r="L249" s="3256">
        <v>114</v>
      </c>
      <c r="M249" s="3256">
        <v>104.1</v>
      </c>
      <c r="N249" s="3257" t="s">
        <v>229</v>
      </c>
      <c r="O249" s="3253">
        <v>4</v>
      </c>
      <c r="P249" s="3258" t="s">
        <v>1253</v>
      </c>
      <c r="Q249" s="3254"/>
      <c r="R249" s="3254"/>
      <c r="S249" s="3259"/>
      <c r="T249" s="3259"/>
      <c r="U249" s="2228">
        <f t="shared" si="15"/>
        <v>0</v>
      </c>
      <c r="V249" s="3259"/>
      <c r="W249" s="3260"/>
      <c r="X249" s="2230">
        <f t="shared" si="16"/>
        <v>0</v>
      </c>
      <c r="Y249" s="3260"/>
    </row>
    <row r="250" spans="8:25">
      <c r="H250" s="3253" t="s">
        <v>2047</v>
      </c>
      <c r="I250" s="3254">
        <v>204</v>
      </c>
      <c r="J250" s="2226" t="s">
        <v>110</v>
      </c>
      <c r="K250" s="3253" t="s">
        <v>845</v>
      </c>
      <c r="L250" s="3256">
        <v>76</v>
      </c>
      <c r="M250" s="3256">
        <v>61.2</v>
      </c>
      <c r="N250" s="3257">
        <v>1.0156379819261279E-3</v>
      </c>
      <c r="O250" s="3253">
        <v>4</v>
      </c>
      <c r="P250" s="3258" t="s">
        <v>1253</v>
      </c>
      <c r="Q250" s="3254"/>
      <c r="R250" s="3254">
        <v>50</v>
      </c>
      <c r="S250" s="3259"/>
      <c r="T250" s="3259"/>
      <c r="U250" s="2228">
        <f t="shared" si="15"/>
        <v>10200</v>
      </c>
      <c r="V250" s="3259"/>
      <c r="W250" s="3260"/>
      <c r="X250" s="2230">
        <f t="shared" si="16"/>
        <v>3060</v>
      </c>
      <c r="Y250" s="3260"/>
    </row>
    <row r="251" spans="8:25">
      <c r="H251" s="3253" t="s">
        <v>2048</v>
      </c>
      <c r="I251" s="3254">
        <v>1298</v>
      </c>
      <c r="J251" s="2226" t="s">
        <v>110</v>
      </c>
      <c r="K251" s="3253" t="s">
        <v>845</v>
      </c>
      <c r="L251" s="3256">
        <v>471.07</v>
      </c>
      <c r="M251" s="3256">
        <v>329.75</v>
      </c>
      <c r="N251" s="3257">
        <v>6.4622455908829122E-3</v>
      </c>
      <c r="O251" s="3253">
        <v>12</v>
      </c>
      <c r="P251" s="3258" t="s">
        <v>996</v>
      </c>
      <c r="Q251" s="3254"/>
      <c r="R251" s="3254">
        <v>50</v>
      </c>
      <c r="S251" s="3259"/>
      <c r="T251" s="3259"/>
      <c r="U251" s="2228">
        <f t="shared" si="15"/>
        <v>64900</v>
      </c>
      <c r="V251" s="3259"/>
      <c r="W251" s="3260"/>
      <c r="X251" s="2230">
        <f t="shared" si="16"/>
        <v>16487.5</v>
      </c>
      <c r="Y251" s="3260"/>
    </row>
    <row r="252" spans="8:25">
      <c r="H252" s="3253" t="s">
        <v>2049</v>
      </c>
      <c r="I252" s="3254">
        <v>1676</v>
      </c>
      <c r="J252" s="2226" t="s">
        <v>110</v>
      </c>
      <c r="K252" s="3253" t="s">
        <v>845</v>
      </c>
      <c r="L252" s="3256">
        <v>471.07</v>
      </c>
      <c r="M252" s="3256">
        <v>329.75</v>
      </c>
      <c r="N252" s="3257">
        <v>8.3441630279813255E-3</v>
      </c>
      <c r="O252" s="3253">
        <v>12</v>
      </c>
      <c r="P252" s="3258" t="s">
        <v>996</v>
      </c>
      <c r="Q252" s="3254"/>
      <c r="R252" s="3254">
        <v>50</v>
      </c>
      <c r="S252" s="3259"/>
      <c r="T252" s="3259"/>
      <c r="U252" s="2228">
        <f t="shared" si="15"/>
        <v>83800</v>
      </c>
      <c r="V252" s="3259"/>
      <c r="W252" s="3260"/>
      <c r="X252" s="2230">
        <f t="shared" si="16"/>
        <v>16487.5</v>
      </c>
      <c r="Y252" s="3260"/>
    </row>
    <row r="253" spans="8:25">
      <c r="H253" s="3253" t="s">
        <v>2050</v>
      </c>
      <c r="I253" s="3254">
        <v>928</v>
      </c>
      <c r="J253" s="2226" t="s">
        <v>110</v>
      </c>
      <c r="K253" s="3253" t="s">
        <v>845</v>
      </c>
      <c r="L253" s="3256">
        <v>471.07</v>
      </c>
      <c r="M253" s="3256">
        <v>329.75</v>
      </c>
      <c r="N253" s="3257">
        <v>4.62015709425219E-3</v>
      </c>
      <c r="O253" s="3253">
        <v>12</v>
      </c>
      <c r="P253" s="3258" t="s">
        <v>996</v>
      </c>
      <c r="Q253" s="3254"/>
      <c r="R253" s="3254">
        <v>50</v>
      </c>
      <c r="S253" s="3259"/>
      <c r="T253" s="3259"/>
      <c r="U253" s="2228">
        <f t="shared" si="15"/>
        <v>46400</v>
      </c>
      <c r="V253" s="3259"/>
      <c r="W253" s="3260"/>
      <c r="X253" s="2230">
        <f t="shared" si="16"/>
        <v>16487.5</v>
      </c>
      <c r="Y253" s="3260"/>
    </row>
    <row r="254" spans="8:25">
      <c r="H254" s="3253" t="s">
        <v>2051</v>
      </c>
      <c r="I254" s="3254">
        <v>1306</v>
      </c>
      <c r="J254" s="2226" t="s">
        <v>110</v>
      </c>
      <c r="K254" s="3253" t="s">
        <v>845</v>
      </c>
      <c r="L254" s="3256">
        <v>471.07</v>
      </c>
      <c r="M254" s="3256">
        <v>329.75</v>
      </c>
      <c r="N254" s="3257" t="s">
        <v>229</v>
      </c>
      <c r="O254" s="3253">
        <v>12</v>
      </c>
      <c r="P254" s="3258" t="s">
        <v>996</v>
      </c>
      <c r="Q254" s="3254"/>
      <c r="R254" s="3254"/>
      <c r="S254" s="3259"/>
      <c r="T254" s="3259"/>
      <c r="U254" s="2228">
        <f t="shared" si="15"/>
        <v>0</v>
      </c>
      <c r="V254" s="3259"/>
      <c r="W254" s="3260"/>
      <c r="X254" s="2230">
        <f t="shared" si="16"/>
        <v>0</v>
      </c>
      <c r="Y254" s="3260"/>
    </row>
    <row r="255" spans="8:25">
      <c r="H255" s="3253" t="s">
        <v>2052</v>
      </c>
      <c r="I255" s="3254">
        <v>65.7</v>
      </c>
      <c r="J255" s="2226" t="s">
        <v>110</v>
      </c>
      <c r="K255" s="3253" t="s">
        <v>845</v>
      </c>
      <c r="L255" s="3256">
        <v>60.2</v>
      </c>
      <c r="M255" s="3256">
        <v>42.14</v>
      </c>
      <c r="N255" s="3257" t="s">
        <v>229</v>
      </c>
      <c r="O255" s="3253">
        <v>5</v>
      </c>
      <c r="P255" s="3258" t="s">
        <v>1253</v>
      </c>
      <c r="Q255" s="3254"/>
      <c r="R255" s="3254"/>
      <c r="S255" s="3259"/>
      <c r="T255" s="3259"/>
      <c r="U255" s="2228">
        <f t="shared" si="15"/>
        <v>0</v>
      </c>
      <c r="V255" s="3259"/>
      <c r="W255" s="3260"/>
      <c r="X255" s="2230">
        <f t="shared" si="16"/>
        <v>0</v>
      </c>
      <c r="Y255" s="3260"/>
    </row>
    <row r="256" spans="8:25">
      <c r="H256" s="3253" t="s">
        <v>2053</v>
      </c>
      <c r="I256" s="3254">
        <v>43.8</v>
      </c>
      <c r="J256" s="2226" t="s">
        <v>110</v>
      </c>
      <c r="K256" s="3253" t="s">
        <v>845</v>
      </c>
      <c r="L256" s="3256">
        <v>60.2</v>
      </c>
      <c r="M256" s="3256">
        <v>42.14</v>
      </c>
      <c r="N256" s="3257">
        <v>4.3612689812121963E-5</v>
      </c>
      <c r="O256" s="3253">
        <v>5</v>
      </c>
      <c r="P256" s="3258" t="s">
        <v>1253</v>
      </c>
      <c r="Q256" s="3254"/>
      <c r="R256" s="3254">
        <v>10</v>
      </c>
      <c r="S256" s="3259"/>
      <c r="T256" s="3259"/>
      <c r="U256" s="2228">
        <f t="shared" si="15"/>
        <v>438</v>
      </c>
      <c r="V256" s="3259"/>
      <c r="W256" s="3260"/>
      <c r="X256" s="2230">
        <f t="shared" si="16"/>
        <v>421.4</v>
      </c>
      <c r="Y256" s="3260"/>
    </row>
    <row r="257" spans="8:25">
      <c r="H257" s="3253" t="s">
        <v>2054</v>
      </c>
      <c r="I257" s="3254">
        <v>21.9</v>
      </c>
      <c r="J257" s="2226" t="s">
        <v>110</v>
      </c>
      <c r="K257" s="3253" t="s">
        <v>845</v>
      </c>
      <c r="L257" s="3256">
        <v>60.2</v>
      </c>
      <c r="M257" s="3256">
        <v>42.14</v>
      </c>
      <c r="N257" s="3257" t="s">
        <v>229</v>
      </c>
      <c r="O257" s="3253">
        <v>5</v>
      </c>
      <c r="P257" s="3258" t="s">
        <v>1253</v>
      </c>
      <c r="Q257" s="3254"/>
      <c r="R257" s="3254"/>
      <c r="S257" s="3259"/>
      <c r="T257" s="3259"/>
      <c r="U257" s="2228">
        <f t="shared" si="15"/>
        <v>0</v>
      </c>
      <c r="V257" s="3259"/>
      <c r="W257" s="3260"/>
      <c r="X257" s="2230">
        <f t="shared" si="16"/>
        <v>0</v>
      </c>
      <c r="Y257" s="3260"/>
    </row>
    <row r="258" spans="8:25">
      <c r="H258" s="3253" t="s">
        <v>2055</v>
      </c>
      <c r="I258" s="3254">
        <v>130.19999999999999</v>
      </c>
      <c r="J258" s="2226" t="s">
        <v>110</v>
      </c>
      <c r="K258" s="3253" t="s">
        <v>845</v>
      </c>
      <c r="L258" s="3256">
        <v>60.2</v>
      </c>
      <c r="M258" s="3256">
        <v>42.14</v>
      </c>
      <c r="N258" s="3257" t="s">
        <v>229</v>
      </c>
      <c r="O258" s="3253">
        <v>5</v>
      </c>
      <c r="P258" s="3258" t="s">
        <v>1253</v>
      </c>
      <c r="Q258" s="3254"/>
      <c r="R258" s="3254"/>
      <c r="S258" s="3259"/>
      <c r="T258" s="3259"/>
      <c r="U258" s="2228">
        <f t="shared" si="15"/>
        <v>0</v>
      </c>
      <c r="V258" s="3259"/>
      <c r="W258" s="3260"/>
      <c r="X258" s="2230">
        <f t="shared" si="16"/>
        <v>0</v>
      </c>
      <c r="Y258" s="3260"/>
    </row>
    <row r="259" spans="8:25">
      <c r="H259" s="3253" t="s">
        <v>2056</v>
      </c>
      <c r="I259" s="3254">
        <v>129.80000000000001</v>
      </c>
      <c r="J259" s="2226" t="s">
        <v>110</v>
      </c>
      <c r="K259" s="3253" t="s">
        <v>845</v>
      </c>
      <c r="L259" s="3256">
        <v>60.2</v>
      </c>
      <c r="M259" s="3256">
        <v>42.14</v>
      </c>
      <c r="N259" s="3257" t="s">
        <v>229</v>
      </c>
      <c r="O259" s="3253">
        <v>5</v>
      </c>
      <c r="P259" s="3258" t="s">
        <v>1253</v>
      </c>
      <c r="Q259" s="3254"/>
      <c r="R259" s="3254"/>
      <c r="S259" s="3259"/>
      <c r="T259" s="3259"/>
      <c r="U259" s="2228">
        <f t="shared" si="15"/>
        <v>0</v>
      </c>
      <c r="V259" s="3259"/>
      <c r="W259" s="3260"/>
      <c r="X259" s="2230">
        <f t="shared" si="16"/>
        <v>0</v>
      </c>
      <c r="Y259" s="3260"/>
    </row>
    <row r="260" spans="8:25">
      <c r="H260" s="3253" t="s">
        <v>2057</v>
      </c>
      <c r="I260" s="3254">
        <v>86.4</v>
      </c>
      <c r="J260" s="2226" t="s">
        <v>110</v>
      </c>
      <c r="K260" s="3253" t="s">
        <v>845</v>
      </c>
      <c r="L260" s="3256">
        <v>60.2</v>
      </c>
      <c r="M260" s="3256">
        <v>42.14</v>
      </c>
      <c r="N260" s="3257" t="s">
        <v>229</v>
      </c>
      <c r="O260" s="3253">
        <v>5</v>
      </c>
      <c r="P260" s="3258" t="s">
        <v>1253</v>
      </c>
      <c r="Q260" s="3254"/>
      <c r="R260" s="3254"/>
      <c r="S260" s="3259"/>
      <c r="T260" s="3259"/>
      <c r="U260" s="2228">
        <f t="shared" si="15"/>
        <v>0</v>
      </c>
      <c r="V260" s="3259"/>
      <c r="W260" s="3260"/>
      <c r="X260" s="2230">
        <f t="shared" si="16"/>
        <v>0</v>
      </c>
      <c r="Y260" s="3260"/>
    </row>
    <row r="261" spans="8:25">
      <c r="H261" s="3253" t="s">
        <v>2058</v>
      </c>
      <c r="I261" s="3254">
        <v>92.5</v>
      </c>
      <c r="J261" s="2226" t="s">
        <v>110</v>
      </c>
      <c r="K261" s="3253" t="s">
        <v>845</v>
      </c>
      <c r="L261" s="3256">
        <v>60.2</v>
      </c>
      <c r="M261" s="3256">
        <v>42.14</v>
      </c>
      <c r="N261" s="3257" t="s">
        <v>229</v>
      </c>
      <c r="O261" s="3253">
        <v>5</v>
      </c>
      <c r="P261" s="3258" t="s">
        <v>1253</v>
      </c>
      <c r="Q261" s="3254"/>
      <c r="R261" s="3254"/>
      <c r="S261" s="3259"/>
      <c r="T261" s="3259"/>
      <c r="U261" s="2228">
        <f t="shared" si="15"/>
        <v>0</v>
      </c>
      <c r="V261" s="3259"/>
      <c r="W261" s="3260"/>
      <c r="X261" s="2230">
        <f t="shared" si="16"/>
        <v>0</v>
      </c>
      <c r="Y261" s="3260"/>
    </row>
    <row r="262" spans="8:25">
      <c r="H262" s="3253" t="s">
        <v>2059</v>
      </c>
      <c r="I262" s="3254">
        <v>79.599999999999994</v>
      </c>
      <c r="J262" s="2226" t="s">
        <v>110</v>
      </c>
      <c r="K262" s="3253" t="s">
        <v>845</v>
      </c>
      <c r="L262" s="3256">
        <v>60.2</v>
      </c>
      <c r="M262" s="3256">
        <v>42.14</v>
      </c>
      <c r="N262" s="3257" t="s">
        <v>229</v>
      </c>
      <c r="O262" s="3253">
        <v>5</v>
      </c>
      <c r="P262" s="3258" t="s">
        <v>1253</v>
      </c>
      <c r="Q262" s="3254"/>
      <c r="R262" s="3254"/>
      <c r="S262" s="3259"/>
      <c r="T262" s="3259"/>
      <c r="U262" s="2228">
        <f t="shared" si="15"/>
        <v>0</v>
      </c>
      <c r="V262" s="3259"/>
      <c r="W262" s="3260"/>
      <c r="X262" s="2230">
        <f t="shared" si="16"/>
        <v>0</v>
      </c>
      <c r="Y262" s="3260"/>
    </row>
    <row r="263" spans="8:25">
      <c r="H263" s="3253" t="s">
        <v>2060</v>
      </c>
      <c r="I263" s="3254">
        <v>48.7</v>
      </c>
      <c r="J263" s="2226" t="s">
        <v>110</v>
      </c>
      <c r="K263" s="3253" t="s">
        <v>845</v>
      </c>
      <c r="L263" s="3256">
        <v>60.2</v>
      </c>
      <c r="M263" s="3256">
        <v>42.14</v>
      </c>
      <c r="N263" s="3257" t="s">
        <v>229</v>
      </c>
      <c r="O263" s="3253">
        <v>5</v>
      </c>
      <c r="P263" s="3258" t="s">
        <v>1253</v>
      </c>
      <c r="Q263" s="3254"/>
      <c r="R263" s="3254"/>
      <c r="S263" s="3259"/>
      <c r="T263" s="3259"/>
      <c r="U263" s="2228">
        <f t="shared" si="15"/>
        <v>0</v>
      </c>
      <c r="V263" s="3259"/>
      <c r="W263" s="3260"/>
      <c r="X263" s="2230">
        <f t="shared" si="16"/>
        <v>0</v>
      </c>
      <c r="Y263" s="3260"/>
    </row>
    <row r="264" spans="8:25">
      <c r="H264" s="3253" t="s">
        <v>2061</v>
      </c>
      <c r="I264" s="3254">
        <v>65.7</v>
      </c>
      <c r="J264" s="2226" t="s">
        <v>110</v>
      </c>
      <c r="K264" s="3253" t="s">
        <v>845</v>
      </c>
      <c r="L264" s="3256">
        <v>60.2</v>
      </c>
      <c r="M264" s="3256">
        <v>42.14</v>
      </c>
      <c r="N264" s="3257" t="s">
        <v>229</v>
      </c>
      <c r="O264" s="3253">
        <v>5</v>
      </c>
      <c r="P264" s="3258" t="s">
        <v>1253</v>
      </c>
      <c r="Q264" s="3254"/>
      <c r="R264" s="3254"/>
      <c r="S264" s="3259"/>
      <c r="T264" s="3259"/>
      <c r="U264" s="2228">
        <f t="shared" si="15"/>
        <v>0</v>
      </c>
      <c r="V264" s="3259"/>
      <c r="W264" s="3260"/>
      <c r="X264" s="2230">
        <f t="shared" si="16"/>
        <v>0</v>
      </c>
      <c r="Y264" s="3260"/>
    </row>
    <row r="265" spans="8:25">
      <c r="H265" s="3253" t="s">
        <v>2062</v>
      </c>
      <c r="I265" s="3254">
        <v>43.8</v>
      </c>
      <c r="J265" s="2226" t="s">
        <v>110</v>
      </c>
      <c r="K265" s="3253" t="s">
        <v>845</v>
      </c>
      <c r="L265" s="3256">
        <v>60.2</v>
      </c>
      <c r="M265" s="3256">
        <v>42.14</v>
      </c>
      <c r="N265" s="3257" t="s">
        <v>229</v>
      </c>
      <c r="O265" s="3253">
        <v>5</v>
      </c>
      <c r="P265" s="3258" t="s">
        <v>1253</v>
      </c>
      <c r="Q265" s="3254"/>
      <c r="R265" s="3254"/>
      <c r="S265" s="3259"/>
      <c r="T265" s="3259"/>
      <c r="U265" s="2228">
        <f t="shared" si="15"/>
        <v>0</v>
      </c>
      <c r="V265" s="3259"/>
      <c r="W265" s="3260"/>
      <c r="X265" s="2230">
        <f t="shared" si="16"/>
        <v>0</v>
      </c>
      <c r="Y265" s="3260"/>
    </row>
    <row r="266" spans="8:25">
      <c r="H266" s="3253" t="s">
        <v>2063</v>
      </c>
      <c r="I266" s="3254">
        <v>21.9</v>
      </c>
      <c r="J266" s="2226" t="s">
        <v>110</v>
      </c>
      <c r="K266" s="3253" t="s">
        <v>845</v>
      </c>
      <c r="L266" s="3256">
        <v>60.2</v>
      </c>
      <c r="M266" s="3256">
        <v>42.14</v>
      </c>
      <c r="N266" s="3257" t="s">
        <v>229</v>
      </c>
      <c r="O266" s="3253">
        <v>5</v>
      </c>
      <c r="P266" s="3258" t="s">
        <v>1253</v>
      </c>
      <c r="Q266" s="3254"/>
      <c r="R266" s="3254"/>
      <c r="S266" s="3259"/>
      <c r="T266" s="3259"/>
      <c r="U266" s="2228">
        <f t="shared" si="15"/>
        <v>0</v>
      </c>
      <c r="V266" s="3259"/>
      <c r="W266" s="3260"/>
      <c r="X266" s="2230">
        <f t="shared" si="16"/>
        <v>0</v>
      </c>
      <c r="Y266" s="3260"/>
    </row>
    <row r="267" spans="8:25">
      <c r="H267" s="3253" t="s">
        <v>2064</v>
      </c>
      <c r="I267" s="3254">
        <v>70</v>
      </c>
      <c r="J267" s="2226" t="s">
        <v>110</v>
      </c>
      <c r="K267" s="3253" t="s">
        <v>845</v>
      </c>
      <c r="L267" s="3256">
        <v>76.3</v>
      </c>
      <c r="M267" s="3256">
        <v>76.3</v>
      </c>
      <c r="N267" s="3257" t="s">
        <v>229</v>
      </c>
      <c r="O267" s="3253">
        <v>4</v>
      </c>
      <c r="P267" s="3258" t="s">
        <v>997</v>
      </c>
      <c r="Q267" s="3254"/>
      <c r="R267" s="3254"/>
      <c r="S267" s="3259"/>
      <c r="T267" s="3259"/>
      <c r="U267" s="2228">
        <f t="shared" si="15"/>
        <v>0</v>
      </c>
      <c r="V267" s="3259"/>
      <c r="W267" s="3260"/>
      <c r="X267" s="2230">
        <f t="shared" si="16"/>
        <v>0</v>
      </c>
      <c r="Y267" s="3260"/>
    </row>
    <row r="268" spans="8:25">
      <c r="H268" s="3253" t="s">
        <v>2065</v>
      </c>
      <c r="I268" s="3254">
        <v>127</v>
      </c>
      <c r="J268" s="2226" t="s">
        <v>110</v>
      </c>
      <c r="K268" s="3253" t="s">
        <v>845</v>
      </c>
      <c r="L268" s="3256">
        <v>76.3</v>
      </c>
      <c r="M268" s="3256">
        <v>76.3</v>
      </c>
      <c r="N268" s="3257">
        <v>6.3228442992459928E-4</v>
      </c>
      <c r="O268" s="3253">
        <v>4</v>
      </c>
      <c r="P268" s="3258" t="s">
        <v>997</v>
      </c>
      <c r="Q268" s="3254"/>
      <c r="R268" s="3254">
        <v>50</v>
      </c>
      <c r="S268" s="3259"/>
      <c r="T268" s="3259"/>
      <c r="U268" s="2228">
        <f t="shared" si="15"/>
        <v>6350</v>
      </c>
      <c r="V268" s="3259"/>
      <c r="W268" s="3260"/>
      <c r="X268" s="2230">
        <f t="shared" si="16"/>
        <v>3815</v>
      </c>
      <c r="Y268" s="3260"/>
    </row>
    <row r="269" spans="8:25">
      <c r="H269" s="3253" t="s">
        <v>2066</v>
      </c>
      <c r="I269" s="3254">
        <v>77</v>
      </c>
      <c r="J269" s="2226" t="s">
        <v>110</v>
      </c>
      <c r="K269" s="3253" t="s">
        <v>845</v>
      </c>
      <c r="L269" s="3256">
        <v>76.3</v>
      </c>
      <c r="M269" s="3256">
        <v>76.3</v>
      </c>
      <c r="N269" s="3257" t="s">
        <v>229</v>
      </c>
      <c r="O269" s="3253">
        <v>4</v>
      </c>
      <c r="P269" s="3258" t="s">
        <v>997</v>
      </c>
      <c r="Q269" s="3254"/>
      <c r="R269" s="3254"/>
      <c r="S269" s="3259"/>
      <c r="T269" s="3259"/>
      <c r="U269" s="2228">
        <f t="shared" si="15"/>
        <v>0</v>
      </c>
      <c r="V269" s="3259"/>
      <c r="W269" s="3260"/>
      <c r="X269" s="2230">
        <f t="shared" si="16"/>
        <v>0</v>
      </c>
      <c r="Y269" s="3260"/>
    </row>
    <row r="270" spans="8:25">
      <c r="H270" s="3253" t="s">
        <v>2067</v>
      </c>
      <c r="I270" s="3254">
        <v>49</v>
      </c>
      <c r="J270" s="2226" t="s">
        <v>110</v>
      </c>
      <c r="K270" s="3253" t="s">
        <v>845</v>
      </c>
      <c r="L270" s="3256">
        <v>76.3</v>
      </c>
      <c r="M270" s="3256">
        <v>76.3</v>
      </c>
      <c r="N270" s="3257" t="s">
        <v>229</v>
      </c>
      <c r="O270" s="3253">
        <v>4</v>
      </c>
      <c r="P270" s="3258" t="s">
        <v>997</v>
      </c>
      <c r="Q270" s="3254"/>
      <c r="R270" s="3254"/>
      <c r="S270" s="3259"/>
      <c r="T270" s="3259"/>
      <c r="U270" s="2228">
        <f t="shared" si="15"/>
        <v>0</v>
      </c>
      <c r="V270" s="3259"/>
      <c r="W270" s="3260"/>
      <c r="X270" s="2230">
        <f t="shared" si="16"/>
        <v>0</v>
      </c>
      <c r="Y270" s="3260"/>
    </row>
    <row r="271" spans="8:25">
      <c r="H271" s="3253" t="s">
        <v>2068</v>
      </c>
      <c r="I271" s="3254">
        <v>1267</v>
      </c>
      <c r="J271" s="2226" t="s">
        <v>110</v>
      </c>
      <c r="K271" s="3253" t="s">
        <v>845</v>
      </c>
      <c r="L271" s="3256">
        <v>76.3</v>
      </c>
      <c r="M271" s="3256">
        <v>76.3</v>
      </c>
      <c r="N271" s="3257" t="s">
        <v>229</v>
      </c>
      <c r="O271" s="3253">
        <v>4</v>
      </c>
      <c r="P271" s="3258" t="s">
        <v>997</v>
      </c>
      <c r="Q271" s="3254"/>
      <c r="R271" s="3254"/>
      <c r="S271" s="3259"/>
      <c r="T271" s="3259"/>
      <c r="U271" s="2228">
        <f t="shared" si="15"/>
        <v>0</v>
      </c>
      <c r="V271" s="3259"/>
      <c r="W271" s="3260"/>
      <c r="X271" s="2230">
        <f t="shared" si="16"/>
        <v>0</v>
      </c>
      <c r="Y271" s="3260"/>
    </row>
    <row r="272" spans="8:25">
      <c r="H272" s="3253" t="s">
        <v>2069</v>
      </c>
      <c r="I272" s="3254">
        <v>2295</v>
      </c>
      <c r="J272" s="2226" t="s">
        <v>110</v>
      </c>
      <c r="K272" s="3253" t="s">
        <v>845</v>
      </c>
      <c r="L272" s="3256">
        <v>76.3</v>
      </c>
      <c r="M272" s="3256">
        <v>76.3</v>
      </c>
      <c r="N272" s="3257" t="s">
        <v>229</v>
      </c>
      <c r="O272" s="3253">
        <v>4</v>
      </c>
      <c r="P272" s="3258" t="s">
        <v>997</v>
      </c>
      <c r="Q272" s="3254"/>
      <c r="R272" s="3254"/>
      <c r="S272" s="3259"/>
      <c r="T272" s="3259"/>
      <c r="U272" s="2228">
        <f t="shared" ref="U272:U335" si="17">I272*R272</f>
        <v>0</v>
      </c>
      <c r="V272" s="3259"/>
      <c r="W272" s="3260"/>
      <c r="X272" s="2230">
        <f t="shared" ref="X272:X335" si="18">M272*R272</f>
        <v>0</v>
      </c>
      <c r="Y272" s="3260"/>
    </row>
    <row r="273" spans="8:25">
      <c r="H273" s="3253" t="s">
        <v>2070</v>
      </c>
      <c r="I273" s="3254">
        <v>1393</v>
      </c>
      <c r="J273" s="2226" t="s">
        <v>110</v>
      </c>
      <c r="K273" s="3253" t="s">
        <v>845</v>
      </c>
      <c r="L273" s="3256">
        <v>76.3</v>
      </c>
      <c r="M273" s="3256">
        <v>76.3</v>
      </c>
      <c r="N273" s="3257" t="s">
        <v>229</v>
      </c>
      <c r="O273" s="3253">
        <v>4</v>
      </c>
      <c r="P273" s="3258" t="s">
        <v>997</v>
      </c>
      <c r="Q273" s="3254"/>
      <c r="R273" s="3254"/>
      <c r="S273" s="3259"/>
      <c r="T273" s="3259"/>
      <c r="U273" s="2228">
        <f t="shared" si="17"/>
        <v>0</v>
      </c>
      <c r="V273" s="3259"/>
      <c r="W273" s="3260"/>
      <c r="X273" s="2230">
        <f t="shared" si="18"/>
        <v>0</v>
      </c>
      <c r="Y273" s="3260"/>
    </row>
    <row r="274" spans="8:25">
      <c r="H274" s="3253" t="s">
        <v>2071</v>
      </c>
      <c r="I274" s="3254">
        <v>890</v>
      </c>
      <c r="J274" s="2226" t="s">
        <v>110</v>
      </c>
      <c r="K274" s="3253" t="s">
        <v>845</v>
      </c>
      <c r="L274" s="3256">
        <v>76.3</v>
      </c>
      <c r="M274" s="3256">
        <v>76.3</v>
      </c>
      <c r="N274" s="3257" t="s">
        <v>229</v>
      </c>
      <c r="O274" s="3253">
        <v>4</v>
      </c>
      <c r="P274" s="3258" t="s">
        <v>997</v>
      </c>
      <c r="Q274" s="3254"/>
      <c r="R274" s="3254"/>
      <c r="S274" s="3259"/>
      <c r="T274" s="3259"/>
      <c r="U274" s="2228">
        <f t="shared" si="17"/>
        <v>0</v>
      </c>
      <c r="V274" s="3259"/>
      <c r="W274" s="3260"/>
      <c r="X274" s="2230">
        <f t="shared" si="18"/>
        <v>0</v>
      </c>
      <c r="Y274" s="3260"/>
    </row>
    <row r="275" spans="8:25">
      <c r="H275" s="3253" t="s">
        <v>2064</v>
      </c>
      <c r="I275" s="3254">
        <v>1267</v>
      </c>
      <c r="J275" s="2226" t="s">
        <v>110</v>
      </c>
      <c r="K275" s="3253" t="s">
        <v>845</v>
      </c>
      <c r="L275" s="3256">
        <v>76.3</v>
      </c>
      <c r="M275" s="3256">
        <v>76.3</v>
      </c>
      <c r="N275" s="3257" t="s">
        <v>229</v>
      </c>
      <c r="O275" s="3253">
        <v>4</v>
      </c>
      <c r="P275" s="3258" t="s">
        <v>997</v>
      </c>
      <c r="Q275" s="3254"/>
      <c r="R275" s="3254"/>
      <c r="S275" s="3259"/>
      <c r="T275" s="3259"/>
      <c r="U275" s="2228">
        <f t="shared" si="17"/>
        <v>0</v>
      </c>
      <c r="V275" s="3259"/>
      <c r="W275" s="3260"/>
      <c r="X275" s="2230">
        <f t="shared" si="18"/>
        <v>0</v>
      </c>
      <c r="Y275" s="3260"/>
    </row>
    <row r="276" spans="8:25">
      <c r="H276" s="3253" t="s">
        <v>2065</v>
      </c>
      <c r="I276" s="3254">
        <v>2295</v>
      </c>
      <c r="J276" s="2226" t="s">
        <v>110</v>
      </c>
      <c r="K276" s="3253" t="s">
        <v>845</v>
      </c>
      <c r="L276" s="3256">
        <v>76.3</v>
      </c>
      <c r="M276" s="3256">
        <v>76.3</v>
      </c>
      <c r="N276" s="3257" t="s">
        <v>229</v>
      </c>
      <c r="O276" s="3253">
        <v>4</v>
      </c>
      <c r="P276" s="3258" t="s">
        <v>997</v>
      </c>
      <c r="Q276" s="3254"/>
      <c r="R276" s="3254"/>
      <c r="S276" s="3259"/>
      <c r="T276" s="3259"/>
      <c r="U276" s="2228">
        <f t="shared" si="17"/>
        <v>0</v>
      </c>
      <c r="V276" s="3259"/>
      <c r="W276" s="3260"/>
      <c r="X276" s="2230">
        <f t="shared" si="18"/>
        <v>0</v>
      </c>
      <c r="Y276" s="3260"/>
    </row>
    <row r="277" spans="8:25">
      <c r="H277" s="3253" t="s">
        <v>2066</v>
      </c>
      <c r="I277" s="3254">
        <v>1393</v>
      </c>
      <c r="J277" s="2226" t="s">
        <v>110</v>
      </c>
      <c r="K277" s="3253" t="s">
        <v>845</v>
      </c>
      <c r="L277" s="3256">
        <v>76.3</v>
      </c>
      <c r="M277" s="3256">
        <v>76.3</v>
      </c>
      <c r="N277" s="3257" t="s">
        <v>229</v>
      </c>
      <c r="O277" s="3253">
        <v>4</v>
      </c>
      <c r="P277" s="3258" t="s">
        <v>997</v>
      </c>
      <c r="Q277" s="3254"/>
      <c r="R277" s="3254"/>
      <c r="S277" s="3259"/>
      <c r="T277" s="3259"/>
      <c r="U277" s="2228">
        <f t="shared" si="17"/>
        <v>0</v>
      </c>
      <c r="V277" s="3259"/>
      <c r="W277" s="3260"/>
      <c r="X277" s="2230">
        <f t="shared" si="18"/>
        <v>0</v>
      </c>
      <c r="Y277" s="3260"/>
    </row>
    <row r="278" spans="8:25">
      <c r="H278" s="3253" t="s">
        <v>2067</v>
      </c>
      <c r="I278" s="3254">
        <v>890</v>
      </c>
      <c r="J278" s="2226" t="s">
        <v>110</v>
      </c>
      <c r="K278" s="3253" t="s">
        <v>845</v>
      </c>
      <c r="L278" s="3256">
        <v>76.3</v>
      </c>
      <c r="M278" s="3256">
        <v>76.3</v>
      </c>
      <c r="N278" s="3257" t="s">
        <v>229</v>
      </c>
      <c r="O278" s="3253">
        <v>4</v>
      </c>
      <c r="P278" s="3258" t="s">
        <v>997</v>
      </c>
      <c r="Q278" s="3254"/>
      <c r="R278" s="3254"/>
      <c r="S278" s="3259"/>
      <c r="T278" s="3259"/>
      <c r="U278" s="2228">
        <f t="shared" si="17"/>
        <v>0</v>
      </c>
      <c r="V278" s="3259"/>
      <c r="W278" s="3260"/>
      <c r="X278" s="2230">
        <f t="shared" si="18"/>
        <v>0</v>
      </c>
      <c r="Y278" s="3260"/>
    </row>
    <row r="279" spans="8:25">
      <c r="H279" s="3253" t="s">
        <v>2072</v>
      </c>
      <c r="I279" s="3254">
        <v>1267</v>
      </c>
      <c r="J279" s="2226" t="s">
        <v>110</v>
      </c>
      <c r="K279" s="3253" t="s">
        <v>845</v>
      </c>
      <c r="L279" s="3256">
        <v>76.3</v>
      </c>
      <c r="M279" s="3256">
        <v>41.3</v>
      </c>
      <c r="N279" s="3257" t="s">
        <v>229</v>
      </c>
      <c r="O279" s="3253">
        <v>4</v>
      </c>
      <c r="P279" s="3258" t="s">
        <v>997</v>
      </c>
      <c r="Q279" s="3254"/>
      <c r="R279" s="3254"/>
      <c r="S279" s="3259"/>
      <c r="T279" s="3259"/>
      <c r="U279" s="2228">
        <f t="shared" si="17"/>
        <v>0</v>
      </c>
      <c r="V279" s="3259"/>
      <c r="W279" s="3260"/>
      <c r="X279" s="2230">
        <f t="shared" si="18"/>
        <v>0</v>
      </c>
      <c r="Y279" s="3260"/>
    </row>
    <row r="280" spans="8:25">
      <c r="H280" s="3253" t="s">
        <v>2073</v>
      </c>
      <c r="I280" s="3254">
        <v>2295</v>
      </c>
      <c r="J280" s="2226" t="s">
        <v>110</v>
      </c>
      <c r="K280" s="3253" t="s">
        <v>845</v>
      </c>
      <c r="L280" s="3256">
        <v>76.3</v>
      </c>
      <c r="M280" s="3256">
        <v>41.3</v>
      </c>
      <c r="N280" s="3257" t="s">
        <v>229</v>
      </c>
      <c r="O280" s="3253">
        <v>4</v>
      </c>
      <c r="P280" s="3258" t="s">
        <v>997</v>
      </c>
      <c r="Q280" s="3254"/>
      <c r="R280" s="3254"/>
      <c r="S280" s="3259"/>
      <c r="T280" s="3259"/>
      <c r="U280" s="2228">
        <f t="shared" si="17"/>
        <v>0</v>
      </c>
      <c r="V280" s="3259"/>
      <c r="W280" s="3260"/>
      <c r="X280" s="2230">
        <f t="shared" si="18"/>
        <v>0</v>
      </c>
      <c r="Y280" s="3260"/>
    </row>
    <row r="281" spans="8:25">
      <c r="H281" s="3253" t="s">
        <v>2074</v>
      </c>
      <c r="I281" s="3254">
        <v>1393</v>
      </c>
      <c r="J281" s="2226" t="s">
        <v>110</v>
      </c>
      <c r="K281" s="3253" t="s">
        <v>845</v>
      </c>
      <c r="L281" s="3256">
        <v>76.3</v>
      </c>
      <c r="M281" s="3256">
        <v>41.3</v>
      </c>
      <c r="N281" s="3257" t="s">
        <v>229</v>
      </c>
      <c r="O281" s="3253">
        <v>4</v>
      </c>
      <c r="P281" s="3258" t="s">
        <v>997</v>
      </c>
      <c r="Q281" s="3254"/>
      <c r="R281" s="3254"/>
      <c r="S281" s="3259"/>
      <c r="T281" s="3259"/>
      <c r="U281" s="2228">
        <f t="shared" si="17"/>
        <v>0</v>
      </c>
      <c r="V281" s="3259"/>
      <c r="W281" s="3260"/>
      <c r="X281" s="2230">
        <f t="shared" si="18"/>
        <v>0</v>
      </c>
      <c r="Y281" s="3260"/>
    </row>
    <row r="282" spans="8:25">
      <c r="H282" s="3253" t="s">
        <v>2075</v>
      </c>
      <c r="I282" s="3254">
        <v>890</v>
      </c>
      <c r="J282" s="2226" t="s">
        <v>110</v>
      </c>
      <c r="K282" s="3253" t="s">
        <v>845</v>
      </c>
      <c r="L282" s="3256">
        <v>76.3</v>
      </c>
      <c r="M282" s="3256">
        <v>41.3</v>
      </c>
      <c r="N282" s="3257" t="s">
        <v>229</v>
      </c>
      <c r="O282" s="3253">
        <v>4</v>
      </c>
      <c r="P282" s="3258" t="s">
        <v>997</v>
      </c>
      <c r="Q282" s="3254"/>
      <c r="R282" s="3254"/>
      <c r="S282" s="3259"/>
      <c r="T282" s="3259"/>
      <c r="U282" s="2228">
        <f t="shared" si="17"/>
        <v>0</v>
      </c>
      <c r="V282" s="3259"/>
      <c r="W282" s="3260"/>
      <c r="X282" s="2230">
        <f t="shared" si="18"/>
        <v>0</v>
      </c>
      <c r="Y282" s="3260"/>
    </row>
    <row r="283" spans="8:25">
      <c r="H283" s="3253" t="s">
        <v>2076</v>
      </c>
      <c r="I283" s="3254">
        <v>170</v>
      </c>
      <c r="J283" s="2226" t="s">
        <v>110</v>
      </c>
      <c r="K283" s="3253" t="s">
        <v>845</v>
      </c>
      <c r="L283" s="3256">
        <v>83.64</v>
      </c>
      <c r="M283" s="3256">
        <v>58.55</v>
      </c>
      <c r="N283" s="3257">
        <v>5.0781899096306394E-4</v>
      </c>
      <c r="O283" s="3253">
        <v>11</v>
      </c>
      <c r="P283" s="3258" t="s">
        <v>996</v>
      </c>
      <c r="Q283" s="3254"/>
      <c r="R283" s="3254">
        <v>30</v>
      </c>
      <c r="S283" s="3259"/>
      <c r="T283" s="3259"/>
      <c r="U283" s="2228">
        <f t="shared" si="17"/>
        <v>5100</v>
      </c>
      <c r="V283" s="3259"/>
      <c r="W283" s="3260"/>
      <c r="X283" s="2230">
        <f t="shared" si="18"/>
        <v>1756.5</v>
      </c>
      <c r="Y283" s="3260"/>
    </row>
    <row r="284" spans="8:25">
      <c r="H284" s="3253" t="s">
        <v>2077</v>
      </c>
      <c r="I284" s="3254">
        <v>98</v>
      </c>
      <c r="J284" s="2226" t="s">
        <v>110</v>
      </c>
      <c r="K284" s="3253" t="s">
        <v>845</v>
      </c>
      <c r="L284" s="3256">
        <v>83.64</v>
      </c>
      <c r="M284" s="3256">
        <v>41.82</v>
      </c>
      <c r="N284" s="3257" t="s">
        <v>229</v>
      </c>
      <c r="O284" s="3253">
        <v>11</v>
      </c>
      <c r="P284" s="3258" t="s">
        <v>996</v>
      </c>
      <c r="Q284" s="3254"/>
      <c r="R284" s="3254"/>
      <c r="S284" s="3259"/>
      <c r="T284" s="3259"/>
      <c r="U284" s="2228">
        <f t="shared" si="17"/>
        <v>0</v>
      </c>
      <c r="V284" s="3259"/>
      <c r="W284" s="3260"/>
      <c r="X284" s="2230">
        <f t="shared" si="18"/>
        <v>0</v>
      </c>
      <c r="Y284" s="3260"/>
    </row>
    <row r="285" spans="8:25">
      <c r="H285" s="3253" t="s">
        <v>2078</v>
      </c>
      <c r="I285" s="3254">
        <v>301</v>
      </c>
      <c r="J285" s="2226" t="s">
        <v>110</v>
      </c>
      <c r="K285" s="3253" t="s">
        <v>845</v>
      </c>
      <c r="L285" s="3256">
        <v>83.64</v>
      </c>
      <c r="M285" s="3256">
        <v>58.55</v>
      </c>
      <c r="N285" s="3257" t="s">
        <v>229</v>
      </c>
      <c r="O285" s="3253">
        <v>11</v>
      </c>
      <c r="P285" s="3258" t="s">
        <v>996</v>
      </c>
      <c r="Q285" s="3254"/>
      <c r="R285" s="3254"/>
      <c r="S285" s="3259"/>
      <c r="T285" s="3259"/>
      <c r="U285" s="2228">
        <f t="shared" si="17"/>
        <v>0</v>
      </c>
      <c r="V285" s="3259"/>
      <c r="W285" s="3260"/>
      <c r="X285" s="2230">
        <f t="shared" si="18"/>
        <v>0</v>
      </c>
      <c r="Y285" s="3260"/>
    </row>
    <row r="286" spans="8:25">
      <c r="H286" s="3253" t="s">
        <v>2079</v>
      </c>
      <c r="I286" s="3254">
        <v>179</v>
      </c>
      <c r="J286" s="2226" t="s">
        <v>110</v>
      </c>
      <c r="K286" s="3253" t="s">
        <v>845</v>
      </c>
      <c r="L286" s="3256">
        <v>83.64</v>
      </c>
      <c r="M286" s="3256">
        <v>41.82</v>
      </c>
      <c r="N286" s="3257" t="s">
        <v>229</v>
      </c>
      <c r="O286" s="3253">
        <v>11</v>
      </c>
      <c r="P286" s="3258" t="s">
        <v>996</v>
      </c>
      <c r="Q286" s="3254"/>
      <c r="R286" s="3254"/>
      <c r="S286" s="3259"/>
      <c r="T286" s="3259"/>
      <c r="U286" s="2228">
        <f t="shared" si="17"/>
        <v>0</v>
      </c>
      <c r="V286" s="3259"/>
      <c r="W286" s="3260"/>
      <c r="X286" s="2230">
        <f t="shared" si="18"/>
        <v>0</v>
      </c>
      <c r="Y286" s="3260"/>
    </row>
    <row r="287" spans="8:25">
      <c r="H287" s="3253" t="s">
        <v>2080</v>
      </c>
      <c r="I287" s="3254">
        <v>226</v>
      </c>
      <c r="J287" s="2226" t="s">
        <v>110</v>
      </c>
      <c r="K287" s="3253" t="s">
        <v>845</v>
      </c>
      <c r="L287" s="3256">
        <v>83.64</v>
      </c>
      <c r="M287" s="3256">
        <v>58.55</v>
      </c>
      <c r="N287" s="3257" t="s">
        <v>229</v>
      </c>
      <c r="O287" s="3253">
        <v>11</v>
      </c>
      <c r="P287" s="3258" t="s">
        <v>996</v>
      </c>
      <c r="Q287" s="3254"/>
      <c r="R287" s="3254"/>
      <c r="S287" s="3259"/>
      <c r="T287" s="3259"/>
      <c r="U287" s="2228">
        <f t="shared" si="17"/>
        <v>0</v>
      </c>
      <c r="V287" s="3259"/>
      <c r="W287" s="3260"/>
      <c r="X287" s="2230">
        <f t="shared" si="18"/>
        <v>0</v>
      </c>
      <c r="Y287" s="3260"/>
    </row>
    <row r="288" spans="8:25">
      <c r="H288" s="3253" t="s">
        <v>2081</v>
      </c>
      <c r="I288" s="3254">
        <v>165</v>
      </c>
      <c r="J288" s="2226" t="s">
        <v>110</v>
      </c>
      <c r="K288" s="3253" t="s">
        <v>845</v>
      </c>
      <c r="L288" s="3256">
        <v>83.64</v>
      </c>
      <c r="M288" s="3256">
        <v>41.82</v>
      </c>
      <c r="N288" s="3257" t="s">
        <v>229</v>
      </c>
      <c r="O288" s="3253">
        <v>11</v>
      </c>
      <c r="P288" s="3258" t="s">
        <v>996</v>
      </c>
      <c r="Q288" s="3254"/>
      <c r="R288" s="3254"/>
      <c r="S288" s="3259"/>
      <c r="T288" s="3259"/>
      <c r="U288" s="2228">
        <f t="shared" si="17"/>
        <v>0</v>
      </c>
      <c r="V288" s="3259"/>
      <c r="W288" s="3260"/>
      <c r="X288" s="2230">
        <f t="shared" si="18"/>
        <v>0</v>
      </c>
      <c r="Y288" s="3260"/>
    </row>
    <row r="289" spans="8:25">
      <c r="H289" s="3253" t="s">
        <v>2082</v>
      </c>
      <c r="I289" s="3254">
        <v>302</v>
      </c>
      <c r="J289" s="2226" t="s">
        <v>110</v>
      </c>
      <c r="K289" s="3253" t="s">
        <v>845</v>
      </c>
      <c r="L289" s="3256">
        <v>83.64</v>
      </c>
      <c r="M289" s="3256">
        <v>58.55</v>
      </c>
      <c r="N289" s="3257" t="s">
        <v>229</v>
      </c>
      <c r="O289" s="3253">
        <v>11</v>
      </c>
      <c r="P289" s="3258" t="s">
        <v>996</v>
      </c>
      <c r="Q289" s="3254"/>
      <c r="R289" s="3254"/>
      <c r="S289" s="3259"/>
      <c r="T289" s="3259"/>
      <c r="U289" s="2228">
        <f t="shared" si="17"/>
        <v>0</v>
      </c>
      <c r="V289" s="3259"/>
      <c r="W289" s="3260"/>
      <c r="X289" s="2230">
        <f t="shared" si="18"/>
        <v>0</v>
      </c>
      <c r="Y289" s="3260"/>
    </row>
    <row r="290" spans="8:25">
      <c r="H290" s="3253" t="s">
        <v>2083</v>
      </c>
      <c r="I290" s="3254">
        <v>206</v>
      </c>
      <c r="J290" s="2226" t="s">
        <v>110</v>
      </c>
      <c r="K290" s="3253" t="s">
        <v>845</v>
      </c>
      <c r="L290" s="3256">
        <v>83.64</v>
      </c>
      <c r="M290" s="3256">
        <v>41.82</v>
      </c>
      <c r="N290" s="3257" t="s">
        <v>229</v>
      </c>
      <c r="O290" s="3253">
        <v>11</v>
      </c>
      <c r="P290" s="3258" t="s">
        <v>996</v>
      </c>
      <c r="Q290" s="3254"/>
      <c r="R290" s="3254"/>
      <c r="S290" s="3259"/>
      <c r="T290" s="3259"/>
      <c r="U290" s="2228">
        <f t="shared" si="17"/>
        <v>0</v>
      </c>
      <c r="V290" s="3259"/>
      <c r="W290" s="3260"/>
      <c r="X290" s="2230">
        <f t="shared" si="18"/>
        <v>0</v>
      </c>
      <c r="Y290" s="3260"/>
    </row>
    <row r="291" spans="8:25">
      <c r="H291" s="3253" t="s">
        <v>2084</v>
      </c>
      <c r="I291" s="3254">
        <v>222</v>
      </c>
      <c r="J291" s="2226" t="s">
        <v>110</v>
      </c>
      <c r="K291" s="3253" t="s">
        <v>845</v>
      </c>
      <c r="L291" s="3256">
        <v>83.64</v>
      </c>
      <c r="M291" s="3256">
        <v>58.55</v>
      </c>
      <c r="N291" s="3257">
        <v>5.5262654898921668E-4</v>
      </c>
      <c r="O291" s="3253">
        <v>11</v>
      </c>
      <c r="P291" s="3258" t="s">
        <v>996</v>
      </c>
      <c r="Q291" s="3254"/>
      <c r="R291" s="3254">
        <v>25</v>
      </c>
      <c r="S291" s="3259"/>
      <c r="T291" s="3259"/>
      <c r="U291" s="2228">
        <f t="shared" si="17"/>
        <v>5550</v>
      </c>
      <c r="V291" s="3259"/>
      <c r="W291" s="3260"/>
      <c r="X291" s="2230">
        <f t="shared" si="18"/>
        <v>1463.75</v>
      </c>
      <c r="Y291" s="3260"/>
    </row>
    <row r="292" spans="8:25">
      <c r="H292" s="3253" t="s">
        <v>2085</v>
      </c>
      <c r="I292" s="3254">
        <v>152</v>
      </c>
      <c r="J292" s="2226" t="s">
        <v>110</v>
      </c>
      <c r="K292" s="3253" t="s">
        <v>845</v>
      </c>
      <c r="L292" s="3256">
        <v>83.64</v>
      </c>
      <c r="M292" s="3256">
        <v>41.82</v>
      </c>
      <c r="N292" s="3257" t="s">
        <v>229</v>
      </c>
      <c r="O292" s="3253">
        <v>11</v>
      </c>
      <c r="P292" s="3258" t="s">
        <v>996</v>
      </c>
      <c r="Q292" s="3254"/>
      <c r="R292" s="3254"/>
      <c r="S292" s="3259"/>
      <c r="T292" s="3259"/>
      <c r="U292" s="2228">
        <f t="shared" si="17"/>
        <v>0</v>
      </c>
      <c r="V292" s="3259"/>
      <c r="W292" s="3260"/>
      <c r="X292" s="2230">
        <f t="shared" si="18"/>
        <v>0</v>
      </c>
      <c r="Y292" s="3260"/>
    </row>
    <row r="293" spans="8:25">
      <c r="H293" s="3253" t="s">
        <v>2086</v>
      </c>
      <c r="I293" s="3254">
        <v>212</v>
      </c>
      <c r="J293" s="2226" t="s">
        <v>110</v>
      </c>
      <c r="K293" s="3253" t="s">
        <v>845</v>
      </c>
      <c r="L293" s="3256">
        <v>83.64</v>
      </c>
      <c r="M293" s="3256">
        <v>58.55</v>
      </c>
      <c r="N293" s="3257" t="s">
        <v>229</v>
      </c>
      <c r="O293" s="3253">
        <v>11</v>
      </c>
      <c r="P293" s="3258" t="s">
        <v>996</v>
      </c>
      <c r="Q293" s="3254"/>
      <c r="R293" s="3254"/>
      <c r="S293" s="3259"/>
      <c r="T293" s="3259"/>
      <c r="U293" s="2228">
        <f t="shared" si="17"/>
        <v>0</v>
      </c>
      <c r="V293" s="3259"/>
      <c r="W293" s="3260"/>
      <c r="X293" s="2230">
        <f t="shared" si="18"/>
        <v>0</v>
      </c>
      <c r="Y293" s="3260"/>
    </row>
    <row r="294" spans="8:25">
      <c r="H294" s="3253" t="s">
        <v>2087</v>
      </c>
      <c r="I294" s="3254">
        <v>122</v>
      </c>
      <c r="J294" s="2226" t="s">
        <v>110</v>
      </c>
      <c r="K294" s="3253" t="s">
        <v>845</v>
      </c>
      <c r="L294" s="3256">
        <v>83.64</v>
      </c>
      <c r="M294" s="3256">
        <v>41.82</v>
      </c>
      <c r="N294" s="3257" t="s">
        <v>229</v>
      </c>
      <c r="O294" s="3253">
        <v>11</v>
      </c>
      <c r="P294" s="3258" t="s">
        <v>996</v>
      </c>
      <c r="Q294" s="3254"/>
      <c r="R294" s="3254"/>
      <c r="S294" s="3259"/>
      <c r="T294" s="3259"/>
      <c r="U294" s="2228">
        <f t="shared" si="17"/>
        <v>0</v>
      </c>
      <c r="V294" s="3259"/>
      <c r="W294" s="3260"/>
      <c r="X294" s="2230">
        <f t="shared" si="18"/>
        <v>0</v>
      </c>
      <c r="Y294" s="3260"/>
    </row>
    <row r="295" spans="8:25">
      <c r="H295" s="3253" t="s">
        <v>2088</v>
      </c>
      <c r="I295" s="3254">
        <v>376</v>
      </c>
      <c r="J295" s="2226" t="s">
        <v>110</v>
      </c>
      <c r="K295" s="3253" t="s">
        <v>845</v>
      </c>
      <c r="L295" s="3256">
        <v>83.64</v>
      </c>
      <c r="M295" s="3256">
        <v>58.55</v>
      </c>
      <c r="N295" s="3257" t="s">
        <v>229</v>
      </c>
      <c r="O295" s="3253">
        <v>11</v>
      </c>
      <c r="P295" s="3258" t="s">
        <v>996</v>
      </c>
      <c r="Q295" s="3254"/>
      <c r="R295" s="3254"/>
      <c r="S295" s="3259"/>
      <c r="T295" s="3259"/>
      <c r="U295" s="2228">
        <f t="shared" si="17"/>
        <v>0</v>
      </c>
      <c r="V295" s="3259"/>
      <c r="W295" s="3260"/>
      <c r="X295" s="2230">
        <f t="shared" si="18"/>
        <v>0</v>
      </c>
      <c r="Y295" s="3260"/>
    </row>
    <row r="296" spans="8:25">
      <c r="H296" s="3253" t="s">
        <v>2089</v>
      </c>
      <c r="I296" s="3254">
        <v>223</v>
      </c>
      <c r="J296" s="2226" t="s">
        <v>110</v>
      </c>
      <c r="K296" s="3253" t="s">
        <v>845</v>
      </c>
      <c r="L296" s="3256">
        <v>83.64</v>
      </c>
      <c r="M296" s="3256">
        <v>41.82</v>
      </c>
      <c r="N296" s="3257" t="s">
        <v>229</v>
      </c>
      <c r="O296" s="3253">
        <v>11</v>
      </c>
      <c r="P296" s="3258" t="s">
        <v>996</v>
      </c>
      <c r="Q296" s="3254"/>
      <c r="R296" s="3254"/>
      <c r="S296" s="3259"/>
      <c r="T296" s="3259"/>
      <c r="U296" s="2228">
        <f t="shared" si="17"/>
        <v>0</v>
      </c>
      <c r="V296" s="3259"/>
      <c r="W296" s="3260"/>
      <c r="X296" s="2230">
        <f t="shared" si="18"/>
        <v>0</v>
      </c>
      <c r="Y296" s="3260"/>
    </row>
    <row r="297" spans="8:25">
      <c r="H297" s="3253" t="s">
        <v>2090</v>
      </c>
      <c r="I297" s="3254">
        <v>282</v>
      </c>
      <c r="J297" s="2226" t="s">
        <v>110</v>
      </c>
      <c r="K297" s="3253" t="s">
        <v>845</v>
      </c>
      <c r="L297" s="3256">
        <v>83.64</v>
      </c>
      <c r="M297" s="3256">
        <v>58.55</v>
      </c>
      <c r="N297" s="3257" t="s">
        <v>229</v>
      </c>
      <c r="O297" s="3253">
        <v>11</v>
      </c>
      <c r="P297" s="3258" t="s">
        <v>996</v>
      </c>
      <c r="Q297" s="3254"/>
      <c r="R297" s="3254"/>
      <c r="S297" s="3259"/>
      <c r="T297" s="3259"/>
      <c r="U297" s="2228">
        <f t="shared" si="17"/>
        <v>0</v>
      </c>
      <c r="V297" s="3259"/>
      <c r="W297" s="3260"/>
      <c r="X297" s="2230">
        <f t="shared" si="18"/>
        <v>0</v>
      </c>
      <c r="Y297" s="3260"/>
    </row>
    <row r="298" spans="8:25">
      <c r="H298" s="3253" t="s">
        <v>2091</v>
      </c>
      <c r="I298" s="3254">
        <v>206</v>
      </c>
      <c r="J298" s="2226" t="s">
        <v>110</v>
      </c>
      <c r="K298" s="3253" t="s">
        <v>845</v>
      </c>
      <c r="L298" s="3256">
        <v>83.64</v>
      </c>
      <c r="M298" s="3256">
        <v>41.82</v>
      </c>
      <c r="N298" s="3257" t="s">
        <v>229</v>
      </c>
      <c r="O298" s="3253">
        <v>11</v>
      </c>
      <c r="P298" s="3258" t="s">
        <v>996</v>
      </c>
      <c r="Q298" s="3254"/>
      <c r="R298" s="3254"/>
      <c r="S298" s="3259"/>
      <c r="T298" s="3259"/>
      <c r="U298" s="2228">
        <f t="shared" si="17"/>
        <v>0</v>
      </c>
      <c r="V298" s="3259"/>
      <c r="W298" s="3260"/>
      <c r="X298" s="2230">
        <f t="shared" si="18"/>
        <v>0</v>
      </c>
      <c r="Y298" s="3260"/>
    </row>
    <row r="299" spans="8:25">
      <c r="H299" s="3253" t="s">
        <v>2092</v>
      </c>
      <c r="I299" s="3254">
        <v>378</v>
      </c>
      <c r="J299" s="2226" t="s">
        <v>110</v>
      </c>
      <c r="K299" s="3253" t="s">
        <v>845</v>
      </c>
      <c r="L299" s="3256">
        <v>83.64</v>
      </c>
      <c r="M299" s="3256">
        <v>58.55</v>
      </c>
      <c r="N299" s="3257" t="s">
        <v>229</v>
      </c>
      <c r="O299" s="3253">
        <v>11</v>
      </c>
      <c r="P299" s="3258" t="s">
        <v>996</v>
      </c>
      <c r="Q299" s="3254"/>
      <c r="R299" s="3254"/>
      <c r="S299" s="3259"/>
      <c r="T299" s="3259"/>
      <c r="U299" s="2228">
        <f t="shared" si="17"/>
        <v>0</v>
      </c>
      <c r="V299" s="3259"/>
      <c r="W299" s="3260"/>
      <c r="X299" s="2230">
        <f t="shared" si="18"/>
        <v>0</v>
      </c>
      <c r="Y299" s="3260"/>
    </row>
    <row r="300" spans="8:25">
      <c r="H300" s="3253" t="s">
        <v>2093</v>
      </c>
      <c r="I300" s="3254">
        <v>258</v>
      </c>
      <c r="J300" s="2226" t="s">
        <v>110</v>
      </c>
      <c r="K300" s="3253" t="s">
        <v>845</v>
      </c>
      <c r="L300" s="3256">
        <v>83.64</v>
      </c>
      <c r="M300" s="3256">
        <v>41.82</v>
      </c>
      <c r="N300" s="3257" t="s">
        <v>229</v>
      </c>
      <c r="O300" s="3253">
        <v>11</v>
      </c>
      <c r="P300" s="3258" t="s">
        <v>996</v>
      </c>
      <c r="Q300" s="3254"/>
      <c r="R300" s="3254"/>
      <c r="S300" s="3259"/>
      <c r="T300" s="3259"/>
      <c r="U300" s="2228">
        <f t="shared" si="17"/>
        <v>0</v>
      </c>
      <c r="V300" s="3259"/>
      <c r="W300" s="3260"/>
      <c r="X300" s="2230">
        <f t="shared" si="18"/>
        <v>0</v>
      </c>
      <c r="Y300" s="3260"/>
    </row>
    <row r="301" spans="8:25">
      <c r="H301" s="3253" t="s">
        <v>2094</v>
      </c>
      <c r="I301" s="3254">
        <v>278</v>
      </c>
      <c r="J301" s="2226" t="s">
        <v>110</v>
      </c>
      <c r="K301" s="3253" t="s">
        <v>845</v>
      </c>
      <c r="L301" s="3256">
        <v>83.64</v>
      </c>
      <c r="M301" s="3256">
        <v>58.55</v>
      </c>
      <c r="N301" s="3257" t="s">
        <v>229</v>
      </c>
      <c r="O301" s="3253">
        <v>11</v>
      </c>
      <c r="P301" s="3258" t="s">
        <v>996</v>
      </c>
      <c r="Q301" s="3254"/>
      <c r="R301" s="3254"/>
      <c r="S301" s="3259"/>
      <c r="T301" s="3259"/>
      <c r="U301" s="2228">
        <f t="shared" si="17"/>
        <v>0</v>
      </c>
      <c r="V301" s="3259"/>
      <c r="W301" s="3260"/>
      <c r="X301" s="2230">
        <f t="shared" si="18"/>
        <v>0</v>
      </c>
      <c r="Y301" s="3260"/>
    </row>
    <row r="302" spans="8:25">
      <c r="H302" s="3253" t="s">
        <v>2095</v>
      </c>
      <c r="I302" s="3254">
        <v>190</v>
      </c>
      <c r="J302" s="2226" t="s">
        <v>110</v>
      </c>
      <c r="K302" s="3253" t="s">
        <v>845</v>
      </c>
      <c r="L302" s="3256">
        <v>83.64</v>
      </c>
      <c r="M302" s="3256">
        <v>41.82</v>
      </c>
      <c r="N302" s="3257" t="s">
        <v>229</v>
      </c>
      <c r="O302" s="3253">
        <v>11</v>
      </c>
      <c r="P302" s="3258" t="s">
        <v>996</v>
      </c>
      <c r="Q302" s="3254"/>
      <c r="R302" s="3254"/>
      <c r="S302" s="3259"/>
      <c r="T302" s="3259"/>
      <c r="U302" s="2228">
        <f t="shared" si="17"/>
        <v>0</v>
      </c>
      <c r="V302" s="3259"/>
      <c r="W302" s="3260"/>
      <c r="X302" s="2230">
        <f t="shared" si="18"/>
        <v>0</v>
      </c>
      <c r="Y302" s="3260"/>
    </row>
    <row r="303" spans="8:25">
      <c r="H303" s="3253" t="s">
        <v>2096</v>
      </c>
      <c r="I303" s="3254">
        <v>255</v>
      </c>
      <c r="J303" s="2226" t="s">
        <v>110</v>
      </c>
      <c r="K303" s="3253" t="s">
        <v>845</v>
      </c>
      <c r="L303" s="3256">
        <v>111.64</v>
      </c>
      <c r="M303" s="3256">
        <v>78.150000000000006</v>
      </c>
      <c r="N303" s="3257" t="s">
        <v>229</v>
      </c>
      <c r="O303" s="3253">
        <v>11</v>
      </c>
      <c r="P303" s="3258" t="s">
        <v>996</v>
      </c>
      <c r="Q303" s="3254"/>
      <c r="R303" s="3254"/>
      <c r="S303" s="3259"/>
      <c r="T303" s="3259"/>
      <c r="U303" s="2228">
        <f t="shared" si="17"/>
        <v>0</v>
      </c>
      <c r="V303" s="3259"/>
      <c r="W303" s="3260"/>
      <c r="X303" s="2230">
        <f t="shared" si="18"/>
        <v>0</v>
      </c>
      <c r="Y303" s="3260"/>
    </row>
    <row r="304" spans="8:25">
      <c r="H304" s="3253" t="s">
        <v>2097</v>
      </c>
      <c r="I304" s="3254">
        <v>147</v>
      </c>
      <c r="J304" s="2226" t="s">
        <v>110</v>
      </c>
      <c r="K304" s="3253" t="s">
        <v>845</v>
      </c>
      <c r="L304" s="3256">
        <v>111.64</v>
      </c>
      <c r="M304" s="3256">
        <v>55.82</v>
      </c>
      <c r="N304" s="3257" t="s">
        <v>229</v>
      </c>
      <c r="O304" s="3253">
        <v>11</v>
      </c>
      <c r="P304" s="3258" t="s">
        <v>996</v>
      </c>
      <c r="Q304" s="3254"/>
      <c r="R304" s="3254"/>
      <c r="S304" s="3259"/>
      <c r="T304" s="3259"/>
      <c r="U304" s="2228">
        <f t="shared" si="17"/>
        <v>0</v>
      </c>
      <c r="V304" s="3259"/>
      <c r="W304" s="3260"/>
      <c r="X304" s="2230">
        <f t="shared" si="18"/>
        <v>0</v>
      </c>
      <c r="Y304" s="3260"/>
    </row>
    <row r="305" spans="8:25">
      <c r="H305" s="3253" t="s">
        <v>2098</v>
      </c>
      <c r="I305" s="3254">
        <v>451</v>
      </c>
      <c r="J305" s="2226" t="s">
        <v>110</v>
      </c>
      <c r="K305" s="3253" t="s">
        <v>845</v>
      </c>
      <c r="L305" s="3256">
        <v>111.64</v>
      </c>
      <c r="M305" s="3256">
        <v>78.150000000000006</v>
      </c>
      <c r="N305" s="3257" t="s">
        <v>229</v>
      </c>
      <c r="O305" s="3253">
        <v>11</v>
      </c>
      <c r="P305" s="3258" t="s">
        <v>996</v>
      </c>
      <c r="Q305" s="3254"/>
      <c r="R305" s="3254"/>
      <c r="S305" s="3259"/>
      <c r="T305" s="3259"/>
      <c r="U305" s="2228">
        <f t="shared" si="17"/>
        <v>0</v>
      </c>
      <c r="V305" s="3259"/>
      <c r="W305" s="3260"/>
      <c r="X305" s="2230">
        <f t="shared" si="18"/>
        <v>0</v>
      </c>
      <c r="Y305" s="3260"/>
    </row>
    <row r="306" spans="8:25">
      <c r="H306" s="3253" t="s">
        <v>2099</v>
      </c>
      <c r="I306" s="3254">
        <v>268</v>
      </c>
      <c r="J306" s="2226" t="s">
        <v>110</v>
      </c>
      <c r="K306" s="3253" t="s">
        <v>845</v>
      </c>
      <c r="L306" s="3256">
        <v>111.64</v>
      </c>
      <c r="M306" s="3256">
        <v>55.82</v>
      </c>
      <c r="N306" s="3257" t="s">
        <v>229</v>
      </c>
      <c r="O306" s="3253">
        <v>11</v>
      </c>
      <c r="P306" s="3258" t="s">
        <v>996</v>
      </c>
      <c r="Q306" s="3254"/>
      <c r="R306" s="3254"/>
      <c r="S306" s="3259"/>
      <c r="T306" s="3259"/>
      <c r="U306" s="2228">
        <f t="shared" si="17"/>
        <v>0</v>
      </c>
      <c r="V306" s="3259"/>
      <c r="W306" s="3260"/>
      <c r="X306" s="2230">
        <f t="shared" si="18"/>
        <v>0</v>
      </c>
      <c r="Y306" s="3260"/>
    </row>
    <row r="307" spans="8:25">
      <c r="H307" s="3253" t="s">
        <v>2100</v>
      </c>
      <c r="I307" s="3254">
        <v>339</v>
      </c>
      <c r="J307" s="2226" t="s">
        <v>110</v>
      </c>
      <c r="K307" s="3253" t="s">
        <v>845</v>
      </c>
      <c r="L307" s="3256">
        <v>111.64</v>
      </c>
      <c r="M307" s="3256">
        <v>78.150000000000006</v>
      </c>
      <c r="N307" s="3257" t="s">
        <v>229</v>
      </c>
      <c r="O307" s="3253">
        <v>11</v>
      </c>
      <c r="P307" s="3258" t="s">
        <v>996</v>
      </c>
      <c r="Q307" s="3254"/>
      <c r="R307" s="3254"/>
      <c r="S307" s="3259"/>
      <c r="T307" s="3259"/>
      <c r="U307" s="2228">
        <f t="shared" si="17"/>
        <v>0</v>
      </c>
      <c r="V307" s="3259"/>
      <c r="W307" s="3260"/>
      <c r="X307" s="2230">
        <f t="shared" si="18"/>
        <v>0</v>
      </c>
      <c r="Y307" s="3260"/>
    </row>
    <row r="308" spans="8:25">
      <c r="H308" s="3253" t="s">
        <v>2101</v>
      </c>
      <c r="I308" s="3254">
        <v>247</v>
      </c>
      <c r="J308" s="2226" t="s">
        <v>110</v>
      </c>
      <c r="K308" s="3253" t="s">
        <v>845</v>
      </c>
      <c r="L308" s="3256">
        <v>111.64</v>
      </c>
      <c r="M308" s="3256">
        <v>55.82</v>
      </c>
      <c r="N308" s="3257" t="s">
        <v>229</v>
      </c>
      <c r="O308" s="3253">
        <v>11</v>
      </c>
      <c r="P308" s="3258" t="s">
        <v>996</v>
      </c>
      <c r="Q308" s="3254"/>
      <c r="R308" s="3254"/>
      <c r="S308" s="3259"/>
      <c r="T308" s="3259"/>
      <c r="U308" s="2228">
        <f t="shared" si="17"/>
        <v>0</v>
      </c>
      <c r="V308" s="3259"/>
      <c r="W308" s="3260"/>
      <c r="X308" s="2230">
        <f t="shared" si="18"/>
        <v>0</v>
      </c>
      <c r="Y308" s="3260"/>
    </row>
    <row r="309" spans="8:25">
      <c r="H309" s="3253" t="s">
        <v>2102</v>
      </c>
      <c r="I309" s="3254">
        <v>453</v>
      </c>
      <c r="J309" s="2226" t="s">
        <v>110</v>
      </c>
      <c r="K309" s="3253" t="s">
        <v>845</v>
      </c>
      <c r="L309" s="3256">
        <v>111.64</v>
      </c>
      <c r="M309" s="3256">
        <v>78.150000000000006</v>
      </c>
      <c r="N309" s="3257" t="s">
        <v>229</v>
      </c>
      <c r="O309" s="3253">
        <v>11</v>
      </c>
      <c r="P309" s="3258" t="s">
        <v>996</v>
      </c>
      <c r="Q309" s="3254"/>
      <c r="R309" s="3254"/>
      <c r="S309" s="3259"/>
      <c r="T309" s="3259"/>
      <c r="U309" s="2228">
        <f t="shared" si="17"/>
        <v>0</v>
      </c>
      <c r="V309" s="3259"/>
      <c r="W309" s="3260"/>
      <c r="X309" s="2230">
        <f t="shared" si="18"/>
        <v>0</v>
      </c>
      <c r="Y309" s="3260"/>
    </row>
    <row r="310" spans="8:25">
      <c r="H310" s="3253" t="s">
        <v>2103</v>
      </c>
      <c r="I310" s="3254">
        <v>309</v>
      </c>
      <c r="J310" s="2226" t="s">
        <v>110</v>
      </c>
      <c r="K310" s="3253" t="s">
        <v>845</v>
      </c>
      <c r="L310" s="3256">
        <v>111.64</v>
      </c>
      <c r="M310" s="3256">
        <v>55.82</v>
      </c>
      <c r="N310" s="3257" t="s">
        <v>229</v>
      </c>
      <c r="O310" s="3253">
        <v>11</v>
      </c>
      <c r="P310" s="3258" t="s">
        <v>996</v>
      </c>
      <c r="Q310" s="3254"/>
      <c r="R310" s="3254"/>
      <c r="S310" s="3259"/>
      <c r="T310" s="3259"/>
      <c r="U310" s="2228">
        <f t="shared" si="17"/>
        <v>0</v>
      </c>
      <c r="V310" s="3259"/>
      <c r="W310" s="3260"/>
      <c r="X310" s="2230">
        <f t="shared" si="18"/>
        <v>0</v>
      </c>
      <c r="Y310" s="3260"/>
    </row>
    <row r="311" spans="8:25">
      <c r="H311" s="3253" t="s">
        <v>2104</v>
      </c>
      <c r="I311" s="3254">
        <v>333</v>
      </c>
      <c r="J311" s="2226" t="s">
        <v>110</v>
      </c>
      <c r="K311" s="3253" t="s">
        <v>845</v>
      </c>
      <c r="L311" s="3256">
        <v>111.64</v>
      </c>
      <c r="M311" s="3256">
        <v>78.150000000000006</v>
      </c>
      <c r="N311" s="3257" t="s">
        <v>229</v>
      </c>
      <c r="O311" s="3253">
        <v>11</v>
      </c>
      <c r="P311" s="3258" t="s">
        <v>996</v>
      </c>
      <c r="Q311" s="3254"/>
      <c r="R311" s="3254"/>
      <c r="S311" s="3259"/>
      <c r="T311" s="3259"/>
      <c r="U311" s="2228">
        <f t="shared" si="17"/>
        <v>0</v>
      </c>
      <c r="V311" s="3259"/>
      <c r="W311" s="3260"/>
      <c r="X311" s="2230">
        <f t="shared" si="18"/>
        <v>0</v>
      </c>
      <c r="Y311" s="3260"/>
    </row>
    <row r="312" spans="8:25">
      <c r="H312" s="3253" t="s">
        <v>2105</v>
      </c>
      <c r="I312" s="3254">
        <v>228</v>
      </c>
      <c r="J312" s="2226" t="s">
        <v>110</v>
      </c>
      <c r="K312" s="3253" t="s">
        <v>845</v>
      </c>
      <c r="L312" s="3256">
        <v>111.64</v>
      </c>
      <c r="M312" s="3256">
        <v>55.82</v>
      </c>
      <c r="N312" s="3257" t="s">
        <v>229</v>
      </c>
      <c r="O312" s="3253">
        <v>11</v>
      </c>
      <c r="P312" s="3258" t="s">
        <v>996</v>
      </c>
      <c r="Q312" s="3254"/>
      <c r="R312" s="3254"/>
      <c r="S312" s="3259"/>
      <c r="T312" s="3259"/>
      <c r="U312" s="2228">
        <f t="shared" si="17"/>
        <v>0</v>
      </c>
      <c r="V312" s="3259"/>
      <c r="W312" s="3260"/>
      <c r="X312" s="2230">
        <f t="shared" si="18"/>
        <v>0</v>
      </c>
      <c r="Y312" s="3260"/>
    </row>
    <row r="313" spans="8:25">
      <c r="H313" s="3253" t="s">
        <v>2106</v>
      </c>
      <c r="I313" s="3254">
        <v>228</v>
      </c>
      <c r="J313" s="2226" t="s">
        <v>110</v>
      </c>
      <c r="K313" s="3253" t="s">
        <v>845</v>
      </c>
      <c r="L313" s="3256">
        <v>23.8</v>
      </c>
      <c r="M313" s="3256">
        <v>23.8</v>
      </c>
      <c r="N313" s="3257">
        <v>2.2702496066584035E-4</v>
      </c>
      <c r="O313" s="3253">
        <v>10</v>
      </c>
      <c r="P313" s="3258" t="s">
        <v>997</v>
      </c>
      <c r="Q313" s="3254"/>
      <c r="R313" s="3254">
        <v>10</v>
      </c>
      <c r="S313" s="3259"/>
      <c r="T313" s="3259"/>
      <c r="U313" s="2228">
        <f t="shared" si="17"/>
        <v>2280</v>
      </c>
      <c r="V313" s="3259"/>
      <c r="W313" s="3260"/>
      <c r="X313" s="2230">
        <f t="shared" si="18"/>
        <v>238</v>
      </c>
      <c r="Y313" s="3260"/>
    </row>
    <row r="314" spans="8:25">
      <c r="H314" s="3253" t="s">
        <v>2107</v>
      </c>
      <c r="I314" s="3254">
        <v>10</v>
      </c>
      <c r="J314" s="2226" t="s">
        <v>110</v>
      </c>
      <c r="K314" s="3253" t="s">
        <v>845</v>
      </c>
      <c r="L314" s="3256">
        <v>0</v>
      </c>
      <c r="M314" s="3256">
        <v>0</v>
      </c>
      <c r="N314" s="3257">
        <v>9.957235116922823E-6</v>
      </c>
      <c r="O314" s="3253">
        <v>10</v>
      </c>
      <c r="P314" s="3258" t="s">
        <v>997</v>
      </c>
      <c r="Q314" s="3254"/>
      <c r="R314" s="3254">
        <v>10</v>
      </c>
      <c r="S314" s="3259"/>
      <c r="T314" s="3259"/>
      <c r="U314" s="2228">
        <f t="shared" si="17"/>
        <v>100</v>
      </c>
      <c r="V314" s="3259"/>
      <c r="W314" s="3260"/>
      <c r="X314" s="2230">
        <f t="shared" si="18"/>
        <v>0</v>
      </c>
      <c r="Y314" s="3260"/>
    </row>
    <row r="315" spans="8:25">
      <c r="H315" s="3253" t="s">
        <v>2108</v>
      </c>
      <c r="I315" s="3254">
        <v>4288</v>
      </c>
      <c r="J315" s="2226" t="s">
        <v>110</v>
      </c>
      <c r="K315" s="3253" t="s">
        <v>845</v>
      </c>
      <c r="L315" s="3256">
        <v>23.8</v>
      </c>
      <c r="M315" s="3256">
        <v>23.8</v>
      </c>
      <c r="N315" s="3257">
        <v>4.2696624181365059E-3</v>
      </c>
      <c r="O315" s="3253">
        <v>10</v>
      </c>
      <c r="P315" s="3258" t="s">
        <v>997</v>
      </c>
      <c r="Q315" s="3254"/>
      <c r="R315" s="3254">
        <v>10</v>
      </c>
      <c r="S315" s="3259"/>
      <c r="T315" s="3259"/>
      <c r="U315" s="2228">
        <f t="shared" si="17"/>
        <v>42880</v>
      </c>
      <c r="V315" s="3259"/>
      <c r="W315" s="3260"/>
      <c r="X315" s="2230">
        <f t="shared" si="18"/>
        <v>238</v>
      </c>
      <c r="Y315" s="3260"/>
    </row>
    <row r="316" spans="8:25">
      <c r="H316" s="3253" t="s">
        <v>2109</v>
      </c>
      <c r="I316" s="3254">
        <v>190</v>
      </c>
      <c r="J316" s="2226" t="s">
        <v>110</v>
      </c>
      <c r="K316" s="3253" t="s">
        <v>845</v>
      </c>
      <c r="L316" s="3256">
        <v>0</v>
      </c>
      <c r="M316" s="3256">
        <v>0</v>
      </c>
      <c r="N316" s="3257">
        <v>1.8918746722153363E-4</v>
      </c>
      <c r="O316" s="3253">
        <v>10</v>
      </c>
      <c r="P316" s="3258" t="s">
        <v>997</v>
      </c>
      <c r="Q316" s="3254"/>
      <c r="R316" s="3254">
        <v>10</v>
      </c>
      <c r="S316" s="3259"/>
      <c r="T316" s="3259"/>
      <c r="U316" s="2228">
        <f t="shared" si="17"/>
        <v>1900</v>
      </c>
      <c r="V316" s="3259"/>
      <c r="W316" s="3260"/>
      <c r="X316" s="2230">
        <f t="shared" si="18"/>
        <v>0</v>
      </c>
      <c r="Y316" s="3260"/>
    </row>
    <row r="317" spans="8:25">
      <c r="H317" s="3253" t="s">
        <v>2110</v>
      </c>
      <c r="I317" s="3254">
        <v>228</v>
      </c>
      <c r="J317" s="2226" t="s">
        <v>110</v>
      </c>
      <c r="K317" s="3253" t="s">
        <v>845</v>
      </c>
      <c r="L317" s="3256">
        <v>12.8</v>
      </c>
      <c r="M317" s="3256">
        <v>12.8</v>
      </c>
      <c r="N317" s="3257">
        <v>2.2702496066584035E-4</v>
      </c>
      <c r="O317" s="3253">
        <v>10</v>
      </c>
      <c r="P317" s="3258" t="s">
        <v>997</v>
      </c>
      <c r="Q317" s="3254"/>
      <c r="R317" s="3254">
        <v>10</v>
      </c>
      <c r="S317" s="3259"/>
      <c r="T317" s="3259"/>
      <c r="U317" s="2228">
        <f t="shared" si="17"/>
        <v>2280</v>
      </c>
      <c r="V317" s="3259"/>
      <c r="W317" s="3260"/>
      <c r="X317" s="2230">
        <f t="shared" si="18"/>
        <v>128</v>
      </c>
      <c r="Y317" s="3260"/>
    </row>
    <row r="318" spans="8:25">
      <c r="H318" s="3253" t="s">
        <v>2111</v>
      </c>
      <c r="I318" s="3254">
        <v>10</v>
      </c>
      <c r="J318" s="2226" t="s">
        <v>110</v>
      </c>
      <c r="K318" s="3253" t="s">
        <v>845</v>
      </c>
      <c r="L318" s="3256">
        <v>0</v>
      </c>
      <c r="M318" s="3256">
        <v>0</v>
      </c>
      <c r="N318" s="3257">
        <v>9.957235116922823E-6</v>
      </c>
      <c r="O318" s="3253">
        <v>10</v>
      </c>
      <c r="P318" s="3258" t="s">
        <v>997</v>
      </c>
      <c r="Q318" s="3254"/>
      <c r="R318" s="3254">
        <v>10</v>
      </c>
      <c r="S318" s="3259"/>
      <c r="T318" s="3259"/>
      <c r="U318" s="2228">
        <f t="shared" si="17"/>
        <v>100</v>
      </c>
      <c r="V318" s="3259"/>
      <c r="W318" s="3260"/>
      <c r="X318" s="2230">
        <f t="shared" si="18"/>
        <v>0</v>
      </c>
      <c r="Y318" s="3260"/>
    </row>
    <row r="319" spans="8:25">
      <c r="H319" s="3253" t="s">
        <v>2112</v>
      </c>
      <c r="I319" s="3254">
        <v>4288</v>
      </c>
      <c r="J319" s="2226" t="s">
        <v>110</v>
      </c>
      <c r="K319" s="3253" t="s">
        <v>845</v>
      </c>
      <c r="L319" s="3256">
        <v>12.8</v>
      </c>
      <c r="M319" s="3256">
        <v>12.8</v>
      </c>
      <c r="N319" s="3257">
        <v>4.2696624181365059E-3</v>
      </c>
      <c r="O319" s="3253">
        <v>10</v>
      </c>
      <c r="P319" s="3258" t="s">
        <v>997</v>
      </c>
      <c r="Q319" s="3254"/>
      <c r="R319" s="3254">
        <v>10</v>
      </c>
      <c r="S319" s="3259"/>
      <c r="T319" s="3259"/>
      <c r="U319" s="2228">
        <f t="shared" si="17"/>
        <v>42880</v>
      </c>
      <c r="V319" s="3259"/>
      <c r="W319" s="3260"/>
      <c r="X319" s="2230">
        <f t="shared" si="18"/>
        <v>128</v>
      </c>
      <c r="Y319" s="3260"/>
    </row>
    <row r="320" spans="8:25">
      <c r="H320" s="3253" t="s">
        <v>2113</v>
      </c>
      <c r="I320" s="3254">
        <v>190</v>
      </c>
      <c r="J320" s="2226" t="s">
        <v>110</v>
      </c>
      <c r="K320" s="3253" t="s">
        <v>845</v>
      </c>
      <c r="L320" s="3256">
        <v>0</v>
      </c>
      <c r="M320" s="3256">
        <v>0</v>
      </c>
      <c r="N320" s="3257">
        <v>1.8918746722153363E-4</v>
      </c>
      <c r="O320" s="3253">
        <v>10</v>
      </c>
      <c r="P320" s="3258" t="s">
        <v>997</v>
      </c>
      <c r="Q320" s="3254"/>
      <c r="R320" s="3254">
        <v>10</v>
      </c>
      <c r="S320" s="3259"/>
      <c r="T320" s="3259"/>
      <c r="U320" s="2228">
        <f t="shared" si="17"/>
        <v>1900</v>
      </c>
      <c r="V320" s="3259"/>
      <c r="W320" s="3260"/>
      <c r="X320" s="2230">
        <f t="shared" si="18"/>
        <v>0</v>
      </c>
      <c r="Y320" s="3260"/>
    </row>
    <row r="321" spans="8:25">
      <c r="H321" s="3253" t="s">
        <v>2114</v>
      </c>
      <c r="I321" s="3254">
        <v>46.6</v>
      </c>
      <c r="J321" s="2226" t="s">
        <v>110</v>
      </c>
      <c r="K321" s="3253" t="s">
        <v>845</v>
      </c>
      <c r="L321" s="3256">
        <v>13.09</v>
      </c>
      <c r="M321" s="3256">
        <v>13.09</v>
      </c>
      <c r="N321" s="3257">
        <v>2.3200357822430177E-4</v>
      </c>
      <c r="O321" s="3253">
        <v>10</v>
      </c>
      <c r="P321" s="3258" t="s">
        <v>997</v>
      </c>
      <c r="Q321" s="3254"/>
      <c r="R321" s="3254">
        <v>50</v>
      </c>
      <c r="S321" s="3259"/>
      <c r="T321" s="3259"/>
      <c r="U321" s="2228">
        <f t="shared" si="17"/>
        <v>2330</v>
      </c>
      <c r="V321" s="3259"/>
      <c r="W321" s="3260"/>
      <c r="X321" s="2230">
        <f t="shared" si="18"/>
        <v>654.5</v>
      </c>
      <c r="Y321" s="3260"/>
    </row>
    <row r="322" spans="8:25">
      <c r="H322" s="3253" t="s">
        <v>2115</v>
      </c>
      <c r="I322" s="3254">
        <v>94</v>
      </c>
      <c r="J322" s="2226" t="s">
        <v>110</v>
      </c>
      <c r="K322" s="3253" t="s">
        <v>845</v>
      </c>
      <c r="L322" s="3256">
        <v>13.09</v>
      </c>
      <c r="M322" s="3256">
        <v>13.09</v>
      </c>
      <c r="N322" s="3257">
        <v>2.8079403029722359E-3</v>
      </c>
      <c r="O322" s="3253">
        <v>10</v>
      </c>
      <c r="P322" s="3258" t="s">
        <v>997</v>
      </c>
      <c r="Q322" s="3254"/>
      <c r="R322" s="3254">
        <v>300</v>
      </c>
      <c r="S322" s="3259"/>
      <c r="T322" s="3259"/>
      <c r="U322" s="2228">
        <f t="shared" si="17"/>
        <v>28200</v>
      </c>
      <c r="V322" s="3259"/>
      <c r="W322" s="3260"/>
      <c r="X322" s="2230">
        <f t="shared" si="18"/>
        <v>3927</v>
      </c>
      <c r="Y322" s="3260"/>
    </row>
    <row r="323" spans="8:25">
      <c r="H323" s="3253" t="s">
        <v>2116</v>
      </c>
      <c r="I323" s="3254">
        <v>151.6</v>
      </c>
      <c r="J323" s="2226" t="s">
        <v>110</v>
      </c>
      <c r="K323" s="3253" t="s">
        <v>845</v>
      </c>
      <c r="L323" s="3256">
        <v>13.09</v>
      </c>
      <c r="M323" s="3256">
        <v>13.09</v>
      </c>
      <c r="N323" s="3257">
        <v>7.5475842186274993E-4</v>
      </c>
      <c r="O323" s="3253">
        <v>10</v>
      </c>
      <c r="P323" s="3258" t="s">
        <v>997</v>
      </c>
      <c r="Q323" s="3254"/>
      <c r="R323" s="3254">
        <v>50</v>
      </c>
      <c r="S323" s="3259"/>
      <c r="T323" s="3259"/>
      <c r="U323" s="2228">
        <f t="shared" si="17"/>
        <v>7580</v>
      </c>
      <c r="V323" s="3259"/>
      <c r="W323" s="3260"/>
      <c r="X323" s="2230">
        <f t="shared" si="18"/>
        <v>654.5</v>
      </c>
      <c r="Y323" s="3260"/>
    </row>
    <row r="324" spans="8:25">
      <c r="H324" s="3253" t="s">
        <v>2117</v>
      </c>
      <c r="I324" s="3254">
        <v>189.5</v>
      </c>
      <c r="J324" s="2226" t="s">
        <v>110</v>
      </c>
      <c r="K324" s="3253" t="s">
        <v>845</v>
      </c>
      <c r="L324" s="3256">
        <v>13.09</v>
      </c>
      <c r="M324" s="3256">
        <v>13.09</v>
      </c>
      <c r="N324" s="3257">
        <v>9.4344802732843742E-4</v>
      </c>
      <c r="O324" s="3253">
        <v>10</v>
      </c>
      <c r="P324" s="3258" t="s">
        <v>997</v>
      </c>
      <c r="Q324" s="3254"/>
      <c r="R324" s="3254">
        <v>50</v>
      </c>
      <c r="S324" s="3259"/>
      <c r="T324" s="3259"/>
      <c r="U324" s="2228">
        <f t="shared" si="17"/>
        <v>9475</v>
      </c>
      <c r="V324" s="3259"/>
      <c r="W324" s="3260"/>
      <c r="X324" s="2230">
        <f t="shared" si="18"/>
        <v>654.5</v>
      </c>
      <c r="Y324" s="3260"/>
    </row>
    <row r="325" spans="8:25">
      <c r="H325" s="3253" t="s">
        <v>2118</v>
      </c>
      <c r="I325" s="3254">
        <v>151.6</v>
      </c>
      <c r="J325" s="2226" t="s">
        <v>110</v>
      </c>
      <c r="K325" s="3253" t="s">
        <v>845</v>
      </c>
      <c r="L325" s="3256">
        <v>13.09</v>
      </c>
      <c r="M325" s="3256">
        <v>13.09</v>
      </c>
      <c r="N325" s="3257">
        <v>4.5285505311764996E-3</v>
      </c>
      <c r="O325" s="3253">
        <v>10</v>
      </c>
      <c r="P325" s="3258" t="s">
        <v>997</v>
      </c>
      <c r="Q325" s="3254"/>
      <c r="R325" s="3254">
        <v>300</v>
      </c>
      <c r="S325" s="3259"/>
      <c r="T325" s="3259"/>
      <c r="U325" s="2228">
        <f t="shared" si="17"/>
        <v>45480</v>
      </c>
      <c r="V325" s="3259"/>
      <c r="W325" s="3260"/>
      <c r="X325" s="2230">
        <f t="shared" si="18"/>
        <v>3927</v>
      </c>
      <c r="Y325" s="3260"/>
    </row>
    <row r="326" spans="8:25">
      <c r="H326" s="3253" t="s">
        <v>2119</v>
      </c>
      <c r="I326" s="3254">
        <v>35</v>
      </c>
      <c r="J326" s="2226" t="s">
        <v>110</v>
      </c>
      <c r="K326" s="3253" t="s">
        <v>845</v>
      </c>
      <c r="L326" s="3256">
        <v>18.7</v>
      </c>
      <c r="M326" s="3256">
        <v>18.7</v>
      </c>
      <c r="N326" s="3257" t="s">
        <v>229</v>
      </c>
      <c r="O326" s="3253">
        <v>5</v>
      </c>
      <c r="P326" s="3258" t="s">
        <v>996</v>
      </c>
      <c r="Q326" s="3254"/>
      <c r="R326" s="3254"/>
      <c r="S326" s="3259"/>
      <c r="T326" s="3259"/>
      <c r="U326" s="2228">
        <f t="shared" si="17"/>
        <v>0</v>
      </c>
      <c r="V326" s="3259"/>
      <c r="W326" s="3260"/>
      <c r="X326" s="2230">
        <f t="shared" si="18"/>
        <v>0</v>
      </c>
      <c r="Y326" s="3260"/>
    </row>
    <row r="327" spans="8:25">
      <c r="H327" s="3253" t="s">
        <v>2120</v>
      </c>
      <c r="I327" s="3254">
        <v>78</v>
      </c>
      <c r="J327" s="2226" t="s">
        <v>110</v>
      </c>
      <c r="K327" s="3253" t="s">
        <v>845</v>
      </c>
      <c r="L327" s="3256">
        <v>18.7</v>
      </c>
      <c r="M327" s="3256">
        <v>18.7</v>
      </c>
      <c r="N327" s="3257" t="s">
        <v>229</v>
      </c>
      <c r="O327" s="3253">
        <v>5</v>
      </c>
      <c r="P327" s="3258" t="s">
        <v>996</v>
      </c>
      <c r="Q327" s="3254"/>
      <c r="R327" s="3254"/>
      <c r="S327" s="3259"/>
      <c r="T327" s="3259"/>
      <c r="U327" s="2228">
        <f t="shared" si="17"/>
        <v>0</v>
      </c>
      <c r="V327" s="3259"/>
      <c r="W327" s="3260"/>
      <c r="X327" s="2230">
        <f t="shared" si="18"/>
        <v>0</v>
      </c>
      <c r="Y327" s="3260"/>
    </row>
    <row r="328" spans="8:25">
      <c r="H328" s="3253" t="s">
        <v>2121</v>
      </c>
      <c r="I328" s="3254">
        <v>101</v>
      </c>
      <c r="J328" s="2226" t="s">
        <v>110</v>
      </c>
      <c r="K328" s="3253" t="s">
        <v>845</v>
      </c>
      <c r="L328" s="3256">
        <v>18.7</v>
      </c>
      <c r="M328" s="3256">
        <v>18.7</v>
      </c>
      <c r="N328" s="3257" t="s">
        <v>229</v>
      </c>
      <c r="O328" s="3253">
        <v>5</v>
      </c>
      <c r="P328" s="3258" t="s">
        <v>996</v>
      </c>
      <c r="Q328" s="3254"/>
      <c r="R328" s="3254"/>
      <c r="S328" s="3259"/>
      <c r="T328" s="3259"/>
      <c r="U328" s="2228">
        <f t="shared" si="17"/>
        <v>0</v>
      </c>
      <c r="V328" s="3259"/>
      <c r="W328" s="3260"/>
      <c r="X328" s="2230">
        <f t="shared" si="18"/>
        <v>0</v>
      </c>
      <c r="Y328" s="3260"/>
    </row>
    <row r="329" spans="8:25">
      <c r="H329" s="3253" t="s">
        <v>2122</v>
      </c>
      <c r="I329" s="3254">
        <v>55</v>
      </c>
      <c r="J329" s="2226" t="s">
        <v>110</v>
      </c>
      <c r="K329" s="3253" t="s">
        <v>845</v>
      </c>
      <c r="L329" s="3256">
        <v>19.68</v>
      </c>
      <c r="M329" s="3256">
        <v>19.68</v>
      </c>
      <c r="N329" s="3257">
        <v>1.3691198285768881E-3</v>
      </c>
      <c r="O329" s="3253">
        <v>5</v>
      </c>
      <c r="P329" s="3258" t="s">
        <v>996</v>
      </c>
      <c r="Q329" s="3254"/>
      <c r="R329" s="3254">
        <v>250</v>
      </c>
      <c r="S329" s="3259"/>
      <c r="T329" s="3259"/>
      <c r="U329" s="2228">
        <f t="shared" si="17"/>
        <v>13750</v>
      </c>
      <c r="V329" s="3259"/>
      <c r="W329" s="3260"/>
      <c r="X329" s="2230">
        <f t="shared" si="18"/>
        <v>4920</v>
      </c>
      <c r="Y329" s="3260"/>
    </row>
    <row r="330" spans="8:25">
      <c r="H330" s="3253" t="s">
        <v>2123</v>
      </c>
      <c r="I330" s="3254">
        <v>123</v>
      </c>
      <c r="J330" s="2226" t="s">
        <v>110</v>
      </c>
      <c r="K330" s="3253" t="s">
        <v>845</v>
      </c>
      <c r="L330" s="3256">
        <v>19.68</v>
      </c>
      <c r="M330" s="3256">
        <v>19.68</v>
      </c>
      <c r="N330" s="3257" t="s">
        <v>229</v>
      </c>
      <c r="O330" s="3253">
        <v>5</v>
      </c>
      <c r="P330" s="3258" t="s">
        <v>996</v>
      </c>
      <c r="Q330" s="3254"/>
      <c r="R330" s="3254"/>
      <c r="S330" s="3259"/>
      <c r="T330" s="3259"/>
      <c r="U330" s="2228">
        <f t="shared" si="17"/>
        <v>0</v>
      </c>
      <c r="V330" s="3259"/>
      <c r="W330" s="3260"/>
      <c r="X330" s="2230">
        <f t="shared" si="18"/>
        <v>0</v>
      </c>
      <c r="Y330" s="3260"/>
    </row>
    <row r="331" spans="8:25">
      <c r="H331" s="3253" t="s">
        <v>2124</v>
      </c>
      <c r="I331" s="3254">
        <v>159</v>
      </c>
      <c r="J331" s="2226" t="s">
        <v>110</v>
      </c>
      <c r="K331" s="3253" t="s">
        <v>845</v>
      </c>
      <c r="L331" s="3256">
        <v>19.68</v>
      </c>
      <c r="M331" s="3256">
        <v>19.68</v>
      </c>
      <c r="N331" s="3257" t="s">
        <v>229</v>
      </c>
      <c r="O331" s="3253">
        <v>5</v>
      </c>
      <c r="P331" s="3258" t="s">
        <v>996</v>
      </c>
      <c r="Q331" s="3254"/>
      <c r="R331" s="3254"/>
      <c r="S331" s="3259"/>
      <c r="T331" s="3259"/>
      <c r="U331" s="2228">
        <f t="shared" si="17"/>
        <v>0</v>
      </c>
      <c r="V331" s="3259"/>
      <c r="W331" s="3260"/>
      <c r="X331" s="2230">
        <f t="shared" si="18"/>
        <v>0</v>
      </c>
      <c r="Y331" s="3260"/>
    </row>
    <row r="332" spans="8:25">
      <c r="H332" s="3253" t="s">
        <v>2125</v>
      </c>
      <c r="I332" s="3254">
        <v>25</v>
      </c>
      <c r="J332" s="2226" t="s">
        <v>110</v>
      </c>
      <c r="K332" s="3253" t="s">
        <v>845</v>
      </c>
      <c r="L332" s="3256">
        <v>21.07</v>
      </c>
      <c r="M332" s="3256">
        <v>21.07</v>
      </c>
      <c r="N332" s="3257" t="s">
        <v>229</v>
      </c>
      <c r="O332" s="3253">
        <v>5</v>
      </c>
      <c r="P332" s="3258" t="s">
        <v>996</v>
      </c>
      <c r="Q332" s="3254"/>
      <c r="R332" s="3254"/>
      <c r="S332" s="3259"/>
      <c r="T332" s="3259"/>
      <c r="U332" s="2228">
        <f t="shared" si="17"/>
        <v>0</v>
      </c>
      <c r="V332" s="3259"/>
      <c r="W332" s="3260"/>
      <c r="X332" s="2230">
        <f t="shared" si="18"/>
        <v>0</v>
      </c>
      <c r="Y332" s="3260"/>
    </row>
    <row r="333" spans="8:25">
      <c r="H333" s="3253" t="s">
        <v>2126</v>
      </c>
      <c r="I333" s="3254">
        <v>56</v>
      </c>
      <c r="J333" s="2226" t="s">
        <v>110</v>
      </c>
      <c r="K333" s="3253" t="s">
        <v>845</v>
      </c>
      <c r="L333" s="3256">
        <v>21.07</v>
      </c>
      <c r="M333" s="3256">
        <v>21.07</v>
      </c>
      <c r="N333" s="3257" t="s">
        <v>229</v>
      </c>
      <c r="O333" s="3253">
        <v>5</v>
      </c>
      <c r="P333" s="3258" t="s">
        <v>996</v>
      </c>
      <c r="Q333" s="3254"/>
      <c r="R333" s="3254"/>
      <c r="S333" s="3259"/>
      <c r="T333" s="3259"/>
      <c r="U333" s="2228">
        <f t="shared" si="17"/>
        <v>0</v>
      </c>
      <c r="V333" s="3259"/>
      <c r="W333" s="3260"/>
      <c r="X333" s="2230">
        <f t="shared" si="18"/>
        <v>0</v>
      </c>
      <c r="Y333" s="3260"/>
    </row>
    <row r="334" spans="8:25">
      <c r="H334" s="3253" t="s">
        <v>2127</v>
      </c>
      <c r="I334" s="3254">
        <v>73</v>
      </c>
      <c r="J334" s="2226" t="s">
        <v>110</v>
      </c>
      <c r="K334" s="3253" t="s">
        <v>845</v>
      </c>
      <c r="L334" s="3256">
        <v>21.07</v>
      </c>
      <c r="M334" s="3256">
        <v>21.07</v>
      </c>
      <c r="N334" s="3257" t="s">
        <v>229</v>
      </c>
      <c r="O334" s="3253">
        <v>5</v>
      </c>
      <c r="P334" s="3258" t="s">
        <v>996</v>
      </c>
      <c r="Q334" s="3254"/>
      <c r="R334" s="3254"/>
      <c r="S334" s="3259"/>
      <c r="T334" s="3259"/>
      <c r="U334" s="2228">
        <f t="shared" si="17"/>
        <v>0</v>
      </c>
      <c r="V334" s="3259"/>
      <c r="W334" s="3260"/>
      <c r="X334" s="2230">
        <f t="shared" si="18"/>
        <v>0</v>
      </c>
      <c r="Y334" s="3260"/>
    </row>
    <row r="335" spans="8:25">
      <c r="H335" s="3253" t="s">
        <v>2128</v>
      </c>
      <c r="I335" s="3254">
        <v>35</v>
      </c>
      <c r="J335" s="2226" t="s">
        <v>110</v>
      </c>
      <c r="K335" s="3253" t="s">
        <v>845</v>
      </c>
      <c r="L335" s="3256">
        <v>27.69</v>
      </c>
      <c r="M335" s="3256">
        <v>27.69</v>
      </c>
      <c r="N335" s="3257">
        <v>2.265270989099942E-4</v>
      </c>
      <c r="O335" s="3253">
        <v>3</v>
      </c>
      <c r="P335" s="3258" t="s">
        <v>996</v>
      </c>
      <c r="Q335" s="3254"/>
      <c r="R335" s="3254">
        <v>65</v>
      </c>
      <c r="S335" s="3259"/>
      <c r="T335" s="3259"/>
      <c r="U335" s="2228">
        <f t="shared" si="17"/>
        <v>2275</v>
      </c>
      <c r="V335" s="3259"/>
      <c r="W335" s="3260"/>
      <c r="X335" s="2230">
        <f t="shared" si="18"/>
        <v>1799.8500000000001</v>
      </c>
      <c r="Y335" s="3260"/>
    </row>
    <row r="336" spans="8:25">
      <c r="H336" s="3253" t="s">
        <v>2129</v>
      </c>
      <c r="I336" s="3254">
        <v>79</v>
      </c>
      <c r="J336" s="2226" t="s">
        <v>110</v>
      </c>
      <c r="K336" s="3253" t="s">
        <v>845</v>
      </c>
      <c r="L336" s="3256">
        <v>27.69</v>
      </c>
      <c r="M336" s="3256">
        <v>27.69</v>
      </c>
      <c r="N336" s="3257">
        <v>1.5732431484738059E-4</v>
      </c>
      <c r="O336" s="3253">
        <v>3</v>
      </c>
      <c r="P336" s="3258" t="s">
        <v>996</v>
      </c>
      <c r="Q336" s="3254"/>
      <c r="R336" s="3254">
        <v>20</v>
      </c>
      <c r="S336" s="3259"/>
      <c r="T336" s="3259"/>
      <c r="U336" s="2228">
        <f t="shared" ref="U336:U360" si="19">I336*R336</f>
        <v>1580</v>
      </c>
      <c r="V336" s="3259"/>
      <c r="W336" s="3260"/>
      <c r="X336" s="2230">
        <f t="shared" ref="X336:X360" si="20">M336*R336</f>
        <v>553.80000000000007</v>
      </c>
      <c r="Y336" s="3260"/>
    </row>
    <row r="337" spans="8:25">
      <c r="H337" s="3253" t="s">
        <v>2130</v>
      </c>
      <c r="I337" s="3254">
        <v>102</v>
      </c>
      <c r="J337" s="2226" t="s">
        <v>110</v>
      </c>
      <c r="K337" s="3253" t="s">
        <v>845</v>
      </c>
      <c r="L337" s="3256">
        <v>27.69</v>
      </c>
      <c r="M337" s="3256">
        <v>27.69</v>
      </c>
      <c r="N337" s="3257">
        <v>2.0312759638522557E-4</v>
      </c>
      <c r="O337" s="3253">
        <v>3</v>
      </c>
      <c r="P337" s="3258" t="s">
        <v>996</v>
      </c>
      <c r="Q337" s="3254"/>
      <c r="R337" s="3254">
        <v>20</v>
      </c>
      <c r="S337" s="3259"/>
      <c r="T337" s="3259"/>
      <c r="U337" s="2228">
        <f t="shared" si="19"/>
        <v>2040</v>
      </c>
      <c r="V337" s="3259"/>
      <c r="W337" s="3260"/>
      <c r="X337" s="2230">
        <f t="shared" si="20"/>
        <v>553.80000000000007</v>
      </c>
      <c r="Y337" s="3260"/>
    </row>
    <row r="338" spans="8:25">
      <c r="H338" s="3253" t="s">
        <v>2131</v>
      </c>
      <c r="I338" s="3254">
        <v>47</v>
      </c>
      <c r="J338" s="2226" t="s">
        <v>110</v>
      </c>
      <c r="K338" s="3253" t="s">
        <v>845</v>
      </c>
      <c r="L338" s="3256">
        <v>32.409999999999997</v>
      </c>
      <c r="M338" s="3256">
        <v>32.409999999999997</v>
      </c>
      <c r="N338" s="3257">
        <v>1.1699751262384316E-4</v>
      </c>
      <c r="O338" s="3253">
        <v>5</v>
      </c>
      <c r="P338" s="3258" t="s">
        <v>996</v>
      </c>
      <c r="Q338" s="3254"/>
      <c r="R338" s="3254">
        <v>25</v>
      </c>
      <c r="S338" s="3259"/>
      <c r="T338" s="3259"/>
      <c r="U338" s="2228">
        <f t="shared" si="19"/>
        <v>1175</v>
      </c>
      <c r="V338" s="3259"/>
      <c r="W338" s="3260"/>
      <c r="X338" s="2230">
        <f t="shared" si="20"/>
        <v>810.24999999999989</v>
      </c>
      <c r="Y338" s="3260"/>
    </row>
    <row r="339" spans="8:25">
      <c r="H339" s="3253" t="s">
        <v>2132</v>
      </c>
      <c r="I339" s="3254">
        <v>103</v>
      </c>
      <c r="J339" s="2226" t="s">
        <v>110</v>
      </c>
      <c r="K339" s="3253" t="s">
        <v>845</v>
      </c>
      <c r="L339" s="3256">
        <v>32.409999999999997</v>
      </c>
      <c r="M339" s="3256">
        <v>32.409999999999997</v>
      </c>
      <c r="N339" s="3257">
        <v>1.0255952170430507E-4</v>
      </c>
      <c r="O339" s="3253">
        <v>5</v>
      </c>
      <c r="P339" s="3258" t="s">
        <v>996</v>
      </c>
      <c r="Q339" s="3254"/>
      <c r="R339" s="3254">
        <v>10</v>
      </c>
      <c r="S339" s="3259"/>
      <c r="T339" s="3259"/>
      <c r="U339" s="2228">
        <f t="shared" si="19"/>
        <v>1030</v>
      </c>
      <c r="V339" s="3259"/>
      <c r="W339" s="3260"/>
      <c r="X339" s="2230">
        <f t="shared" si="20"/>
        <v>324.09999999999997</v>
      </c>
      <c r="Y339" s="3260"/>
    </row>
    <row r="340" spans="8:25">
      <c r="H340" s="3253" t="s">
        <v>2133</v>
      </c>
      <c r="I340" s="3254">
        <v>134</v>
      </c>
      <c r="J340" s="2226" t="s">
        <v>110</v>
      </c>
      <c r="K340" s="3253" t="s">
        <v>845</v>
      </c>
      <c r="L340" s="3256">
        <v>32.409999999999997</v>
      </c>
      <c r="M340" s="3256">
        <v>32.409999999999997</v>
      </c>
      <c r="N340" s="3257" t="s">
        <v>229</v>
      </c>
      <c r="O340" s="3253">
        <v>5</v>
      </c>
      <c r="P340" s="3258" t="s">
        <v>996</v>
      </c>
      <c r="Q340" s="3254"/>
      <c r="R340" s="3254"/>
      <c r="S340" s="3259"/>
      <c r="T340" s="3259"/>
      <c r="U340" s="2228">
        <f t="shared" si="19"/>
        <v>0</v>
      </c>
      <c r="V340" s="3259"/>
      <c r="W340" s="3260"/>
      <c r="X340" s="2230">
        <f t="shared" si="20"/>
        <v>0</v>
      </c>
      <c r="Y340" s="3260"/>
    </row>
    <row r="341" spans="8:25">
      <c r="H341" s="3253" t="s">
        <v>2134</v>
      </c>
      <c r="I341" s="3254">
        <v>66</v>
      </c>
      <c r="J341" s="2226" t="s">
        <v>110</v>
      </c>
      <c r="K341" s="3253" t="s">
        <v>845</v>
      </c>
      <c r="L341" s="3256">
        <v>36.68</v>
      </c>
      <c r="M341" s="3256">
        <v>36.68</v>
      </c>
      <c r="N341" s="3257" t="s">
        <v>229</v>
      </c>
      <c r="O341" s="3253">
        <v>5</v>
      </c>
      <c r="P341" s="3258" t="s">
        <v>996</v>
      </c>
      <c r="Q341" s="3254"/>
      <c r="R341" s="3254"/>
      <c r="S341" s="3259"/>
      <c r="T341" s="3259"/>
      <c r="U341" s="2228">
        <f t="shared" si="19"/>
        <v>0</v>
      </c>
      <c r="V341" s="3259"/>
      <c r="W341" s="3260"/>
      <c r="X341" s="2230">
        <f t="shared" si="20"/>
        <v>0</v>
      </c>
      <c r="Y341" s="3260"/>
    </row>
    <row r="342" spans="8:25">
      <c r="H342" s="3253" t="s">
        <v>2135</v>
      </c>
      <c r="I342" s="3254">
        <v>147</v>
      </c>
      <c r="J342" s="2226" t="s">
        <v>110</v>
      </c>
      <c r="K342" s="3253" t="s">
        <v>845</v>
      </c>
      <c r="L342" s="3256">
        <v>36.68</v>
      </c>
      <c r="M342" s="3256">
        <v>36.68</v>
      </c>
      <c r="N342" s="3257" t="s">
        <v>229</v>
      </c>
      <c r="O342" s="3253">
        <v>5</v>
      </c>
      <c r="P342" s="3258" t="s">
        <v>996</v>
      </c>
      <c r="Q342" s="3254"/>
      <c r="R342" s="3254"/>
      <c r="S342" s="3259"/>
      <c r="T342" s="3259"/>
      <c r="U342" s="2228">
        <f t="shared" si="19"/>
        <v>0</v>
      </c>
      <c r="V342" s="3259"/>
      <c r="W342" s="3260"/>
      <c r="X342" s="2230">
        <f t="shared" si="20"/>
        <v>0</v>
      </c>
      <c r="Y342" s="3260"/>
    </row>
    <row r="343" spans="8:25">
      <c r="H343" s="3253" t="s">
        <v>2136</v>
      </c>
      <c r="I343" s="3254">
        <v>192</v>
      </c>
      <c r="J343" s="2226" t="s">
        <v>110</v>
      </c>
      <c r="K343" s="3253" t="s">
        <v>845</v>
      </c>
      <c r="L343" s="3256">
        <v>36.68</v>
      </c>
      <c r="M343" s="3256">
        <v>36.68</v>
      </c>
      <c r="N343" s="3257" t="s">
        <v>229</v>
      </c>
      <c r="O343" s="3253">
        <v>5</v>
      </c>
      <c r="P343" s="3258" t="s">
        <v>996</v>
      </c>
      <c r="Q343" s="3254"/>
      <c r="R343" s="3254"/>
      <c r="S343" s="3259"/>
      <c r="T343" s="3259"/>
      <c r="U343" s="2228">
        <f t="shared" si="19"/>
        <v>0</v>
      </c>
      <c r="V343" s="3259"/>
      <c r="W343" s="3260"/>
      <c r="X343" s="2230">
        <f t="shared" si="20"/>
        <v>0</v>
      </c>
      <c r="Y343" s="3260"/>
    </row>
    <row r="344" spans="8:25">
      <c r="H344" s="3253" t="s">
        <v>2137</v>
      </c>
      <c r="I344" s="3254">
        <v>57</v>
      </c>
      <c r="J344" s="2226" t="s">
        <v>110</v>
      </c>
      <c r="K344" s="3253" t="s">
        <v>845</v>
      </c>
      <c r="L344" s="3256">
        <v>50.64</v>
      </c>
      <c r="M344" s="3256">
        <v>50.64</v>
      </c>
      <c r="N344" s="3257" t="s">
        <v>229</v>
      </c>
      <c r="O344" s="3253">
        <v>5</v>
      </c>
      <c r="P344" s="3258" t="s">
        <v>996</v>
      </c>
      <c r="Q344" s="3254"/>
      <c r="R344" s="3254"/>
      <c r="S344" s="3259"/>
      <c r="T344" s="3259"/>
      <c r="U344" s="2228">
        <f t="shared" si="19"/>
        <v>0</v>
      </c>
      <c r="V344" s="3259"/>
      <c r="W344" s="3260"/>
      <c r="X344" s="2230">
        <f t="shared" si="20"/>
        <v>0</v>
      </c>
      <c r="Y344" s="3260"/>
    </row>
    <row r="345" spans="8:25">
      <c r="H345" s="3253" t="s">
        <v>2138</v>
      </c>
      <c r="I345" s="3254">
        <v>126</v>
      </c>
      <c r="J345" s="2226" t="s">
        <v>110</v>
      </c>
      <c r="K345" s="3253" t="s">
        <v>845</v>
      </c>
      <c r="L345" s="3256">
        <v>50.64</v>
      </c>
      <c r="M345" s="3256">
        <v>50.64</v>
      </c>
      <c r="N345" s="3257" t="s">
        <v>229</v>
      </c>
      <c r="O345" s="3253">
        <v>5</v>
      </c>
      <c r="P345" s="3258" t="s">
        <v>996</v>
      </c>
      <c r="Q345" s="3254"/>
      <c r="R345" s="3254"/>
      <c r="S345" s="3259"/>
      <c r="T345" s="3259"/>
      <c r="U345" s="2228">
        <f t="shared" si="19"/>
        <v>0</v>
      </c>
      <c r="V345" s="3259"/>
      <c r="W345" s="3260"/>
      <c r="X345" s="2230">
        <f t="shared" si="20"/>
        <v>0</v>
      </c>
      <c r="Y345" s="3260"/>
    </row>
    <row r="346" spans="8:25">
      <c r="H346" s="3253" t="s">
        <v>2139</v>
      </c>
      <c r="I346" s="3254">
        <v>163</v>
      </c>
      <c r="J346" s="2226" t="s">
        <v>110</v>
      </c>
      <c r="K346" s="3253" t="s">
        <v>845</v>
      </c>
      <c r="L346" s="3256">
        <v>50.64</v>
      </c>
      <c r="M346" s="3256">
        <v>50.64</v>
      </c>
      <c r="N346" s="3257" t="s">
        <v>229</v>
      </c>
      <c r="O346" s="3253">
        <v>5</v>
      </c>
      <c r="P346" s="3258" t="s">
        <v>996</v>
      </c>
      <c r="Q346" s="3254"/>
      <c r="R346" s="3254"/>
      <c r="S346" s="3259"/>
      <c r="T346" s="3259"/>
      <c r="U346" s="2228">
        <f t="shared" si="19"/>
        <v>0</v>
      </c>
      <c r="V346" s="3259"/>
      <c r="W346" s="3260"/>
      <c r="X346" s="2230">
        <f t="shared" si="20"/>
        <v>0</v>
      </c>
      <c r="Y346" s="3260"/>
    </row>
    <row r="347" spans="8:25">
      <c r="H347" s="3253" t="s">
        <v>2140</v>
      </c>
      <c r="I347" s="3254">
        <v>76</v>
      </c>
      <c r="J347" s="2226" t="s">
        <v>110</v>
      </c>
      <c r="K347" s="3253" t="s">
        <v>845</v>
      </c>
      <c r="L347" s="3256">
        <v>52.35</v>
      </c>
      <c r="M347" s="3256">
        <v>52.35</v>
      </c>
      <c r="N347" s="3257" t="s">
        <v>229</v>
      </c>
      <c r="O347" s="3253">
        <v>5</v>
      </c>
      <c r="P347" s="3258" t="s">
        <v>996</v>
      </c>
      <c r="Q347" s="3254"/>
      <c r="R347" s="3254"/>
      <c r="S347" s="3259"/>
      <c r="T347" s="3259"/>
      <c r="U347" s="2228">
        <f t="shared" si="19"/>
        <v>0</v>
      </c>
      <c r="V347" s="3259"/>
      <c r="W347" s="3260"/>
      <c r="X347" s="2230">
        <f t="shared" si="20"/>
        <v>0</v>
      </c>
      <c r="Y347" s="3260"/>
    </row>
    <row r="348" spans="8:25">
      <c r="H348" s="3253" t="s">
        <v>2141</v>
      </c>
      <c r="I348" s="3254">
        <v>170</v>
      </c>
      <c r="J348" s="2226" t="s">
        <v>110</v>
      </c>
      <c r="K348" s="3253" t="s">
        <v>845</v>
      </c>
      <c r="L348" s="3256">
        <v>52.35</v>
      </c>
      <c r="M348" s="3256">
        <v>52.35</v>
      </c>
      <c r="N348" s="3257" t="s">
        <v>229</v>
      </c>
      <c r="O348" s="3253">
        <v>5</v>
      </c>
      <c r="P348" s="3258" t="s">
        <v>996</v>
      </c>
      <c r="Q348" s="3254"/>
      <c r="R348" s="3254"/>
      <c r="S348" s="3259"/>
      <c r="T348" s="3259"/>
      <c r="U348" s="2228">
        <f t="shared" si="19"/>
        <v>0</v>
      </c>
      <c r="V348" s="3259"/>
      <c r="W348" s="3260"/>
      <c r="X348" s="2230">
        <f t="shared" si="20"/>
        <v>0</v>
      </c>
      <c r="Y348" s="3260"/>
    </row>
    <row r="349" spans="8:25">
      <c r="H349" s="3253" t="s">
        <v>2142</v>
      </c>
      <c r="I349" s="3254">
        <v>221</v>
      </c>
      <c r="J349" s="2226" t="s">
        <v>110</v>
      </c>
      <c r="K349" s="3253" t="s">
        <v>845</v>
      </c>
      <c r="L349" s="3256">
        <v>52.35</v>
      </c>
      <c r="M349" s="3256">
        <v>52.35</v>
      </c>
      <c r="N349" s="3257" t="s">
        <v>229</v>
      </c>
      <c r="O349" s="3253">
        <v>5</v>
      </c>
      <c r="P349" s="3258" t="s">
        <v>996</v>
      </c>
      <c r="Q349" s="3254"/>
      <c r="R349" s="3254"/>
      <c r="S349" s="3259"/>
      <c r="T349" s="3259"/>
      <c r="U349" s="2228">
        <f t="shared" si="19"/>
        <v>0</v>
      </c>
      <c r="V349" s="3259"/>
      <c r="W349" s="3260"/>
      <c r="X349" s="2230">
        <f t="shared" si="20"/>
        <v>0</v>
      </c>
      <c r="Y349" s="3260"/>
    </row>
    <row r="350" spans="8:25">
      <c r="H350" s="3253" t="s">
        <v>2143</v>
      </c>
      <c r="I350" s="3254">
        <v>62</v>
      </c>
      <c r="J350" s="2226" t="s">
        <v>110</v>
      </c>
      <c r="K350" s="3253" t="s">
        <v>845</v>
      </c>
      <c r="L350" s="3256">
        <v>106.68</v>
      </c>
      <c r="M350" s="3256">
        <v>106.68</v>
      </c>
      <c r="N350" s="3257" t="s">
        <v>229</v>
      </c>
      <c r="O350" s="3253">
        <v>12</v>
      </c>
      <c r="P350" s="3258" t="s">
        <v>996</v>
      </c>
      <c r="Q350" s="3254"/>
      <c r="R350" s="3254"/>
      <c r="S350" s="3259"/>
      <c r="T350" s="3259"/>
      <c r="U350" s="2228">
        <f t="shared" si="19"/>
        <v>0</v>
      </c>
      <c r="V350" s="3259"/>
      <c r="W350" s="3260"/>
      <c r="X350" s="2230">
        <f t="shared" si="20"/>
        <v>0</v>
      </c>
      <c r="Y350" s="3260"/>
    </row>
    <row r="351" spans="8:25">
      <c r="H351" s="3253" t="s">
        <v>2144</v>
      </c>
      <c r="I351" s="3254">
        <v>138</v>
      </c>
      <c r="J351" s="2226" t="s">
        <v>110</v>
      </c>
      <c r="K351" s="3253" t="s">
        <v>845</v>
      </c>
      <c r="L351" s="3256">
        <v>106.68</v>
      </c>
      <c r="M351" s="3256">
        <v>106.68</v>
      </c>
      <c r="N351" s="3257" t="s">
        <v>229</v>
      </c>
      <c r="O351" s="3253">
        <v>12</v>
      </c>
      <c r="P351" s="3258" t="s">
        <v>996</v>
      </c>
      <c r="Q351" s="3254"/>
      <c r="R351" s="3254"/>
      <c r="S351" s="3259"/>
      <c r="T351" s="3259"/>
      <c r="U351" s="2228">
        <f t="shared" si="19"/>
        <v>0</v>
      </c>
      <c r="V351" s="3259"/>
      <c r="W351" s="3260"/>
      <c r="X351" s="2230">
        <f t="shared" si="20"/>
        <v>0</v>
      </c>
      <c r="Y351" s="3260"/>
    </row>
    <row r="352" spans="8:25">
      <c r="H352" s="3253" t="s">
        <v>2145</v>
      </c>
      <c r="I352" s="3254">
        <v>180</v>
      </c>
      <c r="J352" s="2226" t="s">
        <v>110</v>
      </c>
      <c r="K352" s="3253" t="s">
        <v>845</v>
      </c>
      <c r="L352" s="3256">
        <v>106.68</v>
      </c>
      <c r="M352" s="3256">
        <v>106.68</v>
      </c>
      <c r="N352" s="3257" t="s">
        <v>229</v>
      </c>
      <c r="O352" s="3253">
        <v>12</v>
      </c>
      <c r="P352" s="3258" t="s">
        <v>996</v>
      </c>
      <c r="Q352" s="3254"/>
      <c r="R352" s="3254"/>
      <c r="S352" s="3259"/>
      <c r="T352" s="3259"/>
      <c r="U352" s="2228">
        <f t="shared" si="19"/>
        <v>0</v>
      </c>
      <c r="V352" s="3259"/>
      <c r="W352" s="3260"/>
      <c r="X352" s="2230">
        <f t="shared" si="20"/>
        <v>0</v>
      </c>
      <c r="Y352" s="3260"/>
    </row>
    <row r="353" spans="8:27">
      <c r="H353" s="3253" t="s">
        <v>2146</v>
      </c>
      <c r="I353" s="3254">
        <v>280</v>
      </c>
      <c r="J353" s="2226" t="s">
        <v>110</v>
      </c>
      <c r="K353" s="3253" t="s">
        <v>845</v>
      </c>
      <c r="L353" s="3256">
        <v>106.68</v>
      </c>
      <c r="M353" s="3256">
        <v>106.68</v>
      </c>
      <c r="N353" s="3257" t="s">
        <v>229</v>
      </c>
      <c r="O353" s="3253">
        <v>12</v>
      </c>
      <c r="P353" s="3258" t="s">
        <v>996</v>
      </c>
      <c r="Q353" s="3254"/>
      <c r="R353" s="3254"/>
      <c r="S353" s="3259"/>
      <c r="T353" s="3259"/>
      <c r="U353" s="2228">
        <f t="shared" si="19"/>
        <v>0</v>
      </c>
      <c r="V353" s="3259"/>
      <c r="W353" s="3260"/>
      <c r="X353" s="2230">
        <f t="shared" si="20"/>
        <v>0</v>
      </c>
      <c r="Y353" s="3260"/>
    </row>
    <row r="354" spans="8:27">
      <c r="H354" s="3253" t="s">
        <v>2147</v>
      </c>
      <c r="I354" s="3254">
        <v>103</v>
      </c>
      <c r="J354" s="2226" t="s">
        <v>110</v>
      </c>
      <c r="K354" s="3253" t="s">
        <v>845</v>
      </c>
      <c r="L354" s="3256">
        <v>106.68</v>
      </c>
      <c r="M354" s="3256">
        <v>106.68</v>
      </c>
      <c r="N354" s="3257" t="s">
        <v>229</v>
      </c>
      <c r="O354" s="3253">
        <v>12</v>
      </c>
      <c r="P354" s="3258" t="s">
        <v>996</v>
      </c>
      <c r="Q354" s="3254"/>
      <c r="R354" s="3254"/>
      <c r="S354" s="3259"/>
      <c r="T354" s="3259"/>
      <c r="U354" s="2228">
        <f t="shared" si="19"/>
        <v>0</v>
      </c>
      <c r="V354" s="3259"/>
      <c r="W354" s="3260"/>
      <c r="X354" s="2230">
        <f t="shared" si="20"/>
        <v>0</v>
      </c>
      <c r="Y354" s="3260"/>
    </row>
    <row r="355" spans="8:27">
      <c r="H355" s="3253" t="s">
        <v>2148</v>
      </c>
      <c r="I355" s="3254">
        <v>77</v>
      </c>
      <c r="J355" s="2226" t="s">
        <v>110</v>
      </c>
      <c r="K355" s="3253" t="s">
        <v>845</v>
      </c>
      <c r="L355" s="3256">
        <v>106.68</v>
      </c>
      <c r="M355" s="3256">
        <v>106.68</v>
      </c>
      <c r="N355" s="3257" t="s">
        <v>229</v>
      </c>
      <c r="O355" s="3253">
        <v>12</v>
      </c>
      <c r="P355" s="3258" t="s">
        <v>996</v>
      </c>
      <c r="Q355" s="3254"/>
      <c r="R355" s="3254"/>
      <c r="S355" s="3259"/>
      <c r="T355" s="3259"/>
      <c r="U355" s="2228">
        <f t="shared" si="19"/>
        <v>0</v>
      </c>
      <c r="V355" s="3259"/>
      <c r="W355" s="3260"/>
      <c r="X355" s="2230">
        <f t="shared" si="20"/>
        <v>0</v>
      </c>
      <c r="Y355" s="3260"/>
    </row>
    <row r="356" spans="8:27">
      <c r="H356" s="3253" t="s">
        <v>2149</v>
      </c>
      <c r="I356" s="3254">
        <v>151</v>
      </c>
      <c r="J356" s="2226" t="s">
        <v>110</v>
      </c>
      <c r="K356" s="3253" t="s">
        <v>845</v>
      </c>
      <c r="L356" s="3256">
        <v>106.68</v>
      </c>
      <c r="M356" s="3256">
        <v>106.68</v>
      </c>
      <c r="N356" s="3257" t="s">
        <v>229</v>
      </c>
      <c r="O356" s="3253">
        <v>12</v>
      </c>
      <c r="P356" s="3258" t="s">
        <v>996</v>
      </c>
      <c r="Q356" s="3254"/>
      <c r="R356" s="3254"/>
      <c r="S356" s="3259"/>
      <c r="T356" s="3259"/>
      <c r="U356" s="2228">
        <f t="shared" si="19"/>
        <v>0</v>
      </c>
      <c r="V356" s="3259"/>
      <c r="W356" s="3260"/>
      <c r="X356" s="2230">
        <f t="shared" si="20"/>
        <v>0</v>
      </c>
      <c r="Y356" s="3260"/>
    </row>
    <row r="357" spans="8:27">
      <c r="H357" s="3253" t="s">
        <v>2150</v>
      </c>
      <c r="I357" s="3254">
        <v>123</v>
      </c>
      <c r="J357" s="2226" t="s">
        <v>110</v>
      </c>
      <c r="K357" s="3253" t="s">
        <v>845</v>
      </c>
      <c r="L357" s="3256">
        <v>106.68</v>
      </c>
      <c r="M357" s="3256">
        <v>106.68</v>
      </c>
      <c r="N357" s="3257" t="s">
        <v>229</v>
      </c>
      <c r="O357" s="3253">
        <v>12</v>
      </c>
      <c r="P357" s="3258" t="s">
        <v>996</v>
      </c>
      <c r="Q357" s="3254"/>
      <c r="R357" s="3254"/>
      <c r="S357" s="3259"/>
      <c r="T357" s="3259"/>
      <c r="U357" s="2228">
        <f t="shared" si="19"/>
        <v>0</v>
      </c>
      <c r="V357" s="3259"/>
      <c r="W357" s="3260"/>
      <c r="X357" s="2230">
        <f t="shared" si="20"/>
        <v>0</v>
      </c>
      <c r="Y357" s="3260"/>
    </row>
    <row r="358" spans="8:27">
      <c r="H358" s="3253" t="s">
        <v>2151</v>
      </c>
      <c r="I358" s="3254">
        <v>113</v>
      </c>
      <c r="J358" s="2226" t="s">
        <v>110</v>
      </c>
      <c r="K358" s="3253" t="s">
        <v>845</v>
      </c>
      <c r="L358" s="3256">
        <v>106.68</v>
      </c>
      <c r="M358" s="3256">
        <v>106.68</v>
      </c>
      <c r="N358" s="3257" t="s">
        <v>229</v>
      </c>
      <c r="O358" s="3253">
        <v>12</v>
      </c>
      <c r="P358" s="3258" t="s">
        <v>996</v>
      </c>
      <c r="Q358" s="3254"/>
      <c r="R358" s="3254"/>
      <c r="S358" s="3259"/>
      <c r="T358" s="3259"/>
      <c r="U358" s="2228">
        <f t="shared" si="19"/>
        <v>0</v>
      </c>
      <c r="V358" s="3259"/>
      <c r="W358" s="3260"/>
      <c r="X358" s="2230">
        <f t="shared" si="20"/>
        <v>0</v>
      </c>
      <c r="Y358" s="3260"/>
    </row>
    <row r="359" spans="8:27">
      <c r="H359" s="3253" t="s">
        <v>2152</v>
      </c>
      <c r="I359" s="3254">
        <v>78</v>
      </c>
      <c r="J359" s="2226" t="s">
        <v>110</v>
      </c>
      <c r="K359" s="3253" t="s">
        <v>845</v>
      </c>
      <c r="L359" s="3256">
        <v>106.68</v>
      </c>
      <c r="M359" s="3256">
        <v>106.68</v>
      </c>
      <c r="N359" s="3257" t="s">
        <v>229</v>
      </c>
      <c r="O359" s="3253">
        <v>12</v>
      </c>
      <c r="P359" s="3258" t="s">
        <v>996</v>
      </c>
      <c r="Q359" s="3254"/>
      <c r="R359" s="3254"/>
      <c r="S359" s="3259"/>
      <c r="T359" s="3259"/>
      <c r="U359" s="2228">
        <f t="shared" si="19"/>
        <v>0</v>
      </c>
      <c r="V359" s="3259"/>
      <c r="W359" s="3260"/>
      <c r="X359" s="2230">
        <f t="shared" si="20"/>
        <v>0</v>
      </c>
      <c r="Y359" s="3260"/>
    </row>
    <row r="360" spans="8:27">
      <c r="H360" s="3253" t="s">
        <v>2153</v>
      </c>
      <c r="I360" s="3254">
        <v>81</v>
      </c>
      <c r="J360" s="2226" t="s">
        <v>110</v>
      </c>
      <c r="K360" s="3253" t="s">
        <v>845</v>
      </c>
      <c r="L360" s="3256">
        <v>106.68</v>
      </c>
      <c r="M360" s="3256">
        <v>106.68</v>
      </c>
      <c r="N360" s="3257" t="s">
        <v>229</v>
      </c>
      <c r="O360" s="3253">
        <v>12</v>
      </c>
      <c r="P360" s="3258" t="s">
        <v>996</v>
      </c>
      <c r="Q360" s="3254"/>
      <c r="R360" s="3254"/>
      <c r="S360" s="3259"/>
      <c r="T360" s="3259"/>
      <c r="U360" s="2228">
        <f t="shared" si="19"/>
        <v>0</v>
      </c>
      <c r="V360" s="3259"/>
      <c r="W360" s="3260"/>
      <c r="X360" s="2230">
        <f t="shared" si="20"/>
        <v>0</v>
      </c>
      <c r="Y360" s="3260"/>
    </row>
    <row r="361" spans="8:27">
      <c r="H361" s="3253"/>
      <c r="I361" s="3254"/>
      <c r="J361" s="3255"/>
      <c r="K361" s="3253"/>
      <c r="L361" s="3256"/>
      <c r="M361" s="3256"/>
      <c r="N361" s="3257"/>
      <c r="O361" s="3253"/>
      <c r="P361" s="3258"/>
      <c r="Q361" s="3254"/>
      <c r="R361" s="3254"/>
      <c r="S361" s="3259"/>
      <c r="T361" s="3259"/>
      <c r="U361" s="3259"/>
      <c r="V361" s="3259"/>
      <c r="W361" s="3260"/>
      <c r="X361" s="3260"/>
      <c r="Y361" s="3260"/>
    </row>
    <row r="365" spans="8:27">
      <c r="H365" s="3003" t="s">
        <v>1751</v>
      </c>
    </row>
    <row r="366" spans="8:27">
      <c r="H366" s="3562" t="s">
        <v>300</v>
      </c>
      <c r="I366" s="3562"/>
      <c r="J366" s="3562"/>
      <c r="K366" s="3562"/>
      <c r="L366" s="3562"/>
      <c r="M366" s="3562"/>
      <c r="N366" s="3562"/>
      <c r="O366" s="3562"/>
      <c r="P366" s="3562"/>
      <c r="Q366" s="1465"/>
      <c r="R366" s="1465"/>
      <c r="S366" s="1465"/>
      <c r="T366" s="1465"/>
      <c r="U366" s="1465"/>
      <c r="V366" s="1465"/>
      <c r="W366" s="3216" t="s">
        <v>300</v>
      </c>
      <c r="X366" s="1465"/>
      <c r="Y366" s="1465"/>
      <c r="Z366" s="3216" t="s">
        <v>300</v>
      </c>
      <c r="AA366" s="1465"/>
    </row>
    <row r="367" spans="8:27">
      <c r="H367" s="1456"/>
      <c r="I367" s="1457"/>
      <c r="J367" s="1457"/>
      <c r="K367" s="1456"/>
      <c r="L367" s="1456"/>
      <c r="M367" s="1456"/>
      <c r="N367" s="1456"/>
      <c r="O367" s="1456"/>
      <c r="P367" s="1456"/>
      <c r="Q367" s="1456"/>
      <c r="R367" s="1456"/>
      <c r="S367" s="1456"/>
      <c r="T367" s="1456"/>
      <c r="U367" s="1456"/>
      <c r="V367" s="1456"/>
      <c r="W367" s="1456"/>
      <c r="X367" s="1456"/>
      <c r="Y367" s="1456"/>
      <c r="Z367" s="1456"/>
      <c r="AA367" s="1456"/>
    </row>
    <row r="368" spans="8:27">
      <c r="H368" s="3563" t="s">
        <v>301</v>
      </c>
      <c r="I368" s="3563"/>
      <c r="J368" s="3563"/>
      <c r="K368" s="3563"/>
      <c r="L368" s="3563"/>
      <c r="M368" s="3563"/>
      <c r="N368" s="3563"/>
      <c r="O368" s="3563"/>
      <c r="P368" s="3563"/>
      <c r="Q368" s="3565" t="s">
        <v>40</v>
      </c>
      <c r="R368" s="3565"/>
      <c r="S368" s="3565"/>
      <c r="T368" s="3574" t="s">
        <v>41</v>
      </c>
      <c r="U368" s="3574"/>
      <c r="V368" s="3574"/>
      <c r="W368" s="3564" t="s">
        <v>52</v>
      </c>
      <c r="X368" s="3564"/>
      <c r="Y368" s="3564"/>
      <c r="Z368" s="3567" t="s">
        <v>1728</v>
      </c>
      <c r="AA368" s="1456"/>
    </row>
    <row r="369" spans="8:27">
      <c r="H369" s="1471" t="s">
        <v>302</v>
      </c>
      <c r="I369" s="1471" t="s">
        <v>228</v>
      </c>
      <c r="J369" s="1471" t="s">
        <v>303</v>
      </c>
      <c r="K369" s="1471" t="s">
        <v>304</v>
      </c>
      <c r="L369" s="1471" t="s">
        <v>53</v>
      </c>
      <c r="M369" s="1471" t="s">
        <v>54</v>
      </c>
      <c r="N369" s="1471" t="s">
        <v>305</v>
      </c>
      <c r="O369" s="1471" t="s">
        <v>55</v>
      </c>
      <c r="P369" s="1471" t="s">
        <v>56</v>
      </c>
      <c r="Q369" s="1472">
        <v>2016</v>
      </c>
      <c r="R369" s="1472">
        <v>2017</v>
      </c>
      <c r="S369" s="1472" t="s">
        <v>306</v>
      </c>
      <c r="T369" s="1473">
        <v>2016</v>
      </c>
      <c r="U369" s="1473">
        <v>2017</v>
      </c>
      <c r="V369" s="1473" t="s">
        <v>306</v>
      </c>
      <c r="W369" s="1474">
        <v>2016</v>
      </c>
      <c r="X369" s="1474">
        <v>2017</v>
      </c>
      <c r="Y369" s="1474" t="s">
        <v>306</v>
      </c>
      <c r="Z369" s="3567"/>
      <c r="AA369" s="1456"/>
    </row>
    <row r="370" spans="8:27">
      <c r="H370" s="1458" t="s">
        <v>307</v>
      </c>
      <c r="I370" s="1458" t="s">
        <v>307</v>
      </c>
      <c r="J370" s="1471"/>
      <c r="K370" s="1458" t="s">
        <v>307</v>
      </c>
      <c r="L370" s="1458" t="s">
        <v>307</v>
      </c>
      <c r="M370" s="1458" t="s">
        <v>307</v>
      </c>
      <c r="N370" s="1458" t="s">
        <v>307</v>
      </c>
      <c r="O370" s="1458" t="s">
        <v>307</v>
      </c>
      <c r="P370" s="1458" t="s">
        <v>307</v>
      </c>
      <c r="Q370" s="1458" t="s">
        <v>307</v>
      </c>
      <c r="R370" s="1458" t="s">
        <v>307</v>
      </c>
      <c r="S370" s="1472"/>
      <c r="T370" s="1473"/>
      <c r="U370" s="1473"/>
      <c r="V370" s="1473"/>
      <c r="W370" s="1474"/>
      <c r="X370" s="1474"/>
      <c r="Y370" s="1474"/>
      <c r="Z370" s="2244"/>
      <c r="AA370" s="1456"/>
    </row>
    <row r="371" spans="8:27">
      <c r="H371" s="1475" t="s">
        <v>308</v>
      </c>
      <c r="I371" s="1476"/>
      <c r="J371" s="1476"/>
      <c r="K371" s="1477"/>
      <c r="L371" s="1478">
        <f>SUMPRODUCT(L372:L535,S372:S535)</f>
        <v>6603664.3999999994</v>
      </c>
      <c r="M371" s="1478">
        <f>SUM(M372:M535)</f>
        <v>11415.882000000001</v>
      </c>
      <c r="N371" s="1479" t="s">
        <v>229</v>
      </c>
      <c r="O371" s="1477">
        <v>10</v>
      </c>
      <c r="P371" s="1477"/>
      <c r="Q371" s="1477"/>
      <c r="R371" s="1477"/>
      <c r="S371" s="1477"/>
      <c r="T371" s="2983">
        <v>11021091.5</v>
      </c>
      <c r="U371" s="1480">
        <f t="shared" ref="U371:V371" si="21">SUM(U372:U535)</f>
        <v>11332748.5</v>
      </c>
      <c r="V371" s="1480">
        <f t="shared" si="21"/>
        <v>22353840</v>
      </c>
      <c r="W371" s="3002">
        <v>2342693.7400000002</v>
      </c>
      <c r="X371" s="2459">
        <f t="shared" ref="X371:Y371" si="22">SUM(X372:X535)</f>
        <v>2419231.3600000003</v>
      </c>
      <c r="Y371" s="2459">
        <f t="shared" si="22"/>
        <v>4761925.0999999996</v>
      </c>
      <c r="Z371" s="1481">
        <v>0</v>
      </c>
      <c r="AA371" s="1456"/>
    </row>
    <row r="372" spans="8:27">
      <c r="H372" s="2224" t="s">
        <v>1256</v>
      </c>
      <c r="I372" s="2229">
        <v>158</v>
      </c>
      <c r="J372" s="1470" t="s">
        <v>110</v>
      </c>
      <c r="K372" s="1460" t="s">
        <v>845</v>
      </c>
      <c r="L372" s="1467">
        <v>165</v>
      </c>
      <c r="M372" s="1467">
        <v>165</v>
      </c>
      <c r="N372" s="1461">
        <v>1.6347523518318152E-2</v>
      </c>
      <c r="O372" s="1460">
        <v>12</v>
      </c>
      <c r="P372" s="1463" t="s">
        <v>996</v>
      </c>
      <c r="Q372" s="1466">
        <v>1250</v>
      </c>
      <c r="R372" s="1466">
        <v>1250</v>
      </c>
      <c r="S372" s="1469">
        <f t="shared" ref="S372:S435" si="23">Q372+R372</f>
        <v>2500</v>
      </c>
      <c r="T372" s="2991">
        <v>197500</v>
      </c>
      <c r="U372" s="1469">
        <f t="shared" ref="U372:U435" si="24">I372*R372</f>
        <v>197500</v>
      </c>
      <c r="V372" s="1469">
        <f t="shared" ref="V372:V435" si="25">T372+U372</f>
        <v>395000</v>
      </c>
      <c r="W372" s="2993">
        <v>206250</v>
      </c>
      <c r="X372" s="1459">
        <f t="shared" ref="X372:X435" si="26">M372*R372</f>
        <v>206250</v>
      </c>
      <c r="Y372" s="1459">
        <f t="shared" ref="Y372:Y435" si="27">W372+X372</f>
        <v>412500</v>
      </c>
      <c r="Z372" s="1482"/>
      <c r="AA372" s="1456"/>
    </row>
    <row r="373" spans="8:27">
      <c r="H373" s="2224" t="s">
        <v>1257</v>
      </c>
      <c r="I373" s="2229">
        <v>100</v>
      </c>
      <c r="J373" s="1470" t="s">
        <v>110</v>
      </c>
      <c r="K373" s="1460" t="s">
        <v>845</v>
      </c>
      <c r="L373" s="1467">
        <v>54.6</v>
      </c>
      <c r="M373" s="1467">
        <v>54.6</v>
      </c>
      <c r="N373" s="1461">
        <v>2.069306774470652E-3</v>
      </c>
      <c r="O373" s="1460">
        <v>5</v>
      </c>
      <c r="P373" s="1463" t="s">
        <v>996</v>
      </c>
      <c r="Q373" s="1466">
        <v>250</v>
      </c>
      <c r="R373" s="1466">
        <v>250</v>
      </c>
      <c r="S373" s="1469">
        <f t="shared" si="23"/>
        <v>500</v>
      </c>
      <c r="T373" s="2991">
        <v>25000</v>
      </c>
      <c r="U373" s="1469">
        <f t="shared" si="24"/>
        <v>25000</v>
      </c>
      <c r="V373" s="1469">
        <f t="shared" si="25"/>
        <v>50000</v>
      </c>
      <c r="W373" s="2993">
        <v>13650</v>
      </c>
      <c r="X373" s="1459">
        <f t="shared" si="26"/>
        <v>13650</v>
      </c>
      <c r="Y373" s="1459">
        <f t="shared" si="27"/>
        <v>27300</v>
      </c>
      <c r="Z373" s="1482"/>
      <c r="AA373" s="1456"/>
    </row>
    <row r="374" spans="8:27">
      <c r="H374" s="2224" t="s">
        <v>1258</v>
      </c>
      <c r="I374" s="2229">
        <v>300</v>
      </c>
      <c r="J374" s="1470" t="s">
        <v>110</v>
      </c>
      <c r="K374" s="1460" t="s">
        <v>845</v>
      </c>
      <c r="L374" s="1467">
        <v>65</v>
      </c>
      <c r="M374" s="1467">
        <v>65</v>
      </c>
      <c r="N374" s="1461">
        <v>1.2415840646823911E-2</v>
      </c>
      <c r="O374" s="1460">
        <v>5</v>
      </c>
      <c r="P374" s="1463" t="s">
        <v>996</v>
      </c>
      <c r="Q374" s="1466">
        <v>1500</v>
      </c>
      <c r="R374" s="1466">
        <v>1500</v>
      </c>
      <c r="S374" s="1469">
        <f t="shared" si="23"/>
        <v>3000</v>
      </c>
      <c r="T374" s="2991">
        <v>450000</v>
      </c>
      <c r="U374" s="1469">
        <f t="shared" si="24"/>
        <v>450000</v>
      </c>
      <c r="V374" s="1469">
        <f t="shared" si="25"/>
        <v>900000</v>
      </c>
      <c r="W374" s="2993">
        <v>97500</v>
      </c>
      <c r="X374" s="1459">
        <f t="shared" si="26"/>
        <v>97500</v>
      </c>
      <c r="Y374" s="1459">
        <f t="shared" si="27"/>
        <v>195000</v>
      </c>
      <c r="Z374" s="1482"/>
      <c r="AA374" s="1456"/>
    </row>
    <row r="375" spans="8:27">
      <c r="H375" s="2224" t="s">
        <v>1259</v>
      </c>
      <c r="I375" s="2229">
        <v>46</v>
      </c>
      <c r="J375" s="1470" t="s">
        <v>110</v>
      </c>
      <c r="K375" s="1460" t="s">
        <v>845</v>
      </c>
      <c r="L375" s="1467">
        <v>82</v>
      </c>
      <c r="M375" s="1467">
        <v>82</v>
      </c>
      <c r="N375" s="1461">
        <v>4.7594055812824991E-3</v>
      </c>
      <c r="O375" s="1460">
        <v>10</v>
      </c>
      <c r="P375" s="1463" t="s">
        <v>996</v>
      </c>
      <c r="Q375" s="1466">
        <v>1200</v>
      </c>
      <c r="R375" s="1466">
        <v>1256</v>
      </c>
      <c r="S375" s="1469">
        <f t="shared" si="23"/>
        <v>2456</v>
      </c>
      <c r="T375" s="2991">
        <v>55200</v>
      </c>
      <c r="U375" s="1469">
        <f t="shared" si="24"/>
        <v>57776</v>
      </c>
      <c r="V375" s="1469">
        <f t="shared" si="25"/>
        <v>112976</v>
      </c>
      <c r="W375" s="2993">
        <v>98400</v>
      </c>
      <c r="X375" s="1459">
        <f t="shared" si="26"/>
        <v>102992</v>
      </c>
      <c r="Y375" s="1459">
        <f t="shared" si="27"/>
        <v>201392</v>
      </c>
      <c r="Z375" s="1482"/>
      <c r="AA375" s="1456"/>
    </row>
    <row r="376" spans="8:27">
      <c r="H376" s="2224" t="s">
        <v>1260</v>
      </c>
      <c r="I376" s="2229">
        <v>116</v>
      </c>
      <c r="J376" s="1470" t="s">
        <v>110</v>
      </c>
      <c r="K376" s="1460" t="s">
        <v>845</v>
      </c>
      <c r="L376" s="1467">
        <v>82</v>
      </c>
      <c r="M376" s="1467">
        <v>82</v>
      </c>
      <c r="N376" s="1461">
        <v>3.0004948229824451E-4</v>
      </c>
      <c r="O376" s="1460">
        <v>10</v>
      </c>
      <c r="P376" s="1463" t="s">
        <v>996</v>
      </c>
      <c r="Q376" s="1466">
        <v>25</v>
      </c>
      <c r="R376" s="1466">
        <v>25</v>
      </c>
      <c r="S376" s="1469">
        <f t="shared" si="23"/>
        <v>50</v>
      </c>
      <c r="T376" s="2991">
        <v>2900</v>
      </c>
      <c r="U376" s="1469">
        <f t="shared" si="24"/>
        <v>2900</v>
      </c>
      <c r="V376" s="1469">
        <f t="shared" si="25"/>
        <v>5800</v>
      </c>
      <c r="W376" s="2993">
        <v>2050</v>
      </c>
      <c r="X376" s="1459">
        <f t="shared" si="26"/>
        <v>2050</v>
      </c>
      <c r="Y376" s="1459">
        <f t="shared" si="27"/>
        <v>4100</v>
      </c>
      <c r="Z376" s="1482"/>
      <c r="AA376" s="1456"/>
    </row>
    <row r="377" spans="8:27">
      <c r="H377" s="2224" t="s">
        <v>1261</v>
      </c>
      <c r="I377" s="2229">
        <v>162</v>
      </c>
      <c r="J377" s="1470" t="s">
        <v>110</v>
      </c>
      <c r="K377" s="1460" t="s">
        <v>845</v>
      </c>
      <c r="L377" s="1467">
        <v>82</v>
      </c>
      <c r="M377" s="1467">
        <v>82</v>
      </c>
      <c r="N377" s="1461">
        <v>4.1903462183030701E-4</v>
      </c>
      <c r="O377" s="1460">
        <v>10</v>
      </c>
      <c r="P377" s="1463" t="s">
        <v>996</v>
      </c>
      <c r="Q377" s="1466">
        <v>25</v>
      </c>
      <c r="R377" s="1466">
        <v>25</v>
      </c>
      <c r="S377" s="1469">
        <f t="shared" si="23"/>
        <v>50</v>
      </c>
      <c r="T377" s="2991">
        <v>4050</v>
      </c>
      <c r="U377" s="1469">
        <f t="shared" si="24"/>
        <v>4050</v>
      </c>
      <c r="V377" s="1469">
        <f t="shared" si="25"/>
        <v>8100</v>
      </c>
      <c r="W377" s="2993">
        <v>2050</v>
      </c>
      <c r="X377" s="1459">
        <f t="shared" si="26"/>
        <v>2050</v>
      </c>
      <c r="Y377" s="1459">
        <f t="shared" si="27"/>
        <v>4100</v>
      </c>
      <c r="Z377" s="1482"/>
      <c r="AA377" s="1456"/>
    </row>
    <row r="378" spans="8:27">
      <c r="H378" s="2224" t="s">
        <v>1262</v>
      </c>
      <c r="I378" s="2229">
        <v>302</v>
      </c>
      <c r="J378" s="1470" t="s">
        <v>110</v>
      </c>
      <c r="K378" s="1460" t="s">
        <v>845</v>
      </c>
      <c r="L378" s="1467">
        <v>82</v>
      </c>
      <c r="M378" s="1467">
        <v>82</v>
      </c>
      <c r="N378" s="1461">
        <v>7.811633073626711E-4</v>
      </c>
      <c r="O378" s="1460">
        <v>10</v>
      </c>
      <c r="P378" s="1463" t="s">
        <v>996</v>
      </c>
      <c r="Q378" s="1466">
        <v>25</v>
      </c>
      <c r="R378" s="1466">
        <v>25</v>
      </c>
      <c r="S378" s="1469">
        <f t="shared" si="23"/>
        <v>50</v>
      </c>
      <c r="T378" s="2991">
        <v>7550</v>
      </c>
      <c r="U378" s="1469">
        <f t="shared" si="24"/>
        <v>7550</v>
      </c>
      <c r="V378" s="1469">
        <f t="shared" si="25"/>
        <v>15100</v>
      </c>
      <c r="W378" s="2993">
        <v>2050</v>
      </c>
      <c r="X378" s="1459">
        <f t="shared" si="26"/>
        <v>2050</v>
      </c>
      <c r="Y378" s="1459">
        <f t="shared" si="27"/>
        <v>4100</v>
      </c>
      <c r="Z378" s="1482"/>
      <c r="AA378" s="1456"/>
    </row>
    <row r="379" spans="8:27">
      <c r="H379" s="2224" t="s">
        <v>1263</v>
      </c>
      <c r="I379" s="2229">
        <v>464</v>
      </c>
      <c r="J379" s="1470" t="s">
        <v>110</v>
      </c>
      <c r="K379" s="1460" t="s">
        <v>845</v>
      </c>
      <c r="L379" s="1467">
        <v>82</v>
      </c>
      <c r="M379" s="1467">
        <v>82</v>
      </c>
      <c r="N379" s="1461">
        <v>1.2001979291929781E-3</v>
      </c>
      <c r="O379" s="1460">
        <v>10</v>
      </c>
      <c r="P379" s="1463" t="s">
        <v>996</v>
      </c>
      <c r="Q379" s="1466">
        <v>50</v>
      </c>
      <c r="R379" s="1466">
        <v>50</v>
      </c>
      <c r="S379" s="1469">
        <f t="shared" si="23"/>
        <v>100</v>
      </c>
      <c r="T379" s="2991">
        <v>23200</v>
      </c>
      <c r="U379" s="1469">
        <f t="shared" si="24"/>
        <v>23200</v>
      </c>
      <c r="V379" s="1469">
        <f t="shared" si="25"/>
        <v>46400</v>
      </c>
      <c r="W379" s="2993">
        <v>4100</v>
      </c>
      <c r="X379" s="1459">
        <f t="shared" si="26"/>
        <v>4100</v>
      </c>
      <c r="Y379" s="1459">
        <f t="shared" si="27"/>
        <v>8200</v>
      </c>
      <c r="Z379" s="1482"/>
      <c r="AA379" s="1456"/>
    </row>
    <row r="380" spans="8:27">
      <c r="H380" s="2224" t="s">
        <v>1264</v>
      </c>
      <c r="I380" s="2229">
        <v>153.30000000000001</v>
      </c>
      <c r="J380" s="1470" t="s">
        <v>110</v>
      </c>
      <c r="K380" s="1460" t="s">
        <v>845</v>
      </c>
      <c r="L380" s="1467">
        <v>60</v>
      </c>
      <c r="M380" s="1467">
        <v>60</v>
      </c>
      <c r="N380" s="1461">
        <v>1.9826545532896932E-2</v>
      </c>
      <c r="O380" s="1460">
        <v>10</v>
      </c>
      <c r="P380" s="1463" t="s">
        <v>996</v>
      </c>
      <c r="Q380" s="1466">
        <v>1000</v>
      </c>
      <c r="R380" s="1466">
        <v>1000</v>
      </c>
      <c r="S380" s="1469">
        <f t="shared" si="23"/>
        <v>2000</v>
      </c>
      <c r="T380" s="2991">
        <v>153300</v>
      </c>
      <c r="U380" s="1469">
        <f t="shared" si="24"/>
        <v>153300</v>
      </c>
      <c r="V380" s="1469">
        <f t="shared" si="25"/>
        <v>306600</v>
      </c>
      <c r="W380" s="2993">
        <v>60000</v>
      </c>
      <c r="X380" s="1459">
        <f t="shared" si="26"/>
        <v>60000</v>
      </c>
      <c r="Y380" s="1459">
        <f t="shared" si="27"/>
        <v>120000</v>
      </c>
      <c r="Z380" s="1482"/>
      <c r="AA380" s="1456"/>
    </row>
    <row r="381" spans="8:27">
      <c r="H381" s="2224" t="s">
        <v>1591</v>
      </c>
      <c r="I381" s="2229">
        <v>41</v>
      </c>
      <c r="J381" s="1470" t="s">
        <v>110</v>
      </c>
      <c r="K381" s="1460" t="s">
        <v>845</v>
      </c>
      <c r="L381" s="1467">
        <v>52.23</v>
      </c>
      <c r="M381" s="1467">
        <v>10.25</v>
      </c>
      <c r="N381" s="1461">
        <v>6.3631183314972551E-4</v>
      </c>
      <c r="O381" s="1460">
        <v>12</v>
      </c>
      <c r="P381" s="1463" t="s">
        <v>996</v>
      </c>
      <c r="Q381" s="1466">
        <v>150</v>
      </c>
      <c r="R381" s="1466">
        <v>150</v>
      </c>
      <c r="S381" s="1469">
        <f t="shared" si="23"/>
        <v>300</v>
      </c>
      <c r="T381" s="2991">
        <v>6150</v>
      </c>
      <c r="U381" s="1469">
        <f t="shared" si="24"/>
        <v>6150</v>
      </c>
      <c r="V381" s="1469">
        <f t="shared" si="25"/>
        <v>12300</v>
      </c>
      <c r="W381" s="2993">
        <v>1537.5</v>
      </c>
      <c r="X381" s="1459">
        <f t="shared" si="26"/>
        <v>1537.5</v>
      </c>
      <c r="Y381" s="1459">
        <f t="shared" si="27"/>
        <v>3075</v>
      </c>
      <c r="Z381" s="1482"/>
      <c r="AA381" s="1456"/>
    </row>
    <row r="382" spans="8:27">
      <c r="H382" s="2224" t="s">
        <v>1592</v>
      </c>
      <c r="I382" s="2229">
        <v>70</v>
      </c>
      <c r="J382" s="1470" t="s">
        <v>110</v>
      </c>
      <c r="K382" s="1460" t="s">
        <v>845</v>
      </c>
      <c r="L382" s="1467">
        <v>53.28</v>
      </c>
      <c r="M382" s="1467">
        <v>17.5</v>
      </c>
      <c r="N382" s="1461">
        <v>1.0863860565970922E-3</v>
      </c>
      <c r="O382" s="1460">
        <v>12</v>
      </c>
      <c r="P382" s="1463" t="s">
        <v>996</v>
      </c>
      <c r="Q382" s="1466">
        <v>150</v>
      </c>
      <c r="R382" s="1466">
        <v>150</v>
      </c>
      <c r="S382" s="1469">
        <f t="shared" si="23"/>
        <v>300</v>
      </c>
      <c r="T382" s="2991">
        <v>10500</v>
      </c>
      <c r="U382" s="1469">
        <f t="shared" si="24"/>
        <v>10500</v>
      </c>
      <c r="V382" s="1469">
        <f t="shared" si="25"/>
        <v>21000</v>
      </c>
      <c r="W382" s="2993">
        <v>2625</v>
      </c>
      <c r="X382" s="1459">
        <f t="shared" si="26"/>
        <v>2625</v>
      </c>
      <c r="Y382" s="1459">
        <f t="shared" si="27"/>
        <v>5250</v>
      </c>
      <c r="Z382" s="1482"/>
      <c r="AA382" s="1456"/>
    </row>
    <row r="383" spans="8:27">
      <c r="H383" s="2224" t="s">
        <v>1593</v>
      </c>
      <c r="I383" s="2229">
        <v>66</v>
      </c>
      <c r="J383" s="1470" t="s">
        <v>110</v>
      </c>
      <c r="K383" s="1460" t="s">
        <v>845</v>
      </c>
      <c r="L383" s="1467">
        <v>54.75</v>
      </c>
      <c r="M383" s="1467">
        <v>16.5</v>
      </c>
      <c r="N383" s="1461">
        <v>1.0243068533629727E-3</v>
      </c>
      <c r="O383" s="1460">
        <v>12</v>
      </c>
      <c r="P383" s="1463" t="s">
        <v>996</v>
      </c>
      <c r="Q383" s="1466">
        <v>150</v>
      </c>
      <c r="R383" s="1466">
        <v>150</v>
      </c>
      <c r="S383" s="1469">
        <f t="shared" si="23"/>
        <v>300</v>
      </c>
      <c r="T383" s="2991">
        <v>9900</v>
      </c>
      <c r="U383" s="1469">
        <f t="shared" si="24"/>
        <v>9900</v>
      </c>
      <c r="V383" s="1469">
        <f t="shared" si="25"/>
        <v>19800</v>
      </c>
      <c r="W383" s="2993">
        <v>2475</v>
      </c>
      <c r="X383" s="1459">
        <f t="shared" si="26"/>
        <v>2475</v>
      </c>
      <c r="Y383" s="1459">
        <f t="shared" si="27"/>
        <v>4950</v>
      </c>
      <c r="Z383" s="1482"/>
      <c r="AA383" s="1456"/>
    </row>
    <row r="384" spans="8:27">
      <c r="H384" s="2224" t="s">
        <v>1594</v>
      </c>
      <c r="I384" s="2229">
        <v>421</v>
      </c>
      <c r="J384" s="1470" t="s">
        <v>110</v>
      </c>
      <c r="K384" s="1460" t="s">
        <v>845</v>
      </c>
      <c r="L384" s="1467">
        <v>57.23</v>
      </c>
      <c r="M384" s="1467">
        <v>40.060999999999993</v>
      </c>
      <c r="N384" s="1461">
        <v>8.7945537915002701E-5</v>
      </c>
      <c r="O384" s="1460">
        <v>12</v>
      </c>
      <c r="P384" s="1463" t="s">
        <v>996</v>
      </c>
      <c r="Q384" s="1466">
        <v>100</v>
      </c>
      <c r="R384" s="1466">
        <v>100</v>
      </c>
      <c r="S384" s="1469">
        <f t="shared" si="23"/>
        <v>200</v>
      </c>
      <c r="T384" s="2991">
        <v>42100</v>
      </c>
      <c r="U384" s="1469">
        <f t="shared" si="24"/>
        <v>42100</v>
      </c>
      <c r="V384" s="1469">
        <f t="shared" si="25"/>
        <v>84200</v>
      </c>
      <c r="W384" s="2993">
        <v>4006.0999999999995</v>
      </c>
      <c r="X384" s="1459">
        <f t="shared" si="26"/>
        <v>4006.0999999999995</v>
      </c>
      <c r="Y384" s="1459">
        <f t="shared" si="27"/>
        <v>8012.1999999999989</v>
      </c>
      <c r="Z384" s="1482"/>
      <c r="AA384" s="1456"/>
    </row>
    <row r="385" spans="8:27">
      <c r="H385" s="2224" t="s">
        <v>1269</v>
      </c>
      <c r="I385" s="2229">
        <v>34</v>
      </c>
      <c r="J385" s="1470" t="s">
        <v>110</v>
      </c>
      <c r="K385" s="1460" t="s">
        <v>845</v>
      </c>
      <c r="L385" s="1467">
        <v>53.29</v>
      </c>
      <c r="M385" s="1467">
        <v>8.5</v>
      </c>
      <c r="N385" s="1461">
        <v>8.7945537915002701E-5</v>
      </c>
      <c r="O385" s="1460">
        <v>12</v>
      </c>
      <c r="P385" s="1463" t="s">
        <v>996</v>
      </c>
      <c r="Q385" s="1466">
        <v>200</v>
      </c>
      <c r="R385" s="1466">
        <v>200</v>
      </c>
      <c r="S385" s="1469">
        <f t="shared" si="23"/>
        <v>400</v>
      </c>
      <c r="T385" s="2991">
        <v>6800</v>
      </c>
      <c r="U385" s="1469">
        <f t="shared" si="24"/>
        <v>6800</v>
      </c>
      <c r="V385" s="1469">
        <f t="shared" si="25"/>
        <v>13600</v>
      </c>
      <c r="W385" s="2993">
        <v>1700</v>
      </c>
      <c r="X385" s="1459">
        <f t="shared" si="26"/>
        <v>1700</v>
      </c>
      <c r="Y385" s="1459">
        <f t="shared" si="27"/>
        <v>3400</v>
      </c>
      <c r="Z385" s="1482"/>
      <c r="AA385" s="1456"/>
    </row>
    <row r="386" spans="8:27">
      <c r="H386" s="2224" t="s">
        <v>1595</v>
      </c>
      <c r="I386" s="2229">
        <v>136</v>
      </c>
      <c r="J386" s="1470" t="s">
        <v>110</v>
      </c>
      <c r="K386" s="1460" t="s">
        <v>845</v>
      </c>
      <c r="L386" s="1467">
        <v>57.23</v>
      </c>
      <c r="M386" s="1467">
        <v>34</v>
      </c>
      <c r="N386" s="1461">
        <v>1.0553464549800325E-2</v>
      </c>
      <c r="O386" s="1460">
        <v>12</v>
      </c>
      <c r="P386" s="1463" t="s">
        <v>996</v>
      </c>
      <c r="Q386" s="1466">
        <v>750</v>
      </c>
      <c r="R386" s="1466">
        <v>750</v>
      </c>
      <c r="S386" s="1469">
        <f t="shared" si="23"/>
        <v>1500</v>
      </c>
      <c r="T386" s="2991">
        <v>102000</v>
      </c>
      <c r="U386" s="1469">
        <f t="shared" si="24"/>
        <v>102000</v>
      </c>
      <c r="V386" s="1469">
        <f t="shared" si="25"/>
        <v>204000</v>
      </c>
      <c r="W386" s="2993">
        <v>25500</v>
      </c>
      <c r="X386" s="1459">
        <f t="shared" si="26"/>
        <v>25500</v>
      </c>
      <c r="Y386" s="1459">
        <f t="shared" si="27"/>
        <v>51000</v>
      </c>
      <c r="Z386" s="1482"/>
      <c r="AA386" s="1456"/>
    </row>
    <row r="387" spans="8:27">
      <c r="H387" s="2224" t="s">
        <v>1596</v>
      </c>
      <c r="I387" s="2229">
        <v>264</v>
      </c>
      <c r="J387" s="1470" t="s">
        <v>110</v>
      </c>
      <c r="K387" s="1460" t="s">
        <v>845</v>
      </c>
      <c r="L387" s="1467">
        <v>73.89</v>
      </c>
      <c r="M387" s="1467">
        <v>66</v>
      </c>
      <c r="N387" s="1461">
        <v>6.8287123557531516E-4</v>
      </c>
      <c r="O387" s="1460">
        <v>12</v>
      </c>
      <c r="P387" s="1463" t="s">
        <v>996</v>
      </c>
      <c r="Q387" s="1466">
        <v>75</v>
      </c>
      <c r="R387" s="1466">
        <v>75</v>
      </c>
      <c r="S387" s="1469">
        <f t="shared" si="23"/>
        <v>150</v>
      </c>
      <c r="T387" s="2991">
        <v>19800</v>
      </c>
      <c r="U387" s="1469">
        <f t="shared" si="24"/>
        <v>19800</v>
      </c>
      <c r="V387" s="1469">
        <f t="shared" si="25"/>
        <v>39600</v>
      </c>
      <c r="W387" s="2993">
        <v>4950</v>
      </c>
      <c r="X387" s="1459">
        <f t="shared" si="26"/>
        <v>4950</v>
      </c>
      <c r="Y387" s="1459">
        <f t="shared" si="27"/>
        <v>9900</v>
      </c>
      <c r="Z387" s="1482"/>
      <c r="AA387" s="1456"/>
    </row>
    <row r="388" spans="8:27">
      <c r="H388" s="2224" t="s">
        <v>1597</v>
      </c>
      <c r="I388" s="2229">
        <v>190</v>
      </c>
      <c r="J388" s="1470" t="s">
        <v>110</v>
      </c>
      <c r="K388" s="1460" t="s">
        <v>845</v>
      </c>
      <c r="L388" s="1467">
        <v>73.89</v>
      </c>
      <c r="M388" s="1467">
        <v>47.5</v>
      </c>
      <c r="N388" s="1461">
        <v>4.9146035893677981E-4</v>
      </c>
      <c r="O388" s="1460">
        <v>12</v>
      </c>
      <c r="P388" s="1463" t="s">
        <v>996</v>
      </c>
      <c r="Q388" s="1466">
        <v>75</v>
      </c>
      <c r="R388" s="1466">
        <v>75</v>
      </c>
      <c r="S388" s="1469">
        <f t="shared" si="23"/>
        <v>150</v>
      </c>
      <c r="T388" s="2991">
        <v>14250</v>
      </c>
      <c r="U388" s="1469">
        <f t="shared" si="24"/>
        <v>14250</v>
      </c>
      <c r="V388" s="1469">
        <f t="shared" si="25"/>
        <v>28500</v>
      </c>
      <c r="W388" s="2993">
        <v>3562.5</v>
      </c>
      <c r="X388" s="1459">
        <f t="shared" si="26"/>
        <v>3562.5</v>
      </c>
      <c r="Y388" s="1459">
        <f t="shared" si="27"/>
        <v>7125</v>
      </c>
      <c r="Z388" s="1482"/>
      <c r="AA388" s="1456"/>
    </row>
    <row r="389" spans="8:27">
      <c r="H389" s="2224" t="s">
        <v>1598</v>
      </c>
      <c r="I389" s="2229">
        <v>632</v>
      </c>
      <c r="J389" s="1470" t="s">
        <v>110</v>
      </c>
      <c r="K389" s="1460" t="s">
        <v>845</v>
      </c>
      <c r="L389" s="1467">
        <v>61.25</v>
      </c>
      <c r="M389" s="1467">
        <v>42.875</v>
      </c>
      <c r="N389" s="1461">
        <v>2.6124998027691981E-2</v>
      </c>
      <c r="O389" s="1460">
        <v>12</v>
      </c>
      <c r="P389" s="1463" t="s">
        <v>996</v>
      </c>
      <c r="Q389" s="1466">
        <v>1250</v>
      </c>
      <c r="R389" s="1466">
        <v>1250</v>
      </c>
      <c r="S389" s="1469">
        <f t="shared" si="23"/>
        <v>2500</v>
      </c>
      <c r="T389" s="2991">
        <v>790000</v>
      </c>
      <c r="U389" s="1469">
        <f t="shared" si="24"/>
        <v>790000</v>
      </c>
      <c r="V389" s="1469">
        <f t="shared" si="25"/>
        <v>1580000</v>
      </c>
      <c r="W389" s="2993">
        <v>53593.75</v>
      </c>
      <c r="X389" s="1459">
        <f t="shared" si="26"/>
        <v>53593.75</v>
      </c>
      <c r="Y389" s="1459">
        <f t="shared" si="27"/>
        <v>107187.5</v>
      </c>
      <c r="Z389" s="1482"/>
      <c r="AA389" s="1456"/>
    </row>
    <row r="390" spans="8:27">
      <c r="H390" s="2224" t="s">
        <v>1599</v>
      </c>
      <c r="I390" s="2229">
        <v>421</v>
      </c>
      <c r="J390" s="1470" t="s">
        <v>110</v>
      </c>
      <c r="K390" s="1460" t="s">
        <v>845</v>
      </c>
      <c r="L390" s="1467">
        <v>97.97</v>
      </c>
      <c r="M390" s="1467">
        <v>68.578999999999994</v>
      </c>
      <c r="N390" s="1461">
        <v>1.0889726900651807E-3</v>
      </c>
      <c r="O390" s="1460">
        <v>12</v>
      </c>
      <c r="P390" s="1463" t="s">
        <v>996</v>
      </c>
      <c r="Q390" s="1466">
        <v>25</v>
      </c>
      <c r="R390" s="1466">
        <v>25</v>
      </c>
      <c r="S390" s="1469">
        <f t="shared" si="23"/>
        <v>50</v>
      </c>
      <c r="T390" s="2991">
        <v>10525</v>
      </c>
      <c r="U390" s="1469">
        <f t="shared" si="24"/>
        <v>10525</v>
      </c>
      <c r="V390" s="1469">
        <f t="shared" si="25"/>
        <v>21050</v>
      </c>
      <c r="W390" s="2993">
        <v>1714.4749999999999</v>
      </c>
      <c r="X390" s="1459">
        <f t="shared" si="26"/>
        <v>1714.4749999999999</v>
      </c>
      <c r="Y390" s="1459">
        <f t="shared" si="27"/>
        <v>3428.95</v>
      </c>
      <c r="Z390" s="1482"/>
      <c r="AA390" s="1456"/>
    </row>
    <row r="391" spans="8:27">
      <c r="H391" s="2224" t="s">
        <v>1600</v>
      </c>
      <c r="I391" s="2229">
        <v>281</v>
      </c>
      <c r="J391" s="1470" t="s">
        <v>110</v>
      </c>
      <c r="K391" s="1460" t="s">
        <v>845</v>
      </c>
      <c r="L391" s="1467">
        <v>97.97</v>
      </c>
      <c r="M391" s="1467">
        <v>70.25</v>
      </c>
      <c r="N391" s="1461">
        <v>7.2684400453281654E-4</v>
      </c>
      <c r="O391" s="1460">
        <v>12</v>
      </c>
      <c r="P391" s="1463" t="s">
        <v>996</v>
      </c>
      <c r="Q391" s="1466">
        <v>25</v>
      </c>
      <c r="R391" s="1466">
        <v>25</v>
      </c>
      <c r="S391" s="1469">
        <f t="shared" si="23"/>
        <v>50</v>
      </c>
      <c r="T391" s="2991">
        <v>7025</v>
      </c>
      <c r="U391" s="1469">
        <f t="shared" si="24"/>
        <v>7025</v>
      </c>
      <c r="V391" s="1469">
        <f t="shared" si="25"/>
        <v>14050</v>
      </c>
      <c r="W391" s="2993">
        <v>1756.25</v>
      </c>
      <c r="X391" s="1459">
        <f t="shared" si="26"/>
        <v>1756.25</v>
      </c>
      <c r="Y391" s="1459">
        <f t="shared" si="27"/>
        <v>3512.5</v>
      </c>
      <c r="Z391" s="1482"/>
      <c r="AA391" s="1456"/>
    </row>
    <row r="392" spans="8:27">
      <c r="H392" s="2224" t="s">
        <v>1601</v>
      </c>
      <c r="I392" s="2229">
        <v>446</v>
      </c>
      <c r="J392" s="1470" t="s">
        <v>110</v>
      </c>
      <c r="K392" s="1460" t="s">
        <v>845</v>
      </c>
      <c r="L392" s="1467">
        <v>88.83</v>
      </c>
      <c r="M392" s="1467">
        <v>62.180999999999997</v>
      </c>
      <c r="N392" s="1461">
        <v>1.1536385267673884E-2</v>
      </c>
      <c r="O392" s="1460">
        <v>12</v>
      </c>
      <c r="P392" s="1463" t="s">
        <v>996</v>
      </c>
      <c r="Q392" s="1466">
        <v>250</v>
      </c>
      <c r="R392" s="1466">
        <v>250</v>
      </c>
      <c r="S392" s="1469">
        <f t="shared" si="23"/>
        <v>500</v>
      </c>
      <c r="T392" s="2991">
        <v>111500</v>
      </c>
      <c r="U392" s="1469">
        <f t="shared" si="24"/>
        <v>111500</v>
      </c>
      <c r="V392" s="1469">
        <f t="shared" si="25"/>
        <v>223000</v>
      </c>
      <c r="W392" s="2993">
        <v>15545.25</v>
      </c>
      <c r="X392" s="1459">
        <f t="shared" si="26"/>
        <v>15545.25</v>
      </c>
      <c r="Y392" s="1459">
        <f t="shared" si="27"/>
        <v>31090.5</v>
      </c>
      <c r="Z392" s="1482"/>
      <c r="AA392" s="1456"/>
    </row>
    <row r="393" spans="8:27">
      <c r="H393" s="2224" t="s">
        <v>1275</v>
      </c>
      <c r="I393" s="2229">
        <v>463</v>
      </c>
      <c r="J393" s="1470" t="s">
        <v>110</v>
      </c>
      <c r="K393" s="1460" t="s">
        <v>845</v>
      </c>
      <c r="L393" s="1467">
        <v>92.26</v>
      </c>
      <c r="M393" s="1467">
        <v>64.581999999999994</v>
      </c>
      <c r="N393" s="1461">
        <v>1.1976112957248898E-3</v>
      </c>
      <c r="O393" s="1460">
        <v>12</v>
      </c>
      <c r="P393" s="1463" t="s">
        <v>996</v>
      </c>
      <c r="Q393" s="1466">
        <v>25</v>
      </c>
      <c r="R393" s="1466">
        <v>25</v>
      </c>
      <c r="S393" s="1469">
        <f t="shared" si="23"/>
        <v>50</v>
      </c>
      <c r="T393" s="2991">
        <v>11575</v>
      </c>
      <c r="U393" s="1469">
        <f t="shared" si="24"/>
        <v>11575</v>
      </c>
      <c r="V393" s="1469">
        <f t="shared" si="25"/>
        <v>23150</v>
      </c>
      <c r="W393" s="2993">
        <v>1614.5499999999997</v>
      </c>
      <c r="X393" s="1459">
        <f t="shared" si="26"/>
        <v>1614.5499999999997</v>
      </c>
      <c r="Y393" s="1459">
        <f t="shared" si="27"/>
        <v>3229.0999999999995</v>
      </c>
      <c r="Z393" s="1482"/>
      <c r="AA393" s="1456"/>
    </row>
    <row r="394" spans="8:27">
      <c r="H394" s="2224" t="s">
        <v>1275</v>
      </c>
      <c r="I394" s="2229">
        <v>322</v>
      </c>
      <c r="J394" s="1470" t="s">
        <v>110</v>
      </c>
      <c r="K394" s="1460" t="s">
        <v>845</v>
      </c>
      <c r="L394" s="1467">
        <v>92.26</v>
      </c>
      <c r="M394" s="1467">
        <v>64.581999999999994</v>
      </c>
      <c r="N394" s="1461">
        <v>8.3289597672443739E-4</v>
      </c>
      <c r="O394" s="1460">
        <v>12</v>
      </c>
      <c r="P394" s="1463" t="s">
        <v>996</v>
      </c>
      <c r="Q394" s="1466">
        <v>25</v>
      </c>
      <c r="R394" s="1466">
        <v>25</v>
      </c>
      <c r="S394" s="1469">
        <f t="shared" si="23"/>
        <v>50</v>
      </c>
      <c r="T394" s="2991">
        <v>8050</v>
      </c>
      <c r="U394" s="1469">
        <f t="shared" si="24"/>
        <v>8050</v>
      </c>
      <c r="V394" s="1469">
        <f t="shared" si="25"/>
        <v>16100</v>
      </c>
      <c r="W394" s="2993">
        <v>1614.5499999999997</v>
      </c>
      <c r="X394" s="1459">
        <f t="shared" si="26"/>
        <v>1614.5499999999997</v>
      </c>
      <c r="Y394" s="1459">
        <f t="shared" si="27"/>
        <v>3229.0999999999995</v>
      </c>
      <c r="Z394" s="1482"/>
      <c r="AA394" s="1456"/>
    </row>
    <row r="395" spans="8:27">
      <c r="H395" s="2224" t="s">
        <v>1602</v>
      </c>
      <c r="I395" s="2229">
        <v>273</v>
      </c>
      <c r="J395" s="1470" t="s">
        <v>110</v>
      </c>
      <c r="K395" s="1460" t="s">
        <v>845</v>
      </c>
      <c r="L395" s="1467">
        <v>67.83</v>
      </c>
      <c r="M395" s="1467">
        <v>47.480999999999995</v>
      </c>
      <c r="N395" s="1461">
        <v>2.8246037471524398E-2</v>
      </c>
      <c r="O395" s="1460">
        <v>12</v>
      </c>
      <c r="P395" s="1463" t="s">
        <v>996</v>
      </c>
      <c r="Q395" s="1466">
        <v>1000</v>
      </c>
      <c r="R395" s="1466">
        <v>1000</v>
      </c>
      <c r="S395" s="1469">
        <f t="shared" si="23"/>
        <v>2000</v>
      </c>
      <c r="T395" s="2991">
        <v>273000</v>
      </c>
      <c r="U395" s="1469">
        <f t="shared" si="24"/>
        <v>273000</v>
      </c>
      <c r="V395" s="1469">
        <f t="shared" si="25"/>
        <v>546000</v>
      </c>
      <c r="W395" s="2993">
        <v>47480.999999999993</v>
      </c>
      <c r="X395" s="1459">
        <f t="shared" si="26"/>
        <v>47480.999999999993</v>
      </c>
      <c r="Y395" s="1459">
        <f t="shared" si="27"/>
        <v>94961.999999999985</v>
      </c>
      <c r="Z395" s="1482"/>
      <c r="AA395" s="1456"/>
    </row>
    <row r="396" spans="8:27">
      <c r="H396" s="2224" t="s">
        <v>1277</v>
      </c>
      <c r="I396" s="2229">
        <v>525</v>
      </c>
      <c r="J396" s="1470" t="s">
        <v>110</v>
      </c>
      <c r="K396" s="1460" t="s">
        <v>845</v>
      </c>
      <c r="L396" s="1467">
        <v>125.1</v>
      </c>
      <c r="M396" s="1467">
        <v>87.57</v>
      </c>
      <c r="N396" s="1461">
        <v>1.3579825707463653E-3</v>
      </c>
      <c r="O396" s="1460">
        <v>12</v>
      </c>
      <c r="P396" s="1463" t="s">
        <v>996</v>
      </c>
      <c r="Q396" s="1466">
        <v>50</v>
      </c>
      <c r="R396" s="1466">
        <v>50</v>
      </c>
      <c r="S396" s="1469">
        <f t="shared" si="23"/>
        <v>100</v>
      </c>
      <c r="T396" s="2991">
        <v>26250</v>
      </c>
      <c r="U396" s="1469">
        <f t="shared" si="24"/>
        <v>26250</v>
      </c>
      <c r="V396" s="1469">
        <f t="shared" si="25"/>
        <v>52500</v>
      </c>
      <c r="W396" s="2993">
        <v>4378.5</v>
      </c>
      <c r="X396" s="1459">
        <f t="shared" si="26"/>
        <v>4378.5</v>
      </c>
      <c r="Y396" s="1459">
        <f t="shared" si="27"/>
        <v>8757</v>
      </c>
      <c r="Z396" s="1482"/>
      <c r="AA396" s="1456"/>
    </row>
    <row r="397" spans="8:27">
      <c r="H397" s="2224" t="s">
        <v>1277</v>
      </c>
      <c r="I397" s="2229">
        <v>376</v>
      </c>
      <c r="J397" s="1470" t="s">
        <v>110</v>
      </c>
      <c r="K397" s="1460" t="s">
        <v>845</v>
      </c>
      <c r="L397" s="1467">
        <v>125.1</v>
      </c>
      <c r="M397" s="1467">
        <v>87.57</v>
      </c>
      <c r="N397" s="1461">
        <v>9.7257418400120645E-4</v>
      </c>
      <c r="O397" s="1460">
        <v>12</v>
      </c>
      <c r="P397" s="1463" t="s">
        <v>996</v>
      </c>
      <c r="Q397" s="1466">
        <v>2000</v>
      </c>
      <c r="R397" s="1466">
        <v>1950</v>
      </c>
      <c r="S397" s="1469">
        <f t="shared" si="23"/>
        <v>3950</v>
      </c>
      <c r="T397" s="2991">
        <v>752000</v>
      </c>
      <c r="U397" s="1469">
        <f t="shared" si="24"/>
        <v>733200</v>
      </c>
      <c r="V397" s="1469">
        <f t="shared" si="25"/>
        <v>1485200</v>
      </c>
      <c r="W397" s="2993">
        <v>175140</v>
      </c>
      <c r="X397" s="1459">
        <f t="shared" si="26"/>
        <v>170761.5</v>
      </c>
      <c r="Y397" s="1459">
        <f t="shared" si="27"/>
        <v>345901.5</v>
      </c>
      <c r="Z397" s="1482"/>
      <c r="AA397" s="1456"/>
    </row>
    <row r="398" spans="8:27">
      <c r="H398" s="2224" t="s">
        <v>1603</v>
      </c>
      <c r="I398" s="2229">
        <v>360</v>
      </c>
      <c r="J398" s="1470" t="s">
        <v>110</v>
      </c>
      <c r="K398" s="1460" t="s">
        <v>845</v>
      </c>
      <c r="L398" s="1467">
        <v>91</v>
      </c>
      <c r="M398" s="1467">
        <v>63.699999999999996</v>
      </c>
      <c r="N398" s="1461">
        <v>2.0899998422153586E-2</v>
      </c>
      <c r="O398" s="1460">
        <v>12</v>
      </c>
      <c r="P398" s="1463" t="s">
        <v>996</v>
      </c>
      <c r="Q398" s="1466">
        <v>1000</v>
      </c>
      <c r="R398" s="1466">
        <v>1000</v>
      </c>
      <c r="S398" s="1469">
        <f t="shared" si="23"/>
        <v>2000</v>
      </c>
      <c r="T398" s="2991">
        <v>360000</v>
      </c>
      <c r="U398" s="1469">
        <f t="shared" si="24"/>
        <v>360000</v>
      </c>
      <c r="V398" s="1469">
        <f t="shared" si="25"/>
        <v>720000</v>
      </c>
      <c r="W398" s="2993">
        <v>63699.999999999993</v>
      </c>
      <c r="X398" s="1459">
        <f t="shared" si="26"/>
        <v>63699.999999999993</v>
      </c>
      <c r="Y398" s="1459">
        <f t="shared" si="27"/>
        <v>127399.99999999999</v>
      </c>
      <c r="Z398" s="1482"/>
      <c r="AA398" s="1456"/>
    </row>
    <row r="399" spans="8:27">
      <c r="H399" s="2224" t="s">
        <v>1279</v>
      </c>
      <c r="I399" s="2229">
        <v>562</v>
      </c>
      <c r="J399" s="1470" t="s">
        <v>110</v>
      </c>
      <c r="K399" s="1460" t="s">
        <v>845</v>
      </c>
      <c r="L399" s="1467">
        <v>101.63</v>
      </c>
      <c r="M399" s="1467">
        <v>71.140999999999991</v>
      </c>
      <c r="N399" s="1461">
        <v>1.4536880090656331E-3</v>
      </c>
      <c r="O399" s="1460">
        <v>12</v>
      </c>
      <c r="P399" s="1463" t="s">
        <v>996</v>
      </c>
      <c r="Q399" s="1466">
        <v>25</v>
      </c>
      <c r="R399" s="1466">
        <v>25</v>
      </c>
      <c r="S399" s="1469">
        <f t="shared" si="23"/>
        <v>50</v>
      </c>
      <c r="T399" s="2991">
        <v>14050</v>
      </c>
      <c r="U399" s="1469">
        <f t="shared" si="24"/>
        <v>14050</v>
      </c>
      <c r="V399" s="1469">
        <f t="shared" si="25"/>
        <v>28100</v>
      </c>
      <c r="W399" s="2993">
        <v>1778.5249999999999</v>
      </c>
      <c r="X399" s="1459">
        <f t="shared" si="26"/>
        <v>1778.5249999999999</v>
      </c>
      <c r="Y399" s="1459">
        <f t="shared" si="27"/>
        <v>3557.0499999999997</v>
      </c>
      <c r="Z399" s="1482"/>
      <c r="AA399" s="1456"/>
    </row>
    <row r="400" spans="8:27">
      <c r="H400" s="2224" t="s">
        <v>1279</v>
      </c>
      <c r="I400" s="2229">
        <v>413</v>
      </c>
      <c r="J400" s="1470" t="s">
        <v>110</v>
      </c>
      <c r="K400" s="1460" t="s">
        <v>845</v>
      </c>
      <c r="L400" s="1467">
        <v>101.63</v>
      </c>
      <c r="M400" s="1467">
        <v>71.140999999999991</v>
      </c>
      <c r="N400" s="1461">
        <v>1.0682796223204741E-3</v>
      </c>
      <c r="O400" s="1460">
        <v>12</v>
      </c>
      <c r="P400" s="1463" t="s">
        <v>996</v>
      </c>
      <c r="Q400" s="1466">
        <v>25</v>
      </c>
      <c r="R400" s="1466">
        <v>25</v>
      </c>
      <c r="S400" s="1469">
        <f t="shared" si="23"/>
        <v>50</v>
      </c>
      <c r="T400" s="2991">
        <v>10325</v>
      </c>
      <c r="U400" s="1469">
        <f t="shared" si="24"/>
        <v>10325</v>
      </c>
      <c r="V400" s="1469">
        <f t="shared" si="25"/>
        <v>20650</v>
      </c>
      <c r="W400" s="2993">
        <v>1778.5249999999999</v>
      </c>
      <c r="X400" s="1459">
        <f t="shared" si="26"/>
        <v>1778.5249999999999</v>
      </c>
      <c r="Y400" s="1459">
        <f t="shared" si="27"/>
        <v>3557.0499999999997</v>
      </c>
      <c r="Z400" s="1482"/>
      <c r="AA400" s="1456"/>
    </row>
    <row r="401" spans="8:27">
      <c r="H401" s="2224" t="s">
        <v>1604</v>
      </c>
      <c r="I401" s="2229">
        <v>1016</v>
      </c>
      <c r="J401" s="1470" t="s">
        <v>110</v>
      </c>
      <c r="K401" s="1460" t="s">
        <v>845</v>
      </c>
      <c r="L401" s="1467">
        <v>88.83</v>
      </c>
      <c r="M401" s="1467">
        <v>62.180999999999997</v>
      </c>
      <c r="N401" s="1461">
        <v>4.6145541070695538E-2</v>
      </c>
      <c r="O401" s="1460">
        <v>12</v>
      </c>
      <c r="P401" s="1463" t="s">
        <v>996</v>
      </c>
      <c r="Q401" s="1466">
        <v>300</v>
      </c>
      <c r="R401" s="1466">
        <v>300</v>
      </c>
      <c r="S401" s="1469">
        <f t="shared" si="23"/>
        <v>600</v>
      </c>
      <c r="T401" s="2991">
        <v>304800</v>
      </c>
      <c r="U401" s="1469">
        <f t="shared" si="24"/>
        <v>304800</v>
      </c>
      <c r="V401" s="1469">
        <f t="shared" si="25"/>
        <v>609600</v>
      </c>
      <c r="W401" s="2993">
        <v>18654.3</v>
      </c>
      <c r="X401" s="1459">
        <f t="shared" si="26"/>
        <v>18654.3</v>
      </c>
      <c r="Y401" s="1459">
        <f t="shared" si="27"/>
        <v>37308.6</v>
      </c>
      <c r="Z401" s="1482"/>
      <c r="AA401" s="1456"/>
    </row>
    <row r="402" spans="8:27">
      <c r="H402" s="2224" t="s">
        <v>1281</v>
      </c>
      <c r="I402" s="2229">
        <v>599</v>
      </c>
      <c r="J402" s="1470" t="s">
        <v>110</v>
      </c>
      <c r="K402" s="1460" t="s">
        <v>845</v>
      </c>
      <c r="L402" s="1467">
        <v>92.68</v>
      </c>
      <c r="M402" s="1467">
        <v>64.876000000000005</v>
      </c>
      <c r="N402" s="1461">
        <v>1.5493934473849006E-3</v>
      </c>
      <c r="O402" s="1460">
        <v>12</v>
      </c>
      <c r="P402" s="1463" t="s">
        <v>996</v>
      </c>
      <c r="Q402" s="1466">
        <v>25</v>
      </c>
      <c r="R402" s="1466">
        <v>25</v>
      </c>
      <c r="S402" s="1469">
        <f t="shared" si="23"/>
        <v>50</v>
      </c>
      <c r="T402" s="2991">
        <v>14975</v>
      </c>
      <c r="U402" s="1469">
        <f t="shared" si="24"/>
        <v>14975</v>
      </c>
      <c r="V402" s="1469">
        <f t="shared" si="25"/>
        <v>29950</v>
      </c>
      <c r="W402" s="2993">
        <v>1621.9</v>
      </c>
      <c r="X402" s="1459">
        <f t="shared" si="26"/>
        <v>1621.9</v>
      </c>
      <c r="Y402" s="1459">
        <f t="shared" si="27"/>
        <v>3243.8</v>
      </c>
      <c r="Z402" s="1482"/>
      <c r="AA402" s="1456"/>
    </row>
    <row r="403" spans="8:27">
      <c r="H403" s="2224" t="s">
        <v>1281</v>
      </c>
      <c r="I403" s="2229">
        <v>450</v>
      </c>
      <c r="J403" s="1470" t="s">
        <v>110</v>
      </c>
      <c r="K403" s="1460" t="s">
        <v>845</v>
      </c>
      <c r="L403" s="1467">
        <v>92.68</v>
      </c>
      <c r="M403" s="1467">
        <v>64.876000000000005</v>
      </c>
      <c r="N403" s="1461">
        <v>1.1639850606397417E-3</v>
      </c>
      <c r="O403" s="1460">
        <v>12</v>
      </c>
      <c r="P403" s="1463" t="s">
        <v>996</v>
      </c>
      <c r="Q403" s="1466">
        <v>25</v>
      </c>
      <c r="R403" s="1466">
        <v>25</v>
      </c>
      <c r="S403" s="1469">
        <f t="shared" si="23"/>
        <v>50</v>
      </c>
      <c r="T403" s="2991">
        <v>11250</v>
      </c>
      <c r="U403" s="1469">
        <f t="shared" si="24"/>
        <v>11250</v>
      </c>
      <c r="V403" s="1469">
        <f t="shared" si="25"/>
        <v>22500</v>
      </c>
      <c r="W403" s="2993">
        <v>1621.9</v>
      </c>
      <c r="X403" s="1459">
        <f t="shared" si="26"/>
        <v>1621.9</v>
      </c>
      <c r="Y403" s="1459">
        <f t="shared" si="27"/>
        <v>3243.8</v>
      </c>
      <c r="Z403" s="1482"/>
      <c r="AA403" s="1456"/>
    </row>
    <row r="404" spans="8:27">
      <c r="H404" s="2224" t="s">
        <v>1605</v>
      </c>
      <c r="I404" s="2229">
        <v>260</v>
      </c>
      <c r="J404" s="1470" t="s">
        <v>110</v>
      </c>
      <c r="K404" s="1460" t="s">
        <v>845</v>
      </c>
      <c r="L404" s="1467">
        <v>97.5</v>
      </c>
      <c r="M404" s="1467">
        <v>68.25</v>
      </c>
      <c r="N404" s="1461">
        <v>7.9668310817120093E-3</v>
      </c>
      <c r="O404" s="1460">
        <v>12</v>
      </c>
      <c r="P404" s="1463" t="s">
        <v>996</v>
      </c>
      <c r="Q404" s="1466">
        <v>1000</v>
      </c>
      <c r="R404" s="1466">
        <v>1000</v>
      </c>
      <c r="S404" s="1469">
        <f t="shared" si="23"/>
        <v>2000</v>
      </c>
      <c r="T404" s="2991">
        <v>260000</v>
      </c>
      <c r="U404" s="1469">
        <f t="shared" si="24"/>
        <v>260000</v>
      </c>
      <c r="V404" s="1469">
        <f t="shared" si="25"/>
        <v>520000</v>
      </c>
      <c r="W404" s="2993">
        <v>68250</v>
      </c>
      <c r="X404" s="1459">
        <f t="shared" si="26"/>
        <v>68250</v>
      </c>
      <c r="Y404" s="1459">
        <f t="shared" si="27"/>
        <v>136500</v>
      </c>
      <c r="Z404" s="1482"/>
      <c r="AA404" s="1456"/>
    </row>
    <row r="405" spans="8:27">
      <c r="H405" s="2224" t="s">
        <v>1283</v>
      </c>
      <c r="I405" s="2229">
        <v>231</v>
      </c>
      <c r="J405" s="1470" t="s">
        <v>110</v>
      </c>
      <c r="K405" s="1460" t="s">
        <v>845</v>
      </c>
      <c r="L405" s="1467">
        <v>95.12</v>
      </c>
      <c r="M405" s="1467">
        <v>66.584000000000003</v>
      </c>
      <c r="N405" s="1461">
        <v>5.9751233112840076E-4</v>
      </c>
      <c r="O405" s="1460">
        <v>12</v>
      </c>
      <c r="P405" s="1463" t="s">
        <v>996</v>
      </c>
      <c r="Q405" s="1466">
        <v>25</v>
      </c>
      <c r="R405" s="1466">
        <v>25</v>
      </c>
      <c r="S405" s="1469">
        <f t="shared" si="23"/>
        <v>50</v>
      </c>
      <c r="T405" s="2991">
        <v>5775</v>
      </c>
      <c r="U405" s="1469">
        <f t="shared" si="24"/>
        <v>5775</v>
      </c>
      <c r="V405" s="1469">
        <f t="shared" si="25"/>
        <v>11550</v>
      </c>
      <c r="W405" s="2993">
        <v>1664.6000000000001</v>
      </c>
      <c r="X405" s="1459">
        <f t="shared" si="26"/>
        <v>1664.6000000000001</v>
      </c>
      <c r="Y405" s="1459">
        <f t="shared" si="27"/>
        <v>3329.2000000000003</v>
      </c>
      <c r="Z405" s="1482"/>
      <c r="AA405" s="1456"/>
    </row>
    <row r="406" spans="8:27">
      <c r="H406" s="2224" t="s">
        <v>1283</v>
      </c>
      <c r="I406" s="2229">
        <v>165</v>
      </c>
      <c r="J406" s="1470" t="s">
        <v>110</v>
      </c>
      <c r="K406" s="1460" t="s">
        <v>845</v>
      </c>
      <c r="L406" s="1467">
        <v>95.12</v>
      </c>
      <c r="M406" s="1467">
        <v>66.584000000000003</v>
      </c>
      <c r="N406" s="1461">
        <v>4.2679452223457197E-4</v>
      </c>
      <c r="O406" s="1460">
        <v>12</v>
      </c>
      <c r="P406" s="1463" t="s">
        <v>996</v>
      </c>
      <c r="Q406" s="1466">
        <v>25</v>
      </c>
      <c r="R406" s="1466">
        <v>25</v>
      </c>
      <c r="S406" s="1469">
        <f t="shared" si="23"/>
        <v>50</v>
      </c>
      <c r="T406" s="2991">
        <v>4125</v>
      </c>
      <c r="U406" s="1469">
        <f t="shared" si="24"/>
        <v>4125</v>
      </c>
      <c r="V406" s="1469">
        <f t="shared" si="25"/>
        <v>8250</v>
      </c>
      <c r="W406" s="2993">
        <v>1664.6000000000001</v>
      </c>
      <c r="X406" s="1459">
        <f t="shared" si="26"/>
        <v>1664.6000000000001</v>
      </c>
      <c r="Y406" s="1459">
        <f t="shared" si="27"/>
        <v>3329.2000000000003</v>
      </c>
      <c r="Z406" s="1482"/>
      <c r="AA406" s="1456"/>
    </row>
    <row r="407" spans="8:27">
      <c r="H407" s="2224" t="s">
        <v>1606</v>
      </c>
      <c r="I407" s="2229">
        <v>516</v>
      </c>
      <c r="J407" s="1470" t="s">
        <v>110</v>
      </c>
      <c r="K407" s="1460" t="s">
        <v>845</v>
      </c>
      <c r="L407" s="1467">
        <v>98</v>
      </c>
      <c r="M407" s="1467">
        <v>68.599999999999994</v>
      </c>
      <c r="N407" s="1461">
        <v>1.0656929888523858E-2</v>
      </c>
      <c r="O407" s="1460">
        <v>12</v>
      </c>
      <c r="P407" s="1463" t="s">
        <v>996</v>
      </c>
      <c r="Q407" s="1466">
        <v>1000</v>
      </c>
      <c r="R407" s="1466">
        <v>1000</v>
      </c>
      <c r="S407" s="1469">
        <f t="shared" si="23"/>
        <v>2000</v>
      </c>
      <c r="T407" s="2991">
        <v>516000</v>
      </c>
      <c r="U407" s="1469">
        <f t="shared" si="24"/>
        <v>516000</v>
      </c>
      <c r="V407" s="1469">
        <f t="shared" si="25"/>
        <v>1032000</v>
      </c>
      <c r="W407" s="2993">
        <v>68600</v>
      </c>
      <c r="X407" s="1459">
        <f t="shared" si="26"/>
        <v>68600</v>
      </c>
      <c r="Y407" s="1459">
        <f t="shared" si="27"/>
        <v>137200</v>
      </c>
      <c r="Z407" s="1482"/>
      <c r="AA407" s="1456"/>
    </row>
    <row r="408" spans="8:27">
      <c r="H408" s="2224" t="s">
        <v>1285</v>
      </c>
      <c r="I408" s="2229">
        <v>467</v>
      </c>
      <c r="J408" s="1470" t="s">
        <v>110</v>
      </c>
      <c r="K408" s="1460" t="s">
        <v>845</v>
      </c>
      <c r="L408" s="1467">
        <v>143.55000000000001</v>
      </c>
      <c r="M408" s="1467">
        <v>100.485</v>
      </c>
      <c r="N408" s="1461">
        <v>1.2079578295972431E-3</v>
      </c>
      <c r="O408" s="1460">
        <v>12</v>
      </c>
      <c r="P408" s="1463" t="s">
        <v>996</v>
      </c>
      <c r="Q408" s="1466">
        <v>500</v>
      </c>
      <c r="R408" s="1466">
        <v>500</v>
      </c>
      <c r="S408" s="1469">
        <f t="shared" si="23"/>
        <v>1000</v>
      </c>
      <c r="T408" s="2991">
        <v>233500</v>
      </c>
      <c r="U408" s="1469">
        <f t="shared" si="24"/>
        <v>233500</v>
      </c>
      <c r="V408" s="1469">
        <f t="shared" si="25"/>
        <v>467000</v>
      </c>
      <c r="W408" s="2993">
        <v>50242.5</v>
      </c>
      <c r="X408" s="1459">
        <f t="shared" si="26"/>
        <v>50242.5</v>
      </c>
      <c r="Y408" s="1459">
        <f t="shared" si="27"/>
        <v>100485</v>
      </c>
      <c r="Z408" s="1482"/>
      <c r="AA408" s="1456"/>
    </row>
    <row r="409" spans="8:27">
      <c r="H409" s="2224" t="s">
        <v>1285</v>
      </c>
      <c r="I409" s="2229">
        <v>335</v>
      </c>
      <c r="J409" s="1470" t="s">
        <v>110</v>
      </c>
      <c r="K409" s="1460" t="s">
        <v>845</v>
      </c>
      <c r="L409" s="1467">
        <v>143.55000000000001</v>
      </c>
      <c r="M409" s="1467">
        <v>83.75</v>
      </c>
      <c r="N409" s="1461">
        <v>8.6652221180958549E-4</v>
      </c>
      <c r="O409" s="1460">
        <v>12</v>
      </c>
      <c r="P409" s="1463" t="s">
        <v>996</v>
      </c>
      <c r="Q409" s="1466">
        <v>25</v>
      </c>
      <c r="R409" s="1466">
        <v>25</v>
      </c>
      <c r="S409" s="1469">
        <f t="shared" si="23"/>
        <v>50</v>
      </c>
      <c r="T409" s="2991">
        <v>8375</v>
      </c>
      <c r="U409" s="1469">
        <f t="shared" si="24"/>
        <v>8375</v>
      </c>
      <c r="V409" s="1469">
        <f t="shared" si="25"/>
        <v>16750</v>
      </c>
      <c r="W409" s="2993">
        <v>2093.75</v>
      </c>
      <c r="X409" s="1459">
        <f t="shared" si="26"/>
        <v>2093.75</v>
      </c>
      <c r="Y409" s="1459">
        <f t="shared" si="27"/>
        <v>4187.5</v>
      </c>
      <c r="Z409" s="1482"/>
      <c r="AA409" s="1456"/>
    </row>
    <row r="410" spans="8:27">
      <c r="H410" s="2224" t="s">
        <v>1607</v>
      </c>
      <c r="I410" s="2229">
        <v>50</v>
      </c>
      <c r="J410" s="1470" t="s">
        <v>110</v>
      </c>
      <c r="K410" s="1460" t="s">
        <v>845</v>
      </c>
      <c r="L410" s="1467">
        <v>78</v>
      </c>
      <c r="M410" s="1467">
        <v>12.5</v>
      </c>
      <c r="N410" s="1461">
        <v>2.5866334680883147E-3</v>
      </c>
      <c r="O410" s="1460">
        <v>12</v>
      </c>
      <c r="P410" s="1463" t="s">
        <v>996</v>
      </c>
      <c r="Q410" s="1466">
        <v>500</v>
      </c>
      <c r="R410" s="1466">
        <v>500</v>
      </c>
      <c r="S410" s="1469">
        <f t="shared" si="23"/>
        <v>1000</v>
      </c>
      <c r="T410" s="2991">
        <v>25000</v>
      </c>
      <c r="U410" s="1469">
        <f t="shared" si="24"/>
        <v>25000</v>
      </c>
      <c r="V410" s="1469">
        <f t="shared" si="25"/>
        <v>50000</v>
      </c>
      <c r="W410" s="2993">
        <v>6250</v>
      </c>
      <c r="X410" s="1459">
        <f t="shared" si="26"/>
        <v>6250</v>
      </c>
      <c r="Y410" s="1459">
        <f t="shared" si="27"/>
        <v>12500</v>
      </c>
      <c r="Z410" s="1482"/>
      <c r="AA410" s="1456"/>
    </row>
    <row r="411" spans="8:27">
      <c r="H411" s="2224" t="s">
        <v>1283</v>
      </c>
      <c r="I411" s="2229">
        <v>355</v>
      </c>
      <c r="J411" s="1470" t="s">
        <v>110</v>
      </c>
      <c r="K411" s="1460" t="s">
        <v>845</v>
      </c>
      <c r="L411" s="1467">
        <v>95.95</v>
      </c>
      <c r="M411" s="1467">
        <v>67.164999999999992</v>
      </c>
      <c r="N411" s="1461">
        <v>9.1825488117135178E-4</v>
      </c>
      <c r="O411" s="1460">
        <v>12</v>
      </c>
      <c r="P411" s="1463" t="s">
        <v>996</v>
      </c>
      <c r="Q411" s="1466">
        <v>30</v>
      </c>
      <c r="R411" s="1466">
        <v>30</v>
      </c>
      <c r="S411" s="1469">
        <f t="shared" si="23"/>
        <v>60</v>
      </c>
      <c r="T411" s="2991">
        <v>10650</v>
      </c>
      <c r="U411" s="1469">
        <f t="shared" si="24"/>
        <v>10650</v>
      </c>
      <c r="V411" s="1469">
        <f t="shared" si="25"/>
        <v>21300</v>
      </c>
      <c r="W411" s="2993">
        <v>2014.9499999999998</v>
      </c>
      <c r="X411" s="1459">
        <f t="shared" si="26"/>
        <v>2014.9499999999998</v>
      </c>
      <c r="Y411" s="1459">
        <f t="shared" si="27"/>
        <v>4029.8999999999996</v>
      </c>
      <c r="Z411" s="1482"/>
      <c r="AA411" s="1456"/>
    </row>
    <row r="412" spans="8:27">
      <c r="H412" s="2224" t="s">
        <v>1608</v>
      </c>
      <c r="I412" s="2229">
        <v>103</v>
      </c>
      <c r="J412" s="1470" t="s">
        <v>110</v>
      </c>
      <c r="K412" s="1460" t="s">
        <v>845</v>
      </c>
      <c r="L412" s="1467">
        <v>90.25</v>
      </c>
      <c r="M412" s="1467">
        <v>25.75</v>
      </c>
      <c r="N412" s="1461">
        <v>5.3388114781342817E-2</v>
      </c>
      <c r="O412" s="1460">
        <v>12</v>
      </c>
      <c r="P412" s="1463" t="s">
        <v>996</v>
      </c>
      <c r="Q412" s="1466">
        <v>1000</v>
      </c>
      <c r="R412" s="1466">
        <v>1000</v>
      </c>
      <c r="S412" s="1469">
        <f t="shared" si="23"/>
        <v>2000</v>
      </c>
      <c r="T412" s="2991">
        <v>103000</v>
      </c>
      <c r="U412" s="1469">
        <f t="shared" si="24"/>
        <v>103000</v>
      </c>
      <c r="V412" s="1469">
        <f t="shared" si="25"/>
        <v>206000</v>
      </c>
      <c r="W412" s="2993">
        <v>25750</v>
      </c>
      <c r="X412" s="1459">
        <f t="shared" si="26"/>
        <v>25750</v>
      </c>
      <c r="Y412" s="1459">
        <f t="shared" si="27"/>
        <v>51500</v>
      </c>
      <c r="Z412" s="1482"/>
      <c r="AA412" s="1456"/>
    </row>
    <row r="413" spans="8:27">
      <c r="H413" s="2224" t="s">
        <v>1287</v>
      </c>
      <c r="I413" s="2229">
        <v>116</v>
      </c>
      <c r="J413" s="1470" t="s">
        <v>110</v>
      </c>
      <c r="K413" s="1460" t="s">
        <v>845</v>
      </c>
      <c r="L413" s="1467">
        <v>144.38</v>
      </c>
      <c r="M413" s="1467">
        <v>29</v>
      </c>
      <c r="N413" s="1461">
        <v>3.0004948229824451E-4</v>
      </c>
      <c r="O413" s="1460">
        <v>12</v>
      </c>
      <c r="P413" s="1463" t="s">
        <v>996</v>
      </c>
      <c r="Q413" s="1466">
        <v>25</v>
      </c>
      <c r="R413" s="1466">
        <v>25</v>
      </c>
      <c r="S413" s="1469">
        <f t="shared" si="23"/>
        <v>50</v>
      </c>
      <c r="T413" s="2991">
        <v>2900</v>
      </c>
      <c r="U413" s="1469">
        <f t="shared" si="24"/>
        <v>2900</v>
      </c>
      <c r="V413" s="1469">
        <f t="shared" si="25"/>
        <v>5800</v>
      </c>
      <c r="W413" s="2993">
        <v>725</v>
      </c>
      <c r="X413" s="1459">
        <f t="shared" si="26"/>
        <v>725</v>
      </c>
      <c r="Y413" s="1459">
        <f t="shared" si="27"/>
        <v>1450</v>
      </c>
      <c r="Z413" s="1482"/>
      <c r="AA413" s="1456"/>
    </row>
    <row r="414" spans="8:27">
      <c r="H414" s="2224" t="s">
        <v>1609</v>
      </c>
      <c r="I414" s="2229">
        <v>397</v>
      </c>
      <c r="J414" s="1470" t="s">
        <v>110</v>
      </c>
      <c r="K414" s="1460" t="s">
        <v>845</v>
      </c>
      <c r="L414" s="1467">
        <v>114.17</v>
      </c>
      <c r="M414" s="1467">
        <v>79.918999999999997</v>
      </c>
      <c r="N414" s="1461">
        <v>4.1075739473242438E-2</v>
      </c>
      <c r="O414" s="1460">
        <v>12</v>
      </c>
      <c r="P414" s="1463" t="s">
        <v>996</v>
      </c>
      <c r="Q414" s="1466">
        <v>1000</v>
      </c>
      <c r="R414" s="1466">
        <v>1000</v>
      </c>
      <c r="S414" s="1469">
        <f t="shared" si="23"/>
        <v>2000</v>
      </c>
      <c r="T414" s="2991">
        <v>397000</v>
      </c>
      <c r="U414" s="1469">
        <f t="shared" si="24"/>
        <v>397000</v>
      </c>
      <c r="V414" s="1469">
        <f t="shared" si="25"/>
        <v>794000</v>
      </c>
      <c r="W414" s="2993">
        <v>79919</v>
      </c>
      <c r="X414" s="1459">
        <f t="shared" si="26"/>
        <v>79919</v>
      </c>
      <c r="Y414" s="1459">
        <f t="shared" si="27"/>
        <v>159838</v>
      </c>
      <c r="Z414" s="1482"/>
      <c r="AA414" s="1456"/>
    </row>
    <row r="415" spans="8:27">
      <c r="H415" s="2224" t="s">
        <v>1289</v>
      </c>
      <c r="I415" s="2229">
        <v>405</v>
      </c>
      <c r="J415" s="1470" t="s">
        <v>110</v>
      </c>
      <c r="K415" s="1460" t="s">
        <v>845</v>
      </c>
      <c r="L415" s="1467">
        <v>92.68</v>
      </c>
      <c r="M415" s="1467">
        <v>64.876000000000005</v>
      </c>
      <c r="N415" s="1461">
        <v>1.0475865545757676E-3</v>
      </c>
      <c r="O415" s="1460">
        <v>12</v>
      </c>
      <c r="P415" s="1463" t="s">
        <v>996</v>
      </c>
      <c r="Q415" s="1466">
        <v>25</v>
      </c>
      <c r="R415" s="1466">
        <v>25</v>
      </c>
      <c r="S415" s="1469">
        <f t="shared" si="23"/>
        <v>50</v>
      </c>
      <c r="T415" s="2991">
        <v>10125</v>
      </c>
      <c r="U415" s="1469">
        <f t="shared" si="24"/>
        <v>10125</v>
      </c>
      <c r="V415" s="1469">
        <f t="shared" si="25"/>
        <v>20250</v>
      </c>
      <c r="W415" s="2993">
        <v>1621.9</v>
      </c>
      <c r="X415" s="1459">
        <f t="shared" si="26"/>
        <v>1621.9</v>
      </c>
      <c r="Y415" s="1459">
        <f t="shared" si="27"/>
        <v>3243.8</v>
      </c>
      <c r="Z415" s="1482"/>
      <c r="AA415" s="1456"/>
    </row>
    <row r="416" spans="8:27">
      <c r="H416" s="2224" t="s">
        <v>1290</v>
      </c>
      <c r="I416" s="2229">
        <v>1557</v>
      </c>
      <c r="J416" s="1470" t="s">
        <v>110</v>
      </c>
      <c r="K416" s="1460" t="s">
        <v>845</v>
      </c>
      <c r="L416" s="1467">
        <v>297.7</v>
      </c>
      <c r="M416" s="1467">
        <v>208.39</v>
      </c>
      <c r="N416" s="1461">
        <v>1.0475865545757676E-3</v>
      </c>
      <c r="O416" s="1460">
        <v>12</v>
      </c>
      <c r="P416" s="1463" t="s">
        <v>996</v>
      </c>
      <c r="Q416" s="1466">
        <v>20</v>
      </c>
      <c r="R416" s="1466">
        <v>20</v>
      </c>
      <c r="S416" s="1469">
        <f t="shared" si="23"/>
        <v>40</v>
      </c>
      <c r="T416" s="2991">
        <v>31140</v>
      </c>
      <c r="U416" s="1469">
        <f t="shared" si="24"/>
        <v>31140</v>
      </c>
      <c r="V416" s="1469">
        <f t="shared" si="25"/>
        <v>62280</v>
      </c>
      <c r="W416" s="2993">
        <v>4167.7999999999993</v>
      </c>
      <c r="X416" s="1459">
        <f t="shared" si="26"/>
        <v>4167.7999999999993</v>
      </c>
      <c r="Y416" s="1459">
        <f t="shared" si="27"/>
        <v>8335.5999999999985</v>
      </c>
      <c r="Z416" s="1482"/>
      <c r="AA416" s="1456"/>
    </row>
    <row r="417" spans="8:27">
      <c r="H417" s="2224" t="s">
        <v>1290</v>
      </c>
      <c r="I417" s="2229">
        <v>1656</v>
      </c>
      <c r="J417" s="1470" t="s">
        <v>110</v>
      </c>
      <c r="K417" s="1460" t="s">
        <v>845</v>
      </c>
      <c r="L417" s="1467">
        <v>578.5</v>
      </c>
      <c r="M417" s="1467">
        <v>404.95</v>
      </c>
      <c r="N417" s="1461">
        <v>8.0547766196270125E-3</v>
      </c>
      <c r="O417" s="1460">
        <v>12</v>
      </c>
      <c r="P417" s="1463" t="s">
        <v>996</v>
      </c>
      <c r="Q417" s="1466">
        <v>25</v>
      </c>
      <c r="R417" s="1466">
        <v>25</v>
      </c>
      <c r="S417" s="1469">
        <f t="shared" si="23"/>
        <v>50</v>
      </c>
      <c r="T417" s="2991">
        <v>41400</v>
      </c>
      <c r="U417" s="1469">
        <f t="shared" si="24"/>
        <v>41400</v>
      </c>
      <c r="V417" s="1469">
        <f t="shared" si="25"/>
        <v>82800</v>
      </c>
      <c r="W417" s="2993">
        <v>10123.75</v>
      </c>
      <c r="X417" s="1459">
        <f t="shared" si="26"/>
        <v>10123.75</v>
      </c>
      <c r="Y417" s="1459">
        <f t="shared" si="27"/>
        <v>20247.5</v>
      </c>
      <c r="Z417" s="1482"/>
      <c r="AA417" s="1456"/>
    </row>
    <row r="418" spans="8:27">
      <c r="H418" s="2224" t="s">
        <v>1610</v>
      </c>
      <c r="I418" s="2229">
        <v>1107</v>
      </c>
      <c r="J418" s="1470" t="s">
        <v>110</v>
      </c>
      <c r="K418" s="1460" t="s">
        <v>845</v>
      </c>
      <c r="L418" s="1467">
        <v>236.54</v>
      </c>
      <c r="M418" s="1467">
        <v>165.57799999999997</v>
      </c>
      <c r="N418" s="1461">
        <v>8.5669300463084991E-3</v>
      </c>
      <c r="O418" s="1460">
        <v>12</v>
      </c>
      <c r="P418" s="1463" t="s">
        <v>996</v>
      </c>
      <c r="Q418" s="1466">
        <v>100</v>
      </c>
      <c r="R418" s="1466">
        <v>100</v>
      </c>
      <c r="S418" s="1469">
        <f t="shared" si="23"/>
        <v>200</v>
      </c>
      <c r="T418" s="2991">
        <v>110700</v>
      </c>
      <c r="U418" s="1469">
        <f t="shared" si="24"/>
        <v>110700</v>
      </c>
      <c r="V418" s="1469">
        <f t="shared" si="25"/>
        <v>221400</v>
      </c>
      <c r="W418" s="2993">
        <v>16557.799999999996</v>
      </c>
      <c r="X418" s="1459">
        <f t="shared" si="26"/>
        <v>16557.799999999996</v>
      </c>
      <c r="Y418" s="1459">
        <f t="shared" si="27"/>
        <v>33115.599999999991</v>
      </c>
      <c r="Z418" s="1482"/>
      <c r="AA418" s="1456"/>
    </row>
    <row r="419" spans="8:27">
      <c r="H419" s="2224" t="s">
        <v>1611</v>
      </c>
      <c r="I419" s="2229">
        <v>202</v>
      </c>
      <c r="J419" s="1470" t="s">
        <v>110</v>
      </c>
      <c r="K419" s="1460" t="s">
        <v>845</v>
      </c>
      <c r="L419" s="1467">
        <v>108</v>
      </c>
      <c r="M419" s="1467">
        <v>50.5</v>
      </c>
      <c r="N419" s="1461">
        <v>0.11453612996695059</v>
      </c>
      <c r="O419" s="1460">
        <v>12</v>
      </c>
      <c r="P419" s="1463" t="s">
        <v>996</v>
      </c>
      <c r="Q419" s="1466">
        <v>750</v>
      </c>
      <c r="R419" s="1466">
        <v>750</v>
      </c>
      <c r="S419" s="1469">
        <f t="shared" si="23"/>
        <v>1500</v>
      </c>
      <c r="T419" s="2991">
        <v>151500</v>
      </c>
      <c r="U419" s="1469">
        <f t="shared" si="24"/>
        <v>151500</v>
      </c>
      <c r="V419" s="1469">
        <f t="shared" si="25"/>
        <v>303000</v>
      </c>
      <c r="W419" s="2993">
        <v>37875</v>
      </c>
      <c r="X419" s="1459">
        <f t="shared" si="26"/>
        <v>37875</v>
      </c>
      <c r="Y419" s="1459">
        <f t="shared" si="27"/>
        <v>75750</v>
      </c>
      <c r="Z419" s="1482"/>
      <c r="AA419" s="1456"/>
    </row>
    <row r="420" spans="8:27">
      <c r="H420" s="2224" t="s">
        <v>1293</v>
      </c>
      <c r="I420" s="2229">
        <v>368</v>
      </c>
      <c r="J420" s="1470" t="s">
        <v>110</v>
      </c>
      <c r="K420" s="1460" t="s">
        <v>845</v>
      </c>
      <c r="L420" s="1467">
        <v>108</v>
      </c>
      <c r="M420" s="1467">
        <v>75.599999999999994</v>
      </c>
      <c r="N420" s="1461">
        <v>1.2840048535590395E-2</v>
      </c>
      <c r="O420" s="1460">
        <v>12</v>
      </c>
      <c r="P420" s="1463" t="s">
        <v>996</v>
      </c>
      <c r="Q420" s="1466">
        <v>75</v>
      </c>
      <c r="R420" s="1466">
        <v>75</v>
      </c>
      <c r="S420" s="1469">
        <f t="shared" si="23"/>
        <v>150</v>
      </c>
      <c r="T420" s="2991">
        <v>27600</v>
      </c>
      <c r="U420" s="1469">
        <f t="shared" si="24"/>
        <v>27600</v>
      </c>
      <c r="V420" s="1469">
        <f t="shared" si="25"/>
        <v>55200</v>
      </c>
      <c r="W420" s="2993">
        <v>5670</v>
      </c>
      <c r="X420" s="1459">
        <f t="shared" si="26"/>
        <v>5670</v>
      </c>
      <c r="Y420" s="1459">
        <f t="shared" si="27"/>
        <v>11340</v>
      </c>
      <c r="Z420" s="1482"/>
      <c r="AA420" s="1456"/>
    </row>
    <row r="421" spans="8:27">
      <c r="H421" s="2224" t="s">
        <v>1294</v>
      </c>
      <c r="I421" s="2229">
        <v>479</v>
      </c>
      <c r="J421" s="1470" t="s">
        <v>110</v>
      </c>
      <c r="K421" s="1460" t="s">
        <v>845</v>
      </c>
      <c r="L421" s="1467">
        <v>109</v>
      </c>
      <c r="M421" s="1467">
        <v>76.3</v>
      </c>
      <c r="N421" s="1461">
        <v>1.0449999211076792E-4</v>
      </c>
      <c r="O421" s="1460">
        <v>12</v>
      </c>
      <c r="P421" s="1463" t="s">
        <v>996</v>
      </c>
      <c r="Q421" s="1466">
        <v>50</v>
      </c>
      <c r="R421" s="1466">
        <v>50</v>
      </c>
      <c r="S421" s="1469">
        <f t="shared" si="23"/>
        <v>100</v>
      </c>
      <c r="T421" s="2991">
        <v>23950</v>
      </c>
      <c r="U421" s="1469">
        <f t="shared" si="24"/>
        <v>23950</v>
      </c>
      <c r="V421" s="1469">
        <f t="shared" si="25"/>
        <v>47900</v>
      </c>
      <c r="W421" s="2993">
        <v>3815</v>
      </c>
      <c r="X421" s="1459">
        <f t="shared" si="26"/>
        <v>3815</v>
      </c>
      <c r="Y421" s="1459">
        <f t="shared" si="27"/>
        <v>7630</v>
      </c>
      <c r="Z421" s="1482"/>
      <c r="AA421" s="1456"/>
    </row>
    <row r="422" spans="8:27">
      <c r="H422" s="2224" t="s">
        <v>1295</v>
      </c>
      <c r="I422" s="2229">
        <v>793</v>
      </c>
      <c r="J422" s="2226" t="s">
        <v>110</v>
      </c>
      <c r="K422" s="2224" t="s">
        <v>845</v>
      </c>
      <c r="L422" s="2227">
        <v>111</v>
      </c>
      <c r="M422" s="2227">
        <v>77.699999999999989</v>
      </c>
      <c r="N422" s="2250">
        <v>1.9037622325129998E-3</v>
      </c>
      <c r="O422" s="2224">
        <v>12</v>
      </c>
      <c r="P422" s="2225" t="s">
        <v>996</v>
      </c>
      <c r="Q422" s="2229">
        <v>25</v>
      </c>
      <c r="R422" s="2229">
        <v>25</v>
      </c>
      <c r="S422" s="2228">
        <f t="shared" si="23"/>
        <v>50</v>
      </c>
      <c r="T422" s="2986">
        <v>19825</v>
      </c>
      <c r="U422" s="2228">
        <f t="shared" si="24"/>
        <v>19825</v>
      </c>
      <c r="V422" s="2228">
        <f t="shared" si="25"/>
        <v>39650</v>
      </c>
      <c r="W422" s="2990">
        <v>1942.4999999999998</v>
      </c>
      <c r="X422" s="2230">
        <f t="shared" si="26"/>
        <v>1942.4999999999998</v>
      </c>
      <c r="Y422" s="2230">
        <f t="shared" si="27"/>
        <v>3884.9999999999995</v>
      </c>
    </row>
    <row r="423" spans="8:27">
      <c r="H423" s="2224" t="s">
        <v>1296</v>
      </c>
      <c r="I423" s="2229">
        <v>685</v>
      </c>
      <c r="J423" s="2226" t="s">
        <v>110</v>
      </c>
      <c r="K423" s="2224" t="s">
        <v>845</v>
      </c>
      <c r="L423" s="2227">
        <v>211.25</v>
      </c>
      <c r="M423" s="2227">
        <v>147.875</v>
      </c>
      <c r="N423" s="2250">
        <v>1.2389974312143029E-3</v>
      </c>
      <c r="O423" s="2224">
        <v>12</v>
      </c>
      <c r="P423" s="2225" t="s">
        <v>996</v>
      </c>
      <c r="Q423" s="2229">
        <v>125</v>
      </c>
      <c r="R423" s="2229">
        <v>125</v>
      </c>
      <c r="S423" s="2228">
        <f t="shared" si="23"/>
        <v>250</v>
      </c>
      <c r="T423" s="2986">
        <v>85625</v>
      </c>
      <c r="U423" s="2228">
        <f t="shared" si="24"/>
        <v>85625</v>
      </c>
      <c r="V423" s="2228">
        <f t="shared" si="25"/>
        <v>171250</v>
      </c>
      <c r="W423" s="2990">
        <v>18484.375</v>
      </c>
      <c r="X423" s="2230">
        <f t="shared" si="26"/>
        <v>18484.375</v>
      </c>
      <c r="Y423" s="2230">
        <f t="shared" si="27"/>
        <v>36968.75</v>
      </c>
    </row>
    <row r="424" spans="8:27">
      <c r="H424" s="2224" t="s">
        <v>1297</v>
      </c>
      <c r="I424" s="2229">
        <v>685</v>
      </c>
      <c r="J424" s="2226" t="s">
        <v>110</v>
      </c>
      <c r="K424" s="2224" t="s">
        <v>845</v>
      </c>
      <c r="L424" s="2227">
        <v>430.4</v>
      </c>
      <c r="M424" s="2227">
        <v>171.25</v>
      </c>
      <c r="N424" s="2250">
        <v>2.0512003401940335E-3</v>
      </c>
      <c r="O424" s="2224">
        <v>12</v>
      </c>
      <c r="P424" s="2225" t="s">
        <v>996</v>
      </c>
      <c r="Q424" s="2229">
        <v>200</v>
      </c>
      <c r="R424" s="2229">
        <v>200</v>
      </c>
      <c r="S424" s="2228">
        <f t="shared" si="23"/>
        <v>400</v>
      </c>
      <c r="T424" s="2986">
        <v>137000</v>
      </c>
      <c r="U424" s="2228">
        <f t="shared" si="24"/>
        <v>137000</v>
      </c>
      <c r="V424" s="2228">
        <f t="shared" si="25"/>
        <v>274000</v>
      </c>
      <c r="W424" s="2990">
        <v>34250</v>
      </c>
      <c r="X424" s="2230">
        <f t="shared" si="26"/>
        <v>34250</v>
      </c>
      <c r="Y424" s="2230">
        <f t="shared" si="27"/>
        <v>68500</v>
      </c>
    </row>
    <row r="425" spans="8:27">
      <c r="H425" s="2224" t="s">
        <v>1612</v>
      </c>
      <c r="I425" s="2229">
        <v>601</v>
      </c>
      <c r="J425" s="2226" t="s">
        <v>110</v>
      </c>
      <c r="K425" s="2224" t="s">
        <v>845</v>
      </c>
      <c r="L425" s="2227">
        <v>156.25</v>
      </c>
      <c r="M425" s="2227">
        <v>109.375</v>
      </c>
      <c r="N425" s="2250">
        <v>1.4174751405123965E-2</v>
      </c>
      <c r="O425" s="2224">
        <v>12</v>
      </c>
      <c r="P425" s="2225" t="s">
        <v>996</v>
      </c>
      <c r="Q425" s="2229">
        <v>100</v>
      </c>
      <c r="R425" s="2229">
        <v>100</v>
      </c>
      <c r="S425" s="2228">
        <f t="shared" si="23"/>
        <v>200</v>
      </c>
      <c r="T425" s="2986">
        <v>60100</v>
      </c>
      <c r="U425" s="2228">
        <f t="shared" si="24"/>
        <v>60100</v>
      </c>
      <c r="V425" s="2228">
        <f t="shared" si="25"/>
        <v>120200</v>
      </c>
      <c r="W425" s="2990">
        <v>10937.5</v>
      </c>
      <c r="X425" s="2230">
        <f t="shared" si="26"/>
        <v>10937.5</v>
      </c>
      <c r="Y425" s="2230">
        <f t="shared" si="27"/>
        <v>21875</v>
      </c>
    </row>
    <row r="426" spans="8:27">
      <c r="H426" s="2224" t="s">
        <v>1299</v>
      </c>
      <c r="I426" s="2229">
        <v>190</v>
      </c>
      <c r="J426" s="2226" t="s">
        <v>110</v>
      </c>
      <c r="K426" s="2224" t="s">
        <v>845</v>
      </c>
      <c r="L426" s="2227">
        <v>81.900000000000006</v>
      </c>
      <c r="M426" s="2227">
        <v>47.5</v>
      </c>
      <c r="N426" s="2250">
        <v>2.6577658884607436E-2</v>
      </c>
      <c r="O426" s="2224">
        <v>12</v>
      </c>
      <c r="P426" s="2225" t="s">
        <v>996</v>
      </c>
      <c r="Q426" s="2229">
        <v>500</v>
      </c>
      <c r="R426" s="2229">
        <v>500</v>
      </c>
      <c r="S426" s="2228">
        <f t="shared" si="23"/>
        <v>1000</v>
      </c>
      <c r="T426" s="2986">
        <v>95000</v>
      </c>
      <c r="U426" s="2228">
        <f t="shared" si="24"/>
        <v>95000</v>
      </c>
      <c r="V426" s="2228">
        <f t="shared" si="25"/>
        <v>190000</v>
      </c>
      <c r="W426" s="2990">
        <v>23750</v>
      </c>
      <c r="X426" s="2230">
        <f t="shared" si="26"/>
        <v>23750</v>
      </c>
      <c r="Y426" s="2230">
        <f t="shared" si="27"/>
        <v>47500</v>
      </c>
    </row>
    <row r="427" spans="8:27">
      <c r="H427" s="2224" t="s">
        <v>1300</v>
      </c>
      <c r="I427" s="2229">
        <v>43</v>
      </c>
      <c r="J427" s="2226" t="s">
        <v>110</v>
      </c>
      <c r="K427" s="2224" t="s">
        <v>845</v>
      </c>
      <c r="L427" s="2227">
        <v>18.7</v>
      </c>
      <c r="M427" s="2227">
        <v>18.7</v>
      </c>
      <c r="N427" s="2250">
        <v>6.2182668572843089E-2</v>
      </c>
      <c r="O427" s="2224">
        <v>12</v>
      </c>
      <c r="P427" s="2225" t="s">
        <v>996</v>
      </c>
      <c r="Q427" s="2229">
        <v>275</v>
      </c>
      <c r="R427" s="2229">
        <v>275</v>
      </c>
      <c r="S427" s="2228">
        <f t="shared" si="23"/>
        <v>550</v>
      </c>
      <c r="T427" s="2986">
        <v>11825</v>
      </c>
      <c r="U427" s="2228">
        <f t="shared" si="24"/>
        <v>11825</v>
      </c>
      <c r="V427" s="2228">
        <f t="shared" si="25"/>
        <v>23650</v>
      </c>
      <c r="W427" s="2990">
        <v>5142.5</v>
      </c>
      <c r="X427" s="2230">
        <f t="shared" si="26"/>
        <v>5142.5</v>
      </c>
      <c r="Y427" s="2230">
        <f t="shared" si="27"/>
        <v>10285</v>
      </c>
    </row>
    <row r="428" spans="8:27">
      <c r="H428" s="2224" t="s">
        <v>1300</v>
      </c>
      <c r="I428" s="2229">
        <v>44</v>
      </c>
      <c r="J428" s="2226" t="s">
        <v>110</v>
      </c>
      <c r="K428" s="2224" t="s">
        <v>845</v>
      </c>
      <c r="L428" s="2227">
        <v>18.7</v>
      </c>
      <c r="M428" s="2227">
        <v>18.7</v>
      </c>
      <c r="N428" s="2250">
        <v>4.9146035893677985E-3</v>
      </c>
      <c r="O428" s="2224">
        <v>12</v>
      </c>
      <c r="P428" s="2225" t="s">
        <v>996</v>
      </c>
      <c r="Q428" s="2229">
        <v>50</v>
      </c>
      <c r="R428" s="2229">
        <v>50</v>
      </c>
      <c r="S428" s="2228">
        <f t="shared" si="23"/>
        <v>100</v>
      </c>
      <c r="T428" s="2986">
        <v>2200</v>
      </c>
      <c r="U428" s="2228">
        <f t="shared" si="24"/>
        <v>2200</v>
      </c>
      <c r="V428" s="2228">
        <f t="shared" si="25"/>
        <v>4400</v>
      </c>
      <c r="W428" s="2990">
        <v>935</v>
      </c>
      <c r="X428" s="2230">
        <f t="shared" si="26"/>
        <v>935</v>
      </c>
      <c r="Y428" s="2230">
        <f t="shared" si="27"/>
        <v>1870</v>
      </c>
    </row>
    <row r="429" spans="8:27">
      <c r="H429" s="2224" t="s">
        <v>1300</v>
      </c>
      <c r="I429" s="2229">
        <v>46</v>
      </c>
      <c r="J429" s="2226" t="s">
        <v>110</v>
      </c>
      <c r="K429" s="2224" t="s">
        <v>845</v>
      </c>
      <c r="L429" s="2227">
        <v>18.7</v>
      </c>
      <c r="M429" s="2227">
        <v>18.7</v>
      </c>
      <c r="N429" s="2250">
        <v>8.1220290897973094E-4</v>
      </c>
      <c r="O429" s="2224">
        <v>3</v>
      </c>
      <c r="P429" s="2225" t="s">
        <v>996</v>
      </c>
      <c r="Q429" s="2229">
        <v>1500</v>
      </c>
      <c r="R429" s="2229">
        <v>1500</v>
      </c>
      <c r="S429" s="2228">
        <f t="shared" si="23"/>
        <v>3000</v>
      </c>
      <c r="T429" s="2986">
        <v>69000</v>
      </c>
      <c r="U429" s="2228">
        <f t="shared" si="24"/>
        <v>69000</v>
      </c>
      <c r="V429" s="2228">
        <f t="shared" si="25"/>
        <v>138000</v>
      </c>
      <c r="W429" s="2990">
        <v>28050</v>
      </c>
      <c r="X429" s="2230">
        <f t="shared" si="26"/>
        <v>28050</v>
      </c>
      <c r="Y429" s="2230">
        <f t="shared" si="27"/>
        <v>56100</v>
      </c>
    </row>
    <row r="430" spans="8:27">
      <c r="H430" s="2224" t="s">
        <v>1300</v>
      </c>
      <c r="I430" s="2229">
        <v>58</v>
      </c>
      <c r="J430" s="2226" t="s">
        <v>110</v>
      </c>
      <c r="K430" s="2224" t="s">
        <v>845</v>
      </c>
      <c r="L430" s="2227">
        <v>18.7</v>
      </c>
      <c r="M430" s="2227">
        <v>18.7</v>
      </c>
      <c r="N430" s="2250">
        <v>3.0004948229824455E-3</v>
      </c>
      <c r="O430" s="2224">
        <v>3</v>
      </c>
      <c r="P430" s="2225" t="s">
        <v>996</v>
      </c>
      <c r="Q430" s="2229">
        <v>250</v>
      </c>
      <c r="R430" s="2229">
        <v>250</v>
      </c>
      <c r="S430" s="2228">
        <f t="shared" si="23"/>
        <v>500</v>
      </c>
      <c r="T430" s="2986">
        <v>14500</v>
      </c>
      <c r="U430" s="2228">
        <f t="shared" si="24"/>
        <v>14500</v>
      </c>
      <c r="V430" s="2228">
        <f t="shared" si="25"/>
        <v>29000</v>
      </c>
      <c r="W430" s="2990">
        <v>4675</v>
      </c>
      <c r="X430" s="2230">
        <f t="shared" si="26"/>
        <v>4675</v>
      </c>
      <c r="Y430" s="2230">
        <f t="shared" si="27"/>
        <v>9350</v>
      </c>
    </row>
    <row r="431" spans="8:27">
      <c r="H431" s="2224" t="s">
        <v>1300</v>
      </c>
      <c r="I431" s="2229">
        <v>63</v>
      </c>
      <c r="J431" s="2226" t="s">
        <v>110</v>
      </c>
      <c r="K431" s="2224" t="s">
        <v>845</v>
      </c>
      <c r="L431" s="2227">
        <v>18.7</v>
      </c>
      <c r="M431" s="2227">
        <v>18.7</v>
      </c>
      <c r="N431" s="2250">
        <v>1.1122523912779755E-3</v>
      </c>
      <c r="O431" s="2224">
        <v>3</v>
      </c>
      <c r="P431" s="2225" t="s">
        <v>996</v>
      </c>
      <c r="Q431" s="2229">
        <v>50</v>
      </c>
      <c r="R431" s="2229">
        <v>50</v>
      </c>
      <c r="S431" s="2228">
        <f t="shared" si="23"/>
        <v>100</v>
      </c>
      <c r="T431" s="2986">
        <v>3150</v>
      </c>
      <c r="U431" s="2228">
        <f t="shared" si="24"/>
        <v>3150</v>
      </c>
      <c r="V431" s="2228">
        <f t="shared" si="25"/>
        <v>6300</v>
      </c>
      <c r="W431" s="2990">
        <v>935</v>
      </c>
      <c r="X431" s="2230">
        <f t="shared" si="26"/>
        <v>935</v>
      </c>
      <c r="Y431" s="2230">
        <f t="shared" si="27"/>
        <v>1870</v>
      </c>
    </row>
    <row r="432" spans="8:27">
      <c r="H432" s="2224" t="s">
        <v>1300</v>
      </c>
      <c r="I432" s="2229">
        <v>69</v>
      </c>
      <c r="J432" s="2226" t="s">
        <v>110</v>
      </c>
      <c r="K432" s="2224" t="s">
        <v>845</v>
      </c>
      <c r="L432" s="2227">
        <v>18.7</v>
      </c>
      <c r="M432" s="2227">
        <v>18.7</v>
      </c>
      <c r="N432" s="2250">
        <v>4.3455442263883688E-4</v>
      </c>
      <c r="O432" s="2224">
        <v>3</v>
      </c>
      <c r="P432" s="2225" t="s">
        <v>996</v>
      </c>
      <c r="Q432" s="2229">
        <v>50</v>
      </c>
      <c r="R432" s="2229">
        <v>50</v>
      </c>
      <c r="S432" s="2228">
        <f t="shared" si="23"/>
        <v>100</v>
      </c>
      <c r="T432" s="2986">
        <v>3450</v>
      </c>
      <c r="U432" s="2228">
        <f t="shared" si="24"/>
        <v>3450</v>
      </c>
      <c r="V432" s="2228">
        <f t="shared" si="25"/>
        <v>6900</v>
      </c>
      <c r="W432" s="2990">
        <v>935</v>
      </c>
      <c r="X432" s="2230">
        <f t="shared" si="26"/>
        <v>935</v>
      </c>
      <c r="Y432" s="2230">
        <f t="shared" si="27"/>
        <v>1870</v>
      </c>
    </row>
    <row r="433" spans="8:25">
      <c r="H433" s="2224" t="s">
        <v>1300</v>
      </c>
      <c r="I433" s="2229">
        <v>84</v>
      </c>
      <c r="J433" s="2226" t="s">
        <v>110</v>
      </c>
      <c r="K433" s="2224" t="s">
        <v>845</v>
      </c>
      <c r="L433" s="2227">
        <v>18.7</v>
      </c>
      <c r="M433" s="2227">
        <v>18.7</v>
      </c>
      <c r="N433" s="2250">
        <v>3.5695541859618744E-4</v>
      </c>
      <c r="O433" s="2224">
        <v>3</v>
      </c>
      <c r="P433" s="2225" t="s">
        <v>996</v>
      </c>
      <c r="Q433" s="2229">
        <v>500</v>
      </c>
      <c r="R433" s="2229">
        <v>500</v>
      </c>
      <c r="S433" s="2228">
        <f t="shared" si="23"/>
        <v>1000</v>
      </c>
      <c r="T433" s="2986">
        <v>42000</v>
      </c>
      <c r="U433" s="2228">
        <f t="shared" si="24"/>
        <v>42000</v>
      </c>
      <c r="V433" s="2228">
        <f t="shared" si="25"/>
        <v>84000</v>
      </c>
      <c r="W433" s="2990">
        <v>9350</v>
      </c>
      <c r="X433" s="2230">
        <f t="shared" si="26"/>
        <v>9350</v>
      </c>
      <c r="Y433" s="2230">
        <f t="shared" si="27"/>
        <v>18700</v>
      </c>
    </row>
    <row r="434" spans="8:25">
      <c r="H434" s="2224" t="s">
        <v>1300</v>
      </c>
      <c r="I434" s="2229">
        <v>157</v>
      </c>
      <c r="J434" s="2226" t="s">
        <v>110</v>
      </c>
      <c r="K434" s="2224" t="s">
        <v>845</v>
      </c>
      <c r="L434" s="2227">
        <v>18.7</v>
      </c>
      <c r="M434" s="2227">
        <v>18.7</v>
      </c>
      <c r="N434" s="2250">
        <v>3.2591581697912766E-4</v>
      </c>
      <c r="O434" s="2224">
        <v>3</v>
      </c>
      <c r="P434" s="2225" t="s">
        <v>996</v>
      </c>
      <c r="Q434" s="2229">
        <v>250</v>
      </c>
      <c r="R434" s="2229">
        <v>250</v>
      </c>
      <c r="S434" s="2228">
        <f t="shared" si="23"/>
        <v>500</v>
      </c>
      <c r="T434" s="2986">
        <v>39250</v>
      </c>
      <c r="U434" s="2228">
        <f t="shared" si="24"/>
        <v>39250</v>
      </c>
      <c r="V434" s="2228">
        <f t="shared" si="25"/>
        <v>78500</v>
      </c>
      <c r="W434" s="2990">
        <v>4675</v>
      </c>
      <c r="X434" s="2230">
        <f t="shared" si="26"/>
        <v>4675</v>
      </c>
      <c r="Y434" s="2230">
        <f t="shared" si="27"/>
        <v>9350</v>
      </c>
    </row>
    <row r="435" spans="8:25">
      <c r="H435" s="2224" t="s">
        <v>1301</v>
      </c>
      <c r="I435" s="2229">
        <v>68</v>
      </c>
      <c r="J435" s="2226" t="s">
        <v>110</v>
      </c>
      <c r="K435" s="2224" t="s">
        <v>845</v>
      </c>
      <c r="L435" s="2227">
        <v>19.68</v>
      </c>
      <c r="M435" s="2227">
        <v>19.68</v>
      </c>
      <c r="N435" s="2250">
        <v>9.1049498076708688E-4</v>
      </c>
      <c r="O435" s="2224">
        <v>3</v>
      </c>
      <c r="P435" s="2225" t="s">
        <v>996</v>
      </c>
      <c r="Q435" s="2229">
        <v>250</v>
      </c>
      <c r="R435" s="2229">
        <v>250</v>
      </c>
      <c r="S435" s="2228">
        <f t="shared" si="23"/>
        <v>500</v>
      </c>
      <c r="T435" s="2986">
        <v>17000</v>
      </c>
      <c r="U435" s="2228">
        <f t="shared" si="24"/>
        <v>17000</v>
      </c>
      <c r="V435" s="2228">
        <f t="shared" si="25"/>
        <v>34000</v>
      </c>
      <c r="W435" s="2990">
        <v>4920</v>
      </c>
      <c r="X435" s="2230">
        <f t="shared" si="26"/>
        <v>4920</v>
      </c>
      <c r="Y435" s="2230">
        <f t="shared" si="27"/>
        <v>9840</v>
      </c>
    </row>
    <row r="436" spans="8:25">
      <c r="H436" s="2224" t="s">
        <v>1301</v>
      </c>
      <c r="I436" s="2229">
        <v>69</v>
      </c>
      <c r="J436" s="2226" t="s">
        <v>110</v>
      </c>
      <c r="K436" s="2224" t="s">
        <v>845</v>
      </c>
      <c r="L436" s="2227">
        <v>19.68</v>
      </c>
      <c r="M436" s="2227">
        <v>19.68</v>
      </c>
      <c r="N436" s="2250">
        <v>9.5188111625649989E-4</v>
      </c>
      <c r="O436" s="2224">
        <v>3</v>
      </c>
      <c r="P436" s="2225" t="s">
        <v>996</v>
      </c>
      <c r="Q436" s="2229">
        <v>50</v>
      </c>
      <c r="R436" s="2229">
        <v>50</v>
      </c>
      <c r="S436" s="2228">
        <f t="shared" ref="S436:S499" si="28">Q436+R436</f>
        <v>100</v>
      </c>
      <c r="T436" s="2986">
        <v>3450</v>
      </c>
      <c r="U436" s="2228">
        <f t="shared" ref="U436:U499" si="29">I436*R436</f>
        <v>3450</v>
      </c>
      <c r="V436" s="2228">
        <f t="shared" ref="V436:V499" si="30">T436+U436</f>
        <v>6900</v>
      </c>
      <c r="W436" s="2990">
        <v>984</v>
      </c>
      <c r="X436" s="2230">
        <f t="shared" ref="X436:X499" si="31">M436*R436</f>
        <v>984</v>
      </c>
      <c r="Y436" s="2230">
        <f t="shared" ref="Y436:Y499" si="32">W436+X436</f>
        <v>1968</v>
      </c>
    </row>
    <row r="437" spans="8:25">
      <c r="H437" s="2224" t="s">
        <v>1301</v>
      </c>
      <c r="I437" s="2229">
        <v>72</v>
      </c>
      <c r="J437" s="2226" t="s">
        <v>110</v>
      </c>
      <c r="K437" s="2224" t="s">
        <v>845</v>
      </c>
      <c r="L437" s="2227">
        <v>19.68</v>
      </c>
      <c r="M437" s="2227">
        <v>19.68</v>
      </c>
      <c r="N437" s="2250">
        <v>1.2777969332356275E-3</v>
      </c>
      <c r="O437" s="2224">
        <v>3</v>
      </c>
      <c r="P437" s="2225" t="s">
        <v>996</v>
      </c>
      <c r="Q437" s="2229">
        <v>50</v>
      </c>
      <c r="R437" s="2229">
        <v>50</v>
      </c>
      <c r="S437" s="2228">
        <f t="shared" si="28"/>
        <v>100</v>
      </c>
      <c r="T437" s="2986">
        <v>3600</v>
      </c>
      <c r="U437" s="2228">
        <f t="shared" si="29"/>
        <v>3600</v>
      </c>
      <c r="V437" s="2228">
        <f t="shared" si="30"/>
        <v>7200</v>
      </c>
      <c r="W437" s="2990">
        <v>984</v>
      </c>
      <c r="X437" s="2230">
        <f t="shared" si="31"/>
        <v>984</v>
      </c>
      <c r="Y437" s="2230">
        <f t="shared" si="32"/>
        <v>1968</v>
      </c>
    </row>
    <row r="438" spans="8:25">
      <c r="H438" s="2224" t="s">
        <v>1301</v>
      </c>
      <c r="I438" s="2229">
        <v>90</v>
      </c>
      <c r="J438" s="2226" t="s">
        <v>110</v>
      </c>
      <c r="K438" s="2224" t="s">
        <v>845</v>
      </c>
      <c r="L438" s="2227">
        <v>19.68</v>
      </c>
      <c r="M438" s="2227">
        <v>19.68</v>
      </c>
      <c r="N438" s="2250">
        <v>4.6559402425589666E-4</v>
      </c>
      <c r="O438" s="2224">
        <v>3</v>
      </c>
      <c r="P438" s="2225" t="s">
        <v>996</v>
      </c>
      <c r="Q438" s="2229">
        <v>2500</v>
      </c>
      <c r="R438" s="2229">
        <v>2500</v>
      </c>
      <c r="S438" s="2228">
        <f t="shared" si="28"/>
        <v>5000</v>
      </c>
      <c r="T438" s="2986">
        <v>225000</v>
      </c>
      <c r="U438" s="2228">
        <f t="shared" si="29"/>
        <v>225000</v>
      </c>
      <c r="V438" s="2228">
        <f t="shared" si="30"/>
        <v>450000</v>
      </c>
      <c r="W438" s="2990">
        <v>49200</v>
      </c>
      <c r="X438" s="2230">
        <f t="shared" si="31"/>
        <v>49200</v>
      </c>
      <c r="Y438" s="2230">
        <f t="shared" si="32"/>
        <v>98400</v>
      </c>
    </row>
    <row r="439" spans="8:25">
      <c r="H439" s="2224" t="s">
        <v>1301</v>
      </c>
      <c r="I439" s="2229">
        <v>99</v>
      </c>
      <c r="J439" s="2226" t="s">
        <v>110</v>
      </c>
      <c r="K439" s="2224" t="s">
        <v>845</v>
      </c>
      <c r="L439" s="2227">
        <v>19.68</v>
      </c>
      <c r="M439" s="2227">
        <v>19.68</v>
      </c>
      <c r="N439" s="2250">
        <v>3.5178215166001081E-3</v>
      </c>
      <c r="O439" s="2224">
        <v>3</v>
      </c>
      <c r="P439" s="2225" t="s">
        <v>996</v>
      </c>
      <c r="Q439" s="2229">
        <v>50</v>
      </c>
      <c r="R439" s="2229">
        <v>50</v>
      </c>
      <c r="S439" s="2228">
        <f t="shared" si="28"/>
        <v>100</v>
      </c>
      <c r="T439" s="2986">
        <v>4950</v>
      </c>
      <c r="U439" s="2228">
        <f t="shared" si="29"/>
        <v>4950</v>
      </c>
      <c r="V439" s="2228">
        <f t="shared" si="30"/>
        <v>9900</v>
      </c>
      <c r="W439" s="2990">
        <v>984</v>
      </c>
      <c r="X439" s="2230">
        <f t="shared" si="31"/>
        <v>984</v>
      </c>
      <c r="Y439" s="2230">
        <f t="shared" si="32"/>
        <v>1968</v>
      </c>
    </row>
    <row r="440" spans="8:25">
      <c r="H440" s="2224" t="s">
        <v>1301</v>
      </c>
      <c r="I440" s="2229">
        <v>108</v>
      </c>
      <c r="J440" s="2226" t="s">
        <v>110</v>
      </c>
      <c r="K440" s="2224" t="s">
        <v>845</v>
      </c>
      <c r="L440" s="2227">
        <v>19.68</v>
      </c>
      <c r="M440" s="2227">
        <v>19.68</v>
      </c>
      <c r="N440" s="2250">
        <v>6.880445025114918E-4</v>
      </c>
      <c r="O440" s="2224">
        <v>3</v>
      </c>
      <c r="P440" s="2225" t="s">
        <v>996</v>
      </c>
      <c r="Q440" s="2229">
        <v>50</v>
      </c>
      <c r="R440" s="2229">
        <v>50</v>
      </c>
      <c r="S440" s="2228">
        <f t="shared" si="28"/>
        <v>100</v>
      </c>
      <c r="T440" s="2986">
        <v>5400</v>
      </c>
      <c r="U440" s="2228">
        <f t="shared" si="29"/>
        <v>5400</v>
      </c>
      <c r="V440" s="2228">
        <f t="shared" si="30"/>
        <v>10800</v>
      </c>
      <c r="W440" s="2990">
        <v>984</v>
      </c>
      <c r="X440" s="2230">
        <f t="shared" si="31"/>
        <v>984</v>
      </c>
      <c r="Y440" s="2230">
        <f t="shared" si="32"/>
        <v>1968</v>
      </c>
    </row>
    <row r="441" spans="8:25">
      <c r="H441" s="2224" t="s">
        <v>1301</v>
      </c>
      <c r="I441" s="2229">
        <v>133</v>
      </c>
      <c r="J441" s="2226" t="s">
        <v>110</v>
      </c>
      <c r="K441" s="2224" t="s">
        <v>845</v>
      </c>
      <c r="L441" s="2227">
        <v>19.68</v>
      </c>
      <c r="M441" s="2227">
        <v>19.68</v>
      </c>
      <c r="N441" s="2250">
        <v>5.5871282910707602E-4</v>
      </c>
      <c r="O441" s="2224">
        <v>3</v>
      </c>
      <c r="P441" s="2225" t="s">
        <v>996</v>
      </c>
      <c r="Q441" s="2229">
        <v>250</v>
      </c>
      <c r="R441" s="2229">
        <v>250</v>
      </c>
      <c r="S441" s="2228">
        <f t="shared" si="28"/>
        <v>500</v>
      </c>
      <c r="T441" s="2986">
        <v>33250</v>
      </c>
      <c r="U441" s="2228">
        <f t="shared" si="29"/>
        <v>33250</v>
      </c>
      <c r="V441" s="2228">
        <f t="shared" si="30"/>
        <v>66500</v>
      </c>
      <c r="W441" s="2990">
        <v>4920</v>
      </c>
      <c r="X441" s="2230">
        <f t="shared" si="31"/>
        <v>4920</v>
      </c>
      <c r="Y441" s="2230">
        <f t="shared" si="32"/>
        <v>9840</v>
      </c>
    </row>
    <row r="442" spans="8:25">
      <c r="H442" s="2224" t="s">
        <v>1301</v>
      </c>
      <c r="I442" s="2229">
        <v>247</v>
      </c>
      <c r="J442" s="2226" t="s">
        <v>110</v>
      </c>
      <c r="K442" s="2224" t="s">
        <v>845</v>
      </c>
      <c r="L442" s="2227">
        <v>19.68</v>
      </c>
      <c r="M442" s="2227">
        <v>19.68</v>
      </c>
      <c r="N442" s="2250">
        <v>1.0243068533629727E-3</v>
      </c>
      <c r="O442" s="2224">
        <v>3</v>
      </c>
      <c r="P442" s="2225" t="s">
        <v>996</v>
      </c>
      <c r="Q442" s="2229">
        <v>250</v>
      </c>
      <c r="R442" s="2229">
        <v>250</v>
      </c>
      <c r="S442" s="2228">
        <f t="shared" si="28"/>
        <v>500</v>
      </c>
      <c r="T442" s="2986">
        <v>61750</v>
      </c>
      <c r="U442" s="2228">
        <f t="shared" si="29"/>
        <v>61750</v>
      </c>
      <c r="V442" s="2228">
        <f t="shared" si="30"/>
        <v>123500</v>
      </c>
      <c r="W442" s="2990">
        <v>4920</v>
      </c>
      <c r="X442" s="2230">
        <f t="shared" si="31"/>
        <v>4920</v>
      </c>
      <c r="Y442" s="2230">
        <f t="shared" si="32"/>
        <v>9840</v>
      </c>
    </row>
    <row r="443" spans="8:25">
      <c r="H443" s="2224" t="s">
        <v>1302</v>
      </c>
      <c r="I443" s="2229">
        <v>31</v>
      </c>
      <c r="J443" s="2226" t="s">
        <v>110</v>
      </c>
      <c r="K443" s="2224" t="s">
        <v>845</v>
      </c>
      <c r="L443" s="2227">
        <v>21.07</v>
      </c>
      <c r="M443" s="2227">
        <v>21.07</v>
      </c>
      <c r="N443" s="2250">
        <v>7.1391083719237489E-4</v>
      </c>
      <c r="O443" s="2224">
        <v>3</v>
      </c>
      <c r="P443" s="2225" t="s">
        <v>996</v>
      </c>
      <c r="Q443" s="2229">
        <v>250</v>
      </c>
      <c r="R443" s="2229">
        <v>250</v>
      </c>
      <c r="S443" s="2228">
        <f t="shared" si="28"/>
        <v>500</v>
      </c>
      <c r="T443" s="2986">
        <v>7750</v>
      </c>
      <c r="U443" s="2228">
        <f t="shared" si="29"/>
        <v>7750</v>
      </c>
      <c r="V443" s="2228">
        <f t="shared" si="30"/>
        <v>15500</v>
      </c>
      <c r="W443" s="2990">
        <v>5267.5</v>
      </c>
      <c r="X443" s="2230">
        <f t="shared" si="31"/>
        <v>5267.5</v>
      </c>
      <c r="Y443" s="2230">
        <f t="shared" si="32"/>
        <v>10535</v>
      </c>
    </row>
    <row r="444" spans="8:25">
      <c r="H444" s="2224" t="s">
        <v>1302</v>
      </c>
      <c r="I444" s="2229">
        <v>31</v>
      </c>
      <c r="J444" s="2226" t="s">
        <v>110</v>
      </c>
      <c r="K444" s="2224" t="s">
        <v>845</v>
      </c>
      <c r="L444" s="2227">
        <v>21.07</v>
      </c>
      <c r="M444" s="2227">
        <v>21.07</v>
      </c>
      <c r="N444" s="2250">
        <v>7.4495043880943473E-4</v>
      </c>
      <c r="O444" s="2224">
        <v>3</v>
      </c>
      <c r="P444" s="2225" t="s">
        <v>996</v>
      </c>
      <c r="Q444" s="2229">
        <v>50</v>
      </c>
      <c r="R444" s="2229">
        <v>50</v>
      </c>
      <c r="S444" s="2228">
        <f t="shared" si="28"/>
        <v>100</v>
      </c>
      <c r="T444" s="2986">
        <v>1550</v>
      </c>
      <c r="U444" s="2228">
        <f t="shared" si="29"/>
        <v>1550</v>
      </c>
      <c r="V444" s="2228">
        <f t="shared" si="30"/>
        <v>3100</v>
      </c>
      <c r="W444" s="2990">
        <v>1053.5</v>
      </c>
      <c r="X444" s="2230">
        <f t="shared" si="31"/>
        <v>1053.5</v>
      </c>
      <c r="Y444" s="2230">
        <f t="shared" si="32"/>
        <v>2107</v>
      </c>
    </row>
    <row r="445" spans="8:25">
      <c r="H445" s="2224" t="s">
        <v>1302</v>
      </c>
      <c r="I445" s="2229">
        <v>33</v>
      </c>
      <c r="J445" s="2226" t="s">
        <v>110</v>
      </c>
      <c r="K445" s="2224" t="s">
        <v>845</v>
      </c>
      <c r="L445" s="2227">
        <v>21.07</v>
      </c>
      <c r="M445" s="2227">
        <v>21.07</v>
      </c>
      <c r="N445" s="2250">
        <v>5.7940589685178258E-4</v>
      </c>
      <c r="O445" s="2224">
        <v>3</v>
      </c>
      <c r="P445" s="2225" t="s">
        <v>996</v>
      </c>
      <c r="Q445" s="2229">
        <v>250</v>
      </c>
      <c r="R445" s="2229">
        <v>250</v>
      </c>
      <c r="S445" s="2228">
        <f t="shared" si="28"/>
        <v>500</v>
      </c>
      <c r="T445" s="2986">
        <v>8250</v>
      </c>
      <c r="U445" s="2228">
        <f t="shared" si="29"/>
        <v>8250</v>
      </c>
      <c r="V445" s="2228">
        <f t="shared" si="30"/>
        <v>16500</v>
      </c>
      <c r="W445" s="2990">
        <v>5267.5</v>
      </c>
      <c r="X445" s="2230">
        <f t="shared" si="31"/>
        <v>5267.5</v>
      </c>
      <c r="Y445" s="2230">
        <f t="shared" si="32"/>
        <v>10535</v>
      </c>
    </row>
    <row r="446" spans="8:25">
      <c r="H446" s="2224" t="s">
        <v>1302</v>
      </c>
      <c r="I446" s="2229">
        <v>41</v>
      </c>
      <c r="J446" s="2226" t="s">
        <v>110</v>
      </c>
      <c r="K446" s="2224" t="s">
        <v>845</v>
      </c>
      <c r="L446" s="2227">
        <v>21.07</v>
      </c>
      <c r="M446" s="2227">
        <v>21.07</v>
      </c>
      <c r="N446" s="2250">
        <v>8.4841577753296731E-4</v>
      </c>
      <c r="O446" s="2224">
        <v>3</v>
      </c>
      <c r="P446" s="2225" t="s">
        <v>996</v>
      </c>
      <c r="Q446" s="2229">
        <v>50</v>
      </c>
      <c r="R446" s="2229">
        <v>50</v>
      </c>
      <c r="S446" s="2228">
        <f t="shared" si="28"/>
        <v>100</v>
      </c>
      <c r="T446" s="2986">
        <v>2050</v>
      </c>
      <c r="U446" s="2228">
        <f t="shared" si="29"/>
        <v>2050</v>
      </c>
      <c r="V446" s="2228">
        <f t="shared" si="30"/>
        <v>4100</v>
      </c>
      <c r="W446" s="2990">
        <v>1053.5</v>
      </c>
      <c r="X446" s="2230">
        <f t="shared" si="31"/>
        <v>1053.5</v>
      </c>
      <c r="Y446" s="2230">
        <f t="shared" si="32"/>
        <v>2107</v>
      </c>
    </row>
    <row r="447" spans="8:25">
      <c r="H447" s="2224" t="s">
        <v>1302</v>
      </c>
      <c r="I447" s="2229">
        <v>45</v>
      </c>
      <c r="J447" s="2226" t="s">
        <v>110</v>
      </c>
      <c r="K447" s="2224" t="s">
        <v>845</v>
      </c>
      <c r="L447" s="2227">
        <v>21.07</v>
      </c>
      <c r="M447" s="2227">
        <v>21.07</v>
      </c>
      <c r="N447" s="2250">
        <v>1.6037127502147554E-4</v>
      </c>
      <c r="O447" s="2224">
        <v>3</v>
      </c>
      <c r="P447" s="2225" t="s">
        <v>996</v>
      </c>
      <c r="Q447" s="2229">
        <v>25</v>
      </c>
      <c r="R447" s="2229">
        <v>25</v>
      </c>
      <c r="S447" s="2228">
        <f t="shared" si="28"/>
        <v>50</v>
      </c>
      <c r="T447" s="2986">
        <v>1125</v>
      </c>
      <c r="U447" s="2228">
        <f t="shared" si="29"/>
        <v>1125</v>
      </c>
      <c r="V447" s="2228">
        <f t="shared" si="30"/>
        <v>2250</v>
      </c>
      <c r="W447" s="2990">
        <v>526.75</v>
      </c>
      <c r="X447" s="2230">
        <f t="shared" si="31"/>
        <v>526.75</v>
      </c>
      <c r="Y447" s="2230">
        <f t="shared" si="32"/>
        <v>1053.5</v>
      </c>
    </row>
    <row r="448" spans="8:25">
      <c r="H448" s="2224" t="s">
        <v>1302</v>
      </c>
      <c r="I448" s="2229">
        <v>49</v>
      </c>
      <c r="J448" s="2226" t="s">
        <v>110</v>
      </c>
      <c r="K448" s="2224" t="s">
        <v>845</v>
      </c>
      <c r="L448" s="2227">
        <v>21.07</v>
      </c>
      <c r="M448" s="2227">
        <v>21.07</v>
      </c>
      <c r="N448" s="2250">
        <v>1.551980080852989E-4</v>
      </c>
      <c r="O448" s="2224">
        <v>3</v>
      </c>
      <c r="P448" s="2225" t="s">
        <v>996</v>
      </c>
      <c r="Q448" s="2229">
        <v>150</v>
      </c>
      <c r="R448" s="2229">
        <v>100</v>
      </c>
      <c r="S448" s="2228">
        <f t="shared" si="28"/>
        <v>250</v>
      </c>
      <c r="T448" s="2986">
        <v>7350</v>
      </c>
      <c r="U448" s="2228">
        <f t="shared" si="29"/>
        <v>4900</v>
      </c>
      <c r="V448" s="2228">
        <f t="shared" si="30"/>
        <v>12250</v>
      </c>
      <c r="W448" s="2990">
        <v>3160.5</v>
      </c>
      <c r="X448" s="2230">
        <f t="shared" si="31"/>
        <v>2107</v>
      </c>
      <c r="Y448" s="2230">
        <f t="shared" si="32"/>
        <v>5267.5</v>
      </c>
    </row>
    <row r="449" spans="8:25">
      <c r="H449" s="2224" t="s">
        <v>1302</v>
      </c>
      <c r="I449" s="2229">
        <v>60</v>
      </c>
      <c r="J449" s="2226" t="s">
        <v>110</v>
      </c>
      <c r="K449" s="2224" t="s">
        <v>845</v>
      </c>
      <c r="L449" s="2227">
        <v>21.07</v>
      </c>
      <c r="M449" s="2227">
        <v>21.07</v>
      </c>
      <c r="N449" s="2250">
        <v>5.0698015974530973E-4</v>
      </c>
      <c r="O449" s="2224">
        <v>3</v>
      </c>
      <c r="P449" s="2225" t="s">
        <v>996</v>
      </c>
      <c r="Q449" s="2229">
        <v>25</v>
      </c>
      <c r="R449" s="2229">
        <v>25</v>
      </c>
      <c r="S449" s="2228">
        <f t="shared" si="28"/>
        <v>50</v>
      </c>
      <c r="T449" s="2986">
        <v>1500</v>
      </c>
      <c r="U449" s="2228">
        <f t="shared" si="29"/>
        <v>1500</v>
      </c>
      <c r="V449" s="2228">
        <f t="shared" si="30"/>
        <v>3000</v>
      </c>
      <c r="W449" s="2990">
        <v>526.75</v>
      </c>
      <c r="X449" s="2230">
        <f t="shared" si="31"/>
        <v>526.75</v>
      </c>
      <c r="Y449" s="2230">
        <f t="shared" si="32"/>
        <v>1053.5</v>
      </c>
    </row>
    <row r="450" spans="8:25">
      <c r="H450" s="2224" t="s">
        <v>1302</v>
      </c>
      <c r="I450" s="2229">
        <v>112</v>
      </c>
      <c r="J450" s="2226" t="s">
        <v>110</v>
      </c>
      <c r="K450" s="2224" t="s">
        <v>845</v>
      </c>
      <c r="L450" s="2227">
        <v>21.07</v>
      </c>
      <c r="M450" s="2227">
        <v>21.07</v>
      </c>
      <c r="N450" s="2250">
        <v>1.1639850606397417E-4</v>
      </c>
      <c r="O450" s="2224">
        <v>3</v>
      </c>
      <c r="P450" s="2225" t="s">
        <v>996</v>
      </c>
      <c r="Q450" s="2229">
        <v>150</v>
      </c>
      <c r="R450" s="2229">
        <v>150</v>
      </c>
      <c r="S450" s="2228">
        <f t="shared" si="28"/>
        <v>300</v>
      </c>
      <c r="T450" s="2986">
        <v>16800</v>
      </c>
      <c r="U450" s="2228">
        <f t="shared" si="29"/>
        <v>16800</v>
      </c>
      <c r="V450" s="2228">
        <f t="shared" si="30"/>
        <v>33600</v>
      </c>
      <c r="W450" s="2990">
        <v>3160.5</v>
      </c>
      <c r="X450" s="2230">
        <f t="shared" si="31"/>
        <v>3160.5</v>
      </c>
      <c r="Y450" s="2230">
        <f t="shared" si="32"/>
        <v>6321</v>
      </c>
    </row>
    <row r="451" spans="8:25">
      <c r="H451" s="2224" t="s">
        <v>1303</v>
      </c>
      <c r="I451" s="2229">
        <v>58</v>
      </c>
      <c r="J451" s="2226" t="s">
        <v>110</v>
      </c>
      <c r="K451" s="2224" t="s">
        <v>845</v>
      </c>
      <c r="L451" s="2227">
        <v>32.409999999999997</v>
      </c>
      <c r="M451" s="2227">
        <v>32.409999999999997</v>
      </c>
      <c r="N451" s="2250">
        <v>3.2074255004295107E-4</v>
      </c>
      <c r="O451" s="2224">
        <v>3</v>
      </c>
      <c r="P451" s="2225" t="s">
        <v>996</v>
      </c>
      <c r="Q451" s="2229">
        <v>100</v>
      </c>
      <c r="R451" s="2229">
        <v>100</v>
      </c>
      <c r="S451" s="2228">
        <f t="shared" si="28"/>
        <v>200</v>
      </c>
      <c r="T451" s="2986">
        <v>5800</v>
      </c>
      <c r="U451" s="2228">
        <f t="shared" si="29"/>
        <v>5800</v>
      </c>
      <c r="V451" s="2228">
        <f t="shared" si="30"/>
        <v>11600</v>
      </c>
      <c r="W451" s="2990">
        <v>3240.9999999999995</v>
      </c>
      <c r="X451" s="2230">
        <f t="shared" si="31"/>
        <v>3240.9999999999995</v>
      </c>
      <c r="Y451" s="2230">
        <f t="shared" si="32"/>
        <v>6481.9999999999991</v>
      </c>
    </row>
    <row r="452" spans="8:25">
      <c r="H452" s="2224" t="s">
        <v>1303</v>
      </c>
      <c r="I452" s="2229">
        <v>59</v>
      </c>
      <c r="J452" s="2226" t="s">
        <v>110</v>
      </c>
      <c r="K452" s="2224" t="s">
        <v>845</v>
      </c>
      <c r="L452" s="2227">
        <v>32.409999999999997</v>
      </c>
      <c r="M452" s="2227">
        <v>32.409999999999997</v>
      </c>
      <c r="N452" s="2250">
        <v>3.4143561778765758E-4</v>
      </c>
      <c r="O452" s="2224">
        <v>3</v>
      </c>
      <c r="P452" s="2225" t="s">
        <v>996</v>
      </c>
      <c r="Q452" s="2229">
        <v>50</v>
      </c>
      <c r="R452" s="2229">
        <v>50</v>
      </c>
      <c r="S452" s="2228">
        <f t="shared" si="28"/>
        <v>100</v>
      </c>
      <c r="T452" s="2986">
        <v>2950</v>
      </c>
      <c r="U452" s="2228">
        <f t="shared" si="29"/>
        <v>2950</v>
      </c>
      <c r="V452" s="2228">
        <f t="shared" si="30"/>
        <v>5900</v>
      </c>
      <c r="W452" s="2990">
        <v>1620.4999999999998</v>
      </c>
      <c r="X452" s="2230">
        <f t="shared" si="31"/>
        <v>1620.4999999999998</v>
      </c>
      <c r="Y452" s="2230">
        <f t="shared" si="32"/>
        <v>3240.9999999999995</v>
      </c>
    </row>
    <row r="453" spans="8:25">
      <c r="H453" s="2224" t="s">
        <v>1303</v>
      </c>
      <c r="I453" s="2229">
        <v>61</v>
      </c>
      <c r="J453" s="2226" t="s">
        <v>110</v>
      </c>
      <c r="K453" s="2224" t="s">
        <v>845</v>
      </c>
      <c r="L453" s="2227">
        <v>32.409999999999997</v>
      </c>
      <c r="M453" s="2227">
        <v>32.409999999999997</v>
      </c>
      <c r="N453" s="2250">
        <v>1.0863860565970922E-3</v>
      </c>
      <c r="O453" s="2224">
        <v>3</v>
      </c>
      <c r="P453" s="2225" t="s">
        <v>996</v>
      </c>
      <c r="Q453" s="2229">
        <v>125</v>
      </c>
      <c r="R453" s="2229">
        <v>125</v>
      </c>
      <c r="S453" s="2228">
        <f t="shared" si="28"/>
        <v>250</v>
      </c>
      <c r="T453" s="2986">
        <v>7625</v>
      </c>
      <c r="U453" s="2228">
        <f t="shared" si="29"/>
        <v>7625</v>
      </c>
      <c r="V453" s="2228">
        <f t="shared" si="30"/>
        <v>15250</v>
      </c>
      <c r="W453" s="2990">
        <v>4051.2499999999995</v>
      </c>
      <c r="X453" s="2230">
        <f t="shared" si="31"/>
        <v>4051.2499999999995</v>
      </c>
      <c r="Y453" s="2230">
        <f t="shared" si="32"/>
        <v>8102.4999999999991</v>
      </c>
    </row>
    <row r="454" spans="8:25">
      <c r="H454" s="2224" t="s">
        <v>1303</v>
      </c>
      <c r="I454" s="2229">
        <v>77</v>
      </c>
      <c r="J454" s="2226" t="s">
        <v>110</v>
      </c>
      <c r="K454" s="2224" t="s">
        <v>845</v>
      </c>
      <c r="L454" s="2227">
        <v>32.409999999999997</v>
      </c>
      <c r="M454" s="2227">
        <v>32.409999999999997</v>
      </c>
      <c r="N454" s="2250">
        <v>9.9585388521400116E-4</v>
      </c>
      <c r="O454" s="2224">
        <v>3</v>
      </c>
      <c r="P454" s="2225" t="s">
        <v>996</v>
      </c>
      <c r="Q454" s="2229">
        <v>750</v>
      </c>
      <c r="R454" s="2229">
        <v>750</v>
      </c>
      <c r="S454" s="2228">
        <f t="shared" si="28"/>
        <v>1500</v>
      </c>
      <c r="T454" s="2986">
        <v>57750</v>
      </c>
      <c r="U454" s="2228">
        <f t="shared" si="29"/>
        <v>57750</v>
      </c>
      <c r="V454" s="2228">
        <f t="shared" si="30"/>
        <v>115500</v>
      </c>
      <c r="W454" s="2990">
        <v>24307.499999999996</v>
      </c>
      <c r="X454" s="2230">
        <f t="shared" si="31"/>
        <v>24307.499999999996</v>
      </c>
      <c r="Y454" s="2230">
        <f t="shared" si="32"/>
        <v>48614.999999999993</v>
      </c>
    </row>
    <row r="455" spans="8:25">
      <c r="H455" s="2224" t="s">
        <v>1303</v>
      </c>
      <c r="I455" s="2229">
        <v>84</v>
      </c>
      <c r="J455" s="2226" t="s">
        <v>110</v>
      </c>
      <c r="K455" s="2224" t="s">
        <v>845</v>
      </c>
      <c r="L455" s="2227">
        <v>32.409999999999997</v>
      </c>
      <c r="M455" s="2227">
        <v>32.409999999999997</v>
      </c>
      <c r="N455" s="2250">
        <v>4.5007422344736682E-3</v>
      </c>
      <c r="O455" s="2224">
        <v>3</v>
      </c>
      <c r="P455" s="2225" t="s">
        <v>996</v>
      </c>
      <c r="Q455" s="2229">
        <v>50</v>
      </c>
      <c r="R455" s="2229">
        <v>50</v>
      </c>
      <c r="S455" s="2228">
        <f t="shared" si="28"/>
        <v>100</v>
      </c>
      <c r="T455" s="2986">
        <v>4200</v>
      </c>
      <c r="U455" s="2228">
        <f t="shared" si="29"/>
        <v>4200</v>
      </c>
      <c r="V455" s="2228">
        <f t="shared" si="30"/>
        <v>8400</v>
      </c>
      <c r="W455" s="2990">
        <v>1620.4999999999998</v>
      </c>
      <c r="X455" s="2230">
        <f t="shared" si="31"/>
        <v>1620.4999999999998</v>
      </c>
      <c r="Y455" s="2230">
        <f t="shared" si="32"/>
        <v>3240.9999999999995</v>
      </c>
    </row>
    <row r="456" spans="8:25">
      <c r="H456" s="2224" t="s">
        <v>1303</v>
      </c>
      <c r="I456" s="2229">
        <v>92</v>
      </c>
      <c r="J456" s="2226" t="s">
        <v>110</v>
      </c>
      <c r="K456" s="2224" t="s">
        <v>845</v>
      </c>
      <c r="L456" s="2227">
        <v>32.409999999999997</v>
      </c>
      <c r="M456" s="2227">
        <v>32.409999999999997</v>
      </c>
      <c r="N456" s="2250">
        <v>5.8457916378795922E-4</v>
      </c>
      <c r="O456" s="2224">
        <v>3</v>
      </c>
      <c r="P456" s="2225" t="s">
        <v>996</v>
      </c>
      <c r="Q456" s="2229">
        <v>50</v>
      </c>
      <c r="R456" s="2229">
        <v>50</v>
      </c>
      <c r="S456" s="2228">
        <f t="shared" si="28"/>
        <v>100</v>
      </c>
      <c r="T456" s="2986">
        <v>4600</v>
      </c>
      <c r="U456" s="2228">
        <f t="shared" si="29"/>
        <v>4600</v>
      </c>
      <c r="V456" s="2228">
        <f t="shared" si="30"/>
        <v>9200</v>
      </c>
      <c r="W456" s="2990">
        <v>1620.4999999999998</v>
      </c>
      <c r="X456" s="2230">
        <f t="shared" si="31"/>
        <v>1620.4999999999998</v>
      </c>
      <c r="Y456" s="2230">
        <f t="shared" si="32"/>
        <v>3240.9999999999995</v>
      </c>
    </row>
    <row r="457" spans="8:25">
      <c r="H457" s="2224" t="s">
        <v>1303</v>
      </c>
      <c r="I457" s="2229">
        <v>113</v>
      </c>
      <c r="J457" s="2226" t="s">
        <v>110</v>
      </c>
      <c r="K457" s="2224" t="s">
        <v>845</v>
      </c>
      <c r="L457" s="2227">
        <v>32.409999999999997</v>
      </c>
      <c r="M457" s="2227">
        <v>32.409999999999997</v>
      </c>
      <c r="N457" s="2250">
        <v>4.7594055812824994E-4</v>
      </c>
      <c r="O457" s="2224">
        <v>3</v>
      </c>
      <c r="P457" s="2225" t="s">
        <v>996</v>
      </c>
      <c r="Q457" s="2229">
        <v>25</v>
      </c>
      <c r="R457" s="2229">
        <v>25</v>
      </c>
      <c r="S457" s="2228">
        <f t="shared" si="28"/>
        <v>50</v>
      </c>
      <c r="T457" s="2986">
        <v>2825</v>
      </c>
      <c r="U457" s="2228">
        <f t="shared" si="29"/>
        <v>2825</v>
      </c>
      <c r="V457" s="2228">
        <f t="shared" si="30"/>
        <v>5650</v>
      </c>
      <c r="W457" s="2990">
        <v>810.24999999999989</v>
      </c>
      <c r="X457" s="2230">
        <f t="shared" si="31"/>
        <v>810.24999999999989</v>
      </c>
      <c r="Y457" s="2230">
        <f t="shared" si="32"/>
        <v>1620.4999999999998</v>
      </c>
    </row>
    <row r="458" spans="8:25">
      <c r="H458" s="2224" t="s">
        <v>1303</v>
      </c>
      <c r="I458" s="2229">
        <v>210</v>
      </c>
      <c r="J458" s="2226" t="s">
        <v>110</v>
      </c>
      <c r="K458" s="2224" t="s">
        <v>845</v>
      </c>
      <c r="L458" s="2227">
        <v>32.409999999999997</v>
      </c>
      <c r="M458" s="2227">
        <v>32.409999999999997</v>
      </c>
      <c r="N458" s="2250">
        <v>2.1727721131941844E-4</v>
      </c>
      <c r="O458" s="2224">
        <v>3</v>
      </c>
      <c r="P458" s="2225" t="s">
        <v>996</v>
      </c>
      <c r="Q458" s="2229">
        <v>250</v>
      </c>
      <c r="R458" s="2229">
        <v>250</v>
      </c>
      <c r="S458" s="2228">
        <f t="shared" si="28"/>
        <v>500</v>
      </c>
      <c r="T458" s="2986">
        <v>52500</v>
      </c>
      <c r="U458" s="2228">
        <f t="shared" si="29"/>
        <v>52500</v>
      </c>
      <c r="V458" s="2228">
        <f t="shared" si="30"/>
        <v>105000</v>
      </c>
      <c r="W458" s="2990">
        <v>8102.4999999999991</v>
      </c>
      <c r="X458" s="2230">
        <f t="shared" si="31"/>
        <v>8102.4999999999991</v>
      </c>
      <c r="Y458" s="2230">
        <f t="shared" si="32"/>
        <v>16204.999999999998</v>
      </c>
    </row>
    <row r="459" spans="8:25">
      <c r="H459" s="2224" t="s">
        <v>1304</v>
      </c>
      <c r="I459" s="2229">
        <v>82</v>
      </c>
      <c r="J459" s="2226" t="s">
        <v>110</v>
      </c>
      <c r="K459" s="2224" t="s">
        <v>845</v>
      </c>
      <c r="L459" s="2227">
        <v>36.68</v>
      </c>
      <c r="M459" s="2227">
        <v>36.68</v>
      </c>
      <c r="N459" s="2250">
        <v>1.5261137461721058E-3</v>
      </c>
      <c r="O459" s="2224">
        <v>3</v>
      </c>
      <c r="P459" s="2225" t="s">
        <v>996</v>
      </c>
      <c r="Q459" s="2229">
        <v>250</v>
      </c>
      <c r="R459" s="2229">
        <v>250</v>
      </c>
      <c r="S459" s="2228">
        <f t="shared" si="28"/>
        <v>500</v>
      </c>
      <c r="T459" s="2986">
        <v>20500</v>
      </c>
      <c r="U459" s="2228">
        <f t="shared" si="29"/>
        <v>20500</v>
      </c>
      <c r="V459" s="2228">
        <f t="shared" si="30"/>
        <v>41000</v>
      </c>
      <c r="W459" s="2990">
        <v>9170</v>
      </c>
      <c r="X459" s="2230">
        <f t="shared" si="31"/>
        <v>9170</v>
      </c>
      <c r="Y459" s="2230">
        <f t="shared" si="32"/>
        <v>18340</v>
      </c>
    </row>
    <row r="460" spans="8:25">
      <c r="H460" s="2224" t="s">
        <v>1304</v>
      </c>
      <c r="I460" s="2229">
        <v>84</v>
      </c>
      <c r="J460" s="2226" t="s">
        <v>110</v>
      </c>
      <c r="K460" s="2224" t="s">
        <v>845</v>
      </c>
      <c r="L460" s="2227">
        <v>36.68</v>
      </c>
      <c r="M460" s="2227">
        <v>36.68</v>
      </c>
      <c r="N460" s="2250">
        <v>1.577846415533872E-3</v>
      </c>
      <c r="O460" s="2224">
        <v>3</v>
      </c>
      <c r="P460" s="2225" t="s">
        <v>996</v>
      </c>
      <c r="Q460" s="2229">
        <v>75</v>
      </c>
      <c r="R460" s="2229">
        <v>75</v>
      </c>
      <c r="S460" s="2228">
        <f t="shared" si="28"/>
        <v>150</v>
      </c>
      <c r="T460" s="2986">
        <v>6300</v>
      </c>
      <c r="U460" s="2228">
        <f t="shared" si="29"/>
        <v>6300</v>
      </c>
      <c r="V460" s="2228">
        <f t="shared" si="30"/>
        <v>12600</v>
      </c>
      <c r="W460" s="2990">
        <v>2751</v>
      </c>
      <c r="X460" s="2230">
        <f t="shared" si="31"/>
        <v>2751</v>
      </c>
      <c r="Y460" s="2230">
        <f t="shared" si="32"/>
        <v>5502</v>
      </c>
    </row>
    <row r="461" spans="8:25">
      <c r="H461" s="2224" t="s">
        <v>1304</v>
      </c>
      <c r="I461" s="2229">
        <v>87</v>
      </c>
      <c r="J461" s="2226" t="s">
        <v>110</v>
      </c>
      <c r="K461" s="2224" t="s">
        <v>845</v>
      </c>
      <c r="L461" s="2227">
        <v>36.68</v>
      </c>
      <c r="M461" s="2227">
        <v>36.68</v>
      </c>
      <c r="N461" s="2250">
        <v>1.5468068139168124E-3</v>
      </c>
      <c r="O461" s="2224">
        <v>3</v>
      </c>
      <c r="P461" s="2225" t="s">
        <v>996</v>
      </c>
      <c r="Q461" s="2229">
        <v>50</v>
      </c>
      <c r="R461" s="2229">
        <v>50</v>
      </c>
      <c r="S461" s="2228">
        <f t="shared" si="28"/>
        <v>100</v>
      </c>
      <c r="T461" s="2986">
        <v>4350</v>
      </c>
      <c r="U461" s="2228">
        <f t="shared" si="29"/>
        <v>4350</v>
      </c>
      <c r="V461" s="2228">
        <f t="shared" si="30"/>
        <v>8700</v>
      </c>
      <c r="W461" s="2990">
        <v>1834</v>
      </c>
      <c r="X461" s="2230">
        <f t="shared" si="31"/>
        <v>1834</v>
      </c>
      <c r="Y461" s="2230">
        <f t="shared" si="32"/>
        <v>3668</v>
      </c>
    </row>
    <row r="462" spans="8:25">
      <c r="H462" s="2224" t="s">
        <v>1304</v>
      </c>
      <c r="I462" s="2229">
        <v>110</v>
      </c>
      <c r="J462" s="2226" t="s">
        <v>110</v>
      </c>
      <c r="K462" s="2224" t="s">
        <v>845</v>
      </c>
      <c r="L462" s="2227">
        <v>36.68</v>
      </c>
      <c r="M462" s="2227">
        <v>36.68</v>
      </c>
      <c r="N462" s="2250">
        <v>2.8452968148971465E-4</v>
      </c>
      <c r="O462" s="2224">
        <v>3</v>
      </c>
      <c r="P462" s="2225" t="s">
        <v>996</v>
      </c>
      <c r="Q462" s="2229">
        <v>200</v>
      </c>
      <c r="R462" s="2229">
        <v>200</v>
      </c>
      <c r="S462" s="2228">
        <f t="shared" si="28"/>
        <v>400</v>
      </c>
      <c r="T462" s="2986">
        <v>22000</v>
      </c>
      <c r="U462" s="2228">
        <f t="shared" si="29"/>
        <v>22000</v>
      </c>
      <c r="V462" s="2228">
        <f t="shared" si="30"/>
        <v>44000</v>
      </c>
      <c r="W462" s="2990">
        <v>7336</v>
      </c>
      <c r="X462" s="2230">
        <f t="shared" si="31"/>
        <v>7336</v>
      </c>
      <c r="Y462" s="2230">
        <f t="shared" si="32"/>
        <v>14672</v>
      </c>
    </row>
    <row r="463" spans="8:25">
      <c r="H463" s="2224" t="s">
        <v>1304</v>
      </c>
      <c r="I463" s="2229">
        <v>120</v>
      </c>
      <c r="J463" s="2226" t="s">
        <v>110</v>
      </c>
      <c r="K463" s="2224" t="s">
        <v>845</v>
      </c>
      <c r="L463" s="2227">
        <v>36.68</v>
      </c>
      <c r="M463" s="2227">
        <v>36.68</v>
      </c>
      <c r="N463" s="2250">
        <v>1.6968315550659346E-3</v>
      </c>
      <c r="O463" s="2224">
        <v>3</v>
      </c>
      <c r="P463" s="2225" t="s">
        <v>996</v>
      </c>
      <c r="Q463" s="2229">
        <v>75</v>
      </c>
      <c r="R463" s="2229">
        <v>75</v>
      </c>
      <c r="S463" s="2228">
        <f t="shared" si="28"/>
        <v>150</v>
      </c>
      <c r="T463" s="2986">
        <v>9000</v>
      </c>
      <c r="U463" s="2228">
        <f t="shared" si="29"/>
        <v>9000</v>
      </c>
      <c r="V463" s="2228">
        <f t="shared" si="30"/>
        <v>18000</v>
      </c>
      <c r="W463" s="2990">
        <v>2751</v>
      </c>
      <c r="X463" s="2230">
        <f t="shared" si="31"/>
        <v>2751</v>
      </c>
      <c r="Y463" s="2230">
        <f t="shared" si="32"/>
        <v>5502</v>
      </c>
    </row>
    <row r="464" spans="8:25">
      <c r="H464" s="2224" t="s">
        <v>1304</v>
      </c>
      <c r="I464" s="2229">
        <v>131</v>
      </c>
      <c r="J464" s="2226" t="s">
        <v>110</v>
      </c>
      <c r="K464" s="2224" t="s">
        <v>845</v>
      </c>
      <c r="L464" s="2227">
        <v>36.68</v>
      </c>
      <c r="M464" s="2227">
        <v>36.68</v>
      </c>
      <c r="N464" s="2250">
        <v>8.3289597672443739E-4</v>
      </c>
      <c r="O464" s="2224">
        <v>3</v>
      </c>
      <c r="P464" s="2225" t="s">
        <v>996</v>
      </c>
      <c r="Q464" s="2229">
        <v>75</v>
      </c>
      <c r="R464" s="2229">
        <v>75</v>
      </c>
      <c r="S464" s="2228">
        <f t="shared" si="28"/>
        <v>150</v>
      </c>
      <c r="T464" s="2986">
        <v>9825</v>
      </c>
      <c r="U464" s="2228">
        <f t="shared" si="29"/>
        <v>9825</v>
      </c>
      <c r="V464" s="2228">
        <f t="shared" si="30"/>
        <v>19650</v>
      </c>
      <c r="W464" s="2990">
        <v>2751</v>
      </c>
      <c r="X464" s="2230">
        <f t="shared" si="31"/>
        <v>2751</v>
      </c>
      <c r="Y464" s="2230">
        <f t="shared" si="32"/>
        <v>5502</v>
      </c>
    </row>
    <row r="465" spans="8:25">
      <c r="H465" s="2224" t="s">
        <v>1304</v>
      </c>
      <c r="I465" s="2229">
        <v>161</v>
      </c>
      <c r="J465" s="2226" t="s">
        <v>110</v>
      </c>
      <c r="K465" s="2224" t="s">
        <v>845</v>
      </c>
      <c r="L465" s="2227">
        <v>36.68</v>
      </c>
      <c r="M465" s="2227">
        <v>36.68</v>
      </c>
      <c r="N465" s="2250">
        <v>6.7769796863913852E-4</v>
      </c>
      <c r="O465" s="2224">
        <v>3</v>
      </c>
      <c r="P465" s="2225" t="s">
        <v>996</v>
      </c>
      <c r="Q465" s="2229">
        <v>250</v>
      </c>
      <c r="R465" s="2229">
        <v>250</v>
      </c>
      <c r="S465" s="2228">
        <f t="shared" si="28"/>
        <v>500</v>
      </c>
      <c r="T465" s="2986">
        <v>40250</v>
      </c>
      <c r="U465" s="2228">
        <f t="shared" si="29"/>
        <v>40250</v>
      </c>
      <c r="V465" s="2228">
        <f t="shared" si="30"/>
        <v>80500</v>
      </c>
      <c r="W465" s="2990">
        <v>9170</v>
      </c>
      <c r="X465" s="2230">
        <f t="shared" si="31"/>
        <v>9170</v>
      </c>
      <c r="Y465" s="2230">
        <f t="shared" si="32"/>
        <v>18340</v>
      </c>
    </row>
    <row r="466" spans="8:25">
      <c r="H466" s="2224" t="s">
        <v>1304</v>
      </c>
      <c r="I466" s="2229">
        <v>299</v>
      </c>
      <c r="J466" s="2226" t="s">
        <v>110</v>
      </c>
      <c r="K466" s="2224" t="s">
        <v>845</v>
      </c>
      <c r="L466" s="2227">
        <v>36.68</v>
      </c>
      <c r="M466" s="2227">
        <v>36.68</v>
      </c>
      <c r="N466" s="2250">
        <v>3.1039601617059779E-4</v>
      </c>
      <c r="O466" s="2224">
        <v>3</v>
      </c>
      <c r="P466" s="2225" t="s">
        <v>996</v>
      </c>
      <c r="Q466" s="2229">
        <v>150</v>
      </c>
      <c r="R466" s="2229">
        <v>150</v>
      </c>
      <c r="S466" s="2228">
        <f t="shared" si="28"/>
        <v>300</v>
      </c>
      <c r="T466" s="2986">
        <v>44850</v>
      </c>
      <c r="U466" s="2228">
        <f t="shared" si="29"/>
        <v>44850</v>
      </c>
      <c r="V466" s="2228">
        <f t="shared" si="30"/>
        <v>89700</v>
      </c>
      <c r="W466" s="2990">
        <v>5502</v>
      </c>
      <c r="X466" s="2230">
        <f t="shared" si="31"/>
        <v>5502</v>
      </c>
      <c r="Y466" s="2230">
        <f t="shared" si="32"/>
        <v>11004</v>
      </c>
    </row>
    <row r="467" spans="8:25">
      <c r="H467" s="2224" t="s">
        <v>1305</v>
      </c>
      <c r="I467" s="2229">
        <v>70</v>
      </c>
      <c r="J467" s="2226" t="s">
        <v>110</v>
      </c>
      <c r="K467" s="2224" t="s">
        <v>845</v>
      </c>
      <c r="L467" s="2227">
        <v>50.64</v>
      </c>
      <c r="M467" s="2227">
        <v>50.64</v>
      </c>
      <c r="N467" s="2250">
        <v>8.6910884527767376E-4</v>
      </c>
      <c r="O467" s="2224">
        <v>3</v>
      </c>
      <c r="P467" s="2225" t="s">
        <v>996</v>
      </c>
      <c r="Q467" s="2229">
        <v>100</v>
      </c>
      <c r="R467" s="2229">
        <v>100</v>
      </c>
      <c r="S467" s="2228">
        <f t="shared" si="28"/>
        <v>200</v>
      </c>
      <c r="T467" s="2986">
        <v>7000</v>
      </c>
      <c r="U467" s="2228">
        <f t="shared" si="29"/>
        <v>7000</v>
      </c>
      <c r="V467" s="2228">
        <f t="shared" si="30"/>
        <v>14000</v>
      </c>
      <c r="W467" s="2990">
        <v>5064</v>
      </c>
      <c r="X467" s="2230">
        <f t="shared" si="31"/>
        <v>5064</v>
      </c>
      <c r="Y467" s="2230">
        <f t="shared" si="32"/>
        <v>10128</v>
      </c>
    </row>
    <row r="468" spans="8:25">
      <c r="H468" s="2224" t="s">
        <v>1305</v>
      </c>
      <c r="I468" s="2229">
        <v>71</v>
      </c>
      <c r="J468" s="2226" t="s">
        <v>110</v>
      </c>
      <c r="K468" s="2224" t="s">
        <v>845</v>
      </c>
      <c r="L468" s="2227">
        <v>50.64</v>
      </c>
      <c r="M468" s="2227">
        <v>50.64</v>
      </c>
      <c r="N468" s="2250">
        <v>9.001484468947336E-4</v>
      </c>
      <c r="O468" s="2224">
        <v>3</v>
      </c>
      <c r="P468" s="2225" t="s">
        <v>996</v>
      </c>
      <c r="Q468" s="2229">
        <v>50</v>
      </c>
      <c r="R468" s="2229">
        <v>50</v>
      </c>
      <c r="S468" s="2228">
        <f t="shared" si="28"/>
        <v>100</v>
      </c>
      <c r="T468" s="2986">
        <v>3550</v>
      </c>
      <c r="U468" s="2228">
        <f t="shared" si="29"/>
        <v>3550</v>
      </c>
      <c r="V468" s="2228">
        <f t="shared" si="30"/>
        <v>7100</v>
      </c>
      <c r="W468" s="2990">
        <v>2532</v>
      </c>
      <c r="X468" s="2230">
        <f t="shared" si="31"/>
        <v>2532</v>
      </c>
      <c r="Y468" s="2230">
        <f t="shared" si="32"/>
        <v>5064</v>
      </c>
    </row>
    <row r="469" spans="8:25">
      <c r="H469" s="2224" t="s">
        <v>1305</v>
      </c>
      <c r="I469" s="2229">
        <v>74</v>
      </c>
      <c r="J469" s="2226" t="s">
        <v>110</v>
      </c>
      <c r="K469" s="2224" t="s">
        <v>845</v>
      </c>
      <c r="L469" s="2227">
        <v>50.64</v>
      </c>
      <c r="M469" s="2227">
        <v>50.64</v>
      </c>
      <c r="N469" s="2250">
        <v>1.3191830687250407E-3</v>
      </c>
      <c r="O469" s="2224">
        <v>3</v>
      </c>
      <c r="P469" s="2225" t="s">
        <v>996</v>
      </c>
      <c r="Q469" s="2229">
        <v>25</v>
      </c>
      <c r="R469" s="2229">
        <v>25</v>
      </c>
      <c r="S469" s="2228">
        <f t="shared" si="28"/>
        <v>50</v>
      </c>
      <c r="T469" s="2986">
        <v>1850</v>
      </c>
      <c r="U469" s="2228">
        <f t="shared" si="29"/>
        <v>1850</v>
      </c>
      <c r="V469" s="2228">
        <f t="shared" si="30"/>
        <v>3700</v>
      </c>
      <c r="W469" s="2990">
        <v>1266</v>
      </c>
      <c r="X469" s="2230">
        <f t="shared" si="31"/>
        <v>1266</v>
      </c>
      <c r="Y469" s="2230">
        <f t="shared" si="32"/>
        <v>2532</v>
      </c>
    </row>
    <row r="470" spans="8:25">
      <c r="H470" s="2224" t="s">
        <v>1305</v>
      </c>
      <c r="I470" s="2229">
        <v>93</v>
      </c>
      <c r="J470" s="2226" t="s">
        <v>110</v>
      </c>
      <c r="K470" s="2224" t="s">
        <v>845</v>
      </c>
      <c r="L470" s="2227">
        <v>50.64</v>
      </c>
      <c r="M470" s="2227">
        <v>50.64</v>
      </c>
      <c r="N470" s="2250">
        <v>2.4055691253221329E-4</v>
      </c>
      <c r="O470" s="2224">
        <v>3</v>
      </c>
      <c r="P470" s="2225" t="s">
        <v>996</v>
      </c>
      <c r="Q470" s="2229">
        <v>750</v>
      </c>
      <c r="R470" s="2229">
        <v>750</v>
      </c>
      <c r="S470" s="2228">
        <f t="shared" si="28"/>
        <v>1500</v>
      </c>
      <c r="T470" s="2986">
        <v>69750</v>
      </c>
      <c r="U470" s="2228">
        <f t="shared" si="29"/>
        <v>69750</v>
      </c>
      <c r="V470" s="2228">
        <f t="shared" si="30"/>
        <v>139500</v>
      </c>
      <c r="W470" s="2990">
        <v>37980</v>
      </c>
      <c r="X470" s="2230">
        <f t="shared" si="31"/>
        <v>37980</v>
      </c>
      <c r="Y470" s="2230">
        <f t="shared" si="32"/>
        <v>75960</v>
      </c>
    </row>
    <row r="471" spans="8:25">
      <c r="H471" s="2224" t="s">
        <v>1305</v>
      </c>
      <c r="I471" s="2229">
        <v>103</v>
      </c>
      <c r="J471" s="2226" t="s">
        <v>110</v>
      </c>
      <c r="K471" s="2224" t="s">
        <v>845</v>
      </c>
      <c r="L471" s="2227">
        <v>50.64</v>
      </c>
      <c r="M471" s="2227">
        <v>50.64</v>
      </c>
      <c r="N471" s="2250">
        <v>5.4319302829854612E-3</v>
      </c>
      <c r="O471" s="2224">
        <v>3</v>
      </c>
      <c r="P471" s="2225" t="s">
        <v>996</v>
      </c>
      <c r="Q471" s="2229">
        <v>10</v>
      </c>
      <c r="R471" s="2229">
        <v>10</v>
      </c>
      <c r="S471" s="2228">
        <f t="shared" si="28"/>
        <v>20</v>
      </c>
      <c r="T471" s="2986">
        <v>1030</v>
      </c>
      <c r="U471" s="2228">
        <f t="shared" si="29"/>
        <v>1030</v>
      </c>
      <c r="V471" s="2228">
        <f t="shared" si="30"/>
        <v>2060</v>
      </c>
      <c r="W471" s="2990">
        <v>506.4</v>
      </c>
      <c r="X471" s="2230">
        <f t="shared" si="31"/>
        <v>506.4</v>
      </c>
      <c r="Y471" s="2230">
        <f t="shared" si="32"/>
        <v>1012.8</v>
      </c>
    </row>
    <row r="472" spans="8:25">
      <c r="H472" s="2224" t="s">
        <v>1305</v>
      </c>
      <c r="I472" s="2229">
        <v>112</v>
      </c>
      <c r="J472" s="2226" t="s">
        <v>110</v>
      </c>
      <c r="K472" s="2224" t="s">
        <v>845</v>
      </c>
      <c r="L472" s="2227">
        <v>50.64</v>
      </c>
      <c r="M472" s="2227">
        <v>50.64</v>
      </c>
      <c r="N472" s="2250">
        <v>7.0873757025619827E-5</v>
      </c>
      <c r="O472" s="2224">
        <v>3</v>
      </c>
      <c r="P472" s="2225" t="s">
        <v>996</v>
      </c>
      <c r="Q472" s="2229">
        <v>75</v>
      </c>
      <c r="R472" s="2229">
        <v>75</v>
      </c>
      <c r="S472" s="2228">
        <f t="shared" si="28"/>
        <v>150</v>
      </c>
      <c r="T472" s="2986">
        <v>8400</v>
      </c>
      <c r="U472" s="2228">
        <f t="shared" si="29"/>
        <v>8400</v>
      </c>
      <c r="V472" s="2228">
        <f t="shared" si="30"/>
        <v>16800</v>
      </c>
      <c r="W472" s="2990">
        <v>3798</v>
      </c>
      <c r="X472" s="2230">
        <f t="shared" si="31"/>
        <v>3798</v>
      </c>
      <c r="Y472" s="2230">
        <f t="shared" si="32"/>
        <v>7596</v>
      </c>
    </row>
    <row r="473" spans="8:25">
      <c r="H473" s="2224" t="s">
        <v>1305</v>
      </c>
      <c r="I473" s="2229">
        <v>137</v>
      </c>
      <c r="J473" s="2226" t="s">
        <v>110</v>
      </c>
      <c r="K473" s="2224" t="s">
        <v>845</v>
      </c>
      <c r="L473" s="2227">
        <v>50.64</v>
      </c>
      <c r="M473" s="2227">
        <v>50.64</v>
      </c>
      <c r="N473" s="2250">
        <v>5.7940589685178258E-4</v>
      </c>
      <c r="O473" s="2224">
        <v>3</v>
      </c>
      <c r="P473" s="2225" t="s">
        <v>996</v>
      </c>
      <c r="Q473" s="2229">
        <v>25</v>
      </c>
      <c r="R473" s="2229">
        <v>25</v>
      </c>
      <c r="S473" s="2228">
        <f t="shared" si="28"/>
        <v>50</v>
      </c>
      <c r="T473" s="2986">
        <v>3425</v>
      </c>
      <c r="U473" s="2228">
        <f t="shared" si="29"/>
        <v>3425</v>
      </c>
      <c r="V473" s="2228">
        <f t="shared" si="30"/>
        <v>6850</v>
      </c>
      <c r="W473" s="2990">
        <v>1266</v>
      </c>
      <c r="X473" s="2230">
        <f t="shared" si="31"/>
        <v>1266</v>
      </c>
      <c r="Y473" s="2230">
        <f t="shared" si="32"/>
        <v>2532</v>
      </c>
    </row>
    <row r="474" spans="8:25">
      <c r="H474" s="2224" t="s">
        <v>1305</v>
      </c>
      <c r="I474" s="2229">
        <v>255</v>
      </c>
      <c r="J474" s="2226" t="s">
        <v>110</v>
      </c>
      <c r="K474" s="2224" t="s">
        <v>845</v>
      </c>
      <c r="L474" s="2227">
        <v>50.64</v>
      </c>
      <c r="M474" s="2227">
        <v>50.64</v>
      </c>
      <c r="N474" s="2250">
        <v>2.6642324721309641E-4</v>
      </c>
      <c r="O474" s="2224">
        <v>3</v>
      </c>
      <c r="P474" s="2225" t="s">
        <v>996</v>
      </c>
      <c r="Q474" s="2229">
        <v>250</v>
      </c>
      <c r="R474" s="2229">
        <v>250</v>
      </c>
      <c r="S474" s="2228">
        <f t="shared" si="28"/>
        <v>500</v>
      </c>
      <c r="T474" s="2986">
        <v>63750</v>
      </c>
      <c r="U474" s="2228">
        <f t="shared" si="29"/>
        <v>63750</v>
      </c>
      <c r="V474" s="2228">
        <f t="shared" si="30"/>
        <v>127500</v>
      </c>
      <c r="W474" s="2990">
        <v>12660</v>
      </c>
      <c r="X474" s="2230">
        <f t="shared" si="31"/>
        <v>12660</v>
      </c>
      <c r="Y474" s="2230">
        <f t="shared" si="32"/>
        <v>25320</v>
      </c>
    </row>
    <row r="475" spans="8:25">
      <c r="H475" s="2224" t="s">
        <v>1306</v>
      </c>
      <c r="I475" s="2229">
        <v>95</v>
      </c>
      <c r="J475" s="2226" t="s">
        <v>110</v>
      </c>
      <c r="K475" s="2224" t="s">
        <v>845</v>
      </c>
      <c r="L475" s="2227">
        <v>52.35</v>
      </c>
      <c r="M475" s="2227">
        <v>52.35</v>
      </c>
      <c r="N475" s="2250">
        <v>1.8365097623427036E-3</v>
      </c>
      <c r="O475" s="2224">
        <v>3</v>
      </c>
      <c r="P475" s="2225" t="s">
        <v>996</v>
      </c>
      <c r="Q475" s="2229">
        <v>50</v>
      </c>
      <c r="R475" s="2229">
        <v>50</v>
      </c>
      <c r="S475" s="2228">
        <f t="shared" si="28"/>
        <v>100</v>
      </c>
      <c r="T475" s="2986">
        <v>4750</v>
      </c>
      <c r="U475" s="2228">
        <f t="shared" si="29"/>
        <v>4750</v>
      </c>
      <c r="V475" s="2228">
        <f t="shared" si="30"/>
        <v>9500</v>
      </c>
      <c r="W475" s="2990">
        <v>2617.5</v>
      </c>
      <c r="X475" s="2230">
        <f t="shared" si="31"/>
        <v>2617.5</v>
      </c>
      <c r="Y475" s="2230">
        <f t="shared" si="32"/>
        <v>5235</v>
      </c>
    </row>
    <row r="476" spans="8:25">
      <c r="H476" s="2224" t="s">
        <v>1306</v>
      </c>
      <c r="I476" s="2229">
        <v>96</v>
      </c>
      <c r="J476" s="2226" t="s">
        <v>110</v>
      </c>
      <c r="K476" s="2224" t="s">
        <v>845</v>
      </c>
      <c r="L476" s="2227">
        <v>52.35</v>
      </c>
      <c r="M476" s="2227">
        <v>52.35</v>
      </c>
      <c r="N476" s="2250">
        <v>3.8282175327707059E-4</v>
      </c>
      <c r="O476" s="2224">
        <v>3</v>
      </c>
      <c r="P476" s="2225" t="s">
        <v>996</v>
      </c>
      <c r="Q476" s="2229">
        <v>75</v>
      </c>
      <c r="R476" s="2229">
        <v>75</v>
      </c>
      <c r="S476" s="2228">
        <f t="shared" si="28"/>
        <v>150</v>
      </c>
      <c r="T476" s="2986">
        <v>7200</v>
      </c>
      <c r="U476" s="2228">
        <f t="shared" si="29"/>
        <v>7200</v>
      </c>
      <c r="V476" s="2228">
        <f t="shared" si="30"/>
        <v>14400</v>
      </c>
      <c r="W476" s="2990">
        <v>3926.25</v>
      </c>
      <c r="X476" s="2230">
        <f t="shared" si="31"/>
        <v>3926.25</v>
      </c>
      <c r="Y476" s="2230">
        <f t="shared" si="32"/>
        <v>7852.5</v>
      </c>
    </row>
    <row r="477" spans="8:25">
      <c r="H477" s="2224" t="s">
        <v>1306</v>
      </c>
      <c r="I477" s="2229">
        <v>100</v>
      </c>
      <c r="J477" s="2226" t="s">
        <v>110</v>
      </c>
      <c r="K477" s="2224" t="s">
        <v>845</v>
      </c>
      <c r="L477" s="2227">
        <v>52.35</v>
      </c>
      <c r="M477" s="2227">
        <v>52.35</v>
      </c>
      <c r="N477" s="2250">
        <v>1.7796038260447606E-3</v>
      </c>
      <c r="O477" s="2224">
        <v>3</v>
      </c>
      <c r="P477" s="2225" t="s">
        <v>996</v>
      </c>
      <c r="Q477" s="2229">
        <v>25</v>
      </c>
      <c r="R477" s="2229">
        <v>25</v>
      </c>
      <c r="S477" s="2228">
        <f t="shared" si="28"/>
        <v>50</v>
      </c>
      <c r="T477" s="2986">
        <v>2500</v>
      </c>
      <c r="U477" s="2228">
        <f t="shared" si="29"/>
        <v>2500</v>
      </c>
      <c r="V477" s="2228">
        <f t="shared" si="30"/>
        <v>5000</v>
      </c>
      <c r="W477" s="2990">
        <v>1308.75</v>
      </c>
      <c r="X477" s="2230">
        <f t="shared" si="31"/>
        <v>1308.75</v>
      </c>
      <c r="Y477" s="2230">
        <f t="shared" si="32"/>
        <v>2617.5</v>
      </c>
    </row>
    <row r="478" spans="8:25">
      <c r="H478" s="2224" t="s">
        <v>1306</v>
      </c>
      <c r="I478" s="2229">
        <v>126</v>
      </c>
      <c r="J478" s="2226" t="s">
        <v>110</v>
      </c>
      <c r="K478" s="2224" t="s">
        <v>845</v>
      </c>
      <c r="L478" s="2227">
        <v>52.35</v>
      </c>
      <c r="M478" s="2227">
        <v>52.35</v>
      </c>
      <c r="N478" s="2250">
        <v>3.2591581697912766E-4</v>
      </c>
      <c r="O478" s="2224">
        <v>3</v>
      </c>
      <c r="P478" s="2225" t="s">
        <v>996</v>
      </c>
      <c r="Q478" s="2229">
        <v>100</v>
      </c>
      <c r="R478" s="2229">
        <v>100</v>
      </c>
      <c r="S478" s="2228">
        <f t="shared" si="28"/>
        <v>200</v>
      </c>
      <c r="T478" s="2986">
        <v>12600</v>
      </c>
      <c r="U478" s="2228">
        <f t="shared" si="29"/>
        <v>12600</v>
      </c>
      <c r="V478" s="2228">
        <f t="shared" si="30"/>
        <v>25200</v>
      </c>
      <c r="W478" s="2990">
        <v>5235</v>
      </c>
      <c r="X478" s="2230">
        <f t="shared" si="31"/>
        <v>5235</v>
      </c>
      <c r="Y478" s="2230">
        <f t="shared" si="32"/>
        <v>10470</v>
      </c>
    </row>
    <row r="479" spans="8:25">
      <c r="H479" s="2224" t="s">
        <v>1306</v>
      </c>
      <c r="I479" s="2229">
        <v>139</v>
      </c>
      <c r="J479" s="2226" t="s">
        <v>110</v>
      </c>
      <c r="K479" s="2224" t="s">
        <v>845</v>
      </c>
      <c r="L479" s="2227">
        <v>52.35</v>
      </c>
      <c r="M479" s="2227">
        <v>52.35</v>
      </c>
      <c r="N479" s="2250">
        <v>9.8292071787355962E-4</v>
      </c>
      <c r="O479" s="2224">
        <v>3</v>
      </c>
      <c r="P479" s="2225" t="s">
        <v>996</v>
      </c>
      <c r="Q479" s="2229">
        <v>10</v>
      </c>
      <c r="R479" s="2229">
        <v>10</v>
      </c>
      <c r="S479" s="2228">
        <f t="shared" si="28"/>
        <v>20</v>
      </c>
      <c r="T479" s="2986">
        <v>1390</v>
      </c>
      <c r="U479" s="2228">
        <f t="shared" si="29"/>
        <v>1390</v>
      </c>
      <c r="V479" s="2228">
        <f t="shared" si="30"/>
        <v>2780</v>
      </c>
      <c r="W479" s="2990">
        <v>523.5</v>
      </c>
      <c r="X479" s="2230">
        <f t="shared" si="31"/>
        <v>523.5</v>
      </c>
      <c r="Y479" s="2230">
        <f t="shared" si="32"/>
        <v>1047</v>
      </c>
    </row>
    <row r="480" spans="8:25">
      <c r="H480" s="2224" t="s">
        <v>1306</v>
      </c>
      <c r="I480" s="2229">
        <v>151</v>
      </c>
      <c r="J480" s="2226" t="s">
        <v>110</v>
      </c>
      <c r="K480" s="2224" t="s">
        <v>845</v>
      </c>
      <c r="L480" s="2227">
        <v>52.35</v>
      </c>
      <c r="M480" s="2227">
        <v>52.35</v>
      </c>
      <c r="N480" s="2250">
        <v>1.9141087663853529E-4</v>
      </c>
      <c r="O480" s="2224">
        <v>3</v>
      </c>
      <c r="P480" s="2225" t="s">
        <v>996</v>
      </c>
      <c r="Q480" s="2229">
        <v>5</v>
      </c>
      <c r="R480" s="2229">
        <v>5</v>
      </c>
      <c r="S480" s="2228">
        <f t="shared" si="28"/>
        <v>10</v>
      </c>
      <c r="T480" s="2986">
        <v>755</v>
      </c>
      <c r="U480" s="2228">
        <f t="shared" si="29"/>
        <v>755</v>
      </c>
      <c r="V480" s="2228">
        <f t="shared" si="30"/>
        <v>1510</v>
      </c>
      <c r="W480" s="2990">
        <v>261.75</v>
      </c>
      <c r="X480" s="2230">
        <f t="shared" si="31"/>
        <v>261.75</v>
      </c>
      <c r="Y480" s="2230">
        <f t="shared" si="32"/>
        <v>523.5</v>
      </c>
    </row>
    <row r="481" spans="8:25">
      <c r="H481" s="2224" t="s">
        <v>1306</v>
      </c>
      <c r="I481" s="2229">
        <v>185</v>
      </c>
      <c r="J481" s="2226" t="s">
        <v>110</v>
      </c>
      <c r="K481" s="2224" t="s">
        <v>845</v>
      </c>
      <c r="L481" s="2227">
        <v>52.35</v>
      </c>
      <c r="M481" s="2227">
        <v>52.35</v>
      </c>
      <c r="N481" s="2250">
        <v>7.8116330736267104E-5</v>
      </c>
      <c r="O481" s="2224">
        <v>3</v>
      </c>
      <c r="P481" s="2225" t="s">
        <v>996</v>
      </c>
      <c r="Q481" s="2229">
        <v>2.5</v>
      </c>
      <c r="R481" s="2229">
        <v>2.5</v>
      </c>
      <c r="S481" s="2228">
        <f t="shared" si="28"/>
        <v>5</v>
      </c>
      <c r="T481" s="2986">
        <v>462.5</v>
      </c>
      <c r="U481" s="2228">
        <f t="shared" si="29"/>
        <v>462.5</v>
      </c>
      <c r="V481" s="2228">
        <f t="shared" si="30"/>
        <v>925</v>
      </c>
      <c r="W481" s="2990">
        <v>130.875</v>
      </c>
      <c r="X481" s="2230">
        <f t="shared" si="31"/>
        <v>130.875</v>
      </c>
      <c r="Y481" s="2230">
        <f t="shared" si="32"/>
        <v>261.75</v>
      </c>
    </row>
    <row r="482" spans="8:25">
      <c r="H482" s="2224" t="s">
        <v>1306</v>
      </c>
      <c r="I482" s="2229">
        <v>344</v>
      </c>
      <c r="J482" s="2226" t="s">
        <v>110</v>
      </c>
      <c r="K482" s="2224" t="s">
        <v>845</v>
      </c>
      <c r="L482" s="2227">
        <v>52.35</v>
      </c>
      <c r="M482" s="2227">
        <v>52.35</v>
      </c>
      <c r="N482" s="2250">
        <v>3.5954205206427576E-5</v>
      </c>
      <c r="O482" s="2224">
        <v>3</v>
      </c>
      <c r="P482" s="2225" t="s">
        <v>996</v>
      </c>
      <c r="Q482" s="2229">
        <v>275</v>
      </c>
      <c r="R482" s="2229">
        <v>286</v>
      </c>
      <c r="S482" s="2228">
        <f t="shared" si="28"/>
        <v>561</v>
      </c>
      <c r="T482" s="2986">
        <v>94600</v>
      </c>
      <c r="U482" s="2228">
        <f t="shared" si="29"/>
        <v>98384</v>
      </c>
      <c r="V482" s="2228">
        <f t="shared" si="30"/>
        <v>192984</v>
      </c>
      <c r="W482" s="2990">
        <v>14396.25</v>
      </c>
      <c r="X482" s="2230">
        <f t="shared" si="31"/>
        <v>14972.1</v>
      </c>
      <c r="Y482" s="2230">
        <f t="shared" si="32"/>
        <v>29368.35</v>
      </c>
    </row>
    <row r="483" spans="8:25">
      <c r="H483" s="2224" t="s">
        <v>1307</v>
      </c>
      <c r="I483" s="2229">
        <v>159</v>
      </c>
      <c r="J483" s="2226" t="s">
        <v>110</v>
      </c>
      <c r="K483" s="2224" t="s">
        <v>845</v>
      </c>
      <c r="L483" s="2227">
        <v>27.69</v>
      </c>
      <c r="M483" s="2227">
        <v>27.69</v>
      </c>
      <c r="N483" s="2250">
        <v>2.4831681293647823E-3</v>
      </c>
      <c r="O483" s="2224">
        <v>3</v>
      </c>
      <c r="P483" s="2225" t="s">
        <v>996</v>
      </c>
      <c r="Q483" s="2229">
        <v>51</v>
      </c>
      <c r="R483" s="2229">
        <v>49</v>
      </c>
      <c r="S483" s="2228">
        <f t="shared" si="28"/>
        <v>100</v>
      </c>
      <c r="T483" s="2986">
        <v>8109</v>
      </c>
      <c r="U483" s="2228">
        <f t="shared" si="29"/>
        <v>7791</v>
      </c>
      <c r="V483" s="2228">
        <f t="shared" si="30"/>
        <v>15900</v>
      </c>
      <c r="W483" s="2990">
        <v>1412.19</v>
      </c>
      <c r="X483" s="2230">
        <f t="shared" si="31"/>
        <v>1356.8100000000002</v>
      </c>
      <c r="Y483" s="2230">
        <f t="shared" si="32"/>
        <v>2769</v>
      </c>
    </row>
    <row r="484" spans="8:25">
      <c r="H484" s="2224" t="s">
        <v>1307</v>
      </c>
      <c r="I484" s="2229">
        <v>58</v>
      </c>
      <c r="J484" s="2226" t="s">
        <v>110</v>
      </c>
      <c r="K484" s="2224" t="s">
        <v>845</v>
      </c>
      <c r="L484" s="2227">
        <v>27.69</v>
      </c>
      <c r="M484" s="2227">
        <v>27.69</v>
      </c>
      <c r="N484" s="2250">
        <v>5.1732669361766301E-4</v>
      </c>
      <c r="O484" s="2224">
        <v>3</v>
      </c>
      <c r="P484" s="2225" t="s">
        <v>996</v>
      </c>
      <c r="Q484" s="2229">
        <v>100</v>
      </c>
      <c r="R484" s="2229">
        <v>100</v>
      </c>
      <c r="S484" s="2228">
        <f t="shared" si="28"/>
        <v>200</v>
      </c>
      <c r="T484" s="2986">
        <v>5800</v>
      </c>
      <c r="U484" s="2228">
        <f t="shared" si="29"/>
        <v>5800</v>
      </c>
      <c r="V484" s="2228">
        <f t="shared" si="30"/>
        <v>11600</v>
      </c>
      <c r="W484" s="2990">
        <v>2769</v>
      </c>
      <c r="X484" s="2230">
        <f t="shared" si="31"/>
        <v>2769</v>
      </c>
      <c r="Y484" s="2230">
        <f t="shared" si="32"/>
        <v>5538</v>
      </c>
    </row>
    <row r="485" spans="8:25">
      <c r="H485" s="2224" t="s">
        <v>1307</v>
      </c>
      <c r="I485" s="2229">
        <v>44</v>
      </c>
      <c r="J485" s="2226" t="s">
        <v>110</v>
      </c>
      <c r="K485" s="2224" t="s">
        <v>845</v>
      </c>
      <c r="L485" s="2227">
        <v>27.69</v>
      </c>
      <c r="M485" s="2227">
        <v>27.69</v>
      </c>
      <c r="N485" s="2250">
        <v>8.2254944285208411E-4</v>
      </c>
      <c r="O485" s="2224">
        <v>3</v>
      </c>
      <c r="P485" s="2225" t="s">
        <v>996</v>
      </c>
      <c r="Q485" s="2229">
        <v>20</v>
      </c>
      <c r="R485" s="2229">
        <v>20</v>
      </c>
      <c r="S485" s="2228">
        <f t="shared" si="28"/>
        <v>40</v>
      </c>
      <c r="T485" s="2986">
        <v>880</v>
      </c>
      <c r="U485" s="2228">
        <f t="shared" si="29"/>
        <v>880</v>
      </c>
      <c r="V485" s="2228">
        <f t="shared" si="30"/>
        <v>1760</v>
      </c>
      <c r="W485" s="2990">
        <v>553.80000000000007</v>
      </c>
      <c r="X485" s="2230">
        <f t="shared" si="31"/>
        <v>553.80000000000007</v>
      </c>
      <c r="Y485" s="2230">
        <f t="shared" si="32"/>
        <v>1107.6000000000001</v>
      </c>
    </row>
    <row r="486" spans="8:25">
      <c r="H486" s="2224" t="s">
        <v>1307</v>
      </c>
      <c r="I486" s="2229">
        <v>86</v>
      </c>
      <c r="J486" s="2226" t="s">
        <v>110</v>
      </c>
      <c r="K486" s="2224" t="s">
        <v>845</v>
      </c>
      <c r="L486" s="2227">
        <v>27.69</v>
      </c>
      <c r="M486" s="2227">
        <v>27.69</v>
      </c>
      <c r="N486" s="2250">
        <v>3.0004948229824453E-5</v>
      </c>
      <c r="O486" s="2224">
        <v>3</v>
      </c>
      <c r="P486" s="2225" t="s">
        <v>996</v>
      </c>
      <c r="Q486" s="2229">
        <v>150</v>
      </c>
      <c r="R486" s="2229">
        <v>150</v>
      </c>
      <c r="S486" s="2228">
        <f t="shared" si="28"/>
        <v>300</v>
      </c>
      <c r="T486" s="2986">
        <v>12900</v>
      </c>
      <c r="U486" s="2228">
        <f t="shared" si="29"/>
        <v>12900</v>
      </c>
      <c r="V486" s="2228">
        <f t="shared" si="30"/>
        <v>25800</v>
      </c>
      <c r="W486" s="2990">
        <v>4153.5</v>
      </c>
      <c r="X486" s="2230">
        <f t="shared" si="31"/>
        <v>4153.5</v>
      </c>
      <c r="Y486" s="2230">
        <f t="shared" si="32"/>
        <v>8307</v>
      </c>
    </row>
    <row r="487" spans="8:25">
      <c r="H487" s="2224" t="s">
        <v>1307</v>
      </c>
      <c r="I487" s="2229">
        <v>70</v>
      </c>
      <c r="J487" s="2226" t="s">
        <v>110</v>
      </c>
      <c r="K487" s="2224" t="s">
        <v>845</v>
      </c>
      <c r="L487" s="2227">
        <v>27.69</v>
      </c>
      <c r="M487" s="2227">
        <v>27.69</v>
      </c>
      <c r="N487" s="2250">
        <v>6.8287123557531516E-4</v>
      </c>
      <c r="O487" s="2224">
        <v>3</v>
      </c>
      <c r="P487" s="2225" t="s">
        <v>996</v>
      </c>
      <c r="Q487" s="2229">
        <v>75</v>
      </c>
      <c r="R487" s="2229">
        <v>75</v>
      </c>
      <c r="S487" s="2228">
        <f t="shared" si="28"/>
        <v>150</v>
      </c>
      <c r="T487" s="2986">
        <v>5250</v>
      </c>
      <c r="U487" s="2228">
        <f t="shared" si="29"/>
        <v>5250</v>
      </c>
      <c r="V487" s="2228">
        <f t="shared" si="30"/>
        <v>10500</v>
      </c>
      <c r="W487" s="2990">
        <v>2076.75</v>
      </c>
      <c r="X487" s="2230">
        <f t="shared" si="31"/>
        <v>2076.75</v>
      </c>
      <c r="Y487" s="2230">
        <f t="shared" si="32"/>
        <v>4153.5</v>
      </c>
    </row>
    <row r="488" spans="8:25">
      <c r="H488" s="2224" t="s">
        <v>1307</v>
      </c>
      <c r="I488" s="2229">
        <v>64</v>
      </c>
      <c r="J488" s="2226" t="s">
        <v>110</v>
      </c>
      <c r="K488" s="2224" t="s">
        <v>845</v>
      </c>
      <c r="L488" s="2227">
        <v>27.69</v>
      </c>
      <c r="M488" s="2227">
        <v>27.69</v>
      </c>
      <c r="N488" s="2250">
        <v>4.4490095651119016E-4</v>
      </c>
      <c r="O488" s="2224">
        <v>3</v>
      </c>
      <c r="P488" s="2225" t="s">
        <v>996</v>
      </c>
      <c r="Q488" s="2229">
        <v>75</v>
      </c>
      <c r="R488" s="2229">
        <v>75</v>
      </c>
      <c r="S488" s="2228">
        <f t="shared" si="28"/>
        <v>150</v>
      </c>
      <c r="T488" s="2986">
        <v>4800</v>
      </c>
      <c r="U488" s="2228">
        <f t="shared" si="29"/>
        <v>4800</v>
      </c>
      <c r="V488" s="2228">
        <f t="shared" si="30"/>
        <v>9600</v>
      </c>
      <c r="W488" s="2990">
        <v>2076.75</v>
      </c>
      <c r="X488" s="2230">
        <f t="shared" si="31"/>
        <v>2076.75</v>
      </c>
      <c r="Y488" s="2230">
        <f t="shared" si="32"/>
        <v>4153.5</v>
      </c>
    </row>
    <row r="489" spans="8:25">
      <c r="H489" s="2224" t="s">
        <v>1307</v>
      </c>
      <c r="I489" s="2229">
        <v>45</v>
      </c>
      <c r="J489" s="2226" t="s">
        <v>110</v>
      </c>
      <c r="K489" s="2224" t="s">
        <v>845</v>
      </c>
      <c r="L489" s="2227">
        <v>27.69</v>
      </c>
      <c r="M489" s="2227">
        <v>27.69</v>
      </c>
      <c r="N489" s="2250">
        <v>3.6212868553236408E-4</v>
      </c>
      <c r="O489" s="2224">
        <v>3</v>
      </c>
      <c r="P489" s="2225" t="s">
        <v>996</v>
      </c>
      <c r="Q489" s="2229">
        <v>75</v>
      </c>
      <c r="R489" s="2229">
        <v>75</v>
      </c>
      <c r="S489" s="2228">
        <f t="shared" si="28"/>
        <v>150</v>
      </c>
      <c r="T489" s="2986">
        <v>3375</v>
      </c>
      <c r="U489" s="2228">
        <f t="shared" si="29"/>
        <v>3375</v>
      </c>
      <c r="V489" s="2228">
        <f t="shared" si="30"/>
        <v>6750</v>
      </c>
      <c r="W489" s="2990">
        <v>2076.75</v>
      </c>
      <c r="X489" s="2230">
        <f t="shared" si="31"/>
        <v>2076.75</v>
      </c>
      <c r="Y489" s="2230">
        <f t="shared" si="32"/>
        <v>4153.5</v>
      </c>
    </row>
    <row r="490" spans="8:25">
      <c r="H490" s="2224" t="s">
        <v>1307</v>
      </c>
      <c r="I490" s="2229">
        <v>46</v>
      </c>
      <c r="J490" s="2226" t="s">
        <v>110</v>
      </c>
      <c r="K490" s="2224" t="s">
        <v>845</v>
      </c>
      <c r="L490" s="2227">
        <v>27.69</v>
      </c>
      <c r="M490" s="2227">
        <v>27.69</v>
      </c>
      <c r="N490" s="2250">
        <v>3.310890839153043E-4</v>
      </c>
      <c r="O490" s="2224">
        <v>3</v>
      </c>
      <c r="P490" s="2225" t="s">
        <v>996</v>
      </c>
      <c r="Q490" s="2229">
        <v>125</v>
      </c>
      <c r="R490" s="2229">
        <v>125</v>
      </c>
      <c r="S490" s="2228">
        <f t="shared" si="28"/>
        <v>250</v>
      </c>
      <c r="T490" s="2986">
        <v>5750</v>
      </c>
      <c r="U490" s="2228">
        <f t="shared" si="29"/>
        <v>5750</v>
      </c>
      <c r="V490" s="2228">
        <f t="shared" si="30"/>
        <v>11500</v>
      </c>
      <c r="W490" s="2990">
        <v>3461.25</v>
      </c>
      <c r="X490" s="2230">
        <f t="shared" si="31"/>
        <v>3461.25</v>
      </c>
      <c r="Y490" s="2230">
        <f t="shared" si="32"/>
        <v>6922.5</v>
      </c>
    </row>
    <row r="491" spans="8:25">
      <c r="H491" s="2224" t="s">
        <v>1308</v>
      </c>
      <c r="I491" s="2229">
        <v>712</v>
      </c>
      <c r="J491" s="2226" t="s">
        <v>110</v>
      </c>
      <c r="K491" s="2224" t="s">
        <v>845</v>
      </c>
      <c r="L491" s="2227">
        <v>13.68</v>
      </c>
      <c r="M491" s="2227">
        <v>13.68</v>
      </c>
      <c r="N491" s="2250">
        <v>5.8199253031987084E-4</v>
      </c>
      <c r="O491" s="2224">
        <v>3</v>
      </c>
      <c r="P491" s="2225" t="s">
        <v>996</v>
      </c>
      <c r="Q491" s="2229">
        <v>125</v>
      </c>
      <c r="R491" s="2229">
        <v>125</v>
      </c>
      <c r="S491" s="2228">
        <f t="shared" si="28"/>
        <v>250</v>
      </c>
      <c r="T491" s="2986">
        <v>89000</v>
      </c>
      <c r="U491" s="2228">
        <f t="shared" si="29"/>
        <v>89000</v>
      </c>
      <c r="V491" s="2228">
        <f t="shared" si="30"/>
        <v>178000</v>
      </c>
      <c r="W491" s="2990">
        <v>1710</v>
      </c>
      <c r="X491" s="2230">
        <f t="shared" si="31"/>
        <v>1710</v>
      </c>
      <c r="Y491" s="2230">
        <f t="shared" si="32"/>
        <v>3420</v>
      </c>
    </row>
    <row r="492" spans="8:25">
      <c r="H492" s="2224" t="s">
        <v>1309</v>
      </c>
      <c r="I492" s="2229">
        <v>350</v>
      </c>
      <c r="J492" s="2226" t="s">
        <v>110</v>
      </c>
      <c r="K492" s="2224" t="s">
        <v>845</v>
      </c>
      <c r="L492" s="2227">
        <v>10.95</v>
      </c>
      <c r="M492" s="2227">
        <v>10.95</v>
      </c>
      <c r="N492" s="2250">
        <v>5.9492569766031239E-4</v>
      </c>
      <c r="O492" s="2224">
        <v>3</v>
      </c>
      <c r="P492" s="2225" t="s">
        <v>996</v>
      </c>
      <c r="Q492" s="2229">
        <v>1500</v>
      </c>
      <c r="R492" s="2229">
        <v>1500</v>
      </c>
      <c r="S492" s="2228">
        <f t="shared" si="28"/>
        <v>3000</v>
      </c>
      <c r="T492" s="2986">
        <v>525000</v>
      </c>
      <c r="U492" s="2228">
        <f t="shared" si="29"/>
        <v>525000</v>
      </c>
      <c r="V492" s="2228">
        <f t="shared" si="30"/>
        <v>1050000</v>
      </c>
      <c r="W492" s="2990">
        <v>16425</v>
      </c>
      <c r="X492" s="2230">
        <f t="shared" si="31"/>
        <v>16425</v>
      </c>
      <c r="Y492" s="2230">
        <f t="shared" si="32"/>
        <v>32850</v>
      </c>
    </row>
    <row r="493" spans="8:25">
      <c r="H493" s="2224" t="s">
        <v>1310</v>
      </c>
      <c r="I493" s="2229">
        <v>1208</v>
      </c>
      <c r="J493" s="2226" t="s">
        <v>110</v>
      </c>
      <c r="K493" s="2224" t="s">
        <v>845</v>
      </c>
      <c r="L493" s="2227">
        <v>71.209999999999994</v>
      </c>
      <c r="M493" s="2227">
        <v>71.209999999999994</v>
      </c>
      <c r="N493" s="2250">
        <v>7.3667321171155209E-2</v>
      </c>
      <c r="O493" s="2224">
        <v>5</v>
      </c>
      <c r="P493" s="2225" t="s">
        <v>997</v>
      </c>
      <c r="Q493" s="2229">
        <v>150</v>
      </c>
      <c r="R493" s="2229">
        <v>150</v>
      </c>
      <c r="S493" s="2228">
        <f t="shared" si="28"/>
        <v>300</v>
      </c>
      <c r="T493" s="2986">
        <v>181200</v>
      </c>
      <c r="U493" s="2228">
        <f t="shared" si="29"/>
        <v>181200</v>
      </c>
      <c r="V493" s="2228">
        <f t="shared" si="30"/>
        <v>362400</v>
      </c>
      <c r="W493" s="2990">
        <v>10681.499999999998</v>
      </c>
      <c r="X493" s="2230">
        <f t="shared" si="31"/>
        <v>10681.499999999998</v>
      </c>
      <c r="Y493" s="2230">
        <f t="shared" si="32"/>
        <v>21362.999999999996</v>
      </c>
    </row>
    <row r="494" spans="8:25">
      <c r="H494" s="2224" t="s">
        <v>1311</v>
      </c>
      <c r="I494" s="2229">
        <v>839</v>
      </c>
      <c r="J494" s="2226" t="s">
        <v>110</v>
      </c>
      <c r="K494" s="2224" t="s">
        <v>845</v>
      </c>
      <c r="L494" s="2227">
        <v>71.209999999999994</v>
      </c>
      <c r="M494" s="2227">
        <v>71.209999999999994</v>
      </c>
      <c r="N494" s="2250">
        <v>5.4319302829854612E-3</v>
      </c>
      <c r="O494" s="2224">
        <v>5</v>
      </c>
      <c r="P494" s="2225" t="s">
        <v>997</v>
      </c>
      <c r="Q494" s="2229">
        <v>25</v>
      </c>
      <c r="R494" s="2229">
        <v>25</v>
      </c>
      <c r="S494" s="2228">
        <f t="shared" si="28"/>
        <v>50</v>
      </c>
      <c r="T494" s="2986">
        <v>20975</v>
      </c>
      <c r="U494" s="2228">
        <f t="shared" si="29"/>
        <v>20975</v>
      </c>
      <c r="V494" s="2228">
        <f t="shared" si="30"/>
        <v>41950</v>
      </c>
      <c r="W494" s="2990">
        <v>1780.2499999999998</v>
      </c>
      <c r="X494" s="2230">
        <f t="shared" si="31"/>
        <v>1780.2499999999998</v>
      </c>
      <c r="Y494" s="2230">
        <f t="shared" si="32"/>
        <v>3560.4999999999995</v>
      </c>
    </row>
    <row r="495" spans="8:25">
      <c r="H495" s="2224" t="s">
        <v>1312</v>
      </c>
      <c r="I495" s="2229">
        <v>1322</v>
      </c>
      <c r="J495" s="2226" t="s">
        <v>110</v>
      </c>
      <c r="K495" s="2224" t="s">
        <v>845</v>
      </c>
      <c r="L495" s="2227">
        <v>71.209999999999994</v>
      </c>
      <c r="M495" s="2227">
        <v>71.209999999999994</v>
      </c>
      <c r="N495" s="2250">
        <v>3.1246532294506844E-3</v>
      </c>
      <c r="O495" s="2224">
        <v>5</v>
      </c>
      <c r="P495" s="2225" t="s">
        <v>997</v>
      </c>
      <c r="Q495" s="2229">
        <v>50</v>
      </c>
      <c r="R495" s="2229">
        <v>50</v>
      </c>
      <c r="S495" s="2228">
        <f t="shared" si="28"/>
        <v>100</v>
      </c>
      <c r="T495" s="2986">
        <v>66100</v>
      </c>
      <c r="U495" s="2228">
        <f t="shared" si="29"/>
        <v>66100</v>
      </c>
      <c r="V495" s="2228">
        <f t="shared" si="30"/>
        <v>132200</v>
      </c>
      <c r="W495" s="2990">
        <v>3560.4999999999995</v>
      </c>
      <c r="X495" s="2230">
        <f t="shared" si="31"/>
        <v>3560.4999999999995</v>
      </c>
      <c r="Y495" s="2230">
        <f t="shared" si="32"/>
        <v>7120.9999999999991</v>
      </c>
    </row>
    <row r="496" spans="8:25">
      <c r="H496" s="2224" t="s">
        <v>1313</v>
      </c>
      <c r="I496" s="2229">
        <v>2187</v>
      </c>
      <c r="J496" s="2226" t="s">
        <v>110</v>
      </c>
      <c r="K496" s="2224" t="s">
        <v>845</v>
      </c>
      <c r="L496" s="2227">
        <v>71.209999999999994</v>
      </c>
      <c r="M496" s="2227">
        <v>71.209999999999994</v>
      </c>
      <c r="N496" s="2250">
        <v>4.3403709594521927E-3</v>
      </c>
      <c r="O496" s="2224">
        <v>5</v>
      </c>
      <c r="P496" s="2225" t="s">
        <v>997</v>
      </c>
      <c r="Q496" s="2229">
        <v>50</v>
      </c>
      <c r="R496" s="2229">
        <v>50</v>
      </c>
      <c r="S496" s="2228">
        <f t="shared" si="28"/>
        <v>100</v>
      </c>
      <c r="T496" s="2986">
        <v>109350</v>
      </c>
      <c r="U496" s="2228">
        <f t="shared" si="29"/>
        <v>109350</v>
      </c>
      <c r="V496" s="2228">
        <f t="shared" si="30"/>
        <v>218700</v>
      </c>
      <c r="W496" s="2990">
        <v>3560.4999999999995</v>
      </c>
      <c r="X496" s="2230">
        <f t="shared" si="31"/>
        <v>3560.4999999999995</v>
      </c>
      <c r="Y496" s="2230">
        <f t="shared" si="32"/>
        <v>7120.9999999999991</v>
      </c>
    </row>
    <row r="497" spans="8:25">
      <c r="H497" s="2224" t="s">
        <v>1314</v>
      </c>
      <c r="I497" s="2229">
        <v>228</v>
      </c>
      <c r="J497" s="2226" t="s">
        <v>110</v>
      </c>
      <c r="K497" s="2224" t="s">
        <v>845</v>
      </c>
      <c r="L497" s="2227">
        <v>23.93</v>
      </c>
      <c r="M497" s="2227">
        <v>23.93</v>
      </c>
      <c r="N497" s="2250">
        <v>3.4195294448127523E-3</v>
      </c>
      <c r="O497" s="2224">
        <v>5</v>
      </c>
      <c r="P497" s="2225" t="s">
        <v>997</v>
      </c>
      <c r="Q497" s="2229">
        <v>50</v>
      </c>
      <c r="R497" s="2229">
        <v>50</v>
      </c>
      <c r="S497" s="2228">
        <f t="shared" si="28"/>
        <v>100</v>
      </c>
      <c r="T497" s="2986">
        <v>11400</v>
      </c>
      <c r="U497" s="2228">
        <f t="shared" si="29"/>
        <v>11400</v>
      </c>
      <c r="V497" s="2228">
        <f t="shared" si="30"/>
        <v>22800</v>
      </c>
      <c r="W497" s="2990">
        <v>1196.5</v>
      </c>
      <c r="X497" s="2230">
        <f t="shared" si="31"/>
        <v>1196.5</v>
      </c>
      <c r="Y497" s="2230">
        <f t="shared" si="32"/>
        <v>2393</v>
      </c>
    </row>
    <row r="498" spans="8:25">
      <c r="H498" s="2224" t="s">
        <v>1315</v>
      </c>
      <c r="I498" s="2229">
        <v>4288</v>
      </c>
      <c r="J498" s="2226" t="s">
        <v>110</v>
      </c>
      <c r="K498" s="2224" t="s">
        <v>845</v>
      </c>
      <c r="L498" s="2227">
        <v>23.93</v>
      </c>
      <c r="M498" s="2227">
        <v>23.93</v>
      </c>
      <c r="N498" s="2250">
        <v>5.6569673947091444E-3</v>
      </c>
      <c r="O498" s="2224">
        <v>5</v>
      </c>
      <c r="P498" s="2225" t="s">
        <v>997</v>
      </c>
      <c r="Q498" s="2229">
        <v>75</v>
      </c>
      <c r="R498" s="2229">
        <v>80</v>
      </c>
      <c r="S498" s="2228">
        <f t="shared" si="28"/>
        <v>155</v>
      </c>
      <c r="T498" s="2986">
        <v>321600</v>
      </c>
      <c r="U498" s="2228">
        <f t="shared" si="29"/>
        <v>343040</v>
      </c>
      <c r="V498" s="2228">
        <f t="shared" si="30"/>
        <v>664640</v>
      </c>
      <c r="W498" s="2990">
        <v>1794.75</v>
      </c>
      <c r="X498" s="2230">
        <f t="shared" si="31"/>
        <v>1914.4</v>
      </c>
      <c r="Y498" s="2230">
        <f t="shared" si="32"/>
        <v>3709.15</v>
      </c>
    </row>
    <row r="499" spans="8:25">
      <c r="H499" s="2224" t="s">
        <v>1316</v>
      </c>
      <c r="I499" s="2229">
        <v>340</v>
      </c>
      <c r="J499" s="2226" t="s">
        <v>110</v>
      </c>
      <c r="K499" s="2224" t="s">
        <v>845</v>
      </c>
      <c r="L499" s="2227">
        <v>178.44</v>
      </c>
      <c r="M499" s="2227">
        <v>85</v>
      </c>
      <c r="N499" s="2250">
        <v>1.7692572921724074E-3</v>
      </c>
      <c r="O499" s="2224">
        <v>10</v>
      </c>
      <c r="P499" s="2225" t="s">
        <v>997</v>
      </c>
      <c r="Q499" s="2229">
        <v>50</v>
      </c>
      <c r="R499" s="2229">
        <v>250</v>
      </c>
      <c r="S499" s="2228">
        <f t="shared" si="28"/>
        <v>300</v>
      </c>
      <c r="T499" s="2986">
        <v>17000</v>
      </c>
      <c r="U499" s="2228">
        <f t="shared" si="29"/>
        <v>85000</v>
      </c>
      <c r="V499" s="2228">
        <f t="shared" si="30"/>
        <v>102000</v>
      </c>
      <c r="W499" s="2990">
        <v>4250</v>
      </c>
      <c r="X499" s="2230">
        <f t="shared" si="31"/>
        <v>21250</v>
      </c>
      <c r="Y499" s="2230">
        <f t="shared" si="32"/>
        <v>25500</v>
      </c>
    </row>
    <row r="500" spans="8:25">
      <c r="H500" s="2224" t="s">
        <v>1317</v>
      </c>
      <c r="I500" s="2229">
        <v>263</v>
      </c>
      <c r="J500" s="2226" t="s">
        <v>110</v>
      </c>
      <c r="K500" s="2224" t="s">
        <v>845</v>
      </c>
      <c r="L500" s="2227">
        <v>178.44</v>
      </c>
      <c r="M500" s="2227">
        <v>65.75</v>
      </c>
      <c r="N500" s="2250">
        <v>8.8731874489301546E-3</v>
      </c>
      <c r="O500" s="2224">
        <v>10</v>
      </c>
      <c r="P500" s="2225" t="s">
        <v>997</v>
      </c>
      <c r="Q500" s="2229">
        <v>750</v>
      </c>
      <c r="R500" s="2229">
        <v>750</v>
      </c>
      <c r="S500" s="2228">
        <f t="shared" ref="S500:S533" si="33">Q500+R500</f>
        <v>1500</v>
      </c>
      <c r="T500" s="2986">
        <v>197250</v>
      </c>
      <c r="U500" s="2228">
        <f t="shared" ref="U500:U533" si="34">I500*R500</f>
        <v>197250</v>
      </c>
      <c r="V500" s="2228">
        <f t="shared" ref="V500:V533" si="35">T500+U500</f>
        <v>394500</v>
      </c>
      <c r="W500" s="2990">
        <v>49312.5</v>
      </c>
      <c r="X500" s="2230">
        <f t="shared" ref="X500:X533" si="36">M500*R500</f>
        <v>49312.5</v>
      </c>
      <c r="Y500" s="2230">
        <f t="shared" ref="Y500:Y533" si="37">W500+X500</f>
        <v>98625</v>
      </c>
    </row>
    <row r="501" spans="8:25">
      <c r="H501" s="2224" t="s">
        <v>1318</v>
      </c>
      <c r="I501" s="2229">
        <v>408</v>
      </c>
      <c r="J501" s="2226" t="s">
        <v>110</v>
      </c>
      <c r="K501" s="2224" t="s">
        <v>845</v>
      </c>
      <c r="L501" s="2227">
        <v>191.17</v>
      </c>
      <c r="M501" s="2227">
        <v>102</v>
      </c>
      <c r="N501" s="2250">
        <v>2.6383661374500812E-2</v>
      </c>
      <c r="O501" s="2224">
        <v>12</v>
      </c>
      <c r="P501" s="2225" t="s">
        <v>997</v>
      </c>
      <c r="Q501" s="2229">
        <v>1500</v>
      </c>
      <c r="R501" s="2229">
        <v>1500</v>
      </c>
      <c r="S501" s="2228">
        <f t="shared" si="33"/>
        <v>3000</v>
      </c>
      <c r="T501" s="2986">
        <v>612000</v>
      </c>
      <c r="U501" s="2228">
        <f t="shared" si="34"/>
        <v>612000</v>
      </c>
      <c r="V501" s="2228">
        <f t="shared" si="35"/>
        <v>1224000</v>
      </c>
      <c r="W501" s="2990">
        <v>153000</v>
      </c>
      <c r="X501" s="2230">
        <f t="shared" si="36"/>
        <v>153000</v>
      </c>
      <c r="Y501" s="2230">
        <f t="shared" si="37"/>
        <v>306000</v>
      </c>
    </row>
    <row r="502" spans="8:25">
      <c r="H502" s="2224" t="s">
        <v>1319</v>
      </c>
      <c r="I502" s="2229">
        <v>315</v>
      </c>
      <c r="J502" s="2226" t="s">
        <v>110</v>
      </c>
      <c r="K502" s="2224" t="s">
        <v>845</v>
      </c>
      <c r="L502" s="2227">
        <v>191.17</v>
      </c>
      <c r="M502" s="2227">
        <v>78.75</v>
      </c>
      <c r="N502" s="2250">
        <v>4.0817076126433607E-2</v>
      </c>
      <c r="O502" s="2224">
        <v>12</v>
      </c>
      <c r="P502" s="2225" t="s">
        <v>996</v>
      </c>
      <c r="Q502" s="2229">
        <v>750</v>
      </c>
      <c r="R502" s="2229">
        <v>750</v>
      </c>
      <c r="S502" s="2228">
        <f t="shared" si="33"/>
        <v>1500</v>
      </c>
      <c r="T502" s="2986">
        <v>236250</v>
      </c>
      <c r="U502" s="2228">
        <f t="shared" si="34"/>
        <v>236250</v>
      </c>
      <c r="V502" s="2228">
        <f t="shared" si="35"/>
        <v>472500</v>
      </c>
      <c r="W502" s="2990">
        <v>59062.5</v>
      </c>
      <c r="X502" s="2230">
        <f t="shared" si="36"/>
        <v>59062.5</v>
      </c>
      <c r="Y502" s="2230">
        <f t="shared" si="37"/>
        <v>118125</v>
      </c>
    </row>
    <row r="503" spans="8:25">
      <c r="H503" s="2224" t="s">
        <v>1320</v>
      </c>
      <c r="I503" s="2229">
        <v>235</v>
      </c>
      <c r="J503" s="2226" t="s">
        <v>110</v>
      </c>
      <c r="K503" s="2224" t="s">
        <v>845</v>
      </c>
      <c r="L503" s="2227">
        <v>6.5</v>
      </c>
      <c r="M503" s="2227">
        <v>6.5</v>
      </c>
      <c r="N503" s="2250">
        <v>3.1660393649400972E-2</v>
      </c>
      <c r="O503" s="2224">
        <v>12</v>
      </c>
      <c r="P503" s="2225" t="s">
        <v>996</v>
      </c>
      <c r="Q503" s="2229">
        <v>750</v>
      </c>
      <c r="R503" s="2229">
        <v>750</v>
      </c>
      <c r="S503" s="2228">
        <f t="shared" si="33"/>
        <v>1500</v>
      </c>
      <c r="T503" s="2986">
        <v>176250</v>
      </c>
      <c r="U503" s="2228">
        <f t="shared" si="34"/>
        <v>176250</v>
      </c>
      <c r="V503" s="2228">
        <f t="shared" si="35"/>
        <v>352500</v>
      </c>
      <c r="W503" s="2990">
        <v>4875</v>
      </c>
      <c r="X503" s="2230">
        <f t="shared" si="36"/>
        <v>4875</v>
      </c>
      <c r="Y503" s="2230">
        <f t="shared" si="37"/>
        <v>9750</v>
      </c>
    </row>
    <row r="504" spans="8:25">
      <c r="H504" s="2224" t="s">
        <v>1321</v>
      </c>
      <c r="I504" s="2229">
        <v>40</v>
      </c>
      <c r="J504" s="2226" t="s">
        <v>110</v>
      </c>
      <c r="K504" s="2224" t="s">
        <v>845</v>
      </c>
      <c r="L504" s="2227">
        <v>8</v>
      </c>
      <c r="M504" s="2227">
        <v>8</v>
      </c>
      <c r="N504" s="2250">
        <v>4.8887372546869153E-2</v>
      </c>
      <c r="O504" s="2224">
        <v>12</v>
      </c>
      <c r="P504" s="2225" t="s">
        <v>996</v>
      </c>
      <c r="Q504" s="2229">
        <v>500</v>
      </c>
      <c r="R504" s="2229">
        <v>500</v>
      </c>
      <c r="S504" s="2228">
        <f t="shared" si="33"/>
        <v>1000</v>
      </c>
      <c r="T504" s="2986">
        <v>20000</v>
      </c>
      <c r="U504" s="2228">
        <f t="shared" si="34"/>
        <v>20000</v>
      </c>
      <c r="V504" s="2228">
        <f t="shared" si="35"/>
        <v>40000</v>
      </c>
      <c r="W504" s="2990">
        <v>4000</v>
      </c>
      <c r="X504" s="2230">
        <f t="shared" si="36"/>
        <v>4000</v>
      </c>
      <c r="Y504" s="2230">
        <f t="shared" si="37"/>
        <v>8000</v>
      </c>
    </row>
    <row r="505" spans="8:25">
      <c r="H505" s="2224" t="s">
        <v>1322</v>
      </c>
      <c r="I505" s="2229">
        <v>40</v>
      </c>
      <c r="J505" s="2226" t="s">
        <v>110</v>
      </c>
      <c r="K505" s="2224" t="s">
        <v>845</v>
      </c>
      <c r="L505" s="2227">
        <v>175.5</v>
      </c>
      <c r="M505" s="2227">
        <v>175.5</v>
      </c>
      <c r="N505" s="2250">
        <v>6.0785886500075402E-3</v>
      </c>
      <c r="O505" s="2224">
        <v>4</v>
      </c>
      <c r="P505" s="2225" t="s">
        <v>996</v>
      </c>
      <c r="Q505" s="2229">
        <v>500</v>
      </c>
      <c r="R505" s="2229">
        <v>500</v>
      </c>
      <c r="S505" s="2228">
        <f t="shared" si="33"/>
        <v>1000</v>
      </c>
      <c r="T505" s="2986">
        <v>20000</v>
      </c>
      <c r="U505" s="2228">
        <f t="shared" si="34"/>
        <v>20000</v>
      </c>
      <c r="V505" s="2228">
        <f t="shared" si="35"/>
        <v>40000</v>
      </c>
      <c r="W505" s="2990">
        <v>87750</v>
      </c>
      <c r="X505" s="2230">
        <f t="shared" si="36"/>
        <v>87750</v>
      </c>
      <c r="Y505" s="2230">
        <f t="shared" si="37"/>
        <v>175500</v>
      </c>
    </row>
    <row r="506" spans="8:25">
      <c r="H506" s="2224" t="s">
        <v>1323</v>
      </c>
      <c r="I506" s="2229">
        <v>107</v>
      </c>
      <c r="J506" s="2226" t="s">
        <v>110</v>
      </c>
      <c r="K506" s="2224" t="s">
        <v>845</v>
      </c>
      <c r="L506" s="2227">
        <v>46.15</v>
      </c>
      <c r="M506" s="2227">
        <v>46.15</v>
      </c>
      <c r="N506" s="2250">
        <v>3.1039601617059778E-3</v>
      </c>
      <c r="O506" s="2224">
        <v>4</v>
      </c>
      <c r="P506" s="2225" t="s">
        <v>1253</v>
      </c>
      <c r="Q506" s="2229">
        <v>250</v>
      </c>
      <c r="R506" s="2229">
        <v>250</v>
      </c>
      <c r="S506" s="2228">
        <f t="shared" si="33"/>
        <v>500</v>
      </c>
      <c r="T506" s="2986">
        <v>26750</v>
      </c>
      <c r="U506" s="2228">
        <f t="shared" si="34"/>
        <v>26750</v>
      </c>
      <c r="V506" s="2228">
        <f t="shared" si="35"/>
        <v>53500</v>
      </c>
      <c r="W506" s="2990">
        <v>11537.5</v>
      </c>
      <c r="X506" s="2230">
        <f t="shared" si="36"/>
        <v>11537.5</v>
      </c>
      <c r="Y506" s="2230">
        <f t="shared" si="37"/>
        <v>23075</v>
      </c>
    </row>
    <row r="507" spans="8:25">
      <c r="H507" s="2224" t="s">
        <v>1324</v>
      </c>
      <c r="I507" s="2229">
        <v>148</v>
      </c>
      <c r="J507" s="2226" t="s">
        <v>110</v>
      </c>
      <c r="K507" s="2224" t="s">
        <v>845</v>
      </c>
      <c r="L507" s="2227">
        <v>46.15</v>
      </c>
      <c r="M507" s="2227">
        <v>46.15</v>
      </c>
      <c r="N507" s="2250">
        <v>3.1039601617059778E-3</v>
      </c>
      <c r="O507" s="2224">
        <v>4</v>
      </c>
      <c r="P507" s="2225" t="s">
        <v>1253</v>
      </c>
      <c r="Q507" s="2229">
        <v>250</v>
      </c>
      <c r="R507" s="2229">
        <v>250</v>
      </c>
      <c r="S507" s="2228">
        <f t="shared" si="33"/>
        <v>500</v>
      </c>
      <c r="T507" s="2986">
        <v>37000</v>
      </c>
      <c r="U507" s="2228">
        <f t="shared" si="34"/>
        <v>37000</v>
      </c>
      <c r="V507" s="2228">
        <f t="shared" si="35"/>
        <v>74000</v>
      </c>
      <c r="W507" s="2990">
        <v>11537.5</v>
      </c>
      <c r="X507" s="2230">
        <f t="shared" si="36"/>
        <v>11537.5</v>
      </c>
      <c r="Y507" s="2230">
        <f t="shared" si="37"/>
        <v>23075</v>
      </c>
    </row>
    <row r="508" spans="8:25">
      <c r="H508" s="2224" t="s">
        <v>1325</v>
      </c>
      <c r="I508" s="2229">
        <v>1075</v>
      </c>
      <c r="J508" s="2226" t="s">
        <v>110</v>
      </c>
      <c r="K508" s="2224" t="s">
        <v>845</v>
      </c>
      <c r="L508" s="2227">
        <v>46.15</v>
      </c>
      <c r="M508" s="2227">
        <v>37</v>
      </c>
      <c r="N508" s="2250">
        <v>2.7676978108544968E-3</v>
      </c>
      <c r="O508" s="2224">
        <v>5</v>
      </c>
      <c r="P508" s="2225" t="s">
        <v>1253</v>
      </c>
      <c r="Q508" s="2229">
        <v>10</v>
      </c>
      <c r="R508" s="2229">
        <v>10</v>
      </c>
      <c r="S508" s="2228">
        <f t="shared" si="33"/>
        <v>20</v>
      </c>
      <c r="T508" s="2986">
        <v>10750</v>
      </c>
      <c r="U508" s="2228">
        <f t="shared" si="34"/>
        <v>10750</v>
      </c>
      <c r="V508" s="2228">
        <f t="shared" si="35"/>
        <v>21500</v>
      </c>
      <c r="W508" s="2990">
        <v>370</v>
      </c>
      <c r="X508" s="2230">
        <f t="shared" si="36"/>
        <v>370</v>
      </c>
      <c r="Y508" s="2230">
        <f t="shared" si="37"/>
        <v>740</v>
      </c>
    </row>
    <row r="509" spans="8:25">
      <c r="H509" s="2224" t="s">
        <v>1326</v>
      </c>
      <c r="I509" s="2229">
        <v>2786</v>
      </c>
      <c r="J509" s="2226" t="s">
        <v>110</v>
      </c>
      <c r="K509" s="2224" t="s">
        <v>845</v>
      </c>
      <c r="L509" s="2227">
        <v>169</v>
      </c>
      <c r="M509" s="2227">
        <v>116.75</v>
      </c>
      <c r="N509" s="2250">
        <v>3.8282175327707061E-3</v>
      </c>
      <c r="O509" s="2224">
        <v>5</v>
      </c>
      <c r="P509" s="2225" t="s">
        <v>1253</v>
      </c>
      <c r="Q509" s="2229">
        <v>10</v>
      </c>
      <c r="R509" s="2229">
        <v>10</v>
      </c>
      <c r="S509" s="2228">
        <f t="shared" si="33"/>
        <v>20</v>
      </c>
      <c r="T509" s="2986">
        <v>27860</v>
      </c>
      <c r="U509" s="2228">
        <f t="shared" si="34"/>
        <v>27860</v>
      </c>
      <c r="V509" s="2228">
        <f t="shared" si="35"/>
        <v>55720</v>
      </c>
      <c r="W509" s="2990">
        <v>1167.5</v>
      </c>
      <c r="X509" s="2230">
        <f t="shared" si="36"/>
        <v>1167.5</v>
      </c>
      <c r="Y509" s="2230">
        <f t="shared" si="37"/>
        <v>2335</v>
      </c>
    </row>
    <row r="510" spans="8:25">
      <c r="H510" s="2224" t="s">
        <v>1327</v>
      </c>
      <c r="I510" s="2229">
        <v>14</v>
      </c>
      <c r="J510" s="2226" t="s">
        <v>110</v>
      </c>
      <c r="K510" s="2224" t="s">
        <v>845</v>
      </c>
      <c r="L510" s="2227">
        <v>169</v>
      </c>
      <c r="M510" s="2227">
        <v>0</v>
      </c>
      <c r="N510" s="2250">
        <v>1.2079578295972431E-3</v>
      </c>
      <c r="O510" s="2224">
        <v>10</v>
      </c>
      <c r="P510" s="2225" t="s">
        <v>1253</v>
      </c>
      <c r="Q510" s="2229">
        <v>10</v>
      </c>
      <c r="R510" s="2229">
        <v>10</v>
      </c>
      <c r="S510" s="2228">
        <f t="shared" si="33"/>
        <v>20</v>
      </c>
      <c r="T510" s="2986">
        <v>140</v>
      </c>
      <c r="U510" s="2228">
        <f t="shared" si="34"/>
        <v>140</v>
      </c>
      <c r="V510" s="2228">
        <f t="shared" si="35"/>
        <v>280</v>
      </c>
      <c r="W510" s="2990">
        <v>0</v>
      </c>
      <c r="X510" s="2230">
        <f t="shared" si="36"/>
        <v>0</v>
      </c>
      <c r="Y510" s="2230">
        <f t="shared" si="37"/>
        <v>0</v>
      </c>
    </row>
    <row r="511" spans="8:25">
      <c r="H511" s="2224" t="s">
        <v>1328</v>
      </c>
      <c r="I511" s="2229">
        <v>535</v>
      </c>
      <c r="J511" s="2226" t="s">
        <v>110</v>
      </c>
      <c r="K511" s="2224" t="s">
        <v>845</v>
      </c>
      <c r="L511" s="2227">
        <v>9.1</v>
      </c>
      <c r="M511" s="2227">
        <v>9.1</v>
      </c>
      <c r="N511" s="2250">
        <v>0</v>
      </c>
      <c r="O511" s="2224">
        <v>10</v>
      </c>
      <c r="P511" s="2225" t="s">
        <v>1253</v>
      </c>
      <c r="Q511" s="2229">
        <v>25</v>
      </c>
      <c r="R511" s="2229">
        <v>25</v>
      </c>
      <c r="S511" s="2228">
        <f t="shared" si="33"/>
        <v>50</v>
      </c>
      <c r="T511" s="2986">
        <v>13375</v>
      </c>
      <c r="U511" s="2228">
        <f t="shared" si="34"/>
        <v>13375</v>
      </c>
      <c r="V511" s="2228">
        <f t="shared" si="35"/>
        <v>26750</v>
      </c>
      <c r="W511" s="2990">
        <v>227.5</v>
      </c>
      <c r="X511" s="2230">
        <f t="shared" si="36"/>
        <v>227.5</v>
      </c>
      <c r="Y511" s="2230">
        <f t="shared" si="37"/>
        <v>455</v>
      </c>
    </row>
    <row r="512" spans="8:25">
      <c r="H512" s="2224" t="s">
        <v>1329</v>
      </c>
      <c r="I512" s="2229">
        <v>123</v>
      </c>
      <c r="J512" s="2226" t="s">
        <v>110</v>
      </c>
      <c r="K512" s="2224" t="s">
        <v>845</v>
      </c>
      <c r="L512" s="2227">
        <v>9.1</v>
      </c>
      <c r="M512" s="2227">
        <v>9.1</v>
      </c>
      <c r="N512" s="2250">
        <v>7.2425737106472822E-5</v>
      </c>
      <c r="O512" s="2224">
        <v>5</v>
      </c>
      <c r="P512" s="2225" t="s">
        <v>1253</v>
      </c>
      <c r="Q512" s="2229">
        <v>500</v>
      </c>
      <c r="R512" s="2229">
        <v>500</v>
      </c>
      <c r="S512" s="2228">
        <f t="shared" si="33"/>
        <v>1000</v>
      </c>
      <c r="T512" s="2986">
        <v>61500</v>
      </c>
      <c r="U512" s="2228">
        <f t="shared" si="34"/>
        <v>61500</v>
      </c>
      <c r="V512" s="2228">
        <f t="shared" si="35"/>
        <v>123000</v>
      </c>
      <c r="W512" s="2990">
        <v>4550</v>
      </c>
      <c r="X512" s="2230">
        <f t="shared" si="36"/>
        <v>4550</v>
      </c>
      <c r="Y512" s="2230">
        <f t="shared" si="37"/>
        <v>9100</v>
      </c>
    </row>
    <row r="513" spans="8:25">
      <c r="H513" s="2224" t="s">
        <v>1330</v>
      </c>
      <c r="I513" s="2229">
        <v>31</v>
      </c>
      <c r="J513" s="2226" t="s">
        <v>110</v>
      </c>
      <c r="K513" s="2224" t="s">
        <v>845</v>
      </c>
      <c r="L513" s="2227">
        <v>9.1</v>
      </c>
      <c r="M513" s="2227">
        <v>9.1</v>
      </c>
      <c r="N513" s="2250">
        <v>1.2157177300015081E-3</v>
      </c>
      <c r="O513" s="2224">
        <v>4</v>
      </c>
      <c r="P513" s="2225" t="s">
        <v>1253</v>
      </c>
      <c r="Q513" s="2229">
        <v>50</v>
      </c>
      <c r="R513" s="2229">
        <v>50</v>
      </c>
      <c r="S513" s="2228">
        <f t="shared" si="33"/>
        <v>100</v>
      </c>
      <c r="T513" s="2986">
        <v>1550</v>
      </c>
      <c r="U513" s="2228">
        <f t="shared" si="34"/>
        <v>1550</v>
      </c>
      <c r="V513" s="2228">
        <f t="shared" si="35"/>
        <v>3100</v>
      </c>
      <c r="W513" s="2990">
        <v>455</v>
      </c>
      <c r="X513" s="2230">
        <f t="shared" si="36"/>
        <v>455</v>
      </c>
      <c r="Y513" s="2230">
        <f t="shared" si="37"/>
        <v>910</v>
      </c>
    </row>
    <row r="514" spans="8:25">
      <c r="H514" s="2224" t="s">
        <v>1331</v>
      </c>
      <c r="I514" s="2229">
        <v>129</v>
      </c>
      <c r="J514" s="2226" t="s">
        <v>110</v>
      </c>
      <c r="K514" s="2224" t="s">
        <v>845</v>
      </c>
      <c r="L514" s="2227">
        <v>9.1</v>
      </c>
      <c r="M514" s="2227">
        <v>9.1</v>
      </c>
      <c r="N514" s="2250">
        <v>2.0693067744706519E-4</v>
      </c>
      <c r="O514" s="2224">
        <v>4</v>
      </c>
      <c r="P514" s="2225" t="s">
        <v>1253</v>
      </c>
      <c r="Q514" s="2229">
        <v>50</v>
      </c>
      <c r="R514" s="2229">
        <v>50</v>
      </c>
      <c r="S514" s="2228">
        <f t="shared" si="33"/>
        <v>100</v>
      </c>
      <c r="T514" s="2986">
        <v>6450</v>
      </c>
      <c r="U514" s="2228">
        <f t="shared" si="34"/>
        <v>6450</v>
      </c>
      <c r="V514" s="2228">
        <f t="shared" si="35"/>
        <v>12900</v>
      </c>
      <c r="W514" s="2990">
        <v>455</v>
      </c>
      <c r="X514" s="2230">
        <f t="shared" si="36"/>
        <v>455</v>
      </c>
      <c r="Y514" s="2230">
        <f t="shared" si="37"/>
        <v>910</v>
      </c>
    </row>
    <row r="515" spans="8:25">
      <c r="H515" s="2224" t="s">
        <v>1332</v>
      </c>
      <c r="I515" s="2229">
        <v>477</v>
      </c>
      <c r="J515" s="2226" t="s">
        <v>110</v>
      </c>
      <c r="K515" s="2224" t="s">
        <v>845</v>
      </c>
      <c r="L515" s="2227">
        <v>172.25</v>
      </c>
      <c r="M515" s="2227">
        <v>119.25</v>
      </c>
      <c r="N515" s="2250">
        <v>1.2984900009803341E-2</v>
      </c>
      <c r="O515" s="2224">
        <v>2</v>
      </c>
      <c r="P515" s="2225" t="s">
        <v>1253</v>
      </c>
      <c r="Q515" s="2229">
        <v>50</v>
      </c>
      <c r="R515" s="2229">
        <v>50</v>
      </c>
      <c r="S515" s="2228">
        <f t="shared" si="33"/>
        <v>100</v>
      </c>
      <c r="T515" s="2986">
        <v>23850</v>
      </c>
      <c r="U515" s="2228">
        <f t="shared" si="34"/>
        <v>23850</v>
      </c>
      <c r="V515" s="2228">
        <f t="shared" si="35"/>
        <v>47700</v>
      </c>
      <c r="W515" s="2990">
        <v>5962.5</v>
      </c>
      <c r="X515" s="2230">
        <f t="shared" si="36"/>
        <v>5962.5</v>
      </c>
      <c r="Y515" s="2230">
        <f t="shared" si="37"/>
        <v>11925</v>
      </c>
    </row>
    <row r="516" spans="8:25">
      <c r="H516" s="2224" t="s">
        <v>1333</v>
      </c>
      <c r="I516" s="2229">
        <v>1199</v>
      </c>
      <c r="J516" s="2226" t="s">
        <v>110</v>
      </c>
      <c r="K516" s="2224" t="s">
        <v>845</v>
      </c>
      <c r="L516" s="2227">
        <v>204.75</v>
      </c>
      <c r="M516" s="2227">
        <v>143.32499999999999</v>
      </c>
      <c r="N516" s="2250">
        <v>6.3631183314972551E-4</v>
      </c>
      <c r="O516" s="2224">
        <v>2</v>
      </c>
      <c r="P516" s="2225" t="s">
        <v>1253</v>
      </c>
      <c r="Q516" s="2229">
        <v>75</v>
      </c>
      <c r="R516" s="2229">
        <v>75</v>
      </c>
      <c r="S516" s="2228">
        <f t="shared" si="33"/>
        <v>150</v>
      </c>
      <c r="T516" s="2986">
        <v>89925</v>
      </c>
      <c r="U516" s="2228">
        <f t="shared" si="34"/>
        <v>89925</v>
      </c>
      <c r="V516" s="2228">
        <f t="shared" si="35"/>
        <v>179850</v>
      </c>
      <c r="W516" s="2990">
        <v>10749.375</v>
      </c>
      <c r="X516" s="2230">
        <f t="shared" si="36"/>
        <v>10749.375</v>
      </c>
      <c r="Y516" s="2230">
        <f t="shared" si="37"/>
        <v>21498.75</v>
      </c>
    </row>
    <row r="517" spans="8:25">
      <c r="H517" s="2224" t="s">
        <v>1334</v>
      </c>
      <c r="I517" s="2229">
        <v>10</v>
      </c>
      <c r="J517" s="2226" t="s">
        <v>110</v>
      </c>
      <c r="K517" s="2224" t="s">
        <v>845</v>
      </c>
      <c r="L517" s="2227">
        <v>4.29</v>
      </c>
      <c r="M517" s="2227">
        <v>4.29</v>
      </c>
      <c r="N517" s="2250">
        <v>1.6037127502147554E-4</v>
      </c>
      <c r="O517" s="2224">
        <v>2</v>
      </c>
      <c r="P517" s="2225" t="s">
        <v>1253</v>
      </c>
      <c r="Q517" s="2229">
        <v>50</v>
      </c>
      <c r="R517" s="2229">
        <v>50</v>
      </c>
      <c r="S517" s="2228">
        <f t="shared" si="33"/>
        <v>100</v>
      </c>
      <c r="T517" s="2986">
        <v>500</v>
      </c>
      <c r="U517" s="2228">
        <f t="shared" si="34"/>
        <v>500</v>
      </c>
      <c r="V517" s="2228">
        <f t="shared" si="35"/>
        <v>1000</v>
      </c>
      <c r="W517" s="2990">
        <v>214.5</v>
      </c>
      <c r="X517" s="2230">
        <f t="shared" si="36"/>
        <v>214.5</v>
      </c>
      <c r="Y517" s="2230">
        <f t="shared" si="37"/>
        <v>429</v>
      </c>
    </row>
    <row r="518" spans="8:25">
      <c r="H518" s="2224" t="s">
        <v>1335</v>
      </c>
      <c r="I518" s="2229">
        <v>369</v>
      </c>
      <c r="J518" s="2226" t="s">
        <v>110</v>
      </c>
      <c r="K518" s="2224" t="s">
        <v>845</v>
      </c>
      <c r="L518" s="2227">
        <v>42.25</v>
      </c>
      <c r="M518" s="2227">
        <v>42.25</v>
      </c>
      <c r="N518" s="2250">
        <v>6.6735143476678524E-4</v>
      </c>
      <c r="O518" s="2224">
        <v>2</v>
      </c>
      <c r="P518" s="2225" t="s">
        <v>1253</v>
      </c>
      <c r="Q518" s="2229">
        <v>500</v>
      </c>
      <c r="R518" s="2229">
        <v>500</v>
      </c>
      <c r="S518" s="2228">
        <f t="shared" si="33"/>
        <v>1000</v>
      </c>
      <c r="T518" s="2986">
        <v>184500</v>
      </c>
      <c r="U518" s="2228">
        <f t="shared" si="34"/>
        <v>184500</v>
      </c>
      <c r="V518" s="2228">
        <f t="shared" si="35"/>
        <v>369000</v>
      </c>
      <c r="W518" s="2990">
        <v>21125</v>
      </c>
      <c r="X518" s="2230">
        <f t="shared" si="36"/>
        <v>21125</v>
      </c>
      <c r="Y518" s="2230">
        <f t="shared" si="37"/>
        <v>42250</v>
      </c>
    </row>
    <row r="519" spans="8:25">
      <c r="H519" s="2224" t="s">
        <v>1336</v>
      </c>
      <c r="I519" s="2229">
        <v>230</v>
      </c>
      <c r="J519" s="2226" t="s">
        <v>110</v>
      </c>
      <c r="K519" s="2224" t="s">
        <v>845</v>
      </c>
      <c r="L519" s="2227">
        <v>42.25</v>
      </c>
      <c r="M519" s="2227">
        <v>42.25</v>
      </c>
      <c r="N519" s="2250">
        <v>3.7014724928343787E-3</v>
      </c>
      <c r="O519" s="2224">
        <v>15</v>
      </c>
      <c r="P519" s="2225" t="s">
        <v>1253</v>
      </c>
      <c r="Q519" s="2229">
        <v>150</v>
      </c>
      <c r="R519" s="2229">
        <v>125</v>
      </c>
      <c r="S519" s="2228">
        <f t="shared" si="33"/>
        <v>275</v>
      </c>
      <c r="T519" s="2986">
        <v>34500</v>
      </c>
      <c r="U519" s="2228">
        <f t="shared" si="34"/>
        <v>28750</v>
      </c>
      <c r="V519" s="2228">
        <f t="shared" si="35"/>
        <v>63250</v>
      </c>
      <c r="W519" s="2990">
        <v>6337.5</v>
      </c>
      <c r="X519" s="2230">
        <f t="shared" si="36"/>
        <v>5281.25</v>
      </c>
      <c r="Y519" s="2230">
        <f t="shared" si="37"/>
        <v>11618.75</v>
      </c>
    </row>
    <row r="520" spans="8:25">
      <c r="H520" s="2224" t="s">
        <v>1337</v>
      </c>
      <c r="I520" s="2229">
        <v>200</v>
      </c>
      <c r="J520" s="2226" t="s">
        <v>110</v>
      </c>
      <c r="K520" s="2224" t="s">
        <v>845</v>
      </c>
      <c r="L520" s="2227">
        <v>104</v>
      </c>
      <c r="M520" s="2227">
        <v>50</v>
      </c>
      <c r="N520" s="2250">
        <v>6.2027470564757796E-3</v>
      </c>
      <c r="O520" s="2224">
        <v>15</v>
      </c>
      <c r="P520" s="2225" t="s">
        <v>996</v>
      </c>
      <c r="Q520" s="2229">
        <v>10</v>
      </c>
      <c r="R520" s="2229">
        <v>25</v>
      </c>
      <c r="S520" s="2228">
        <f t="shared" si="33"/>
        <v>35</v>
      </c>
      <c r="T520" s="2986">
        <v>2000</v>
      </c>
      <c r="U520" s="2228">
        <f t="shared" si="34"/>
        <v>5000</v>
      </c>
      <c r="V520" s="2228">
        <f t="shared" si="35"/>
        <v>7000</v>
      </c>
      <c r="W520" s="2990">
        <v>500</v>
      </c>
      <c r="X520" s="2230">
        <f t="shared" si="36"/>
        <v>1250</v>
      </c>
      <c r="Y520" s="2230">
        <f t="shared" si="37"/>
        <v>1750</v>
      </c>
    </row>
    <row r="521" spans="8:25">
      <c r="H521" s="2224" t="s">
        <v>1338</v>
      </c>
      <c r="I521" s="2229">
        <v>100</v>
      </c>
      <c r="J521" s="2226" t="s">
        <v>110</v>
      </c>
      <c r="K521" s="2224" t="s">
        <v>845</v>
      </c>
      <c r="L521" s="2227">
        <v>165.1</v>
      </c>
      <c r="M521" s="2227">
        <v>25</v>
      </c>
      <c r="N521" s="2250">
        <v>5.1732669361766301E-4</v>
      </c>
      <c r="O521" s="2224">
        <v>8</v>
      </c>
      <c r="P521" s="2225" t="s">
        <v>1253</v>
      </c>
      <c r="Q521" s="2229">
        <v>10</v>
      </c>
      <c r="R521" s="2229">
        <v>25</v>
      </c>
      <c r="S521" s="2228">
        <f t="shared" si="33"/>
        <v>35</v>
      </c>
      <c r="T521" s="2986">
        <v>1000</v>
      </c>
      <c r="U521" s="2228">
        <f t="shared" si="34"/>
        <v>2500</v>
      </c>
      <c r="V521" s="2228">
        <f t="shared" si="35"/>
        <v>3500</v>
      </c>
      <c r="W521" s="2990">
        <v>250</v>
      </c>
      <c r="X521" s="2230">
        <f t="shared" si="36"/>
        <v>625</v>
      </c>
      <c r="Y521" s="2230">
        <f t="shared" si="37"/>
        <v>875</v>
      </c>
    </row>
    <row r="522" spans="8:25">
      <c r="H522" s="2224" t="s">
        <v>1339</v>
      </c>
      <c r="I522" s="2229">
        <v>100</v>
      </c>
      <c r="J522" s="2226" t="s">
        <v>110</v>
      </c>
      <c r="K522" s="2224" t="s">
        <v>845</v>
      </c>
      <c r="L522" s="2227">
        <v>165.1</v>
      </c>
      <c r="M522" s="2227">
        <v>25</v>
      </c>
      <c r="N522" s="2250">
        <v>4.7723387486229406E-3</v>
      </c>
      <c r="O522" s="2224">
        <v>8</v>
      </c>
      <c r="P522" s="2225" t="s">
        <v>1253</v>
      </c>
      <c r="Q522" s="2229">
        <v>10</v>
      </c>
      <c r="R522" s="2229">
        <v>25</v>
      </c>
      <c r="S522" s="2228">
        <f t="shared" si="33"/>
        <v>35</v>
      </c>
      <c r="T522" s="2986">
        <v>1000</v>
      </c>
      <c r="U522" s="2228">
        <f t="shared" si="34"/>
        <v>2500</v>
      </c>
      <c r="V522" s="2228">
        <f t="shared" si="35"/>
        <v>3500</v>
      </c>
      <c r="W522" s="2990">
        <v>250</v>
      </c>
      <c r="X522" s="2230">
        <f t="shared" si="36"/>
        <v>625</v>
      </c>
      <c r="Y522" s="2230">
        <f t="shared" si="37"/>
        <v>875</v>
      </c>
    </row>
    <row r="523" spans="8:25">
      <c r="H523" s="2224" t="s">
        <v>1340</v>
      </c>
      <c r="I523" s="2229">
        <v>757</v>
      </c>
      <c r="J523" s="2226" t="s">
        <v>110</v>
      </c>
      <c r="K523" s="2224" t="s">
        <v>845</v>
      </c>
      <c r="L523" s="2227">
        <v>364</v>
      </c>
      <c r="M523" s="2227">
        <v>189.25</v>
      </c>
      <c r="N523" s="2250">
        <v>2.9746284883015619E-3</v>
      </c>
      <c r="O523" s="2224">
        <v>8</v>
      </c>
      <c r="P523" s="2225" t="s">
        <v>1253</v>
      </c>
      <c r="Q523" s="2229">
        <v>25</v>
      </c>
      <c r="R523" s="2229">
        <v>25</v>
      </c>
      <c r="S523" s="2228">
        <f t="shared" si="33"/>
        <v>50</v>
      </c>
      <c r="T523" s="2986">
        <v>18925</v>
      </c>
      <c r="U523" s="2228">
        <f t="shared" si="34"/>
        <v>18925</v>
      </c>
      <c r="V523" s="2228">
        <f t="shared" si="35"/>
        <v>37850</v>
      </c>
      <c r="W523" s="2990">
        <v>4731.25</v>
      </c>
      <c r="X523" s="2230">
        <f t="shared" si="36"/>
        <v>4731.25</v>
      </c>
      <c r="Y523" s="2230">
        <f t="shared" si="37"/>
        <v>9462.5</v>
      </c>
    </row>
    <row r="524" spans="8:25">
      <c r="H524" s="2224" t="s">
        <v>1341</v>
      </c>
      <c r="I524" s="2229">
        <v>855</v>
      </c>
      <c r="J524" s="2226" t="s">
        <v>110</v>
      </c>
      <c r="K524" s="2224" t="s">
        <v>845</v>
      </c>
      <c r="L524" s="2227">
        <v>364</v>
      </c>
      <c r="M524" s="2227">
        <v>213.75</v>
      </c>
      <c r="N524" s="2250">
        <v>2.6306062370458163E-3</v>
      </c>
      <c r="O524" s="2224">
        <v>8</v>
      </c>
      <c r="P524" s="2225" t="s">
        <v>1253</v>
      </c>
      <c r="Q524" s="2229">
        <v>25</v>
      </c>
      <c r="R524" s="2229">
        <v>25</v>
      </c>
      <c r="S524" s="2228">
        <f t="shared" si="33"/>
        <v>50</v>
      </c>
      <c r="T524" s="2986">
        <v>21375</v>
      </c>
      <c r="U524" s="2228">
        <f t="shared" si="34"/>
        <v>21375</v>
      </c>
      <c r="V524" s="2228">
        <f t="shared" si="35"/>
        <v>42750</v>
      </c>
      <c r="W524" s="2990">
        <v>5343.75</v>
      </c>
      <c r="X524" s="2230">
        <f t="shared" si="36"/>
        <v>5343.75</v>
      </c>
      <c r="Y524" s="2230">
        <f t="shared" si="37"/>
        <v>10687.5</v>
      </c>
    </row>
    <row r="525" spans="8:25">
      <c r="H525" s="2224" t="s">
        <v>1342</v>
      </c>
      <c r="I525" s="2229">
        <v>5340</v>
      </c>
      <c r="J525" s="2226" t="s">
        <v>110</v>
      </c>
      <c r="K525" s="2224" t="s">
        <v>845</v>
      </c>
      <c r="L525" s="2227">
        <v>2544.75</v>
      </c>
      <c r="M525" s="2227">
        <v>1335</v>
      </c>
      <c r="N525" s="2250">
        <v>2.586633468088315E-4</v>
      </c>
      <c r="O525" s="2224">
        <v>8</v>
      </c>
      <c r="P525" s="2225" t="s">
        <v>1253</v>
      </c>
      <c r="Q525" s="2229">
        <v>10</v>
      </c>
      <c r="R525" s="2229">
        <v>25</v>
      </c>
      <c r="S525" s="2228">
        <f t="shared" si="33"/>
        <v>35</v>
      </c>
      <c r="T525" s="2986">
        <v>53400</v>
      </c>
      <c r="U525" s="2228">
        <f t="shared" si="34"/>
        <v>133500</v>
      </c>
      <c r="V525" s="2228">
        <f t="shared" si="35"/>
        <v>186900</v>
      </c>
      <c r="W525" s="2990">
        <v>13350</v>
      </c>
      <c r="X525" s="2230">
        <f t="shared" si="36"/>
        <v>33375</v>
      </c>
      <c r="Y525" s="2230">
        <f t="shared" si="37"/>
        <v>46725</v>
      </c>
    </row>
    <row r="526" spans="8:25">
      <c r="H526" s="2224" t="s">
        <v>1343</v>
      </c>
      <c r="I526" s="2229">
        <v>1258</v>
      </c>
      <c r="J526" s="2226" t="s">
        <v>110</v>
      </c>
      <c r="K526" s="2224" t="s">
        <v>845</v>
      </c>
      <c r="L526" s="2227">
        <v>57.6</v>
      </c>
      <c r="M526" s="2227">
        <v>314.5</v>
      </c>
      <c r="N526" s="2250">
        <v>2.586633468088315E-4</v>
      </c>
      <c r="O526" s="2224">
        <v>8</v>
      </c>
      <c r="P526" s="2225" t="s">
        <v>1253</v>
      </c>
      <c r="Q526" s="2229">
        <v>50</v>
      </c>
      <c r="R526" s="2229">
        <v>75</v>
      </c>
      <c r="S526" s="2228">
        <f t="shared" si="33"/>
        <v>125</v>
      </c>
      <c r="T526" s="2986">
        <v>62900</v>
      </c>
      <c r="U526" s="2228">
        <f t="shared" si="34"/>
        <v>94350</v>
      </c>
      <c r="V526" s="2228">
        <f t="shared" si="35"/>
        <v>157250</v>
      </c>
      <c r="W526" s="2990">
        <v>15725</v>
      </c>
      <c r="X526" s="2230">
        <f t="shared" si="36"/>
        <v>23587.5</v>
      </c>
      <c r="Y526" s="2230">
        <f t="shared" si="37"/>
        <v>39312.5</v>
      </c>
    </row>
    <row r="527" spans="8:25">
      <c r="H527" s="2224" t="s">
        <v>1344</v>
      </c>
      <c r="I527" s="2229">
        <v>1497</v>
      </c>
      <c r="J527" s="2226" t="s">
        <v>110</v>
      </c>
      <c r="K527" s="2224" t="s">
        <v>845</v>
      </c>
      <c r="L527" s="2227">
        <v>65.599999999999994</v>
      </c>
      <c r="M527" s="2227">
        <v>374.25</v>
      </c>
      <c r="N527" s="2250">
        <v>1.9580815353428542E-3</v>
      </c>
      <c r="O527" s="2224">
        <v>15</v>
      </c>
      <c r="P527" s="2225" t="s">
        <v>1253</v>
      </c>
      <c r="Q527" s="2229">
        <v>50</v>
      </c>
      <c r="R527" s="2229">
        <v>75</v>
      </c>
      <c r="S527" s="2228">
        <f t="shared" si="33"/>
        <v>125</v>
      </c>
      <c r="T527" s="2986">
        <v>74850</v>
      </c>
      <c r="U527" s="2228">
        <f t="shared" si="34"/>
        <v>112275</v>
      </c>
      <c r="V527" s="2228">
        <f t="shared" si="35"/>
        <v>187125</v>
      </c>
      <c r="W527" s="2990">
        <v>18712.5</v>
      </c>
      <c r="X527" s="2230">
        <f t="shared" si="36"/>
        <v>28068.75</v>
      </c>
      <c r="Y527" s="2230">
        <f t="shared" si="37"/>
        <v>46781.25</v>
      </c>
    </row>
    <row r="528" spans="8:25">
      <c r="H528" s="2224" t="s">
        <v>1345</v>
      </c>
      <c r="I528" s="2229">
        <v>1353</v>
      </c>
      <c r="J528" s="2226" t="s">
        <v>110</v>
      </c>
      <c r="K528" s="2224" t="s">
        <v>845</v>
      </c>
      <c r="L528" s="2227">
        <v>48</v>
      </c>
      <c r="M528" s="2227">
        <v>338.25</v>
      </c>
      <c r="N528" s="2250">
        <v>2.2115716152155095E-3</v>
      </c>
      <c r="O528" s="2224">
        <v>15</v>
      </c>
      <c r="P528" s="2225" t="s">
        <v>1253</v>
      </c>
      <c r="Q528" s="2229">
        <v>50</v>
      </c>
      <c r="R528" s="2229">
        <v>75</v>
      </c>
      <c r="S528" s="2228">
        <f t="shared" si="33"/>
        <v>125</v>
      </c>
      <c r="T528" s="2986">
        <v>67650</v>
      </c>
      <c r="U528" s="2228">
        <f t="shared" si="34"/>
        <v>101475</v>
      </c>
      <c r="V528" s="2228">
        <f t="shared" si="35"/>
        <v>169125</v>
      </c>
      <c r="W528" s="2990">
        <v>16912.5</v>
      </c>
      <c r="X528" s="2230">
        <f t="shared" si="36"/>
        <v>25368.75</v>
      </c>
      <c r="Y528" s="2230">
        <f t="shared" si="37"/>
        <v>42281.25</v>
      </c>
    </row>
    <row r="529" spans="8:25">
      <c r="H529" s="2224" t="s">
        <v>1346</v>
      </c>
      <c r="I529" s="2229">
        <v>1322</v>
      </c>
      <c r="J529" s="2226" t="s">
        <v>110</v>
      </c>
      <c r="K529" s="2224" t="s">
        <v>845</v>
      </c>
      <c r="L529" s="2227">
        <v>48</v>
      </c>
      <c r="M529" s="2227">
        <v>330.5</v>
      </c>
      <c r="N529" s="2250">
        <v>1.3812622719591602E-2</v>
      </c>
      <c r="O529" s="2224">
        <v>10</v>
      </c>
      <c r="P529" s="2225" t="s">
        <v>1160</v>
      </c>
      <c r="Q529" s="2229">
        <v>50</v>
      </c>
      <c r="R529" s="2229">
        <v>75</v>
      </c>
      <c r="S529" s="2228">
        <f t="shared" si="33"/>
        <v>125</v>
      </c>
      <c r="T529" s="2986">
        <v>66100</v>
      </c>
      <c r="U529" s="2228">
        <f t="shared" si="34"/>
        <v>99150</v>
      </c>
      <c r="V529" s="2228">
        <f t="shared" si="35"/>
        <v>165250</v>
      </c>
      <c r="W529" s="2990">
        <v>16525</v>
      </c>
      <c r="X529" s="2230">
        <f t="shared" si="36"/>
        <v>24787.5</v>
      </c>
      <c r="Y529" s="2230">
        <f t="shared" si="37"/>
        <v>41312.5</v>
      </c>
    </row>
    <row r="530" spans="8:25">
      <c r="H530" s="2224" t="s">
        <v>1347</v>
      </c>
      <c r="I530" s="2229">
        <v>473</v>
      </c>
      <c r="J530" s="2226" t="s">
        <v>110</v>
      </c>
      <c r="K530" s="2224" t="s">
        <v>845</v>
      </c>
      <c r="L530" s="2227">
        <v>237.25</v>
      </c>
      <c r="M530" s="2227">
        <v>118.25</v>
      </c>
      <c r="N530" s="2250">
        <v>1.6450988857041682E-3</v>
      </c>
      <c r="O530" s="2224">
        <v>10</v>
      </c>
      <c r="P530" s="2225" t="s">
        <v>1160</v>
      </c>
      <c r="Q530" s="2229">
        <v>125</v>
      </c>
      <c r="R530" s="2229">
        <v>150</v>
      </c>
      <c r="S530" s="2228">
        <f t="shared" si="33"/>
        <v>275</v>
      </c>
      <c r="T530" s="2986">
        <v>59125</v>
      </c>
      <c r="U530" s="2228">
        <f t="shared" si="34"/>
        <v>70950</v>
      </c>
      <c r="V530" s="2228">
        <f t="shared" si="35"/>
        <v>130075</v>
      </c>
      <c r="W530" s="2990">
        <v>14781.25</v>
      </c>
      <c r="X530" s="2230">
        <f t="shared" si="36"/>
        <v>17737.5</v>
      </c>
      <c r="Y530" s="2230">
        <f t="shared" si="37"/>
        <v>32518.75</v>
      </c>
    </row>
    <row r="531" spans="8:25">
      <c r="H531" s="2224" t="s">
        <v>1348</v>
      </c>
      <c r="I531" s="2229">
        <v>380</v>
      </c>
      <c r="J531" s="2226" t="s">
        <v>110</v>
      </c>
      <c r="K531" s="2224" t="s">
        <v>845</v>
      </c>
      <c r="L531" s="2227">
        <v>845</v>
      </c>
      <c r="M531" s="2227">
        <v>95</v>
      </c>
      <c r="N531" s="2250">
        <v>1.6450988857041682E-3</v>
      </c>
      <c r="O531" s="2224">
        <v>10</v>
      </c>
      <c r="P531" s="2225" t="s">
        <v>1160</v>
      </c>
      <c r="Q531" s="2229">
        <v>25</v>
      </c>
      <c r="R531" s="2229">
        <v>50</v>
      </c>
      <c r="S531" s="2228">
        <f t="shared" si="33"/>
        <v>75</v>
      </c>
      <c r="T531" s="2986">
        <v>9500</v>
      </c>
      <c r="U531" s="2228">
        <f t="shared" si="34"/>
        <v>19000</v>
      </c>
      <c r="V531" s="2228">
        <f t="shared" si="35"/>
        <v>28500</v>
      </c>
      <c r="W531" s="2990">
        <v>2375</v>
      </c>
      <c r="X531" s="2230">
        <f t="shared" si="36"/>
        <v>4750</v>
      </c>
      <c r="Y531" s="2230">
        <f t="shared" si="37"/>
        <v>7125</v>
      </c>
    </row>
    <row r="532" spans="8:25">
      <c r="H532" s="2224" t="s">
        <v>1613</v>
      </c>
      <c r="I532" s="2229">
        <v>457</v>
      </c>
      <c r="J532" s="2226" t="s">
        <v>110</v>
      </c>
      <c r="K532" s="2224" t="s">
        <v>845</v>
      </c>
      <c r="L532" s="2227">
        <v>233.5</v>
      </c>
      <c r="M532" s="2227">
        <v>114.25</v>
      </c>
      <c r="N532" s="2250">
        <v>1.6450988857041682E-3</v>
      </c>
      <c r="O532" s="2224">
        <v>10</v>
      </c>
      <c r="P532" s="2225" t="s">
        <v>1160</v>
      </c>
      <c r="Q532" s="2229">
        <v>75</v>
      </c>
      <c r="R532" s="2229">
        <v>75</v>
      </c>
      <c r="S532" s="2228">
        <f t="shared" si="33"/>
        <v>150</v>
      </c>
      <c r="T532" s="2986">
        <v>34275</v>
      </c>
      <c r="U532" s="2228">
        <f t="shared" si="34"/>
        <v>34275</v>
      </c>
      <c r="V532" s="2228">
        <f t="shared" si="35"/>
        <v>68550</v>
      </c>
      <c r="W532" s="2990">
        <v>8568.75</v>
      </c>
      <c r="X532" s="2230">
        <f t="shared" si="36"/>
        <v>8568.75</v>
      </c>
      <c r="Y532" s="2230">
        <f t="shared" si="37"/>
        <v>17137.5</v>
      </c>
    </row>
    <row r="533" spans="8:25">
      <c r="H533" s="2224" t="s">
        <v>1614</v>
      </c>
      <c r="I533" s="2229">
        <v>198</v>
      </c>
      <c r="J533" s="2226" t="s">
        <v>110</v>
      </c>
      <c r="K533" s="2224" t="s">
        <v>845</v>
      </c>
      <c r="L533" s="2227">
        <v>52.23</v>
      </c>
      <c r="M533" s="2227">
        <v>49.5</v>
      </c>
      <c r="N533" s="2250">
        <v>1.6450988857041682E-3</v>
      </c>
      <c r="O533" s="2224">
        <v>10</v>
      </c>
      <c r="P533" s="2225" t="s">
        <v>1160</v>
      </c>
      <c r="Q533" s="2229">
        <v>100</v>
      </c>
      <c r="R533" s="2229">
        <v>100</v>
      </c>
      <c r="S533" s="2228">
        <f t="shared" si="33"/>
        <v>200</v>
      </c>
      <c r="T533" s="2986">
        <v>19800</v>
      </c>
      <c r="U533" s="2228">
        <f t="shared" si="34"/>
        <v>19800</v>
      </c>
      <c r="V533" s="2228">
        <f t="shared" si="35"/>
        <v>39600</v>
      </c>
      <c r="W533" s="2990">
        <v>4950</v>
      </c>
      <c r="X533" s="2230">
        <f t="shared" si="36"/>
        <v>4950</v>
      </c>
      <c r="Y533" s="2230">
        <f t="shared" si="37"/>
        <v>9900</v>
      </c>
    </row>
    <row r="534" spans="8:25">
      <c r="H534" s="2224"/>
      <c r="I534" s="2229"/>
      <c r="J534" s="2226"/>
      <c r="K534" s="2224"/>
      <c r="L534" s="2227"/>
      <c r="M534" s="2227"/>
      <c r="N534" s="2250"/>
      <c r="O534" s="2224"/>
      <c r="P534" s="2225"/>
      <c r="Q534" s="2229"/>
      <c r="R534" s="2229"/>
      <c r="S534" s="2228"/>
      <c r="T534" s="2228"/>
      <c r="U534" s="2228"/>
      <c r="V534" s="2228"/>
      <c r="W534" s="2230"/>
      <c r="X534" s="2230"/>
      <c r="Y534" s="2230"/>
    </row>
    <row r="535" spans="8:25">
      <c r="H535" s="2224"/>
      <c r="I535" s="2229"/>
      <c r="J535" s="2226"/>
      <c r="K535" s="2224"/>
      <c r="L535" s="2227"/>
      <c r="M535" s="2227"/>
      <c r="N535" s="2250"/>
      <c r="O535" s="2224"/>
      <c r="P535" s="2225"/>
      <c r="Q535" s="2229"/>
      <c r="R535" s="2229"/>
      <c r="S535" s="2228"/>
      <c r="T535" s="2228"/>
      <c r="U535" s="2228"/>
      <c r="V535" s="2228"/>
      <c r="W535" s="2230"/>
      <c r="X535" s="2230"/>
      <c r="Y535" s="2230"/>
    </row>
  </sheetData>
  <customSheetViews>
    <customSheetView guid="{D9EFFE19-D14B-4C6F-BDF4-FF696F73968D}" showGridLines="0">
      <pane xSplit="1" ySplit="1" topLeftCell="F2" activePane="bottomRight" state="frozen"/>
      <selection pane="bottomRight" activeCell="O16" sqref="O16"/>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15">
    <mergeCell ref="Z12:Z13"/>
    <mergeCell ref="S2:T2"/>
    <mergeCell ref="U2:W2"/>
    <mergeCell ref="X2:X3"/>
    <mergeCell ref="H10:P10"/>
    <mergeCell ref="H12:P12"/>
    <mergeCell ref="Q12:S12"/>
    <mergeCell ref="T12:V12"/>
    <mergeCell ref="W12:Y12"/>
    <mergeCell ref="Z368:Z369"/>
    <mergeCell ref="H366:P366"/>
    <mergeCell ref="H368:P368"/>
    <mergeCell ref="Q368:S368"/>
    <mergeCell ref="T368:V368"/>
    <mergeCell ref="W368:Y368"/>
  </mergeCells>
  <dataValidations count="1">
    <dataValidation allowBlank="1" showErrorMessage="1" promptTitle="DECIMAL PLACE WARNING:" prompt="Maximum number of numbers to the right of any decimal place can be 4._x000a__x000a_Example 1.2345 and NOT 1.23456" sqref="I16:I177 I372:I533"/>
  </dataValidations>
  <pageMargins left="0.45" right="0.2" top="0.75" bottom="0.75" header="0.3" footer="0.3"/>
  <pageSetup paperSize="3" scale="43" orientation="landscape" horizontalDpi="1200" verticalDpi="12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FABF8F"/>
  </sheetPr>
  <dimension ref="A1:S117"/>
  <sheetViews>
    <sheetView showGridLines="0" zoomScaleNormal="100" workbookViewId="0">
      <pane xSplit="1" ySplit="1" topLeftCell="B2" activePane="bottomRight" state="frozen"/>
      <selection pane="topRight" activeCell="B1" sqref="B1"/>
      <selection pane="bottomLeft" activeCell="A2" sqref="A2"/>
      <selection pane="bottomRight" activeCell="C3" sqref="C3"/>
    </sheetView>
  </sheetViews>
  <sheetFormatPr defaultRowHeight="12.75"/>
  <cols>
    <col min="1" max="1" width="17.85546875" style="849" customWidth="1"/>
    <col min="2" max="2" width="56" bestFit="1" customWidth="1"/>
    <col min="3" max="5" width="21" customWidth="1"/>
    <col min="6" max="6" width="19.140625" customWidth="1"/>
    <col min="7" max="8" width="20.7109375" customWidth="1"/>
    <col min="9" max="9" width="24.140625" customWidth="1"/>
    <col min="10" max="10" width="19.5703125" customWidth="1"/>
    <col min="11" max="11" width="21.140625" customWidth="1"/>
    <col min="12" max="12" width="16" customWidth="1"/>
    <col min="13" max="13" width="16.140625" customWidth="1"/>
    <col min="14" max="14" width="18.7109375" customWidth="1"/>
    <col min="15" max="15" width="16.42578125" customWidth="1"/>
    <col min="16" max="16" width="17.42578125" customWidth="1"/>
    <col min="17" max="17" width="16.85546875" customWidth="1"/>
    <col min="18" max="18" width="19.5703125" customWidth="1"/>
    <col min="19" max="19" width="19.140625" customWidth="1"/>
  </cols>
  <sheetData>
    <row r="1" spans="1:19" ht="56.25" customHeight="1">
      <c r="B1" s="1384" t="s">
        <v>260</v>
      </c>
      <c r="C1" s="1361" t="s">
        <v>261</v>
      </c>
      <c r="D1" s="1384" t="s">
        <v>123</v>
      </c>
      <c r="E1" s="1359" t="s">
        <v>28</v>
      </c>
      <c r="H1" s="1361"/>
      <c r="I1" s="248"/>
      <c r="J1" s="230"/>
      <c r="K1" s="1384" t="s">
        <v>260</v>
      </c>
      <c r="L1" s="1361" t="s">
        <v>261</v>
      </c>
      <c r="M1" s="1384" t="s">
        <v>123</v>
      </c>
      <c r="N1" s="1359" t="s">
        <v>28</v>
      </c>
    </row>
    <row r="2" spans="1:19" ht="21" thickBot="1">
      <c r="B2" s="233"/>
      <c r="C2" s="247"/>
      <c r="D2" s="247"/>
      <c r="E2" s="247"/>
      <c r="F2" s="247"/>
      <c r="G2" s="255"/>
      <c r="H2" s="248"/>
      <c r="I2" s="248"/>
      <c r="J2" s="230"/>
      <c r="K2" s="230"/>
      <c r="L2" s="230"/>
      <c r="M2" s="230"/>
      <c r="N2" s="230"/>
    </row>
    <row r="3" spans="1:19" ht="38.25">
      <c r="A3" s="1389" t="s">
        <v>260</v>
      </c>
      <c r="G3" s="944"/>
      <c r="H3" s="2691" t="s">
        <v>7</v>
      </c>
      <c r="I3" s="2692" t="s">
        <v>8</v>
      </c>
      <c r="J3" s="2692" t="s">
        <v>77</v>
      </c>
      <c r="K3" s="2692" t="s">
        <v>10</v>
      </c>
      <c r="L3" s="2692" t="s">
        <v>482</v>
      </c>
      <c r="M3" s="2692" t="s">
        <v>11</v>
      </c>
      <c r="N3" s="2692" t="s">
        <v>12</v>
      </c>
      <c r="O3" s="2692" t="s">
        <v>13</v>
      </c>
      <c r="P3" s="2692" t="s">
        <v>78</v>
      </c>
      <c r="Q3" s="2692" t="s">
        <v>36</v>
      </c>
      <c r="R3" s="2692" t="s">
        <v>15</v>
      </c>
      <c r="S3" s="2715" t="s">
        <v>37</v>
      </c>
    </row>
    <row r="4" spans="1:19" ht="26.25">
      <c r="A4" s="1389" t="s">
        <v>123</v>
      </c>
      <c r="G4" s="2946" t="s">
        <v>1726</v>
      </c>
      <c r="H4" s="2972">
        <f>C17</f>
        <v>281700</v>
      </c>
      <c r="I4" s="2973">
        <f>C18</f>
        <v>4669</v>
      </c>
      <c r="J4" s="2973">
        <f>C37</f>
        <v>191000</v>
      </c>
      <c r="K4" s="2973">
        <f>C35</f>
        <v>0</v>
      </c>
      <c r="L4" s="2973">
        <f>C26</f>
        <v>8000</v>
      </c>
      <c r="M4" s="2973">
        <f>C51</f>
        <v>70000</v>
      </c>
      <c r="N4" s="2973">
        <f>C33</f>
        <v>2000</v>
      </c>
      <c r="O4" s="2973">
        <f>C28</f>
        <v>0</v>
      </c>
      <c r="P4" s="2973">
        <f>C14</f>
        <v>1300000</v>
      </c>
      <c r="Q4" s="2973"/>
      <c r="R4" s="2978">
        <f>SUM(H4:P4)</f>
        <v>1857369</v>
      </c>
      <c r="S4" s="2975">
        <f>C63</f>
        <v>355000</v>
      </c>
    </row>
    <row r="5" spans="1:19" ht="15.75">
      <c r="A5" s="1357" t="s">
        <v>261</v>
      </c>
      <c r="G5" s="3205" t="s">
        <v>1753</v>
      </c>
      <c r="H5" s="2703">
        <v>281700</v>
      </c>
      <c r="I5" s="2704">
        <v>4785.7299999999996</v>
      </c>
      <c r="J5" s="2704">
        <v>194800</v>
      </c>
      <c r="K5" s="2704">
        <v>0</v>
      </c>
      <c r="L5" s="2716">
        <v>8000</v>
      </c>
      <c r="M5" s="2716">
        <v>10000</v>
      </c>
      <c r="N5" s="2705">
        <v>2000</v>
      </c>
      <c r="O5" s="2705">
        <v>0</v>
      </c>
      <c r="P5" s="2706">
        <v>1300000</v>
      </c>
      <c r="Q5" s="2706"/>
      <c r="R5" s="2730">
        <v>1801285.73</v>
      </c>
      <c r="S5" s="2708">
        <v>375000</v>
      </c>
    </row>
    <row r="6" spans="1:19" ht="16.5" thickBot="1">
      <c r="A6" s="1391" t="s">
        <v>28</v>
      </c>
      <c r="G6" s="3206" t="s">
        <v>1754</v>
      </c>
      <c r="H6" s="2709">
        <f>D17</f>
        <v>281700</v>
      </c>
      <c r="I6" s="2710">
        <f>D18</f>
        <v>10000</v>
      </c>
      <c r="J6" s="2710">
        <f>D39</f>
        <v>261957</v>
      </c>
      <c r="K6" s="2710">
        <f>D35</f>
        <v>0</v>
      </c>
      <c r="L6" s="2717">
        <f>D26</f>
        <v>8000</v>
      </c>
      <c r="M6" s="2717">
        <f>D51</f>
        <v>135000</v>
      </c>
      <c r="N6" s="2711">
        <f>D33</f>
        <v>2000</v>
      </c>
      <c r="O6" s="2711">
        <f>D28</f>
        <v>0</v>
      </c>
      <c r="P6" s="2712">
        <f>D14</f>
        <v>1300000</v>
      </c>
      <c r="Q6" s="2712"/>
      <c r="R6" s="2731">
        <f>SUM(H6:P6)</f>
        <v>1998657</v>
      </c>
      <c r="S6" s="2714">
        <f>D63</f>
        <v>425000</v>
      </c>
    </row>
    <row r="7" spans="1:19" s="1173" customFormat="1">
      <c r="G7" s="1842"/>
      <c r="H7" s="2689"/>
      <c r="I7" s="2689"/>
      <c r="J7" s="2689"/>
      <c r="K7" s="2689"/>
      <c r="L7" s="2689"/>
      <c r="M7" s="2689"/>
      <c r="N7" s="2689"/>
      <c r="O7" s="2689"/>
      <c r="P7" s="2689"/>
      <c r="Q7" s="2689"/>
      <c r="R7" s="2689"/>
      <c r="S7" s="2690"/>
    </row>
    <row r="8" spans="1:19" ht="20.25">
      <c r="A8" s="1357"/>
      <c r="B8" s="233"/>
      <c r="C8" s="247"/>
      <c r="D8" s="247"/>
      <c r="E8" s="247"/>
      <c r="F8" s="247"/>
      <c r="G8" s="255"/>
      <c r="H8" s="248"/>
      <c r="I8" s="248"/>
      <c r="J8" s="230"/>
      <c r="K8" s="230"/>
      <c r="L8" s="230"/>
      <c r="M8" s="230"/>
      <c r="N8" s="236"/>
    </row>
    <row r="9" spans="1:19" ht="18">
      <c r="C9" s="255"/>
      <c r="D9" s="255"/>
      <c r="E9" s="255"/>
      <c r="F9" s="246"/>
      <c r="G9" s="246"/>
      <c r="H9" s="246"/>
      <c r="I9" s="246"/>
      <c r="J9" s="230"/>
      <c r="K9" s="230"/>
      <c r="L9" s="230"/>
      <c r="M9" s="230"/>
      <c r="N9" s="230"/>
    </row>
    <row r="10" spans="1:19" ht="18">
      <c r="B10" s="234"/>
      <c r="C10" s="2827">
        <v>2016</v>
      </c>
      <c r="D10" s="256">
        <v>2017</v>
      </c>
      <c r="E10" s="257" t="s">
        <v>20</v>
      </c>
      <c r="F10" s="239"/>
      <c r="G10" s="239"/>
      <c r="H10" s="239"/>
      <c r="I10" s="1042"/>
      <c r="J10" s="1033"/>
      <c r="K10" s="1033"/>
      <c r="L10" s="236"/>
      <c r="M10" s="236"/>
      <c r="N10" s="230"/>
    </row>
    <row r="11" spans="1:19">
      <c r="B11" s="752" t="s">
        <v>80</v>
      </c>
      <c r="C11" s="2869"/>
      <c r="D11" s="748"/>
      <c r="E11" s="766"/>
      <c r="F11" s="756"/>
      <c r="G11" s="239"/>
      <c r="H11" s="239"/>
      <c r="I11" s="1034"/>
      <c r="J11" s="1035"/>
      <c r="K11" s="1033"/>
      <c r="L11" s="230"/>
      <c r="M11" s="230"/>
      <c r="N11" s="230"/>
    </row>
    <row r="12" spans="1:19">
      <c r="B12" s="960"/>
      <c r="C12" s="2870">
        <v>1300000</v>
      </c>
      <c r="D12" s="786">
        <v>1300000</v>
      </c>
      <c r="E12" s="787">
        <f>SUM(C12:D12)</f>
        <v>2600000</v>
      </c>
      <c r="F12" s="756"/>
      <c r="G12" s="239"/>
      <c r="H12" s="239"/>
      <c r="I12" s="1034"/>
      <c r="J12" s="1036"/>
      <c r="K12" s="1033"/>
      <c r="L12" s="230"/>
      <c r="M12" s="230"/>
      <c r="N12" s="230"/>
    </row>
    <row r="13" spans="1:19" ht="15">
      <c r="B13" s="960"/>
      <c r="C13" s="2871"/>
      <c r="D13" s="1853"/>
      <c r="E13" s="1859">
        <f>SUM(C13:D13)</f>
        <v>0</v>
      </c>
      <c r="F13" s="756"/>
      <c r="G13" s="239"/>
      <c r="H13" s="239"/>
      <c r="I13" s="1034"/>
      <c r="J13" s="1036"/>
      <c r="K13" s="1030"/>
      <c r="L13" s="230"/>
      <c r="M13" s="230"/>
      <c r="N13" s="230"/>
    </row>
    <row r="14" spans="1:19">
      <c r="B14" s="752"/>
      <c r="C14" s="2828">
        <f>SUM(C12:C13)</f>
        <v>1300000</v>
      </c>
      <c r="D14" s="779">
        <f>SUM(D12:D13)</f>
        <v>1300000</v>
      </c>
      <c r="E14" s="780">
        <f>SUM(E12:E13)</f>
        <v>2600000</v>
      </c>
      <c r="F14" s="756"/>
      <c r="G14" s="239"/>
      <c r="H14" s="239"/>
      <c r="I14" s="1095"/>
      <c r="J14" s="1032"/>
      <c r="K14" s="1030"/>
      <c r="L14" s="230"/>
      <c r="M14" s="230"/>
      <c r="N14" s="230"/>
    </row>
    <row r="15" spans="1:19" ht="18">
      <c r="B15" s="753"/>
      <c r="C15" s="2829"/>
      <c r="D15" s="748"/>
      <c r="E15" s="766"/>
      <c r="F15" s="756"/>
      <c r="G15" s="239"/>
      <c r="H15" s="239"/>
      <c r="I15" s="1034"/>
      <c r="J15" s="1032"/>
      <c r="K15" s="1030"/>
      <c r="L15" s="230"/>
      <c r="M15" s="230"/>
      <c r="N15" s="230"/>
    </row>
    <row r="16" spans="1:19">
      <c r="B16" s="752" t="s">
        <v>83</v>
      </c>
      <c r="C16" s="2830">
        <f>C17+C18</f>
        <v>286369</v>
      </c>
      <c r="D16" s="2374">
        <f>D17+D18</f>
        <v>291700</v>
      </c>
      <c r="E16" s="1833">
        <f>E17+E18</f>
        <v>578069</v>
      </c>
      <c r="F16" s="2857">
        <v>2016</v>
      </c>
      <c r="G16" s="2575">
        <v>2017</v>
      </c>
      <c r="H16" s="2576" t="s">
        <v>1685</v>
      </c>
      <c r="I16" s="1034"/>
      <c r="J16" s="1032"/>
      <c r="K16" s="1030"/>
      <c r="L16" s="230"/>
      <c r="M16" s="230"/>
    </row>
    <row r="17" spans="2:19">
      <c r="B17" s="755" t="s">
        <v>85</v>
      </c>
      <c r="C17" s="2847">
        <v>281700</v>
      </c>
      <c r="D17" s="40">
        <v>281700</v>
      </c>
      <c r="E17" s="771">
        <f>SUM(C17:D17)</f>
        <v>563400</v>
      </c>
      <c r="F17" s="2858">
        <v>3</v>
      </c>
      <c r="G17" s="1663">
        <v>2.9</v>
      </c>
      <c r="H17" s="1663">
        <f>(F17+G17)/2</f>
        <v>2.95</v>
      </c>
      <c r="I17" s="553" t="s">
        <v>86</v>
      </c>
      <c r="J17" s="1032"/>
      <c r="K17" s="1030"/>
      <c r="L17" s="230"/>
      <c r="M17" s="230"/>
    </row>
    <row r="18" spans="2:19">
      <c r="B18" s="755" t="s">
        <v>89</v>
      </c>
      <c r="C18" s="2847">
        <v>4669</v>
      </c>
      <c r="D18" s="40">
        <v>10000</v>
      </c>
      <c r="E18" s="771">
        <f>SUM(C18:D18)</f>
        <v>14669</v>
      </c>
      <c r="F18" s="2859">
        <v>0.1</v>
      </c>
      <c r="G18" s="1663">
        <v>0.1</v>
      </c>
      <c r="H18" s="1663">
        <f>(F18+G18)/2</f>
        <v>0.1</v>
      </c>
      <c r="I18" s="553" t="s">
        <v>86</v>
      </c>
      <c r="J18" s="1032"/>
      <c r="K18" s="1030"/>
      <c r="L18" s="230"/>
      <c r="M18" s="230"/>
    </row>
    <row r="19" spans="2:19">
      <c r="B19" s="755"/>
      <c r="C19" s="2832"/>
      <c r="D19" s="748"/>
      <c r="E19" s="766"/>
      <c r="F19" s="2860"/>
      <c r="G19" s="238"/>
      <c r="H19" s="238"/>
      <c r="I19" s="1034"/>
      <c r="J19" s="1041"/>
      <c r="K19" s="1030"/>
      <c r="L19" s="230"/>
      <c r="M19" s="245"/>
      <c r="S19">
        <f>1095*3</f>
        <v>3285</v>
      </c>
    </row>
    <row r="20" spans="2:19">
      <c r="B20" s="820" t="s">
        <v>483</v>
      </c>
      <c r="C20" s="2849">
        <v>8000</v>
      </c>
      <c r="D20" s="2368">
        <v>8000</v>
      </c>
      <c r="E20" s="653">
        <f>C20+D20</f>
        <v>16000</v>
      </c>
      <c r="F20" s="2767"/>
      <c r="I20" s="1030"/>
      <c r="J20" s="1031"/>
      <c r="K20" s="1030"/>
      <c r="L20" s="230"/>
      <c r="M20" s="230"/>
      <c r="S20">
        <f>S19/15</f>
        <v>219</v>
      </c>
    </row>
    <row r="21" spans="2:19">
      <c r="B21" s="747" t="s">
        <v>90</v>
      </c>
      <c r="C21" s="2833"/>
      <c r="D21" s="855"/>
      <c r="E21" s="653"/>
      <c r="F21" s="2862"/>
      <c r="G21" s="249"/>
      <c r="H21" s="237"/>
      <c r="I21" s="1034"/>
      <c r="J21" s="1046"/>
      <c r="K21" s="1030"/>
      <c r="L21" s="230"/>
      <c r="M21" s="230"/>
    </row>
    <row r="22" spans="2:19">
      <c r="B22" s="755" t="s">
        <v>91</v>
      </c>
      <c r="C22" s="2850"/>
      <c r="D22" s="855"/>
      <c r="E22" s="653"/>
      <c r="F22" s="2863"/>
      <c r="G22" s="237"/>
      <c r="H22" s="249"/>
      <c r="I22" s="1039" t="s">
        <v>92</v>
      </c>
      <c r="J22" s="1044"/>
      <c r="K22" s="1037" t="s">
        <v>124</v>
      </c>
      <c r="L22" s="230"/>
      <c r="M22" s="230"/>
    </row>
    <row r="23" spans="2:19">
      <c r="B23" s="755" t="s">
        <v>94</v>
      </c>
      <c r="C23" s="2833"/>
      <c r="D23" s="855"/>
      <c r="E23" s="653"/>
      <c r="F23" s="2861"/>
      <c r="G23" s="237"/>
      <c r="H23" s="237"/>
      <c r="I23" s="1039" t="s">
        <v>95</v>
      </c>
      <c r="J23" s="1043"/>
      <c r="K23" s="1040" t="s">
        <v>125</v>
      </c>
      <c r="L23" s="230"/>
      <c r="M23" s="230"/>
    </row>
    <row r="24" spans="2:19" s="1652" customFormat="1">
      <c r="B24" s="824" t="s">
        <v>517</v>
      </c>
      <c r="C24" s="2833"/>
      <c r="D24" s="855"/>
      <c r="E24" s="653"/>
      <c r="F24" s="2861"/>
      <c r="G24" s="393"/>
      <c r="H24" s="393"/>
      <c r="I24" s="1039" t="s">
        <v>98</v>
      </c>
      <c r="J24" s="1043"/>
      <c r="K24" s="1040" t="s">
        <v>125</v>
      </c>
      <c r="L24" s="1837"/>
      <c r="M24" s="1837"/>
    </row>
    <row r="25" spans="2:19" ht="15">
      <c r="B25" s="755" t="s">
        <v>97</v>
      </c>
      <c r="C25" s="2834"/>
      <c r="D25" s="1853"/>
      <c r="E25" s="1854"/>
      <c r="F25" s="2861"/>
      <c r="G25" s="237"/>
      <c r="H25" s="250"/>
      <c r="I25" s="1038" t="s">
        <v>99</v>
      </c>
      <c r="J25" s="1045"/>
      <c r="K25" s="1040"/>
      <c r="L25" s="230"/>
      <c r="M25" s="230"/>
    </row>
    <row r="26" spans="2:19">
      <c r="B26" s="747"/>
      <c r="C26" s="2835">
        <f>SUM(C20:C25)</f>
        <v>8000</v>
      </c>
      <c r="D26" s="760">
        <f>SUM(D20:D25)</f>
        <v>8000</v>
      </c>
      <c r="E26" s="781">
        <f>C26+D26</f>
        <v>16000</v>
      </c>
      <c r="F26" s="2861"/>
      <c r="G26" s="237"/>
      <c r="H26" s="250"/>
      <c r="L26" s="230"/>
      <c r="M26" s="230"/>
    </row>
    <row r="27" spans="2:19">
      <c r="B27" s="748"/>
      <c r="C27" s="2836"/>
      <c r="D27" s="748"/>
      <c r="E27" s="766"/>
      <c r="F27" s="2861"/>
      <c r="G27" s="237"/>
      <c r="H27" s="250"/>
      <c r="I27" s="243"/>
      <c r="J27" s="253"/>
      <c r="K27" s="244"/>
      <c r="L27" s="230"/>
      <c r="M27" s="230"/>
    </row>
    <row r="28" spans="2:19">
      <c r="B28" s="752" t="s">
        <v>84</v>
      </c>
      <c r="C28" s="2835"/>
      <c r="D28" s="765"/>
      <c r="E28" s="781"/>
      <c r="F28" s="2861"/>
      <c r="G28" s="237"/>
      <c r="H28" s="250"/>
      <c r="I28" s="230"/>
      <c r="J28" s="230"/>
      <c r="K28" s="230"/>
      <c r="L28" s="230"/>
      <c r="M28" s="230"/>
    </row>
    <row r="29" spans="2:19">
      <c r="B29" s="748"/>
      <c r="C29" s="2836"/>
      <c r="D29" s="748"/>
      <c r="E29" s="766"/>
      <c r="F29" s="2861"/>
      <c r="G29" s="237"/>
      <c r="H29" s="250"/>
      <c r="I29" s="230"/>
      <c r="J29" s="230"/>
      <c r="K29" s="230"/>
      <c r="L29" s="230"/>
      <c r="M29" s="230"/>
    </row>
    <row r="30" spans="2:19">
      <c r="B30" s="751" t="s">
        <v>87</v>
      </c>
      <c r="C30" s="2836">
        <v>2000</v>
      </c>
      <c r="D30" s="3274">
        <v>2000</v>
      </c>
      <c r="E30" s="867">
        <f>C30+D30</f>
        <v>4000</v>
      </c>
      <c r="F30" s="2864"/>
      <c r="G30" s="250"/>
      <c r="H30" s="250"/>
      <c r="I30" s="230"/>
      <c r="J30" s="230"/>
      <c r="K30" s="230"/>
      <c r="L30" s="230"/>
      <c r="M30" s="230"/>
    </row>
    <row r="31" spans="2:19">
      <c r="B31" s="747" t="s">
        <v>100</v>
      </c>
      <c r="C31" s="2836"/>
      <c r="D31" s="776"/>
      <c r="E31" s="771"/>
      <c r="F31" s="2864"/>
      <c r="G31" s="250"/>
      <c r="H31" s="250"/>
      <c r="I31" s="239"/>
      <c r="J31" s="230"/>
      <c r="K31" s="230"/>
      <c r="L31" s="230"/>
      <c r="M31" s="230"/>
    </row>
    <row r="32" spans="2:19" ht="15">
      <c r="B32" s="748" t="s">
        <v>102</v>
      </c>
      <c r="C32" s="2837">
        <v>0</v>
      </c>
      <c r="D32" s="1853">
        <v>0</v>
      </c>
      <c r="E32" s="1854"/>
      <c r="F32" s="2864"/>
      <c r="G32" s="250"/>
      <c r="H32" s="250"/>
      <c r="I32" s="239"/>
    </row>
    <row r="33" spans="1:11">
      <c r="B33" s="751" t="s">
        <v>103</v>
      </c>
      <c r="C33" s="2838">
        <f>SUM(C30:C32)</f>
        <v>2000</v>
      </c>
      <c r="D33" s="757">
        <f>SUM(D30:D32)</f>
        <v>2000</v>
      </c>
      <c r="E33" s="781">
        <f>SUM(C33:D33)</f>
        <v>4000</v>
      </c>
      <c r="F33" s="2864"/>
      <c r="G33" s="250"/>
      <c r="H33" s="250"/>
      <c r="I33" s="239"/>
    </row>
    <row r="34" spans="1:11">
      <c r="B34" s="748"/>
      <c r="C34" s="2836"/>
      <c r="D34" s="748"/>
      <c r="E34" s="766"/>
      <c r="F34" s="2864"/>
      <c r="G34" s="250"/>
      <c r="H34" s="250"/>
      <c r="I34" s="239"/>
    </row>
    <row r="35" spans="1:11">
      <c r="A35" s="1389" t="s">
        <v>260</v>
      </c>
      <c r="B35" s="751" t="s">
        <v>88</v>
      </c>
      <c r="C35" s="2838"/>
      <c r="D35" s="777"/>
      <c r="E35" s="781">
        <f>SUM(C35:D35)</f>
        <v>0</v>
      </c>
      <c r="F35" s="2864"/>
      <c r="G35" s="250"/>
      <c r="H35" s="250"/>
      <c r="I35" s="239"/>
    </row>
    <row r="36" spans="1:11">
      <c r="A36" s="1357" t="s">
        <v>261</v>
      </c>
      <c r="B36" s="748"/>
      <c r="C36" s="2836"/>
      <c r="D36" s="748"/>
      <c r="E36" s="766"/>
      <c r="F36" s="2865">
        <v>0.66700000000000004</v>
      </c>
      <c r="G36" s="2157" t="s">
        <v>659</v>
      </c>
      <c r="H36" s="250"/>
      <c r="I36" s="239"/>
    </row>
    <row r="37" spans="1:11" ht="25.5">
      <c r="A37" s="1389" t="s">
        <v>123</v>
      </c>
      <c r="B37" s="2371" t="s">
        <v>9</v>
      </c>
      <c r="C37" s="2928">
        <f>ROUND(SUM(C17:C18)*F36, -2)</f>
        <v>191000</v>
      </c>
      <c r="D37" s="3017">
        <f>ROUND(D16*F37, -2)</f>
        <v>200700</v>
      </c>
      <c r="E37" s="653">
        <f>SUM(C37:D37)</f>
        <v>391700</v>
      </c>
      <c r="F37" s="3019">
        <v>0.68799999999999994</v>
      </c>
      <c r="G37" s="2144" t="s">
        <v>660</v>
      </c>
      <c r="H37" s="250"/>
      <c r="I37" s="239"/>
    </row>
    <row r="38" spans="1:11" s="1652" customFormat="1" ht="13.5" customHeight="1">
      <c r="A38" s="1414" t="s">
        <v>28</v>
      </c>
      <c r="B38" s="816" t="s">
        <v>1732</v>
      </c>
      <c r="C38" s="2836"/>
      <c r="D38" s="659">
        <f>D16*F38</f>
        <v>61257</v>
      </c>
      <c r="E38" s="841">
        <f>C38+D38</f>
        <v>61257</v>
      </c>
      <c r="F38" s="3015">
        <v>0.21</v>
      </c>
      <c r="G38" s="2144" t="s">
        <v>1735</v>
      </c>
      <c r="K38" s="1088"/>
    </row>
    <row r="39" spans="1:11" s="1567" customFormat="1" ht="13.5" customHeight="1">
      <c r="B39" s="3022" t="s">
        <v>231</v>
      </c>
      <c r="C39" s="2838"/>
      <c r="D39" s="2377">
        <f>D37+D38</f>
        <v>261957</v>
      </c>
      <c r="E39" s="2382">
        <f>E37+E38</f>
        <v>452957</v>
      </c>
      <c r="F39" s="3023"/>
      <c r="G39" s="3024"/>
      <c r="K39" s="946"/>
    </row>
    <row r="40" spans="1:11" s="1652" customFormat="1" ht="13.5" customHeight="1">
      <c r="B40" s="816"/>
      <c r="C40" s="2836"/>
      <c r="D40" s="659"/>
      <c r="E40" s="841"/>
      <c r="F40" s="3015"/>
      <c r="G40" s="2144"/>
      <c r="K40" s="1088"/>
    </row>
    <row r="41" spans="1:11">
      <c r="B41" s="748"/>
      <c r="C41" s="2836"/>
      <c r="D41" s="761"/>
      <c r="E41" s="770"/>
      <c r="H41" s="250"/>
      <c r="I41" s="239"/>
    </row>
    <row r="42" spans="1:11">
      <c r="B42" s="749" t="s">
        <v>11</v>
      </c>
      <c r="C42" s="2836">
        <v>10000</v>
      </c>
      <c r="D42" s="761">
        <v>10000</v>
      </c>
      <c r="E42" s="770">
        <f>C42+D42</f>
        <v>20000</v>
      </c>
      <c r="F42" s="2836"/>
      <c r="G42" s="231"/>
      <c r="H42" s="250"/>
      <c r="I42" s="235"/>
    </row>
    <row r="43" spans="1:11">
      <c r="B43" s="784" t="s">
        <v>81</v>
      </c>
      <c r="C43" s="2833"/>
      <c r="D43" s="762"/>
      <c r="E43" s="768"/>
      <c r="F43" s="2864"/>
      <c r="G43" s="231"/>
      <c r="H43" s="250"/>
      <c r="I43" s="235"/>
    </row>
    <row r="44" spans="1:11">
      <c r="B44" s="870" t="s">
        <v>510</v>
      </c>
      <c r="C44" s="2833"/>
      <c r="D44" s="762"/>
      <c r="E44" s="768"/>
      <c r="F44" s="2864"/>
      <c r="G44" s="231"/>
      <c r="H44" s="250"/>
      <c r="I44" s="235"/>
    </row>
    <row r="45" spans="1:11">
      <c r="B45" s="785" t="s">
        <v>104</v>
      </c>
      <c r="C45" s="2833"/>
      <c r="D45" s="762"/>
      <c r="E45" s="768"/>
      <c r="F45" s="2864"/>
      <c r="G45" s="231"/>
      <c r="H45" s="250"/>
      <c r="I45" s="235"/>
    </row>
    <row r="46" spans="1:11">
      <c r="B46" s="785" t="s">
        <v>105</v>
      </c>
      <c r="C46" s="2833"/>
      <c r="D46" s="762"/>
      <c r="E46" s="768"/>
      <c r="F46" s="2864"/>
      <c r="G46" s="231"/>
      <c r="H46" s="250"/>
      <c r="I46" s="235"/>
    </row>
    <row r="47" spans="1:11">
      <c r="B47" s="870" t="s">
        <v>531</v>
      </c>
      <c r="C47" s="2833"/>
      <c r="D47" s="762"/>
      <c r="E47" s="768"/>
      <c r="F47" s="2864"/>
      <c r="G47" s="231"/>
      <c r="H47" s="250"/>
      <c r="I47" s="235"/>
    </row>
    <row r="48" spans="1:11" ht="15">
      <c r="B48" s="782" t="s">
        <v>82</v>
      </c>
      <c r="C48" s="2834"/>
      <c r="D48" s="1855"/>
      <c r="E48" s="1856"/>
      <c r="F48" s="2864"/>
      <c r="G48" s="231"/>
      <c r="H48" s="250"/>
      <c r="I48" s="235"/>
    </row>
    <row r="49" spans="2:10" ht="15">
      <c r="B49" s="785" t="s">
        <v>106</v>
      </c>
      <c r="C49" s="2834">
        <v>60000</v>
      </c>
      <c r="D49" s="1855">
        <v>125000</v>
      </c>
      <c r="E49" s="1856">
        <v>0</v>
      </c>
      <c r="F49" s="3275" t="s">
        <v>2611</v>
      </c>
      <c r="G49" s="231"/>
      <c r="H49" s="250"/>
      <c r="I49" s="235"/>
    </row>
    <row r="50" spans="2:10">
      <c r="B50" s="870"/>
      <c r="C50" s="2833"/>
      <c r="D50" s="861"/>
      <c r="E50" s="862"/>
      <c r="F50" s="2864"/>
      <c r="G50" s="859"/>
      <c r="H50" s="250"/>
      <c r="I50" s="235"/>
    </row>
    <row r="51" spans="2:10">
      <c r="B51" s="758" t="s">
        <v>107</v>
      </c>
      <c r="C51" s="2835">
        <f>SUM(C42:C50)</f>
        <v>70000</v>
      </c>
      <c r="D51" s="760">
        <f>SUM(D42:D50)</f>
        <v>135000</v>
      </c>
      <c r="E51" s="769">
        <f>SUM(C51:D51)</f>
        <v>205000</v>
      </c>
      <c r="F51" s="2864"/>
      <c r="G51" s="231"/>
      <c r="H51" s="250"/>
      <c r="I51" s="235"/>
      <c r="J51" s="230"/>
    </row>
    <row r="52" spans="2:10">
      <c r="B52" s="754"/>
      <c r="C52" s="2872"/>
      <c r="D52" s="790"/>
      <c r="E52" s="791"/>
      <c r="F52" s="2864"/>
      <c r="G52" s="251"/>
      <c r="H52" s="250"/>
      <c r="I52" s="235"/>
      <c r="J52" s="230"/>
    </row>
    <row r="53" spans="2:10" ht="13.5" thickBot="1">
      <c r="B53" s="758" t="s">
        <v>108</v>
      </c>
      <c r="C53" s="2873">
        <f>C14+C17+C18+C26+C28+C33+C35+C37+C51</f>
        <v>1857369</v>
      </c>
      <c r="D53" s="788">
        <f>D14+D17+D18+D26+D28+D33+D35+D39+D51</f>
        <v>1998657</v>
      </c>
      <c r="E53" s="789">
        <f>SUM(C53:D53)</f>
        <v>3856026</v>
      </c>
      <c r="F53" s="2864"/>
      <c r="G53" s="251"/>
      <c r="H53" s="250"/>
      <c r="I53" s="235"/>
      <c r="J53" s="230"/>
    </row>
    <row r="54" spans="2:10">
      <c r="B54" s="750"/>
      <c r="C54" s="2840"/>
      <c r="D54" s="762"/>
      <c r="E54" s="762"/>
      <c r="F54" s="2864"/>
      <c r="G54" s="251"/>
      <c r="H54" s="250"/>
      <c r="I54" s="235"/>
      <c r="J54" s="230"/>
    </row>
    <row r="55" spans="2:10" ht="15">
      <c r="B55" s="751" t="s">
        <v>126</v>
      </c>
      <c r="C55" s="2874">
        <v>2016</v>
      </c>
      <c r="D55" s="775">
        <v>2017</v>
      </c>
      <c r="E55" s="775" t="s">
        <v>20</v>
      </c>
      <c r="F55" s="2864"/>
      <c r="G55" s="251"/>
      <c r="H55" s="250"/>
      <c r="I55" s="235"/>
      <c r="J55" s="230"/>
    </row>
    <row r="56" spans="2:10" ht="20.25" customHeight="1">
      <c r="B56" s="961"/>
      <c r="C56" s="2875"/>
      <c r="D56" s="763"/>
      <c r="E56" s="772"/>
      <c r="F56" s="2863"/>
      <c r="G56" s="251"/>
      <c r="H56" s="250"/>
      <c r="I56" s="235"/>
      <c r="J56" s="230"/>
    </row>
    <row r="57" spans="2:10">
      <c r="B57" s="869" t="s">
        <v>504</v>
      </c>
      <c r="C57" s="2875">
        <v>340000</v>
      </c>
      <c r="D57" s="763">
        <v>375000</v>
      </c>
      <c r="E57" s="772">
        <f>C57+D57</f>
        <v>715000</v>
      </c>
      <c r="F57" s="3276" t="s">
        <v>2612</v>
      </c>
      <c r="G57" s="251"/>
      <c r="H57" s="252"/>
      <c r="I57" s="240"/>
      <c r="J57" s="232"/>
    </row>
    <row r="58" spans="2:10">
      <c r="B58" s="869" t="s">
        <v>532</v>
      </c>
      <c r="C58" s="2875"/>
      <c r="D58" s="763"/>
      <c r="E58" s="868">
        <f>C58+D58</f>
        <v>0</v>
      </c>
      <c r="F58" s="2840"/>
      <c r="G58" s="251"/>
      <c r="H58" s="252"/>
      <c r="I58" s="240"/>
      <c r="J58" s="232"/>
    </row>
    <row r="59" spans="2:10">
      <c r="B59" s="869" t="s">
        <v>533</v>
      </c>
      <c r="C59" s="2875"/>
      <c r="D59" s="763"/>
      <c r="E59" s="868">
        <f>C59+D59</f>
        <v>0</v>
      </c>
      <c r="F59" s="2840"/>
      <c r="G59" s="251"/>
      <c r="H59" s="252"/>
      <c r="I59" s="240"/>
      <c r="J59" s="232"/>
    </row>
    <row r="60" spans="2:10" ht="23.25" customHeight="1">
      <c r="B60" s="960"/>
      <c r="C60" s="2875"/>
      <c r="D60" s="763"/>
      <c r="E60" s="772"/>
      <c r="F60" s="2840"/>
      <c r="G60" s="251"/>
      <c r="H60" s="252"/>
      <c r="I60" s="240"/>
      <c r="J60" s="232"/>
    </row>
    <row r="61" spans="2:10" ht="15">
      <c r="B61" s="783" t="s">
        <v>106</v>
      </c>
      <c r="C61" s="2876">
        <v>15000</v>
      </c>
      <c r="D61" s="1860">
        <v>50000</v>
      </c>
      <c r="E61" s="1861">
        <f>C61+D61</f>
        <v>65000</v>
      </c>
      <c r="F61" s="2840"/>
      <c r="G61" s="251"/>
      <c r="H61" s="252"/>
      <c r="I61" s="240"/>
      <c r="J61" s="232"/>
    </row>
    <row r="62" spans="2:10" s="849" customFormat="1">
      <c r="B62" s="869"/>
      <c r="C62" s="2875"/>
      <c r="D62" s="865"/>
      <c r="E62" s="868"/>
      <c r="F62" s="2840"/>
      <c r="G62" s="397"/>
      <c r="H62" s="398"/>
      <c r="I62" s="395"/>
      <c r="J62" s="863"/>
    </row>
    <row r="63" spans="2:10">
      <c r="B63" s="749" t="s">
        <v>111</v>
      </c>
      <c r="C63" s="2877">
        <f>SUM(C56:C62)</f>
        <v>355000</v>
      </c>
      <c r="D63" s="773">
        <f>SUM(D56:D62)</f>
        <v>425000</v>
      </c>
      <c r="E63" s="774">
        <f>SUM(C63:D63)</f>
        <v>780000</v>
      </c>
      <c r="F63" s="2867" t="s">
        <v>71</v>
      </c>
      <c r="G63" s="250"/>
      <c r="H63" s="241"/>
      <c r="I63" s="241"/>
      <c r="J63" s="232"/>
    </row>
    <row r="64" spans="2:10">
      <c r="B64" s="747"/>
      <c r="C64" s="2840"/>
      <c r="D64" s="762"/>
      <c r="E64" s="762"/>
      <c r="F64" s="2868"/>
      <c r="G64" s="250"/>
      <c r="H64" s="241"/>
      <c r="I64" s="241"/>
      <c r="J64" s="232"/>
    </row>
    <row r="65" spans="2:10">
      <c r="B65" s="764" t="s">
        <v>112</v>
      </c>
      <c r="C65" s="2855">
        <f>C63/E63</f>
        <v>0.45512820512820512</v>
      </c>
      <c r="D65" s="778">
        <f>D63/E63</f>
        <v>0.54487179487179482</v>
      </c>
      <c r="E65" s="759"/>
      <c r="F65" s="759"/>
      <c r="G65" s="252"/>
      <c r="H65" s="241"/>
      <c r="I65" s="241"/>
      <c r="J65" s="232"/>
    </row>
    <row r="66" spans="2:10">
      <c r="B66" s="254"/>
      <c r="C66" s="258"/>
      <c r="D66" s="258"/>
      <c r="E66" s="241"/>
      <c r="F66" s="241"/>
      <c r="G66" s="241"/>
      <c r="H66" s="241"/>
      <c r="I66" s="241"/>
      <c r="J66" s="232"/>
    </row>
    <row r="67" spans="2:10">
      <c r="B67" s="230"/>
      <c r="C67" s="241"/>
      <c r="D67" s="241"/>
      <c r="E67" s="241"/>
      <c r="F67" s="252"/>
      <c r="G67" s="241"/>
      <c r="H67" s="241"/>
      <c r="I67" s="241"/>
      <c r="J67" s="232"/>
    </row>
    <row r="68" spans="2:10" ht="20.25">
      <c r="B68" s="233"/>
      <c r="C68" s="242"/>
      <c r="D68" s="242"/>
      <c r="E68" s="242"/>
      <c r="F68" s="252"/>
      <c r="G68" s="241"/>
      <c r="H68" s="241"/>
      <c r="I68" s="241"/>
      <c r="J68" s="232"/>
    </row>
    <row r="69" spans="2:10">
      <c r="B69" s="232"/>
      <c r="C69" s="232"/>
      <c r="D69" s="232"/>
      <c r="E69" s="232"/>
      <c r="F69" s="252"/>
      <c r="G69" s="241"/>
      <c r="H69" s="252"/>
      <c r="I69" s="241"/>
      <c r="J69" s="232"/>
    </row>
    <row r="88" spans="2:6">
      <c r="B88" s="3600"/>
      <c r="C88" s="3600"/>
      <c r="D88" s="3600"/>
      <c r="E88" s="3600"/>
      <c r="F88" s="3600"/>
    </row>
    <row r="89" spans="2:6">
      <c r="B89" s="3600"/>
      <c r="C89" s="3600"/>
      <c r="D89" s="3600"/>
      <c r="E89" s="3600"/>
      <c r="F89" s="3600"/>
    </row>
    <row r="90" spans="2:6">
      <c r="B90" s="3600"/>
      <c r="C90" s="3600"/>
      <c r="D90" s="3600"/>
      <c r="E90" s="3600"/>
      <c r="F90" s="3600"/>
    </row>
    <row r="91" spans="2:6">
      <c r="B91" s="3600"/>
      <c r="C91" s="3600"/>
      <c r="D91" s="3600"/>
      <c r="E91" s="3600"/>
      <c r="F91" s="3600"/>
    </row>
    <row r="92" spans="2:6">
      <c r="B92" s="3600"/>
      <c r="C92" s="3600"/>
      <c r="D92" s="3600"/>
      <c r="E92" s="3600"/>
      <c r="F92" s="3600"/>
    </row>
    <row r="93" spans="2:6">
      <c r="B93" s="3600"/>
      <c r="C93" s="3600"/>
      <c r="D93" s="3600"/>
      <c r="E93" s="3600"/>
      <c r="F93" s="3600"/>
    </row>
    <row r="112" spans="9:11">
      <c r="I112" s="3600"/>
      <c r="J112" s="3600"/>
      <c r="K112" s="3600"/>
    </row>
    <row r="113" spans="9:11">
      <c r="I113" s="3600"/>
      <c r="J113" s="3600"/>
      <c r="K113" s="3600"/>
    </row>
    <row r="114" spans="9:11">
      <c r="I114" s="3600"/>
      <c r="J114" s="3600"/>
      <c r="K114" s="3600"/>
    </row>
    <row r="115" spans="9:11">
      <c r="I115" s="3600"/>
      <c r="J115" s="3600"/>
      <c r="K115" s="3600"/>
    </row>
    <row r="116" spans="9:11">
      <c r="I116" s="3600"/>
      <c r="J116" s="3600"/>
      <c r="K116" s="3600"/>
    </row>
    <row r="117" spans="9:11">
      <c r="I117" s="3600"/>
      <c r="J117" s="3600"/>
      <c r="K117" s="3600"/>
    </row>
  </sheetData>
  <customSheetViews>
    <customSheetView guid="{D9EFFE19-D14B-4C6F-BDF4-FF696F73968D}" showGridLines="0">
      <pane xSplit="1" ySplit="1" topLeftCell="B2" activePane="bottomRight" state="frozen"/>
      <selection pane="bottomRight" activeCell="D38" sqref="D38"/>
      <pageMargins left="0.27" right="0.32" top="0.41"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27" right="0.32" top="0.41" bottom="0.75" header="0.3" footer="0.3"/>
      <pageSetup paperSize="17" scale="65" orientation="landscape" r:id="rId2"/>
    </customSheetView>
  </customSheetViews>
  <mergeCells count="11">
    <mergeCell ref="B88:F88"/>
    <mergeCell ref="B93:F93"/>
    <mergeCell ref="B89:F89"/>
    <mergeCell ref="B90:F90"/>
    <mergeCell ref="B91:F91"/>
    <mergeCell ref="B92:F92"/>
    <mergeCell ref="I117:K117"/>
    <mergeCell ref="I112:K113"/>
    <mergeCell ref="I114:K114"/>
    <mergeCell ref="I115:K115"/>
    <mergeCell ref="I116:K116"/>
  </mergeCells>
  <pageMargins left="0.27" right="0.32" top="0.41" bottom="0.75" header="0.3" footer="0.3"/>
  <pageSetup paperSize="3" scale="50" orientation="landscape" r:id="rId3"/>
  <ignoredErrors>
    <ignoredError sqref="C63:E63" formulaRange="1"/>
  </ignoredErrors>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ABF8F"/>
  </sheetPr>
  <dimension ref="A1:S116"/>
  <sheetViews>
    <sheetView showGridLines="0" zoomScaleNormal="100" workbookViewId="0">
      <pane xSplit="1" ySplit="1" topLeftCell="B2" activePane="bottomRight" state="frozen"/>
      <selection pane="topRight" activeCell="B1" sqref="B1"/>
      <selection pane="bottomLeft" activeCell="A2" sqref="A2"/>
      <selection pane="bottomRight" activeCell="B7" sqref="B7"/>
    </sheetView>
  </sheetViews>
  <sheetFormatPr defaultColWidth="56.140625" defaultRowHeight="12.75"/>
  <cols>
    <col min="1" max="1" width="18" style="849" customWidth="1"/>
    <col min="3" max="4" width="19.42578125" customWidth="1"/>
    <col min="5" max="5" width="16.5703125" customWidth="1"/>
    <col min="6" max="6" width="19.140625" customWidth="1"/>
    <col min="7" max="8" width="21.7109375" customWidth="1"/>
    <col min="9" max="9" width="21.5703125" customWidth="1"/>
    <col min="10" max="10" width="22.85546875" customWidth="1"/>
    <col min="11" max="11" width="20.5703125" customWidth="1"/>
    <col min="12" max="12" width="20.85546875" customWidth="1"/>
    <col min="13" max="13" width="23.140625" customWidth="1"/>
    <col min="14" max="14" width="20.42578125" customWidth="1"/>
    <col min="15" max="19" width="22.85546875" customWidth="1"/>
  </cols>
  <sheetData>
    <row r="1" spans="1:19" ht="56.25" customHeight="1">
      <c r="B1" s="1389" t="s">
        <v>257</v>
      </c>
      <c r="C1" s="1357" t="s">
        <v>258</v>
      </c>
      <c r="D1" s="1389" t="s">
        <v>128</v>
      </c>
      <c r="E1" s="1388" t="s">
        <v>28</v>
      </c>
      <c r="H1" s="1357"/>
      <c r="I1" s="327"/>
      <c r="J1" s="307"/>
      <c r="K1" s="1389" t="s">
        <v>257</v>
      </c>
      <c r="L1" s="1357" t="s">
        <v>258</v>
      </c>
      <c r="M1" s="1389" t="s">
        <v>128</v>
      </c>
      <c r="N1" s="1388" t="s">
        <v>28</v>
      </c>
    </row>
    <row r="2" spans="1:19" ht="21" thickBot="1">
      <c r="B2" s="313"/>
      <c r="C2" s="326"/>
      <c r="D2" s="326"/>
      <c r="E2" s="326"/>
      <c r="F2" s="326"/>
      <c r="G2" s="335"/>
      <c r="H2" s="327"/>
      <c r="I2" s="327"/>
      <c r="J2" s="307"/>
      <c r="K2" s="307"/>
      <c r="L2" s="307"/>
      <c r="M2" s="307"/>
      <c r="N2" s="307"/>
    </row>
    <row r="3" spans="1:19" ht="25.5">
      <c r="A3" s="1389" t="s">
        <v>257</v>
      </c>
      <c r="G3" s="944"/>
      <c r="H3" s="2691" t="s">
        <v>7</v>
      </c>
      <c r="I3" s="2692" t="s">
        <v>8</v>
      </c>
      <c r="J3" s="2692" t="s">
        <v>77</v>
      </c>
      <c r="K3" s="2692" t="s">
        <v>10</v>
      </c>
      <c r="L3" s="2692" t="s">
        <v>482</v>
      </c>
      <c r="M3" s="2692" t="s">
        <v>11</v>
      </c>
      <c r="N3" s="2692" t="s">
        <v>12</v>
      </c>
      <c r="O3" s="2692" t="s">
        <v>13</v>
      </c>
      <c r="P3" s="2692" t="s">
        <v>78</v>
      </c>
      <c r="Q3" s="2692" t="s">
        <v>36</v>
      </c>
      <c r="R3" s="2692" t="s">
        <v>15</v>
      </c>
      <c r="S3" s="2693" t="s">
        <v>37</v>
      </c>
    </row>
    <row r="4" spans="1:19" ht="26.25">
      <c r="A4" s="1389" t="s">
        <v>128</v>
      </c>
      <c r="G4" s="2946" t="s">
        <v>1726</v>
      </c>
      <c r="H4" s="2972">
        <f>C16</f>
        <v>47250</v>
      </c>
      <c r="I4" s="2973">
        <f>C17</f>
        <v>1334</v>
      </c>
      <c r="J4" s="2973">
        <f>C36</f>
        <v>32400</v>
      </c>
      <c r="K4" s="2973">
        <f>C34</f>
        <v>9000</v>
      </c>
      <c r="L4" s="2973">
        <f>C25</f>
        <v>1000</v>
      </c>
      <c r="M4" s="2973">
        <f>C48</f>
        <v>12000</v>
      </c>
      <c r="N4" s="2973">
        <f>C32</f>
        <v>1000</v>
      </c>
      <c r="O4" s="2973">
        <f>C27</f>
        <v>2000</v>
      </c>
      <c r="P4" s="2973">
        <f>C13</f>
        <v>525000</v>
      </c>
      <c r="Q4" s="2973"/>
      <c r="R4" s="2978">
        <f>SUM(H4:P4)</f>
        <v>630984</v>
      </c>
      <c r="S4" s="2975">
        <f>C55</f>
        <v>157500</v>
      </c>
    </row>
    <row r="5" spans="1:19" ht="15.75">
      <c r="A5" s="1357" t="s">
        <v>258</v>
      </c>
      <c r="G5" s="3205" t="s">
        <v>1753</v>
      </c>
      <c r="H5" s="2703">
        <v>51300</v>
      </c>
      <c r="I5" s="2704">
        <v>1367.35</v>
      </c>
      <c r="J5" s="2704">
        <v>35800</v>
      </c>
      <c r="K5" s="2704">
        <v>9000</v>
      </c>
      <c r="L5" s="2704">
        <v>1000</v>
      </c>
      <c r="M5" s="2716">
        <v>12000</v>
      </c>
      <c r="N5" s="2705">
        <v>1000</v>
      </c>
      <c r="O5" s="2705">
        <v>2000</v>
      </c>
      <c r="P5" s="2706">
        <v>550000</v>
      </c>
      <c r="Q5" s="2706"/>
      <c r="R5" s="2730">
        <v>663467.35</v>
      </c>
      <c r="S5" s="2732">
        <v>165375</v>
      </c>
    </row>
    <row r="6" spans="1:19" ht="16.5" thickBot="1">
      <c r="A6" s="1388" t="s">
        <v>28</v>
      </c>
      <c r="G6" s="3206" t="s">
        <v>1754</v>
      </c>
      <c r="H6" s="2709">
        <f>D16</f>
        <v>51300</v>
      </c>
      <c r="I6" s="2710">
        <f>D17</f>
        <v>1367.35</v>
      </c>
      <c r="J6" s="2710">
        <f>D38</f>
        <v>47260.143499999998</v>
      </c>
      <c r="K6" s="2710">
        <f>D34</f>
        <v>9000</v>
      </c>
      <c r="L6" s="2710">
        <f>D25</f>
        <v>1000</v>
      </c>
      <c r="M6" s="2717">
        <f>D48</f>
        <v>12000</v>
      </c>
      <c r="N6" s="2711">
        <f>D32</f>
        <v>1000</v>
      </c>
      <c r="O6" s="2711">
        <f>D27</f>
        <v>2000</v>
      </c>
      <c r="P6" s="2712">
        <f>D13</f>
        <v>410000</v>
      </c>
      <c r="Q6" s="2712"/>
      <c r="R6" s="2731">
        <f>SUM(H6:P6)</f>
        <v>534927.49349999998</v>
      </c>
      <c r="S6" s="2714">
        <f>D55</f>
        <v>100000</v>
      </c>
    </row>
    <row r="7" spans="1:19" s="1173" customFormat="1">
      <c r="G7" s="1842"/>
      <c r="H7" s="2689"/>
      <c r="I7" s="2689"/>
      <c r="J7" s="2689"/>
      <c r="K7" s="2689"/>
      <c r="L7" s="2689"/>
      <c r="M7" s="2689"/>
      <c r="N7" s="2689"/>
      <c r="O7" s="2689"/>
      <c r="P7" s="2689"/>
      <c r="Q7" s="2689"/>
      <c r="R7" s="2689"/>
      <c r="S7" s="2690"/>
    </row>
    <row r="8" spans="1:19" ht="20.25">
      <c r="A8" s="1357"/>
      <c r="B8" s="313"/>
      <c r="C8" s="326"/>
      <c r="D8" s="326"/>
      <c r="E8" s="326"/>
      <c r="F8" s="326"/>
      <c r="G8" s="335"/>
      <c r="H8" s="327"/>
      <c r="I8" s="327"/>
      <c r="J8" s="307"/>
      <c r="K8" s="307"/>
      <c r="L8" s="307"/>
      <c r="M8" s="793"/>
      <c r="N8" s="316"/>
    </row>
    <row r="9" spans="1:19" ht="18">
      <c r="A9" s="1357"/>
      <c r="C9" s="335"/>
      <c r="D9" s="335"/>
      <c r="E9" s="335"/>
      <c r="F9" s="325"/>
      <c r="G9" s="325"/>
      <c r="H9" s="325"/>
      <c r="I9" s="325"/>
      <c r="J9" s="307"/>
      <c r="K9" s="307"/>
      <c r="L9" s="307"/>
      <c r="M9" s="307"/>
      <c r="N9" s="307"/>
    </row>
    <row r="10" spans="1:19" ht="18">
      <c r="A10" s="1357"/>
      <c r="B10" s="314"/>
      <c r="C10" s="2827">
        <v>2016</v>
      </c>
      <c r="D10" s="352">
        <v>2017</v>
      </c>
      <c r="E10" s="353" t="s">
        <v>20</v>
      </c>
      <c r="F10" s="319"/>
      <c r="G10" s="319"/>
      <c r="H10" s="319"/>
      <c r="I10" s="1076"/>
      <c r="J10" s="1067"/>
      <c r="K10" s="1067"/>
      <c r="L10" s="316"/>
      <c r="M10" s="354"/>
      <c r="N10" s="307"/>
    </row>
    <row r="11" spans="1:19">
      <c r="A11" s="1357"/>
      <c r="B11" s="960"/>
      <c r="C11" s="2844"/>
      <c r="D11" s="1847"/>
      <c r="E11" s="787">
        <f>SUM(C11:D11)</f>
        <v>0</v>
      </c>
      <c r="F11" s="803"/>
      <c r="G11" s="319"/>
      <c r="H11" s="319"/>
      <c r="I11" s="1068"/>
      <c r="J11" s="1069"/>
      <c r="K11" s="1067"/>
      <c r="L11" s="307"/>
      <c r="M11" s="307"/>
      <c r="N11" s="307"/>
    </row>
    <row r="12" spans="1:19" ht="19.5">
      <c r="A12" s="1357"/>
      <c r="B12" s="799"/>
      <c r="C12" s="2845">
        <v>525000</v>
      </c>
      <c r="D12" s="1857">
        <v>410000</v>
      </c>
      <c r="E12" s="1858">
        <f>SUM(C12:D12)</f>
        <v>935000</v>
      </c>
      <c r="F12" s="803"/>
      <c r="G12" s="319"/>
      <c r="H12" s="319"/>
      <c r="I12" s="1068"/>
      <c r="J12" s="1070"/>
      <c r="K12" s="1067"/>
      <c r="L12" s="307"/>
      <c r="M12" s="307"/>
      <c r="N12" s="307"/>
    </row>
    <row r="13" spans="1:19" s="1652" customFormat="1" ht="18">
      <c r="A13" s="1838"/>
      <c r="B13" s="821"/>
      <c r="C13" s="2878">
        <f>SUM(C11:C12)</f>
        <v>525000</v>
      </c>
      <c r="D13" s="1846">
        <f>SUM(D11:D12)</f>
        <v>410000</v>
      </c>
      <c r="E13" s="1845">
        <f>SUM(E11:E12)</f>
        <v>935000</v>
      </c>
      <c r="F13" s="1848"/>
      <c r="G13" s="1848"/>
      <c r="H13" s="1848"/>
      <c r="I13" s="1095"/>
      <c r="J13" s="1098"/>
      <c r="K13" s="1092"/>
      <c r="L13" s="1837"/>
      <c r="M13" s="1837"/>
      <c r="N13" s="1837"/>
    </row>
    <row r="14" spans="1:19" s="1652" customFormat="1" ht="18">
      <c r="A14" s="2364"/>
      <c r="B14" s="821"/>
      <c r="C14" s="2878"/>
      <c r="D14" s="1846"/>
      <c r="E14" s="1845"/>
      <c r="F14" s="1848"/>
      <c r="G14" s="1848"/>
      <c r="H14" s="1848"/>
      <c r="I14" s="1095"/>
      <c r="J14" s="1098"/>
      <c r="K14" s="1092"/>
      <c r="L14" s="2363"/>
      <c r="M14" s="2363"/>
      <c r="N14" s="2363"/>
    </row>
    <row r="15" spans="1:19">
      <c r="B15" s="798" t="s">
        <v>83</v>
      </c>
      <c r="C15" s="2830">
        <f>SUM(C16:C17)</f>
        <v>48584</v>
      </c>
      <c r="D15" s="2374">
        <f>SUM(D16:D17)</f>
        <v>52667.35</v>
      </c>
      <c r="E15" s="1833">
        <f>C15+D15</f>
        <v>101251.35</v>
      </c>
      <c r="F15" s="2857">
        <v>2016</v>
      </c>
      <c r="G15" s="2575">
        <v>2017</v>
      </c>
      <c r="H15" s="2576" t="s">
        <v>1685</v>
      </c>
      <c r="I15" s="1068"/>
      <c r="J15" s="1070"/>
      <c r="K15" s="1064"/>
      <c r="L15" s="307"/>
      <c r="M15" s="307"/>
      <c r="N15" s="307"/>
    </row>
    <row r="16" spans="1:19">
      <c r="B16" s="802" t="s">
        <v>85</v>
      </c>
      <c r="C16" s="2831">
        <v>47250</v>
      </c>
      <c r="D16" s="855">
        <v>51300</v>
      </c>
      <c r="E16" s="653">
        <f>SUM(C16:D16)</f>
        <v>98550</v>
      </c>
      <c r="F16" s="2858">
        <v>0.5</v>
      </c>
      <c r="G16" s="1663">
        <v>0.6</v>
      </c>
      <c r="H16" s="1663">
        <f>(F16+G16)/2</f>
        <v>0.55000000000000004</v>
      </c>
      <c r="I16" s="553" t="s">
        <v>86</v>
      </c>
      <c r="J16" s="1066"/>
      <c r="K16" s="1064"/>
      <c r="L16" s="307"/>
      <c r="M16" s="307"/>
      <c r="N16" s="307"/>
    </row>
    <row r="17" spans="2:19">
      <c r="B17" s="802" t="s">
        <v>89</v>
      </c>
      <c r="C17" s="2831">
        <v>1334</v>
      </c>
      <c r="D17" s="855">
        <v>1367.35</v>
      </c>
      <c r="E17" s="653">
        <f>SUM(C17:D17)</f>
        <v>2701.35</v>
      </c>
      <c r="F17" s="2859">
        <v>0</v>
      </c>
      <c r="G17" s="1663">
        <v>0</v>
      </c>
      <c r="H17" s="1663">
        <f>(F17+G17)/2</f>
        <v>0</v>
      </c>
      <c r="I17" s="553" t="s">
        <v>86</v>
      </c>
      <c r="J17" s="1066"/>
      <c r="K17" s="1064"/>
      <c r="L17" s="307"/>
      <c r="M17" s="307"/>
      <c r="N17" s="307"/>
    </row>
    <row r="18" spans="2:19">
      <c r="B18" s="802"/>
      <c r="C18" s="2848"/>
      <c r="D18" s="2368"/>
      <c r="E18" s="2369"/>
      <c r="F18" s="2860"/>
      <c r="G18" s="318"/>
      <c r="H18" s="318"/>
      <c r="I18" s="1068"/>
      <c r="J18" s="1066"/>
      <c r="K18" s="1064"/>
      <c r="L18" s="307"/>
      <c r="M18" s="355"/>
    </row>
    <row r="19" spans="2:19">
      <c r="B19" s="820" t="s">
        <v>483</v>
      </c>
      <c r="C19" s="2849">
        <v>1000</v>
      </c>
      <c r="D19" s="3274">
        <v>1000</v>
      </c>
      <c r="E19" s="653">
        <f>C19+D19</f>
        <v>2000</v>
      </c>
      <c r="F19" s="2861"/>
      <c r="G19" s="317"/>
      <c r="H19" s="318"/>
      <c r="I19" s="1068"/>
      <c r="J19" s="1066"/>
      <c r="K19" s="1064"/>
      <c r="L19" s="307"/>
      <c r="M19" s="307"/>
    </row>
    <row r="20" spans="2:19">
      <c r="B20" s="792" t="s">
        <v>90</v>
      </c>
      <c r="C20" s="2833">
        <v>0</v>
      </c>
      <c r="D20" s="855">
        <v>0</v>
      </c>
      <c r="E20" s="653">
        <f>SUM(C20:D20)</f>
        <v>0</v>
      </c>
      <c r="F20" s="2862"/>
      <c r="G20" s="328"/>
      <c r="H20" s="317"/>
      <c r="I20" s="1068"/>
      <c r="J20" s="1066"/>
      <c r="K20" s="1064"/>
      <c r="L20" s="307"/>
      <c r="M20" s="307"/>
      <c r="S20">
        <f>1095*3</f>
        <v>3285</v>
      </c>
    </row>
    <row r="21" spans="2:19">
      <c r="B21" s="802" t="s">
        <v>91</v>
      </c>
      <c r="C21" s="2850"/>
      <c r="D21" s="855"/>
      <c r="E21" s="653">
        <f>SUM(C21:D21)</f>
        <v>0</v>
      </c>
      <c r="F21" s="2863"/>
      <c r="G21" s="317"/>
      <c r="H21" s="328"/>
      <c r="I21" s="1068"/>
      <c r="J21" s="1075"/>
      <c r="K21" s="1064"/>
      <c r="L21" s="307"/>
      <c r="M21" s="307"/>
      <c r="S21">
        <f>S20/15</f>
        <v>219</v>
      </c>
    </row>
    <row r="22" spans="2:19">
      <c r="B22" s="802" t="s">
        <v>94</v>
      </c>
      <c r="C22" s="2833">
        <v>0</v>
      </c>
      <c r="D22" s="855">
        <v>0</v>
      </c>
      <c r="E22" s="653">
        <f>SUM(C22:D22)</f>
        <v>0</v>
      </c>
      <c r="F22" s="2861"/>
      <c r="G22" s="317"/>
      <c r="H22" s="317"/>
      <c r="I22" s="1064"/>
      <c r="J22" s="1065"/>
      <c r="K22" s="1064"/>
      <c r="L22" s="307"/>
      <c r="M22" s="307"/>
    </row>
    <row r="23" spans="2:19" s="1652" customFormat="1">
      <c r="B23" s="824" t="s">
        <v>534</v>
      </c>
      <c r="C23" s="2833"/>
      <c r="D23" s="855"/>
      <c r="E23" s="653">
        <f>SUM(C23:D23)</f>
        <v>0</v>
      </c>
      <c r="F23" s="2861"/>
      <c r="G23" s="393"/>
      <c r="H23" s="393"/>
      <c r="I23" s="1088"/>
      <c r="J23" s="1090"/>
      <c r="K23" s="1088"/>
      <c r="L23" s="1837"/>
      <c r="M23" s="1837"/>
    </row>
    <row r="24" spans="2:19" ht="15">
      <c r="B24" s="802" t="s">
        <v>97</v>
      </c>
      <c r="C24" s="2834"/>
      <c r="D24" s="1853"/>
      <c r="E24" s="1854">
        <f>SUM(C24:D24)</f>
        <v>0</v>
      </c>
      <c r="F24" s="2861"/>
      <c r="G24" s="317"/>
      <c r="H24" s="329"/>
      <c r="I24" s="1068"/>
      <c r="J24" s="1080"/>
      <c r="K24" s="1064"/>
      <c r="L24" s="307"/>
      <c r="M24" s="307"/>
    </row>
    <row r="25" spans="2:19">
      <c r="B25" s="792"/>
      <c r="C25" s="2835">
        <f>SUM(C19:C24)</f>
        <v>1000</v>
      </c>
      <c r="D25" s="1849">
        <f>SUM(D19:D24)</f>
        <v>1000</v>
      </c>
      <c r="E25" s="1833">
        <f>C25+D25</f>
        <v>2000</v>
      </c>
      <c r="F25" s="2861"/>
      <c r="G25" s="317"/>
      <c r="H25" s="329"/>
      <c r="I25" s="1073" t="s">
        <v>92</v>
      </c>
      <c r="J25" s="1078"/>
      <c r="K25" s="1071" t="s">
        <v>124</v>
      </c>
      <c r="L25" s="307"/>
      <c r="M25" s="307"/>
    </row>
    <row r="26" spans="2:19">
      <c r="B26" s="794"/>
      <c r="C26" s="2836"/>
      <c r="D26" s="2368"/>
      <c r="E26" s="2369"/>
      <c r="F26" s="2861"/>
      <c r="G26" s="317"/>
      <c r="H26" s="329"/>
      <c r="I26" s="1073" t="s">
        <v>95</v>
      </c>
      <c r="J26" s="1077"/>
      <c r="K26" s="1074" t="s">
        <v>125</v>
      </c>
      <c r="L26" s="307"/>
      <c r="M26" s="307"/>
    </row>
    <row r="27" spans="2:19">
      <c r="B27" s="798" t="s">
        <v>84</v>
      </c>
      <c r="C27" s="2835">
        <v>2000</v>
      </c>
      <c r="D27" s="2376">
        <v>2000</v>
      </c>
      <c r="E27" s="1833">
        <f>SUM(C27:D27)</f>
        <v>4000</v>
      </c>
      <c r="F27" s="2861"/>
      <c r="G27" s="317"/>
      <c r="H27" s="329"/>
      <c r="I27" s="1073" t="s">
        <v>98</v>
      </c>
      <c r="J27" s="1077"/>
      <c r="K27" s="1074" t="s">
        <v>125</v>
      </c>
      <c r="L27" s="307"/>
      <c r="M27" s="307"/>
    </row>
    <row r="28" spans="2:19">
      <c r="B28" s="794"/>
      <c r="C28" s="2833"/>
      <c r="D28" s="2371"/>
      <c r="E28" s="2369"/>
      <c r="F28" s="2861"/>
      <c r="G28" s="317"/>
      <c r="H28" s="329"/>
      <c r="I28" s="1072" t="s">
        <v>99</v>
      </c>
      <c r="J28" s="1079"/>
      <c r="K28" s="1074"/>
      <c r="L28" s="307"/>
      <c r="M28" s="307"/>
    </row>
    <row r="29" spans="2:19">
      <c r="B29" s="797" t="s">
        <v>87</v>
      </c>
      <c r="C29" s="2833">
        <v>1000</v>
      </c>
      <c r="D29" s="2370">
        <v>1000</v>
      </c>
      <c r="E29" s="653">
        <f>C29+D29</f>
        <v>2000</v>
      </c>
      <c r="F29" s="2864"/>
      <c r="G29" s="329"/>
      <c r="H29" s="329"/>
      <c r="I29" s="323"/>
      <c r="J29" s="332"/>
      <c r="K29" s="324"/>
      <c r="L29" s="307"/>
      <c r="M29" s="307"/>
    </row>
    <row r="30" spans="2:19">
      <c r="B30" s="792" t="s">
        <v>100</v>
      </c>
      <c r="C30" s="2836"/>
      <c r="D30" s="855"/>
      <c r="E30" s="653">
        <f>SUM(C30:D30)</f>
        <v>0</v>
      </c>
      <c r="F30" s="2864"/>
      <c r="G30" s="329"/>
      <c r="H30" s="329"/>
      <c r="I30" s="319"/>
      <c r="J30" s="307"/>
      <c r="K30" s="307"/>
      <c r="L30" s="307"/>
      <c r="M30" s="307"/>
    </row>
    <row r="31" spans="2:19" ht="15">
      <c r="B31" s="794" t="s">
        <v>102</v>
      </c>
      <c r="C31" s="2837"/>
      <c r="D31" s="1853"/>
      <c r="E31" s="1854">
        <f>SUM(C31:D31)</f>
        <v>0</v>
      </c>
      <c r="F31" s="2864"/>
      <c r="G31" s="329"/>
      <c r="H31" s="329"/>
      <c r="I31" s="319"/>
      <c r="J31" s="307"/>
      <c r="K31" s="307"/>
      <c r="L31" s="307"/>
      <c r="M31" s="307"/>
    </row>
    <row r="32" spans="2:19">
      <c r="B32" s="797" t="s">
        <v>103</v>
      </c>
      <c r="C32" s="2838">
        <f>SUM(C29:C31)</f>
        <v>1000</v>
      </c>
      <c r="D32" s="2377">
        <f>SUM(D29:D31)</f>
        <v>1000</v>
      </c>
      <c r="E32" s="1833">
        <f>SUM(E29:E31)</f>
        <v>2000</v>
      </c>
      <c r="F32" s="2864"/>
      <c r="G32" s="329"/>
      <c r="H32" s="329"/>
      <c r="I32" s="319"/>
      <c r="J32" s="307"/>
      <c r="K32" s="307"/>
      <c r="L32" s="307"/>
      <c r="M32" s="307"/>
    </row>
    <row r="33" spans="1:13">
      <c r="B33" s="794"/>
      <c r="C33" s="2836"/>
      <c r="D33" s="794"/>
      <c r="E33" s="810"/>
      <c r="F33" s="2864"/>
      <c r="G33" s="329"/>
      <c r="H33" s="329"/>
      <c r="I33" s="319"/>
      <c r="J33" s="307"/>
      <c r="K33" s="307"/>
      <c r="L33" s="307"/>
      <c r="M33" s="307"/>
    </row>
    <row r="34" spans="1:13" ht="25.5">
      <c r="A34" s="1389" t="s">
        <v>257</v>
      </c>
      <c r="B34" s="797" t="s">
        <v>88</v>
      </c>
      <c r="C34" s="2838">
        <v>9000</v>
      </c>
      <c r="D34" s="2378">
        <v>9000</v>
      </c>
      <c r="E34" s="1833">
        <f>SUM(C34:D34)</f>
        <v>18000</v>
      </c>
      <c r="F34" s="2864"/>
      <c r="G34" s="329"/>
      <c r="H34" s="329"/>
      <c r="I34" s="319"/>
    </row>
    <row r="35" spans="1:13">
      <c r="A35" s="1357" t="s">
        <v>258</v>
      </c>
      <c r="B35" s="794"/>
      <c r="C35" s="2836"/>
      <c r="D35" s="794"/>
      <c r="E35" s="810"/>
      <c r="F35" s="2865">
        <v>0.66700000000000004</v>
      </c>
      <c r="G35" s="2157" t="s">
        <v>659</v>
      </c>
      <c r="H35" s="329"/>
      <c r="I35" s="319"/>
    </row>
    <row r="36" spans="1:13" ht="25.5">
      <c r="A36" s="1389" t="s">
        <v>128</v>
      </c>
      <c r="B36" s="797" t="s">
        <v>9</v>
      </c>
      <c r="C36" s="2928">
        <f>ROUND(SUM(C16:C17)*F35, -2)</f>
        <v>32400</v>
      </c>
      <c r="D36" s="3017">
        <f>ROUND(D15*F36, -2)</f>
        <v>36200</v>
      </c>
      <c r="E36" s="653">
        <f>SUM(C36:D36)</f>
        <v>68600</v>
      </c>
      <c r="F36" s="3019">
        <v>0.68799999999999994</v>
      </c>
      <c r="G36" s="2144" t="s">
        <v>660</v>
      </c>
      <c r="H36" s="329"/>
      <c r="I36" s="319"/>
    </row>
    <row r="37" spans="1:13" s="1652" customFormat="1" ht="13.5" customHeight="1">
      <c r="A37" s="1663" t="s">
        <v>28</v>
      </c>
      <c r="B37" s="816" t="s">
        <v>1732</v>
      </c>
      <c r="C37" s="2836"/>
      <c r="D37" s="659">
        <f>D15*F37</f>
        <v>11060.1435</v>
      </c>
      <c r="E37" s="841">
        <f>C37+D37</f>
        <v>11060.1435</v>
      </c>
      <c r="F37" s="3015">
        <v>0.21</v>
      </c>
      <c r="G37" s="2144" t="s">
        <v>1735</v>
      </c>
      <c r="K37" s="1088"/>
    </row>
    <row r="38" spans="1:13" s="1567" customFormat="1" ht="13.5" customHeight="1">
      <c r="B38" s="3022" t="s">
        <v>231</v>
      </c>
      <c r="C38" s="2838"/>
      <c r="D38" s="2377">
        <f>D36+D37</f>
        <v>47260.143499999998</v>
      </c>
      <c r="E38" s="2382">
        <f>E36+E37</f>
        <v>79660.143500000006</v>
      </c>
      <c r="F38" s="3023"/>
      <c r="G38" s="3024"/>
      <c r="K38" s="946"/>
    </row>
    <row r="39" spans="1:13" s="1652" customFormat="1" ht="13.5" customHeight="1">
      <c r="B39" s="816"/>
      <c r="C39" s="2836"/>
      <c r="D39" s="659"/>
      <c r="E39" s="841"/>
      <c r="F39" s="3015"/>
      <c r="G39" s="2144"/>
      <c r="K39" s="1088"/>
    </row>
    <row r="40" spans="1:13">
      <c r="A40" s="1388"/>
      <c r="B40" s="794"/>
      <c r="C40" s="2836"/>
      <c r="D40" s="807"/>
      <c r="E40" s="812"/>
      <c r="H40" s="329"/>
      <c r="I40" s="319"/>
    </row>
    <row r="41" spans="1:13">
      <c r="B41" s="795" t="s">
        <v>11</v>
      </c>
      <c r="C41" s="2833">
        <v>12000</v>
      </c>
      <c r="D41" s="2372">
        <v>12000</v>
      </c>
      <c r="E41" s="812">
        <f>C41+D41</f>
        <v>24000</v>
      </c>
      <c r="F41" s="2864"/>
      <c r="G41" s="308"/>
      <c r="H41" s="329"/>
      <c r="I41" s="315"/>
    </row>
    <row r="42" spans="1:13">
      <c r="B42" s="806"/>
      <c r="C42" s="2833"/>
      <c r="D42" s="808"/>
      <c r="E42" s="811">
        <v>0</v>
      </c>
      <c r="F42" s="2864"/>
      <c r="G42" s="308"/>
      <c r="H42" s="329"/>
      <c r="I42" s="315"/>
    </row>
    <row r="43" spans="1:13">
      <c r="B43" s="1837" t="s">
        <v>535</v>
      </c>
      <c r="C43" s="2833"/>
      <c r="D43" s="808"/>
      <c r="E43" s="811">
        <f>SUM(C43:D43)</f>
        <v>0</v>
      </c>
      <c r="F43" s="2864"/>
      <c r="G43" s="308"/>
      <c r="H43" s="329"/>
      <c r="I43" s="315"/>
    </row>
    <row r="44" spans="1:13">
      <c r="B44" s="829" t="s">
        <v>529</v>
      </c>
      <c r="C44" s="2833"/>
      <c r="D44" s="808"/>
      <c r="E44" s="866">
        <f>SUM(C44:D44)</f>
        <v>0</v>
      </c>
      <c r="F44" s="2864"/>
      <c r="G44" s="308"/>
      <c r="H44" s="329"/>
      <c r="I44" s="315"/>
    </row>
    <row r="45" spans="1:13">
      <c r="B45" s="806" t="s">
        <v>116</v>
      </c>
      <c r="C45" s="2833"/>
      <c r="D45" s="808"/>
      <c r="E45" s="866">
        <f>SUM(C45:D45)</f>
        <v>0</v>
      </c>
      <c r="F45" s="2864"/>
      <c r="G45" s="330"/>
      <c r="H45" s="329"/>
      <c r="I45" s="315"/>
    </row>
    <row r="46" spans="1:13">
      <c r="B46" s="829" t="s">
        <v>536</v>
      </c>
      <c r="C46" s="2833"/>
      <c r="D46" s="808"/>
      <c r="E46" s="866">
        <f>SUM(C46:D46)</f>
        <v>0</v>
      </c>
      <c r="F46" s="2864"/>
      <c r="G46" s="330"/>
      <c r="H46" s="329"/>
      <c r="I46" s="315"/>
    </row>
    <row r="47" spans="1:13" ht="15">
      <c r="B47" s="829" t="s">
        <v>537</v>
      </c>
      <c r="C47" s="2834"/>
      <c r="D47" s="1855"/>
      <c r="E47" s="1856">
        <f>SUM(C47:D47)</f>
        <v>0</v>
      </c>
      <c r="F47" s="2866" t="s">
        <v>541</v>
      </c>
      <c r="G47" s="330"/>
      <c r="H47" s="329"/>
      <c r="I47" s="315"/>
    </row>
    <row r="48" spans="1:13">
      <c r="B48" s="828" t="s">
        <v>538</v>
      </c>
      <c r="C48" s="2835">
        <f>SUM(C41:C47)</f>
        <v>12000</v>
      </c>
      <c r="D48" s="1849">
        <f>SUM(D41:D47)</f>
        <v>12000</v>
      </c>
      <c r="E48" s="2379">
        <f>SUM(E41:E47)</f>
        <v>24000</v>
      </c>
      <c r="F48" s="2864"/>
      <c r="G48" s="330"/>
      <c r="H48" s="329"/>
      <c r="I48" s="315"/>
    </row>
    <row r="49" spans="2:10" ht="13.5" thickBot="1">
      <c r="B49" s="800"/>
      <c r="C49" s="2833"/>
      <c r="D49" s="808"/>
      <c r="E49" s="811"/>
      <c r="F49" s="2864"/>
      <c r="G49" s="330"/>
      <c r="H49" s="329"/>
      <c r="I49" s="315"/>
    </row>
    <row r="50" spans="2:10" ht="13.5" thickBot="1">
      <c r="B50" s="804" t="s">
        <v>108</v>
      </c>
      <c r="C50" s="2879">
        <f>C13+C15+C25+C27+C32+C34+C36+C48</f>
        <v>630984</v>
      </c>
      <c r="D50" s="1831">
        <f>D13+D15+D25+D27+D32+D34+D38+D48</f>
        <v>534927.49349999998</v>
      </c>
      <c r="E50" s="1844">
        <f>C50+D50</f>
        <v>1165911.4934999999</v>
      </c>
      <c r="F50" s="2864"/>
      <c r="G50" s="329"/>
      <c r="H50" s="329"/>
      <c r="I50" s="315"/>
    </row>
    <row r="51" spans="2:10">
      <c r="B51" s="796"/>
      <c r="C51" s="2840"/>
      <c r="D51" s="808"/>
      <c r="E51" s="808"/>
      <c r="F51" s="2864"/>
      <c r="G51" s="329"/>
      <c r="H51" s="329"/>
      <c r="I51" s="315"/>
    </row>
    <row r="52" spans="2:10">
      <c r="B52" s="1837" t="s">
        <v>126</v>
      </c>
      <c r="C52" s="2841">
        <v>2016</v>
      </c>
      <c r="D52" s="813">
        <v>2017</v>
      </c>
      <c r="E52" s="813" t="s">
        <v>20</v>
      </c>
      <c r="F52" s="2863"/>
      <c r="G52" s="331"/>
      <c r="H52" s="329"/>
      <c r="I52" s="315"/>
      <c r="J52" s="307"/>
    </row>
    <row r="53" spans="2:10" ht="25.5">
      <c r="B53" s="1843" t="s">
        <v>539</v>
      </c>
      <c r="C53" s="2852">
        <v>157500</v>
      </c>
      <c r="D53" s="1841">
        <v>100000</v>
      </c>
      <c r="E53" s="1841">
        <f>SUM(C53:D53)</f>
        <v>257500</v>
      </c>
      <c r="F53" s="2767"/>
      <c r="G53" s="321"/>
      <c r="H53" s="331"/>
      <c r="I53" s="320"/>
      <c r="J53" s="309"/>
    </row>
    <row r="54" spans="2:10" ht="15">
      <c r="B54" s="836" t="s">
        <v>540</v>
      </c>
      <c r="C54" s="2880">
        <v>0</v>
      </c>
      <c r="D54" s="1855">
        <v>0</v>
      </c>
      <c r="E54" s="1855">
        <f>SUM(C54:D54)</f>
        <v>0</v>
      </c>
      <c r="F54" s="2866" t="s">
        <v>541</v>
      </c>
      <c r="G54" s="321"/>
      <c r="H54" s="321"/>
      <c r="I54" s="321"/>
      <c r="J54" s="309"/>
    </row>
    <row r="55" spans="2:10">
      <c r="B55" s="1842" t="s">
        <v>20</v>
      </c>
      <c r="C55" s="2853">
        <f>SUM(C53:C54)</f>
        <v>157500</v>
      </c>
      <c r="D55" s="1840">
        <f>SUM(D53:D54)</f>
        <v>100000</v>
      </c>
      <c r="E55" s="805">
        <f>SUM(C55:D55)</f>
        <v>257500</v>
      </c>
      <c r="F55" s="2867" t="s">
        <v>71</v>
      </c>
      <c r="G55" s="321"/>
      <c r="H55" s="321"/>
      <c r="I55" s="321"/>
      <c r="J55" s="309"/>
    </row>
    <row r="56" spans="2:10">
      <c r="C56" s="2767"/>
      <c r="E56" s="321"/>
      <c r="F56" s="331"/>
      <c r="G56" s="321"/>
      <c r="H56" s="321"/>
      <c r="I56" s="321"/>
      <c r="J56" s="309"/>
    </row>
    <row r="57" spans="2:10" ht="15.75">
      <c r="B57" s="809" t="s">
        <v>112</v>
      </c>
      <c r="C57" s="2855">
        <f>C55/E55</f>
        <v>0.61165048543689315</v>
      </c>
      <c r="D57" s="814">
        <f>D55/E55</f>
        <v>0.38834951456310679</v>
      </c>
      <c r="E57" s="322"/>
      <c r="F57" s="331"/>
      <c r="G57" s="321"/>
      <c r="H57" s="321"/>
      <c r="I57" s="321"/>
      <c r="J57" s="309"/>
    </row>
    <row r="58" spans="2:10">
      <c r="B58" s="309"/>
      <c r="C58" s="309"/>
      <c r="D58" s="309"/>
      <c r="E58" s="309"/>
      <c r="F58" s="331"/>
      <c r="G58" s="321"/>
      <c r="H58" s="321"/>
      <c r="I58" s="321"/>
      <c r="J58" s="309"/>
    </row>
    <row r="59" spans="2:10" ht="20.25">
      <c r="B59" s="391"/>
      <c r="C59" s="309"/>
      <c r="D59" s="309"/>
      <c r="E59" s="309"/>
      <c r="F59" s="331"/>
      <c r="G59" s="331"/>
      <c r="H59" s="321"/>
      <c r="I59" s="321"/>
      <c r="J59" s="309"/>
    </row>
    <row r="60" spans="2:10">
      <c r="B60" s="309"/>
      <c r="C60" s="309"/>
      <c r="D60" s="309"/>
      <c r="E60" s="309"/>
      <c r="F60" s="309"/>
      <c r="G60" s="312"/>
      <c r="H60" s="331"/>
      <c r="I60" s="321"/>
      <c r="J60" s="309"/>
    </row>
    <row r="61" spans="2:10">
      <c r="B61" s="309"/>
      <c r="C61" s="310"/>
      <c r="D61" s="310"/>
      <c r="E61" s="310"/>
      <c r="F61" s="309"/>
      <c r="G61" s="310"/>
      <c r="H61" s="331"/>
      <c r="I61" s="320"/>
      <c r="J61" s="309"/>
    </row>
    <row r="62" spans="2:10">
      <c r="B62" s="311"/>
      <c r="C62" s="343"/>
      <c r="D62" s="343"/>
      <c r="E62" s="343"/>
      <c r="F62" s="309"/>
      <c r="G62" s="344"/>
      <c r="H62" s="331"/>
      <c r="I62" s="320"/>
      <c r="J62" s="309"/>
    </row>
    <row r="63" spans="2:10">
      <c r="B63" s="311"/>
      <c r="C63" s="343"/>
      <c r="D63" s="343"/>
      <c r="E63" s="343"/>
      <c r="F63" s="309"/>
      <c r="G63" s="344"/>
      <c r="H63" s="331"/>
      <c r="I63" s="320"/>
      <c r="J63" s="309"/>
    </row>
    <row r="64" spans="2:10">
      <c r="B64" s="311"/>
      <c r="C64" s="343"/>
      <c r="D64" s="343"/>
      <c r="E64" s="343"/>
      <c r="F64" s="309"/>
      <c r="G64" s="344"/>
      <c r="H64" s="331"/>
      <c r="I64" s="320"/>
      <c r="J64" s="309"/>
    </row>
    <row r="65" spans="2:10">
      <c r="B65" s="311"/>
      <c r="C65" s="343"/>
      <c r="D65" s="343"/>
      <c r="E65" s="343"/>
      <c r="F65" s="309"/>
      <c r="G65" s="344"/>
      <c r="H65" s="331"/>
      <c r="I65" s="320"/>
      <c r="J65" s="309"/>
    </row>
    <row r="66" spans="2:10">
      <c r="B66" s="311"/>
      <c r="C66" s="343"/>
      <c r="D66" s="343"/>
      <c r="E66" s="343"/>
      <c r="F66" s="309"/>
      <c r="G66" s="344"/>
      <c r="H66" s="331"/>
      <c r="I66" s="320"/>
      <c r="J66" s="309"/>
    </row>
    <row r="67" spans="2:10">
      <c r="B67" s="311"/>
      <c r="C67" s="343"/>
      <c r="D67" s="343"/>
      <c r="E67" s="343"/>
      <c r="F67" s="309"/>
      <c r="G67" s="344"/>
      <c r="H67" s="331"/>
      <c r="I67" s="320"/>
      <c r="J67" s="309"/>
    </row>
    <row r="68" spans="2:10">
      <c r="B68" s="309"/>
      <c r="C68" s="336"/>
      <c r="D68" s="336"/>
      <c r="E68" s="336"/>
      <c r="F68" s="309"/>
      <c r="G68" s="345"/>
      <c r="H68" s="331"/>
      <c r="I68" s="320"/>
      <c r="J68" s="309"/>
    </row>
    <row r="69" spans="2:10">
      <c r="B69" s="309"/>
      <c r="C69" s="309"/>
      <c r="D69" s="309"/>
      <c r="E69" s="309"/>
      <c r="F69" s="331"/>
      <c r="G69" s="331"/>
      <c r="H69" s="331"/>
      <c r="I69" s="320"/>
      <c r="J69" s="309"/>
    </row>
    <row r="70" spans="2:10" ht="18">
      <c r="B70" s="342"/>
      <c r="C70" s="309"/>
      <c r="D70" s="309"/>
      <c r="E70" s="309"/>
      <c r="F70" s="331"/>
      <c r="G70" s="346"/>
      <c r="H70" s="331"/>
      <c r="I70" s="320"/>
      <c r="J70" s="309"/>
    </row>
    <row r="71" spans="2:10">
      <c r="B71" s="309"/>
      <c r="C71" s="309"/>
      <c r="D71" s="309"/>
      <c r="E71" s="309"/>
      <c r="F71" s="331"/>
      <c r="G71" s="334"/>
      <c r="H71" s="331"/>
      <c r="I71" s="320"/>
      <c r="J71" s="309"/>
    </row>
    <row r="72" spans="2:10" ht="18.75">
      <c r="B72" s="347"/>
      <c r="C72" s="346"/>
      <c r="D72" s="346"/>
      <c r="E72" s="346"/>
      <c r="F72" s="346"/>
      <c r="G72" s="333"/>
      <c r="H72" s="331"/>
      <c r="I72" s="320"/>
      <c r="J72" s="309"/>
    </row>
    <row r="73" spans="2:10">
      <c r="B73" s="348"/>
      <c r="C73" s="349"/>
      <c r="D73" s="349"/>
      <c r="E73" s="349"/>
      <c r="F73" s="338"/>
      <c r="G73" s="339"/>
      <c r="H73" s="331"/>
      <c r="I73" s="320"/>
      <c r="J73" s="309"/>
    </row>
    <row r="74" spans="2:10">
      <c r="B74" s="348"/>
      <c r="C74" s="349"/>
      <c r="D74" s="349"/>
      <c r="E74" s="349"/>
      <c r="F74" s="338"/>
      <c r="G74" s="340"/>
      <c r="H74" s="331"/>
      <c r="I74" s="320"/>
      <c r="J74" s="309"/>
    </row>
    <row r="75" spans="2:10">
      <c r="B75" s="348"/>
      <c r="C75" s="349"/>
      <c r="D75" s="349"/>
      <c r="E75" s="349"/>
      <c r="F75" s="338"/>
      <c r="G75" s="341"/>
      <c r="H75" s="331"/>
      <c r="I75" s="320"/>
      <c r="J75" s="309"/>
    </row>
    <row r="76" spans="2:10">
      <c r="B76" s="348"/>
      <c r="C76" s="349"/>
      <c r="D76" s="349"/>
      <c r="E76" s="349"/>
      <c r="F76" s="338"/>
      <c r="G76" s="341"/>
      <c r="H76" s="331"/>
      <c r="I76" s="320"/>
      <c r="J76" s="309"/>
    </row>
    <row r="77" spans="2:10">
      <c r="B77" s="348"/>
      <c r="C77" s="349"/>
      <c r="D77" s="349"/>
      <c r="E77" s="349"/>
      <c r="F77" s="338"/>
      <c r="G77" s="321"/>
      <c r="H77" s="331"/>
      <c r="I77" s="320"/>
      <c r="J77" s="309"/>
    </row>
    <row r="78" spans="2:10" ht="18">
      <c r="B78" s="348"/>
      <c r="C78" s="349"/>
      <c r="D78" s="349"/>
      <c r="E78" s="349"/>
      <c r="F78" s="338"/>
      <c r="G78" s="346"/>
      <c r="H78" s="331"/>
      <c r="I78" s="320"/>
      <c r="J78" s="309"/>
    </row>
    <row r="79" spans="2:10">
      <c r="B79" s="309"/>
      <c r="C79" s="309"/>
      <c r="D79" s="309"/>
      <c r="E79" s="309"/>
      <c r="F79" s="321"/>
      <c r="G79" s="334"/>
      <c r="H79" s="331"/>
      <c r="I79" s="320"/>
      <c r="J79" s="309"/>
    </row>
    <row r="80" spans="2:10" ht="18">
      <c r="B80" s="350"/>
      <c r="C80" s="346"/>
      <c r="D80" s="346"/>
      <c r="E80" s="346"/>
      <c r="F80" s="346"/>
      <c r="G80" s="333"/>
      <c r="H80" s="321"/>
      <c r="I80" s="321"/>
      <c r="J80" s="309"/>
    </row>
    <row r="81" spans="2:10">
      <c r="B81" s="3601"/>
      <c r="C81" s="3602"/>
      <c r="D81" s="3602"/>
      <c r="E81" s="3602"/>
      <c r="F81" s="3602"/>
      <c r="G81" s="339"/>
      <c r="H81" s="321"/>
      <c r="I81" s="321"/>
      <c r="J81" s="309"/>
    </row>
    <row r="82" spans="2:10">
      <c r="B82" s="3601"/>
      <c r="C82" s="3602"/>
      <c r="D82" s="3602"/>
      <c r="E82" s="3602"/>
      <c r="F82" s="3602"/>
      <c r="G82" s="351"/>
      <c r="H82" s="321"/>
      <c r="I82" s="321"/>
      <c r="J82" s="309"/>
    </row>
    <row r="83" spans="2:10">
      <c r="B83" s="3601"/>
      <c r="C83" s="3602"/>
      <c r="D83" s="3602"/>
      <c r="E83" s="3602"/>
      <c r="F83" s="3602"/>
      <c r="G83" s="351"/>
      <c r="H83" s="321"/>
      <c r="I83" s="321"/>
      <c r="J83" s="309"/>
    </row>
    <row r="84" spans="2:10">
      <c r="B84" s="3601"/>
      <c r="C84" s="3602"/>
      <c r="D84" s="3602"/>
      <c r="E84" s="3602"/>
      <c r="F84" s="3602"/>
      <c r="G84" s="351"/>
      <c r="H84" s="321"/>
      <c r="I84" s="321"/>
      <c r="J84" s="309"/>
    </row>
    <row r="85" spans="2:10">
      <c r="B85" s="3601"/>
      <c r="C85" s="3602"/>
      <c r="D85" s="3602"/>
      <c r="E85" s="3602"/>
      <c r="F85" s="3602"/>
      <c r="G85" s="309"/>
      <c r="H85" s="321"/>
      <c r="I85" s="321"/>
      <c r="J85" s="309"/>
    </row>
    <row r="86" spans="2:10" ht="15.75">
      <c r="B86" s="3601"/>
      <c r="C86" s="3602"/>
      <c r="D86" s="3602"/>
      <c r="E86" s="3602"/>
      <c r="F86" s="3602"/>
      <c r="G86" s="333"/>
      <c r="H86" s="322"/>
      <c r="I86" s="322"/>
      <c r="J86" s="309"/>
    </row>
    <row r="87" spans="2:10">
      <c r="B87" s="309"/>
      <c r="C87" s="309"/>
      <c r="D87" s="309"/>
      <c r="E87" s="309"/>
      <c r="F87" s="309"/>
      <c r="G87" s="334"/>
      <c r="H87" s="309"/>
      <c r="I87" s="309"/>
      <c r="J87" s="309"/>
    </row>
    <row r="88" spans="2:10">
      <c r="B88" s="309"/>
      <c r="C88" s="337"/>
      <c r="D88" s="337"/>
      <c r="E88" s="337"/>
      <c r="F88" s="309"/>
      <c r="G88" s="333"/>
      <c r="H88" s="309"/>
      <c r="I88" s="309"/>
      <c r="J88" s="309"/>
    </row>
    <row r="89" spans="2:10">
      <c r="B89" s="309"/>
      <c r="C89" s="337"/>
      <c r="D89" s="337"/>
      <c r="E89" s="337"/>
      <c r="F89" s="309"/>
      <c r="G89" s="309"/>
      <c r="H89" s="309"/>
      <c r="I89" s="309"/>
      <c r="J89" s="309"/>
    </row>
    <row r="90" spans="2:10">
      <c r="B90" s="309"/>
      <c r="C90" s="309"/>
      <c r="D90" s="309"/>
      <c r="E90" s="309"/>
      <c r="F90" s="309"/>
      <c r="G90" s="309"/>
      <c r="H90" s="309"/>
      <c r="I90" s="309"/>
      <c r="J90" s="309"/>
    </row>
    <row r="91" spans="2:10">
      <c r="B91" s="309"/>
      <c r="C91" s="309"/>
      <c r="D91" s="309"/>
      <c r="E91" s="309"/>
      <c r="F91" s="309"/>
      <c r="G91" s="309"/>
      <c r="H91" s="309"/>
      <c r="I91" s="309"/>
      <c r="J91" s="309"/>
    </row>
    <row r="92" spans="2:10">
      <c r="B92" s="309"/>
      <c r="C92" s="309"/>
      <c r="D92" s="309"/>
      <c r="E92" s="309"/>
      <c r="F92" s="309"/>
      <c r="G92" s="309"/>
      <c r="H92" s="309"/>
      <c r="I92" s="309"/>
      <c r="J92" s="309"/>
    </row>
    <row r="93" spans="2:10">
      <c r="B93" s="309"/>
      <c r="C93" s="309"/>
      <c r="D93" s="309"/>
      <c r="E93" s="309"/>
      <c r="F93" s="309"/>
      <c r="G93" s="309"/>
      <c r="H93" s="309"/>
      <c r="I93" s="309"/>
      <c r="J93" s="309"/>
    </row>
    <row r="94" spans="2:10">
      <c r="B94" s="342"/>
      <c r="C94" s="309"/>
      <c r="D94" s="309"/>
      <c r="E94" s="309"/>
      <c r="F94" s="309"/>
      <c r="G94" s="309"/>
      <c r="H94" s="309"/>
      <c r="I94" s="309"/>
      <c r="J94" s="309"/>
    </row>
    <row r="95" spans="2:10">
      <c r="B95" s="309"/>
      <c r="C95" s="309"/>
      <c r="D95" s="309"/>
      <c r="E95" s="309"/>
      <c r="F95" s="309"/>
      <c r="G95" s="309"/>
      <c r="H95" s="309"/>
      <c r="I95" s="309"/>
      <c r="J95" s="309"/>
    </row>
    <row r="96" spans="2:10">
      <c r="B96" s="309"/>
      <c r="C96" s="309"/>
      <c r="D96" s="309"/>
      <c r="E96" s="309"/>
      <c r="F96" s="309"/>
      <c r="G96" s="309"/>
      <c r="H96" s="309"/>
      <c r="I96" s="309"/>
      <c r="J96" s="309"/>
    </row>
    <row r="97" spans="2:10">
      <c r="B97" s="309"/>
      <c r="C97" s="309"/>
      <c r="D97" s="309"/>
      <c r="E97" s="309"/>
      <c r="F97" s="309"/>
      <c r="G97" s="309"/>
      <c r="H97" s="309"/>
      <c r="I97" s="309"/>
      <c r="J97" s="309"/>
    </row>
    <row r="98" spans="2:10">
      <c r="B98" s="309"/>
      <c r="C98" s="309"/>
      <c r="D98" s="309"/>
      <c r="E98" s="309"/>
      <c r="F98" s="309"/>
      <c r="G98" s="309"/>
      <c r="H98" s="309"/>
      <c r="I98" s="309"/>
      <c r="J98" s="309"/>
    </row>
    <row r="99" spans="2:10">
      <c r="B99" s="309"/>
      <c r="C99" s="309"/>
      <c r="D99" s="309"/>
      <c r="E99" s="309"/>
      <c r="F99" s="309"/>
      <c r="G99" s="309"/>
      <c r="H99" s="309"/>
      <c r="I99" s="309"/>
      <c r="J99" s="309"/>
    </row>
    <row r="100" spans="2:10">
      <c r="B100" s="309"/>
      <c r="C100" s="309"/>
      <c r="D100" s="309"/>
      <c r="E100" s="309"/>
      <c r="F100" s="309"/>
      <c r="G100" s="309"/>
      <c r="H100" s="309"/>
      <c r="I100" s="309"/>
      <c r="J100" s="309"/>
    </row>
    <row r="101" spans="2:10">
      <c r="B101" s="309"/>
      <c r="C101" s="309"/>
      <c r="D101" s="309"/>
      <c r="E101" s="309"/>
      <c r="F101" s="309"/>
      <c r="G101" s="309"/>
      <c r="H101" s="309"/>
      <c r="I101" s="309"/>
      <c r="J101" s="309"/>
    </row>
    <row r="102" spans="2:10">
      <c r="B102" s="309"/>
      <c r="C102" s="309"/>
      <c r="D102" s="309"/>
      <c r="E102" s="309"/>
      <c r="F102" s="309"/>
      <c r="G102" s="309"/>
      <c r="H102" s="309"/>
      <c r="I102" s="309"/>
      <c r="J102" s="309"/>
    </row>
    <row r="103" spans="2:10">
      <c r="B103" s="309"/>
      <c r="C103" s="309"/>
      <c r="D103" s="309"/>
      <c r="E103" s="309"/>
      <c r="F103" s="309"/>
      <c r="G103" s="309"/>
      <c r="H103" s="309"/>
      <c r="I103" s="309"/>
      <c r="J103" s="309"/>
    </row>
    <row r="104" spans="2:10">
      <c r="B104" s="309"/>
      <c r="C104" s="309"/>
      <c r="D104" s="309"/>
      <c r="E104" s="309"/>
      <c r="F104" s="309"/>
      <c r="G104" s="309"/>
      <c r="H104" s="309"/>
      <c r="I104" s="309"/>
      <c r="J104" s="309"/>
    </row>
    <row r="105" spans="2:10">
      <c r="B105" s="309"/>
      <c r="C105" s="309"/>
      <c r="D105" s="309"/>
      <c r="E105" s="309"/>
      <c r="F105" s="309"/>
      <c r="G105" s="309"/>
      <c r="H105" s="309"/>
      <c r="I105" s="309"/>
      <c r="J105" s="309"/>
    </row>
    <row r="106" spans="2:10">
      <c r="B106" s="309"/>
      <c r="C106" s="309"/>
      <c r="D106" s="309"/>
      <c r="E106" s="309"/>
      <c r="F106" s="309"/>
      <c r="G106" s="309"/>
      <c r="H106" s="309"/>
      <c r="I106" s="309"/>
      <c r="J106" s="309"/>
    </row>
    <row r="107" spans="2:10">
      <c r="B107" s="309"/>
      <c r="C107" s="309"/>
      <c r="D107" s="309"/>
      <c r="E107" s="309"/>
      <c r="F107" s="309"/>
      <c r="G107" s="309"/>
      <c r="H107" s="309"/>
      <c r="I107" s="309"/>
      <c r="J107" s="309"/>
    </row>
    <row r="108" spans="2:10">
      <c r="B108" s="309"/>
      <c r="C108" s="309"/>
      <c r="D108" s="309"/>
      <c r="E108" s="309"/>
      <c r="F108" s="309"/>
      <c r="G108" s="309"/>
      <c r="H108" s="309"/>
      <c r="I108" s="309"/>
      <c r="J108" s="309"/>
    </row>
    <row r="109" spans="2:10">
      <c r="B109" s="309"/>
      <c r="C109" s="309"/>
      <c r="D109" s="309"/>
      <c r="E109" s="309"/>
      <c r="F109" s="309"/>
      <c r="G109" s="309"/>
      <c r="H109" s="309"/>
      <c r="I109" s="309"/>
      <c r="J109" s="309"/>
    </row>
    <row r="110" spans="2:10">
      <c r="B110" s="309"/>
      <c r="C110" s="309"/>
      <c r="D110" s="309"/>
      <c r="E110" s="309"/>
      <c r="F110" s="309"/>
      <c r="G110" s="309"/>
      <c r="H110" s="309"/>
      <c r="I110" s="309"/>
      <c r="J110" s="309"/>
    </row>
    <row r="111" spans="2:10">
      <c r="B111" s="309"/>
      <c r="C111" s="309"/>
      <c r="D111" s="309"/>
      <c r="E111" s="309"/>
      <c r="F111" s="309"/>
      <c r="G111" s="309"/>
      <c r="H111" s="309"/>
      <c r="I111" s="309"/>
      <c r="J111" s="309"/>
    </row>
    <row r="112" spans="2:10">
      <c r="B112" s="309"/>
      <c r="C112" s="309"/>
      <c r="D112" s="309"/>
      <c r="E112" s="309"/>
      <c r="F112" s="309"/>
      <c r="G112" s="309"/>
      <c r="H112" s="309"/>
      <c r="I112" s="309"/>
      <c r="J112" s="309"/>
    </row>
    <row r="113" spans="2:10">
      <c r="B113" s="309"/>
      <c r="C113" s="309"/>
      <c r="D113" s="309"/>
      <c r="E113" s="309"/>
      <c r="F113" s="309"/>
      <c r="G113" s="309"/>
      <c r="H113" s="309"/>
      <c r="I113" s="309"/>
      <c r="J113" s="309"/>
    </row>
    <row r="114" spans="2:10">
      <c r="B114" s="309"/>
      <c r="C114" s="309"/>
      <c r="D114" s="309"/>
      <c r="E114" s="309"/>
      <c r="F114" s="309"/>
      <c r="G114" s="309"/>
      <c r="H114" s="309"/>
      <c r="I114" s="309"/>
      <c r="J114" s="309"/>
    </row>
    <row r="115" spans="2:10">
      <c r="B115" s="309"/>
      <c r="C115" s="309"/>
      <c r="D115" s="309"/>
      <c r="E115" s="309"/>
      <c r="F115" s="309"/>
      <c r="G115" s="309"/>
      <c r="H115" s="309"/>
      <c r="I115" s="309"/>
      <c r="J115" s="309"/>
    </row>
    <row r="116" spans="2:10">
      <c r="H116" s="309"/>
      <c r="I116" s="309"/>
      <c r="J116" s="309"/>
    </row>
  </sheetData>
  <customSheetViews>
    <customSheetView guid="{D9EFFE19-D14B-4C6F-BDF4-FF696F73968D}" showGridLines="0">
      <pane xSplit="1" ySplit="1" topLeftCell="B2" activePane="bottomRight" state="frozen"/>
      <selection pane="bottomRight" activeCell="A14" sqref="A14:XFD14"/>
      <pageMargins left="0.32" right="0.45" top="0.4" bottom="0.75" header="0.3" footer="0.3"/>
      <pageSetup paperSize="17" scale="65" orientation="landscape" r:id="rId1"/>
    </customSheetView>
    <customSheetView guid="{074EB09C-6289-46D7-9513-012B68BCA7BF}" showGridLines="0">
      <pane xSplit="1" ySplit="1" topLeftCell="B2" activePane="bottomRight" state="frozen"/>
      <selection pane="bottomRight" activeCell="G4" sqref="G4:G6"/>
      <pageMargins left="0.32" right="0.45" top="0.4" bottom="0.75" header="0.3" footer="0.3"/>
      <pageSetup paperSize="17" scale="65" orientation="landscape" r:id="rId2"/>
    </customSheetView>
  </customSheetViews>
  <mergeCells count="6">
    <mergeCell ref="B81:F81"/>
    <mergeCell ref="B86:F86"/>
    <mergeCell ref="B82:F82"/>
    <mergeCell ref="B83:F83"/>
    <mergeCell ref="B84:F84"/>
    <mergeCell ref="B85:F85"/>
  </mergeCells>
  <pageMargins left="0.32" right="0.45" top="0.4" bottom="0.75" header="0.3" footer="0.3"/>
  <pageSetup paperSize="3" scale="47" orientation="landscape" r:id="rId3"/>
  <ignoredErrors>
    <ignoredError sqref="C55:D55" formulaRange="1"/>
  </ignoredErrors>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FABF8F"/>
  </sheetPr>
  <dimension ref="A1:S102"/>
  <sheetViews>
    <sheetView showGridLines="0" zoomScaleNormal="100" workbookViewId="0">
      <pane xSplit="1" ySplit="1" topLeftCell="K2" activePane="bottomRight" state="frozen"/>
      <selection pane="topRight" activeCell="B1" sqref="B1"/>
      <selection pane="bottomLeft" activeCell="A2" sqref="A2"/>
      <selection pane="bottomRight" activeCell="J6" sqref="J6"/>
    </sheetView>
  </sheetViews>
  <sheetFormatPr defaultColWidth="58" defaultRowHeight="12.75"/>
  <cols>
    <col min="1" max="1" width="18.140625" style="849" customWidth="1"/>
    <col min="3" max="5" width="23" customWidth="1"/>
    <col min="6" max="6" width="21.28515625" customWidth="1"/>
    <col min="7" max="7" width="21" customWidth="1"/>
    <col min="8" max="8" width="25.42578125" customWidth="1"/>
    <col min="9" max="9" width="24" customWidth="1"/>
    <col min="10" max="10" width="23.85546875" customWidth="1"/>
    <col min="11" max="11" width="22.85546875" customWidth="1"/>
    <col min="12" max="12" width="21.85546875" customWidth="1"/>
    <col min="13" max="13" width="22" customWidth="1"/>
    <col min="14" max="14" width="20.85546875" customWidth="1"/>
    <col min="15" max="15" width="25" customWidth="1"/>
    <col min="16" max="16" width="26.5703125" customWidth="1"/>
    <col min="17" max="17" width="26.85546875" customWidth="1"/>
    <col min="18" max="18" width="26.5703125" customWidth="1"/>
    <col min="19" max="19" width="25.7109375" customWidth="1"/>
  </cols>
  <sheetData>
    <row r="1" spans="1:19" ht="59.25" customHeight="1">
      <c r="B1" s="1384" t="s">
        <v>138</v>
      </c>
      <c r="C1" s="1361" t="s">
        <v>259</v>
      </c>
      <c r="D1" s="1384" t="s">
        <v>127</v>
      </c>
      <c r="E1" s="1359" t="s">
        <v>28</v>
      </c>
      <c r="H1" s="1361"/>
      <c r="I1" s="278"/>
      <c r="J1" s="259"/>
      <c r="K1" s="1384" t="s">
        <v>138</v>
      </c>
      <c r="L1" s="1361" t="s">
        <v>259</v>
      </c>
      <c r="M1" s="1384" t="s">
        <v>127</v>
      </c>
      <c r="N1" s="1359" t="s">
        <v>28</v>
      </c>
    </row>
    <row r="2" spans="1:19" ht="21" thickBot="1">
      <c r="B2" s="265"/>
      <c r="C2" s="277"/>
      <c r="D2" s="277"/>
      <c r="E2" s="277"/>
      <c r="F2" s="277"/>
      <c r="G2" s="285"/>
      <c r="H2" s="278"/>
      <c r="I2" s="278"/>
      <c r="J2" s="259"/>
      <c r="K2" s="259"/>
      <c r="L2" s="259"/>
      <c r="M2" s="259"/>
      <c r="N2" s="259"/>
    </row>
    <row r="3" spans="1:19" ht="38.25">
      <c r="A3" s="1389" t="s">
        <v>138</v>
      </c>
      <c r="G3" s="944"/>
      <c r="H3" s="2691" t="s">
        <v>7</v>
      </c>
      <c r="I3" s="2692" t="s">
        <v>8</v>
      </c>
      <c r="J3" s="2692" t="s">
        <v>77</v>
      </c>
      <c r="K3" s="2692" t="s">
        <v>10</v>
      </c>
      <c r="L3" s="2692" t="s">
        <v>482</v>
      </c>
      <c r="M3" s="2692" t="s">
        <v>11</v>
      </c>
      <c r="N3" s="2692" t="s">
        <v>12</v>
      </c>
      <c r="O3" s="2692" t="s">
        <v>13</v>
      </c>
      <c r="P3" s="2692" t="s">
        <v>78</v>
      </c>
      <c r="Q3" s="2692" t="s">
        <v>36</v>
      </c>
      <c r="R3" s="2692" t="s">
        <v>15</v>
      </c>
      <c r="S3" s="2693" t="s">
        <v>37</v>
      </c>
    </row>
    <row r="4" spans="1:19" ht="26.25">
      <c r="A4" s="1389" t="s">
        <v>127</v>
      </c>
      <c r="G4" s="2946" t="s">
        <v>1726</v>
      </c>
      <c r="H4" s="2972">
        <f>C17</f>
        <v>161100</v>
      </c>
      <c r="I4" s="2973">
        <f>C18</f>
        <v>0</v>
      </c>
      <c r="J4" s="2973">
        <f>C37</f>
        <v>107500</v>
      </c>
      <c r="K4" s="2973">
        <f>C35</f>
        <v>0</v>
      </c>
      <c r="L4" s="2973">
        <f>C26</f>
        <v>8000</v>
      </c>
      <c r="M4" s="2973">
        <f>C48</f>
        <v>40000</v>
      </c>
      <c r="N4" s="2973">
        <f>C33</f>
        <v>1000</v>
      </c>
      <c r="O4" s="2973">
        <f>C28</f>
        <v>5000</v>
      </c>
      <c r="P4" s="2973">
        <f>C12</f>
        <v>155000</v>
      </c>
      <c r="Q4" s="2973"/>
      <c r="R4" s="2978">
        <f>SUM(H4:P4)</f>
        <v>477600</v>
      </c>
      <c r="S4" s="2975">
        <f>C55</f>
        <v>500000</v>
      </c>
    </row>
    <row r="5" spans="1:19" ht="15.75">
      <c r="A5" s="1357" t="s">
        <v>259</v>
      </c>
      <c r="G5" s="3205" t="s">
        <v>1753</v>
      </c>
      <c r="H5" s="2694">
        <v>165000</v>
      </c>
      <c r="I5" s="2695">
        <v>0</v>
      </c>
      <c r="J5" s="2695">
        <v>112200</v>
      </c>
      <c r="K5" s="2695">
        <v>0</v>
      </c>
      <c r="L5" s="2695">
        <v>8000</v>
      </c>
      <c r="M5" s="2695">
        <v>40000</v>
      </c>
      <c r="N5" s="2696">
        <v>1000</v>
      </c>
      <c r="O5" s="2696">
        <v>5000</v>
      </c>
      <c r="P5" s="2162">
        <v>155000</v>
      </c>
      <c r="Q5" s="2162"/>
      <c r="R5" s="2163">
        <v>486200</v>
      </c>
      <c r="S5" s="2697">
        <v>550000</v>
      </c>
    </row>
    <row r="6" spans="1:19" ht="16.5" thickBot="1">
      <c r="A6" s="1391" t="s">
        <v>28</v>
      </c>
      <c r="G6" s="3206" t="s">
        <v>1754</v>
      </c>
      <c r="H6" s="2698">
        <f>D17</f>
        <v>165000</v>
      </c>
      <c r="I6" s="2699">
        <f>D18</f>
        <v>0</v>
      </c>
      <c r="J6" s="2699">
        <f>D39</f>
        <v>148150</v>
      </c>
      <c r="K6" s="2699">
        <f>D35</f>
        <v>0</v>
      </c>
      <c r="L6" s="2699">
        <f>D26</f>
        <v>8000</v>
      </c>
      <c r="M6" s="2699">
        <f>D48</f>
        <v>40000</v>
      </c>
      <c r="N6" s="2700">
        <f>D33</f>
        <v>1000</v>
      </c>
      <c r="O6" s="2700">
        <f>D28</f>
        <v>5000</v>
      </c>
      <c r="P6" s="2701">
        <f>D12</f>
        <v>155000</v>
      </c>
      <c r="Q6" s="2701"/>
      <c r="R6" s="2164">
        <f>SUM(H6:P6)</f>
        <v>522150</v>
      </c>
      <c r="S6" s="2702">
        <f>D55</f>
        <v>550000</v>
      </c>
    </row>
    <row r="7" spans="1:19" s="1173" customFormat="1">
      <c r="G7" s="1842"/>
      <c r="H7" s="2689"/>
      <c r="I7" s="2689"/>
      <c r="J7" s="2689"/>
      <c r="K7" s="2689"/>
      <c r="L7" s="2689"/>
      <c r="M7" s="2689"/>
      <c r="N7" s="2689"/>
      <c r="O7" s="2689"/>
      <c r="P7" s="2689"/>
      <c r="Q7" s="2689"/>
      <c r="R7" s="2689"/>
      <c r="S7" s="2690"/>
    </row>
    <row r="8" spans="1:19" ht="20.25">
      <c r="A8" s="1357"/>
      <c r="B8" s="265"/>
      <c r="C8" s="277"/>
      <c r="D8" s="277"/>
      <c r="E8" s="277"/>
      <c r="F8" s="277"/>
      <c r="G8" s="285"/>
      <c r="H8" s="278"/>
      <c r="I8" s="278"/>
      <c r="J8" s="259"/>
      <c r="K8" s="259"/>
      <c r="L8" s="259"/>
      <c r="M8" s="259"/>
      <c r="N8" s="268"/>
    </row>
    <row r="9" spans="1:19" ht="18">
      <c r="C9" s="285"/>
      <c r="D9" s="285"/>
      <c r="E9" s="285"/>
      <c r="F9" s="276"/>
      <c r="G9" s="276"/>
      <c r="H9" s="276"/>
      <c r="I9" s="276"/>
      <c r="J9" s="259"/>
      <c r="K9" s="259"/>
      <c r="L9" s="259"/>
      <c r="M9" s="259"/>
      <c r="N9" s="259"/>
    </row>
    <row r="10" spans="1:19" ht="18">
      <c r="B10" s="266"/>
      <c r="C10" s="2827">
        <v>2016</v>
      </c>
      <c r="D10" s="303">
        <v>2017</v>
      </c>
      <c r="E10" s="304" t="s">
        <v>20</v>
      </c>
      <c r="F10" s="271"/>
      <c r="G10" s="271"/>
      <c r="H10" s="271"/>
      <c r="I10" s="1059"/>
      <c r="J10" s="1050"/>
      <c r="K10" s="1050"/>
      <c r="L10" s="268"/>
      <c r="M10" s="305"/>
      <c r="N10" s="259"/>
    </row>
    <row r="11" spans="1:19" s="1652" customFormat="1">
      <c r="B11" s="820" t="s">
        <v>80</v>
      </c>
      <c r="C11" s="2843"/>
      <c r="D11" s="1804"/>
      <c r="E11" s="1850"/>
      <c r="F11" s="1848"/>
      <c r="G11" s="1848"/>
      <c r="H11" s="1848"/>
      <c r="I11" s="1103"/>
      <c r="J11" s="1092"/>
      <c r="K11" s="1092"/>
      <c r="L11" s="1256"/>
      <c r="M11" s="399"/>
      <c r="N11" s="1839"/>
    </row>
    <row r="12" spans="1:19">
      <c r="B12" s="960"/>
      <c r="C12" s="2844">
        <v>155000</v>
      </c>
      <c r="D12" s="1847">
        <v>155000</v>
      </c>
      <c r="E12" s="787">
        <f>SUM(C12:D12)</f>
        <v>310000</v>
      </c>
      <c r="F12" s="825"/>
      <c r="G12" s="271"/>
      <c r="H12" s="271"/>
      <c r="I12" s="1051"/>
      <c r="J12" s="1052"/>
      <c r="K12" s="1050"/>
      <c r="L12" s="259"/>
      <c r="M12" s="259"/>
      <c r="N12" s="259"/>
    </row>
    <row r="13" spans="1:19" ht="19.5">
      <c r="B13" s="821"/>
      <c r="C13" s="2845">
        <v>0</v>
      </c>
      <c r="D13" s="1857">
        <v>0</v>
      </c>
      <c r="E13" s="1858">
        <f>SUM(C13:D13)</f>
        <v>0</v>
      </c>
      <c r="F13" s="825"/>
      <c r="G13" s="271"/>
      <c r="H13" s="271"/>
      <c r="I13" s="1051"/>
      <c r="J13" s="1053"/>
      <c r="K13" s="1050"/>
      <c r="L13" s="259"/>
      <c r="M13" s="259"/>
      <c r="N13" s="259"/>
    </row>
    <row r="14" spans="1:19" s="1652" customFormat="1" ht="18">
      <c r="B14" s="821"/>
      <c r="C14" s="2846">
        <f>SUM(C12:C13)</f>
        <v>155000</v>
      </c>
      <c r="D14" s="1846">
        <f>SUM(D12:D13)</f>
        <v>155000</v>
      </c>
      <c r="E14" s="1845">
        <f>SUM(E12:E13)</f>
        <v>310000</v>
      </c>
      <c r="F14" s="1848"/>
      <c r="G14" s="1848"/>
      <c r="H14" s="1848"/>
      <c r="I14" s="1095"/>
      <c r="J14" s="1098"/>
      <c r="K14" s="1092"/>
      <c r="L14" s="1839"/>
      <c r="M14" s="1839"/>
      <c r="N14" s="1839"/>
    </row>
    <row r="15" spans="1:19" s="1652" customFormat="1" ht="18">
      <c r="B15" s="821"/>
      <c r="C15" s="2829"/>
      <c r="D15" s="2368"/>
      <c r="E15" s="2369"/>
      <c r="F15" s="1848"/>
      <c r="G15" s="1848"/>
      <c r="H15" s="1848"/>
      <c r="I15" s="1095"/>
      <c r="J15" s="1098"/>
      <c r="K15" s="1092"/>
      <c r="L15" s="1839"/>
      <c r="M15" s="1839"/>
      <c r="N15" s="1839"/>
    </row>
    <row r="16" spans="1:19">
      <c r="B16" s="820" t="s">
        <v>83</v>
      </c>
      <c r="C16" s="2830">
        <f>SUM(C17:C18)</f>
        <v>161100</v>
      </c>
      <c r="D16" s="2374">
        <f>SUM(D17:D18)</f>
        <v>165000</v>
      </c>
      <c r="E16" s="1833">
        <f>C16+D16</f>
        <v>326100</v>
      </c>
      <c r="F16" s="2574">
        <v>2016</v>
      </c>
      <c r="G16" s="2575">
        <v>2017</v>
      </c>
      <c r="H16" s="2576" t="s">
        <v>1685</v>
      </c>
      <c r="I16" s="1051"/>
      <c r="J16" s="1053"/>
      <c r="K16" s="1047"/>
      <c r="L16" s="259"/>
      <c r="M16" s="259"/>
      <c r="N16" s="259"/>
    </row>
    <row r="17" spans="2:19">
      <c r="B17" s="824" t="s">
        <v>85</v>
      </c>
      <c r="C17" s="2847">
        <v>161100</v>
      </c>
      <c r="D17" s="2375">
        <v>165000</v>
      </c>
      <c r="E17" s="653">
        <f>SUM(C17:D17)</f>
        <v>326100</v>
      </c>
      <c r="F17" s="2573">
        <v>1.8</v>
      </c>
      <c r="G17" s="1663">
        <v>1.7</v>
      </c>
      <c r="H17" s="1663">
        <f>(F17+G17)/2</f>
        <v>1.75</v>
      </c>
      <c r="I17" s="553" t="s">
        <v>86</v>
      </c>
      <c r="J17" s="1049"/>
      <c r="K17" s="1047"/>
      <c r="L17" s="259"/>
      <c r="M17" s="259"/>
      <c r="N17" s="259"/>
    </row>
    <row r="18" spans="2:19">
      <c r="B18" s="824" t="s">
        <v>89</v>
      </c>
      <c r="C18" s="2847">
        <v>0</v>
      </c>
      <c r="D18" s="2375">
        <v>0</v>
      </c>
      <c r="E18" s="653">
        <f>SUM(C18:D18)</f>
        <v>0</v>
      </c>
      <c r="F18" s="1663">
        <v>0</v>
      </c>
      <c r="G18" s="1663">
        <v>0</v>
      </c>
      <c r="H18" s="1663">
        <f>(F18+G18)/2</f>
        <v>0</v>
      </c>
      <c r="I18" s="553" t="s">
        <v>86</v>
      </c>
      <c r="J18" s="1049"/>
      <c r="K18" s="1047"/>
      <c r="L18" s="259"/>
      <c r="M18" s="259"/>
      <c r="N18" s="259"/>
    </row>
    <row r="19" spans="2:19">
      <c r="B19" s="824"/>
      <c r="C19" s="2848"/>
      <c r="D19" s="2368"/>
      <c r="E19" s="2369"/>
      <c r="F19" s="831"/>
      <c r="G19" s="270"/>
      <c r="H19" s="270"/>
      <c r="I19" s="1051"/>
      <c r="J19" s="1049"/>
      <c r="K19" s="1047"/>
      <c r="L19" s="259"/>
      <c r="M19" s="306"/>
      <c r="S19">
        <f>1095*3</f>
        <v>3285</v>
      </c>
    </row>
    <row r="20" spans="2:19">
      <c r="B20" s="820" t="s">
        <v>483</v>
      </c>
      <c r="C20" s="2849">
        <v>8000</v>
      </c>
      <c r="D20" s="3274">
        <v>8000</v>
      </c>
      <c r="E20" s="2369"/>
      <c r="F20" s="823"/>
      <c r="G20" s="269"/>
      <c r="H20" s="270"/>
      <c r="I20" s="1051"/>
      <c r="J20" s="1049"/>
      <c r="K20" s="1047"/>
      <c r="L20" s="259"/>
      <c r="M20" s="259"/>
      <c r="S20">
        <f>S19/15</f>
        <v>219</v>
      </c>
    </row>
    <row r="21" spans="2:19">
      <c r="B21" s="815" t="s">
        <v>90</v>
      </c>
      <c r="C21" s="2833">
        <v>0</v>
      </c>
      <c r="D21" s="855">
        <v>0</v>
      </c>
      <c r="E21" s="653">
        <f>SUM(C21:D21)</f>
        <v>0</v>
      </c>
      <c r="F21" s="832"/>
      <c r="G21" s="279"/>
      <c r="H21" s="269"/>
      <c r="I21" s="1051"/>
      <c r="J21" s="1049"/>
      <c r="K21" s="1047"/>
      <c r="L21" s="259"/>
      <c r="M21" s="259"/>
    </row>
    <row r="22" spans="2:19">
      <c r="B22" s="824" t="s">
        <v>91</v>
      </c>
      <c r="C22" s="2850">
        <v>0</v>
      </c>
      <c r="D22" s="855">
        <v>0</v>
      </c>
      <c r="E22" s="653">
        <f>SUM(C22:D22)</f>
        <v>0</v>
      </c>
      <c r="F22" s="815"/>
      <c r="G22" s="269"/>
      <c r="H22" s="279"/>
      <c r="I22" s="1051"/>
      <c r="J22" s="1058"/>
      <c r="K22" s="1047"/>
      <c r="L22" s="259"/>
      <c r="M22" s="259"/>
    </row>
    <row r="23" spans="2:19">
      <c r="B23" s="824" t="s">
        <v>94</v>
      </c>
      <c r="C23" s="2833">
        <v>0</v>
      </c>
      <c r="D23" s="855">
        <v>0</v>
      </c>
      <c r="E23" s="653">
        <f>SUM(C23:D23)</f>
        <v>0</v>
      </c>
      <c r="F23" s="823"/>
      <c r="G23" s="269"/>
      <c r="H23" s="269"/>
      <c r="I23" s="1047"/>
      <c r="J23" s="1048"/>
      <c r="K23" s="1047"/>
      <c r="L23" s="259"/>
      <c r="M23" s="259"/>
    </row>
    <row r="24" spans="2:19" s="1652" customFormat="1">
      <c r="B24" s="824" t="s">
        <v>517</v>
      </c>
      <c r="C24" s="2833">
        <v>0</v>
      </c>
      <c r="D24" s="855">
        <v>0</v>
      </c>
      <c r="E24" s="653"/>
      <c r="F24" s="823"/>
      <c r="G24" s="393"/>
      <c r="H24" s="393"/>
      <c r="I24" s="1088"/>
      <c r="J24" s="1090"/>
      <c r="K24" s="1088"/>
      <c r="L24" s="1839"/>
      <c r="M24" s="1839"/>
    </row>
    <row r="25" spans="2:19">
      <c r="B25" s="824" t="s">
        <v>97</v>
      </c>
      <c r="C25" s="2833">
        <v>0</v>
      </c>
      <c r="D25" s="855">
        <v>0</v>
      </c>
      <c r="E25" s="653">
        <f>SUM(C25:D25)</f>
        <v>0</v>
      </c>
      <c r="F25" s="823"/>
      <c r="G25" s="269"/>
      <c r="H25" s="280"/>
      <c r="I25" s="1051"/>
      <c r="J25" s="1063"/>
      <c r="K25" s="1047"/>
      <c r="L25" s="259"/>
      <c r="M25" s="259"/>
    </row>
    <row r="26" spans="2:19">
      <c r="B26" s="815"/>
      <c r="C26" s="2835">
        <f>SUM(C20:C25)</f>
        <v>8000</v>
      </c>
      <c r="D26" s="1849">
        <f>SUM(D20:D25)</f>
        <v>8000</v>
      </c>
      <c r="E26" s="1833">
        <f>SUM(C26:D26)</f>
        <v>16000</v>
      </c>
      <c r="F26" s="823"/>
      <c r="G26" s="269"/>
      <c r="H26" s="280"/>
      <c r="I26" s="1056" t="s">
        <v>92</v>
      </c>
      <c r="J26" s="1061"/>
      <c r="K26" s="1054" t="s">
        <v>124</v>
      </c>
      <c r="L26" s="259"/>
      <c r="M26" s="259"/>
    </row>
    <row r="27" spans="2:19">
      <c r="B27" s="816"/>
      <c r="C27" s="2836"/>
      <c r="D27" s="2368"/>
      <c r="E27" s="2369"/>
      <c r="F27" s="823"/>
      <c r="G27" s="269"/>
      <c r="H27" s="280"/>
      <c r="I27" s="1056" t="s">
        <v>95</v>
      </c>
      <c r="J27" s="1060"/>
      <c r="K27" s="1057" t="s">
        <v>125</v>
      </c>
      <c r="L27" s="259"/>
      <c r="M27" s="259"/>
    </row>
    <row r="28" spans="2:19">
      <c r="B28" s="820" t="s">
        <v>84</v>
      </c>
      <c r="C28" s="2835">
        <v>5000</v>
      </c>
      <c r="D28" s="2374">
        <v>5000</v>
      </c>
      <c r="E28" s="1833">
        <f>SUM(C28:D28)</f>
        <v>10000</v>
      </c>
      <c r="F28" s="2387" t="s">
        <v>1551</v>
      </c>
      <c r="G28" s="269"/>
      <c r="H28" s="280"/>
      <c r="I28" s="1056" t="s">
        <v>98</v>
      </c>
      <c r="J28" s="1060"/>
      <c r="K28" s="1057" t="s">
        <v>125</v>
      </c>
      <c r="L28" s="259"/>
      <c r="M28" s="259"/>
    </row>
    <row r="29" spans="2:19">
      <c r="B29" s="816"/>
      <c r="C29" s="2836"/>
      <c r="D29" s="2368"/>
      <c r="E29" s="2369"/>
      <c r="F29" s="823"/>
      <c r="G29" s="269"/>
      <c r="H29" s="280"/>
      <c r="I29" s="1055" t="s">
        <v>99</v>
      </c>
      <c r="J29" s="1062"/>
      <c r="K29" s="1057"/>
      <c r="L29" s="259"/>
      <c r="M29" s="259"/>
    </row>
    <row r="30" spans="2:19">
      <c r="B30" s="819" t="s">
        <v>87</v>
      </c>
      <c r="C30" s="2836">
        <v>1000</v>
      </c>
      <c r="D30" s="3274">
        <v>1000</v>
      </c>
      <c r="E30" s="653">
        <f>C30+D30</f>
        <v>2000</v>
      </c>
      <c r="F30" s="833"/>
      <c r="H30" s="280"/>
      <c r="I30" s="847"/>
      <c r="J30" s="848"/>
      <c r="K30" s="275"/>
      <c r="L30" s="259"/>
      <c r="M30" s="259"/>
    </row>
    <row r="31" spans="2:19">
      <c r="B31" s="815" t="s">
        <v>100</v>
      </c>
      <c r="C31" s="2836">
        <v>0</v>
      </c>
      <c r="D31" s="855">
        <v>0</v>
      </c>
      <c r="E31" s="653">
        <f>SUM(C31:D31)</f>
        <v>0</v>
      </c>
      <c r="F31" s="833"/>
      <c r="H31" s="280"/>
      <c r="I31" s="302" t="s">
        <v>119</v>
      </c>
      <c r="J31" s="259"/>
      <c r="K31" s="259"/>
      <c r="L31" s="259"/>
      <c r="M31" s="259"/>
    </row>
    <row r="32" spans="2:19">
      <c r="B32" s="816" t="s">
        <v>102</v>
      </c>
      <c r="C32" s="2836">
        <v>0</v>
      </c>
      <c r="D32" s="855">
        <v>0</v>
      </c>
      <c r="E32" s="653">
        <f>SUM(C32:D32)</f>
        <v>0</v>
      </c>
      <c r="F32" s="833"/>
      <c r="G32" s="280"/>
      <c r="H32" s="280"/>
      <c r="I32" s="302" t="s">
        <v>120</v>
      </c>
      <c r="J32" s="259"/>
      <c r="K32" s="259"/>
      <c r="L32" s="259"/>
      <c r="M32" s="259"/>
    </row>
    <row r="33" spans="1:13">
      <c r="B33" s="819" t="s">
        <v>103</v>
      </c>
      <c r="C33" s="2838">
        <f>SUM(C30:C32)</f>
        <v>1000</v>
      </c>
      <c r="D33" s="2377">
        <f>SUM(D30:D32)</f>
        <v>1000</v>
      </c>
      <c r="E33" s="1833">
        <f>SUM(C33:D33)</f>
        <v>2000</v>
      </c>
      <c r="F33" s="833"/>
      <c r="G33" s="280"/>
      <c r="H33" s="280"/>
      <c r="J33" s="259"/>
      <c r="K33" s="259"/>
      <c r="L33" s="259"/>
      <c r="M33" s="259"/>
    </row>
    <row r="34" spans="1:13">
      <c r="B34" s="816"/>
      <c r="C34" s="2836"/>
      <c r="D34" s="2368"/>
      <c r="E34" s="2369"/>
      <c r="F34" s="833"/>
      <c r="G34" s="280"/>
      <c r="H34" s="280"/>
      <c r="J34" s="259"/>
      <c r="K34" s="259"/>
      <c r="L34" s="259"/>
      <c r="M34" s="259"/>
    </row>
    <row r="35" spans="1:13" ht="38.25">
      <c r="A35" s="1389" t="s">
        <v>138</v>
      </c>
      <c r="B35" s="819" t="s">
        <v>88</v>
      </c>
      <c r="C35" s="2836"/>
      <c r="D35" s="2373"/>
      <c r="E35" s="653">
        <f>SUM(C35:D35)</f>
        <v>0</v>
      </c>
      <c r="F35" s="833"/>
      <c r="G35" s="280"/>
      <c r="H35" s="280"/>
      <c r="I35" s="271"/>
    </row>
    <row r="36" spans="1:13">
      <c r="A36" s="1357" t="s">
        <v>259</v>
      </c>
      <c r="B36" s="816"/>
      <c r="C36" s="2836"/>
      <c r="D36" s="2368"/>
      <c r="E36" s="2369"/>
      <c r="F36" s="2145">
        <v>0.66700000000000004</v>
      </c>
      <c r="G36" s="2157" t="s">
        <v>659</v>
      </c>
      <c r="H36" s="280"/>
      <c r="I36" s="271"/>
    </row>
    <row r="37" spans="1:13" ht="25.5">
      <c r="A37" s="1389" t="s">
        <v>127</v>
      </c>
      <c r="B37" s="2371" t="s">
        <v>9</v>
      </c>
      <c r="C37" s="2928">
        <f>ROUND(SUM(C17:C18)*F36, -2)</f>
        <v>107500</v>
      </c>
      <c r="D37" s="3017">
        <f>ROUND(D16*F37, -2)</f>
        <v>113500</v>
      </c>
      <c r="E37" s="653">
        <f>SUM(C37:D37)</f>
        <v>221000</v>
      </c>
      <c r="F37" s="2145">
        <v>0.68799999999999994</v>
      </c>
      <c r="G37" s="2144" t="s">
        <v>660</v>
      </c>
      <c r="H37" s="280"/>
      <c r="I37" s="271"/>
    </row>
    <row r="38" spans="1:13" s="1652" customFormat="1" ht="13.5" customHeight="1">
      <c r="A38" s="1663" t="s">
        <v>28</v>
      </c>
      <c r="B38" s="816" t="s">
        <v>1732</v>
      </c>
      <c r="C38" s="2836"/>
      <c r="D38" s="659">
        <f>D16*F38</f>
        <v>34650</v>
      </c>
      <c r="E38" s="841">
        <f>C38+D38</f>
        <v>34650</v>
      </c>
      <c r="F38" s="3015">
        <v>0.21</v>
      </c>
      <c r="G38" s="2144" t="s">
        <v>1735</v>
      </c>
      <c r="K38" s="1088"/>
    </row>
    <row r="39" spans="1:13" s="1567" customFormat="1" ht="13.5" customHeight="1">
      <c r="B39" s="3022" t="s">
        <v>231</v>
      </c>
      <c r="C39" s="2838"/>
      <c r="D39" s="2377">
        <f>D37+D38</f>
        <v>148150</v>
      </c>
      <c r="E39" s="2382">
        <f>E37+E38</f>
        <v>255650</v>
      </c>
      <c r="F39" s="3023"/>
      <c r="G39" s="3024"/>
      <c r="K39" s="946"/>
    </row>
    <row r="40" spans="1:13" s="1652" customFormat="1" ht="13.5" customHeight="1">
      <c r="B40" s="816"/>
      <c r="C40" s="2836"/>
      <c r="D40" s="659"/>
      <c r="E40" s="841"/>
      <c r="F40" s="3015"/>
      <c r="G40" s="2144"/>
      <c r="K40" s="1088"/>
    </row>
    <row r="41" spans="1:13">
      <c r="A41" s="1414"/>
      <c r="B41" s="816"/>
      <c r="C41" s="2836"/>
      <c r="D41" s="834"/>
      <c r="E41" s="841"/>
      <c r="H41" s="280"/>
      <c r="I41" s="271"/>
    </row>
    <row r="42" spans="1:13">
      <c r="B42" s="817" t="s">
        <v>11</v>
      </c>
      <c r="C42" s="2836"/>
      <c r="D42" s="834"/>
      <c r="E42" s="841"/>
      <c r="F42" s="833"/>
      <c r="G42" s="260"/>
      <c r="H42" s="280"/>
      <c r="I42" s="267"/>
    </row>
    <row r="43" spans="1:13">
      <c r="B43" s="829" t="s">
        <v>542</v>
      </c>
      <c r="C43" s="2833"/>
      <c r="D43" s="835"/>
      <c r="E43" s="839">
        <f t="shared" ref="E43:E48" si="0">SUM(C43:D43)</f>
        <v>0</v>
      </c>
      <c r="F43" s="833"/>
      <c r="G43" s="260"/>
      <c r="H43" s="280"/>
      <c r="I43" s="267"/>
    </row>
    <row r="44" spans="1:13">
      <c r="B44" s="1839" t="s">
        <v>518</v>
      </c>
      <c r="C44" s="2833"/>
      <c r="D44" s="835"/>
      <c r="E44" s="866">
        <f t="shared" si="0"/>
        <v>0</v>
      </c>
      <c r="F44" s="833"/>
      <c r="G44" s="260"/>
      <c r="H44" s="280"/>
      <c r="I44" s="267"/>
    </row>
    <row r="45" spans="1:13">
      <c r="B45" s="829" t="s">
        <v>115</v>
      </c>
      <c r="C45" s="2833"/>
      <c r="D45" s="835"/>
      <c r="E45" s="866">
        <f t="shared" si="0"/>
        <v>0</v>
      </c>
      <c r="F45" s="833"/>
      <c r="G45" s="260"/>
      <c r="H45" s="280"/>
      <c r="I45" s="267"/>
    </row>
    <row r="46" spans="1:13">
      <c r="B46" s="829" t="s">
        <v>116</v>
      </c>
      <c r="C46" s="2833">
        <v>25000</v>
      </c>
      <c r="D46" s="835">
        <v>25000</v>
      </c>
      <c r="E46" s="866">
        <f t="shared" si="0"/>
        <v>50000</v>
      </c>
      <c r="F46" s="833"/>
      <c r="G46" s="260"/>
      <c r="H46" s="280"/>
      <c r="I46" s="267"/>
    </row>
    <row r="47" spans="1:13" ht="15">
      <c r="B47" s="829" t="s">
        <v>1552</v>
      </c>
      <c r="C47" s="2834">
        <v>15000</v>
      </c>
      <c r="D47" s="1855">
        <v>15000</v>
      </c>
      <c r="E47" s="1856">
        <f t="shared" si="0"/>
        <v>30000</v>
      </c>
      <c r="F47" s="833"/>
      <c r="G47" s="281"/>
      <c r="H47" s="280"/>
      <c r="I47" s="267"/>
    </row>
    <row r="48" spans="1:13">
      <c r="B48" s="828" t="s">
        <v>107</v>
      </c>
      <c r="C48" s="2835">
        <f>SUM(C43:C47)</f>
        <v>40000</v>
      </c>
      <c r="D48" s="830">
        <f>SUM(D43:D47)</f>
        <v>40000</v>
      </c>
      <c r="E48" s="840">
        <f t="shared" si="0"/>
        <v>80000</v>
      </c>
      <c r="F48" s="833"/>
      <c r="G48" s="281"/>
      <c r="H48" s="280"/>
      <c r="I48" s="267"/>
    </row>
    <row r="49" spans="2:10" ht="13.5" thickBot="1">
      <c r="B49" s="822"/>
      <c r="C49" s="2833"/>
      <c r="D49" s="835"/>
      <c r="E49" s="839"/>
      <c r="F49" s="833"/>
      <c r="G49" s="281"/>
      <c r="H49" s="280"/>
      <c r="I49" s="267"/>
    </row>
    <row r="50" spans="2:10" ht="13.5" thickBot="1">
      <c r="B50" s="828" t="s">
        <v>108</v>
      </c>
      <c r="C50" s="2839">
        <f>C14+C16+C26+C28+C33+C35+C37+C48</f>
        <v>477600</v>
      </c>
      <c r="D50" s="842">
        <f>D14+D16+D26+D28+D33+D35+D39+D48</f>
        <v>522150</v>
      </c>
      <c r="E50" s="843">
        <f>SUM(C50:D50)</f>
        <v>999750</v>
      </c>
      <c r="F50" s="833"/>
      <c r="G50" s="281"/>
      <c r="H50" s="280"/>
      <c r="I50" s="267"/>
    </row>
    <row r="51" spans="2:10">
      <c r="B51" s="818"/>
      <c r="C51" s="2840"/>
      <c r="D51" s="835"/>
      <c r="E51" s="835"/>
      <c r="F51" s="833"/>
      <c r="G51" s="281"/>
      <c r="H51" s="280"/>
      <c r="I51" s="267"/>
    </row>
    <row r="52" spans="2:10">
      <c r="B52" s="836" t="s">
        <v>543</v>
      </c>
      <c r="C52" s="2841">
        <v>2016</v>
      </c>
      <c r="D52" s="844">
        <v>2017</v>
      </c>
      <c r="E52" s="844" t="s">
        <v>20</v>
      </c>
      <c r="F52" s="815"/>
      <c r="G52" s="281"/>
      <c r="H52" s="280"/>
      <c r="I52" s="267"/>
    </row>
    <row r="53" spans="2:10">
      <c r="B53" s="836" t="s">
        <v>519</v>
      </c>
      <c r="C53" s="2852">
        <v>500000</v>
      </c>
      <c r="D53" s="1841">
        <v>550000</v>
      </c>
      <c r="E53" s="1841">
        <f>SUM(C53:D53)</f>
        <v>1050000</v>
      </c>
      <c r="G53" s="280"/>
      <c r="H53" s="280"/>
      <c r="I53" s="267"/>
    </row>
    <row r="54" spans="2:10">
      <c r="B54" s="836" t="s">
        <v>544</v>
      </c>
      <c r="C54" s="2852">
        <v>0</v>
      </c>
      <c r="D54" s="1841">
        <v>0</v>
      </c>
      <c r="E54" s="1841">
        <f>SUM(C54:D54)</f>
        <v>0</v>
      </c>
      <c r="F54" s="827"/>
      <c r="G54" s="280"/>
      <c r="H54" s="280"/>
      <c r="I54" s="267"/>
      <c r="J54" s="259"/>
    </row>
    <row r="55" spans="2:10">
      <c r="C55" s="2853">
        <f>SUM(C53:C54)</f>
        <v>500000</v>
      </c>
      <c r="D55" s="1840">
        <f>SUM(D53:D54)</f>
        <v>550000</v>
      </c>
      <c r="E55" s="1851">
        <f>SUM(E53:E54)</f>
        <v>1050000</v>
      </c>
      <c r="F55" s="830" t="s">
        <v>71</v>
      </c>
      <c r="G55" s="282"/>
      <c r="H55" s="282"/>
      <c r="I55" s="272"/>
      <c r="J55" s="261"/>
    </row>
    <row r="56" spans="2:10">
      <c r="B56" s="259"/>
      <c r="C56" s="2854"/>
      <c r="D56" s="282"/>
      <c r="E56" s="282"/>
      <c r="F56" s="273"/>
      <c r="G56" s="273"/>
      <c r="H56" s="273"/>
      <c r="I56" s="273"/>
      <c r="J56" s="261"/>
    </row>
    <row r="57" spans="2:10">
      <c r="B57" s="836" t="s">
        <v>112</v>
      </c>
      <c r="C57" s="2855">
        <f>C55/E55</f>
        <v>0.47619047619047616</v>
      </c>
      <c r="D57" s="845">
        <f>D55/E55</f>
        <v>0.52380952380952384</v>
      </c>
      <c r="E57" s="273"/>
      <c r="F57" s="273"/>
      <c r="G57" s="273"/>
      <c r="H57" s="273"/>
      <c r="I57" s="273"/>
      <c r="J57" s="261"/>
    </row>
    <row r="58" spans="2:10">
      <c r="B58" s="259"/>
      <c r="C58" s="2856"/>
      <c r="D58" s="273"/>
      <c r="E58" s="273"/>
      <c r="F58" s="282"/>
      <c r="G58" s="273"/>
      <c r="H58" s="273"/>
      <c r="I58" s="273"/>
      <c r="J58" s="261"/>
    </row>
    <row r="59" spans="2:10" ht="20.25">
      <c r="B59" s="265"/>
      <c r="C59" s="274"/>
      <c r="D59" s="274"/>
      <c r="E59" s="274"/>
      <c r="F59" s="282"/>
      <c r="G59" s="273"/>
      <c r="H59" s="273"/>
      <c r="I59" s="273"/>
      <c r="J59" s="261"/>
    </row>
    <row r="60" spans="2:10">
      <c r="B60" s="261"/>
      <c r="C60" s="261"/>
      <c r="D60" s="261"/>
      <c r="E60" s="261"/>
      <c r="F60" s="282"/>
      <c r="G60" s="273"/>
      <c r="H60" s="273"/>
      <c r="I60" s="273"/>
      <c r="J60" s="261"/>
    </row>
    <row r="61" spans="2:10">
      <c r="B61" s="292"/>
      <c r="C61" s="261"/>
      <c r="D61" s="261"/>
      <c r="E61" s="261"/>
      <c r="F61" s="282"/>
      <c r="G61" s="273"/>
      <c r="H61" s="273"/>
      <c r="I61" s="273"/>
      <c r="J61" s="261"/>
    </row>
    <row r="62" spans="2:10">
      <c r="B62" s="261"/>
      <c r="C62" s="261"/>
      <c r="D62" s="261"/>
      <c r="E62" s="261"/>
      <c r="F62" s="261"/>
      <c r="G62" s="282"/>
      <c r="H62" s="282"/>
      <c r="I62" s="273"/>
      <c r="J62" s="261"/>
    </row>
    <row r="63" spans="2:10">
      <c r="B63" s="261"/>
      <c r="C63" s="262"/>
      <c r="D63" s="262"/>
      <c r="E63" s="262"/>
      <c r="F63" s="261"/>
      <c r="G63" s="264"/>
      <c r="H63" s="282"/>
      <c r="I63" s="272"/>
      <c r="J63" s="261"/>
    </row>
    <row r="64" spans="2:10">
      <c r="B64" s="263"/>
      <c r="C64" s="293"/>
      <c r="D64" s="293"/>
      <c r="E64" s="293"/>
      <c r="F64" s="261"/>
      <c r="G64" s="262"/>
      <c r="H64" s="282"/>
      <c r="I64" s="272"/>
      <c r="J64" s="261"/>
    </row>
    <row r="65" spans="2:10">
      <c r="B65" s="263"/>
      <c r="C65" s="293"/>
      <c r="D65" s="293"/>
      <c r="E65" s="293"/>
      <c r="F65" s="261"/>
      <c r="G65" s="294"/>
      <c r="H65" s="282"/>
      <c r="I65" s="272"/>
      <c r="J65" s="261"/>
    </row>
    <row r="66" spans="2:10">
      <c r="B66" s="263"/>
      <c r="C66" s="293"/>
      <c r="D66" s="293"/>
      <c r="E66" s="293"/>
      <c r="F66" s="261"/>
      <c r="G66" s="294"/>
      <c r="H66" s="282"/>
      <c r="I66" s="272"/>
      <c r="J66" s="261"/>
    </row>
    <row r="67" spans="2:10">
      <c r="B67" s="263"/>
      <c r="C67" s="293"/>
      <c r="D67" s="293"/>
      <c r="E67" s="293"/>
      <c r="F67" s="261"/>
      <c r="G67" s="294"/>
      <c r="H67" s="282"/>
      <c r="I67" s="272"/>
      <c r="J67" s="261"/>
    </row>
    <row r="68" spans="2:10">
      <c r="B68" s="263"/>
      <c r="C68" s="293"/>
      <c r="D68" s="293"/>
      <c r="E68" s="293"/>
      <c r="F68" s="261"/>
      <c r="G68" s="294"/>
      <c r="H68" s="282"/>
      <c r="I68" s="272"/>
      <c r="J68" s="261"/>
    </row>
    <row r="69" spans="2:10">
      <c r="B69" s="263"/>
      <c r="C69" s="293"/>
      <c r="D69" s="293"/>
      <c r="E69" s="293"/>
      <c r="F69" s="261"/>
      <c r="G69" s="294"/>
      <c r="H69" s="282"/>
      <c r="I69" s="272"/>
      <c r="J69" s="261"/>
    </row>
    <row r="70" spans="2:10">
      <c r="B70" s="261"/>
      <c r="C70" s="286"/>
      <c r="D70" s="286"/>
      <c r="E70" s="286"/>
      <c r="F70" s="261"/>
      <c r="G70" s="294"/>
      <c r="H70" s="282"/>
      <c r="I70" s="272"/>
      <c r="J70" s="261"/>
    </row>
    <row r="71" spans="2:10">
      <c r="B71" s="261"/>
      <c r="C71" s="261"/>
      <c r="D71" s="261"/>
      <c r="E71" s="261"/>
      <c r="F71" s="282"/>
      <c r="G71" s="295"/>
      <c r="H71" s="282"/>
      <c r="I71" s="272"/>
      <c r="J71" s="261"/>
    </row>
    <row r="72" spans="2:10">
      <c r="B72" s="292"/>
      <c r="C72" s="261"/>
      <c r="D72" s="261"/>
      <c r="E72" s="261"/>
      <c r="F72" s="282"/>
      <c r="G72" s="282"/>
      <c r="H72" s="282"/>
      <c r="I72" s="272"/>
      <c r="J72" s="261"/>
    </row>
    <row r="73" spans="2:10" ht="18">
      <c r="B73" s="261"/>
      <c r="C73" s="261"/>
      <c r="D73" s="261"/>
      <c r="E73" s="261"/>
      <c r="F73" s="282"/>
      <c r="G73" s="296"/>
      <c r="H73" s="282"/>
      <c r="I73" s="272"/>
      <c r="J73" s="261"/>
    </row>
    <row r="74" spans="2:10" ht="18.75">
      <c r="B74" s="297"/>
      <c r="C74" s="296"/>
      <c r="D74" s="296"/>
      <c r="E74" s="296"/>
      <c r="F74" s="296"/>
      <c r="G74" s="284"/>
      <c r="H74" s="282"/>
      <c r="I74" s="272"/>
      <c r="J74" s="261"/>
    </row>
    <row r="75" spans="2:10">
      <c r="B75" s="298"/>
      <c r="C75" s="299"/>
      <c r="D75" s="299"/>
      <c r="E75" s="299"/>
      <c r="F75" s="288"/>
      <c r="G75" s="283"/>
      <c r="H75" s="282"/>
      <c r="I75" s="272"/>
      <c r="J75" s="261"/>
    </row>
    <row r="76" spans="2:10">
      <c r="B76" s="298"/>
      <c r="C76" s="299"/>
      <c r="D76" s="299"/>
      <c r="E76" s="299"/>
      <c r="F76" s="288"/>
      <c r="G76" s="289"/>
      <c r="H76" s="282"/>
      <c r="I76" s="272"/>
      <c r="J76" s="261"/>
    </row>
    <row r="77" spans="2:10">
      <c r="B77" s="298"/>
      <c r="C77" s="299"/>
      <c r="D77" s="299"/>
      <c r="E77" s="299"/>
      <c r="F77" s="288"/>
      <c r="G77" s="290"/>
      <c r="H77" s="282"/>
      <c r="I77" s="272"/>
      <c r="J77" s="261"/>
    </row>
    <row r="78" spans="2:10">
      <c r="B78" s="298"/>
      <c r="C78" s="299"/>
      <c r="D78" s="299"/>
      <c r="E78" s="299"/>
      <c r="F78" s="288"/>
      <c r="G78" s="291"/>
      <c r="H78" s="282"/>
      <c r="I78" s="272"/>
      <c r="J78" s="261"/>
    </row>
    <row r="79" spans="2:10">
      <c r="B79" s="298"/>
      <c r="C79" s="299"/>
      <c r="D79" s="299"/>
      <c r="E79" s="299"/>
      <c r="F79" s="288"/>
      <c r="G79" s="291"/>
      <c r="H79" s="282"/>
      <c r="I79" s="272"/>
      <c r="J79" s="261"/>
    </row>
    <row r="80" spans="2:10">
      <c r="B80" s="298"/>
      <c r="C80" s="299"/>
      <c r="D80" s="299"/>
      <c r="E80" s="299"/>
      <c r="F80" s="288"/>
      <c r="G80" s="273"/>
      <c r="H80" s="282"/>
      <c r="I80" s="272"/>
      <c r="J80" s="261"/>
    </row>
    <row r="81" spans="2:10" ht="18">
      <c r="B81" s="261"/>
      <c r="C81" s="261"/>
      <c r="D81" s="261"/>
      <c r="E81" s="261"/>
      <c r="F81" s="273"/>
      <c r="G81" s="296"/>
      <c r="H81" s="282"/>
      <c r="I81" s="272"/>
      <c r="J81" s="261"/>
    </row>
    <row r="82" spans="2:10" ht="18">
      <c r="B82" s="300"/>
      <c r="C82" s="296"/>
      <c r="D82" s="296"/>
      <c r="E82" s="296"/>
      <c r="F82" s="296"/>
      <c r="G82" s="284"/>
      <c r="H82" s="273"/>
      <c r="I82" s="273"/>
      <c r="J82" s="261"/>
    </row>
    <row r="83" spans="2:10">
      <c r="B83" s="3601"/>
      <c r="C83" s="3602"/>
      <c r="D83" s="3602"/>
      <c r="E83" s="3602"/>
      <c r="F83" s="3602"/>
      <c r="G83" s="283"/>
      <c r="H83" s="273"/>
      <c r="I83" s="273"/>
      <c r="J83" s="261"/>
    </row>
    <row r="84" spans="2:10">
      <c r="B84" s="3601"/>
      <c r="C84" s="3602"/>
      <c r="D84" s="3602"/>
      <c r="E84" s="3602"/>
      <c r="F84" s="3602"/>
      <c r="G84" s="289"/>
      <c r="H84" s="273"/>
      <c r="I84" s="273"/>
      <c r="J84" s="261"/>
    </row>
    <row r="85" spans="2:10">
      <c r="B85" s="3601"/>
      <c r="C85" s="3602"/>
      <c r="D85" s="3602"/>
      <c r="E85" s="3602"/>
      <c r="F85" s="3602"/>
      <c r="G85" s="301"/>
      <c r="H85" s="273"/>
      <c r="I85" s="273"/>
      <c r="J85" s="261"/>
    </row>
    <row r="86" spans="2:10">
      <c r="B86" s="3601"/>
      <c r="C86" s="3602"/>
      <c r="D86" s="3602"/>
      <c r="E86" s="3602"/>
      <c r="F86" s="3602"/>
      <c r="G86" s="301"/>
      <c r="H86" s="273"/>
      <c r="I86" s="273"/>
      <c r="J86" s="261"/>
    </row>
    <row r="87" spans="2:10">
      <c r="B87" s="3601"/>
      <c r="C87" s="3602"/>
      <c r="D87" s="3602"/>
      <c r="E87" s="3602"/>
      <c r="F87" s="3602"/>
      <c r="G87" s="301"/>
      <c r="H87" s="273"/>
      <c r="I87" s="273"/>
      <c r="J87" s="261"/>
    </row>
    <row r="88" spans="2:10" ht="15.75">
      <c r="B88" s="3601"/>
      <c r="C88" s="3602"/>
      <c r="D88" s="3602"/>
      <c r="E88" s="3602"/>
      <c r="F88" s="3602"/>
      <c r="G88" s="261"/>
      <c r="H88" s="274"/>
      <c r="I88" s="274"/>
      <c r="J88" s="261"/>
    </row>
    <row r="89" spans="2:10">
      <c r="B89" s="261"/>
      <c r="C89" s="261"/>
      <c r="D89" s="261"/>
      <c r="E89" s="261"/>
      <c r="F89" s="261"/>
      <c r="G89" s="283"/>
      <c r="H89" s="261"/>
      <c r="I89" s="261"/>
      <c r="J89" s="261"/>
    </row>
    <row r="90" spans="2:10">
      <c r="B90" s="261"/>
      <c r="C90" s="287"/>
      <c r="D90" s="287"/>
      <c r="E90" s="287"/>
      <c r="F90" s="261"/>
      <c r="G90" s="284"/>
      <c r="H90" s="261"/>
      <c r="I90" s="261"/>
      <c r="J90" s="261"/>
    </row>
    <row r="91" spans="2:10">
      <c r="B91" s="261"/>
      <c r="C91" s="287"/>
      <c r="D91" s="287"/>
      <c r="E91" s="287"/>
      <c r="F91" s="261"/>
      <c r="G91" s="283"/>
      <c r="H91" s="261"/>
      <c r="I91" s="261"/>
      <c r="J91" s="261"/>
    </row>
    <row r="92" spans="2:10">
      <c r="B92" s="261"/>
      <c r="C92" s="261"/>
      <c r="D92" s="261"/>
      <c r="E92" s="261"/>
      <c r="F92" s="261"/>
      <c r="G92" s="261"/>
      <c r="H92" s="261"/>
      <c r="I92" s="261"/>
      <c r="J92" s="261"/>
    </row>
    <row r="93" spans="2:10">
      <c r="B93" s="261"/>
      <c r="C93" s="261"/>
      <c r="D93" s="261"/>
      <c r="E93" s="261"/>
      <c r="F93" s="261"/>
      <c r="G93" s="261"/>
      <c r="H93" s="261"/>
      <c r="I93" s="261"/>
      <c r="J93" s="261"/>
    </row>
    <row r="94" spans="2:10">
      <c r="B94" s="261"/>
      <c r="C94" s="261"/>
      <c r="D94" s="261"/>
      <c r="E94" s="261"/>
      <c r="F94" s="261"/>
      <c r="G94" s="261"/>
      <c r="H94" s="261"/>
      <c r="I94" s="261"/>
      <c r="J94" s="261"/>
    </row>
    <row r="95" spans="2:10">
      <c r="B95" s="261"/>
      <c r="C95" s="261"/>
      <c r="D95" s="261"/>
      <c r="E95" s="261"/>
      <c r="F95" s="261"/>
      <c r="G95" s="261"/>
      <c r="H95" s="261"/>
      <c r="I95" s="261"/>
      <c r="J95" s="261"/>
    </row>
    <row r="96" spans="2:10">
      <c r="B96" s="292"/>
      <c r="C96" s="261"/>
      <c r="D96" s="261"/>
      <c r="E96" s="261"/>
      <c r="F96" s="261"/>
      <c r="G96" s="261"/>
      <c r="H96" s="261"/>
      <c r="I96" s="261"/>
      <c r="J96" s="261"/>
    </row>
    <row r="97" spans="2:10">
      <c r="B97" s="261"/>
      <c r="C97" s="261"/>
      <c r="D97" s="261"/>
      <c r="E97" s="261"/>
      <c r="F97" s="261"/>
      <c r="G97" s="261"/>
      <c r="H97" s="261"/>
      <c r="I97" s="261"/>
      <c r="J97" s="261"/>
    </row>
    <row r="98" spans="2:10">
      <c r="B98" s="261"/>
      <c r="C98" s="261"/>
      <c r="D98" s="261"/>
      <c r="E98" s="261"/>
      <c r="F98" s="261"/>
      <c r="G98" s="261"/>
      <c r="H98" s="261"/>
      <c r="I98" s="261"/>
      <c r="J98" s="261"/>
    </row>
    <row r="99" spans="2:10">
      <c r="B99" s="261"/>
      <c r="C99" s="261"/>
      <c r="D99" s="261"/>
      <c r="E99" s="261"/>
      <c r="F99" s="261"/>
      <c r="G99" s="261"/>
      <c r="H99" s="261"/>
      <c r="I99" s="261"/>
      <c r="J99" s="261"/>
    </row>
    <row r="100" spans="2:10">
      <c r="B100" s="261"/>
      <c r="C100" s="261"/>
      <c r="D100" s="261"/>
      <c r="E100" s="261"/>
      <c r="F100" s="261"/>
      <c r="G100" s="261"/>
      <c r="H100" s="261"/>
      <c r="I100" s="261"/>
      <c r="J100" s="261"/>
    </row>
    <row r="101" spans="2:10">
      <c r="B101" s="261"/>
      <c r="C101" s="261"/>
      <c r="D101" s="261"/>
      <c r="E101" s="261"/>
      <c r="F101" s="261"/>
      <c r="G101" s="261"/>
      <c r="H101" s="261"/>
      <c r="I101" s="261"/>
      <c r="J101" s="261"/>
    </row>
    <row r="102" spans="2:10">
      <c r="H102" s="261"/>
      <c r="I102" s="261"/>
      <c r="J102" s="261"/>
    </row>
  </sheetData>
  <customSheetViews>
    <customSheetView guid="{D9EFFE19-D14B-4C6F-BDF4-FF696F73968D}" showGridLines="0">
      <pane xSplit="1" ySplit="1" topLeftCell="B14" activePane="bottomRight" state="frozen"/>
      <selection pane="bottomRight"/>
      <pageMargins left="0.23" right="0.34" top="0.41" bottom="0.75" header="0.3" footer="0.3"/>
      <pageSetup paperSize="17" scale="60" orientation="landscape" r:id="rId1"/>
    </customSheetView>
    <customSheetView guid="{074EB09C-6289-46D7-9513-012B68BCA7BF}" showGridLines="0">
      <pane xSplit="1" ySplit="1" topLeftCell="B2" activePane="bottomRight" state="frozen"/>
      <selection pane="bottomRight" activeCell="G4" sqref="G4:G6"/>
      <pageMargins left="0.23" right="0.34" top="0.41" bottom="0.75" header="0.3" footer="0.3"/>
      <pageSetup paperSize="17" scale="60" orientation="landscape" r:id="rId2"/>
    </customSheetView>
  </customSheetViews>
  <mergeCells count="6">
    <mergeCell ref="B83:F83"/>
    <mergeCell ref="B88:F88"/>
    <mergeCell ref="B84:F84"/>
    <mergeCell ref="B85:F85"/>
    <mergeCell ref="B86:F86"/>
    <mergeCell ref="B87:F87"/>
  </mergeCells>
  <pageMargins left="0.48" right="0.25" top="0.41" bottom="0.75" header="0.3" footer="0.3"/>
  <pageSetup paperSize="3" scale="43" orientation="landscape" r:id="rId3"/>
  <ignoredErrors>
    <ignoredError sqref="C55:D55" formulaRange="1"/>
  </ignoredErrors>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9" tint="0.39997558519241921"/>
  </sheetPr>
  <dimension ref="A1:R69"/>
  <sheetViews>
    <sheetView showGridLines="0" zoomScaleNormal="100" workbookViewId="0">
      <pane xSplit="1" ySplit="1" topLeftCell="B2" activePane="bottomRight" state="frozen"/>
      <selection pane="topRight" activeCell="B1" sqref="B1"/>
      <selection pane="bottomLeft" activeCell="A2" sqref="A2"/>
      <selection pane="bottomRight" activeCell="G4" sqref="G4:G6"/>
    </sheetView>
  </sheetViews>
  <sheetFormatPr defaultColWidth="9.140625" defaultRowHeight="12.75"/>
  <cols>
    <col min="1" max="1" width="18.5703125" style="1652" customWidth="1"/>
    <col min="2" max="2" width="16" style="1652" customWidth="1"/>
    <col min="3" max="3" width="29.140625" style="1652" customWidth="1"/>
    <col min="4" max="4" width="20.85546875" style="1662" customWidth="1"/>
    <col min="5" max="5" width="20.85546875" style="1339" customWidth="1"/>
    <col min="6" max="10" width="18.85546875" style="1652" customWidth="1"/>
    <col min="11" max="11" width="17.5703125" style="1652" customWidth="1"/>
    <col min="12" max="12" width="18.42578125" style="1652" customWidth="1"/>
    <col min="13" max="13" width="24.42578125" style="1652" customWidth="1"/>
    <col min="14" max="14" width="19.42578125" style="1652" customWidth="1"/>
    <col min="15" max="15" width="14.7109375" style="1652" customWidth="1"/>
    <col min="16" max="16" width="16.85546875" style="1652" customWidth="1"/>
    <col min="17" max="17" width="15.28515625" style="1652" customWidth="1"/>
    <col min="18" max="16384" width="9.140625" style="1652"/>
  </cols>
  <sheetData>
    <row r="1" spans="1:18" ht="57.75" customHeight="1">
      <c r="D1" s="1380" t="s">
        <v>1533</v>
      </c>
      <c r="E1" s="1360" t="s">
        <v>22</v>
      </c>
      <c r="F1" s="1429" t="s">
        <v>1515</v>
      </c>
      <c r="G1" s="1361" t="s">
        <v>28</v>
      </c>
      <c r="M1" s="1380" t="s">
        <v>1533</v>
      </c>
      <c r="N1" s="1360" t="s">
        <v>22</v>
      </c>
      <c r="O1" s="1429" t="s">
        <v>1515</v>
      </c>
      <c r="P1" s="1361" t="s">
        <v>28</v>
      </c>
    </row>
    <row r="2" spans="1:18" ht="19.5" customHeight="1" thickBot="1">
      <c r="D2" s="1349"/>
      <c r="E2" s="1349"/>
      <c r="F2" s="1349"/>
      <c r="G2" s="1354"/>
      <c r="H2" s="1178" t="s">
        <v>627</v>
      </c>
      <c r="I2" s="1354"/>
      <c r="J2" s="1354"/>
      <c r="K2" s="1354"/>
      <c r="L2" s="1354"/>
      <c r="M2" s="1354"/>
      <c r="N2" s="1354"/>
      <c r="O2" s="1354"/>
      <c r="P2" s="1354"/>
      <c r="Q2" s="1354"/>
    </row>
    <row r="3" spans="1:18" ht="26.25" thickBot="1">
      <c r="A3" s="1392"/>
      <c r="B3" s="2356"/>
      <c r="D3" s="1340"/>
      <c r="E3" s="1340"/>
      <c r="F3" s="1340"/>
      <c r="G3" s="1354"/>
      <c r="H3" s="1181" t="s">
        <v>7</v>
      </c>
      <c r="I3" s="2642" t="s">
        <v>8</v>
      </c>
      <c r="J3" s="2642" t="s">
        <v>9</v>
      </c>
      <c r="K3" s="2642" t="s">
        <v>10</v>
      </c>
      <c r="L3" s="2643" t="s">
        <v>482</v>
      </c>
      <c r="M3" s="2642" t="s">
        <v>11</v>
      </c>
      <c r="N3" s="2642" t="s">
        <v>12</v>
      </c>
      <c r="O3" s="2642" t="s">
        <v>13</v>
      </c>
      <c r="P3" s="2643" t="s">
        <v>14</v>
      </c>
      <c r="Q3" s="2643"/>
      <c r="R3" s="2734" t="s">
        <v>15</v>
      </c>
    </row>
    <row r="4" spans="1:18" ht="26.25" thickBot="1">
      <c r="A4" s="1380" t="s">
        <v>1533</v>
      </c>
      <c r="B4" s="1298"/>
      <c r="D4" s="1652"/>
      <c r="E4" s="1652"/>
      <c r="G4" s="2946" t="s">
        <v>1726</v>
      </c>
      <c r="H4" s="2959">
        <f>D15</f>
        <v>9907.68</v>
      </c>
      <c r="I4" s="2960">
        <f>D21</f>
        <v>500</v>
      </c>
      <c r="J4" s="2960">
        <f>D27</f>
        <v>6941.9225600000009</v>
      </c>
      <c r="K4" s="2960">
        <f>D37</f>
        <v>0</v>
      </c>
      <c r="L4" s="2960">
        <f>D43</f>
        <v>700</v>
      </c>
      <c r="M4" s="2960">
        <f>D49</f>
        <v>3250</v>
      </c>
      <c r="N4" s="2960">
        <f>D55</f>
        <v>0</v>
      </c>
      <c r="O4" s="2960">
        <f>D61</f>
        <v>0</v>
      </c>
      <c r="P4" s="2960">
        <v>0</v>
      </c>
      <c r="Q4" s="2960"/>
      <c r="R4" s="2979">
        <f>SUM(H4:P4)</f>
        <v>21299.602559999999</v>
      </c>
    </row>
    <row r="5" spans="1:18" ht="16.5" customHeight="1">
      <c r="A5" s="1663"/>
      <c r="B5" s="1298"/>
      <c r="E5" s="1662"/>
      <c r="F5" s="1662"/>
      <c r="G5" s="3205" t="s">
        <v>1753</v>
      </c>
      <c r="H5" s="2617">
        <v>10155.370000000001</v>
      </c>
      <c r="I5" s="2618">
        <v>500</v>
      </c>
      <c r="J5" s="2618">
        <v>7245.6516000000011</v>
      </c>
      <c r="K5" s="2618">
        <v>0</v>
      </c>
      <c r="L5" s="2618">
        <v>700</v>
      </c>
      <c r="M5" s="2618">
        <v>3250</v>
      </c>
      <c r="N5" s="2618">
        <v>0</v>
      </c>
      <c r="O5" s="2618">
        <v>0</v>
      </c>
      <c r="P5" s="2618">
        <v>0</v>
      </c>
      <c r="Q5" s="2618"/>
      <c r="R5" s="2735">
        <v>21851.0216</v>
      </c>
    </row>
    <row r="6" spans="1:18" ht="16.5" thickBot="1">
      <c r="A6" s="1506" t="s">
        <v>22</v>
      </c>
      <c r="B6" s="1429"/>
      <c r="C6" s="1352"/>
      <c r="D6" s="1652"/>
      <c r="E6" s="1652"/>
      <c r="G6" s="3206" t="s">
        <v>1754</v>
      </c>
      <c r="H6" s="2627">
        <f>E15</f>
        <v>10155.370000000001</v>
      </c>
      <c r="I6" s="2628">
        <f>E21</f>
        <v>500</v>
      </c>
      <c r="J6" s="2629">
        <f>E27</f>
        <v>9568.5222599999997</v>
      </c>
      <c r="K6" s="2628">
        <f>E37</f>
        <v>0</v>
      </c>
      <c r="L6" s="2628">
        <f>E43</f>
        <v>700</v>
      </c>
      <c r="M6" s="2628">
        <f>E49</f>
        <v>3250</v>
      </c>
      <c r="N6" s="2628">
        <f>E55</f>
        <v>0</v>
      </c>
      <c r="O6" s="2628">
        <f>E61</f>
        <v>0</v>
      </c>
      <c r="P6" s="2628">
        <v>0</v>
      </c>
      <c r="Q6" s="2628"/>
      <c r="R6" s="2736">
        <f>SUM(H6:P6)</f>
        <v>24173.892260000001</v>
      </c>
    </row>
    <row r="7" spans="1:18" s="1664" customFormat="1">
      <c r="A7" s="1429" t="s">
        <v>1515</v>
      </c>
      <c r="B7" s="1665"/>
      <c r="G7" s="2733"/>
      <c r="H7" s="2607"/>
      <c r="I7" s="2607"/>
      <c r="J7" s="2607"/>
      <c r="K7" s="2607"/>
      <c r="L7" s="2607"/>
      <c r="M7" s="2607"/>
      <c r="N7" s="2607"/>
      <c r="O7" s="2607"/>
      <c r="P7" s="2607"/>
      <c r="Q7" s="2607"/>
      <c r="R7" s="2607"/>
    </row>
    <row r="8" spans="1:18" s="1664" customFormat="1" ht="25.5">
      <c r="A8" s="1508" t="s">
        <v>28</v>
      </c>
      <c r="B8" s="2356"/>
      <c r="G8" s="1662"/>
      <c r="H8" s="1339"/>
      <c r="I8" s="1652"/>
      <c r="J8" s="1652"/>
      <c r="K8" s="1652"/>
      <c r="L8" s="1652"/>
      <c r="M8" s="1652"/>
      <c r="N8" s="1652"/>
      <c r="O8" s="1652"/>
      <c r="P8" s="1653" t="s">
        <v>17</v>
      </c>
      <c r="Q8" s="1652"/>
    </row>
    <row r="9" spans="1:18" s="1664" customFormat="1">
      <c r="A9" s="1410"/>
      <c r="B9" s="1410"/>
      <c r="E9" s="1662"/>
      <c r="F9" s="1339"/>
      <c r="G9" s="1652"/>
      <c r="H9" s="1652"/>
      <c r="I9" s="1652"/>
      <c r="J9" s="1652"/>
      <c r="K9" s="1652"/>
      <c r="L9" s="1652"/>
      <c r="M9" s="1652"/>
      <c r="O9" s="1652"/>
      <c r="P9" s="1653" t="s">
        <v>18</v>
      </c>
    </row>
    <row r="10" spans="1:18" s="1663" customFormat="1">
      <c r="A10" s="1653"/>
      <c r="B10" s="1653"/>
      <c r="C10" s="1454" t="s">
        <v>310</v>
      </c>
      <c r="D10" s="1454"/>
      <c r="E10" s="1454"/>
      <c r="F10" s="1454"/>
    </row>
    <row r="11" spans="1:18" ht="18" customHeight="1">
      <c r="A11" s="1653"/>
      <c r="B11" s="1653"/>
      <c r="D11" s="1652"/>
      <c r="E11" s="1663"/>
    </row>
    <row r="12" spans="1:18">
      <c r="A12" s="1653"/>
      <c r="B12" s="1653"/>
      <c r="C12" s="1434" t="s">
        <v>298</v>
      </c>
      <c r="D12" s="2766">
        <f>D15+D21+D27+D37+D43+D49+D55+D61</f>
        <v>21299.602559999999</v>
      </c>
      <c r="E12" s="1484">
        <f>E15+E21+E27+E37+E43+E49+E55+E61</f>
        <v>24173.892260000001</v>
      </c>
      <c r="F12" s="1638">
        <f>D12+E12</f>
        <v>45473.49482</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9907.68</v>
      </c>
      <c r="E15" s="1464">
        <f>SUM(E16:E19)</f>
        <v>10155.370000000001</v>
      </c>
      <c r="F15" s="1638">
        <f>SUM(F16:F19)</f>
        <v>20063.050000000003</v>
      </c>
      <c r="G15" s="1345"/>
      <c r="H15" s="1345"/>
    </row>
    <row r="16" spans="1:18" ht="13.5" customHeight="1">
      <c r="A16" s="1653"/>
      <c r="B16" s="1982">
        <v>0.13</v>
      </c>
      <c r="C16" s="1667" t="s">
        <v>744</v>
      </c>
      <c r="D16" s="2772">
        <v>9907.68</v>
      </c>
      <c r="E16" s="1669">
        <v>10155.370000000001</v>
      </c>
      <c r="F16" s="1426">
        <f>SUM(D16:E16)</f>
        <v>20063.050000000003</v>
      </c>
    </row>
    <row r="17" spans="1:7">
      <c r="A17" s="1653"/>
      <c r="B17" s="1982"/>
      <c r="C17" s="1667"/>
      <c r="D17" s="2784"/>
      <c r="E17" s="1668"/>
      <c r="F17" s="1661">
        <f>SUM(D17:E17)</f>
        <v>0</v>
      </c>
    </row>
    <row r="18" spans="1:7">
      <c r="A18" s="1653"/>
      <c r="B18" s="1982"/>
      <c r="C18" s="1667"/>
      <c r="D18" s="2784"/>
      <c r="E18" s="1668"/>
      <c r="F18" s="1661">
        <f>SUM(D18:E18)</f>
        <v>0</v>
      </c>
    </row>
    <row r="19" spans="1:7">
      <c r="A19" s="1653"/>
      <c r="B19" s="1982"/>
      <c r="C19" s="1667"/>
      <c r="D19" s="2794"/>
      <c r="E19" s="1578"/>
      <c r="F19" s="1661">
        <f>SUM(D19:E19)</f>
        <v>0</v>
      </c>
    </row>
    <row r="20" spans="1:7">
      <c r="A20" s="1653"/>
      <c r="B20" s="1449">
        <f>SUM(B16:B19)</f>
        <v>0.13</v>
      </c>
      <c r="C20" s="1488"/>
      <c r="D20" s="2770"/>
      <c r="E20" s="1490"/>
      <c r="F20" s="1492"/>
    </row>
    <row r="21" spans="1:7">
      <c r="A21" s="1653"/>
      <c r="B21" s="1433" t="s">
        <v>296</v>
      </c>
      <c r="C21" s="1597" t="s">
        <v>44</v>
      </c>
      <c r="D21" s="2771">
        <f>SUM(D22:D25)</f>
        <v>500</v>
      </c>
      <c r="E21" s="1464">
        <f>SUM(E22:E25)</f>
        <v>500</v>
      </c>
      <c r="F21" s="1638">
        <f>SUM(F22:F25)</f>
        <v>1000</v>
      </c>
      <c r="G21" s="1346" t="s">
        <v>6</v>
      </c>
    </row>
    <row r="22" spans="1:7">
      <c r="A22" s="1653"/>
      <c r="B22" s="1982">
        <f>(SUM(D22:E22)/2)/((80000+(80000*1.025))/2)</f>
        <v>6.1728395061728392E-3</v>
      </c>
      <c r="C22" s="1667"/>
      <c r="D22" s="2772">
        <v>500</v>
      </c>
      <c r="E22" s="1669">
        <v>500</v>
      </c>
      <c r="F22" s="1426">
        <f>SUM(D22:E22)</f>
        <v>1000</v>
      </c>
      <c r="G22" s="1347"/>
    </row>
    <row r="23" spans="1:7">
      <c r="A23" s="1653"/>
      <c r="B23" s="1982"/>
      <c r="C23" s="1667"/>
      <c r="D23" s="2773"/>
      <c r="E23" s="1444"/>
      <c r="F23" s="1661">
        <f>SUM(D23:E23)</f>
        <v>0</v>
      </c>
    </row>
    <row r="24" spans="1:7">
      <c r="A24" s="1653"/>
      <c r="B24" s="1982"/>
      <c r="C24" s="1667"/>
      <c r="D24" s="2774"/>
      <c r="E24" s="1443"/>
      <c r="F24" s="1661">
        <f>SUM(D24:E24)</f>
        <v>0</v>
      </c>
    </row>
    <row r="25" spans="1:7" s="1664" customFormat="1">
      <c r="A25" s="1410"/>
      <c r="B25" s="1982"/>
      <c r="C25" s="1667"/>
      <c r="D25" s="2775"/>
      <c r="E25" s="1444"/>
      <c r="F25" s="1661">
        <f>SUM(D25:E25)</f>
        <v>0</v>
      </c>
    </row>
    <row r="26" spans="1:7">
      <c r="A26" s="1653"/>
      <c r="B26" s="1449">
        <f>SUM(B22:B25)</f>
        <v>6.1728395061728392E-3</v>
      </c>
      <c r="C26" s="1424"/>
      <c r="D26" s="2776"/>
      <c r="E26" s="1431"/>
      <c r="F26" s="1439"/>
    </row>
    <row r="27" spans="1:7" s="1664" customFormat="1">
      <c r="A27" s="1410"/>
      <c r="B27" s="1653"/>
      <c r="C27" s="1597" t="s">
        <v>1737</v>
      </c>
      <c r="D27" s="2771">
        <f>SUM(D29:D35)</f>
        <v>6941.9225600000009</v>
      </c>
      <c r="E27" s="1657">
        <f>SUM(E29:E31)+SUM(E33:E35)</f>
        <v>9568.5222599999997</v>
      </c>
      <c r="F27" s="1638">
        <f>SUM(F29:F35)</f>
        <v>16510.444820000001</v>
      </c>
    </row>
    <row r="28" spans="1:7">
      <c r="A28" s="1653"/>
      <c r="B28" s="1653"/>
      <c r="C28" s="1450" t="s">
        <v>1733</v>
      </c>
      <c r="D28" s="2777">
        <v>0.66700000000000004</v>
      </c>
      <c r="E28" s="1452">
        <v>0.68799999999999994</v>
      </c>
      <c r="F28" s="1485"/>
    </row>
    <row r="29" spans="1:7">
      <c r="A29" s="1653"/>
      <c r="B29" s="1653"/>
      <c r="C29" s="1667" t="s">
        <v>719</v>
      </c>
      <c r="D29" s="2778">
        <f>D15*D28</f>
        <v>6608.4225600000009</v>
      </c>
      <c r="E29" s="1641">
        <f>E15*E28</f>
        <v>6986.8945599999997</v>
      </c>
      <c r="F29" s="1661">
        <f>SUM(D29:E29)</f>
        <v>13595.31712</v>
      </c>
    </row>
    <row r="30" spans="1:7">
      <c r="A30" s="1653"/>
      <c r="B30" s="1653"/>
      <c r="C30" s="1667" t="s">
        <v>720</v>
      </c>
      <c r="D30" s="2785">
        <f>D21*D28</f>
        <v>333.5</v>
      </c>
      <c r="E30" s="1641">
        <f>E21*E28</f>
        <v>344</v>
      </c>
      <c r="F30" s="1661">
        <f>SUM(D30:E30)</f>
        <v>677.5</v>
      </c>
    </row>
    <row r="31" spans="1:7">
      <c r="A31" s="1653"/>
      <c r="B31" s="1653"/>
      <c r="C31" s="1667"/>
      <c r="D31" s="2774"/>
      <c r="E31" s="1443"/>
      <c r="F31" s="1661">
        <f>SUM(D31:E31)</f>
        <v>0</v>
      </c>
    </row>
    <row r="32" spans="1:7">
      <c r="A32" s="1653"/>
      <c r="B32" s="1653"/>
      <c r="C32" s="1450" t="s">
        <v>1734</v>
      </c>
      <c r="D32" s="2777"/>
      <c r="E32" s="1452">
        <v>0.21</v>
      </c>
      <c r="F32" s="1485"/>
    </row>
    <row r="33" spans="1:7">
      <c r="A33" s="1653"/>
      <c r="B33" s="1350"/>
      <c r="C33" s="1667" t="s">
        <v>719</v>
      </c>
      <c r="D33" s="2778"/>
      <c r="E33" s="1641">
        <f>E15*E32</f>
        <v>2132.6277</v>
      </c>
      <c r="F33" s="1661">
        <f>SUM(D33:E33)</f>
        <v>2132.6277</v>
      </c>
    </row>
    <row r="34" spans="1:7">
      <c r="A34" s="1350"/>
      <c r="B34" s="1653"/>
      <c r="C34" s="1667" t="s">
        <v>720</v>
      </c>
      <c r="D34" s="2785"/>
      <c r="E34" s="1641">
        <f>E21*E32</f>
        <v>105</v>
      </c>
      <c r="F34" s="1661">
        <f t="shared" ref="F34" si="0">SUM(D34:E34)</f>
        <v>105</v>
      </c>
      <c r="G34" s="1348"/>
    </row>
    <row r="35" spans="1:7" ht="25.5">
      <c r="A35" s="1380" t="s">
        <v>1533</v>
      </c>
      <c r="B35" s="1410"/>
      <c r="C35" s="1445"/>
      <c r="D35" s="2775"/>
      <c r="E35" s="1444"/>
      <c r="F35" s="1661">
        <f>SUM(D35:E35)</f>
        <v>0</v>
      </c>
    </row>
    <row r="36" spans="1:7" s="1664" customFormat="1">
      <c r="A36" s="1506" t="s">
        <v>22</v>
      </c>
      <c r="B36" s="1653"/>
      <c r="C36" s="1488"/>
      <c r="D36" s="2779"/>
      <c r="E36" s="1490"/>
      <c r="F36" s="1493"/>
    </row>
    <row r="37" spans="1:7">
      <c r="A37" s="1429" t="s">
        <v>1515</v>
      </c>
      <c r="B37" s="1653"/>
      <c r="C37" s="1597" t="s">
        <v>46</v>
      </c>
      <c r="D37" s="2771">
        <v>0</v>
      </c>
      <c r="E37" s="1464">
        <v>0</v>
      </c>
      <c r="F37" s="1638">
        <v>0</v>
      </c>
    </row>
    <row r="38" spans="1:7">
      <c r="A38" s="1508" t="s">
        <v>28</v>
      </c>
      <c r="B38" s="1653"/>
      <c r="C38" s="1667"/>
      <c r="D38" s="2778"/>
      <c r="E38" s="1672"/>
      <c r="F38" s="1661">
        <v>0</v>
      </c>
    </row>
    <row r="39" spans="1:7">
      <c r="A39" s="1429"/>
      <c r="B39" s="1653"/>
      <c r="C39" s="1667"/>
      <c r="D39" s="2778"/>
      <c r="E39" s="1672"/>
      <c r="F39" s="1661">
        <v>0</v>
      </c>
    </row>
    <row r="40" spans="1:7">
      <c r="A40" s="1508"/>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700</v>
      </c>
      <c r="E43" s="1464">
        <f>SUM(E44:E47)</f>
        <v>700</v>
      </c>
      <c r="F43" s="1638">
        <f t="shared" ref="F43:F59" si="1">SUM(D43:E43)</f>
        <v>1400</v>
      </c>
    </row>
    <row r="44" spans="1:7">
      <c r="A44" s="1653"/>
      <c r="B44" s="1653"/>
      <c r="C44" s="1667"/>
      <c r="D44" s="2778">
        <v>700</v>
      </c>
      <c r="E44" s="1672">
        <v>700</v>
      </c>
      <c r="F44" s="1661">
        <f t="shared" si="1"/>
        <v>1400</v>
      </c>
    </row>
    <row r="45" spans="1:7">
      <c r="A45" s="1653"/>
      <c r="B45" s="1653"/>
      <c r="C45" s="1667"/>
      <c r="D45" s="2778"/>
      <c r="E45" s="1672"/>
      <c r="F45" s="1661">
        <f t="shared" si="1"/>
        <v>0</v>
      </c>
    </row>
    <row r="46" spans="1:7">
      <c r="A46" s="1653"/>
      <c r="B46" s="1653"/>
      <c r="C46" s="1667"/>
      <c r="D46" s="2778"/>
      <c r="E46" s="1672"/>
      <c r="F46" s="1661">
        <f t="shared" si="1"/>
        <v>0</v>
      </c>
    </row>
    <row r="47" spans="1:7">
      <c r="A47" s="1653"/>
      <c r="B47" s="1653"/>
      <c r="C47" s="1667"/>
      <c r="D47" s="2778"/>
      <c r="E47" s="1672"/>
      <c r="F47" s="1661">
        <f t="shared" si="1"/>
        <v>0</v>
      </c>
    </row>
    <row r="48" spans="1:7">
      <c r="A48" s="1653"/>
      <c r="B48" s="1653"/>
      <c r="C48" s="1488"/>
      <c r="D48" s="2779"/>
      <c r="E48" s="1490"/>
      <c r="F48" s="1493"/>
    </row>
    <row r="49" spans="1:6">
      <c r="A49" s="1653"/>
      <c r="B49" s="1653"/>
      <c r="C49" s="1597" t="s">
        <v>47</v>
      </c>
      <c r="D49" s="2771">
        <f>SUM(D50:D53)</f>
        <v>3250</v>
      </c>
      <c r="E49" s="1464">
        <f>SUM(E50:E53)</f>
        <v>3250</v>
      </c>
      <c r="F49" s="1638">
        <f t="shared" si="1"/>
        <v>6500</v>
      </c>
    </row>
    <row r="50" spans="1:6">
      <c r="A50" s="1653"/>
      <c r="B50" s="1653"/>
      <c r="C50" s="1667" t="s">
        <v>1507</v>
      </c>
      <c r="D50" s="2778">
        <v>3250</v>
      </c>
      <c r="E50" s="1672">
        <v>3250</v>
      </c>
      <c r="F50" s="1661">
        <f t="shared" si="1"/>
        <v>6500</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B59" s="1653"/>
      <c r="C59" s="1667"/>
      <c r="D59" s="2778"/>
      <c r="E59" s="1641"/>
      <c r="F59" s="1661">
        <f t="shared" si="1"/>
        <v>0</v>
      </c>
    </row>
    <row r="60" spans="1:6">
      <c r="A60" s="1653"/>
      <c r="B60" s="1653"/>
      <c r="C60" s="1488"/>
      <c r="D60" s="2779"/>
      <c r="E60" s="1490"/>
      <c r="F60" s="1493"/>
    </row>
    <row r="61" spans="1:6">
      <c r="A61" s="1653"/>
      <c r="C61" s="1597" t="s">
        <v>49</v>
      </c>
      <c r="D61" s="2771">
        <f>SUM(D62:D63)</f>
        <v>0</v>
      </c>
      <c r="E61" s="1464">
        <f>SUM(E62:E63)</f>
        <v>0</v>
      </c>
      <c r="F61" s="1638">
        <f>SUM(F62:F63)</f>
        <v>0</v>
      </c>
    </row>
    <row r="62" spans="1:6">
      <c r="C62" s="1667"/>
      <c r="D62" s="2778"/>
      <c r="E62" s="1672"/>
      <c r="F62" s="1661">
        <f>SUM(D62:E62)</f>
        <v>0</v>
      </c>
    </row>
    <row r="63" spans="1:6">
      <c r="C63" s="1667"/>
      <c r="D63" s="2778"/>
      <c r="E63" s="1672"/>
      <c r="F63" s="1661">
        <f>SUM(D63:E63)</f>
        <v>0</v>
      </c>
    </row>
    <row r="64" spans="1:6">
      <c r="C64" s="1667"/>
      <c r="D64" s="2778"/>
      <c r="E64" s="1672"/>
      <c r="F64" s="1437">
        <v>0</v>
      </c>
    </row>
    <row r="65" spans="3:6">
      <c r="C65" s="1667"/>
      <c r="D65" s="2778"/>
      <c r="E65" s="1672"/>
      <c r="F65" s="1661">
        <v>0</v>
      </c>
    </row>
    <row r="66" spans="3:6">
      <c r="C66" s="1597"/>
      <c r="D66" s="2771"/>
      <c r="E66" s="1464"/>
      <c r="F66" s="1638"/>
    </row>
    <row r="67" spans="3:6">
      <c r="C67" s="1500"/>
      <c r="D67" s="2781"/>
      <c r="E67" s="1496"/>
      <c r="F67" s="1499"/>
    </row>
    <row r="68" spans="3:6">
      <c r="C68" s="1501"/>
      <c r="D68" s="2782"/>
      <c r="E68" s="1497"/>
      <c r="F68" s="1498"/>
    </row>
    <row r="69" spans="3:6">
      <c r="C69" s="1494"/>
      <c r="D69" s="2778"/>
      <c r="E69" s="1671"/>
      <c r="F69" s="1491"/>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pageMargins left="0.45" right="0.2" top="0.75" bottom="0.75" header="0.3" footer="0.3"/>
  <pageSetup paperSize="3" scale="55" orientation="landscape" horizontalDpi="1200" verticalDpi="12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ABF8F"/>
  </sheetPr>
  <dimension ref="A1:S79"/>
  <sheetViews>
    <sheetView showGridLines="0" workbookViewId="0">
      <pane xSplit="1" ySplit="1" topLeftCell="B2" activePane="bottomRight" state="frozen"/>
      <selection pane="topRight" activeCell="B1" sqref="B1"/>
      <selection pane="bottomLeft" activeCell="A2" sqref="A2"/>
      <selection pane="bottomRight" activeCell="H6" sqref="H6"/>
    </sheetView>
  </sheetViews>
  <sheetFormatPr defaultRowHeight="12.75"/>
  <cols>
    <col min="1" max="1" width="18.140625" style="849" customWidth="1"/>
    <col min="2" max="2" width="57.85546875" customWidth="1"/>
    <col min="3" max="5" width="17.5703125" customWidth="1"/>
    <col min="6" max="8" width="17.85546875" customWidth="1"/>
    <col min="9" max="9" width="20.7109375" customWidth="1"/>
    <col min="10" max="10" width="20.42578125" customWidth="1"/>
    <col min="11" max="11" width="22" customWidth="1"/>
    <col min="12" max="13" width="17.140625" customWidth="1"/>
    <col min="14" max="14" width="19.85546875" customWidth="1"/>
    <col min="15" max="19" width="19.5703125" customWidth="1"/>
  </cols>
  <sheetData>
    <row r="1" spans="1:19" ht="59.25" customHeight="1">
      <c r="B1" s="1389" t="s">
        <v>255</v>
      </c>
      <c r="C1" s="1357" t="s">
        <v>256</v>
      </c>
      <c r="D1" s="1389" t="s">
        <v>129</v>
      </c>
      <c r="E1" s="1390" t="s">
        <v>28</v>
      </c>
      <c r="H1" s="1357"/>
      <c r="I1" s="380"/>
      <c r="J1" s="356"/>
      <c r="K1" s="1389" t="s">
        <v>255</v>
      </c>
      <c r="L1" s="1357" t="s">
        <v>256</v>
      </c>
      <c r="M1" s="1389" t="s">
        <v>129</v>
      </c>
      <c r="N1" s="1413" t="s">
        <v>28</v>
      </c>
    </row>
    <row r="2" spans="1:19" ht="21" thickBot="1">
      <c r="B2" s="360"/>
      <c r="C2" s="379"/>
      <c r="D2" s="379"/>
      <c r="E2" s="379"/>
      <c r="F2" s="379"/>
      <c r="G2" s="387"/>
      <c r="H2" s="380"/>
      <c r="I2" s="380"/>
      <c r="J2" s="356"/>
      <c r="K2" s="356"/>
      <c r="L2" s="356"/>
      <c r="M2" s="356"/>
      <c r="N2" s="356"/>
    </row>
    <row r="3" spans="1:19" ht="38.25">
      <c r="A3" s="1389" t="s">
        <v>255</v>
      </c>
      <c r="G3" s="944"/>
      <c r="H3" s="2737" t="s">
        <v>7</v>
      </c>
      <c r="I3" s="2738" t="s">
        <v>8</v>
      </c>
      <c r="J3" s="2738" t="s">
        <v>77</v>
      </c>
      <c r="K3" s="2738" t="s">
        <v>10</v>
      </c>
      <c r="L3" s="2738" t="s">
        <v>482</v>
      </c>
      <c r="M3" s="2738" t="s">
        <v>11</v>
      </c>
      <c r="N3" s="2738" t="s">
        <v>12</v>
      </c>
      <c r="O3" s="2738" t="s">
        <v>13</v>
      </c>
      <c r="P3" s="2738" t="s">
        <v>78</v>
      </c>
      <c r="Q3" s="2738" t="s">
        <v>36</v>
      </c>
      <c r="R3" s="2738" t="s">
        <v>15</v>
      </c>
      <c r="S3" s="2739" t="s">
        <v>37</v>
      </c>
    </row>
    <row r="4" spans="1:19" ht="26.25">
      <c r="A4" s="1389" t="s">
        <v>129</v>
      </c>
      <c r="G4" s="2946" t="s">
        <v>1726</v>
      </c>
      <c r="H4" s="2972">
        <f>C14</f>
        <v>0</v>
      </c>
      <c r="I4" s="2973">
        <f>C15</f>
        <v>0</v>
      </c>
      <c r="J4" s="2973">
        <f>C34</f>
        <v>0</v>
      </c>
      <c r="K4" s="2973">
        <f>C32</f>
        <v>0</v>
      </c>
      <c r="L4" s="2973">
        <f>C23</f>
        <v>0</v>
      </c>
      <c r="M4" s="2973">
        <f>C41</f>
        <v>0</v>
      </c>
      <c r="N4" s="2973">
        <f>C30</f>
        <v>0</v>
      </c>
      <c r="O4" s="2973">
        <f>C25</f>
        <v>0</v>
      </c>
      <c r="P4" s="2973">
        <f>C11</f>
        <v>0</v>
      </c>
      <c r="Q4" s="2973"/>
      <c r="R4" s="2978">
        <f>SUM(H4:P4)</f>
        <v>0</v>
      </c>
      <c r="S4" s="2980">
        <v>0</v>
      </c>
    </row>
    <row r="5" spans="1:19" ht="15.75">
      <c r="A5" s="1357" t="s">
        <v>256</v>
      </c>
      <c r="G5" s="3205" t="s">
        <v>1753</v>
      </c>
      <c r="H5" s="2703">
        <v>0</v>
      </c>
      <c r="I5" s="2704">
        <v>0</v>
      </c>
      <c r="J5" s="2704">
        <v>0</v>
      </c>
      <c r="K5" s="2704">
        <v>0</v>
      </c>
      <c r="L5" s="2704">
        <v>11760</v>
      </c>
      <c r="M5" s="2716">
        <v>0</v>
      </c>
      <c r="N5" s="2705">
        <v>8240</v>
      </c>
      <c r="O5" s="2705">
        <v>0</v>
      </c>
      <c r="P5" s="2706">
        <v>0</v>
      </c>
      <c r="Q5" s="2706"/>
      <c r="R5" s="2730">
        <v>20000</v>
      </c>
      <c r="S5" s="2740">
        <v>0</v>
      </c>
    </row>
    <row r="6" spans="1:19" ht="16.5" thickBot="1">
      <c r="A6" s="1390" t="s">
        <v>28</v>
      </c>
      <c r="G6" s="3206" t="s">
        <v>1754</v>
      </c>
      <c r="H6" s="2709">
        <f>D14</f>
        <v>0</v>
      </c>
      <c r="I6" s="2710">
        <f>D15</f>
        <v>0</v>
      </c>
      <c r="J6" s="2710">
        <f>D34</f>
        <v>0</v>
      </c>
      <c r="K6" s="2710">
        <f>D32</f>
        <v>0</v>
      </c>
      <c r="L6" s="2710">
        <f>D23</f>
        <v>0</v>
      </c>
      <c r="M6" s="2717">
        <f>D41</f>
        <v>0</v>
      </c>
      <c r="N6" s="2711">
        <f>D30</f>
        <v>0</v>
      </c>
      <c r="O6" s="2711">
        <f>D25</f>
        <v>0</v>
      </c>
      <c r="P6" s="2712">
        <f>D11</f>
        <v>0</v>
      </c>
      <c r="Q6" s="2712"/>
      <c r="R6" s="2731">
        <f>SUM(H6:P6)</f>
        <v>0</v>
      </c>
      <c r="S6" s="2741">
        <v>0</v>
      </c>
    </row>
    <row r="7" spans="1:19" s="1173" customFormat="1">
      <c r="G7" s="1842"/>
      <c r="H7" s="2689"/>
      <c r="I7" s="2689"/>
      <c r="J7" s="2689"/>
      <c r="K7" s="2689"/>
      <c r="L7" s="2689"/>
      <c r="M7" s="2689"/>
      <c r="N7" s="2689"/>
      <c r="O7" s="2689"/>
      <c r="P7" s="2689"/>
      <c r="Q7" s="2689"/>
      <c r="R7" s="2689"/>
      <c r="S7" s="2689"/>
    </row>
    <row r="8" spans="1:19" ht="20.25">
      <c r="A8" s="1357"/>
      <c r="B8" s="360"/>
      <c r="C8" s="379"/>
      <c r="D8" s="379"/>
      <c r="E8" s="379"/>
      <c r="F8" s="379"/>
      <c r="G8" s="387"/>
      <c r="H8" s="380"/>
      <c r="I8" s="380"/>
      <c r="J8" s="356"/>
      <c r="K8" s="356"/>
      <c r="L8" s="356"/>
      <c r="M8" s="356"/>
      <c r="N8" s="363"/>
    </row>
    <row r="9" spans="1:19" ht="18">
      <c r="C9" s="387"/>
      <c r="D9" s="387"/>
      <c r="E9" s="387"/>
      <c r="F9" s="378"/>
      <c r="G9" s="378"/>
      <c r="H9" s="378"/>
      <c r="I9" s="378"/>
      <c r="J9" s="356"/>
      <c r="K9" s="356"/>
      <c r="L9" s="356"/>
      <c r="M9" s="356"/>
      <c r="N9" s="356"/>
    </row>
    <row r="10" spans="1:19" ht="18">
      <c r="B10" s="361"/>
      <c r="C10" s="2827">
        <v>2016</v>
      </c>
      <c r="D10" s="388">
        <v>2017</v>
      </c>
      <c r="E10" s="389" t="s">
        <v>20</v>
      </c>
      <c r="F10" s="366"/>
      <c r="G10" s="366"/>
      <c r="H10" s="366"/>
      <c r="I10" s="744"/>
      <c r="J10" s="737"/>
      <c r="K10" s="363"/>
      <c r="L10" s="363"/>
      <c r="M10" s="363"/>
      <c r="N10" s="356"/>
    </row>
    <row r="11" spans="1:19">
      <c r="B11" s="712" t="s">
        <v>80</v>
      </c>
      <c r="C11" s="2828">
        <v>0</v>
      </c>
      <c r="D11" s="731">
        <v>0</v>
      </c>
      <c r="E11" s="732">
        <f>SUM(C11:D11)</f>
        <v>0</v>
      </c>
      <c r="F11" s="366"/>
      <c r="G11" s="366"/>
      <c r="H11" s="366"/>
      <c r="I11" s="738"/>
      <c r="J11" s="739"/>
      <c r="K11" s="363"/>
      <c r="L11" s="356"/>
      <c r="M11" s="356"/>
      <c r="N11" s="356"/>
    </row>
    <row r="12" spans="1:19" ht="18">
      <c r="B12" s="713"/>
      <c r="C12" s="2829"/>
      <c r="D12" s="708"/>
      <c r="E12" s="722"/>
      <c r="F12" s="366"/>
      <c r="G12" s="366"/>
      <c r="H12" s="366"/>
      <c r="I12" s="738"/>
      <c r="J12" s="740"/>
      <c r="K12" s="363"/>
      <c r="L12" s="356"/>
      <c r="M12" s="356"/>
      <c r="N12" s="356"/>
    </row>
    <row r="13" spans="1:19">
      <c r="B13" s="712" t="s">
        <v>83</v>
      </c>
      <c r="C13" s="2830"/>
      <c r="D13" s="854">
        <f>D14+D15</f>
        <v>0</v>
      </c>
      <c r="E13" s="867">
        <f>E14+E15</f>
        <v>0</v>
      </c>
      <c r="F13" s="364"/>
      <c r="G13" s="364"/>
      <c r="H13" s="364"/>
      <c r="I13" s="738"/>
      <c r="J13" s="740"/>
      <c r="K13" s="356"/>
      <c r="L13" s="356"/>
      <c r="M13" s="356"/>
      <c r="N13" s="356"/>
    </row>
    <row r="14" spans="1:19">
      <c r="B14" s="714" t="s">
        <v>85</v>
      </c>
      <c r="C14" s="2831">
        <v>0</v>
      </c>
      <c r="D14" s="729">
        <v>0</v>
      </c>
      <c r="E14" s="727">
        <f>SUM(C14:D14)</f>
        <v>0</v>
      </c>
      <c r="F14" s="377"/>
      <c r="G14" s="367" t="s">
        <v>86</v>
      </c>
      <c r="H14" s="365"/>
      <c r="I14" s="738"/>
      <c r="J14" s="740"/>
      <c r="K14" s="356"/>
      <c r="L14" s="356"/>
      <c r="M14" s="356"/>
      <c r="N14" s="356"/>
    </row>
    <row r="15" spans="1:19">
      <c r="B15" s="714" t="s">
        <v>89</v>
      </c>
      <c r="C15" s="2831">
        <v>0</v>
      </c>
      <c r="D15" s="729">
        <v>0</v>
      </c>
      <c r="E15" s="867">
        <f>SUM(C15:D15)</f>
        <v>0</v>
      </c>
      <c r="F15" s="377"/>
      <c r="G15" s="367" t="s">
        <v>86</v>
      </c>
      <c r="H15" s="365"/>
      <c r="I15" s="825"/>
      <c r="J15" s="736"/>
      <c r="K15" s="356"/>
      <c r="L15" s="356"/>
      <c r="M15" s="356"/>
      <c r="N15" s="356"/>
    </row>
    <row r="16" spans="1:19">
      <c r="B16" s="714"/>
      <c r="C16" s="2832"/>
      <c r="D16" s="708"/>
      <c r="E16" s="722"/>
      <c r="F16" s="365"/>
      <c r="G16" s="365"/>
      <c r="H16" s="365"/>
      <c r="I16" s="738"/>
      <c r="J16" s="736"/>
      <c r="K16" s="356"/>
      <c r="L16" s="356"/>
      <c r="M16" s="376"/>
    </row>
    <row r="17" spans="1:19">
      <c r="B17" s="820" t="s">
        <v>483</v>
      </c>
      <c r="C17" s="2830"/>
      <c r="D17" s="708"/>
      <c r="E17" s="722"/>
      <c r="F17" s="364"/>
      <c r="G17" s="364"/>
      <c r="H17" s="365"/>
      <c r="I17" s="738"/>
      <c r="J17" s="736"/>
      <c r="K17" s="356"/>
      <c r="L17" s="356"/>
      <c r="M17" s="356"/>
    </row>
    <row r="18" spans="1:19">
      <c r="B18" s="707" t="s">
        <v>90</v>
      </c>
      <c r="C18" s="2833">
        <v>0</v>
      </c>
      <c r="D18" s="729">
        <v>0</v>
      </c>
      <c r="E18" s="727">
        <f>SUM(C18:D18)</f>
        <v>0</v>
      </c>
      <c r="F18" s="381"/>
      <c r="G18" s="381"/>
      <c r="H18" s="364"/>
      <c r="I18" s="738"/>
      <c r="J18" s="736"/>
      <c r="K18" s="356"/>
      <c r="L18" s="356"/>
      <c r="M18" s="356"/>
    </row>
    <row r="19" spans="1:19">
      <c r="B19" s="714" t="s">
        <v>91</v>
      </c>
      <c r="C19" s="2833">
        <v>0</v>
      </c>
      <c r="D19" s="729">
        <v>0</v>
      </c>
      <c r="E19" s="867">
        <f>SUM(C19:D19)</f>
        <v>0</v>
      </c>
      <c r="F19" s="356"/>
      <c r="G19" s="364"/>
      <c r="H19" s="381"/>
      <c r="I19" s="738"/>
      <c r="J19" s="736"/>
      <c r="K19" s="356"/>
      <c r="L19" s="356"/>
      <c r="M19" s="356"/>
      <c r="S19">
        <f>1095*3</f>
        <v>3285</v>
      </c>
    </row>
    <row r="20" spans="1:19">
      <c r="B20" s="714" t="s">
        <v>94</v>
      </c>
      <c r="C20" s="2833">
        <v>0</v>
      </c>
      <c r="D20" s="729">
        <v>0</v>
      </c>
      <c r="E20" s="867">
        <f>SUM(C20:D20)</f>
        <v>0</v>
      </c>
      <c r="F20" s="364"/>
      <c r="G20" s="364"/>
      <c r="H20" s="364"/>
      <c r="I20" s="738"/>
      <c r="J20" s="743"/>
      <c r="K20" s="356"/>
      <c r="L20" s="356"/>
      <c r="M20" s="356"/>
      <c r="S20">
        <f>S19/15</f>
        <v>219</v>
      </c>
    </row>
    <row r="21" spans="1:19" s="1652" customFormat="1">
      <c r="B21" s="824" t="s">
        <v>517</v>
      </c>
      <c r="C21" s="2833"/>
      <c r="D21" s="854"/>
      <c r="E21" s="867">
        <f>SUM(C21:D21)</f>
        <v>0</v>
      </c>
      <c r="F21" s="393"/>
      <c r="G21" s="393"/>
      <c r="H21" s="393"/>
      <c r="I21" s="1848"/>
      <c r="J21" s="743"/>
      <c r="K21" s="1839"/>
      <c r="L21" s="1839"/>
      <c r="M21" s="1839"/>
    </row>
    <row r="22" spans="1:19" ht="15">
      <c r="B22" s="714" t="s">
        <v>97</v>
      </c>
      <c r="C22" s="2834">
        <v>0</v>
      </c>
      <c r="D22" s="1853">
        <v>0</v>
      </c>
      <c r="E22" s="1854">
        <f>SUM(C22:D22)</f>
        <v>0</v>
      </c>
      <c r="F22" s="364"/>
      <c r="G22" s="364"/>
      <c r="H22" s="382"/>
      <c r="I22" s="734"/>
      <c r="J22" s="735"/>
      <c r="K22" s="356"/>
      <c r="L22" s="356"/>
      <c r="M22" s="356"/>
    </row>
    <row r="23" spans="1:19">
      <c r="B23" s="707"/>
      <c r="C23" s="2835">
        <f>SUM(C18:C22)</f>
        <v>0</v>
      </c>
      <c r="D23" s="718">
        <f>SUM(D18:D22)</f>
        <v>0</v>
      </c>
      <c r="E23" s="733">
        <f>SUM(E18:E22)</f>
        <v>0</v>
      </c>
      <c r="F23" s="364"/>
      <c r="G23" s="364"/>
      <c r="H23" s="382"/>
      <c r="I23" s="738"/>
      <c r="J23" s="746"/>
      <c r="K23" s="356"/>
      <c r="L23" s="356"/>
      <c r="M23" s="356"/>
    </row>
    <row r="24" spans="1:19">
      <c r="B24" s="708"/>
      <c r="C24" s="2836"/>
      <c r="D24" s="708"/>
      <c r="E24" s="722"/>
      <c r="F24" s="364"/>
      <c r="G24" s="364"/>
      <c r="H24" s="382"/>
      <c r="I24" s="742" t="s">
        <v>92</v>
      </c>
      <c r="J24" s="745">
        <v>0</v>
      </c>
      <c r="K24" s="374" t="s">
        <v>124</v>
      </c>
      <c r="L24" s="356"/>
      <c r="M24" s="356"/>
    </row>
    <row r="25" spans="1:19">
      <c r="B25" s="712" t="s">
        <v>84</v>
      </c>
      <c r="C25" s="2835">
        <v>0</v>
      </c>
      <c r="D25" s="721">
        <v>0</v>
      </c>
      <c r="E25" s="733">
        <f>SUM(C25:D25)</f>
        <v>0</v>
      </c>
      <c r="F25" s="364"/>
      <c r="G25" s="364"/>
      <c r="H25" s="382"/>
      <c r="I25" s="742" t="s">
        <v>95</v>
      </c>
      <c r="J25" s="1836" t="s">
        <v>16</v>
      </c>
      <c r="K25" s="375"/>
      <c r="L25" s="356"/>
      <c r="M25" s="356"/>
    </row>
    <row r="26" spans="1:19">
      <c r="B26" s="708"/>
      <c r="C26" s="2836"/>
      <c r="D26" s="708"/>
      <c r="E26" s="722"/>
      <c r="F26" s="364"/>
      <c r="G26" s="364"/>
      <c r="H26" s="382"/>
      <c r="I26" s="742" t="s">
        <v>98</v>
      </c>
      <c r="J26" s="1836" t="s">
        <v>16</v>
      </c>
      <c r="K26" s="375"/>
      <c r="L26" s="356"/>
      <c r="M26" s="356"/>
    </row>
    <row r="27" spans="1:19">
      <c r="B27" s="711" t="s">
        <v>87</v>
      </c>
      <c r="C27" s="2836"/>
      <c r="D27" s="708"/>
      <c r="E27" s="722"/>
      <c r="F27" s="382"/>
      <c r="G27" s="382"/>
      <c r="H27" s="382"/>
      <c r="I27" s="741" t="s">
        <v>99</v>
      </c>
      <c r="J27" s="1852" t="s">
        <v>16</v>
      </c>
      <c r="K27" s="356"/>
      <c r="L27" s="356"/>
      <c r="M27" s="356"/>
    </row>
    <row r="28" spans="1:19">
      <c r="B28" s="707" t="s">
        <v>100</v>
      </c>
      <c r="C28" s="2836"/>
      <c r="D28" s="729"/>
      <c r="E28" s="727">
        <f>SUM(C28:D28)</f>
        <v>0</v>
      </c>
      <c r="F28" s="382"/>
      <c r="G28" s="382"/>
      <c r="H28" s="382"/>
      <c r="I28" s="366"/>
      <c r="J28" s="356"/>
      <c r="K28" s="356"/>
      <c r="L28" s="356"/>
      <c r="M28" s="356"/>
    </row>
    <row r="29" spans="1:19" ht="15">
      <c r="B29" s="708" t="s">
        <v>102</v>
      </c>
      <c r="C29" s="2837">
        <v>0</v>
      </c>
      <c r="D29" s="1853">
        <v>0</v>
      </c>
      <c r="E29" s="1854">
        <f>SUM(C29:D29)</f>
        <v>0</v>
      </c>
      <c r="F29" s="382"/>
      <c r="G29" s="382"/>
      <c r="H29" s="382"/>
      <c r="I29" s="366"/>
      <c r="J29" s="356"/>
      <c r="K29" s="356"/>
      <c r="L29" s="356"/>
      <c r="M29" s="356"/>
    </row>
    <row r="30" spans="1:19">
      <c r="B30" s="711" t="s">
        <v>103</v>
      </c>
      <c r="C30" s="2838">
        <f>SUM(C28:C29)</f>
        <v>0</v>
      </c>
      <c r="D30" s="715">
        <f>SUM(D28:D29)</f>
        <v>0</v>
      </c>
      <c r="E30" s="733">
        <f>SUM(E28:E29)</f>
        <v>0</v>
      </c>
      <c r="F30" s="382"/>
      <c r="G30" s="382"/>
      <c r="H30" s="382"/>
      <c r="I30" s="366"/>
      <c r="J30" s="356"/>
      <c r="K30" s="356"/>
      <c r="L30" s="356"/>
      <c r="M30" s="356"/>
    </row>
    <row r="31" spans="1:19">
      <c r="B31" s="708"/>
      <c r="C31" s="2836"/>
      <c r="D31" s="708"/>
      <c r="E31" s="722"/>
      <c r="F31" s="382"/>
      <c r="G31" s="382"/>
      <c r="H31" s="382"/>
      <c r="I31" s="366"/>
      <c r="J31" s="356"/>
      <c r="K31" s="356"/>
      <c r="L31" s="356"/>
      <c r="M31" s="356"/>
    </row>
    <row r="32" spans="1:19" ht="38.25">
      <c r="A32" s="1389" t="s">
        <v>255</v>
      </c>
      <c r="B32" s="711" t="s">
        <v>88</v>
      </c>
      <c r="C32" s="2838">
        <v>0</v>
      </c>
      <c r="D32" s="730">
        <v>0</v>
      </c>
      <c r="E32" s="733">
        <f>SUM(C32:D32)</f>
        <v>0</v>
      </c>
      <c r="F32" s="382"/>
      <c r="G32" s="382"/>
      <c r="H32" s="382"/>
      <c r="I32" s="366"/>
    </row>
    <row r="33" spans="1:11">
      <c r="A33" s="1357" t="s">
        <v>256</v>
      </c>
      <c r="B33" s="708"/>
      <c r="C33" s="2836"/>
      <c r="D33" s="708"/>
      <c r="E33" s="722"/>
      <c r="F33" s="2145">
        <v>0.66700000000000004</v>
      </c>
      <c r="G33" s="2157" t="s">
        <v>659</v>
      </c>
      <c r="H33" s="382"/>
      <c r="I33" s="366"/>
    </row>
    <row r="34" spans="1:11" ht="25.5">
      <c r="A34" s="1389" t="s">
        <v>129</v>
      </c>
      <c r="B34" s="2371" t="s">
        <v>9</v>
      </c>
      <c r="C34" s="2836">
        <f>C14*F33</f>
        <v>0</v>
      </c>
      <c r="D34" s="659">
        <f>D13*F34</f>
        <v>0</v>
      </c>
      <c r="E34" s="653">
        <f>SUM(C34:D34)</f>
        <v>0</v>
      </c>
      <c r="F34" s="2145">
        <v>0.68799999999999994</v>
      </c>
      <c r="G34" s="2144" t="s">
        <v>660</v>
      </c>
      <c r="H34" s="382"/>
      <c r="I34" s="366"/>
    </row>
    <row r="35" spans="1:11" s="1652" customFormat="1" ht="13.5" customHeight="1">
      <c r="A35" s="1663" t="s">
        <v>28</v>
      </c>
      <c r="B35" s="816" t="s">
        <v>1732</v>
      </c>
      <c r="C35" s="2836"/>
      <c r="D35" s="659">
        <f>D13*F35</f>
        <v>0</v>
      </c>
      <c r="E35" s="841">
        <f>C35+D35</f>
        <v>0</v>
      </c>
      <c r="F35" s="3015">
        <v>0.21</v>
      </c>
      <c r="G35" s="2144" t="s">
        <v>1735</v>
      </c>
      <c r="K35" s="1088"/>
    </row>
    <row r="36" spans="1:11" s="1567" customFormat="1" ht="13.5" customHeight="1">
      <c r="B36" s="3022" t="s">
        <v>231</v>
      </c>
      <c r="C36" s="2838"/>
      <c r="D36" s="2377">
        <f>D34+D35</f>
        <v>0</v>
      </c>
      <c r="E36" s="2382">
        <f>E34+E35</f>
        <v>0</v>
      </c>
      <c r="F36" s="3023"/>
      <c r="G36" s="3024"/>
      <c r="K36" s="946"/>
    </row>
    <row r="37" spans="1:11" s="1652" customFormat="1" ht="13.5" customHeight="1">
      <c r="B37" s="816"/>
      <c r="C37" s="2836"/>
      <c r="D37" s="659"/>
      <c r="E37" s="841"/>
      <c r="F37" s="3015"/>
      <c r="G37" s="2144"/>
      <c r="K37" s="1088"/>
    </row>
    <row r="38" spans="1:11">
      <c r="A38" s="1413"/>
      <c r="B38" s="708"/>
      <c r="C38" s="2836"/>
      <c r="D38" s="719"/>
      <c r="E38" s="724"/>
      <c r="H38" s="382"/>
      <c r="I38" s="366"/>
    </row>
    <row r="39" spans="1:11">
      <c r="B39" s="709" t="s">
        <v>11</v>
      </c>
      <c r="C39" s="2836"/>
      <c r="D39" s="719"/>
      <c r="E39" s="724"/>
      <c r="F39" s="382"/>
      <c r="G39" s="357"/>
      <c r="H39" s="382"/>
      <c r="I39" s="362"/>
    </row>
    <row r="40" spans="1:11">
      <c r="B40" s="717" t="s">
        <v>121</v>
      </c>
      <c r="C40" s="2833">
        <v>0</v>
      </c>
      <c r="D40" s="720"/>
      <c r="E40" s="723">
        <v>0</v>
      </c>
      <c r="F40" s="382"/>
      <c r="G40" s="357"/>
      <c r="H40" s="382"/>
      <c r="I40" s="362"/>
    </row>
    <row r="41" spans="1:11">
      <c r="B41" s="716" t="s">
        <v>107</v>
      </c>
      <c r="C41" s="2835">
        <f>SUM(C40)</f>
        <v>0</v>
      </c>
      <c r="D41" s="718">
        <f>SUM(D40)</f>
        <v>0</v>
      </c>
      <c r="E41" s="723">
        <f>SUM(E40)</f>
        <v>0</v>
      </c>
      <c r="F41" s="382"/>
      <c r="G41" s="357"/>
      <c r="H41" s="382"/>
      <c r="I41" s="362"/>
    </row>
    <row r="42" spans="1:11">
      <c r="B42" s="717"/>
      <c r="C42" s="2833"/>
      <c r="D42" s="720"/>
      <c r="E42" s="723"/>
      <c r="F42" s="382"/>
      <c r="G42" s="357"/>
      <c r="H42" s="382"/>
      <c r="I42" s="362"/>
    </row>
    <row r="43" spans="1:11" ht="13.5" thickBot="1">
      <c r="B43" s="717"/>
      <c r="C43" s="2833"/>
      <c r="D43" s="720"/>
      <c r="E43" s="723"/>
      <c r="F43" s="382"/>
      <c r="G43" s="357"/>
      <c r="H43" s="382"/>
      <c r="I43" s="362"/>
    </row>
    <row r="44" spans="1:11" ht="13.5" thickBot="1">
      <c r="B44" s="716" t="s">
        <v>108</v>
      </c>
      <c r="C44" s="2839">
        <f>C11+C14+C15+C23+C25+C30+C32+C34+C41</f>
        <v>0</v>
      </c>
      <c r="D44" s="842">
        <f>D11+D14+D15+D23+D25+D30+D32+D36+D41</f>
        <v>0</v>
      </c>
      <c r="E44" s="1844">
        <f>E11+E14+E15+E23+E25+E30+E32+E36+E41</f>
        <v>0</v>
      </c>
      <c r="F44" s="382"/>
      <c r="G44" s="383"/>
      <c r="H44" s="382"/>
      <c r="I44" s="362"/>
    </row>
    <row r="45" spans="1:11">
      <c r="B45" s="710"/>
      <c r="C45" s="2840"/>
      <c r="D45" s="720"/>
      <c r="E45" s="720"/>
      <c r="F45" s="382"/>
      <c r="G45" s="383"/>
      <c r="H45" s="382"/>
      <c r="I45" s="362"/>
    </row>
    <row r="46" spans="1:11">
      <c r="B46" s="707"/>
      <c r="C46" s="2841">
        <v>2016</v>
      </c>
      <c r="D46" s="728">
        <v>2017</v>
      </c>
      <c r="E46" s="728" t="s">
        <v>20</v>
      </c>
      <c r="F46" s="356"/>
      <c r="G46" s="383"/>
      <c r="H46" s="382"/>
      <c r="I46" s="362"/>
    </row>
    <row r="47" spans="1:11">
      <c r="B47" s="337" t="s">
        <v>126</v>
      </c>
      <c r="C47" s="2842">
        <v>0</v>
      </c>
      <c r="D47" s="725">
        <v>0</v>
      </c>
      <c r="E47" s="726">
        <v>0</v>
      </c>
      <c r="F47" s="373" t="s">
        <v>71</v>
      </c>
      <c r="G47" s="383"/>
      <c r="H47" s="382"/>
      <c r="I47" s="362"/>
    </row>
    <row r="48" spans="1:11">
      <c r="B48" s="356"/>
      <c r="C48" s="356"/>
      <c r="D48" s="356"/>
      <c r="E48" s="356"/>
      <c r="F48" s="356"/>
      <c r="G48" s="383"/>
      <c r="H48" s="382"/>
      <c r="I48" s="362"/>
    </row>
    <row r="49" spans="2:10">
      <c r="B49" s="386"/>
      <c r="C49" s="390"/>
      <c r="D49" s="390"/>
      <c r="E49" s="356"/>
      <c r="F49" s="356"/>
      <c r="G49" s="383"/>
      <c r="H49" s="382"/>
      <c r="I49" s="362"/>
    </row>
    <row r="50" spans="2:10">
      <c r="B50" s="356"/>
      <c r="C50" s="356"/>
      <c r="D50" s="356"/>
      <c r="E50" s="356"/>
      <c r="F50" s="356"/>
      <c r="G50" s="383"/>
      <c r="H50" s="382"/>
      <c r="I50" s="362"/>
    </row>
    <row r="51" spans="2:10">
      <c r="B51" s="356"/>
      <c r="C51" s="385"/>
      <c r="D51" s="385"/>
      <c r="E51" s="385"/>
      <c r="F51" s="368"/>
      <c r="G51" s="382"/>
      <c r="H51" s="382"/>
      <c r="I51" s="362"/>
      <c r="J51" s="356"/>
    </row>
    <row r="52" spans="2:10">
      <c r="B52" s="356"/>
      <c r="C52" s="385"/>
      <c r="D52" s="385"/>
      <c r="E52" s="385"/>
      <c r="F52" s="368"/>
      <c r="G52" s="382"/>
      <c r="H52" s="384"/>
      <c r="I52" s="369"/>
      <c r="J52" s="359"/>
    </row>
    <row r="53" spans="2:10">
      <c r="B53" s="356"/>
      <c r="C53" s="385"/>
      <c r="D53" s="385"/>
      <c r="E53" s="385"/>
      <c r="F53" s="368"/>
      <c r="G53" s="382"/>
      <c r="H53" s="370"/>
      <c r="I53" s="370"/>
      <c r="J53" s="359"/>
    </row>
    <row r="54" spans="2:10" ht="20.25">
      <c r="B54" s="360"/>
      <c r="C54" s="385"/>
      <c r="D54" s="385"/>
      <c r="E54" s="385"/>
      <c r="F54" s="368"/>
      <c r="G54" s="382"/>
      <c r="H54" s="370"/>
      <c r="I54" s="370"/>
      <c r="J54" s="359"/>
    </row>
    <row r="55" spans="2:10">
      <c r="B55" s="356"/>
      <c r="C55" s="385"/>
      <c r="D55" s="385"/>
      <c r="E55" s="385"/>
      <c r="F55" s="368"/>
      <c r="G55" s="384"/>
      <c r="H55" s="370"/>
      <c r="I55" s="370"/>
      <c r="J55" s="359"/>
    </row>
    <row r="56" spans="2:10">
      <c r="B56" s="358"/>
      <c r="C56" s="356"/>
      <c r="D56" s="356"/>
      <c r="E56" s="356"/>
      <c r="F56" s="356"/>
      <c r="G56" s="370"/>
      <c r="H56" s="370"/>
      <c r="I56" s="370"/>
      <c r="J56" s="359"/>
    </row>
    <row r="57" spans="2:10">
      <c r="B57" s="356"/>
      <c r="C57" s="384"/>
      <c r="D57" s="384"/>
      <c r="E57" s="384"/>
      <c r="F57" s="370"/>
      <c r="G57" s="370"/>
      <c r="H57" s="370"/>
      <c r="I57" s="370"/>
      <c r="J57" s="359"/>
    </row>
    <row r="58" spans="2:10">
      <c r="B58" s="356"/>
      <c r="C58" s="370"/>
      <c r="D58" s="370"/>
      <c r="E58" s="370"/>
      <c r="F58" s="370"/>
      <c r="G58" s="370"/>
      <c r="H58" s="370"/>
      <c r="I58" s="370"/>
      <c r="J58" s="359"/>
    </row>
    <row r="59" spans="2:10">
      <c r="B59" s="356"/>
      <c r="C59" s="370"/>
      <c r="D59" s="370"/>
      <c r="E59" s="370"/>
      <c r="F59" s="384"/>
      <c r="G59" s="370"/>
      <c r="H59" s="384"/>
      <c r="I59" s="370"/>
      <c r="J59" s="359"/>
    </row>
    <row r="60" spans="2:10" ht="15.75">
      <c r="B60" s="371"/>
      <c r="C60" s="372"/>
      <c r="D60" s="372"/>
      <c r="E60" s="372"/>
      <c r="F60" s="384"/>
      <c r="G60" s="370"/>
      <c r="H60" s="384"/>
      <c r="I60" s="369"/>
      <c r="J60" s="359"/>
    </row>
    <row r="61" spans="2:10">
      <c r="B61" s="359"/>
      <c r="C61" s="359"/>
      <c r="D61" s="359"/>
      <c r="E61" s="359"/>
      <c r="F61" s="384"/>
      <c r="G61" s="370"/>
      <c r="H61" s="384"/>
      <c r="I61" s="369"/>
      <c r="J61" s="359"/>
    </row>
    <row r="62" spans="2:10">
      <c r="B62" s="356"/>
      <c r="C62" s="356"/>
      <c r="D62" s="356"/>
      <c r="E62" s="356"/>
      <c r="F62" s="384"/>
      <c r="G62" s="384"/>
      <c r="H62" s="384"/>
      <c r="I62" s="369"/>
      <c r="J62" s="359"/>
    </row>
    <row r="63" spans="2:10">
      <c r="B63" s="356"/>
      <c r="C63" s="356"/>
      <c r="D63" s="356"/>
      <c r="E63" s="356"/>
      <c r="F63" s="384"/>
      <c r="G63" s="384"/>
      <c r="H63" s="384"/>
      <c r="I63" s="369"/>
      <c r="J63" s="359"/>
    </row>
    <row r="64" spans="2:10">
      <c r="B64" s="356"/>
      <c r="C64" s="356"/>
      <c r="D64" s="356"/>
      <c r="E64" s="356"/>
      <c r="F64" s="384"/>
      <c r="G64" s="384"/>
      <c r="H64" s="384"/>
      <c r="I64" s="369"/>
      <c r="J64" s="359"/>
    </row>
    <row r="65" spans="2:10">
      <c r="B65" s="356"/>
      <c r="C65" s="356"/>
      <c r="D65" s="356"/>
      <c r="E65" s="356"/>
      <c r="F65" s="356"/>
      <c r="G65" s="384"/>
      <c r="H65" s="384"/>
      <c r="I65" s="369"/>
      <c r="J65" s="359"/>
    </row>
    <row r="66" spans="2:10">
      <c r="F66" s="356"/>
      <c r="G66" s="384"/>
      <c r="H66" s="384"/>
      <c r="I66" s="369"/>
      <c r="J66" s="359"/>
    </row>
    <row r="67" spans="2:10">
      <c r="F67" s="356"/>
      <c r="G67" s="384"/>
      <c r="H67" s="384"/>
      <c r="I67" s="369"/>
      <c r="J67" s="359"/>
    </row>
    <row r="68" spans="2:10">
      <c r="F68" s="356"/>
      <c r="G68" s="384"/>
      <c r="H68" s="370"/>
      <c r="I68" s="370"/>
      <c r="J68" s="359"/>
    </row>
    <row r="69" spans="2:10">
      <c r="F69" s="356"/>
      <c r="G69" s="384"/>
      <c r="H69" s="370"/>
      <c r="I69" s="370"/>
      <c r="J69" s="359"/>
    </row>
    <row r="70" spans="2:10">
      <c r="F70" s="356"/>
      <c r="G70" s="384"/>
      <c r="H70" s="370"/>
      <c r="I70" s="370"/>
      <c r="J70" s="359"/>
    </row>
    <row r="71" spans="2:10">
      <c r="F71" s="370"/>
      <c r="G71" s="370"/>
      <c r="H71" s="370"/>
      <c r="I71" s="370"/>
      <c r="J71" s="359"/>
    </row>
    <row r="72" spans="2:10">
      <c r="F72" s="370"/>
      <c r="G72" s="370"/>
      <c r="H72" s="370"/>
      <c r="I72" s="370"/>
      <c r="J72" s="359"/>
    </row>
    <row r="73" spans="2:10">
      <c r="F73" s="370"/>
      <c r="G73" s="370"/>
      <c r="H73" s="370"/>
      <c r="I73" s="370"/>
      <c r="J73" s="359"/>
    </row>
    <row r="74" spans="2:10" ht="15.75">
      <c r="F74" s="372"/>
      <c r="G74" s="370"/>
      <c r="H74" s="372"/>
      <c r="I74" s="372"/>
      <c r="J74" s="359"/>
    </row>
    <row r="75" spans="2:10">
      <c r="F75" s="359"/>
      <c r="G75" s="370"/>
      <c r="H75" s="359"/>
      <c r="I75" s="359"/>
      <c r="J75" s="359"/>
    </row>
    <row r="76" spans="2:10">
      <c r="F76" s="356"/>
      <c r="G76" s="370"/>
      <c r="H76" s="356"/>
      <c r="I76" s="356"/>
      <c r="J76" s="356"/>
    </row>
    <row r="77" spans="2:10" ht="15.75">
      <c r="F77" s="356"/>
      <c r="G77" s="372"/>
      <c r="H77" s="356"/>
      <c r="I77" s="356"/>
      <c r="J77" s="356"/>
    </row>
    <row r="78" spans="2:10">
      <c r="F78" s="356"/>
      <c r="G78" s="359"/>
      <c r="H78" s="356"/>
      <c r="I78" s="356"/>
      <c r="J78" s="356"/>
    </row>
    <row r="79" spans="2:10">
      <c r="H79" s="356"/>
      <c r="I79" s="356"/>
      <c r="J79" s="356"/>
    </row>
  </sheetData>
  <customSheetViews>
    <customSheetView guid="{D9EFFE19-D14B-4C6F-BDF4-FF696F73968D}" showGridLines="0">
      <pane xSplit="1" ySplit="1" topLeftCell="B17" activePane="bottomRight" state="frozen"/>
      <selection pane="bottomRight" activeCell="D35" sqref="D35"/>
      <pageMargins left="0.31" right="0.21" top="0.37" bottom="0.75" header="0.3" footer="0.3"/>
      <pageSetup paperSize="17" scale="72" orientation="landscape" r:id="rId1"/>
    </customSheetView>
    <customSheetView guid="{074EB09C-6289-46D7-9513-012B68BCA7BF}" showGridLines="0">
      <pane xSplit="1" ySplit="1" topLeftCell="B2" activePane="bottomRight" state="frozen"/>
      <selection pane="bottomRight" activeCell="G4" sqref="G4:G6"/>
      <pageMargins left="0.31" right="0.21" top="0.37" bottom="0.75" header="0.3" footer="0.3"/>
      <pageSetup paperSize="17" scale="72" orientation="landscape" r:id="rId2"/>
    </customSheetView>
  </customSheetViews>
  <pageMargins left="0.31" right="0.21" top="0.37" bottom="0.75" header="0.3" footer="0.3"/>
  <pageSetup paperSize="3" scale="50" orientation="landscape" r:id="rId3"/>
  <drawing r:id="rId4"/>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rgb="FFFABF8F"/>
  </sheetPr>
  <dimension ref="A1:AS108"/>
  <sheetViews>
    <sheetView showGridLines="0" workbookViewId="0">
      <pane xSplit="1" ySplit="1" topLeftCell="B10" activePane="bottomRight" state="frozen"/>
      <selection pane="topRight" activeCell="B1" sqref="B1"/>
      <selection pane="bottomLeft" activeCell="A2" sqref="A2"/>
      <selection pane="bottomRight" activeCell="A64" sqref="A64"/>
    </sheetView>
  </sheetViews>
  <sheetFormatPr defaultRowHeight="12.75"/>
  <cols>
    <col min="1" max="1" width="18" customWidth="1"/>
    <col min="3" max="3" width="33.42578125" customWidth="1"/>
    <col min="4" max="4" width="12.140625" customWidth="1"/>
    <col min="5" max="5" width="12.28515625" customWidth="1"/>
    <col min="6" max="6" width="11.28515625" bestFit="1" customWidth="1"/>
    <col min="8" max="8" width="39.42578125" customWidth="1"/>
    <col min="9" max="26" width="14.140625" customWidth="1"/>
  </cols>
  <sheetData>
    <row r="1" spans="1:45" ht="57" customHeight="1" thickBot="1">
      <c r="A1" s="1652"/>
      <c r="B1" s="1652"/>
      <c r="C1" s="1361" t="s">
        <v>1463</v>
      </c>
      <c r="D1" s="1361" t="s">
        <v>262</v>
      </c>
      <c r="E1" s="1361" t="s">
        <v>5</v>
      </c>
      <c r="F1" s="1361">
        <v>18230251</v>
      </c>
      <c r="G1" s="1361" t="s">
        <v>28</v>
      </c>
      <c r="H1" s="1652"/>
      <c r="I1" s="1652"/>
      <c r="J1" s="1190"/>
      <c r="K1" s="1652"/>
      <c r="L1" s="1652"/>
      <c r="M1" s="1361" t="s">
        <v>1463</v>
      </c>
      <c r="N1" s="1361" t="s">
        <v>262</v>
      </c>
      <c r="O1" s="1361" t="s">
        <v>5</v>
      </c>
      <c r="P1" s="1361">
        <v>18230251</v>
      </c>
      <c r="Q1" s="1361" t="s">
        <v>28</v>
      </c>
      <c r="R1" s="1652"/>
      <c r="S1" s="1652"/>
      <c r="T1" s="1652"/>
      <c r="U1" s="1652"/>
      <c r="V1" s="1361" t="s">
        <v>1463</v>
      </c>
      <c r="W1" s="1361" t="s">
        <v>262</v>
      </c>
      <c r="X1" s="1361" t="s">
        <v>5</v>
      </c>
      <c r="Y1" s="1361">
        <v>18230251</v>
      </c>
      <c r="Z1" s="1361" t="s">
        <v>28</v>
      </c>
      <c r="AA1" s="1652"/>
      <c r="AB1" s="1652"/>
      <c r="AC1" s="1652"/>
      <c r="AD1" s="1652"/>
      <c r="AE1" s="1652"/>
      <c r="AF1" s="1652"/>
      <c r="AG1" s="1652"/>
      <c r="AH1" s="1652"/>
      <c r="AI1" s="1652"/>
      <c r="AJ1" s="1652"/>
      <c r="AK1" s="1652"/>
      <c r="AL1" s="1652"/>
      <c r="AM1" s="1652"/>
      <c r="AN1" s="1652"/>
      <c r="AO1" s="1652"/>
      <c r="AP1" s="1652"/>
      <c r="AQ1" s="1652"/>
      <c r="AR1" s="1652"/>
    </row>
    <row r="2" spans="1:45" ht="17.25" customHeight="1" thickBot="1">
      <c r="A2" s="1652"/>
      <c r="B2" s="1652"/>
      <c r="C2" s="1190"/>
      <c r="D2" s="1177"/>
      <c r="E2" s="1663"/>
      <c r="F2" s="1652"/>
      <c r="G2" s="1652"/>
      <c r="H2" s="1652"/>
      <c r="I2" s="1178" t="s">
        <v>627</v>
      </c>
      <c r="J2" s="1652"/>
      <c r="K2" s="1652"/>
      <c r="L2" s="1652"/>
      <c r="M2" s="1652"/>
      <c r="N2" s="1652"/>
      <c r="O2" s="1652"/>
      <c r="P2" s="1652"/>
      <c r="Q2" s="1652"/>
      <c r="R2" s="1652"/>
      <c r="S2" s="2212"/>
      <c r="T2" s="2212"/>
      <c r="U2" s="2213" t="s">
        <v>33</v>
      </c>
      <c r="V2" s="2214"/>
      <c r="W2" s="2215"/>
      <c r="X2" s="2210" t="s">
        <v>34</v>
      </c>
      <c r="Y2" s="1652"/>
      <c r="Z2" s="1652"/>
      <c r="AA2" s="1652"/>
      <c r="AB2" s="1652"/>
      <c r="AC2" s="1652"/>
      <c r="AD2" s="1652"/>
      <c r="AE2" s="1652"/>
      <c r="AF2" s="1652"/>
      <c r="AG2" s="1652"/>
      <c r="AH2" s="1652"/>
      <c r="AI2" s="1652"/>
      <c r="AJ2" s="1652"/>
      <c r="AK2" s="1652"/>
      <c r="AL2" s="1652"/>
      <c r="AM2" s="1652"/>
      <c r="AN2" s="1652"/>
      <c r="AO2" s="1652"/>
      <c r="AP2" s="1652"/>
      <c r="AQ2" s="1652"/>
      <c r="AR2" s="1652"/>
      <c r="AS2" s="1652"/>
    </row>
    <row r="3" spans="1:45" ht="26.25" thickBot="1">
      <c r="A3" s="2221" t="s">
        <v>1463</v>
      </c>
      <c r="B3" s="2221"/>
      <c r="C3" s="1652"/>
      <c r="D3" s="1652"/>
      <c r="E3" s="1663"/>
      <c r="F3" s="1652"/>
      <c r="G3" s="1652"/>
      <c r="H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2211"/>
      <c r="Y3" s="1652"/>
      <c r="Z3" s="1652"/>
      <c r="AA3" s="1652"/>
      <c r="AB3" s="1652"/>
      <c r="AC3" s="1652"/>
      <c r="AD3" s="1652"/>
      <c r="AE3" s="1652"/>
      <c r="AF3" s="1652"/>
      <c r="AG3" s="1652"/>
      <c r="AH3" s="1652"/>
      <c r="AI3" s="1652"/>
      <c r="AJ3" s="1652"/>
      <c r="AK3" s="1652"/>
      <c r="AL3" s="1652"/>
      <c r="AM3" s="1652"/>
      <c r="AN3" s="1652"/>
      <c r="AO3" s="1652"/>
      <c r="AP3" s="1652"/>
      <c r="AQ3" s="1652"/>
      <c r="AR3" s="1652"/>
      <c r="AS3" s="1652"/>
    </row>
    <row r="4" spans="1:45" ht="16.5" thickBot="1">
      <c r="A4" s="2221" t="s">
        <v>262</v>
      </c>
      <c r="B4" s="2221"/>
      <c r="C4" s="1190"/>
      <c r="D4" s="1652"/>
      <c r="E4" s="1663"/>
      <c r="F4" s="1652"/>
      <c r="G4" s="1652"/>
      <c r="H4" s="2946" t="s">
        <v>1726</v>
      </c>
      <c r="I4" s="2959">
        <f>D15</f>
        <v>16313.94</v>
      </c>
      <c r="J4" s="2960">
        <f>D21</f>
        <v>0</v>
      </c>
      <c r="K4" s="2960">
        <f>D27</f>
        <v>10881.397980000002</v>
      </c>
      <c r="L4" s="2960">
        <f>D37</f>
        <v>0</v>
      </c>
      <c r="M4" s="2960">
        <f>D43</f>
        <v>0</v>
      </c>
      <c r="N4" s="2960">
        <f>D49</f>
        <v>315</v>
      </c>
      <c r="O4" s="2960">
        <f>D55</f>
        <v>0</v>
      </c>
      <c r="P4" s="2960">
        <f>D62</f>
        <v>4725</v>
      </c>
      <c r="Q4" s="2960">
        <f>D67</f>
        <v>12549.1975</v>
      </c>
      <c r="R4" s="2960">
        <f>D68</f>
        <v>0</v>
      </c>
      <c r="S4" s="2961">
        <f>SUM(I4:R4)</f>
        <v>44784.535480000006</v>
      </c>
      <c r="T4" s="2963">
        <f>T15</f>
        <v>18915</v>
      </c>
      <c r="U4" s="2954">
        <f>Q4/S4</f>
        <v>0.28021274231155646</v>
      </c>
      <c r="V4" s="2954">
        <f>(L4+(J4*1.63))/S4</f>
        <v>0</v>
      </c>
      <c r="W4" s="2954">
        <f>N4/S4</f>
        <v>7.0336779565498345E-3</v>
      </c>
      <c r="X4" s="2953">
        <f>S4/T4</f>
        <v>2.367673036214645</v>
      </c>
      <c r="Y4" s="1652"/>
      <c r="Z4" s="1652"/>
      <c r="AA4" s="1652"/>
      <c r="AB4" s="1652"/>
      <c r="AC4" s="1652"/>
      <c r="AD4" s="1652"/>
      <c r="AE4" s="1652"/>
      <c r="AF4" s="1652"/>
      <c r="AG4" s="1652"/>
      <c r="AH4" s="1652"/>
      <c r="AI4" s="1652"/>
      <c r="AJ4" s="1652"/>
      <c r="AK4" s="1652"/>
      <c r="AL4" s="1652"/>
      <c r="AM4" s="1652"/>
      <c r="AN4" s="1652"/>
      <c r="AO4" s="1652"/>
      <c r="AP4" s="1652"/>
      <c r="AQ4" s="1652"/>
      <c r="AR4" s="1652"/>
      <c r="AS4" s="1652"/>
    </row>
    <row r="5" spans="1:45" ht="16.5" thickBot="1">
      <c r="A5" s="2221" t="s">
        <v>5</v>
      </c>
      <c r="C5" s="1177"/>
      <c r="D5" s="1652"/>
      <c r="E5" s="1663"/>
      <c r="F5" s="1353"/>
      <c r="G5" s="1353"/>
      <c r="H5" s="3205" t="s">
        <v>1753</v>
      </c>
      <c r="I5" s="2617">
        <v>16721.820000000003</v>
      </c>
      <c r="J5" s="2618">
        <v>0</v>
      </c>
      <c r="K5" s="2618">
        <v>11370.837600000003</v>
      </c>
      <c r="L5" s="2618">
        <v>0</v>
      </c>
      <c r="M5" s="2618">
        <v>0</v>
      </c>
      <c r="N5" s="2618">
        <v>315</v>
      </c>
      <c r="O5" s="2618">
        <v>0</v>
      </c>
      <c r="P5" s="2618">
        <v>4725</v>
      </c>
      <c r="Q5" s="2618">
        <v>13277.1325</v>
      </c>
      <c r="R5" s="2618">
        <v>0</v>
      </c>
      <c r="S5" s="2619">
        <v>46409.790100000006</v>
      </c>
      <c r="T5" s="2640">
        <v>19875</v>
      </c>
      <c r="U5" s="1187">
        <f>Q5/S5</f>
        <v>0.28608473495336922</v>
      </c>
      <c r="V5" s="1187">
        <f>(L5+(J5*1.63))/S5</f>
        <v>0</v>
      </c>
      <c r="W5" s="1187">
        <f>N5/S5</f>
        <v>6.7873610141580875E-3</v>
      </c>
      <c r="X5" s="1155">
        <f>S5/T5</f>
        <v>2.3350837786163523</v>
      </c>
      <c r="Y5" s="1652"/>
      <c r="Z5" s="1652"/>
      <c r="AA5" s="1652"/>
      <c r="AB5" s="1652"/>
      <c r="AC5" s="1652"/>
      <c r="AD5" s="1652"/>
      <c r="AE5" s="1652"/>
      <c r="AF5" s="1652"/>
      <c r="AG5" s="1652"/>
      <c r="AH5" s="1652"/>
      <c r="AI5" s="1652"/>
      <c r="AJ5" s="1652"/>
      <c r="AK5" s="1652"/>
      <c r="AL5" s="1652"/>
      <c r="AM5" s="1652"/>
      <c r="AN5" s="1652"/>
      <c r="AO5" s="1652"/>
      <c r="AP5" s="1652"/>
      <c r="AQ5" s="1652"/>
      <c r="AR5" s="1652"/>
      <c r="AS5" s="1652"/>
    </row>
    <row r="6" spans="1:45" ht="16.5" thickBot="1">
      <c r="A6" s="1361">
        <v>18230251</v>
      </c>
      <c r="B6" s="2221"/>
      <c r="C6" s="1652"/>
      <c r="D6" s="1190"/>
      <c r="E6" s="1663"/>
      <c r="F6" s="1652"/>
      <c r="G6" s="1652"/>
      <c r="H6" s="3206" t="s">
        <v>1754</v>
      </c>
      <c r="I6" s="2621">
        <f>E15</f>
        <v>16721.820000000003</v>
      </c>
      <c r="J6" s="2622">
        <f>E21</f>
        <v>0</v>
      </c>
      <c r="K6" s="2623">
        <f>E27</f>
        <v>15016.194360000001</v>
      </c>
      <c r="L6" s="2622">
        <f>E37</f>
        <v>0</v>
      </c>
      <c r="M6" s="2622">
        <f>E43</f>
        <v>0</v>
      </c>
      <c r="N6" s="2622">
        <f>E49</f>
        <v>315</v>
      </c>
      <c r="O6" s="2622">
        <f>E55</f>
        <v>0</v>
      </c>
      <c r="P6" s="2622">
        <f>E62</f>
        <v>4725</v>
      </c>
      <c r="Q6" s="2622">
        <f>E67</f>
        <v>0</v>
      </c>
      <c r="R6" s="2622">
        <f>E68</f>
        <v>0</v>
      </c>
      <c r="S6" s="2624">
        <f>SUM(I6:R6)</f>
        <v>36778.014360000001</v>
      </c>
      <c r="T6" s="2646">
        <f>U15</f>
        <v>0</v>
      </c>
      <c r="U6" s="2631">
        <f>Q6/S6</f>
        <v>0</v>
      </c>
      <c r="V6" s="2631">
        <f>(L6+(J6*1.63))/S6</f>
        <v>0</v>
      </c>
      <c r="W6" s="2631">
        <f>N6/S6</f>
        <v>8.5648995869281076E-3</v>
      </c>
      <c r="X6" s="2626" t="e">
        <f>S6/T6</f>
        <v>#DIV/0!</v>
      </c>
      <c r="Y6" s="1652"/>
      <c r="Z6" s="1652"/>
      <c r="AA6" s="1652"/>
      <c r="AB6" s="1652"/>
      <c r="AC6" s="1652"/>
      <c r="AD6" s="1652"/>
      <c r="AE6" s="1652"/>
      <c r="AF6" s="1652"/>
      <c r="AG6" s="1652"/>
      <c r="AH6" s="1652"/>
      <c r="AI6" s="1652"/>
      <c r="AJ6" s="1652"/>
      <c r="AK6" s="1652"/>
      <c r="AL6" s="1652"/>
      <c r="AM6" s="1652"/>
      <c r="AN6" s="1652"/>
      <c r="AO6" s="1652"/>
      <c r="AP6" s="1652"/>
      <c r="AQ6" s="1652"/>
      <c r="AR6" s="1652"/>
      <c r="AS6" s="1652"/>
    </row>
    <row r="7" spans="1:45" ht="15.75">
      <c r="A7" s="2221" t="s">
        <v>28</v>
      </c>
      <c r="B7" s="2221"/>
      <c r="C7" s="1652"/>
      <c r="D7" s="1190"/>
      <c r="E7" s="1663"/>
      <c r="F7" s="1652"/>
      <c r="G7" s="2606"/>
      <c r="H7" s="2607"/>
      <c r="I7" s="2607"/>
      <c r="J7" s="2607"/>
      <c r="K7" s="2607"/>
      <c r="L7" s="2607"/>
      <c r="M7" s="2607"/>
      <c r="N7" s="2607"/>
      <c r="O7" s="2607"/>
      <c r="P7" s="2607"/>
      <c r="Q7" s="2607"/>
      <c r="R7" s="2607"/>
      <c r="S7" s="2639"/>
      <c r="T7" s="2630"/>
      <c r="U7" s="2630"/>
      <c r="V7" s="2630"/>
      <c r="W7" s="2610"/>
      <c r="X7" s="1652"/>
      <c r="Y7" s="1652"/>
      <c r="Z7" s="1652"/>
      <c r="AA7" s="1652"/>
      <c r="AB7" s="1652"/>
      <c r="AC7" s="1652"/>
      <c r="AD7" s="1652"/>
      <c r="AE7" s="1652"/>
      <c r="AF7" s="1652"/>
      <c r="AG7" s="1652"/>
      <c r="AH7" s="1652"/>
      <c r="AI7" s="1652"/>
      <c r="AJ7" s="1652"/>
      <c r="AK7" s="1652"/>
      <c r="AL7" s="1652"/>
      <c r="AM7" s="1652"/>
      <c r="AN7" s="1652"/>
      <c r="AO7" s="1652"/>
      <c r="AP7" s="1652"/>
      <c r="AQ7" s="1652"/>
      <c r="AR7" s="1652"/>
    </row>
    <row r="8" spans="1:45" ht="15.75">
      <c r="A8" s="1663"/>
      <c r="B8" s="2221"/>
      <c r="C8" s="1652"/>
      <c r="D8" s="1190"/>
      <c r="E8" s="1663"/>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2"/>
      <c r="AF8" s="1652"/>
      <c r="AG8" s="1652"/>
      <c r="AH8" s="1652"/>
      <c r="AI8" s="1652"/>
      <c r="AJ8" s="1652"/>
      <c r="AK8" s="1652"/>
      <c r="AL8" s="1652"/>
      <c r="AM8" s="1652"/>
      <c r="AN8" s="1652"/>
      <c r="AO8" s="1652"/>
      <c r="AP8" s="1652"/>
      <c r="AQ8" s="1652"/>
      <c r="AR8" s="1652"/>
    </row>
    <row r="9" spans="1:45" ht="15.75">
      <c r="A9" s="2221"/>
      <c r="B9" s="2221"/>
      <c r="C9" s="1652"/>
      <c r="D9" s="1190"/>
      <c r="E9" s="1663"/>
      <c r="F9" s="1652"/>
      <c r="G9" s="1652"/>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A9" s="1652"/>
      <c r="AB9" s="1652"/>
      <c r="AC9" s="1652"/>
      <c r="AD9" s="1652"/>
      <c r="AE9" s="1652"/>
      <c r="AF9" s="1652"/>
      <c r="AG9" s="1652"/>
      <c r="AH9" s="1652"/>
      <c r="AI9" s="1652"/>
      <c r="AJ9" s="1652"/>
      <c r="AK9" s="1652"/>
      <c r="AL9" s="1652"/>
      <c r="AM9" s="1652"/>
      <c r="AN9" s="1652"/>
      <c r="AO9" s="1652"/>
      <c r="AP9" s="1652"/>
      <c r="AQ9" s="1652"/>
      <c r="AR9" s="1652"/>
    </row>
    <row r="10" spans="1:45">
      <c r="A10" s="2221"/>
      <c r="B10" s="2221"/>
      <c r="C10" s="1454" t="s">
        <v>310</v>
      </c>
      <c r="D10" s="1454"/>
      <c r="E10" s="1454"/>
      <c r="F10" s="1454"/>
      <c r="G10" s="1652"/>
      <c r="H10" s="2217" t="s">
        <v>300</v>
      </c>
      <c r="I10" s="2217"/>
      <c r="J10" s="2217"/>
      <c r="K10" s="2217"/>
      <c r="L10" s="2217"/>
      <c r="M10" s="2217"/>
      <c r="N10" s="2217"/>
      <c r="O10" s="2217"/>
      <c r="P10" s="2217"/>
      <c r="Q10" s="1465"/>
      <c r="R10" s="1465"/>
      <c r="S10" s="1465"/>
      <c r="T10" s="1465"/>
      <c r="U10" s="1465"/>
      <c r="V10" s="1465"/>
      <c r="W10" s="2217" t="s">
        <v>300</v>
      </c>
      <c r="X10" s="1465"/>
      <c r="Y10" s="1465"/>
      <c r="Z10" s="2217" t="s">
        <v>300</v>
      </c>
      <c r="AA10" s="1465"/>
      <c r="AB10" s="1652"/>
      <c r="AC10" s="1652"/>
      <c r="AD10" s="1652"/>
      <c r="AE10" s="1652"/>
      <c r="AF10" s="1652"/>
      <c r="AG10" s="1652"/>
      <c r="AH10" s="1652"/>
      <c r="AI10" s="1652"/>
      <c r="AJ10" s="1652"/>
      <c r="AK10" s="1652"/>
      <c r="AL10" s="1652"/>
      <c r="AM10" s="1652"/>
      <c r="AN10" s="1652"/>
      <c r="AO10" s="1652"/>
      <c r="AP10" s="1652"/>
      <c r="AQ10" s="1652"/>
      <c r="AR10" s="1652"/>
    </row>
    <row r="11" spans="1:45">
      <c r="A11" s="2221"/>
      <c r="B11" s="2221"/>
      <c r="C11" s="1652"/>
      <c r="D11" s="1652"/>
      <c r="E11" s="1663"/>
      <c r="F11" s="1652"/>
      <c r="G11" s="1652"/>
      <c r="H11" s="1456"/>
      <c r="I11" s="1457"/>
      <c r="J11" s="1457"/>
      <c r="K11" s="1456"/>
      <c r="L11" s="1456"/>
      <c r="M11" s="1456"/>
      <c r="N11" s="1456"/>
      <c r="O11" s="1456"/>
      <c r="P11" s="1456"/>
      <c r="Q11" s="1456"/>
      <c r="R11" s="1456"/>
      <c r="S11" s="1456"/>
      <c r="T11" s="1456"/>
      <c r="U11" s="1456"/>
      <c r="V11" s="1456"/>
      <c r="W11" s="1456"/>
      <c r="X11" s="1456"/>
      <c r="Y11" s="1456"/>
      <c r="Z11" s="1456"/>
      <c r="AA11" s="1456"/>
      <c r="AB11" s="1652"/>
      <c r="AC11" s="1652"/>
      <c r="AD11" s="1652"/>
      <c r="AE11" s="1652"/>
      <c r="AF11" s="1652"/>
      <c r="AG11" s="1652"/>
      <c r="AH11" s="1652"/>
      <c r="AI11" s="1652"/>
      <c r="AJ11" s="1652"/>
      <c r="AK11" s="1652"/>
      <c r="AL11" s="1652"/>
      <c r="AM11" s="1652"/>
      <c r="AN11" s="1652"/>
      <c r="AO11" s="1652"/>
      <c r="AP11" s="1652"/>
      <c r="AQ11" s="1652"/>
      <c r="AR11" s="1652"/>
    </row>
    <row r="12" spans="1:45">
      <c r="A12" s="2221"/>
      <c r="B12" s="2221"/>
      <c r="C12" s="1434" t="s">
        <v>298</v>
      </c>
      <c r="D12" s="2766">
        <f>D15+D21+D27+D37+D43+D49+D55+D61+D67</f>
        <v>44784.535480000006</v>
      </c>
      <c r="E12" s="1484">
        <f>E15+E21+E27+E37+E43+E49+E55+E61+E67</f>
        <v>36778.014360000001</v>
      </c>
      <c r="F12" s="1638">
        <f>D12+E12</f>
        <v>81562.549840000007</v>
      </c>
      <c r="G12" s="1652"/>
      <c r="H12" s="2218" t="s">
        <v>301</v>
      </c>
      <c r="I12" s="2218"/>
      <c r="J12" s="2218"/>
      <c r="K12" s="2218"/>
      <c r="L12" s="2218"/>
      <c r="M12" s="2218"/>
      <c r="N12" s="2218"/>
      <c r="O12" s="2218"/>
      <c r="P12" s="2218"/>
      <c r="Q12" s="2220" t="s">
        <v>40</v>
      </c>
      <c r="R12" s="2220"/>
      <c r="S12" s="2220"/>
      <c r="T12" s="2216" t="s">
        <v>41</v>
      </c>
      <c r="U12" s="2216"/>
      <c r="V12" s="2216"/>
      <c r="W12" s="2219" t="s">
        <v>52</v>
      </c>
      <c r="X12" s="2219"/>
      <c r="Y12" s="2219"/>
      <c r="Z12" s="3567" t="s">
        <v>1728</v>
      </c>
      <c r="AA12" s="1456"/>
      <c r="AB12" s="1652"/>
      <c r="AC12" s="1652"/>
      <c r="AD12" s="1652"/>
      <c r="AE12" s="1652"/>
      <c r="AF12" s="1652"/>
      <c r="AG12" s="1652"/>
      <c r="AH12" s="1652"/>
      <c r="AI12" s="1652"/>
      <c r="AJ12" s="1652"/>
      <c r="AK12" s="1652"/>
      <c r="AL12" s="1652"/>
      <c r="AM12" s="1652"/>
      <c r="AN12" s="1652"/>
      <c r="AO12" s="1652"/>
      <c r="AP12" s="1652"/>
      <c r="AQ12" s="1652"/>
      <c r="AR12" s="1652"/>
    </row>
    <row r="13" spans="1:45">
      <c r="A13" s="1652"/>
      <c r="B13" s="1652"/>
      <c r="C13" s="1483"/>
      <c r="D13" s="2767"/>
      <c r="E13" s="1336"/>
      <c r="F13" s="1652"/>
      <c r="G13" s="1652"/>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67"/>
      <c r="AA13" s="1456"/>
      <c r="AB13" s="1652"/>
      <c r="AC13" s="1652"/>
      <c r="AD13" s="1652"/>
      <c r="AE13" s="1652"/>
      <c r="AF13" s="1652"/>
      <c r="AG13" s="1652"/>
      <c r="AH13" s="1652"/>
      <c r="AI13" s="1652"/>
      <c r="AJ13" s="1652"/>
      <c r="AK13" s="1652"/>
      <c r="AL13" s="1652"/>
      <c r="AM13" s="1652"/>
      <c r="AN13" s="1652"/>
      <c r="AO13" s="1652"/>
      <c r="AP13" s="1652"/>
      <c r="AQ13" s="1652"/>
      <c r="AR13" s="1652"/>
    </row>
    <row r="14" spans="1:45" ht="15.75">
      <c r="A14" s="1652"/>
      <c r="B14" s="1652"/>
      <c r="C14" s="1435" t="s">
        <v>42</v>
      </c>
      <c r="D14" s="2768">
        <v>2016</v>
      </c>
      <c r="E14" s="1502">
        <v>2017</v>
      </c>
      <c r="F14" s="1486" t="s">
        <v>20</v>
      </c>
      <c r="G14" s="1652"/>
      <c r="H14" s="1458" t="s">
        <v>307</v>
      </c>
      <c r="I14" s="1458" t="s">
        <v>307</v>
      </c>
      <c r="J14" s="1471"/>
      <c r="K14" s="1458" t="s">
        <v>307</v>
      </c>
      <c r="L14" s="1458" t="s">
        <v>307</v>
      </c>
      <c r="M14" s="1458" t="s">
        <v>307</v>
      </c>
      <c r="N14" s="1458" t="s">
        <v>307</v>
      </c>
      <c r="O14" s="1458" t="s">
        <v>307</v>
      </c>
      <c r="P14" s="1458" t="s">
        <v>307</v>
      </c>
      <c r="Q14" s="3224" t="s">
        <v>307</v>
      </c>
      <c r="R14" s="1458" t="s">
        <v>307</v>
      </c>
      <c r="S14" s="1472"/>
      <c r="T14" s="3234"/>
      <c r="U14" s="1473"/>
      <c r="V14" s="1473"/>
      <c r="W14" s="3235"/>
      <c r="X14" s="1474"/>
      <c r="Y14" s="1474"/>
      <c r="Z14" s="1458" t="s">
        <v>307</v>
      </c>
      <c r="AA14" s="1456"/>
      <c r="AB14" s="1652"/>
      <c r="AC14" s="1652"/>
      <c r="AD14" s="1652"/>
      <c r="AE14" s="1652"/>
      <c r="AF14" s="1652"/>
      <c r="AG14" s="1652"/>
      <c r="AH14" s="1652"/>
      <c r="AI14" s="1652"/>
      <c r="AJ14" s="1652"/>
      <c r="AK14" s="1652"/>
      <c r="AL14" s="1652"/>
      <c r="AM14" s="1652"/>
      <c r="AN14" s="1652"/>
      <c r="AO14" s="1652"/>
      <c r="AP14" s="1652"/>
      <c r="AQ14" s="1652"/>
      <c r="AR14" s="1652"/>
    </row>
    <row r="15" spans="1:45">
      <c r="A15" s="1652"/>
      <c r="B15" s="1433" t="s">
        <v>296</v>
      </c>
      <c r="C15" s="1597" t="s">
        <v>43</v>
      </c>
      <c r="D15" s="2771">
        <f>SUM(D16:D19)</f>
        <v>16313.94</v>
      </c>
      <c r="E15" s="1464">
        <f>SUM(E16:E19)</f>
        <v>16721.820000000003</v>
      </c>
      <c r="F15" s="1638">
        <f>D15+E15</f>
        <v>33035.760000000002</v>
      </c>
      <c r="G15" s="1652"/>
      <c r="H15" s="1475" t="s">
        <v>308</v>
      </c>
      <c r="I15" s="1476"/>
      <c r="J15" s="1476"/>
      <c r="K15" s="1477"/>
      <c r="L15" s="1478">
        <f>SUMPRODUCT(L16:L165,S16:S165)</f>
        <v>21487.32</v>
      </c>
      <c r="M15" s="1478">
        <f>SUM(M16:M165)</f>
        <v>403.03</v>
      </c>
      <c r="N15" s="1479" t="s">
        <v>229</v>
      </c>
      <c r="O15" s="2353">
        <f>IFERROR(ROUND(SUMPRODUCT(O16:O165,V16:V165)/V15,0),"N/A")</f>
        <v>5</v>
      </c>
      <c r="P15" s="1477"/>
      <c r="Q15" s="3225"/>
      <c r="R15" s="1477"/>
      <c r="S15" s="1477"/>
      <c r="T15" s="2983">
        <f t="shared" ref="T15:X15" si="0">SUM(T16:T65)</f>
        <v>18915</v>
      </c>
      <c r="U15" s="1480">
        <f t="shared" si="0"/>
        <v>0</v>
      </c>
      <c r="V15" s="1480">
        <f t="shared" si="0"/>
        <v>18915</v>
      </c>
      <c r="W15" s="2987">
        <f t="shared" si="0"/>
        <v>12549.1975</v>
      </c>
      <c r="X15" s="1478">
        <f t="shared" si="0"/>
        <v>0</v>
      </c>
      <c r="Y15" s="1478">
        <f>SUM(Y16:Y65)</f>
        <v>12549.1975</v>
      </c>
      <c r="Z15" s="1481">
        <v>0</v>
      </c>
      <c r="AA15" s="1456"/>
      <c r="AB15" s="1652"/>
      <c r="AC15" s="1652"/>
      <c r="AD15" s="1652"/>
      <c r="AE15" s="1652"/>
      <c r="AF15" s="1652"/>
      <c r="AG15" s="1652"/>
      <c r="AH15" s="1652"/>
      <c r="AI15" s="1652"/>
      <c r="AJ15" s="1652"/>
      <c r="AK15" s="1652"/>
      <c r="AL15" s="1652"/>
      <c r="AM15" s="1652"/>
      <c r="AN15" s="1652"/>
      <c r="AO15" s="1652"/>
      <c r="AP15" s="1652"/>
      <c r="AQ15" s="1652"/>
      <c r="AR15" s="1652"/>
    </row>
    <row r="16" spans="1:45">
      <c r="A16" s="1652"/>
      <c r="B16" s="1982">
        <v>0.17</v>
      </c>
      <c r="C16" s="1667" t="s">
        <v>735</v>
      </c>
      <c r="D16" s="2772">
        <v>15407.61</v>
      </c>
      <c r="E16" s="1669">
        <v>15792.830000000002</v>
      </c>
      <c r="F16" s="1426">
        <f>SUM(D16:E16)</f>
        <v>31200.440000000002</v>
      </c>
      <c r="G16" s="1652"/>
      <c r="H16" s="1460" t="s">
        <v>1186</v>
      </c>
      <c r="I16" s="2205">
        <v>32</v>
      </c>
      <c r="J16" s="1470" t="s">
        <v>71</v>
      </c>
      <c r="K16" s="1460" t="s">
        <v>845</v>
      </c>
      <c r="L16" s="1467">
        <v>10.946</v>
      </c>
      <c r="M16" s="1467">
        <v>10.946</v>
      </c>
      <c r="N16" s="1461">
        <v>0.28760243193232882</v>
      </c>
      <c r="O16" s="1460">
        <v>5</v>
      </c>
      <c r="P16" s="1463" t="s">
        <v>997</v>
      </c>
      <c r="Q16" s="3233">
        <v>170</v>
      </c>
      <c r="R16" s="1466">
        <v>0</v>
      </c>
      <c r="S16" s="1469">
        <f>SUM(Q16:R16)</f>
        <v>170</v>
      </c>
      <c r="T16" s="2991">
        <f>Q16*I16</f>
        <v>5440</v>
      </c>
      <c r="U16" s="1469">
        <f>R16*I16</f>
        <v>0</v>
      </c>
      <c r="V16" s="1469">
        <f>SUM(T16:U16)</f>
        <v>5440</v>
      </c>
      <c r="W16" s="2993">
        <f>Q16*M16</f>
        <v>1860.82</v>
      </c>
      <c r="X16" s="1459">
        <f>R16*M16</f>
        <v>0</v>
      </c>
      <c r="Y16" s="1459">
        <f>SUM(W16:X16)</f>
        <v>1860.82</v>
      </c>
      <c r="Z16" s="1482"/>
      <c r="AA16" s="1456"/>
      <c r="AB16" s="1652"/>
      <c r="AC16" s="1652"/>
      <c r="AD16" s="1652"/>
      <c r="AE16" s="1652"/>
      <c r="AF16" s="1652"/>
      <c r="AG16" s="1652"/>
      <c r="AH16" s="1652"/>
      <c r="AI16" s="1652"/>
      <c r="AJ16" s="1652"/>
      <c r="AK16" s="1652"/>
      <c r="AL16" s="1652"/>
      <c r="AM16" s="1652"/>
      <c r="AN16" s="1652"/>
      <c r="AO16" s="1652"/>
      <c r="AP16" s="1652"/>
      <c r="AQ16" s="1652"/>
      <c r="AR16" s="1652"/>
    </row>
    <row r="17" spans="1:44">
      <c r="A17" s="1652"/>
      <c r="B17" s="1982">
        <v>0.01</v>
      </c>
      <c r="C17" s="1667" t="s">
        <v>734</v>
      </c>
      <c r="D17" s="2784">
        <v>906.33</v>
      </c>
      <c r="E17" s="1668">
        <v>928.99</v>
      </c>
      <c r="F17" s="1661">
        <f t="shared" ref="F17:F30" si="1">SUM(D17:E17)</f>
        <v>1835.3200000000002</v>
      </c>
      <c r="G17" s="1652"/>
      <c r="H17" s="1460" t="s">
        <v>1187</v>
      </c>
      <c r="I17" s="2205">
        <v>16</v>
      </c>
      <c r="J17" s="1470" t="s">
        <v>71</v>
      </c>
      <c r="K17" s="1460" t="s">
        <v>845</v>
      </c>
      <c r="L17" s="1467">
        <v>10.946</v>
      </c>
      <c r="M17" s="1467">
        <v>10.946</v>
      </c>
      <c r="N17" s="1461">
        <v>0.12688342585249801</v>
      </c>
      <c r="O17" s="1460">
        <v>5</v>
      </c>
      <c r="P17" s="1463" t="s">
        <v>997</v>
      </c>
      <c r="Q17" s="3233">
        <v>150</v>
      </c>
      <c r="R17" s="1466">
        <v>0</v>
      </c>
      <c r="S17" s="1469">
        <f t="shared" ref="S17:S24" si="2">SUM(Q17:R17)</f>
        <v>150</v>
      </c>
      <c r="T17" s="2991">
        <f t="shared" ref="T17:T24" si="3">Q17*I17</f>
        <v>2400</v>
      </c>
      <c r="U17" s="1469">
        <f t="shared" ref="U17:U24" si="4">R17*I17</f>
        <v>0</v>
      </c>
      <c r="V17" s="1469">
        <f t="shared" ref="V17:V24" si="5">SUM(T17:U17)</f>
        <v>2400</v>
      </c>
      <c r="W17" s="2993">
        <f t="shared" ref="W17:W24" si="6">Q17*M17</f>
        <v>1641.8999999999999</v>
      </c>
      <c r="X17" s="1459">
        <f t="shared" ref="X17:X24" si="7">R17*M17</f>
        <v>0</v>
      </c>
      <c r="Y17" s="1459">
        <f t="shared" ref="Y17:Y24" si="8">SUM(W17:X17)</f>
        <v>1641.8999999999999</v>
      </c>
      <c r="Z17" s="1482"/>
      <c r="AA17" s="1456"/>
      <c r="AB17" s="1652"/>
      <c r="AC17" s="1652"/>
      <c r="AD17" s="1652"/>
      <c r="AE17" s="1652"/>
      <c r="AF17" s="1652"/>
      <c r="AG17" s="1652"/>
      <c r="AH17" s="1652"/>
      <c r="AI17" s="1652"/>
      <c r="AJ17" s="1652"/>
      <c r="AK17" s="1652"/>
      <c r="AL17" s="1652"/>
      <c r="AM17" s="1652"/>
      <c r="AN17" s="1652"/>
      <c r="AO17" s="1652"/>
      <c r="AP17" s="1652"/>
      <c r="AQ17" s="1652"/>
      <c r="AR17" s="1652"/>
    </row>
    <row r="18" spans="1:44">
      <c r="A18" s="1652"/>
      <c r="B18" s="1982"/>
      <c r="C18" s="1667"/>
      <c r="D18" s="2784"/>
      <c r="E18" s="1668"/>
      <c r="F18" s="1661">
        <f t="shared" si="1"/>
        <v>0</v>
      </c>
      <c r="G18" s="1652"/>
      <c r="H18" s="1460" t="s">
        <v>1188</v>
      </c>
      <c r="I18" s="2205">
        <v>53</v>
      </c>
      <c r="J18" s="1470" t="s">
        <v>71</v>
      </c>
      <c r="K18" s="1460" t="s">
        <v>845</v>
      </c>
      <c r="L18" s="1467">
        <v>70.421000000000006</v>
      </c>
      <c r="M18" s="1467">
        <v>35.210500000000003</v>
      </c>
      <c r="N18" s="1461">
        <v>0.1401004493787999</v>
      </c>
      <c r="O18" s="1460">
        <v>5</v>
      </c>
      <c r="P18" s="1463" t="s">
        <v>997</v>
      </c>
      <c r="Q18" s="3233">
        <v>50</v>
      </c>
      <c r="R18" s="1466">
        <v>0</v>
      </c>
      <c r="S18" s="1469">
        <f t="shared" si="2"/>
        <v>50</v>
      </c>
      <c r="T18" s="2991">
        <f t="shared" si="3"/>
        <v>2650</v>
      </c>
      <c r="U18" s="1469">
        <f t="shared" si="4"/>
        <v>0</v>
      </c>
      <c r="V18" s="1469">
        <f t="shared" si="5"/>
        <v>2650</v>
      </c>
      <c r="W18" s="2993">
        <f t="shared" si="6"/>
        <v>1760.5250000000001</v>
      </c>
      <c r="X18" s="1459">
        <f t="shared" si="7"/>
        <v>0</v>
      </c>
      <c r="Y18" s="1459">
        <f t="shared" si="8"/>
        <v>1760.5250000000001</v>
      </c>
      <c r="Z18" s="1482"/>
      <c r="AA18" s="1456"/>
      <c r="AB18" s="1652"/>
      <c r="AC18" s="1652"/>
      <c r="AD18" s="1652"/>
      <c r="AE18" s="1652"/>
      <c r="AF18" s="1652"/>
      <c r="AG18" s="1652"/>
      <c r="AH18" s="1652"/>
      <c r="AI18" s="1652"/>
      <c r="AJ18" s="1652"/>
      <c r="AK18" s="1652"/>
      <c r="AL18" s="1652"/>
      <c r="AM18" s="1652"/>
      <c r="AN18" s="1652"/>
      <c r="AO18" s="1652"/>
      <c r="AP18" s="1652"/>
      <c r="AQ18" s="1652"/>
      <c r="AR18" s="1652"/>
    </row>
    <row r="19" spans="1:44">
      <c r="A19" s="1652"/>
      <c r="B19" s="1982"/>
      <c r="C19" s="1667"/>
      <c r="D19" s="2786"/>
      <c r="E19" s="1446"/>
      <c r="F19" s="1661">
        <f t="shared" si="1"/>
        <v>0</v>
      </c>
      <c r="G19" s="1652"/>
      <c r="H19" s="1460" t="s">
        <v>1189</v>
      </c>
      <c r="I19" s="2205">
        <v>37</v>
      </c>
      <c r="J19" s="1470" t="s">
        <v>71</v>
      </c>
      <c r="K19" s="1460" t="s">
        <v>845</v>
      </c>
      <c r="L19" s="1467">
        <v>70.421000000000006</v>
      </c>
      <c r="M19" s="1467">
        <v>35.210500000000003</v>
      </c>
      <c r="N19" s="1461">
        <v>2.9341792228390166E-2</v>
      </c>
      <c r="O19" s="1460">
        <v>5</v>
      </c>
      <c r="P19" s="1463" t="s">
        <v>997</v>
      </c>
      <c r="Q19" s="3233">
        <v>15</v>
      </c>
      <c r="R19" s="1466">
        <v>0</v>
      </c>
      <c r="S19" s="1469">
        <f t="shared" si="2"/>
        <v>15</v>
      </c>
      <c r="T19" s="2991">
        <f t="shared" si="3"/>
        <v>555</v>
      </c>
      <c r="U19" s="1469">
        <f t="shared" si="4"/>
        <v>0</v>
      </c>
      <c r="V19" s="1469">
        <f t="shared" si="5"/>
        <v>555</v>
      </c>
      <c r="W19" s="2993">
        <f t="shared" si="6"/>
        <v>528.15750000000003</v>
      </c>
      <c r="X19" s="1459">
        <f t="shared" si="7"/>
        <v>0</v>
      </c>
      <c r="Y19" s="1459">
        <f t="shared" si="8"/>
        <v>528.15750000000003</v>
      </c>
      <c r="Z19" s="1482"/>
      <c r="AA19" s="1456"/>
      <c r="AB19" s="1652"/>
      <c r="AC19" s="1652"/>
      <c r="AD19" s="1652"/>
      <c r="AE19" s="1652"/>
      <c r="AF19" s="1652"/>
      <c r="AG19" s="1652"/>
      <c r="AH19" s="1652"/>
      <c r="AI19" s="1652"/>
      <c r="AJ19" s="1652"/>
      <c r="AK19" s="1652"/>
      <c r="AL19" s="1652"/>
      <c r="AM19" s="1652"/>
      <c r="AN19" s="1652"/>
      <c r="AO19" s="1652"/>
      <c r="AP19" s="1652"/>
      <c r="AQ19" s="1652"/>
      <c r="AR19" s="1652"/>
    </row>
    <row r="20" spans="1:44">
      <c r="A20" s="1652"/>
      <c r="B20" s="2204">
        <f>SUM(B16:B19)</f>
        <v>0.18000000000000002</v>
      </c>
      <c r="C20" s="1488"/>
      <c r="D20" s="2770"/>
      <c r="E20" s="1490"/>
      <c r="F20" s="1492"/>
      <c r="G20" s="1652"/>
      <c r="H20" s="1460" t="s">
        <v>1190</v>
      </c>
      <c r="I20" s="2205">
        <v>58</v>
      </c>
      <c r="J20" s="1470" t="s">
        <v>71</v>
      </c>
      <c r="K20" s="1460" t="s">
        <v>845</v>
      </c>
      <c r="L20" s="1467">
        <v>70.421000000000006</v>
      </c>
      <c r="M20" s="1467">
        <v>35.210500000000003</v>
      </c>
      <c r="N20" s="1461">
        <v>4.5995241871530534E-2</v>
      </c>
      <c r="O20" s="1460">
        <v>5</v>
      </c>
      <c r="P20" s="1463" t="s">
        <v>997</v>
      </c>
      <c r="Q20" s="3233">
        <v>15</v>
      </c>
      <c r="R20" s="1466">
        <v>0</v>
      </c>
      <c r="S20" s="1469">
        <f t="shared" si="2"/>
        <v>15</v>
      </c>
      <c r="T20" s="2991">
        <f t="shared" si="3"/>
        <v>870</v>
      </c>
      <c r="U20" s="1469">
        <f t="shared" si="4"/>
        <v>0</v>
      </c>
      <c r="V20" s="1469">
        <f t="shared" si="5"/>
        <v>870</v>
      </c>
      <c r="W20" s="2993">
        <f t="shared" si="6"/>
        <v>528.15750000000003</v>
      </c>
      <c r="X20" s="1459">
        <f t="shared" si="7"/>
        <v>0</v>
      </c>
      <c r="Y20" s="1459">
        <f t="shared" si="8"/>
        <v>528.15750000000003</v>
      </c>
      <c r="Z20" s="1482"/>
      <c r="AA20" s="1456"/>
      <c r="AB20" s="1652"/>
      <c r="AC20" s="1652"/>
      <c r="AD20" s="1652"/>
      <c r="AE20" s="1652"/>
      <c r="AF20" s="1652"/>
      <c r="AG20" s="1652"/>
      <c r="AH20" s="1652"/>
      <c r="AI20" s="1652"/>
      <c r="AJ20" s="1652"/>
      <c r="AK20" s="1652"/>
      <c r="AL20" s="1652"/>
      <c r="AM20" s="1652"/>
      <c r="AN20" s="1652"/>
      <c r="AO20" s="1652"/>
      <c r="AP20" s="1652"/>
      <c r="AQ20" s="1652"/>
      <c r="AR20" s="1652"/>
    </row>
    <row r="21" spans="1:44">
      <c r="A21" s="1652"/>
      <c r="B21" s="1433" t="s">
        <v>296</v>
      </c>
      <c r="C21" s="1597" t="s">
        <v>44</v>
      </c>
      <c r="D21" s="2771">
        <f>SUM(D22:D25)</f>
        <v>0</v>
      </c>
      <c r="E21" s="1464">
        <f>SUM(E22:E25)</f>
        <v>0</v>
      </c>
      <c r="F21" s="1638">
        <f>D21+E21</f>
        <v>0</v>
      </c>
      <c r="G21" s="1652"/>
      <c r="H21" s="1460" t="s">
        <v>1191</v>
      </c>
      <c r="I21" s="2205">
        <v>97</v>
      </c>
      <c r="J21" s="1470" t="s">
        <v>71</v>
      </c>
      <c r="K21" s="1460" t="s">
        <v>845</v>
      </c>
      <c r="L21" s="1467">
        <v>70.421000000000006</v>
      </c>
      <c r="M21" s="1467">
        <v>35.210500000000003</v>
      </c>
      <c r="N21" s="1461">
        <v>7.6923076923076927E-2</v>
      </c>
      <c r="O21" s="1460">
        <v>5</v>
      </c>
      <c r="P21" s="1463" t="s">
        <v>997</v>
      </c>
      <c r="Q21" s="3233">
        <v>15</v>
      </c>
      <c r="R21" s="1466">
        <v>0</v>
      </c>
      <c r="S21" s="1469">
        <f t="shared" si="2"/>
        <v>15</v>
      </c>
      <c r="T21" s="2991">
        <f t="shared" si="3"/>
        <v>1455</v>
      </c>
      <c r="U21" s="1469">
        <f t="shared" si="4"/>
        <v>0</v>
      </c>
      <c r="V21" s="1469">
        <f t="shared" si="5"/>
        <v>1455</v>
      </c>
      <c r="W21" s="2993">
        <f t="shared" si="6"/>
        <v>528.15750000000003</v>
      </c>
      <c r="X21" s="1459">
        <f t="shared" si="7"/>
        <v>0</v>
      </c>
      <c r="Y21" s="1459">
        <f t="shared" si="8"/>
        <v>528.15750000000003</v>
      </c>
      <c r="Z21" s="1482"/>
      <c r="AA21" s="1456"/>
      <c r="AB21" s="1652"/>
      <c r="AC21" s="1652"/>
      <c r="AD21" s="1652"/>
      <c r="AE21" s="1652"/>
      <c r="AF21" s="1652"/>
      <c r="AG21" s="1652"/>
      <c r="AH21" s="1652"/>
      <c r="AI21" s="1652"/>
      <c r="AJ21" s="1652"/>
      <c r="AK21" s="1652"/>
      <c r="AL21" s="1652"/>
      <c r="AM21" s="1652"/>
      <c r="AN21" s="1652"/>
      <c r="AO21" s="1652"/>
      <c r="AP21" s="1652"/>
      <c r="AQ21" s="1652"/>
      <c r="AR21" s="1652"/>
    </row>
    <row r="22" spans="1:44">
      <c r="A22" s="1652"/>
      <c r="B22" s="1982">
        <f>(SUM(D22:E22)/2)/((80000+(80000*1.025))/2)</f>
        <v>0</v>
      </c>
      <c r="C22" s="1667"/>
      <c r="D22" s="2772"/>
      <c r="E22" s="1669"/>
      <c r="F22" s="1426">
        <f t="shared" si="1"/>
        <v>0</v>
      </c>
      <c r="G22" s="1652"/>
      <c r="H22" s="1460" t="s">
        <v>1192</v>
      </c>
      <c r="I22" s="2205">
        <v>10</v>
      </c>
      <c r="J22" s="1470" t="s">
        <v>71</v>
      </c>
      <c r="K22" s="1460" t="s">
        <v>845</v>
      </c>
      <c r="L22" s="1467">
        <v>21.671000000000003</v>
      </c>
      <c r="M22" s="1467">
        <v>21.671000000000003</v>
      </c>
      <c r="N22" s="1461">
        <v>2.6434047052603755E-3</v>
      </c>
      <c r="O22" s="1460">
        <v>10</v>
      </c>
      <c r="P22" s="1463" t="s">
        <v>997</v>
      </c>
      <c r="Q22" s="3233">
        <v>5</v>
      </c>
      <c r="R22" s="1466">
        <v>0</v>
      </c>
      <c r="S22" s="1469">
        <f t="shared" si="2"/>
        <v>5</v>
      </c>
      <c r="T22" s="2991">
        <f t="shared" si="3"/>
        <v>50</v>
      </c>
      <c r="U22" s="1469">
        <f t="shared" si="4"/>
        <v>0</v>
      </c>
      <c r="V22" s="1469">
        <f t="shared" si="5"/>
        <v>50</v>
      </c>
      <c r="W22" s="2993">
        <f t="shared" si="6"/>
        <v>108.35500000000002</v>
      </c>
      <c r="X22" s="1459">
        <f t="shared" si="7"/>
        <v>0</v>
      </c>
      <c r="Y22" s="1459">
        <f t="shared" si="8"/>
        <v>108.35500000000002</v>
      </c>
      <c r="Z22" s="1482"/>
      <c r="AA22" s="1456"/>
      <c r="AB22" s="1652"/>
      <c r="AC22" s="1652"/>
      <c r="AD22" s="1652"/>
      <c r="AE22" s="1652"/>
      <c r="AF22" s="1652"/>
      <c r="AG22" s="1652"/>
      <c r="AH22" s="1652"/>
      <c r="AI22" s="1652"/>
      <c r="AJ22" s="1652"/>
      <c r="AK22" s="1652"/>
      <c r="AL22" s="1652"/>
      <c r="AM22" s="1652"/>
      <c r="AN22" s="1652"/>
      <c r="AO22" s="1652"/>
      <c r="AP22" s="1652"/>
      <c r="AQ22" s="1652"/>
      <c r="AR22" s="1652"/>
    </row>
    <row r="23" spans="1:44">
      <c r="A23" s="1652"/>
      <c r="B23" s="1982"/>
      <c r="C23" s="1667"/>
      <c r="D23" s="2773"/>
      <c r="E23" s="1444"/>
      <c r="F23" s="1661">
        <f t="shared" si="1"/>
        <v>0</v>
      </c>
      <c r="G23" s="1652"/>
      <c r="H23" s="1460" t="s">
        <v>1193</v>
      </c>
      <c r="I23" s="2205">
        <v>100</v>
      </c>
      <c r="J23" s="1470" t="s">
        <v>71</v>
      </c>
      <c r="K23" s="1460" t="s">
        <v>845</v>
      </c>
      <c r="L23" s="1467">
        <v>200</v>
      </c>
      <c r="M23" s="1467">
        <v>100</v>
      </c>
      <c r="N23" s="1461">
        <v>0.26434047052603754</v>
      </c>
      <c r="O23" s="1460">
        <v>5</v>
      </c>
      <c r="P23" s="1463" t="s">
        <v>1160</v>
      </c>
      <c r="Q23" s="3233">
        <v>50</v>
      </c>
      <c r="R23" s="1466">
        <v>0</v>
      </c>
      <c r="S23" s="1469">
        <f t="shared" si="2"/>
        <v>50</v>
      </c>
      <c r="T23" s="2991">
        <f t="shared" si="3"/>
        <v>5000</v>
      </c>
      <c r="U23" s="1469">
        <f t="shared" si="4"/>
        <v>0</v>
      </c>
      <c r="V23" s="1469">
        <f t="shared" si="5"/>
        <v>5000</v>
      </c>
      <c r="W23" s="2993">
        <f t="shared" si="6"/>
        <v>5000</v>
      </c>
      <c r="X23" s="1459">
        <f t="shared" si="7"/>
        <v>0</v>
      </c>
      <c r="Y23" s="1459">
        <f t="shared" si="8"/>
        <v>5000</v>
      </c>
      <c r="Z23" s="1482"/>
      <c r="AA23" s="1456"/>
      <c r="AB23" s="1652"/>
      <c r="AC23" s="1652"/>
      <c r="AD23" s="1652"/>
      <c r="AE23" s="1652"/>
      <c r="AF23" s="1652"/>
      <c r="AG23" s="1652"/>
      <c r="AH23" s="1652"/>
      <c r="AI23" s="1652"/>
      <c r="AJ23" s="1652"/>
      <c r="AK23" s="1652"/>
      <c r="AL23" s="1652"/>
      <c r="AM23" s="1652"/>
      <c r="AN23" s="1652"/>
      <c r="AO23" s="1652"/>
      <c r="AP23" s="1652"/>
      <c r="AQ23" s="1652"/>
      <c r="AR23" s="1652"/>
    </row>
    <row r="24" spans="1:44">
      <c r="A24" s="1652"/>
      <c r="B24" s="1982"/>
      <c r="C24" s="1667"/>
      <c r="D24" s="2774"/>
      <c r="E24" s="1443"/>
      <c r="F24" s="1661">
        <f t="shared" si="1"/>
        <v>0</v>
      </c>
      <c r="G24" s="1652"/>
      <c r="H24" s="1460" t="s">
        <v>1194</v>
      </c>
      <c r="I24" s="2205">
        <v>99</v>
      </c>
      <c r="J24" s="1470" t="s">
        <v>71</v>
      </c>
      <c r="K24" s="1460" t="s">
        <v>845</v>
      </c>
      <c r="L24" s="1467">
        <v>237.25</v>
      </c>
      <c r="M24" s="1467">
        <v>118.625</v>
      </c>
      <c r="N24" s="1461">
        <v>2.6169706582077717E-2</v>
      </c>
      <c r="O24" s="1460">
        <v>10</v>
      </c>
      <c r="P24" s="1463" t="s">
        <v>1160</v>
      </c>
      <c r="Q24" s="3233">
        <v>5</v>
      </c>
      <c r="R24" s="1466">
        <v>0</v>
      </c>
      <c r="S24" s="1469">
        <f t="shared" si="2"/>
        <v>5</v>
      </c>
      <c r="T24" s="2991">
        <f t="shared" si="3"/>
        <v>495</v>
      </c>
      <c r="U24" s="1469">
        <f t="shared" si="4"/>
        <v>0</v>
      </c>
      <c r="V24" s="1469">
        <f t="shared" si="5"/>
        <v>495</v>
      </c>
      <c r="W24" s="2993">
        <f t="shared" si="6"/>
        <v>593.125</v>
      </c>
      <c r="X24" s="1459">
        <f t="shared" si="7"/>
        <v>0</v>
      </c>
      <c r="Y24" s="1459">
        <f t="shared" si="8"/>
        <v>593.125</v>
      </c>
      <c r="Z24" s="1482"/>
      <c r="AA24" s="1456"/>
      <c r="AB24" s="1652"/>
      <c r="AC24" s="1652"/>
      <c r="AD24" s="1652"/>
      <c r="AE24" s="1652"/>
      <c r="AF24" s="1652"/>
      <c r="AG24" s="1652"/>
      <c r="AH24" s="1652"/>
      <c r="AI24" s="1652"/>
      <c r="AJ24" s="1652"/>
      <c r="AK24" s="1652"/>
      <c r="AL24" s="1652"/>
      <c r="AM24" s="1652"/>
      <c r="AN24" s="1652"/>
      <c r="AO24" s="1652"/>
      <c r="AP24" s="1652"/>
      <c r="AQ24" s="1652"/>
      <c r="AR24" s="1652"/>
    </row>
    <row r="25" spans="1:44">
      <c r="A25" s="1652"/>
      <c r="B25" s="1982"/>
      <c r="C25" s="1667"/>
      <c r="D25" s="2775"/>
      <c r="E25" s="1444"/>
      <c r="F25" s="1661">
        <f t="shared" si="1"/>
        <v>0</v>
      </c>
      <c r="G25" s="1652"/>
      <c r="H25" s="1460"/>
      <c r="I25" s="2205"/>
      <c r="J25" s="1470" t="s">
        <v>229</v>
      </c>
      <c r="K25" s="1460"/>
      <c r="L25" s="1467"/>
      <c r="M25" s="1467"/>
      <c r="N25" s="1461"/>
      <c r="O25" s="1460"/>
      <c r="P25" s="1463"/>
      <c r="Q25" s="1466"/>
      <c r="R25" s="1466"/>
      <c r="S25" s="1469"/>
      <c r="T25" s="1469"/>
      <c r="U25" s="1469"/>
      <c r="V25" s="1469"/>
      <c r="W25" s="1459"/>
      <c r="X25" s="1459"/>
      <c r="Y25" s="1459"/>
      <c r="Z25" s="1482"/>
      <c r="AA25" s="1456"/>
      <c r="AB25" s="1652"/>
      <c r="AC25" s="1652"/>
      <c r="AD25" s="1652"/>
      <c r="AE25" s="1652"/>
      <c r="AF25" s="1652"/>
      <c r="AG25" s="1652"/>
      <c r="AH25" s="1652"/>
      <c r="AI25" s="1652"/>
      <c r="AJ25" s="1652"/>
      <c r="AK25" s="1652"/>
      <c r="AL25" s="1652"/>
      <c r="AM25" s="1652"/>
      <c r="AN25" s="1652"/>
      <c r="AO25" s="1652"/>
      <c r="AP25" s="1652"/>
      <c r="AQ25" s="1652"/>
      <c r="AR25" s="1652"/>
    </row>
    <row r="26" spans="1:44">
      <c r="A26" s="1652"/>
      <c r="B26" s="2204">
        <f>SUM(B22:B25)</f>
        <v>0</v>
      </c>
      <c r="C26" s="1424"/>
      <c r="D26" s="2776"/>
      <c r="E26" s="1431"/>
      <c r="F26" s="1439"/>
      <c r="G26" s="1652"/>
      <c r="H26" s="1460"/>
      <c r="I26" s="2205"/>
      <c r="J26" s="1470" t="s">
        <v>229</v>
      </c>
      <c r="K26" s="1460"/>
      <c r="L26" s="1467"/>
      <c r="M26" s="1467"/>
      <c r="N26" s="1461"/>
      <c r="O26" s="1460"/>
      <c r="P26" s="1463"/>
      <c r="Q26" s="1466"/>
      <c r="R26" s="1466"/>
      <c r="S26" s="1469"/>
      <c r="T26" s="1469"/>
      <c r="U26" s="1469"/>
      <c r="V26" s="1469"/>
      <c r="W26" s="1459"/>
      <c r="X26" s="1459"/>
      <c r="Y26" s="1459"/>
      <c r="Z26" s="1482"/>
      <c r="AA26" s="1456"/>
      <c r="AB26" s="1652"/>
      <c r="AC26" s="1652"/>
      <c r="AD26" s="1652"/>
      <c r="AE26" s="1652"/>
      <c r="AF26" s="1652"/>
      <c r="AG26" s="1652"/>
      <c r="AH26" s="1652"/>
      <c r="AI26" s="1652"/>
      <c r="AJ26" s="1652"/>
      <c r="AK26" s="1652"/>
      <c r="AL26" s="1652"/>
      <c r="AM26" s="1652"/>
      <c r="AN26" s="1652"/>
      <c r="AO26" s="1652"/>
      <c r="AP26" s="1652"/>
      <c r="AQ26" s="1652"/>
      <c r="AR26" s="1652"/>
    </row>
    <row r="27" spans="1:44">
      <c r="A27" s="1652"/>
      <c r="B27" s="1652"/>
      <c r="C27" s="1597" t="s">
        <v>1737</v>
      </c>
      <c r="D27" s="2771">
        <f>SUM(D29:D35)</f>
        <v>10881.397980000002</v>
      </c>
      <c r="E27" s="1657">
        <f>SUM(E29:E31)+SUM(E33:E35)</f>
        <v>15016.194360000001</v>
      </c>
      <c r="F27" s="1638">
        <f>D27+E27</f>
        <v>25897.592340000003</v>
      </c>
      <c r="G27" s="1652"/>
      <c r="H27" s="1460"/>
      <c r="I27" s="2205"/>
      <c r="J27" s="1470" t="s">
        <v>229</v>
      </c>
      <c r="K27" s="1460"/>
      <c r="L27" s="1467"/>
      <c r="M27" s="1467"/>
      <c r="N27" s="1461"/>
      <c r="O27" s="1460"/>
      <c r="P27" s="1463"/>
      <c r="Q27" s="1466"/>
      <c r="R27" s="1466"/>
      <c r="S27" s="1469"/>
      <c r="T27" s="1469"/>
      <c r="U27" s="1469"/>
      <c r="V27" s="1469"/>
      <c r="W27" s="1459"/>
      <c r="X27" s="1459"/>
      <c r="Y27" s="1459"/>
      <c r="Z27" s="1482"/>
      <c r="AA27" s="1456"/>
      <c r="AB27" s="1652"/>
      <c r="AC27" s="1652"/>
      <c r="AD27" s="1652"/>
      <c r="AE27" s="1652"/>
      <c r="AF27" s="1652"/>
      <c r="AG27" s="1652"/>
      <c r="AH27" s="1652"/>
      <c r="AI27" s="1652"/>
      <c r="AJ27" s="1652"/>
      <c r="AK27" s="1652"/>
      <c r="AL27" s="1652"/>
      <c r="AM27" s="1652"/>
      <c r="AN27" s="1652"/>
      <c r="AO27" s="1652"/>
      <c r="AP27" s="1652"/>
      <c r="AQ27" s="1652"/>
      <c r="AR27" s="1652"/>
    </row>
    <row r="28" spans="1:44">
      <c r="A28" s="1652"/>
      <c r="B28" s="1652"/>
      <c r="C28" s="1450" t="s">
        <v>1733</v>
      </c>
      <c r="D28" s="2777">
        <v>0.66700000000000004</v>
      </c>
      <c r="E28" s="1452">
        <v>0.68799999999999994</v>
      </c>
      <c r="F28" s="1485"/>
      <c r="G28" s="1652"/>
      <c r="H28" s="1460"/>
      <c r="I28" s="2205"/>
      <c r="J28" s="1470" t="s">
        <v>229</v>
      </c>
      <c r="K28" s="1460"/>
      <c r="L28" s="1467"/>
      <c r="M28" s="1467"/>
      <c r="N28" s="1461"/>
      <c r="O28" s="1460"/>
      <c r="P28" s="1463"/>
      <c r="Q28" s="1466"/>
      <c r="R28" s="1466"/>
      <c r="S28" s="1469"/>
      <c r="T28" s="1469"/>
      <c r="U28" s="1469"/>
      <c r="V28" s="1469"/>
      <c r="W28" s="1459"/>
      <c r="X28" s="1459"/>
      <c r="Y28" s="1459"/>
      <c r="Z28" s="1482"/>
      <c r="AA28" s="1456"/>
      <c r="AB28" s="1652"/>
      <c r="AC28" s="1652"/>
      <c r="AD28" s="1652"/>
      <c r="AE28" s="1652"/>
      <c r="AF28" s="1652"/>
      <c r="AG28" s="1652"/>
      <c r="AH28" s="1652"/>
      <c r="AI28" s="1652"/>
      <c r="AJ28" s="1652"/>
      <c r="AK28" s="1652"/>
      <c r="AL28" s="1652"/>
      <c r="AM28" s="1652"/>
      <c r="AN28" s="1652"/>
      <c r="AO28" s="1652"/>
      <c r="AP28" s="1652"/>
      <c r="AQ28" s="1652"/>
      <c r="AR28" s="1652"/>
    </row>
    <row r="29" spans="1:44">
      <c r="A29" s="1652"/>
      <c r="B29" s="1652"/>
      <c r="C29" s="1667" t="s">
        <v>719</v>
      </c>
      <c r="D29" s="2778">
        <f>D15*D28</f>
        <v>10881.397980000002</v>
      </c>
      <c r="E29" s="1641">
        <f>E15*E28</f>
        <v>11504.612160000001</v>
      </c>
      <c r="F29" s="1661">
        <f t="shared" si="1"/>
        <v>22386.010140000002</v>
      </c>
      <c r="G29" s="1652"/>
      <c r="H29" s="1460"/>
      <c r="I29" s="2205"/>
      <c r="J29" s="1470" t="s">
        <v>229</v>
      </c>
      <c r="K29" s="1460"/>
      <c r="L29" s="1467"/>
      <c r="M29" s="1467"/>
      <c r="N29" s="1461"/>
      <c r="O29" s="1460"/>
      <c r="P29" s="1463"/>
      <c r="Q29" s="1466"/>
      <c r="R29" s="1466"/>
      <c r="S29" s="1469"/>
      <c r="T29" s="1469"/>
      <c r="U29" s="1469"/>
      <c r="V29" s="1469"/>
      <c r="W29" s="1459"/>
      <c r="X29" s="1459"/>
      <c r="Y29" s="1459"/>
      <c r="Z29" s="1482"/>
      <c r="AA29" s="1456"/>
      <c r="AB29" s="1652"/>
      <c r="AC29" s="1652"/>
      <c r="AD29" s="1652"/>
      <c r="AE29" s="1652"/>
      <c r="AF29" s="1652"/>
      <c r="AG29" s="1652"/>
      <c r="AH29" s="1652"/>
      <c r="AI29" s="1652"/>
      <c r="AJ29" s="1652"/>
      <c r="AK29" s="1652"/>
      <c r="AL29" s="1652"/>
      <c r="AM29" s="1652"/>
      <c r="AN29" s="1652"/>
      <c r="AO29" s="1652"/>
      <c r="AP29" s="1652"/>
      <c r="AQ29" s="1652"/>
      <c r="AR29" s="1652"/>
    </row>
    <row r="30" spans="1:44">
      <c r="A30" s="1652"/>
      <c r="B30" s="1652"/>
      <c r="C30" s="1667" t="s">
        <v>720</v>
      </c>
      <c r="D30" s="2785">
        <f>D21*D28</f>
        <v>0</v>
      </c>
      <c r="E30" s="1641">
        <f>E21*E28</f>
        <v>0</v>
      </c>
      <c r="F30" s="1661">
        <f t="shared" si="1"/>
        <v>0</v>
      </c>
      <c r="G30" s="1652"/>
      <c r="H30" s="1460"/>
      <c r="I30" s="2205"/>
      <c r="J30" s="1470" t="s">
        <v>229</v>
      </c>
      <c r="K30" s="1460"/>
      <c r="L30" s="1467"/>
      <c r="M30" s="1467"/>
      <c r="N30" s="1461"/>
      <c r="O30" s="1460"/>
      <c r="P30" s="1463"/>
      <c r="Q30" s="1466"/>
      <c r="R30" s="1466"/>
      <c r="S30" s="1469"/>
      <c r="T30" s="1469"/>
      <c r="U30" s="1469"/>
      <c r="V30" s="1469"/>
      <c r="W30" s="1459"/>
      <c r="X30" s="1459"/>
      <c r="Y30" s="1459"/>
      <c r="Z30" s="1482"/>
      <c r="AA30" s="1456"/>
      <c r="AB30" s="1652"/>
      <c r="AC30" s="1652"/>
      <c r="AD30" s="1652"/>
      <c r="AE30" s="1652"/>
      <c r="AF30" s="1652"/>
      <c r="AG30" s="1652"/>
      <c r="AH30" s="1652"/>
      <c r="AI30" s="1652"/>
      <c r="AJ30" s="1652"/>
      <c r="AK30" s="1652"/>
      <c r="AL30" s="1652"/>
      <c r="AM30" s="1652"/>
      <c r="AN30" s="1652"/>
      <c r="AO30" s="1652"/>
      <c r="AP30" s="1652"/>
      <c r="AQ30" s="1652"/>
      <c r="AR30" s="1652"/>
    </row>
    <row r="31" spans="1:44">
      <c r="A31" s="1652"/>
      <c r="B31" s="1652"/>
      <c r="C31" s="1667"/>
      <c r="D31" s="2774"/>
      <c r="E31" s="1443"/>
      <c r="F31" s="1436"/>
      <c r="G31" s="1652"/>
      <c r="H31" s="1460"/>
      <c r="I31" s="2205"/>
      <c r="J31" s="1470" t="s">
        <v>229</v>
      </c>
      <c r="K31" s="1460"/>
      <c r="L31" s="1467"/>
      <c r="M31" s="1467"/>
      <c r="N31" s="1461"/>
      <c r="O31" s="1460"/>
      <c r="P31" s="1463"/>
      <c r="Q31" s="1466"/>
      <c r="R31" s="1466"/>
      <c r="S31" s="1469"/>
      <c r="T31" s="1469"/>
      <c r="U31" s="1469"/>
      <c r="V31" s="1469"/>
      <c r="W31" s="1459"/>
      <c r="X31" s="1459"/>
      <c r="Y31" s="1459"/>
      <c r="Z31" s="1482"/>
      <c r="AA31" s="1456"/>
      <c r="AB31" s="1652"/>
      <c r="AC31" s="1652"/>
      <c r="AD31" s="1652"/>
      <c r="AE31" s="1652"/>
      <c r="AF31" s="1652"/>
      <c r="AG31" s="1652"/>
      <c r="AH31" s="1652"/>
      <c r="AI31" s="1652"/>
      <c r="AJ31" s="1652"/>
      <c r="AK31" s="1652"/>
      <c r="AL31" s="1652"/>
      <c r="AM31" s="1652"/>
      <c r="AN31" s="1652"/>
      <c r="AO31" s="1652"/>
      <c r="AP31" s="1652"/>
      <c r="AQ31" s="1652"/>
      <c r="AR31" s="1652"/>
    </row>
    <row r="32" spans="1:44">
      <c r="A32" s="1652"/>
      <c r="B32" s="1652"/>
      <c r="C32" s="1450" t="s">
        <v>1734</v>
      </c>
      <c r="D32" s="2777"/>
      <c r="E32" s="1452">
        <v>0.21</v>
      </c>
      <c r="F32" s="1485"/>
      <c r="G32" s="1652"/>
      <c r="H32" s="1460"/>
      <c r="I32" s="2205"/>
      <c r="J32" s="1470" t="s">
        <v>229</v>
      </c>
      <c r="K32" s="1460"/>
      <c r="L32" s="1467"/>
      <c r="M32" s="1467"/>
      <c r="N32" s="1461"/>
      <c r="O32" s="1460"/>
      <c r="P32" s="1463"/>
      <c r="Q32" s="1466"/>
      <c r="R32" s="1466"/>
      <c r="S32" s="1469"/>
      <c r="T32" s="1469"/>
      <c r="U32" s="1469"/>
      <c r="V32" s="1469"/>
      <c r="W32" s="1459"/>
      <c r="X32" s="1459"/>
      <c r="Y32" s="1459"/>
      <c r="Z32" s="1482"/>
      <c r="AA32" s="1456"/>
      <c r="AB32" s="1652"/>
      <c r="AC32" s="1652"/>
      <c r="AD32" s="1652"/>
      <c r="AE32" s="1652"/>
      <c r="AF32" s="1652"/>
      <c r="AG32" s="1652"/>
      <c r="AH32" s="1652"/>
      <c r="AI32" s="1652"/>
      <c r="AJ32" s="1652"/>
      <c r="AK32" s="1652"/>
      <c r="AL32" s="1652"/>
      <c r="AM32" s="1652"/>
      <c r="AN32" s="1652"/>
      <c r="AO32" s="1652"/>
      <c r="AP32" s="1652"/>
      <c r="AQ32" s="1652"/>
      <c r="AR32" s="1652"/>
    </row>
    <row r="33" spans="1:44">
      <c r="A33" s="1652"/>
      <c r="B33" s="1652"/>
      <c r="C33" s="1667" t="s">
        <v>719</v>
      </c>
      <c r="D33" s="2778"/>
      <c r="E33" s="1641">
        <f>E15*E32</f>
        <v>3511.5822000000007</v>
      </c>
      <c r="F33" s="1661">
        <f>SUM(D33:E33)</f>
        <v>3511.5822000000007</v>
      </c>
      <c r="G33" s="1652"/>
      <c r="H33" s="1460"/>
      <c r="I33" s="2205"/>
      <c r="J33" s="1470" t="s">
        <v>229</v>
      </c>
      <c r="K33" s="1460"/>
      <c r="L33" s="1467"/>
      <c r="M33" s="1467"/>
      <c r="N33" s="1461"/>
      <c r="O33" s="1460"/>
      <c r="P33" s="1463"/>
      <c r="Q33" s="1466"/>
      <c r="R33" s="1466"/>
      <c r="S33" s="1469"/>
      <c r="T33" s="1469"/>
      <c r="U33" s="1469"/>
      <c r="V33" s="1469"/>
      <c r="W33" s="1459"/>
      <c r="X33" s="1459"/>
      <c r="Y33" s="1459"/>
      <c r="Z33" s="1482"/>
      <c r="AA33" s="1456"/>
      <c r="AB33" s="1652"/>
      <c r="AC33" s="1652"/>
      <c r="AD33" s="1652"/>
      <c r="AE33" s="1652"/>
      <c r="AF33" s="1652"/>
      <c r="AG33" s="1652"/>
      <c r="AH33" s="1652"/>
      <c r="AI33" s="1652"/>
      <c r="AJ33" s="1652"/>
      <c r="AK33" s="1652"/>
      <c r="AL33" s="1652"/>
      <c r="AM33" s="1652"/>
      <c r="AN33" s="1652"/>
      <c r="AO33" s="1652"/>
      <c r="AP33" s="1652"/>
      <c r="AQ33" s="1652"/>
      <c r="AR33" s="1652"/>
    </row>
    <row r="34" spans="1:44" ht="25.5">
      <c r="A34" s="2221" t="s">
        <v>1463</v>
      </c>
      <c r="B34" s="1652"/>
      <c r="C34" s="1667" t="s">
        <v>720</v>
      </c>
      <c r="D34" s="2785"/>
      <c r="E34" s="1641">
        <f>E21*E32</f>
        <v>0</v>
      </c>
      <c r="F34" s="1661">
        <f t="shared" ref="F34" si="9">SUM(D34:E34)</f>
        <v>0</v>
      </c>
      <c r="G34" s="1652"/>
      <c r="H34" s="1460"/>
      <c r="I34" s="2205"/>
      <c r="J34" s="1470" t="s">
        <v>229</v>
      </c>
      <c r="K34" s="1460"/>
      <c r="L34" s="1467"/>
      <c r="M34" s="1467"/>
      <c r="N34" s="1461"/>
      <c r="O34" s="1460"/>
      <c r="P34" s="1463"/>
      <c r="Q34" s="1466"/>
      <c r="R34" s="1466"/>
      <c r="S34" s="1469"/>
      <c r="T34" s="1469"/>
      <c r="U34" s="1469"/>
      <c r="V34" s="1469"/>
      <c r="W34" s="1459"/>
      <c r="X34" s="1459"/>
      <c r="Y34" s="1459"/>
      <c r="Z34" s="1482"/>
      <c r="AA34" s="1456"/>
      <c r="AB34" s="1652"/>
      <c r="AC34" s="1652"/>
      <c r="AD34" s="1652"/>
      <c r="AE34" s="1652"/>
      <c r="AF34" s="1652"/>
      <c r="AG34" s="1652"/>
      <c r="AH34" s="1652"/>
      <c r="AI34" s="1652"/>
      <c r="AJ34" s="1652"/>
      <c r="AK34" s="1652"/>
      <c r="AL34" s="1652"/>
      <c r="AM34" s="1652"/>
      <c r="AN34" s="1652"/>
      <c r="AO34" s="1652"/>
      <c r="AP34" s="1652"/>
      <c r="AQ34" s="1652"/>
      <c r="AR34" s="1652"/>
    </row>
    <row r="35" spans="1:44">
      <c r="A35" s="2221" t="s">
        <v>262</v>
      </c>
      <c r="B35" s="1652"/>
      <c r="C35" s="1445"/>
      <c r="D35" s="2775"/>
      <c r="E35" s="1444"/>
      <c r="F35" s="1437"/>
      <c r="G35" s="1652"/>
      <c r="H35" s="1460"/>
      <c r="I35" s="2205"/>
      <c r="J35" s="1470" t="s">
        <v>229</v>
      </c>
      <c r="K35" s="1460"/>
      <c r="L35" s="1467"/>
      <c r="M35" s="1467"/>
      <c r="N35" s="1461"/>
      <c r="O35" s="1460"/>
      <c r="P35" s="1463"/>
      <c r="Q35" s="1466"/>
      <c r="R35" s="1466"/>
      <c r="S35" s="1469"/>
      <c r="T35" s="1469"/>
      <c r="U35" s="1469"/>
      <c r="V35" s="1469"/>
      <c r="W35" s="1459"/>
      <c r="X35" s="1459"/>
      <c r="Y35" s="1459"/>
      <c r="Z35" s="1482"/>
      <c r="AA35" s="1456"/>
      <c r="AB35" s="1652"/>
      <c r="AC35" s="1652"/>
      <c r="AD35" s="1652"/>
      <c r="AE35" s="1652"/>
      <c r="AF35" s="1652"/>
      <c r="AG35" s="1652"/>
      <c r="AH35" s="1652"/>
      <c r="AI35" s="1652"/>
      <c r="AJ35" s="1652"/>
      <c r="AK35" s="1652"/>
      <c r="AL35" s="1652"/>
      <c r="AM35" s="1652"/>
      <c r="AN35" s="1652"/>
      <c r="AO35" s="1652"/>
      <c r="AP35" s="1652"/>
      <c r="AQ35" s="1652"/>
      <c r="AR35" s="1652"/>
    </row>
    <row r="36" spans="1:44">
      <c r="A36" s="2221" t="s">
        <v>5</v>
      </c>
      <c r="B36" s="1652"/>
      <c r="C36" s="1488"/>
      <c r="D36" s="2779"/>
      <c r="E36" s="1490"/>
      <c r="F36" s="1493"/>
      <c r="G36" s="1652"/>
      <c r="H36" s="1460"/>
      <c r="I36" s="2205"/>
      <c r="J36" s="1470" t="s">
        <v>229</v>
      </c>
      <c r="K36" s="1460"/>
      <c r="L36" s="1467"/>
      <c r="M36" s="1467"/>
      <c r="N36" s="1461"/>
      <c r="O36" s="1460"/>
      <c r="P36" s="1463"/>
      <c r="Q36" s="1466"/>
      <c r="R36" s="1466"/>
      <c r="S36" s="1469"/>
      <c r="T36" s="1469"/>
      <c r="U36" s="1469"/>
      <c r="V36" s="1469"/>
      <c r="W36" s="1459"/>
      <c r="X36" s="1459"/>
      <c r="Y36" s="1459"/>
      <c r="Z36" s="1482"/>
      <c r="AA36" s="1456"/>
      <c r="AB36" s="1652"/>
      <c r="AC36" s="1652"/>
      <c r="AD36" s="1652"/>
      <c r="AE36" s="1652"/>
      <c r="AF36" s="1652"/>
      <c r="AG36" s="1652"/>
      <c r="AH36" s="1652"/>
      <c r="AI36" s="1652"/>
      <c r="AJ36" s="1652"/>
      <c r="AK36" s="1652"/>
      <c r="AL36" s="1652"/>
      <c r="AM36" s="1652"/>
      <c r="AN36" s="1652"/>
      <c r="AO36" s="1652"/>
      <c r="AP36" s="1652"/>
      <c r="AQ36" s="1652"/>
      <c r="AR36" s="1652"/>
    </row>
    <row r="37" spans="1:44">
      <c r="A37" s="1361">
        <v>18230251</v>
      </c>
      <c r="B37" s="1652"/>
      <c r="C37" s="1597" t="s">
        <v>46</v>
      </c>
      <c r="D37" s="2771">
        <f>SUM(D38:D41)</f>
        <v>0</v>
      </c>
      <c r="E37" s="1464">
        <f>SUM(E38:E41)</f>
        <v>0</v>
      </c>
      <c r="F37" s="1638">
        <f>D37+E37</f>
        <v>0</v>
      </c>
      <c r="G37" s="1652"/>
      <c r="H37" s="1460"/>
      <c r="I37" s="2205"/>
      <c r="J37" s="1470" t="s">
        <v>229</v>
      </c>
      <c r="K37" s="1460"/>
      <c r="L37" s="1467"/>
      <c r="M37" s="1467"/>
      <c r="N37" s="1461"/>
      <c r="O37" s="1460"/>
      <c r="P37" s="1463"/>
      <c r="Q37" s="1466"/>
      <c r="R37" s="1466"/>
      <c r="S37" s="1469"/>
      <c r="T37" s="1469"/>
      <c r="U37" s="1469"/>
      <c r="V37" s="1469"/>
      <c r="W37" s="1459"/>
      <c r="X37" s="1459"/>
      <c r="Y37" s="1459"/>
      <c r="Z37" s="1482"/>
      <c r="AA37" s="1456"/>
      <c r="AB37" s="1652"/>
      <c r="AC37" s="1652"/>
      <c r="AD37" s="1652"/>
      <c r="AE37" s="1652"/>
      <c r="AF37" s="1652"/>
      <c r="AG37" s="1652"/>
      <c r="AH37" s="1652"/>
      <c r="AI37" s="1652"/>
      <c r="AJ37" s="1652"/>
      <c r="AK37" s="1652"/>
      <c r="AL37" s="1652"/>
      <c r="AM37" s="1652"/>
      <c r="AN37" s="1652"/>
      <c r="AO37" s="1652"/>
      <c r="AP37" s="1652"/>
      <c r="AQ37" s="1652"/>
      <c r="AR37" s="1652"/>
    </row>
    <row r="38" spans="1:44">
      <c r="A38" s="2221" t="s">
        <v>28</v>
      </c>
      <c r="B38" s="1652"/>
      <c r="C38" s="1667"/>
      <c r="D38" s="2778"/>
      <c r="E38" s="1672"/>
      <c r="F38" s="1661">
        <f t="shared" ref="F38:F47" si="10">SUM(D38:E38)</f>
        <v>0</v>
      </c>
      <c r="G38" s="1652"/>
      <c r="H38" s="1460"/>
      <c r="I38" s="2205"/>
      <c r="J38" s="1470" t="s">
        <v>229</v>
      </c>
      <c r="K38" s="1460"/>
      <c r="L38" s="1467"/>
      <c r="M38" s="1467"/>
      <c r="N38" s="1461"/>
      <c r="O38" s="1460"/>
      <c r="P38" s="1463"/>
      <c r="Q38" s="1466"/>
      <c r="R38" s="1466"/>
      <c r="S38" s="1469"/>
      <c r="T38" s="1469"/>
      <c r="U38" s="1469"/>
      <c r="V38" s="1469"/>
      <c r="W38" s="1459"/>
      <c r="X38" s="1459"/>
      <c r="Y38" s="1459"/>
      <c r="Z38" s="1482"/>
      <c r="AA38" s="1456"/>
      <c r="AB38" s="1652"/>
      <c r="AC38" s="1652"/>
      <c r="AD38" s="1652"/>
      <c r="AE38" s="1652"/>
      <c r="AF38" s="1652"/>
      <c r="AG38" s="1652"/>
      <c r="AH38" s="1652"/>
      <c r="AI38" s="1652"/>
      <c r="AJ38" s="1652"/>
      <c r="AK38" s="1652"/>
      <c r="AL38" s="1652"/>
      <c r="AM38" s="1652"/>
      <c r="AN38" s="1652"/>
      <c r="AO38" s="1652"/>
      <c r="AP38" s="1652"/>
      <c r="AQ38" s="1652"/>
      <c r="AR38" s="1652"/>
    </row>
    <row r="39" spans="1:44">
      <c r="A39" s="1663"/>
      <c r="B39" s="1652"/>
      <c r="C39" s="1667"/>
      <c r="D39" s="2778"/>
      <c r="E39" s="1672"/>
      <c r="F39" s="1661">
        <f t="shared" si="10"/>
        <v>0</v>
      </c>
      <c r="G39" s="1652"/>
      <c r="H39" s="1460"/>
      <c r="I39" s="2205"/>
      <c r="J39" s="1470" t="s">
        <v>229</v>
      </c>
      <c r="K39" s="1460"/>
      <c r="L39" s="1467"/>
      <c r="M39" s="1467"/>
      <c r="N39" s="1461"/>
      <c r="O39" s="1460"/>
      <c r="P39" s="1463"/>
      <c r="Q39" s="1466"/>
      <c r="R39" s="1466"/>
      <c r="S39" s="1469"/>
      <c r="T39" s="1469"/>
      <c r="U39" s="1469"/>
      <c r="V39" s="1469"/>
      <c r="W39" s="1459"/>
      <c r="X39" s="1459"/>
      <c r="Y39" s="1459"/>
      <c r="Z39" s="1482"/>
      <c r="AA39" s="1456"/>
      <c r="AB39" s="1652"/>
      <c r="AC39" s="1652"/>
      <c r="AD39" s="1652"/>
      <c r="AE39" s="1652"/>
      <c r="AF39" s="1652"/>
      <c r="AG39" s="1652"/>
      <c r="AH39" s="1652"/>
      <c r="AI39" s="1652"/>
      <c r="AJ39" s="1652"/>
      <c r="AK39" s="1652"/>
      <c r="AL39" s="1652"/>
      <c r="AM39" s="1652"/>
      <c r="AN39" s="1652"/>
      <c r="AO39" s="1652"/>
      <c r="AP39" s="1652"/>
      <c r="AQ39" s="1652"/>
      <c r="AR39" s="1652"/>
    </row>
    <row r="40" spans="1:44">
      <c r="A40" s="1663"/>
      <c r="B40" s="1652"/>
      <c r="C40" s="1667"/>
      <c r="D40" s="2778"/>
      <c r="E40" s="1672"/>
      <c r="F40" s="1661">
        <f t="shared" si="10"/>
        <v>0</v>
      </c>
      <c r="G40" s="1652"/>
      <c r="H40" s="1460"/>
      <c r="I40" s="2205"/>
      <c r="J40" s="1470" t="s">
        <v>229</v>
      </c>
      <c r="K40" s="1460"/>
      <c r="L40" s="1467"/>
      <c r="M40" s="1467"/>
      <c r="N40" s="1461"/>
      <c r="O40" s="1460"/>
      <c r="P40" s="1463"/>
      <c r="Q40" s="1466"/>
      <c r="R40" s="1466"/>
      <c r="S40" s="1469"/>
      <c r="T40" s="1469"/>
      <c r="U40" s="1469"/>
      <c r="V40" s="1469"/>
      <c r="W40" s="1459"/>
      <c r="X40" s="1459"/>
      <c r="Y40" s="1459"/>
      <c r="Z40" s="1482"/>
      <c r="AA40" s="1456"/>
      <c r="AB40" s="1652"/>
      <c r="AC40" s="1652"/>
      <c r="AD40" s="1652"/>
      <c r="AE40" s="1652"/>
      <c r="AF40" s="1652"/>
      <c r="AG40" s="1652"/>
      <c r="AH40" s="1652"/>
      <c r="AI40" s="1652"/>
      <c r="AJ40" s="1652"/>
      <c r="AK40" s="1652"/>
      <c r="AL40" s="1652"/>
      <c r="AM40" s="1652"/>
      <c r="AN40" s="1652"/>
      <c r="AO40" s="1652"/>
      <c r="AP40" s="1652"/>
      <c r="AQ40" s="1652"/>
      <c r="AR40" s="1652"/>
    </row>
    <row r="41" spans="1:44">
      <c r="A41" s="1652"/>
      <c r="B41" s="1652"/>
      <c r="C41" s="1667"/>
      <c r="D41" s="2778"/>
      <c r="E41" s="1672"/>
      <c r="F41" s="1661">
        <f t="shared" si="10"/>
        <v>0</v>
      </c>
      <c r="G41" s="1652"/>
      <c r="H41" s="1460"/>
      <c r="I41" s="2205"/>
      <c r="J41" s="1470" t="s">
        <v>229</v>
      </c>
      <c r="K41" s="1460"/>
      <c r="L41" s="1467"/>
      <c r="M41" s="1467"/>
      <c r="N41" s="1461"/>
      <c r="O41" s="1460"/>
      <c r="P41" s="1463"/>
      <c r="Q41" s="1466"/>
      <c r="R41" s="1466"/>
      <c r="S41" s="1469"/>
      <c r="T41" s="1469"/>
      <c r="U41" s="1469"/>
      <c r="V41" s="1469"/>
      <c r="W41" s="1459"/>
      <c r="X41" s="1459"/>
      <c r="Y41" s="1459"/>
      <c r="Z41" s="1482"/>
      <c r="AA41" s="1456"/>
      <c r="AB41" s="1652"/>
      <c r="AC41" s="1652"/>
      <c r="AD41" s="1652"/>
      <c r="AE41" s="1652"/>
      <c r="AF41" s="1652"/>
      <c r="AG41" s="1652"/>
      <c r="AH41" s="1652"/>
      <c r="AI41" s="1652"/>
      <c r="AJ41" s="1652"/>
      <c r="AK41" s="1652"/>
      <c r="AL41" s="1652"/>
      <c r="AM41" s="1652"/>
      <c r="AN41" s="1652"/>
      <c r="AO41" s="1652"/>
      <c r="AP41" s="1652"/>
      <c r="AQ41" s="1652"/>
      <c r="AR41" s="1652"/>
    </row>
    <row r="42" spans="1:44">
      <c r="A42" s="1652"/>
      <c r="B42" s="1652"/>
      <c r="C42" s="1488"/>
      <c r="D42" s="2779"/>
      <c r="E42" s="1490"/>
      <c r="F42" s="1493"/>
      <c r="G42" s="1652"/>
      <c r="H42" s="1460"/>
      <c r="I42" s="2205"/>
      <c r="J42" s="1470" t="s">
        <v>229</v>
      </c>
      <c r="K42" s="1460"/>
      <c r="L42" s="1467"/>
      <c r="M42" s="1467"/>
      <c r="N42" s="1461"/>
      <c r="O42" s="1460"/>
      <c r="P42" s="1463"/>
      <c r="Q42" s="1466"/>
      <c r="R42" s="1466"/>
      <c r="S42" s="1469"/>
      <c r="T42" s="1469"/>
      <c r="U42" s="1469"/>
      <c r="V42" s="1469"/>
      <c r="W42" s="1459"/>
      <c r="X42" s="1459"/>
      <c r="Y42" s="1459"/>
      <c r="Z42" s="1482"/>
      <c r="AA42" s="1456"/>
      <c r="AB42" s="1652"/>
      <c r="AC42" s="1652"/>
      <c r="AD42" s="1652"/>
      <c r="AE42" s="1652"/>
      <c r="AF42" s="1652"/>
      <c r="AG42" s="1652"/>
      <c r="AH42" s="1652"/>
      <c r="AI42" s="1652"/>
      <c r="AJ42" s="1652"/>
      <c r="AK42" s="1652"/>
      <c r="AL42" s="1652"/>
      <c r="AM42" s="1652"/>
      <c r="AN42" s="1652"/>
      <c r="AO42" s="1652"/>
      <c r="AP42" s="1652"/>
      <c r="AQ42" s="1652"/>
      <c r="AR42" s="1652"/>
    </row>
    <row r="43" spans="1:44">
      <c r="A43" s="1652"/>
      <c r="B43" s="1652"/>
      <c r="C43" s="1597" t="s">
        <v>483</v>
      </c>
      <c r="D43" s="2771">
        <f>SUM(D44:D47)</f>
        <v>0</v>
      </c>
      <c r="E43" s="1464">
        <f>SUM(E44:E47)</f>
        <v>0</v>
      </c>
      <c r="F43" s="1638">
        <f>D43+E43</f>
        <v>0</v>
      </c>
      <c r="G43" s="1652"/>
      <c r="H43" s="1460"/>
      <c r="I43" s="2205"/>
      <c r="J43" s="1470" t="s">
        <v>229</v>
      </c>
      <c r="K43" s="1460"/>
      <c r="L43" s="1467"/>
      <c r="M43" s="1467"/>
      <c r="N43" s="1461"/>
      <c r="O43" s="1460"/>
      <c r="P43" s="1463"/>
      <c r="Q43" s="1466"/>
      <c r="R43" s="1466"/>
      <c r="S43" s="1469"/>
      <c r="T43" s="1469"/>
      <c r="U43" s="1469"/>
      <c r="V43" s="1469"/>
      <c r="W43" s="1459"/>
      <c r="X43" s="1459"/>
      <c r="Y43" s="1459"/>
      <c r="Z43" s="1482"/>
      <c r="AA43" s="1456"/>
      <c r="AB43" s="1652"/>
      <c r="AC43" s="1652"/>
      <c r="AD43" s="1652"/>
      <c r="AE43" s="1652"/>
      <c r="AF43" s="1652"/>
      <c r="AG43" s="1652"/>
      <c r="AH43" s="1652"/>
      <c r="AI43" s="1652"/>
      <c r="AJ43" s="1652"/>
      <c r="AK43" s="1652"/>
      <c r="AL43" s="1652"/>
      <c r="AM43" s="1652"/>
      <c r="AN43" s="1652"/>
      <c r="AO43" s="1652"/>
      <c r="AP43" s="1652"/>
      <c r="AQ43" s="1652"/>
      <c r="AR43" s="1652"/>
    </row>
    <row r="44" spans="1:44">
      <c r="A44" s="1652"/>
      <c r="B44" s="1652"/>
      <c r="C44" s="1667"/>
      <c r="D44" s="2778"/>
      <c r="E44" s="1672"/>
      <c r="F44" s="1661">
        <f t="shared" si="10"/>
        <v>0</v>
      </c>
      <c r="G44" s="1652"/>
      <c r="H44" s="1460"/>
      <c r="I44" s="2205"/>
      <c r="J44" s="1470" t="s">
        <v>229</v>
      </c>
      <c r="K44" s="1460"/>
      <c r="L44" s="1467"/>
      <c r="M44" s="1467"/>
      <c r="N44" s="1461"/>
      <c r="O44" s="1460"/>
      <c r="P44" s="1463"/>
      <c r="Q44" s="1466"/>
      <c r="R44" s="1466"/>
      <c r="S44" s="1469"/>
      <c r="T44" s="1469"/>
      <c r="U44" s="1469"/>
      <c r="V44" s="1469"/>
      <c r="W44" s="1459"/>
      <c r="X44" s="1459"/>
      <c r="Y44" s="1459"/>
      <c r="Z44" s="1482"/>
      <c r="AA44" s="1456"/>
      <c r="AB44" s="1652"/>
      <c r="AC44" s="1652"/>
      <c r="AD44" s="1652"/>
      <c r="AE44" s="1652"/>
      <c r="AF44" s="1652"/>
      <c r="AG44" s="1652"/>
      <c r="AH44" s="1652"/>
      <c r="AI44" s="1652"/>
      <c r="AJ44" s="1652"/>
      <c r="AK44" s="1652"/>
      <c r="AL44" s="1652"/>
      <c r="AM44" s="1652"/>
      <c r="AN44" s="1652"/>
      <c r="AO44" s="1652"/>
      <c r="AP44" s="1652"/>
      <c r="AQ44" s="1652"/>
      <c r="AR44" s="1652"/>
    </row>
    <row r="45" spans="1:44">
      <c r="A45" s="1652"/>
      <c r="B45" s="1652"/>
      <c r="C45" s="1667"/>
      <c r="D45" s="2778"/>
      <c r="E45" s="1672"/>
      <c r="F45" s="1661">
        <f t="shared" si="10"/>
        <v>0</v>
      </c>
      <c r="G45" s="1652"/>
      <c r="H45" s="1460"/>
      <c r="I45" s="2205"/>
      <c r="J45" s="1470" t="s">
        <v>229</v>
      </c>
      <c r="K45" s="1460"/>
      <c r="L45" s="1467"/>
      <c r="M45" s="1467"/>
      <c r="N45" s="1461"/>
      <c r="O45" s="1460"/>
      <c r="P45" s="1463"/>
      <c r="Q45" s="1466"/>
      <c r="R45" s="1466"/>
      <c r="S45" s="1469"/>
      <c r="T45" s="1469"/>
      <c r="U45" s="1469"/>
      <c r="V45" s="1469"/>
      <c r="W45" s="1459"/>
      <c r="X45" s="1459"/>
      <c r="Y45" s="1459"/>
      <c r="Z45" s="1482"/>
      <c r="AA45" s="1456"/>
      <c r="AB45" s="1652"/>
      <c r="AC45" s="1652"/>
      <c r="AD45" s="1652"/>
      <c r="AE45" s="1652"/>
      <c r="AF45" s="1652"/>
      <c r="AG45" s="1652"/>
      <c r="AH45" s="1652"/>
      <c r="AI45" s="1652"/>
      <c r="AJ45" s="1652"/>
      <c r="AK45" s="1652"/>
      <c r="AL45" s="1652"/>
      <c r="AM45" s="1652"/>
      <c r="AN45" s="1652"/>
      <c r="AO45" s="1652"/>
      <c r="AP45" s="1652"/>
      <c r="AQ45" s="1652"/>
      <c r="AR45" s="1652"/>
    </row>
    <row r="46" spans="1:44">
      <c r="A46" s="1652"/>
      <c r="B46" s="1652"/>
      <c r="C46" s="1667"/>
      <c r="D46" s="2778"/>
      <c r="E46" s="1672"/>
      <c r="F46" s="1661">
        <f t="shared" si="10"/>
        <v>0</v>
      </c>
      <c r="G46" s="1652"/>
      <c r="H46" s="1460"/>
      <c r="I46" s="2205"/>
      <c r="J46" s="1470" t="s">
        <v>229</v>
      </c>
      <c r="K46" s="1460"/>
      <c r="L46" s="1467"/>
      <c r="M46" s="1467"/>
      <c r="N46" s="1461"/>
      <c r="O46" s="1460"/>
      <c r="P46" s="1463"/>
      <c r="Q46" s="1466"/>
      <c r="R46" s="1466"/>
      <c r="S46" s="1469"/>
      <c r="T46" s="1469"/>
      <c r="U46" s="1469"/>
      <c r="V46" s="1469"/>
      <c r="W46" s="1459"/>
      <c r="X46" s="1459"/>
      <c r="Y46" s="1459"/>
      <c r="Z46" s="1482"/>
      <c r="AA46" s="1456"/>
      <c r="AB46" s="1652"/>
      <c r="AC46" s="1652"/>
      <c r="AD46" s="1652"/>
      <c r="AE46" s="1652"/>
      <c r="AF46" s="1652"/>
      <c r="AG46" s="1652"/>
      <c r="AH46" s="1652"/>
      <c r="AI46" s="1652"/>
      <c r="AJ46" s="1652"/>
      <c r="AK46" s="1652"/>
      <c r="AL46" s="1652"/>
      <c r="AM46" s="1652"/>
      <c r="AN46" s="1652"/>
      <c r="AO46" s="1652"/>
      <c r="AP46" s="1652"/>
      <c r="AQ46" s="1652"/>
      <c r="AR46" s="1652"/>
    </row>
    <row r="47" spans="1:44">
      <c r="A47" s="1652"/>
      <c r="B47" s="1652"/>
      <c r="C47" s="1667"/>
      <c r="D47" s="2778"/>
      <c r="E47" s="1672"/>
      <c r="F47" s="1661">
        <f t="shared" si="10"/>
        <v>0</v>
      </c>
      <c r="G47" s="1652"/>
      <c r="H47" s="1460"/>
      <c r="I47" s="2205"/>
      <c r="J47" s="1470" t="s">
        <v>229</v>
      </c>
      <c r="K47" s="1460"/>
      <c r="L47" s="1467"/>
      <c r="M47" s="1467"/>
      <c r="N47" s="1461"/>
      <c r="O47" s="1460"/>
      <c r="P47" s="1463"/>
      <c r="Q47" s="1466"/>
      <c r="R47" s="1466"/>
      <c r="S47" s="1469"/>
      <c r="T47" s="1469"/>
      <c r="U47" s="1469"/>
      <c r="V47" s="1469"/>
      <c r="W47" s="1459"/>
      <c r="X47" s="1459"/>
      <c r="Y47" s="1459"/>
      <c r="Z47" s="1482"/>
      <c r="AA47" s="1456"/>
      <c r="AB47" s="1652"/>
      <c r="AC47" s="1652"/>
      <c r="AD47" s="1652"/>
      <c r="AE47" s="1652"/>
      <c r="AF47" s="1652"/>
      <c r="AG47" s="1652"/>
      <c r="AH47" s="1652"/>
      <c r="AI47" s="1652"/>
      <c r="AJ47" s="1652"/>
      <c r="AK47" s="1652"/>
      <c r="AL47" s="1652"/>
      <c r="AM47" s="1652"/>
      <c r="AN47" s="1652"/>
      <c r="AO47" s="1652"/>
      <c r="AP47" s="1652"/>
      <c r="AQ47" s="1652"/>
      <c r="AR47" s="1652"/>
    </row>
    <row r="48" spans="1:44">
      <c r="A48" s="1652"/>
      <c r="B48" s="1652"/>
      <c r="C48" s="1488"/>
      <c r="D48" s="2779"/>
      <c r="E48" s="1490"/>
      <c r="F48" s="1493"/>
      <c r="G48" s="1652"/>
      <c r="H48" s="1460"/>
      <c r="I48" s="2205"/>
      <c r="J48" s="1470" t="s">
        <v>229</v>
      </c>
      <c r="K48" s="1460"/>
      <c r="L48" s="1467"/>
      <c r="M48" s="1467"/>
      <c r="N48" s="1461"/>
      <c r="O48" s="1460"/>
      <c r="P48" s="1463"/>
      <c r="Q48" s="1466"/>
      <c r="R48" s="1466"/>
      <c r="S48" s="1469"/>
      <c r="T48" s="1469"/>
      <c r="U48" s="1469"/>
      <c r="V48" s="1469"/>
      <c r="W48" s="1459"/>
      <c r="X48" s="1459"/>
      <c r="Y48" s="1459"/>
      <c r="Z48" s="1482"/>
      <c r="AA48" s="1456"/>
      <c r="AB48" s="1652"/>
      <c r="AC48" s="1652"/>
      <c r="AD48" s="1652"/>
      <c r="AE48" s="1652"/>
      <c r="AF48" s="1652"/>
      <c r="AG48" s="1652"/>
      <c r="AH48" s="1652"/>
      <c r="AI48" s="1652"/>
      <c r="AJ48" s="1652"/>
      <c r="AK48" s="1652"/>
      <c r="AL48" s="1652"/>
      <c r="AM48" s="1652"/>
      <c r="AN48" s="1652"/>
      <c r="AO48" s="1652"/>
      <c r="AP48" s="1652"/>
      <c r="AQ48" s="1652"/>
      <c r="AR48" s="1652"/>
    </row>
    <row r="49" spans="1:44">
      <c r="A49" s="1652"/>
      <c r="B49" s="1652"/>
      <c r="C49" s="1597" t="s">
        <v>47</v>
      </c>
      <c r="D49" s="2771">
        <f>SUM(D50:D53)</f>
        <v>315</v>
      </c>
      <c r="E49" s="1464">
        <f>SUM(E50:E53)</f>
        <v>315</v>
      </c>
      <c r="F49" s="1638">
        <f>D49+E49</f>
        <v>630</v>
      </c>
      <c r="G49" s="1652"/>
      <c r="H49" s="1460"/>
      <c r="I49" s="2205"/>
      <c r="J49" s="1470" t="s">
        <v>229</v>
      </c>
      <c r="K49" s="1460"/>
      <c r="L49" s="1467"/>
      <c r="M49" s="1467"/>
      <c r="N49" s="1461"/>
      <c r="O49" s="1460"/>
      <c r="P49" s="1463"/>
      <c r="Q49" s="1466"/>
      <c r="R49" s="1466"/>
      <c r="S49" s="1469"/>
      <c r="T49" s="1469"/>
      <c r="U49" s="1469"/>
      <c r="V49" s="1469"/>
      <c r="W49" s="1459"/>
      <c r="X49" s="1459"/>
      <c r="Y49" s="1459"/>
      <c r="Z49" s="1482"/>
      <c r="AA49" s="1456"/>
      <c r="AB49" s="1652"/>
      <c r="AC49" s="1652"/>
      <c r="AD49" s="1652"/>
      <c r="AE49" s="1652"/>
      <c r="AF49" s="1652"/>
      <c r="AG49" s="1652"/>
      <c r="AH49" s="1652"/>
      <c r="AI49" s="1652"/>
      <c r="AJ49" s="1652"/>
      <c r="AK49" s="1652"/>
      <c r="AL49" s="1652"/>
      <c r="AM49" s="1652"/>
      <c r="AN49" s="1652"/>
      <c r="AO49" s="1652"/>
      <c r="AP49" s="1652"/>
      <c r="AQ49" s="1652"/>
      <c r="AR49" s="1652"/>
    </row>
    <row r="50" spans="1:44">
      <c r="A50" s="1652"/>
      <c r="B50" s="1652"/>
      <c r="C50" s="1667" t="s">
        <v>1184</v>
      </c>
      <c r="D50" s="2778">
        <v>315</v>
      </c>
      <c r="E50" s="1672">
        <v>315</v>
      </c>
      <c r="F50" s="1661">
        <f t="shared" ref="F50:F65" si="11">SUM(D50:E50)</f>
        <v>630</v>
      </c>
      <c r="G50" s="1652"/>
      <c r="H50" s="1460"/>
      <c r="I50" s="2205"/>
      <c r="J50" s="1470" t="s">
        <v>229</v>
      </c>
      <c r="K50" s="1460"/>
      <c r="L50" s="1467"/>
      <c r="M50" s="1467"/>
      <c r="N50" s="1461"/>
      <c r="O50" s="1460"/>
      <c r="P50" s="1463"/>
      <c r="Q50" s="1466"/>
      <c r="R50" s="1466"/>
      <c r="S50" s="1469"/>
      <c r="T50" s="1469"/>
      <c r="U50" s="1469"/>
      <c r="V50" s="1469"/>
      <c r="W50" s="1459"/>
      <c r="X50" s="1459"/>
      <c r="Y50" s="1459"/>
      <c r="Z50" s="1482"/>
      <c r="AA50" s="1456"/>
      <c r="AB50" s="1652"/>
      <c r="AC50" s="1652"/>
      <c r="AD50" s="1652"/>
      <c r="AE50" s="1652"/>
      <c r="AF50" s="1652"/>
      <c r="AG50" s="1652"/>
      <c r="AH50" s="1652"/>
      <c r="AI50" s="1652"/>
      <c r="AJ50" s="1652"/>
      <c r="AK50" s="1652"/>
      <c r="AL50" s="1652"/>
      <c r="AM50" s="1652"/>
      <c r="AN50" s="1652"/>
      <c r="AO50" s="1652"/>
      <c r="AP50" s="1652"/>
      <c r="AQ50" s="1652"/>
      <c r="AR50" s="1652"/>
    </row>
    <row r="51" spans="1:44">
      <c r="A51" s="1652"/>
      <c r="B51" s="1652"/>
      <c r="C51" s="1667"/>
      <c r="D51" s="2778"/>
      <c r="E51" s="1672"/>
      <c r="F51" s="1661">
        <f t="shared" si="11"/>
        <v>0</v>
      </c>
      <c r="G51" s="1652"/>
      <c r="H51" s="1460"/>
      <c r="I51" s="2205"/>
      <c r="J51" s="1470" t="s">
        <v>229</v>
      </c>
      <c r="K51" s="1460"/>
      <c r="L51" s="1467"/>
      <c r="M51" s="1467"/>
      <c r="N51" s="1461"/>
      <c r="O51" s="1460"/>
      <c r="P51" s="1463"/>
      <c r="Q51" s="1466"/>
      <c r="R51" s="1466"/>
      <c r="S51" s="1469"/>
      <c r="T51" s="1469"/>
      <c r="U51" s="1469"/>
      <c r="V51" s="1469"/>
      <c r="W51" s="1459"/>
      <c r="X51" s="1459"/>
      <c r="Y51" s="1459"/>
      <c r="Z51" s="1482"/>
      <c r="AA51" s="1456"/>
      <c r="AB51" s="1652"/>
      <c r="AC51" s="1652"/>
      <c r="AD51" s="1652"/>
      <c r="AE51" s="1652"/>
      <c r="AF51" s="1652"/>
      <c r="AG51" s="1652"/>
      <c r="AH51" s="1652"/>
      <c r="AI51" s="1652"/>
      <c r="AJ51" s="1652"/>
      <c r="AK51" s="1652"/>
      <c r="AL51" s="1652"/>
      <c r="AM51" s="1652"/>
      <c r="AN51" s="1652"/>
      <c r="AO51" s="1652"/>
      <c r="AP51" s="1652"/>
      <c r="AQ51" s="1652"/>
      <c r="AR51" s="1652"/>
    </row>
    <row r="52" spans="1:44">
      <c r="A52" s="1652"/>
      <c r="B52" s="1652"/>
      <c r="C52" s="1667"/>
      <c r="D52" s="2778"/>
      <c r="E52" s="1672"/>
      <c r="F52" s="1661">
        <f t="shared" si="11"/>
        <v>0</v>
      </c>
      <c r="G52" s="1652"/>
      <c r="H52" s="1460"/>
      <c r="I52" s="2205"/>
      <c r="J52" s="1470" t="s">
        <v>229</v>
      </c>
      <c r="K52" s="1460"/>
      <c r="L52" s="1467"/>
      <c r="M52" s="1467"/>
      <c r="N52" s="1461"/>
      <c r="O52" s="1460"/>
      <c r="P52" s="1463"/>
      <c r="Q52" s="1466"/>
      <c r="R52" s="1466"/>
      <c r="S52" s="1469"/>
      <c r="T52" s="1469"/>
      <c r="U52" s="1469"/>
      <c r="V52" s="1469"/>
      <c r="W52" s="1459"/>
      <c r="X52" s="1459"/>
      <c r="Y52" s="1459"/>
      <c r="Z52" s="1482"/>
      <c r="AA52" s="1456"/>
      <c r="AB52" s="1652"/>
      <c r="AC52" s="1652"/>
      <c r="AD52" s="1652"/>
      <c r="AE52" s="1652"/>
      <c r="AF52" s="1652"/>
      <c r="AG52" s="1652"/>
      <c r="AH52" s="1652"/>
      <c r="AI52" s="1652"/>
      <c r="AJ52" s="1652"/>
      <c r="AK52" s="1652"/>
      <c r="AL52" s="1652"/>
      <c r="AM52" s="1652"/>
      <c r="AN52" s="1652"/>
      <c r="AO52" s="1652"/>
      <c r="AP52" s="1652"/>
      <c r="AQ52" s="1652"/>
      <c r="AR52" s="1652"/>
    </row>
    <row r="53" spans="1:44">
      <c r="A53" s="1652"/>
      <c r="B53" s="1652"/>
      <c r="C53" s="1667"/>
      <c r="D53" s="2778"/>
      <c r="E53" s="1672"/>
      <c r="F53" s="1661">
        <f t="shared" si="11"/>
        <v>0</v>
      </c>
      <c r="G53" s="1652"/>
      <c r="H53" s="1460"/>
      <c r="I53" s="2205"/>
      <c r="J53" s="1470" t="s">
        <v>229</v>
      </c>
      <c r="K53" s="1460"/>
      <c r="L53" s="1467"/>
      <c r="M53" s="1467"/>
      <c r="N53" s="1461"/>
      <c r="O53" s="1460"/>
      <c r="P53" s="1463"/>
      <c r="Q53" s="1466"/>
      <c r="R53" s="1466"/>
      <c r="S53" s="1469"/>
      <c r="T53" s="1469"/>
      <c r="U53" s="1469"/>
      <c r="V53" s="1469"/>
      <c r="W53" s="1459"/>
      <c r="X53" s="1459"/>
      <c r="Y53" s="1459"/>
      <c r="Z53" s="1482"/>
      <c r="AA53" s="1456"/>
      <c r="AB53" s="1652"/>
      <c r="AC53" s="1652"/>
      <c r="AD53" s="1652"/>
      <c r="AE53" s="1652"/>
      <c r="AF53" s="1652"/>
      <c r="AG53" s="1652"/>
      <c r="AH53" s="1652"/>
      <c r="AI53" s="1652"/>
      <c r="AJ53" s="1652"/>
      <c r="AK53" s="1652"/>
      <c r="AL53" s="1652"/>
      <c r="AM53" s="1652"/>
      <c r="AN53" s="1652"/>
      <c r="AO53" s="1652"/>
      <c r="AP53" s="1652"/>
      <c r="AQ53" s="1652"/>
      <c r="AR53" s="1652"/>
    </row>
    <row r="54" spans="1:44">
      <c r="A54" s="1652"/>
      <c r="B54" s="1652"/>
      <c r="C54" s="1488"/>
      <c r="D54" s="2779"/>
      <c r="E54" s="1490"/>
      <c r="F54" s="1493"/>
      <c r="G54" s="1652"/>
      <c r="H54" s="1460"/>
      <c r="I54" s="2205"/>
      <c r="J54" s="1470" t="s">
        <v>229</v>
      </c>
      <c r="K54" s="1460"/>
      <c r="L54" s="1467"/>
      <c r="M54" s="1467"/>
      <c r="N54" s="1461"/>
      <c r="O54" s="1460"/>
      <c r="P54" s="1463"/>
      <c r="Q54" s="1466"/>
      <c r="R54" s="1466"/>
      <c r="S54" s="1469"/>
      <c r="T54" s="1469"/>
      <c r="U54" s="1469"/>
      <c r="V54" s="1469"/>
      <c r="W54" s="1459"/>
      <c r="X54" s="1459"/>
      <c r="Y54" s="1459"/>
      <c r="Z54" s="1482"/>
      <c r="AA54" s="1456"/>
      <c r="AB54" s="1652"/>
      <c r="AC54" s="1652"/>
      <c r="AD54" s="1652"/>
      <c r="AE54" s="1652"/>
      <c r="AF54" s="1652"/>
      <c r="AG54" s="1652"/>
      <c r="AH54" s="1652"/>
      <c r="AI54" s="1652"/>
      <c r="AJ54" s="1652"/>
      <c r="AK54" s="1652"/>
      <c r="AL54" s="1652"/>
      <c r="AM54" s="1652"/>
      <c r="AN54" s="1652"/>
      <c r="AO54" s="1652"/>
      <c r="AP54" s="1652"/>
      <c r="AQ54" s="1652"/>
      <c r="AR54" s="1652"/>
    </row>
    <row r="55" spans="1:44">
      <c r="A55" s="1652"/>
      <c r="B55" s="1652"/>
      <c r="C55" s="1597" t="s">
        <v>48</v>
      </c>
      <c r="D55" s="2771">
        <f>SUM(D56:D59)</f>
        <v>0</v>
      </c>
      <c r="E55" s="1464">
        <f>SUM(E56:E59)</f>
        <v>0</v>
      </c>
      <c r="F55" s="1638">
        <f>D55+E55</f>
        <v>0</v>
      </c>
      <c r="G55" s="1652"/>
      <c r="H55" s="1460"/>
      <c r="I55" s="2205"/>
      <c r="J55" s="1470" t="s">
        <v>229</v>
      </c>
      <c r="K55" s="1460"/>
      <c r="L55" s="1467"/>
      <c r="M55" s="1467"/>
      <c r="N55" s="1461"/>
      <c r="O55" s="1460"/>
      <c r="P55" s="1463"/>
      <c r="Q55" s="1466"/>
      <c r="R55" s="1466"/>
      <c r="S55" s="1469"/>
      <c r="T55" s="1469"/>
      <c r="U55" s="1469"/>
      <c r="V55" s="1469"/>
      <c r="W55" s="1459"/>
      <c r="X55" s="1459"/>
      <c r="Y55" s="1459"/>
      <c r="Z55" s="1482"/>
      <c r="AA55" s="1456"/>
      <c r="AB55" s="1652"/>
      <c r="AC55" s="1652"/>
      <c r="AD55" s="1652"/>
      <c r="AE55" s="1652"/>
      <c r="AF55" s="1652"/>
      <c r="AG55" s="1652"/>
      <c r="AH55" s="1652"/>
      <c r="AI55" s="1652"/>
      <c r="AJ55" s="1652"/>
      <c r="AK55" s="1652"/>
      <c r="AL55" s="1652"/>
      <c r="AM55" s="1652"/>
      <c r="AN55" s="1652"/>
      <c r="AO55" s="1652"/>
      <c r="AP55" s="1652"/>
      <c r="AQ55" s="1652"/>
      <c r="AR55" s="1652"/>
    </row>
    <row r="56" spans="1:44">
      <c r="A56" s="1652"/>
      <c r="B56" s="1652"/>
      <c r="C56" s="1667"/>
      <c r="D56" s="2778"/>
      <c r="E56" s="1641"/>
      <c r="F56" s="1661">
        <f t="shared" si="11"/>
        <v>0</v>
      </c>
      <c r="G56" s="1652"/>
      <c r="H56" s="1460"/>
      <c r="I56" s="2205"/>
      <c r="J56" s="1470" t="s">
        <v>229</v>
      </c>
      <c r="K56" s="1460"/>
      <c r="L56" s="1467"/>
      <c r="M56" s="1467"/>
      <c r="N56" s="1461"/>
      <c r="O56" s="1460"/>
      <c r="P56" s="1463"/>
      <c r="Q56" s="1466"/>
      <c r="R56" s="1466"/>
      <c r="S56" s="1469"/>
      <c r="T56" s="1469"/>
      <c r="U56" s="1469"/>
      <c r="V56" s="1469"/>
      <c r="W56" s="1459"/>
      <c r="X56" s="1459"/>
      <c r="Y56" s="1459"/>
      <c r="Z56" s="1482"/>
      <c r="AA56" s="1456"/>
      <c r="AB56" s="1652"/>
      <c r="AC56" s="1652"/>
      <c r="AD56" s="1652"/>
      <c r="AE56" s="1652"/>
      <c r="AF56" s="1652"/>
      <c r="AG56" s="1652"/>
      <c r="AH56" s="1652"/>
      <c r="AI56" s="1652"/>
      <c r="AJ56" s="1652"/>
      <c r="AK56" s="1652"/>
      <c r="AL56" s="1652"/>
      <c r="AM56" s="1652"/>
      <c r="AN56" s="1652"/>
      <c r="AO56" s="1652"/>
      <c r="AP56" s="1652"/>
      <c r="AQ56" s="1652"/>
      <c r="AR56" s="1652"/>
    </row>
    <row r="57" spans="1:44">
      <c r="A57" s="1652"/>
      <c r="B57" s="1652"/>
      <c r="C57" s="1667"/>
      <c r="D57" s="2778"/>
      <c r="E57" s="1641"/>
      <c r="F57" s="1661">
        <f t="shared" si="11"/>
        <v>0</v>
      </c>
      <c r="G57" s="1652"/>
      <c r="H57" s="1460"/>
      <c r="I57" s="2205"/>
      <c r="J57" s="1470" t="s">
        <v>229</v>
      </c>
      <c r="K57" s="1460"/>
      <c r="L57" s="1467"/>
      <c r="M57" s="1467"/>
      <c r="N57" s="1461"/>
      <c r="O57" s="1460"/>
      <c r="P57" s="1463"/>
      <c r="Q57" s="1466"/>
      <c r="R57" s="1466"/>
      <c r="S57" s="1469"/>
      <c r="T57" s="1469"/>
      <c r="U57" s="1469"/>
      <c r="V57" s="1469"/>
      <c r="W57" s="1459"/>
      <c r="X57" s="1459"/>
      <c r="Y57" s="1459"/>
      <c r="Z57" s="1482"/>
      <c r="AA57" s="1456"/>
      <c r="AB57" s="1652"/>
      <c r="AC57" s="1652"/>
      <c r="AD57" s="1652"/>
      <c r="AE57" s="1652"/>
      <c r="AF57" s="1652"/>
      <c r="AG57" s="1652"/>
      <c r="AH57" s="1652"/>
      <c r="AI57" s="1652"/>
      <c r="AJ57" s="1652"/>
      <c r="AK57" s="1652"/>
      <c r="AL57" s="1652"/>
      <c r="AM57" s="1652"/>
      <c r="AN57" s="1652"/>
      <c r="AO57" s="1652"/>
      <c r="AP57" s="1652"/>
      <c r="AQ57" s="1652"/>
      <c r="AR57" s="1652"/>
    </row>
    <row r="58" spans="1:44">
      <c r="A58" s="1652"/>
      <c r="B58" s="1652"/>
      <c r="C58" s="1667"/>
      <c r="D58" s="2778"/>
      <c r="E58" s="1641"/>
      <c r="F58" s="1661">
        <f t="shared" si="11"/>
        <v>0</v>
      </c>
      <c r="G58" s="1652"/>
      <c r="H58" s="1460"/>
      <c r="I58" s="2205"/>
      <c r="J58" s="1470" t="s">
        <v>229</v>
      </c>
      <c r="K58" s="1460"/>
      <c r="L58" s="1467"/>
      <c r="M58" s="1467"/>
      <c r="N58" s="1461"/>
      <c r="O58" s="1460"/>
      <c r="P58" s="1463"/>
      <c r="Q58" s="1466"/>
      <c r="R58" s="1466"/>
      <c r="S58" s="1469"/>
      <c r="T58" s="1469"/>
      <c r="U58" s="1469"/>
      <c r="V58" s="1469"/>
      <c r="W58" s="1459"/>
      <c r="X58" s="1459"/>
      <c r="Y58" s="1459"/>
      <c r="Z58" s="1482"/>
      <c r="AA58" s="1456"/>
      <c r="AB58" s="1652"/>
      <c r="AC58" s="1652"/>
      <c r="AD58" s="1652"/>
      <c r="AE58" s="1652"/>
      <c r="AF58" s="1652"/>
      <c r="AG58" s="1652"/>
      <c r="AH58" s="1652"/>
      <c r="AI58" s="1652"/>
      <c r="AJ58" s="1652"/>
      <c r="AK58" s="1652"/>
      <c r="AL58" s="1652"/>
      <c r="AM58" s="1652"/>
      <c r="AN58" s="1652"/>
      <c r="AO58" s="1652"/>
      <c r="AP58" s="1652"/>
      <c r="AQ58" s="1652"/>
      <c r="AR58" s="1652"/>
    </row>
    <row r="59" spans="1:44">
      <c r="A59" s="1652"/>
      <c r="B59" s="1652"/>
      <c r="C59" s="1667"/>
      <c r="D59" s="2778"/>
      <c r="E59" s="1641"/>
      <c r="F59" s="1661">
        <f t="shared" si="11"/>
        <v>0</v>
      </c>
      <c r="G59" s="1652"/>
      <c r="H59" s="1460"/>
      <c r="I59" s="2205"/>
      <c r="J59" s="1470" t="s">
        <v>229</v>
      </c>
      <c r="K59" s="1460"/>
      <c r="L59" s="1467"/>
      <c r="M59" s="1467"/>
      <c r="N59" s="1461"/>
      <c r="O59" s="1460"/>
      <c r="P59" s="1463"/>
      <c r="Q59" s="1466"/>
      <c r="R59" s="1466"/>
      <c r="S59" s="1469"/>
      <c r="T59" s="1469"/>
      <c r="U59" s="1469"/>
      <c r="V59" s="1469"/>
      <c r="W59" s="1459"/>
      <c r="X59" s="1459"/>
      <c r="Y59" s="1459"/>
      <c r="Z59" s="1482"/>
      <c r="AA59" s="1456"/>
      <c r="AB59" s="1652"/>
      <c r="AC59" s="1652"/>
      <c r="AD59" s="1652"/>
      <c r="AE59" s="1652"/>
      <c r="AF59" s="1652"/>
      <c r="AG59" s="1652"/>
      <c r="AH59" s="1652"/>
      <c r="AI59" s="1652"/>
      <c r="AJ59" s="1652"/>
      <c r="AK59" s="1652"/>
      <c r="AL59" s="1652"/>
      <c r="AM59" s="1652"/>
      <c r="AN59" s="1652"/>
      <c r="AO59" s="1652"/>
      <c r="AP59" s="1652"/>
      <c r="AQ59" s="1652"/>
      <c r="AR59" s="1652"/>
    </row>
    <row r="60" spans="1:44">
      <c r="A60" s="1652"/>
      <c r="B60" s="1652"/>
      <c r="C60" s="1488"/>
      <c r="D60" s="2779"/>
      <c r="E60" s="1490"/>
      <c r="F60" s="1493"/>
      <c r="G60" s="1652"/>
      <c r="H60" s="1460"/>
      <c r="I60" s="1466"/>
      <c r="J60" s="1470" t="s">
        <v>229</v>
      </c>
      <c r="K60" s="1460"/>
      <c r="L60" s="1467"/>
      <c r="M60" s="1467"/>
      <c r="N60" s="1461"/>
      <c r="O60" s="1460"/>
      <c r="P60" s="1463"/>
      <c r="Q60" s="1466"/>
      <c r="R60" s="1466"/>
      <c r="S60" s="1469"/>
      <c r="T60" s="1469"/>
      <c r="U60" s="1469"/>
      <c r="V60" s="1469"/>
      <c r="W60" s="1459"/>
      <c r="X60" s="1459"/>
      <c r="Y60" s="1459"/>
      <c r="Z60" s="1482"/>
      <c r="AA60" s="1456"/>
      <c r="AB60" s="1652"/>
      <c r="AC60" s="1652"/>
      <c r="AD60" s="1652"/>
      <c r="AE60" s="1652"/>
      <c r="AF60" s="1652"/>
      <c r="AG60" s="1652"/>
      <c r="AH60" s="1652"/>
      <c r="AI60" s="1652"/>
      <c r="AJ60" s="1652"/>
      <c r="AK60" s="1652"/>
      <c r="AL60" s="1652"/>
      <c r="AM60" s="1652"/>
      <c r="AN60" s="1652"/>
      <c r="AO60" s="1652"/>
      <c r="AP60" s="1652"/>
      <c r="AQ60" s="1652"/>
      <c r="AR60" s="1652"/>
    </row>
    <row r="61" spans="1:44">
      <c r="A61" s="1652"/>
      <c r="B61" s="1652"/>
      <c r="C61" s="1597" t="s">
        <v>49</v>
      </c>
      <c r="D61" s="2771">
        <f>SUM(D62:D65)</f>
        <v>4725</v>
      </c>
      <c r="E61" s="1464">
        <f>SUM(E62:E65)</f>
        <v>4725</v>
      </c>
      <c r="F61" s="1638">
        <f>D61+E61</f>
        <v>9450</v>
      </c>
      <c r="G61" s="1652"/>
      <c r="H61" s="1460"/>
      <c r="I61" s="1466"/>
      <c r="J61" s="1470" t="s">
        <v>229</v>
      </c>
      <c r="K61" s="1460"/>
      <c r="L61" s="1467"/>
      <c r="M61" s="1467"/>
      <c r="N61" s="1461"/>
      <c r="O61" s="1460"/>
      <c r="P61" s="1463"/>
      <c r="Q61" s="1466"/>
      <c r="R61" s="1466"/>
      <c r="S61" s="1469"/>
      <c r="T61" s="1469"/>
      <c r="U61" s="1469"/>
      <c r="V61" s="1469"/>
      <c r="W61" s="1459"/>
      <c r="X61" s="1459"/>
      <c r="Y61" s="1459"/>
      <c r="Z61" s="1482"/>
      <c r="AA61" s="1456"/>
      <c r="AB61" s="1652"/>
      <c r="AC61" s="1652"/>
      <c r="AD61" s="1652"/>
      <c r="AE61" s="1652"/>
      <c r="AF61" s="1652"/>
      <c r="AG61" s="1652"/>
      <c r="AH61" s="1652"/>
      <c r="AI61" s="1652"/>
      <c r="AJ61" s="1652"/>
      <c r="AK61" s="1652"/>
      <c r="AL61" s="1652"/>
      <c r="AM61" s="1652"/>
      <c r="AN61" s="1652"/>
      <c r="AO61" s="1652"/>
      <c r="AP61" s="1652"/>
      <c r="AQ61" s="1652"/>
      <c r="AR61" s="1652"/>
    </row>
    <row r="62" spans="1:44">
      <c r="A62" s="1652"/>
      <c r="B62" s="1652"/>
      <c r="C62" s="1667" t="s">
        <v>1185</v>
      </c>
      <c r="D62" s="2778">
        <v>4725</v>
      </c>
      <c r="E62" s="1672">
        <v>4725</v>
      </c>
      <c r="F62" s="1661">
        <f t="shared" si="11"/>
        <v>9450</v>
      </c>
      <c r="G62" s="1652"/>
      <c r="H62" s="1460"/>
      <c r="I62" s="1466"/>
      <c r="J62" s="1470" t="s">
        <v>229</v>
      </c>
      <c r="K62" s="1460"/>
      <c r="L62" s="1467"/>
      <c r="M62" s="1467"/>
      <c r="N62" s="1461"/>
      <c r="O62" s="1460"/>
      <c r="P62" s="1463"/>
      <c r="Q62" s="1466"/>
      <c r="R62" s="1466"/>
      <c r="S62" s="1469"/>
      <c r="T62" s="1469"/>
      <c r="U62" s="1469"/>
      <c r="V62" s="1469"/>
      <c r="W62" s="1459"/>
      <c r="X62" s="1459"/>
      <c r="Y62" s="1459"/>
      <c r="Z62" s="1482"/>
      <c r="AA62" s="1456"/>
      <c r="AB62" s="1652"/>
      <c r="AC62" s="1652"/>
      <c r="AD62" s="1652"/>
      <c r="AE62" s="1652"/>
      <c r="AF62" s="1652"/>
      <c r="AG62" s="1652"/>
      <c r="AH62" s="1652"/>
      <c r="AI62" s="1652"/>
      <c r="AJ62" s="1652"/>
      <c r="AK62" s="1652"/>
      <c r="AL62" s="1652"/>
      <c r="AM62" s="1652"/>
      <c r="AN62" s="1652"/>
      <c r="AO62" s="1652"/>
      <c r="AP62" s="1652"/>
      <c r="AQ62" s="1652"/>
      <c r="AR62" s="1652"/>
    </row>
    <row r="63" spans="1:44">
      <c r="A63" s="1652"/>
      <c r="B63" s="1652"/>
      <c r="C63" s="2385"/>
      <c r="D63" s="2778"/>
      <c r="E63" s="1672"/>
      <c r="F63" s="1661">
        <f t="shared" si="11"/>
        <v>0</v>
      </c>
      <c r="G63" s="1652"/>
      <c r="H63" s="1460"/>
      <c r="I63" s="1466"/>
      <c r="J63" s="1470" t="s">
        <v>229</v>
      </c>
      <c r="K63" s="1460"/>
      <c r="L63" s="1467"/>
      <c r="M63" s="1467"/>
      <c r="N63" s="1461"/>
      <c r="O63" s="1460"/>
      <c r="P63" s="1463"/>
      <c r="Q63" s="1466"/>
      <c r="R63" s="1466"/>
      <c r="S63" s="1469"/>
      <c r="T63" s="1469"/>
      <c r="U63" s="1469"/>
      <c r="V63" s="1469"/>
      <c r="W63" s="1459"/>
      <c r="X63" s="1459"/>
      <c r="Y63" s="1459"/>
      <c r="Z63" s="1482"/>
      <c r="AA63" s="1456"/>
      <c r="AB63" s="1652"/>
      <c r="AC63" s="1652"/>
      <c r="AD63" s="1652"/>
      <c r="AE63" s="1652"/>
      <c r="AF63" s="1652"/>
      <c r="AG63" s="1652"/>
      <c r="AH63" s="1652"/>
      <c r="AI63" s="1652"/>
      <c r="AJ63" s="1652"/>
      <c r="AK63" s="1652"/>
      <c r="AL63" s="1652"/>
      <c r="AM63" s="1652"/>
      <c r="AN63" s="1652"/>
      <c r="AO63" s="1652"/>
      <c r="AP63" s="1652"/>
      <c r="AQ63" s="1652"/>
      <c r="AR63" s="1652"/>
    </row>
    <row r="64" spans="1:44" ht="25.5">
      <c r="A64" s="3514" t="s">
        <v>1463</v>
      </c>
      <c r="B64" s="1652"/>
      <c r="C64" s="2385"/>
      <c r="D64" s="2778"/>
      <c r="E64" s="1672"/>
      <c r="F64" s="1437">
        <f t="shared" si="11"/>
        <v>0</v>
      </c>
      <c r="G64" s="1652"/>
      <c r="H64" s="1460"/>
      <c r="I64" s="1466"/>
      <c r="J64" s="1470" t="s">
        <v>229</v>
      </c>
      <c r="K64" s="1460"/>
      <c r="L64" s="1467"/>
      <c r="M64" s="1467"/>
      <c r="N64" s="1461"/>
      <c r="O64" s="1460"/>
      <c r="P64" s="1463"/>
      <c r="Q64" s="1466"/>
      <c r="R64" s="1466"/>
      <c r="S64" s="1469"/>
      <c r="T64" s="1469"/>
      <c r="U64" s="1469"/>
      <c r="V64" s="1469"/>
      <c r="W64" s="1459"/>
      <c r="X64" s="1459"/>
      <c r="Y64" s="1459"/>
      <c r="Z64" s="1482"/>
      <c r="AA64" s="1456"/>
      <c r="AB64" s="1652"/>
      <c r="AC64" s="1652"/>
      <c r="AD64" s="1652"/>
      <c r="AE64" s="1652"/>
      <c r="AF64" s="1652"/>
      <c r="AG64" s="1652"/>
      <c r="AH64" s="1652"/>
      <c r="AI64" s="1652"/>
      <c r="AJ64" s="1652"/>
      <c r="AK64" s="1652"/>
      <c r="AL64" s="1652"/>
      <c r="AM64" s="1652"/>
      <c r="AN64" s="1652"/>
      <c r="AO64" s="1652"/>
      <c r="AP64" s="1652"/>
      <c r="AQ64" s="1652"/>
      <c r="AR64" s="1652"/>
    </row>
    <row r="65" spans="1:44">
      <c r="A65" s="2221" t="s">
        <v>262</v>
      </c>
      <c r="B65" s="1652"/>
      <c r="C65" s="1667"/>
      <c r="D65" s="2778"/>
      <c r="E65" s="1672"/>
      <c r="F65" s="1661">
        <f t="shared" si="11"/>
        <v>0</v>
      </c>
      <c r="G65" s="1652"/>
      <c r="H65" s="1460"/>
      <c r="I65" s="1466"/>
      <c r="J65" s="1470" t="s">
        <v>229</v>
      </c>
      <c r="K65" s="1460"/>
      <c r="L65" s="1467"/>
      <c r="M65" s="1467"/>
      <c r="N65" s="1461"/>
      <c r="O65" s="1460"/>
      <c r="P65" s="1463"/>
      <c r="Q65" s="1466"/>
      <c r="R65" s="1466"/>
      <c r="S65" s="1469"/>
      <c r="T65" s="1469"/>
      <c r="U65" s="1469"/>
      <c r="V65" s="1469"/>
      <c r="W65" s="1459"/>
      <c r="X65" s="1459"/>
      <c r="Y65" s="1459"/>
      <c r="Z65" s="1482"/>
      <c r="AA65" s="1456"/>
      <c r="AB65" s="1652"/>
      <c r="AC65" s="1652"/>
      <c r="AD65" s="1652"/>
      <c r="AE65" s="1652"/>
      <c r="AF65" s="1652"/>
      <c r="AG65" s="1652"/>
      <c r="AH65" s="1652"/>
      <c r="AI65" s="1652"/>
      <c r="AJ65" s="1652"/>
      <c r="AK65" s="1652"/>
      <c r="AL65" s="1652"/>
      <c r="AM65" s="1652"/>
      <c r="AN65" s="1652"/>
      <c r="AO65" s="1652"/>
      <c r="AP65" s="1652"/>
      <c r="AQ65" s="1652"/>
      <c r="AR65" s="1652"/>
    </row>
    <row r="66" spans="1:44">
      <c r="A66" s="2221" t="s">
        <v>5</v>
      </c>
      <c r="B66" s="1652"/>
      <c r="C66" s="1488"/>
      <c r="D66" s="2779"/>
      <c r="E66" s="1490"/>
      <c r="F66" s="1493"/>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row>
    <row r="67" spans="1:44">
      <c r="A67" s="1361">
        <v>18230251</v>
      </c>
      <c r="B67" s="1652"/>
      <c r="C67" s="1597" t="s">
        <v>50</v>
      </c>
      <c r="D67" s="2771">
        <f>W15</f>
        <v>12549.1975</v>
      </c>
      <c r="E67" s="1464">
        <f>X15</f>
        <v>0</v>
      </c>
      <c r="F67" s="1638">
        <f>D67+E67</f>
        <v>12549.1975</v>
      </c>
      <c r="G67" s="1652"/>
      <c r="H67" s="1652"/>
      <c r="I67" s="165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H67" s="1652"/>
      <c r="AI67" s="1652"/>
      <c r="AJ67" s="1652"/>
      <c r="AK67" s="1652"/>
      <c r="AL67" s="1652"/>
      <c r="AM67" s="1652"/>
      <c r="AN67" s="1652"/>
      <c r="AO67" s="1652"/>
      <c r="AP67" s="1652"/>
      <c r="AQ67" s="1652"/>
      <c r="AR67" s="1652"/>
    </row>
    <row r="68" spans="1:44">
      <c r="A68" s="2221" t="s">
        <v>28</v>
      </c>
      <c r="B68" s="1652"/>
      <c r="C68" s="1500" t="s">
        <v>297</v>
      </c>
      <c r="D68" s="2781"/>
      <c r="E68" s="1496"/>
      <c r="F68" s="1499"/>
      <c r="G68" s="1652"/>
      <c r="H68" s="1652"/>
      <c r="I68" s="165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652"/>
      <c r="AM68" s="1652"/>
      <c r="AN68" s="1652"/>
      <c r="AO68" s="1652"/>
      <c r="AP68" s="1652"/>
      <c r="AQ68" s="1652"/>
      <c r="AR68" s="1652"/>
    </row>
    <row r="69" spans="1:44">
      <c r="A69" s="1663"/>
      <c r="B69" s="1652"/>
      <c r="C69" s="1501"/>
      <c r="D69" s="2782"/>
      <c r="E69" s="1497"/>
      <c r="F69" s="1498"/>
      <c r="G69" s="1652"/>
      <c r="H69" s="1652"/>
      <c r="I69" s="165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652"/>
      <c r="AM69" s="1652"/>
      <c r="AN69" s="1652"/>
      <c r="AO69" s="1652"/>
      <c r="AP69" s="1652"/>
      <c r="AQ69" s="1652"/>
      <c r="AR69" s="1652"/>
    </row>
    <row r="70" spans="1:44">
      <c r="A70" s="1663"/>
      <c r="B70" s="1652"/>
      <c r="C70" s="1494" t="s">
        <v>51</v>
      </c>
      <c r="D70" s="2778">
        <v>0</v>
      </c>
      <c r="E70" s="1671">
        <v>0</v>
      </c>
      <c r="F70" s="1491">
        <v>0</v>
      </c>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row>
    <row r="71" spans="1:44">
      <c r="A71" s="1652"/>
      <c r="B71" s="1652"/>
      <c r="C71" s="1652"/>
      <c r="D71" s="1652"/>
      <c r="E71" s="1663"/>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H71" s="1652"/>
      <c r="AI71" s="1652"/>
      <c r="AJ71" s="1652"/>
      <c r="AK71" s="1652"/>
      <c r="AL71" s="1652"/>
      <c r="AM71" s="1652"/>
      <c r="AN71" s="1652"/>
      <c r="AO71" s="1652"/>
      <c r="AP71" s="1652"/>
      <c r="AQ71" s="1652"/>
      <c r="AR71" s="1652"/>
    </row>
    <row r="72" spans="1:44">
      <c r="A72" s="1652"/>
      <c r="B72" s="1652"/>
      <c r="C72" s="1652"/>
      <c r="D72" s="1652"/>
      <c r="E72" s="1663"/>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H72" s="1652"/>
      <c r="AI72" s="1652"/>
      <c r="AJ72" s="1652"/>
      <c r="AK72" s="1652"/>
      <c r="AL72" s="1652"/>
      <c r="AM72" s="1652"/>
      <c r="AN72" s="1652"/>
      <c r="AO72" s="1652"/>
      <c r="AP72" s="1652"/>
      <c r="AQ72" s="1652"/>
      <c r="AR72" s="1652"/>
    </row>
    <row r="73" spans="1:44">
      <c r="A73" s="1652"/>
      <c r="B73" s="1652"/>
      <c r="C73" s="1652"/>
      <c r="D73" s="1652"/>
      <c r="E73" s="1663"/>
      <c r="F73" s="1652"/>
      <c r="G73" s="1652"/>
      <c r="H73" s="3003" t="s">
        <v>1751</v>
      </c>
      <c r="I73" s="165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652"/>
      <c r="AM73" s="1652"/>
      <c r="AN73" s="1652"/>
      <c r="AO73" s="1652"/>
      <c r="AP73" s="1652"/>
      <c r="AQ73" s="1652"/>
      <c r="AR73" s="1652"/>
    </row>
    <row r="74" spans="1:44">
      <c r="A74" s="1652"/>
      <c r="B74" s="1652"/>
      <c r="C74" s="1652"/>
      <c r="D74" s="1652"/>
      <c r="E74" s="1663"/>
      <c r="F74" s="1652"/>
      <c r="G74" s="1652"/>
      <c r="H74" s="1652"/>
      <c r="I74" s="1652"/>
      <c r="J74" s="1652"/>
      <c r="K74" s="1652"/>
      <c r="L74" s="1652"/>
      <c r="M74" s="1652"/>
      <c r="N74" s="1652"/>
      <c r="O74" s="1652"/>
      <c r="P74" s="1652"/>
      <c r="Q74" s="1652"/>
      <c r="R74" s="1652"/>
      <c r="S74" s="1652"/>
      <c r="T74" s="1652"/>
      <c r="U74" s="1652"/>
      <c r="V74" s="1652"/>
      <c r="W74" s="1652"/>
      <c r="X74" s="1652"/>
      <c r="Y74" s="1652"/>
      <c r="Z74" s="1652"/>
      <c r="AA74" s="1652"/>
      <c r="AB74" s="1652"/>
      <c r="AC74" s="1652"/>
      <c r="AD74" s="1652"/>
      <c r="AE74" s="1652"/>
      <c r="AF74" s="1652"/>
      <c r="AG74" s="1652"/>
      <c r="AH74" s="1652"/>
      <c r="AI74" s="1652"/>
      <c r="AJ74" s="1652"/>
      <c r="AK74" s="1652"/>
      <c r="AL74" s="1652"/>
      <c r="AM74" s="1652"/>
      <c r="AN74" s="1652"/>
      <c r="AO74" s="1652"/>
      <c r="AP74" s="1652"/>
      <c r="AQ74" s="1652"/>
      <c r="AR74" s="1652"/>
    </row>
    <row r="75" spans="1:44">
      <c r="A75" s="1652"/>
      <c r="B75" s="1652"/>
      <c r="C75" s="1652"/>
      <c r="D75" s="1652"/>
      <c r="E75" s="1663"/>
      <c r="F75" s="1652"/>
      <c r="G75" s="1652"/>
      <c r="H75" s="1652"/>
      <c r="I75" s="1652"/>
      <c r="J75" s="1652"/>
      <c r="K75" s="1652"/>
      <c r="L75" s="1652"/>
      <c r="M75" s="1652"/>
      <c r="N75" s="1652"/>
      <c r="O75" s="1652"/>
      <c r="P75" s="1652"/>
      <c r="Q75" s="1652"/>
      <c r="R75" s="1652"/>
      <c r="S75" s="1652"/>
      <c r="T75" s="1652"/>
      <c r="U75" s="1652"/>
      <c r="V75" s="1652"/>
      <c r="W75" s="1652"/>
      <c r="X75" s="1652"/>
      <c r="Y75" s="1652"/>
      <c r="Z75" s="1652"/>
      <c r="AA75" s="1652"/>
      <c r="AB75" s="1652"/>
      <c r="AC75" s="1652"/>
      <c r="AD75" s="1652"/>
      <c r="AE75" s="1652"/>
      <c r="AF75" s="1652"/>
      <c r="AG75" s="1652"/>
      <c r="AH75" s="1652"/>
      <c r="AI75" s="1652"/>
      <c r="AJ75" s="1652"/>
      <c r="AK75" s="1652"/>
      <c r="AL75" s="1652"/>
      <c r="AM75" s="1652"/>
      <c r="AN75" s="1652"/>
      <c r="AO75" s="1652"/>
      <c r="AP75" s="1652"/>
      <c r="AQ75" s="1652"/>
      <c r="AR75" s="1652"/>
    </row>
    <row r="76" spans="1:44">
      <c r="A76" s="1652"/>
      <c r="B76" s="1652"/>
      <c r="C76" s="1652"/>
      <c r="D76" s="1652"/>
      <c r="E76" s="1663"/>
      <c r="F76" s="1652"/>
      <c r="G76" s="1652"/>
      <c r="H76" s="1652"/>
      <c r="I76" s="1652"/>
      <c r="J76" s="1652"/>
      <c r="K76" s="1652"/>
      <c r="L76" s="1652"/>
      <c r="M76" s="1652"/>
      <c r="N76" s="1652"/>
      <c r="O76" s="1652"/>
      <c r="P76" s="1652"/>
      <c r="Q76" s="1652"/>
      <c r="R76" s="1652"/>
      <c r="S76" s="1652"/>
      <c r="T76" s="1652"/>
      <c r="U76" s="1652"/>
      <c r="V76" s="1652"/>
      <c r="W76" s="1652"/>
      <c r="X76" s="1652"/>
      <c r="Y76" s="1652"/>
      <c r="Z76" s="1652"/>
      <c r="AA76" s="1652"/>
      <c r="AB76" s="1652"/>
      <c r="AC76" s="1652"/>
      <c r="AD76" s="1652"/>
      <c r="AE76" s="1652"/>
      <c r="AF76" s="1652"/>
      <c r="AG76" s="1652"/>
      <c r="AH76" s="1652"/>
      <c r="AI76" s="1652"/>
      <c r="AJ76" s="1652"/>
      <c r="AK76" s="1652"/>
      <c r="AL76" s="1652"/>
      <c r="AM76" s="1652"/>
      <c r="AN76" s="1652"/>
      <c r="AO76" s="1652"/>
      <c r="AP76" s="1652"/>
      <c r="AQ76" s="1652"/>
      <c r="AR76" s="1652"/>
    </row>
    <row r="77" spans="1:44">
      <c r="A77" s="1652"/>
      <c r="B77" s="1652"/>
      <c r="C77" s="1652"/>
      <c r="D77" s="1652"/>
      <c r="E77" s="1663"/>
      <c r="F77" s="1652"/>
      <c r="G77" s="1652"/>
      <c r="H77" s="1652"/>
      <c r="I77" s="1652"/>
      <c r="J77" s="1652"/>
      <c r="K77" s="1652"/>
      <c r="L77" s="1652"/>
      <c r="M77" s="1652"/>
      <c r="N77" s="1652"/>
      <c r="O77" s="1652"/>
      <c r="P77" s="1652"/>
      <c r="Q77" s="1652"/>
      <c r="R77" s="1652"/>
      <c r="S77" s="1652"/>
      <c r="T77" s="1652"/>
      <c r="U77" s="1652"/>
      <c r="V77" s="1652"/>
      <c r="W77" s="1652"/>
      <c r="X77" s="1652"/>
      <c r="Y77" s="1652"/>
      <c r="Z77" s="1652"/>
      <c r="AA77" s="1652"/>
      <c r="AB77" s="1652"/>
      <c r="AC77" s="1652"/>
      <c r="AD77" s="1652"/>
      <c r="AE77" s="1652"/>
      <c r="AF77" s="1652"/>
      <c r="AG77" s="1652"/>
      <c r="AH77" s="1652"/>
      <c r="AI77" s="1652"/>
      <c r="AJ77" s="1652"/>
      <c r="AK77" s="1652"/>
      <c r="AL77" s="1652"/>
      <c r="AM77" s="1652"/>
      <c r="AN77" s="1652"/>
      <c r="AO77" s="1652"/>
      <c r="AP77" s="1652"/>
      <c r="AQ77" s="1652"/>
      <c r="AR77" s="1652"/>
    </row>
    <row r="78" spans="1:44">
      <c r="A78" s="1652"/>
      <c r="B78" s="1652"/>
      <c r="C78" s="1652"/>
      <c r="D78" s="1652"/>
      <c r="E78" s="1663"/>
      <c r="F78" s="1652"/>
      <c r="G78" s="1652"/>
      <c r="H78" s="1652"/>
      <c r="I78" s="1652"/>
      <c r="J78" s="1652"/>
      <c r="K78" s="1652"/>
      <c r="L78" s="1652"/>
      <c r="M78" s="1652"/>
      <c r="N78" s="1652"/>
      <c r="O78" s="1652"/>
      <c r="P78" s="1652"/>
      <c r="Q78" s="1652"/>
      <c r="R78" s="1652"/>
      <c r="S78" s="1652"/>
      <c r="T78" s="1652"/>
      <c r="U78" s="1652"/>
      <c r="V78" s="1652"/>
      <c r="W78" s="1652"/>
      <c r="X78" s="1652"/>
      <c r="Y78" s="1652"/>
      <c r="Z78" s="1652"/>
      <c r="AA78" s="1652"/>
      <c r="AB78" s="1652"/>
      <c r="AC78" s="1652"/>
      <c r="AD78" s="1652"/>
      <c r="AE78" s="1652"/>
      <c r="AF78" s="1652"/>
      <c r="AG78" s="1652"/>
      <c r="AH78" s="1652"/>
      <c r="AI78" s="1652"/>
      <c r="AJ78" s="1652"/>
      <c r="AK78" s="1652"/>
      <c r="AL78" s="1652"/>
      <c r="AM78" s="1652"/>
      <c r="AN78" s="1652"/>
      <c r="AO78" s="1652"/>
      <c r="AP78" s="1652"/>
      <c r="AQ78" s="1652"/>
      <c r="AR78" s="1652"/>
    </row>
    <row r="79" spans="1:44">
      <c r="A79" s="1652"/>
      <c r="B79" s="1652"/>
      <c r="C79" s="1652"/>
      <c r="D79" s="1652"/>
      <c r="E79" s="1663"/>
      <c r="F79" s="1652"/>
      <c r="G79" s="1652"/>
      <c r="H79" s="1652"/>
      <c r="I79" s="1652"/>
      <c r="J79" s="1652"/>
      <c r="K79" s="1652"/>
      <c r="L79" s="1652"/>
      <c r="M79" s="1652"/>
      <c r="N79" s="1652"/>
      <c r="O79" s="1652"/>
      <c r="P79" s="1652"/>
      <c r="Q79" s="1652"/>
      <c r="R79" s="1652"/>
      <c r="S79" s="1652"/>
      <c r="T79" s="1652"/>
      <c r="U79" s="1652"/>
      <c r="V79" s="1652"/>
      <c r="W79" s="1652"/>
      <c r="X79" s="1652"/>
      <c r="Y79" s="1652"/>
      <c r="Z79" s="1652"/>
      <c r="AA79" s="1652"/>
      <c r="AB79" s="1652"/>
      <c r="AC79" s="1652"/>
      <c r="AD79" s="1652"/>
      <c r="AE79" s="1652"/>
      <c r="AF79" s="1652"/>
      <c r="AG79" s="1652"/>
      <c r="AH79" s="1652"/>
      <c r="AI79" s="1652"/>
      <c r="AJ79" s="1652"/>
      <c r="AK79" s="1652"/>
      <c r="AL79" s="1652"/>
      <c r="AM79" s="1652"/>
      <c r="AN79" s="1652"/>
      <c r="AO79" s="1652"/>
      <c r="AP79" s="1652"/>
      <c r="AQ79" s="1652"/>
      <c r="AR79" s="1652"/>
    </row>
    <row r="80" spans="1:44">
      <c r="A80" s="1652"/>
      <c r="B80" s="1652"/>
      <c r="C80" s="1652"/>
      <c r="D80" s="1652"/>
      <c r="E80" s="1663"/>
      <c r="F80" s="1652"/>
      <c r="G80" s="1652"/>
      <c r="H80" s="1652"/>
      <c r="I80" s="1652"/>
      <c r="J80" s="1652"/>
      <c r="K80" s="1652"/>
      <c r="L80" s="1652"/>
      <c r="M80" s="1652"/>
      <c r="N80" s="1652"/>
      <c r="O80" s="1652"/>
      <c r="P80" s="1652"/>
      <c r="Q80" s="1652"/>
      <c r="R80" s="1652"/>
      <c r="S80" s="1652"/>
      <c r="T80" s="1652"/>
      <c r="U80" s="1652"/>
      <c r="V80" s="1652"/>
      <c r="W80" s="1652"/>
      <c r="X80" s="1652"/>
      <c r="Y80" s="1652"/>
      <c r="Z80" s="1652"/>
      <c r="AA80" s="1652"/>
      <c r="AB80" s="1652"/>
      <c r="AC80" s="1652"/>
      <c r="AD80" s="1652"/>
      <c r="AE80" s="1652"/>
      <c r="AF80" s="1652"/>
      <c r="AG80" s="1652"/>
      <c r="AH80" s="1652"/>
      <c r="AI80" s="1652"/>
      <c r="AJ80" s="1652"/>
      <c r="AK80" s="1652"/>
      <c r="AL80" s="1652"/>
      <c r="AM80" s="1652"/>
      <c r="AN80" s="1652"/>
      <c r="AO80" s="1652"/>
      <c r="AP80" s="1652"/>
      <c r="AQ80" s="1652"/>
      <c r="AR80" s="1652"/>
    </row>
    <row r="81" spans="1:44">
      <c r="A81" s="1652"/>
      <c r="B81" s="1652"/>
      <c r="C81" s="1652"/>
      <c r="D81" s="1652"/>
      <c r="E81" s="1663"/>
      <c r="F81" s="1652"/>
      <c r="G81" s="1652"/>
      <c r="H81" s="1652"/>
      <c r="I81" s="1652"/>
      <c r="J81" s="1652"/>
      <c r="K81" s="1652"/>
      <c r="L81" s="1652"/>
      <c r="M81" s="1652"/>
      <c r="N81" s="1652"/>
      <c r="O81" s="1652"/>
      <c r="P81" s="1652"/>
      <c r="Q81" s="1652"/>
      <c r="R81" s="1652"/>
      <c r="S81" s="1652"/>
      <c r="T81" s="1652"/>
      <c r="U81" s="1652"/>
      <c r="V81" s="1652"/>
      <c r="W81" s="1652"/>
      <c r="X81" s="1652"/>
      <c r="Y81" s="1652"/>
      <c r="Z81" s="1652"/>
      <c r="AA81" s="1652"/>
      <c r="AB81" s="1652"/>
      <c r="AC81" s="1652"/>
      <c r="AD81" s="1652"/>
      <c r="AE81" s="1652"/>
      <c r="AF81" s="1652"/>
      <c r="AG81" s="1652"/>
      <c r="AH81" s="1652"/>
      <c r="AI81" s="1652"/>
      <c r="AJ81" s="1652"/>
      <c r="AK81" s="1652"/>
      <c r="AL81" s="1652"/>
      <c r="AM81" s="1652"/>
      <c r="AN81" s="1652"/>
      <c r="AO81" s="1652"/>
      <c r="AP81" s="1652"/>
      <c r="AQ81" s="1652"/>
      <c r="AR81" s="1652"/>
    </row>
    <row r="82" spans="1:44">
      <c r="A82" s="1652"/>
      <c r="B82" s="1652"/>
      <c r="C82" s="1652"/>
      <c r="D82" s="1652"/>
      <c r="E82" s="1663"/>
      <c r="F82" s="1652"/>
      <c r="G82" s="1652"/>
      <c r="H82" s="1652"/>
      <c r="I82" s="1652"/>
      <c r="J82" s="1652"/>
      <c r="K82" s="1652"/>
      <c r="L82" s="1652"/>
      <c r="M82" s="1652"/>
      <c r="N82" s="1652"/>
      <c r="O82" s="1652"/>
      <c r="P82" s="1652"/>
      <c r="Q82" s="1652"/>
      <c r="R82" s="1652"/>
      <c r="S82" s="1652"/>
      <c r="T82" s="1652"/>
      <c r="U82" s="1652"/>
      <c r="V82" s="1652"/>
      <c r="W82" s="1652"/>
      <c r="X82" s="1652"/>
      <c r="Y82" s="1652"/>
      <c r="Z82" s="1652"/>
      <c r="AA82" s="1652"/>
      <c r="AB82" s="1652"/>
      <c r="AC82" s="1652"/>
      <c r="AD82" s="1652"/>
      <c r="AE82" s="1652"/>
      <c r="AF82" s="1652"/>
      <c r="AG82" s="1652"/>
      <c r="AH82" s="1652"/>
      <c r="AI82" s="1652"/>
      <c r="AJ82" s="1652"/>
      <c r="AK82" s="1652"/>
      <c r="AL82" s="1652"/>
      <c r="AM82" s="1652"/>
      <c r="AN82" s="1652"/>
      <c r="AO82" s="1652"/>
      <c r="AP82" s="1652"/>
      <c r="AQ82" s="1652"/>
      <c r="AR82" s="1652"/>
    </row>
    <row r="83" spans="1:44">
      <c r="A83" s="1652"/>
      <c r="B83" s="1652"/>
      <c r="C83" s="1652"/>
      <c r="D83" s="1652"/>
      <c r="E83" s="1663"/>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652"/>
      <c r="AM83" s="1652"/>
      <c r="AN83" s="1652"/>
      <c r="AO83" s="1652"/>
      <c r="AP83" s="1652"/>
      <c r="AQ83" s="1652"/>
      <c r="AR83" s="1652"/>
    </row>
    <row r="84" spans="1:44">
      <c r="A84" s="1652"/>
      <c r="B84" s="1652"/>
      <c r="C84" s="1652"/>
      <c r="D84" s="1652"/>
      <c r="E84" s="1652"/>
      <c r="F84" s="1652"/>
      <c r="G84" s="1652"/>
      <c r="H84" s="1652"/>
      <c r="I84" s="165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652"/>
      <c r="AM84" s="1652"/>
      <c r="AN84" s="1652"/>
      <c r="AO84" s="1652"/>
      <c r="AP84" s="1652"/>
      <c r="AQ84" s="1652"/>
      <c r="AR84" s="1652"/>
    </row>
    <row r="85" spans="1:44">
      <c r="A85" s="1652"/>
      <c r="B85" s="1652"/>
      <c r="C85" s="1652"/>
      <c r="D85" s="1652"/>
      <c r="E85" s="1652"/>
      <c r="F85" s="1652"/>
      <c r="G85" s="1652"/>
      <c r="H85" s="1652"/>
      <c r="I85" s="1652"/>
      <c r="J85" s="1652"/>
      <c r="K85" s="1652"/>
      <c r="L85" s="1652"/>
      <c r="M85" s="1652"/>
      <c r="N85" s="1652"/>
      <c r="O85" s="1652"/>
      <c r="P85" s="1652"/>
      <c r="Q85" s="1652"/>
      <c r="R85" s="1652"/>
      <c r="S85" s="1652"/>
      <c r="T85" s="1652"/>
      <c r="U85" s="1652"/>
      <c r="V85" s="1652"/>
      <c r="W85" s="1652"/>
      <c r="X85" s="1652"/>
      <c r="Y85" s="1652"/>
      <c r="Z85" s="1652"/>
      <c r="AA85" s="1652"/>
      <c r="AB85" s="1652"/>
      <c r="AC85" s="1652"/>
      <c r="AD85" s="1652"/>
      <c r="AE85" s="1652"/>
      <c r="AF85" s="1652"/>
      <c r="AG85" s="1652"/>
      <c r="AH85" s="1652"/>
      <c r="AI85" s="1652"/>
      <c r="AJ85" s="1652"/>
      <c r="AK85" s="1652"/>
      <c r="AL85" s="1652"/>
      <c r="AM85" s="1652"/>
      <c r="AN85" s="1652"/>
      <c r="AO85" s="1652"/>
      <c r="AP85" s="1652"/>
      <c r="AQ85" s="1652"/>
      <c r="AR85" s="1652"/>
    </row>
    <row r="86" spans="1:44">
      <c r="A86" s="1652"/>
      <c r="B86" s="1652"/>
      <c r="C86" s="1652"/>
      <c r="D86" s="1652"/>
      <c r="E86" s="1652"/>
      <c r="F86" s="1652"/>
      <c r="G86" s="1652"/>
      <c r="H86" s="1652"/>
      <c r="I86" s="1652"/>
      <c r="J86" s="1652"/>
      <c r="K86" s="1652"/>
      <c r="L86" s="1652"/>
      <c r="M86" s="1652"/>
      <c r="N86" s="1652"/>
      <c r="O86" s="1652"/>
      <c r="P86" s="1652"/>
      <c r="Q86" s="1652"/>
      <c r="R86" s="1652"/>
      <c r="S86" s="1652"/>
      <c r="T86" s="1652"/>
      <c r="U86" s="1652"/>
      <c r="V86" s="1652"/>
      <c r="W86" s="1652"/>
      <c r="X86" s="1652"/>
      <c r="Y86" s="1652"/>
      <c r="Z86" s="1652"/>
      <c r="AA86" s="1652"/>
      <c r="AB86" s="1652"/>
      <c r="AC86" s="1652"/>
      <c r="AD86" s="1652"/>
      <c r="AE86" s="1652"/>
      <c r="AF86" s="1652"/>
      <c r="AG86" s="1652"/>
      <c r="AH86" s="1652"/>
      <c r="AI86" s="1652"/>
      <c r="AJ86" s="1652"/>
      <c r="AK86" s="1652"/>
      <c r="AL86" s="1652"/>
      <c r="AM86" s="1652"/>
      <c r="AN86" s="1652"/>
      <c r="AO86" s="1652"/>
      <c r="AP86" s="1652"/>
      <c r="AQ86" s="1652"/>
      <c r="AR86" s="1652"/>
    </row>
    <row r="87" spans="1:44">
      <c r="A87" s="1652"/>
      <c r="B87" s="1652"/>
      <c r="C87" s="1652"/>
      <c r="D87" s="1652"/>
      <c r="E87" s="1652"/>
      <c r="F87" s="1652"/>
      <c r="G87" s="1652"/>
      <c r="H87" s="1652"/>
      <c r="I87" s="1652"/>
      <c r="J87" s="1652"/>
      <c r="K87" s="1652"/>
      <c r="L87" s="1652"/>
      <c r="M87" s="1652"/>
      <c r="N87" s="1652"/>
      <c r="O87" s="1652"/>
      <c r="P87" s="1652"/>
      <c r="Q87" s="1652"/>
      <c r="R87" s="1652"/>
      <c r="S87" s="1652"/>
      <c r="T87" s="1652"/>
      <c r="U87" s="1652"/>
      <c r="V87" s="1652"/>
      <c r="W87" s="1652"/>
      <c r="X87" s="1652"/>
      <c r="Y87" s="1652"/>
      <c r="Z87" s="1652"/>
      <c r="AA87" s="1652"/>
      <c r="AB87" s="1652"/>
      <c r="AC87" s="1652"/>
      <c r="AD87" s="1652"/>
      <c r="AE87" s="1652"/>
      <c r="AF87" s="1652"/>
      <c r="AG87" s="1652"/>
      <c r="AH87" s="1652"/>
      <c r="AI87" s="1652"/>
      <c r="AJ87" s="1652"/>
      <c r="AK87" s="1652"/>
      <c r="AL87" s="1652"/>
      <c r="AM87" s="1652"/>
      <c r="AN87" s="1652"/>
      <c r="AO87" s="1652"/>
      <c r="AP87" s="1652"/>
      <c r="AQ87" s="1652"/>
      <c r="AR87" s="1652"/>
    </row>
    <row r="88" spans="1:44">
      <c r="A88" s="1652"/>
      <c r="B88" s="1652"/>
      <c r="C88" s="1652"/>
      <c r="D88" s="1652"/>
      <c r="E88" s="1652"/>
      <c r="F88" s="1652"/>
      <c r="G88" s="1652"/>
      <c r="H88" s="1652"/>
      <c r="I88" s="1652"/>
      <c r="J88" s="1652"/>
      <c r="K88" s="1652"/>
      <c r="L88" s="1652"/>
      <c r="M88" s="1652"/>
      <c r="N88" s="1652"/>
      <c r="O88" s="1652"/>
      <c r="P88" s="1652"/>
      <c r="Q88" s="1652"/>
      <c r="R88" s="1652"/>
      <c r="S88" s="1652"/>
      <c r="T88" s="1652"/>
      <c r="U88" s="1652"/>
      <c r="V88" s="1652"/>
      <c r="W88" s="1652"/>
      <c r="X88" s="1652"/>
      <c r="Y88" s="1652"/>
      <c r="Z88" s="1652"/>
      <c r="AA88" s="1652"/>
      <c r="AB88" s="1652"/>
      <c r="AC88" s="1652"/>
      <c r="AD88" s="1652"/>
      <c r="AE88" s="1652"/>
      <c r="AF88" s="1652"/>
      <c r="AG88" s="1652"/>
      <c r="AH88" s="1652"/>
      <c r="AI88" s="1652"/>
      <c r="AJ88" s="1652"/>
      <c r="AK88" s="1652"/>
      <c r="AL88" s="1652"/>
      <c r="AM88" s="1652"/>
      <c r="AN88" s="1652"/>
      <c r="AO88" s="1652"/>
      <c r="AP88" s="1652"/>
      <c r="AQ88" s="1652"/>
      <c r="AR88" s="1652"/>
    </row>
    <row r="89" spans="1:44">
      <c r="A89" s="1652"/>
      <c r="B89" s="1652"/>
      <c r="C89" s="1652"/>
      <c r="D89" s="1652"/>
      <c r="E89" s="1652"/>
      <c r="F89" s="1652"/>
      <c r="G89" s="1652"/>
      <c r="H89" s="1652"/>
      <c r="I89" s="1652"/>
      <c r="J89" s="1652"/>
      <c r="K89" s="1652"/>
      <c r="L89" s="1652"/>
      <c r="M89" s="1652"/>
      <c r="N89" s="1652"/>
      <c r="O89" s="1652"/>
      <c r="P89" s="1652"/>
      <c r="Q89" s="1652"/>
      <c r="R89" s="1652"/>
      <c r="S89" s="1652"/>
      <c r="T89" s="1652"/>
      <c r="U89" s="1652"/>
      <c r="V89" s="1652"/>
      <c r="W89" s="1652"/>
      <c r="X89" s="1652"/>
      <c r="Y89" s="1652"/>
      <c r="Z89" s="1652"/>
      <c r="AA89" s="1652"/>
      <c r="AB89" s="1652"/>
      <c r="AC89" s="1652"/>
      <c r="AD89" s="1652"/>
      <c r="AE89" s="1652"/>
      <c r="AF89" s="1652"/>
      <c r="AG89" s="1652"/>
      <c r="AH89" s="1652"/>
      <c r="AI89" s="1652"/>
      <c r="AJ89" s="1652"/>
      <c r="AK89" s="1652"/>
      <c r="AL89" s="1652"/>
      <c r="AM89" s="1652"/>
      <c r="AN89" s="1652"/>
      <c r="AO89" s="1652"/>
      <c r="AP89" s="1652"/>
      <c r="AQ89" s="1652"/>
      <c r="AR89" s="1652"/>
    </row>
    <row r="90" spans="1:44">
      <c r="A90" s="1652"/>
      <c r="B90" s="1652"/>
      <c r="C90" s="1652"/>
      <c r="D90" s="1652"/>
      <c r="E90" s="1652"/>
      <c r="F90" s="1652"/>
      <c r="G90" s="1652"/>
      <c r="H90" s="1652"/>
      <c r="I90" s="1652"/>
      <c r="J90" s="1652"/>
      <c r="K90" s="1652"/>
      <c r="L90" s="1652"/>
      <c r="M90" s="1652"/>
      <c r="N90" s="1652"/>
      <c r="O90" s="1652"/>
      <c r="P90" s="1652"/>
      <c r="Q90" s="1652"/>
      <c r="R90" s="1652"/>
      <c r="S90" s="1652"/>
      <c r="T90" s="1652"/>
      <c r="U90" s="1652"/>
      <c r="V90" s="1652"/>
      <c r="W90" s="1652"/>
      <c r="X90" s="1652"/>
      <c r="Y90" s="1652"/>
      <c r="Z90" s="1652"/>
      <c r="AA90" s="1652"/>
      <c r="AB90" s="1652"/>
      <c r="AC90" s="1652"/>
      <c r="AD90" s="1652"/>
      <c r="AE90" s="1652"/>
      <c r="AF90" s="1652"/>
      <c r="AG90" s="1652"/>
      <c r="AH90" s="1652"/>
      <c r="AI90" s="1652"/>
      <c r="AJ90" s="1652"/>
      <c r="AK90" s="1652"/>
      <c r="AL90" s="1652"/>
      <c r="AM90" s="1652"/>
      <c r="AN90" s="1652"/>
      <c r="AO90" s="1652"/>
      <c r="AP90" s="1652"/>
      <c r="AQ90" s="1652"/>
      <c r="AR90" s="1652"/>
    </row>
    <row r="91" spans="1:44">
      <c r="A91" s="1652"/>
      <c r="B91" s="1652"/>
      <c r="C91" s="1652"/>
      <c r="D91" s="1652"/>
      <c r="E91" s="1652"/>
      <c r="F91" s="1652"/>
      <c r="G91" s="1652"/>
      <c r="H91" s="1652"/>
      <c r="I91" s="1652"/>
      <c r="J91" s="1652"/>
      <c r="K91" s="1652"/>
      <c r="L91" s="1652"/>
      <c r="M91" s="1652"/>
      <c r="N91" s="1652"/>
      <c r="O91" s="1652"/>
      <c r="P91" s="1652"/>
      <c r="Q91" s="1652"/>
      <c r="R91" s="1652"/>
      <c r="S91" s="1652"/>
      <c r="T91" s="1652"/>
      <c r="U91" s="1652"/>
      <c r="V91" s="1652"/>
      <c r="W91" s="1652"/>
      <c r="X91" s="1652"/>
      <c r="Y91" s="1652"/>
      <c r="Z91" s="1652"/>
      <c r="AA91" s="1652"/>
      <c r="AB91" s="1652"/>
      <c r="AC91" s="1652"/>
      <c r="AD91" s="1652"/>
      <c r="AE91" s="1652"/>
      <c r="AF91" s="1652"/>
      <c r="AG91" s="1652"/>
      <c r="AH91" s="1652"/>
      <c r="AI91" s="1652"/>
      <c r="AJ91" s="1652"/>
      <c r="AK91" s="1652"/>
      <c r="AL91" s="1652"/>
      <c r="AM91" s="1652"/>
      <c r="AN91" s="1652"/>
      <c r="AO91" s="1652"/>
      <c r="AP91" s="1652"/>
      <c r="AQ91" s="1652"/>
      <c r="AR91" s="1652"/>
    </row>
    <row r="92" spans="1:44">
      <c r="A92" s="1652"/>
      <c r="B92" s="1652"/>
      <c r="C92" s="1652"/>
      <c r="D92" s="1652"/>
      <c r="E92" s="1652"/>
      <c r="F92" s="1652"/>
      <c r="G92" s="1652"/>
      <c r="H92" s="1652"/>
      <c r="I92" s="1652"/>
      <c r="J92" s="1652"/>
      <c r="K92" s="1652"/>
      <c r="L92" s="1652"/>
      <c r="M92" s="1652"/>
      <c r="N92" s="1652"/>
      <c r="O92" s="1652"/>
      <c r="P92" s="1652"/>
      <c r="Q92" s="1652"/>
      <c r="R92" s="1652"/>
      <c r="S92" s="1652"/>
      <c r="T92" s="1652"/>
      <c r="U92" s="1652"/>
      <c r="V92" s="1652"/>
      <c r="W92" s="1652"/>
      <c r="X92" s="1652"/>
      <c r="Y92" s="1652"/>
      <c r="Z92" s="1652"/>
      <c r="AA92" s="1652"/>
      <c r="AB92" s="1652"/>
      <c r="AC92" s="1652"/>
      <c r="AD92" s="1652"/>
      <c r="AE92" s="1652"/>
      <c r="AF92" s="1652"/>
      <c r="AG92" s="1652"/>
      <c r="AH92" s="1652"/>
      <c r="AI92" s="1652"/>
      <c r="AJ92" s="1652"/>
      <c r="AK92" s="1652"/>
      <c r="AL92" s="1652"/>
      <c r="AM92" s="1652"/>
      <c r="AN92" s="1652"/>
      <c r="AO92" s="1652"/>
      <c r="AP92" s="1652"/>
      <c r="AQ92" s="1652"/>
      <c r="AR92" s="1652"/>
    </row>
    <row r="93" spans="1:44">
      <c r="A93" s="1652"/>
      <c r="B93" s="1652"/>
      <c r="C93" s="1652"/>
      <c r="D93" s="1652"/>
      <c r="E93" s="1652"/>
      <c r="F93" s="1652"/>
      <c r="G93" s="1652"/>
      <c r="H93" s="1652"/>
      <c r="I93" s="1652"/>
      <c r="J93" s="1652"/>
      <c r="K93" s="1652"/>
      <c r="L93" s="1652"/>
      <c r="M93" s="1652"/>
      <c r="N93" s="1652"/>
      <c r="O93" s="1652"/>
      <c r="P93" s="1652"/>
      <c r="Q93" s="1652"/>
      <c r="R93" s="1652"/>
      <c r="S93" s="1652"/>
      <c r="T93" s="1652"/>
      <c r="U93" s="1652"/>
      <c r="V93" s="1652"/>
      <c r="W93" s="1652"/>
      <c r="X93" s="1652"/>
      <c r="Y93" s="1652"/>
      <c r="Z93" s="1652"/>
      <c r="AA93" s="1652"/>
      <c r="AB93" s="1652"/>
      <c r="AC93" s="1652"/>
      <c r="AD93" s="1652"/>
      <c r="AE93" s="1652"/>
      <c r="AF93" s="1652"/>
      <c r="AG93" s="1652"/>
      <c r="AH93" s="1652"/>
      <c r="AI93" s="1652"/>
      <c r="AJ93" s="1652"/>
      <c r="AK93" s="1652"/>
      <c r="AL93" s="1652"/>
      <c r="AM93" s="1652"/>
      <c r="AN93" s="1652"/>
      <c r="AO93" s="1652"/>
      <c r="AP93" s="1652"/>
      <c r="AQ93" s="1652"/>
      <c r="AR93" s="1652"/>
    </row>
    <row r="94" spans="1:44">
      <c r="A94" s="1652"/>
      <c r="B94" s="1652"/>
      <c r="C94" s="1652"/>
      <c r="D94" s="1652"/>
      <c r="E94" s="1652"/>
      <c r="F94" s="1652"/>
      <c r="G94" s="1652"/>
      <c r="H94" s="1652"/>
      <c r="I94" s="1652"/>
      <c r="J94" s="1652"/>
      <c r="K94" s="1652"/>
      <c r="L94" s="1652"/>
      <c r="M94" s="1652"/>
      <c r="N94" s="1652"/>
      <c r="O94" s="1652"/>
      <c r="P94" s="1652"/>
      <c r="Q94" s="1652"/>
      <c r="R94" s="1652"/>
      <c r="S94" s="1652"/>
      <c r="T94" s="1652"/>
      <c r="U94" s="1652"/>
      <c r="V94" s="1652"/>
      <c r="W94" s="1652"/>
      <c r="X94" s="1652"/>
      <c r="Y94" s="1652"/>
      <c r="Z94" s="1652"/>
      <c r="AA94" s="1652"/>
      <c r="AB94" s="1652"/>
      <c r="AC94" s="1652"/>
      <c r="AD94" s="1652"/>
      <c r="AE94" s="1652"/>
      <c r="AF94" s="1652"/>
      <c r="AG94" s="1652"/>
      <c r="AH94" s="1652"/>
      <c r="AI94" s="1652"/>
      <c r="AJ94" s="1652"/>
      <c r="AK94" s="1652"/>
      <c r="AL94" s="1652"/>
      <c r="AM94" s="1652"/>
      <c r="AN94" s="1652"/>
      <c r="AO94" s="1652"/>
      <c r="AP94" s="1652"/>
      <c r="AQ94" s="1652"/>
      <c r="AR94" s="1652"/>
    </row>
    <row r="95" spans="1:44">
      <c r="A95" s="1652"/>
      <c r="B95" s="1652"/>
      <c r="C95" s="1652"/>
      <c r="D95" s="1652"/>
      <c r="E95" s="1652"/>
      <c r="F95" s="1652"/>
      <c r="G95" s="1652"/>
      <c r="H95" s="1652"/>
      <c r="I95" s="1652"/>
      <c r="J95" s="1652"/>
      <c r="K95" s="1652"/>
      <c r="L95" s="1652"/>
      <c r="M95" s="1652"/>
      <c r="N95" s="1652"/>
      <c r="O95" s="1652"/>
      <c r="P95" s="1652"/>
      <c r="Q95" s="1652"/>
      <c r="R95" s="1652"/>
      <c r="S95" s="1652"/>
      <c r="T95" s="1652"/>
      <c r="U95" s="1652"/>
      <c r="V95" s="1652"/>
      <c r="W95" s="1652"/>
      <c r="X95" s="1652"/>
      <c r="Y95" s="1652"/>
      <c r="Z95" s="1652"/>
      <c r="AA95" s="1652"/>
      <c r="AB95" s="1652"/>
      <c r="AC95" s="1652"/>
      <c r="AD95" s="1652"/>
      <c r="AE95" s="1652"/>
      <c r="AF95" s="1652"/>
      <c r="AG95" s="1652"/>
      <c r="AH95" s="1652"/>
      <c r="AI95" s="1652"/>
      <c r="AJ95" s="1652"/>
      <c r="AK95" s="1652"/>
      <c r="AL95" s="1652"/>
      <c r="AM95" s="1652"/>
      <c r="AN95" s="1652"/>
      <c r="AO95" s="1652"/>
      <c r="AP95" s="1652"/>
      <c r="AQ95" s="1652"/>
      <c r="AR95" s="1652"/>
    </row>
    <row r="96" spans="1:44">
      <c r="A96" s="1652"/>
      <c r="B96" s="1652"/>
      <c r="C96" s="1652"/>
      <c r="D96" s="1652"/>
      <c r="E96" s="1652"/>
      <c r="F96" s="1652"/>
      <c r="G96" s="1652"/>
      <c r="H96" s="1652"/>
      <c r="I96" s="1652"/>
      <c r="J96" s="1652"/>
      <c r="K96" s="1652"/>
      <c r="L96" s="1652"/>
      <c r="M96" s="1652"/>
      <c r="N96" s="1652"/>
      <c r="O96" s="1652"/>
      <c r="P96" s="1652"/>
      <c r="Q96" s="1652"/>
      <c r="R96" s="1652"/>
      <c r="S96" s="1652"/>
      <c r="T96" s="1652"/>
      <c r="U96" s="1652"/>
      <c r="V96" s="1652"/>
      <c r="W96" s="1652"/>
      <c r="X96" s="1652"/>
      <c r="Y96" s="1652"/>
      <c r="Z96" s="1652"/>
      <c r="AA96" s="1652"/>
      <c r="AB96" s="1652"/>
      <c r="AC96" s="1652"/>
      <c r="AD96" s="1652"/>
      <c r="AE96" s="1652"/>
      <c r="AF96" s="1652"/>
      <c r="AG96" s="1652"/>
      <c r="AH96" s="1652"/>
      <c r="AI96" s="1652"/>
      <c r="AJ96" s="1652"/>
      <c r="AK96" s="1652"/>
      <c r="AL96" s="1652"/>
      <c r="AM96" s="1652"/>
      <c r="AN96" s="1652"/>
      <c r="AO96" s="1652"/>
      <c r="AP96" s="1652"/>
      <c r="AQ96" s="1652"/>
      <c r="AR96" s="1652"/>
    </row>
    <row r="97" spans="1:44">
      <c r="A97" s="1652"/>
      <c r="B97" s="1652"/>
      <c r="C97" s="1652"/>
      <c r="D97" s="1652"/>
      <c r="E97" s="1652"/>
      <c r="F97" s="1652"/>
      <c r="G97" s="1652"/>
      <c r="H97" s="1652"/>
      <c r="I97" s="1652"/>
      <c r="J97" s="1652"/>
      <c r="K97" s="1652"/>
      <c r="L97" s="1652"/>
      <c r="M97" s="1652"/>
      <c r="N97" s="1652"/>
      <c r="O97" s="1652"/>
      <c r="P97" s="1652"/>
      <c r="Q97" s="1652"/>
      <c r="R97" s="1652"/>
      <c r="S97" s="1652"/>
      <c r="T97" s="1652"/>
      <c r="U97" s="1652"/>
      <c r="V97" s="1652"/>
      <c r="W97" s="1652"/>
      <c r="X97" s="1652"/>
      <c r="Y97" s="1652"/>
      <c r="Z97" s="1652"/>
      <c r="AA97" s="1652"/>
      <c r="AB97" s="1652"/>
      <c r="AC97" s="1652"/>
      <c r="AD97" s="1652"/>
      <c r="AE97" s="1652"/>
      <c r="AF97" s="1652"/>
      <c r="AG97" s="1652"/>
      <c r="AH97" s="1652"/>
      <c r="AI97" s="1652"/>
      <c r="AJ97" s="1652"/>
      <c r="AK97" s="1652"/>
      <c r="AL97" s="1652"/>
      <c r="AM97" s="1652"/>
      <c r="AN97" s="1652"/>
      <c r="AO97" s="1652"/>
      <c r="AP97" s="1652"/>
      <c r="AQ97" s="1652"/>
      <c r="AR97" s="1652"/>
    </row>
    <row r="98" spans="1:44">
      <c r="A98" s="1652"/>
      <c r="B98" s="1652"/>
      <c r="C98" s="1652"/>
      <c r="D98" s="1652"/>
      <c r="E98" s="1652"/>
      <c r="F98" s="1652"/>
      <c r="G98" s="1652"/>
      <c r="H98" s="1652"/>
      <c r="I98" s="1652"/>
      <c r="J98" s="1652"/>
      <c r="K98" s="1652"/>
      <c r="L98" s="1652"/>
      <c r="M98" s="1652"/>
      <c r="N98" s="1652"/>
      <c r="O98" s="1652"/>
      <c r="P98" s="1652"/>
      <c r="Q98" s="1652"/>
      <c r="R98" s="1652"/>
      <c r="S98" s="1652"/>
      <c r="T98" s="1652"/>
      <c r="U98" s="1652"/>
      <c r="V98" s="1652"/>
      <c r="W98" s="1652"/>
      <c r="X98" s="1652"/>
      <c r="Y98" s="1652"/>
      <c r="Z98" s="1652"/>
      <c r="AA98" s="1652"/>
      <c r="AB98" s="1652"/>
      <c r="AC98" s="1652"/>
      <c r="AD98" s="1652"/>
      <c r="AE98" s="1652"/>
      <c r="AF98" s="1652"/>
      <c r="AG98" s="1652"/>
      <c r="AH98" s="1652"/>
      <c r="AI98" s="1652"/>
      <c r="AJ98" s="1652"/>
      <c r="AK98" s="1652"/>
      <c r="AL98" s="1652"/>
      <c r="AM98" s="1652"/>
      <c r="AN98" s="1652"/>
      <c r="AO98" s="1652"/>
      <c r="AP98" s="1652"/>
      <c r="AQ98" s="1652"/>
      <c r="AR98" s="1652"/>
    </row>
    <row r="99" spans="1:44">
      <c r="A99" s="1652"/>
      <c r="B99" s="1652"/>
      <c r="C99" s="1652"/>
      <c r="D99" s="1652"/>
      <c r="E99" s="1652"/>
      <c r="F99" s="1652"/>
      <c r="G99" s="1652"/>
      <c r="H99" s="1652"/>
      <c r="I99" s="1652"/>
      <c r="J99" s="1652"/>
      <c r="K99" s="1652"/>
      <c r="L99" s="1652"/>
      <c r="M99" s="1652"/>
      <c r="N99" s="1652"/>
      <c r="O99" s="1652"/>
      <c r="P99" s="1652"/>
      <c r="Q99" s="1652"/>
      <c r="R99" s="1652"/>
      <c r="S99" s="1652"/>
      <c r="T99" s="1652"/>
      <c r="U99" s="1652"/>
      <c r="V99" s="1652"/>
      <c r="W99" s="1652"/>
      <c r="X99" s="1652"/>
      <c r="Y99" s="1652"/>
      <c r="Z99" s="1652"/>
      <c r="AA99" s="1652"/>
      <c r="AB99" s="1652"/>
      <c r="AC99" s="1652"/>
      <c r="AD99" s="1652"/>
      <c r="AE99" s="1652"/>
      <c r="AF99" s="1652"/>
      <c r="AG99" s="1652"/>
      <c r="AH99" s="1652"/>
      <c r="AI99" s="1652"/>
      <c r="AJ99" s="1652"/>
      <c r="AK99" s="1652"/>
      <c r="AL99" s="1652"/>
      <c r="AM99" s="1652"/>
      <c r="AN99" s="1652"/>
      <c r="AO99" s="1652"/>
      <c r="AP99" s="1652"/>
      <c r="AQ99" s="1652"/>
      <c r="AR99" s="1652"/>
    </row>
    <row r="100" spans="1:44">
      <c r="A100" s="1652"/>
      <c r="B100" s="1652"/>
      <c r="C100" s="1652"/>
      <c r="D100" s="1652"/>
      <c r="E100" s="1652"/>
      <c r="F100" s="1652"/>
      <c r="G100" s="1652"/>
      <c r="H100" s="1652"/>
      <c r="I100" s="1652"/>
      <c r="J100" s="1652"/>
      <c r="K100" s="1652"/>
      <c r="L100" s="1652"/>
      <c r="M100" s="1652"/>
      <c r="N100" s="1652"/>
      <c r="O100" s="1652"/>
      <c r="P100" s="1652"/>
      <c r="Q100" s="1652"/>
      <c r="R100" s="1652"/>
      <c r="S100" s="1652"/>
      <c r="T100" s="1652"/>
      <c r="U100" s="1652"/>
      <c r="V100" s="1652"/>
      <c r="W100" s="1652"/>
      <c r="X100" s="1652"/>
      <c r="Y100" s="1652"/>
      <c r="Z100" s="1652"/>
      <c r="AA100" s="1652"/>
      <c r="AB100" s="1652"/>
      <c r="AC100" s="1652"/>
      <c r="AD100" s="1652"/>
      <c r="AE100" s="1652"/>
      <c r="AF100" s="1652"/>
      <c r="AG100" s="1652"/>
      <c r="AH100" s="1652"/>
      <c r="AI100" s="1652"/>
      <c r="AJ100" s="1652"/>
      <c r="AK100" s="1652"/>
      <c r="AL100" s="1652"/>
      <c r="AM100" s="1652"/>
      <c r="AN100" s="1652"/>
      <c r="AO100" s="1652"/>
      <c r="AP100" s="1652"/>
      <c r="AQ100" s="1652"/>
      <c r="AR100" s="1652"/>
    </row>
    <row r="101" spans="1:44">
      <c r="A101" s="1652"/>
      <c r="B101" s="1652"/>
      <c r="C101" s="1652"/>
      <c r="D101" s="1652"/>
      <c r="E101" s="1652"/>
      <c r="F101" s="1652"/>
      <c r="G101" s="1652"/>
      <c r="H101" s="1652"/>
      <c r="I101" s="1652"/>
      <c r="J101" s="1652"/>
      <c r="K101" s="1652"/>
      <c r="L101" s="1652"/>
      <c r="M101" s="1652"/>
      <c r="N101" s="1652"/>
      <c r="O101" s="1652"/>
      <c r="P101" s="1652"/>
      <c r="Q101" s="1652"/>
      <c r="R101" s="1652"/>
      <c r="S101" s="1652"/>
      <c r="T101" s="1652"/>
      <c r="U101" s="1652"/>
      <c r="V101" s="1652"/>
      <c r="W101" s="1652"/>
      <c r="X101" s="1652"/>
      <c r="Y101" s="1652"/>
      <c r="Z101" s="1652"/>
      <c r="AA101" s="1652"/>
      <c r="AB101" s="1652"/>
      <c r="AC101" s="1652"/>
      <c r="AD101" s="1652"/>
      <c r="AE101" s="1652"/>
      <c r="AF101" s="1652"/>
      <c r="AG101" s="1652"/>
      <c r="AH101" s="1652"/>
      <c r="AI101" s="1652"/>
      <c r="AJ101" s="1652"/>
      <c r="AK101" s="1652"/>
      <c r="AL101" s="1652"/>
      <c r="AM101" s="1652"/>
      <c r="AN101" s="1652"/>
      <c r="AO101" s="1652"/>
      <c r="AP101" s="1652"/>
      <c r="AQ101" s="1652"/>
      <c r="AR101" s="1652"/>
    </row>
    <row r="102" spans="1:44">
      <c r="A102" s="1652"/>
      <c r="B102" s="1652"/>
      <c r="C102" s="1652"/>
      <c r="D102" s="1652"/>
      <c r="E102" s="1652"/>
      <c r="F102" s="1652"/>
      <c r="G102" s="1652"/>
      <c r="H102" s="1652"/>
      <c r="I102" s="1652"/>
      <c r="J102" s="1652"/>
      <c r="K102" s="1652"/>
      <c r="L102" s="1652"/>
      <c r="M102" s="1652"/>
      <c r="N102" s="1652"/>
      <c r="O102" s="1652"/>
      <c r="P102" s="1652"/>
      <c r="Q102" s="1652"/>
      <c r="R102" s="1652"/>
      <c r="S102" s="1652"/>
      <c r="T102" s="1652"/>
      <c r="U102" s="1652"/>
      <c r="V102" s="1652"/>
      <c r="W102" s="1652"/>
      <c r="X102" s="1652"/>
      <c r="Y102" s="1652"/>
      <c r="Z102" s="1652"/>
      <c r="AA102" s="1652"/>
      <c r="AB102" s="1652"/>
      <c r="AC102" s="1652"/>
      <c r="AD102" s="1652"/>
      <c r="AE102" s="1652"/>
      <c r="AF102" s="1652"/>
      <c r="AG102" s="1652"/>
      <c r="AH102" s="1652"/>
      <c r="AI102" s="1652"/>
      <c r="AJ102" s="1652"/>
      <c r="AK102" s="1652"/>
      <c r="AL102" s="1652"/>
      <c r="AM102" s="1652"/>
      <c r="AN102" s="1652"/>
      <c r="AO102" s="1652"/>
      <c r="AP102" s="1652"/>
      <c r="AQ102" s="1652"/>
      <c r="AR102" s="1652"/>
    </row>
    <row r="103" spans="1:44">
      <c r="A103" s="1652"/>
      <c r="B103" s="1652"/>
      <c r="C103" s="1652"/>
      <c r="D103" s="1652"/>
      <c r="E103" s="1652"/>
      <c r="F103" s="1652"/>
      <c r="G103" s="1652"/>
      <c r="H103" s="1652"/>
      <c r="I103" s="1652"/>
      <c r="J103" s="1652"/>
      <c r="K103" s="1652"/>
      <c r="L103" s="1652"/>
      <c r="M103" s="1652"/>
      <c r="N103" s="1652"/>
      <c r="O103" s="1652"/>
      <c r="P103" s="1652"/>
      <c r="Q103" s="1652"/>
      <c r="R103" s="1652"/>
      <c r="S103" s="1652"/>
      <c r="T103" s="1652"/>
      <c r="U103" s="1652"/>
      <c r="V103" s="1652"/>
      <c r="W103" s="1652"/>
      <c r="X103" s="1652"/>
      <c r="Y103" s="1652"/>
      <c r="Z103" s="1652"/>
      <c r="AA103" s="1652"/>
      <c r="AB103" s="1652"/>
      <c r="AC103" s="1652"/>
      <c r="AD103" s="1652"/>
      <c r="AE103" s="1652"/>
      <c r="AF103" s="1652"/>
      <c r="AG103" s="1652"/>
      <c r="AH103" s="1652"/>
      <c r="AI103" s="1652"/>
      <c r="AJ103" s="1652"/>
      <c r="AK103" s="1652"/>
      <c r="AL103" s="1652"/>
      <c r="AM103" s="1652"/>
      <c r="AN103" s="1652"/>
      <c r="AO103" s="1652"/>
      <c r="AP103" s="1652"/>
      <c r="AQ103" s="1652"/>
      <c r="AR103" s="1652"/>
    </row>
    <row r="104" spans="1:44">
      <c r="A104" s="1652"/>
      <c r="B104" s="1652"/>
      <c r="C104" s="1652"/>
      <c r="D104" s="1652"/>
      <c r="E104" s="1652"/>
      <c r="F104" s="1652"/>
      <c r="G104" s="1652"/>
      <c r="H104" s="1652"/>
      <c r="I104" s="1652"/>
      <c r="J104" s="1652"/>
      <c r="K104" s="1652"/>
      <c r="L104" s="1652"/>
      <c r="M104" s="1652"/>
      <c r="N104" s="1652"/>
      <c r="O104" s="1652"/>
      <c r="P104" s="1652"/>
      <c r="Q104" s="1652"/>
      <c r="R104" s="1652"/>
      <c r="S104" s="1652"/>
      <c r="T104" s="1652"/>
      <c r="U104" s="1652"/>
      <c r="V104" s="1652"/>
      <c r="W104" s="1652"/>
      <c r="X104" s="1652"/>
      <c r="Y104" s="1652"/>
      <c r="Z104" s="1652"/>
      <c r="AA104" s="1652"/>
      <c r="AB104" s="1652"/>
      <c r="AC104" s="1652"/>
      <c r="AD104" s="1652"/>
      <c r="AE104" s="1652"/>
      <c r="AF104" s="1652"/>
      <c r="AG104" s="1652"/>
      <c r="AH104" s="1652"/>
      <c r="AI104" s="1652"/>
      <c r="AJ104" s="1652"/>
      <c r="AK104" s="1652"/>
      <c r="AL104" s="1652"/>
      <c r="AM104" s="1652"/>
      <c r="AN104" s="1652"/>
      <c r="AO104" s="1652"/>
      <c r="AP104" s="1652"/>
      <c r="AQ104" s="1652"/>
      <c r="AR104" s="1652"/>
    </row>
    <row r="105" spans="1:44">
      <c r="A105" s="1652"/>
      <c r="B105" s="1652"/>
      <c r="C105" s="1652"/>
      <c r="D105" s="1652"/>
      <c r="E105" s="1652"/>
      <c r="F105" s="1652"/>
      <c r="G105" s="1652"/>
      <c r="H105" s="1652"/>
      <c r="I105" s="1652"/>
      <c r="J105" s="1652"/>
      <c r="K105" s="1652"/>
      <c r="L105" s="1652"/>
      <c r="M105" s="1652"/>
      <c r="N105" s="1652"/>
      <c r="O105" s="1652"/>
      <c r="P105" s="1652"/>
      <c r="Q105" s="1652"/>
      <c r="R105" s="1652"/>
      <c r="S105" s="1652"/>
      <c r="T105" s="1652"/>
      <c r="U105" s="1652"/>
      <c r="V105" s="1652"/>
      <c r="W105" s="1652"/>
      <c r="X105" s="1652"/>
      <c r="Y105" s="1652"/>
      <c r="Z105" s="1652"/>
      <c r="AA105" s="1652"/>
      <c r="AB105" s="1652"/>
      <c r="AC105" s="1652"/>
      <c r="AD105" s="1652"/>
      <c r="AE105" s="1652"/>
      <c r="AF105" s="1652"/>
      <c r="AG105" s="1652"/>
      <c r="AH105" s="1652"/>
      <c r="AI105" s="1652"/>
      <c r="AJ105" s="1652"/>
      <c r="AK105" s="1652"/>
      <c r="AL105" s="1652"/>
      <c r="AM105" s="1652"/>
      <c r="AN105" s="1652"/>
      <c r="AO105" s="1652"/>
      <c r="AP105" s="1652"/>
      <c r="AQ105" s="1652"/>
      <c r="AR105" s="1652"/>
    </row>
    <row r="106" spans="1:44">
      <c r="C106" s="1652"/>
      <c r="D106" s="1652"/>
      <c r="E106" s="1652"/>
      <c r="F106" s="1652"/>
    </row>
    <row r="107" spans="1:44">
      <c r="C107" s="1652"/>
      <c r="D107" s="1652"/>
      <c r="E107" s="1652"/>
      <c r="F107" s="1652"/>
    </row>
    <row r="108" spans="1:44">
      <c r="C108" s="1652"/>
      <c r="D108" s="1652"/>
      <c r="E108" s="1652"/>
      <c r="F108" s="1652"/>
    </row>
  </sheetData>
  <customSheetViews>
    <customSheetView guid="{D9EFFE19-D14B-4C6F-BDF4-FF696F73968D}" showGridLines="0">
      <pane xSplit="1" ySplit="1" topLeftCell="B2" activePane="bottomRight" state="frozen"/>
      <selection pane="bottomRight" activeCell="L16" sqref="L16:R24"/>
      <pageMargins left="0.7" right="0.7" top="0.75" bottom="0.75" header="0.3" footer="0.3"/>
    </customSheetView>
    <customSheetView guid="{074EB09C-6289-46D7-9513-012B68BCA7BF}" showGridLines="0">
      <pane xSplit="1" ySplit="1" topLeftCell="B65" activePane="bottomRight" state="frozen"/>
      <selection pane="bottomRight" activeCell="H73" sqref="H73"/>
      <pageMargins left="0.7" right="0.7" top="0.75" bottom="0.75" header="0.3" footer="0.3"/>
    </customSheetView>
  </customSheetViews>
  <mergeCells count="1">
    <mergeCell ref="Z12:Z13"/>
  </mergeCells>
  <pageMargins left="0.45" right="0.2" top="0.75" bottom="0.75" header="0.3" footer="0.3"/>
  <pageSetup paperSize="3" scale="45" orientation="landscape" horizontalDpi="1200" verticalDpi="12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rgb="FFFABF8F"/>
  </sheetPr>
  <dimension ref="A1:AS129"/>
  <sheetViews>
    <sheetView showGridLines="0" workbookViewId="0">
      <pane xSplit="1" ySplit="1" topLeftCell="B12" activePane="bottomRight" state="frozen"/>
      <selection pane="topRight" activeCell="B1" sqref="B1"/>
      <selection pane="bottomLeft" activeCell="A2" sqref="A2"/>
      <selection pane="bottomRight" activeCell="E84" sqref="E84"/>
    </sheetView>
  </sheetViews>
  <sheetFormatPr defaultRowHeight="12.75"/>
  <cols>
    <col min="1" max="1" width="18.85546875" customWidth="1"/>
    <col min="2" max="2" width="15" customWidth="1"/>
    <col min="3" max="3" width="26.28515625" customWidth="1"/>
    <col min="4" max="7" width="15" customWidth="1"/>
    <col min="8" max="8" width="36.7109375" customWidth="1"/>
    <col min="9" max="26" width="15" customWidth="1"/>
  </cols>
  <sheetData>
    <row r="1" spans="1:45" ht="54.75" customHeight="1" thickBot="1">
      <c r="A1" s="1652"/>
      <c r="B1" s="1652"/>
      <c r="C1" s="1361" t="s">
        <v>1397</v>
      </c>
      <c r="D1" s="1361" t="s">
        <v>262</v>
      </c>
      <c r="E1" s="1361" t="s">
        <v>5</v>
      </c>
      <c r="F1" s="1361">
        <v>18230250</v>
      </c>
      <c r="G1" s="1361" t="s">
        <v>28</v>
      </c>
      <c r="H1" s="1652"/>
      <c r="I1" s="1652"/>
      <c r="J1" s="1190"/>
      <c r="K1" s="1652"/>
      <c r="L1" s="1652"/>
      <c r="M1" s="1361" t="s">
        <v>1397</v>
      </c>
      <c r="N1" s="1361" t="s">
        <v>262</v>
      </c>
      <c r="O1" s="1361" t="s">
        <v>5</v>
      </c>
      <c r="P1" s="1361">
        <v>18230250</v>
      </c>
      <c r="Q1" s="1361" t="s">
        <v>28</v>
      </c>
      <c r="R1" s="1652"/>
      <c r="S1" s="1652"/>
      <c r="T1" s="1652"/>
      <c r="U1" s="1652"/>
      <c r="V1" s="1361" t="s">
        <v>1397</v>
      </c>
      <c r="W1" s="1361" t="s">
        <v>262</v>
      </c>
      <c r="X1" s="1361" t="s">
        <v>5</v>
      </c>
      <c r="Y1" s="1361">
        <v>18230250</v>
      </c>
      <c r="Z1" s="1361" t="s">
        <v>28</v>
      </c>
      <c r="AA1" s="1652"/>
      <c r="AB1" s="1652"/>
      <c r="AC1" s="1652"/>
      <c r="AD1" s="1652"/>
      <c r="AE1" s="1652"/>
      <c r="AF1" s="1652"/>
      <c r="AG1" s="1652"/>
      <c r="AH1" s="1652"/>
      <c r="AI1" s="1652"/>
      <c r="AJ1" s="1652"/>
      <c r="AK1" s="1652"/>
      <c r="AL1" s="1652"/>
      <c r="AM1" s="1652"/>
      <c r="AN1" s="1652"/>
      <c r="AO1" s="1652"/>
      <c r="AP1" s="1652"/>
      <c r="AQ1" s="1652"/>
      <c r="AR1" s="1652"/>
    </row>
    <row r="2" spans="1:45" ht="16.5" thickBot="1">
      <c r="A2" s="1652"/>
      <c r="B2" s="1652"/>
      <c r="C2" s="1190"/>
      <c r="D2" s="1177"/>
      <c r="E2" s="1663"/>
      <c r="F2" s="1652"/>
      <c r="G2" s="1652"/>
      <c r="H2" s="1652"/>
      <c r="I2" s="1178" t="s">
        <v>627</v>
      </c>
      <c r="J2" s="1652"/>
      <c r="K2" s="1652"/>
      <c r="L2" s="1652"/>
      <c r="M2" s="1652"/>
      <c r="N2" s="1652"/>
      <c r="O2" s="1652"/>
      <c r="P2" s="1652"/>
      <c r="Q2" s="1652"/>
      <c r="R2" s="1652"/>
      <c r="S2" s="2212"/>
      <c r="T2" s="2212"/>
      <c r="U2" s="2213" t="s">
        <v>33</v>
      </c>
      <c r="V2" s="2214"/>
      <c r="W2" s="2215"/>
      <c r="X2" s="2210" t="s">
        <v>34</v>
      </c>
      <c r="Y2" s="1652"/>
      <c r="Z2" s="1652"/>
      <c r="AA2" s="1652"/>
      <c r="AB2" s="1652"/>
      <c r="AC2" s="1652"/>
      <c r="AD2" s="1652"/>
      <c r="AE2" s="1652"/>
      <c r="AF2" s="1652"/>
      <c r="AG2" s="1652"/>
      <c r="AH2" s="1652"/>
      <c r="AI2" s="1652"/>
      <c r="AJ2" s="1652"/>
      <c r="AK2" s="1652"/>
      <c r="AL2" s="1652"/>
      <c r="AM2" s="1652"/>
      <c r="AN2" s="1652"/>
      <c r="AO2" s="1652"/>
      <c r="AP2" s="1652"/>
      <c r="AQ2" s="1652"/>
      <c r="AR2" s="1652"/>
      <c r="AS2" s="1652"/>
    </row>
    <row r="3" spans="1:45" ht="26.25" thickBot="1">
      <c r="A3" s="1361" t="s">
        <v>1397</v>
      </c>
      <c r="B3" s="2221"/>
      <c r="C3" s="1652"/>
      <c r="D3" s="1652"/>
      <c r="E3" s="1663"/>
      <c r="F3" s="1652"/>
      <c r="G3" s="1652"/>
      <c r="H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2211"/>
      <c r="Y3" s="1652"/>
      <c r="Z3" s="1652"/>
      <c r="AA3" s="1652"/>
      <c r="AB3" s="1652"/>
      <c r="AC3" s="1652"/>
      <c r="AD3" s="1652"/>
      <c r="AE3" s="1652"/>
      <c r="AF3" s="1652"/>
      <c r="AG3" s="1652"/>
      <c r="AH3" s="1652"/>
      <c r="AI3" s="1652"/>
      <c r="AJ3" s="1652"/>
      <c r="AK3" s="1652"/>
      <c r="AL3" s="1652"/>
      <c r="AM3" s="1652"/>
      <c r="AN3" s="1652"/>
      <c r="AO3" s="1652"/>
      <c r="AP3" s="1652"/>
      <c r="AQ3" s="1652"/>
      <c r="AR3" s="1652"/>
      <c r="AS3" s="1652"/>
    </row>
    <row r="4" spans="1:45" ht="16.5" thickBot="1">
      <c r="A4" s="2221" t="s">
        <v>262</v>
      </c>
      <c r="B4" s="2221"/>
      <c r="C4" s="1190"/>
      <c r="D4" s="1652"/>
      <c r="E4" s="1663"/>
      <c r="F4" s="1652"/>
      <c r="G4" s="1652"/>
      <c r="H4" s="2946" t="s">
        <v>1726</v>
      </c>
      <c r="I4" s="2959">
        <f>D15</f>
        <v>9063.3000000000011</v>
      </c>
      <c r="J4" s="2960">
        <f>D21</f>
        <v>0</v>
      </c>
      <c r="K4" s="2960">
        <f>D27</f>
        <v>6045.2211000000007</v>
      </c>
      <c r="L4" s="2960">
        <f>D37</f>
        <v>10000</v>
      </c>
      <c r="M4" s="2960">
        <f>D43</f>
        <v>500</v>
      </c>
      <c r="N4" s="2960">
        <f>D49</f>
        <v>0</v>
      </c>
      <c r="O4" s="2960">
        <f>D55</f>
        <v>500</v>
      </c>
      <c r="P4" s="2960">
        <f>D61</f>
        <v>500</v>
      </c>
      <c r="Q4" s="2960">
        <f>D67</f>
        <v>0</v>
      </c>
      <c r="R4" s="2960">
        <f>D68</f>
        <v>0</v>
      </c>
      <c r="S4" s="2961">
        <f>SUM(I4:R4)</f>
        <v>26608.521100000002</v>
      </c>
      <c r="T4" s="2963">
        <f>T79</f>
        <v>133170</v>
      </c>
      <c r="U4" s="2954">
        <f>Q4/S4</f>
        <v>0</v>
      </c>
      <c r="V4" s="2954">
        <f>(L4+(J4*1.63))/S4</f>
        <v>0.37581945882742052</v>
      </c>
      <c r="W4" s="2954">
        <f>N4/S4</f>
        <v>0</v>
      </c>
      <c r="X4" s="2953">
        <f>S4/T4</f>
        <v>0.1998086738754975</v>
      </c>
      <c r="Y4" s="1652"/>
      <c r="Z4" s="1652"/>
      <c r="AA4" s="1652"/>
      <c r="AB4" s="1652"/>
      <c r="AC4" s="1652"/>
      <c r="AD4" s="1652"/>
      <c r="AE4" s="1652"/>
      <c r="AF4" s="1652"/>
      <c r="AG4" s="1652"/>
      <c r="AH4" s="1652"/>
      <c r="AI4" s="1652"/>
      <c r="AJ4" s="1652"/>
      <c r="AK4" s="1652"/>
      <c r="AL4" s="1652"/>
      <c r="AM4" s="1652"/>
      <c r="AN4" s="1652"/>
      <c r="AO4" s="1652"/>
      <c r="AP4" s="1652"/>
      <c r="AQ4" s="1652"/>
      <c r="AR4" s="1652"/>
      <c r="AS4" s="1652"/>
    </row>
    <row r="5" spans="1:45" ht="16.5" thickBot="1">
      <c r="A5" s="2221" t="s">
        <v>5</v>
      </c>
      <c r="C5" s="1177"/>
      <c r="D5" s="1652"/>
      <c r="E5" s="1663"/>
      <c r="F5" s="1652"/>
      <c r="G5" s="1652"/>
      <c r="H5" s="3205" t="s">
        <v>1753</v>
      </c>
      <c r="I5" s="2617">
        <v>9289.9</v>
      </c>
      <c r="J5" s="2618">
        <v>0</v>
      </c>
      <c r="K5" s="2618">
        <v>6317.1320000000005</v>
      </c>
      <c r="L5" s="2618">
        <v>10000</v>
      </c>
      <c r="M5" s="2618">
        <v>500</v>
      </c>
      <c r="N5" s="2618">
        <v>0</v>
      </c>
      <c r="O5" s="2618">
        <v>500</v>
      </c>
      <c r="P5" s="2618">
        <v>500</v>
      </c>
      <c r="Q5" s="2618">
        <v>399551.63</v>
      </c>
      <c r="R5" s="2618">
        <v>0</v>
      </c>
      <c r="S5" s="2619">
        <v>426658.66200000001</v>
      </c>
      <c r="T5" s="2640">
        <v>133170</v>
      </c>
      <c r="U5" s="1187">
        <f>Q5/S5</f>
        <v>0.93646670180576341</v>
      </c>
      <c r="V5" s="1187">
        <f>(L5+(J5*1.63))/S5</f>
        <v>2.3437939717722171E-2</v>
      </c>
      <c r="W5" s="1187">
        <f>N5/S5</f>
        <v>0</v>
      </c>
      <c r="X5" s="1155">
        <f>S5/T5</f>
        <v>3.2038646992565893</v>
      </c>
      <c r="Y5" s="1652"/>
      <c r="Z5" s="1652"/>
      <c r="AA5" s="1652"/>
      <c r="AB5" s="1652"/>
      <c r="AC5" s="1652"/>
      <c r="AD5" s="1652"/>
      <c r="AE5" s="1652"/>
      <c r="AF5" s="1652"/>
      <c r="AG5" s="1652"/>
      <c r="AH5" s="1652"/>
      <c r="AI5" s="1652"/>
      <c r="AJ5" s="1652"/>
      <c r="AK5" s="1652"/>
      <c r="AL5" s="1652"/>
      <c r="AM5" s="1652"/>
      <c r="AN5" s="1652"/>
      <c r="AO5" s="1652"/>
      <c r="AP5" s="1652"/>
      <c r="AQ5" s="1652"/>
      <c r="AR5" s="1652"/>
      <c r="AS5" s="1652"/>
    </row>
    <row r="6" spans="1:45" ht="16.5" thickBot="1">
      <c r="A6" s="1361">
        <v>18230250</v>
      </c>
      <c r="B6" s="2221"/>
      <c r="C6" s="1652"/>
      <c r="D6" s="1190"/>
      <c r="E6" s="1663"/>
      <c r="F6" s="1652"/>
      <c r="G6" s="1652"/>
      <c r="H6" s="3206" t="s">
        <v>1754</v>
      </c>
      <c r="I6" s="2621">
        <f>E15</f>
        <v>9289.9</v>
      </c>
      <c r="J6" s="2622">
        <f>E21</f>
        <v>0</v>
      </c>
      <c r="K6" s="2623">
        <f>E27</f>
        <v>8342.3302000000003</v>
      </c>
      <c r="L6" s="2622">
        <f>E37</f>
        <v>10000</v>
      </c>
      <c r="M6" s="2622">
        <f>E43</f>
        <v>500</v>
      </c>
      <c r="N6" s="2622">
        <f>E49</f>
        <v>110000</v>
      </c>
      <c r="O6" s="2622">
        <f>E55</f>
        <v>500</v>
      </c>
      <c r="P6" s="2622">
        <f>E61</f>
        <v>500</v>
      </c>
      <c r="Q6" s="2622">
        <f>E67</f>
        <v>747959</v>
      </c>
      <c r="R6" s="2622">
        <f>E68</f>
        <v>0</v>
      </c>
      <c r="S6" s="2624">
        <f>SUM(I6:R6)</f>
        <v>887091.23019999999</v>
      </c>
      <c r="T6" s="2641">
        <f>U15</f>
        <v>258211.20000000001</v>
      </c>
      <c r="U6" s="2631">
        <f>Q6/S6</f>
        <v>0.84315905121885626</v>
      </c>
      <c r="V6" s="2631">
        <f>(L6+(J6*1.63))/S6</f>
        <v>1.127279772312194E-2</v>
      </c>
      <c r="W6" s="2631">
        <f>N6/S6</f>
        <v>0.12400077495434134</v>
      </c>
      <c r="X6" s="2626">
        <f>S6/T6</f>
        <v>3.4355257641806394</v>
      </c>
      <c r="Y6" s="1652"/>
      <c r="Z6" s="1652"/>
      <c r="AA6" s="1652"/>
      <c r="AB6" s="1652"/>
      <c r="AC6" s="1652"/>
      <c r="AD6" s="1652"/>
      <c r="AE6" s="1652"/>
      <c r="AF6" s="1652"/>
      <c r="AG6" s="1652"/>
      <c r="AH6" s="1652"/>
      <c r="AI6" s="1652"/>
      <c r="AJ6" s="1652"/>
      <c r="AK6" s="1652"/>
      <c r="AL6" s="1652"/>
      <c r="AM6" s="1652"/>
      <c r="AN6" s="1652"/>
      <c r="AO6" s="1652"/>
      <c r="AP6" s="1652"/>
      <c r="AQ6" s="1652"/>
      <c r="AR6" s="1652"/>
      <c r="AS6" s="1652"/>
    </row>
    <row r="7" spans="1:45" ht="15.75">
      <c r="A7" s="2221" t="s">
        <v>28</v>
      </c>
      <c r="B7" s="2221"/>
      <c r="C7" s="1652"/>
      <c r="D7" s="1190"/>
      <c r="E7" s="1663"/>
      <c r="F7" s="1652"/>
      <c r="G7" s="2606"/>
      <c r="H7" s="2607"/>
      <c r="I7" s="2607"/>
      <c r="J7" s="2607"/>
      <c r="K7" s="2607"/>
      <c r="L7" s="2607"/>
      <c r="M7" s="2607"/>
      <c r="N7" s="2607"/>
      <c r="O7" s="2607"/>
      <c r="P7" s="2607"/>
      <c r="Q7" s="2607"/>
      <c r="R7" s="2607"/>
      <c r="S7" s="2639"/>
      <c r="T7" s="2630"/>
      <c r="U7" s="2630"/>
      <c r="V7" s="2630"/>
      <c r="W7" s="2610"/>
      <c r="X7" s="1652"/>
      <c r="Y7" s="1652"/>
      <c r="Z7" s="1652"/>
      <c r="AA7" s="1652"/>
      <c r="AB7" s="1652"/>
      <c r="AC7" s="1652"/>
      <c r="AD7" s="1652"/>
      <c r="AE7" s="1652"/>
      <c r="AF7" s="1652"/>
      <c r="AG7" s="1652"/>
      <c r="AH7" s="1652"/>
      <c r="AI7" s="1652"/>
      <c r="AJ7" s="1652"/>
      <c r="AK7" s="1652"/>
      <c r="AL7" s="1652"/>
      <c r="AM7" s="1652"/>
      <c r="AN7" s="1652"/>
      <c r="AO7" s="1652"/>
      <c r="AP7" s="1652"/>
      <c r="AQ7" s="1652"/>
      <c r="AR7" s="1652"/>
    </row>
    <row r="8" spans="1:45" ht="15.75">
      <c r="A8" s="1663"/>
      <c r="B8" s="2221"/>
      <c r="C8" s="1652"/>
      <c r="D8" s="1190"/>
      <c r="E8" s="1663"/>
      <c r="F8" s="1652"/>
      <c r="G8" s="1652"/>
      <c r="H8" s="1652"/>
      <c r="I8" s="1652"/>
      <c r="J8" s="1652"/>
      <c r="K8" s="1652"/>
      <c r="L8" s="1652"/>
      <c r="M8" s="1652"/>
      <c r="N8" s="1652"/>
      <c r="O8" s="1652"/>
      <c r="P8" s="1652"/>
      <c r="Q8" s="1652"/>
      <c r="R8" s="1652"/>
      <c r="S8" s="1652"/>
      <c r="T8" s="1652"/>
      <c r="U8" s="1652"/>
      <c r="V8" s="1652"/>
      <c r="W8" s="1652"/>
      <c r="X8" s="1652"/>
      <c r="Y8" s="1652"/>
      <c r="Z8" s="1652"/>
      <c r="AA8" s="1652"/>
      <c r="AB8" s="1652"/>
      <c r="AC8" s="1652"/>
      <c r="AD8" s="1652"/>
      <c r="AE8" s="1652"/>
      <c r="AF8" s="1652"/>
      <c r="AG8" s="1652"/>
      <c r="AH8" s="1652"/>
      <c r="AI8" s="1652"/>
      <c r="AJ8" s="1652"/>
      <c r="AK8" s="1652"/>
      <c r="AL8" s="1652"/>
      <c r="AM8" s="1652"/>
      <c r="AN8" s="1652"/>
      <c r="AO8" s="1652"/>
      <c r="AP8" s="1652"/>
      <c r="AQ8" s="1652"/>
      <c r="AR8" s="1652"/>
    </row>
    <row r="9" spans="1:45" ht="15.75">
      <c r="A9" s="2221"/>
      <c r="B9" s="2221"/>
      <c r="C9" s="1652"/>
      <c r="D9" s="1190"/>
      <c r="E9" s="1663"/>
      <c r="F9" s="1652"/>
      <c r="G9" s="1652"/>
      <c r="H9" s="1652"/>
      <c r="I9" s="3003" t="s">
        <v>1750</v>
      </c>
      <c r="J9" s="1652"/>
      <c r="K9" s="1652"/>
      <c r="L9" s="1652"/>
      <c r="M9" s="1652"/>
      <c r="N9" s="1652"/>
      <c r="O9" s="1652"/>
      <c r="P9" s="1652"/>
      <c r="Q9" s="3003" t="s">
        <v>1752</v>
      </c>
      <c r="R9" s="1652"/>
      <c r="S9" s="1652"/>
      <c r="T9" s="3003" t="s">
        <v>1752</v>
      </c>
      <c r="U9" s="1652"/>
      <c r="V9" s="1652"/>
      <c r="W9" s="3003" t="s">
        <v>1752</v>
      </c>
      <c r="X9" s="1652"/>
      <c r="Y9" s="1652"/>
      <c r="Z9" s="1652"/>
      <c r="AA9" s="1652"/>
      <c r="AB9" s="1652"/>
      <c r="AC9" s="1652"/>
      <c r="AD9" s="1652"/>
      <c r="AE9" s="1652"/>
      <c r="AF9" s="1652"/>
      <c r="AG9" s="1652"/>
      <c r="AH9" s="1652"/>
      <c r="AI9" s="1652"/>
      <c r="AJ9" s="1652"/>
      <c r="AK9" s="1652"/>
      <c r="AL9" s="1652"/>
      <c r="AM9" s="1652"/>
      <c r="AN9" s="1652"/>
      <c r="AO9" s="1652"/>
      <c r="AP9" s="1652"/>
      <c r="AQ9" s="1652"/>
      <c r="AR9" s="1652"/>
    </row>
    <row r="10" spans="1:45">
      <c r="A10" s="2221"/>
      <c r="B10" s="2221"/>
      <c r="C10" s="1454" t="s">
        <v>310</v>
      </c>
      <c r="D10" s="1454"/>
      <c r="E10" s="1454"/>
      <c r="F10" s="1454"/>
      <c r="G10" s="1652"/>
      <c r="H10" s="2217" t="s">
        <v>300</v>
      </c>
      <c r="I10" s="2217"/>
      <c r="J10" s="2217"/>
      <c r="K10" s="2217"/>
      <c r="L10" s="2217"/>
      <c r="M10" s="2217"/>
      <c r="N10" s="2217"/>
      <c r="O10" s="2217"/>
      <c r="P10" s="2217"/>
      <c r="Q10" s="1465"/>
      <c r="R10" s="1465"/>
      <c r="S10" s="1465"/>
      <c r="T10" s="1465"/>
      <c r="U10" s="1465"/>
      <c r="V10" s="1465"/>
      <c r="W10" s="2217" t="s">
        <v>300</v>
      </c>
      <c r="X10" s="1465"/>
      <c r="Y10" s="1465"/>
      <c r="Z10" s="2217" t="s">
        <v>300</v>
      </c>
      <c r="AA10" s="1465"/>
      <c r="AB10" s="1652"/>
      <c r="AC10" s="1652"/>
      <c r="AD10" s="1652"/>
      <c r="AE10" s="1652"/>
      <c r="AF10" s="1652"/>
      <c r="AG10" s="1652"/>
      <c r="AH10" s="1652"/>
      <c r="AI10" s="1652"/>
      <c r="AJ10" s="1652"/>
      <c r="AK10" s="1652"/>
      <c r="AL10" s="1652"/>
      <c r="AM10" s="1652"/>
      <c r="AN10" s="1652"/>
      <c r="AO10" s="1652"/>
      <c r="AP10" s="1652"/>
      <c r="AQ10" s="1652"/>
      <c r="AR10" s="1652"/>
    </row>
    <row r="11" spans="1:45">
      <c r="A11" s="2221"/>
      <c r="B11" s="2221"/>
      <c r="C11" s="1652"/>
      <c r="D11" s="1652"/>
      <c r="E11" s="1663"/>
      <c r="F11" s="1652"/>
      <c r="G11" s="1652"/>
      <c r="H11" s="1456"/>
      <c r="I11" s="1457"/>
      <c r="J11" s="1457"/>
      <c r="K11" s="1456"/>
      <c r="L11" s="1456"/>
      <c r="M11" s="1456"/>
      <c r="N11" s="1456"/>
      <c r="O11" s="1456"/>
      <c r="P11" s="1456"/>
      <c r="Q11" s="1456"/>
      <c r="R11" s="1456"/>
      <c r="S11" s="1456"/>
      <c r="T11" s="1456"/>
      <c r="U11" s="1456"/>
      <c r="V11" s="1456"/>
      <c r="W11" s="1456"/>
      <c r="X11" s="1456"/>
      <c r="Y11" s="1456"/>
      <c r="Z11" s="1456"/>
      <c r="AA11" s="1456"/>
      <c r="AB11" s="1652"/>
      <c r="AC11" s="1652"/>
      <c r="AD11" s="1652"/>
      <c r="AE11" s="1652"/>
      <c r="AF11" s="1652"/>
      <c r="AG11" s="1652"/>
      <c r="AH11" s="1652"/>
      <c r="AI11" s="1652"/>
      <c r="AJ11" s="1652"/>
      <c r="AK11" s="1652"/>
      <c r="AL11" s="1652"/>
      <c r="AM11" s="1652"/>
      <c r="AN11" s="1652"/>
      <c r="AO11" s="1652"/>
      <c r="AP11" s="1652"/>
      <c r="AQ11" s="1652"/>
      <c r="AR11" s="1652"/>
    </row>
    <row r="12" spans="1:45">
      <c r="A12" s="2221"/>
      <c r="B12" s="2221"/>
      <c r="C12" s="1434" t="s">
        <v>298</v>
      </c>
      <c r="D12" s="2766">
        <f>D15+D21+D27+D37+D43+D49+D55+D61+D67</f>
        <v>26608.521100000002</v>
      </c>
      <c r="E12" s="1484">
        <f>E15+E21+E27+E37+E43+E49+E55+E61+E67</f>
        <v>887091.23019999999</v>
      </c>
      <c r="F12" s="1638">
        <f>D12+E12</f>
        <v>913699.7513</v>
      </c>
      <c r="G12" s="1652"/>
      <c r="H12" s="2218" t="s">
        <v>301</v>
      </c>
      <c r="I12" s="2218"/>
      <c r="J12" s="2218"/>
      <c r="K12" s="2218"/>
      <c r="L12" s="2218"/>
      <c r="M12" s="2218"/>
      <c r="N12" s="2218"/>
      <c r="O12" s="2218"/>
      <c r="P12" s="2218"/>
      <c r="Q12" s="2220" t="s">
        <v>40</v>
      </c>
      <c r="R12" s="2220"/>
      <c r="S12" s="2220"/>
      <c r="T12" s="2216" t="s">
        <v>41</v>
      </c>
      <c r="U12" s="2216"/>
      <c r="V12" s="2216"/>
      <c r="W12" s="2219" t="s">
        <v>52</v>
      </c>
      <c r="X12" s="2219"/>
      <c r="Y12" s="2219"/>
      <c r="Z12" s="3567" t="s">
        <v>1728</v>
      </c>
      <c r="AA12" s="1456"/>
      <c r="AB12" s="1652"/>
      <c r="AC12" s="1652"/>
      <c r="AD12" s="1652"/>
      <c r="AE12" s="1652"/>
      <c r="AF12" s="1652"/>
      <c r="AG12" s="1652"/>
      <c r="AH12" s="1652"/>
      <c r="AI12" s="1652"/>
      <c r="AJ12" s="1652"/>
      <c r="AK12" s="1652"/>
      <c r="AL12" s="1652"/>
      <c r="AM12" s="1652"/>
      <c r="AN12" s="1652"/>
      <c r="AO12" s="1652"/>
      <c r="AP12" s="1652"/>
      <c r="AQ12" s="1652"/>
      <c r="AR12" s="1652"/>
    </row>
    <row r="13" spans="1:45">
      <c r="A13" s="1652"/>
      <c r="B13" s="1652"/>
      <c r="C13" s="1483"/>
      <c r="D13" s="2767"/>
      <c r="E13" s="1336"/>
      <c r="F13" s="1652"/>
      <c r="G13" s="1652"/>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c r="AB13" s="1652"/>
      <c r="AC13" s="1652"/>
      <c r="AD13" s="1652"/>
      <c r="AE13" s="1652"/>
      <c r="AF13" s="1652"/>
      <c r="AG13" s="1652"/>
      <c r="AH13" s="1652"/>
      <c r="AI13" s="1652"/>
      <c r="AJ13" s="1652"/>
      <c r="AK13" s="1652"/>
      <c r="AL13" s="1652"/>
      <c r="AM13" s="1652"/>
      <c r="AN13" s="1652"/>
      <c r="AO13" s="1652"/>
      <c r="AP13" s="1652"/>
      <c r="AQ13" s="1652"/>
      <c r="AR13" s="1652"/>
    </row>
    <row r="14" spans="1:45" ht="15.75">
      <c r="A14" s="1652"/>
      <c r="B14" s="1652"/>
      <c r="C14" s="1435" t="s">
        <v>42</v>
      </c>
      <c r="D14" s="2768">
        <v>2016</v>
      </c>
      <c r="E14" s="1502">
        <v>2017</v>
      </c>
      <c r="F14" s="1486" t="s">
        <v>20</v>
      </c>
      <c r="G14" s="1652"/>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c r="AB14" s="1652"/>
      <c r="AC14" s="1652"/>
      <c r="AD14" s="1652"/>
      <c r="AE14" s="1652"/>
      <c r="AF14" s="1652"/>
      <c r="AG14" s="1652"/>
      <c r="AH14" s="1652"/>
      <c r="AI14" s="1652"/>
      <c r="AJ14" s="1652"/>
      <c r="AK14" s="1652"/>
      <c r="AL14" s="1652"/>
      <c r="AM14" s="1652"/>
      <c r="AN14" s="1652"/>
      <c r="AO14" s="1652"/>
      <c r="AP14" s="1652"/>
      <c r="AQ14" s="1652"/>
      <c r="AR14" s="1652"/>
    </row>
    <row r="15" spans="1:45">
      <c r="A15" s="1652"/>
      <c r="B15" s="1433" t="s">
        <v>296</v>
      </c>
      <c r="C15" s="1597" t="s">
        <v>43</v>
      </c>
      <c r="D15" s="2771">
        <f>SUM(D16:D19)</f>
        <v>9063.3000000000011</v>
      </c>
      <c r="E15" s="1464">
        <f>SUM(E16:E19)</f>
        <v>9289.9</v>
      </c>
      <c r="F15" s="1638">
        <f>D15+E15</f>
        <v>18353.2</v>
      </c>
      <c r="G15" s="1652"/>
      <c r="H15" s="1475" t="s">
        <v>308</v>
      </c>
      <c r="I15" s="1476"/>
      <c r="J15" s="1476"/>
      <c r="K15" s="1477"/>
      <c r="L15" s="1478">
        <f>SUMPRODUCT(L16:L165,S16:S165)</f>
        <v>799103.26</v>
      </c>
      <c r="M15" s="1478">
        <f>SUM(M16:M165)</f>
        <v>962046.0279999997</v>
      </c>
      <c r="N15" s="1479" t="s">
        <v>229</v>
      </c>
      <c r="O15" s="1477">
        <v>9</v>
      </c>
      <c r="P15" s="1477"/>
      <c r="Q15" s="1477"/>
      <c r="R15" s="1477"/>
      <c r="S15" s="1477"/>
      <c r="T15" s="1480">
        <f t="shared" ref="T15:X15" si="0">SUM(T16:T65)</f>
        <v>0</v>
      </c>
      <c r="U15" s="1480">
        <f t="shared" si="0"/>
        <v>258211.20000000001</v>
      </c>
      <c r="V15" s="1480"/>
      <c r="W15" s="1478">
        <f t="shared" si="0"/>
        <v>0</v>
      </c>
      <c r="X15" s="1478">
        <f t="shared" si="0"/>
        <v>747959</v>
      </c>
      <c r="Y15" s="1478"/>
      <c r="Z15" s="1481">
        <v>0</v>
      </c>
      <c r="AA15" s="1456"/>
      <c r="AB15" s="1652"/>
      <c r="AC15" s="1652"/>
      <c r="AD15" s="1652"/>
      <c r="AE15" s="1652"/>
      <c r="AF15" s="1652"/>
      <c r="AG15" s="1652"/>
      <c r="AH15" s="1652"/>
      <c r="AI15" s="1652"/>
      <c r="AJ15" s="1652"/>
      <c r="AK15" s="1652"/>
      <c r="AL15" s="1652"/>
      <c r="AM15" s="1652"/>
      <c r="AN15" s="1652"/>
      <c r="AO15" s="1652"/>
      <c r="AP15" s="1652"/>
      <c r="AQ15" s="1652"/>
      <c r="AR15" s="1652"/>
    </row>
    <row r="16" spans="1:45">
      <c r="A16" s="1652"/>
      <c r="B16" s="1982">
        <v>0.1</v>
      </c>
      <c r="C16" s="1667" t="s">
        <v>735</v>
      </c>
      <c r="D16" s="2772">
        <v>9063.3000000000011</v>
      </c>
      <c r="E16" s="1669">
        <v>9289.9</v>
      </c>
      <c r="F16" s="1426">
        <f>SUM(D16:E16)</f>
        <v>18353.2</v>
      </c>
      <c r="G16" s="1652"/>
      <c r="H16" s="1460" t="s">
        <v>2560</v>
      </c>
      <c r="I16" s="2205">
        <v>6.5</v>
      </c>
      <c r="J16" s="1470" t="s">
        <v>71</v>
      </c>
      <c r="K16" s="1460" t="s">
        <v>845</v>
      </c>
      <c r="L16" s="1467">
        <v>13.09</v>
      </c>
      <c r="M16" s="1467">
        <v>13.09</v>
      </c>
      <c r="N16" s="1461">
        <v>7.5519574673755434E-3</v>
      </c>
      <c r="O16" s="1460">
        <v>10</v>
      </c>
      <c r="P16" s="1463" t="s">
        <v>997</v>
      </c>
      <c r="Q16" s="1466"/>
      <c r="R16" s="1466">
        <v>300</v>
      </c>
      <c r="S16" s="1469"/>
      <c r="T16" s="1469"/>
      <c r="U16" s="1469">
        <f>R16*I16</f>
        <v>1950</v>
      </c>
      <c r="V16" s="1469"/>
      <c r="W16" s="1459">
        <f>Q16*M16</f>
        <v>0</v>
      </c>
      <c r="X16" s="1459">
        <f>R16*M16</f>
        <v>3927</v>
      </c>
      <c r="Y16" s="1459"/>
      <c r="Z16" s="1482">
        <v>132.69</v>
      </c>
      <c r="AA16" s="1456"/>
      <c r="AB16" s="1652"/>
      <c r="AC16" s="1652"/>
      <c r="AD16" s="1652"/>
      <c r="AE16" s="1652"/>
      <c r="AF16" s="1652"/>
      <c r="AG16" s="1652"/>
      <c r="AH16" s="1652"/>
      <c r="AI16" s="1652"/>
      <c r="AJ16" s="1652"/>
      <c r="AK16" s="1652"/>
      <c r="AL16" s="1652"/>
      <c r="AM16" s="1652"/>
      <c r="AN16" s="1652"/>
      <c r="AO16" s="1652"/>
      <c r="AP16" s="1652"/>
      <c r="AQ16" s="1652"/>
      <c r="AR16" s="1652"/>
    </row>
    <row r="17" spans="1:44">
      <c r="A17" s="1652"/>
      <c r="B17" s="1982"/>
      <c r="C17" s="1667"/>
      <c r="D17" s="2784"/>
      <c r="E17" s="1668"/>
      <c r="F17" s="1661">
        <f t="shared" ref="F17:F30" si="1">SUM(D17:E17)</f>
        <v>0</v>
      </c>
      <c r="G17" s="1652"/>
      <c r="H17" s="1460" t="s">
        <v>2561</v>
      </c>
      <c r="I17" s="2205">
        <v>4.0999999999999996</v>
      </c>
      <c r="J17" s="1470" t="s">
        <v>71</v>
      </c>
      <c r="K17" s="1460" t="s">
        <v>845</v>
      </c>
      <c r="L17" s="1467">
        <v>13.09</v>
      </c>
      <c r="M17" s="1467">
        <v>13.09</v>
      </c>
      <c r="N17" s="1461">
        <v>4.76354240249842E-3</v>
      </c>
      <c r="O17" s="1460">
        <v>10</v>
      </c>
      <c r="P17" s="1463" t="s">
        <v>997</v>
      </c>
      <c r="Q17" s="1466"/>
      <c r="R17" s="1466">
        <v>300</v>
      </c>
      <c r="S17" s="1469"/>
      <c r="T17" s="1469"/>
      <c r="U17" s="1469">
        <f t="shared" ref="U17:U65" si="2">R17*I17</f>
        <v>1230</v>
      </c>
      <c r="V17" s="1469"/>
      <c r="W17" s="1459">
        <f t="shared" ref="W17:W65" si="3">Q17*M17</f>
        <v>0</v>
      </c>
      <c r="X17" s="1459">
        <f t="shared" ref="X17:X65" si="4">R17*M17</f>
        <v>3927</v>
      </c>
      <c r="Y17" s="1459"/>
      <c r="Z17" s="1482">
        <v>82.28</v>
      </c>
      <c r="AA17" s="1456"/>
      <c r="AB17" s="1652"/>
      <c r="AC17" s="1652"/>
      <c r="AD17" s="1652"/>
      <c r="AE17" s="1652"/>
      <c r="AF17" s="1652"/>
      <c r="AG17" s="1652"/>
      <c r="AH17" s="1652"/>
      <c r="AI17" s="1652"/>
      <c r="AJ17" s="1652"/>
      <c r="AK17" s="1652"/>
      <c r="AL17" s="1652"/>
      <c r="AM17" s="1652"/>
      <c r="AN17" s="1652"/>
      <c r="AO17" s="1652"/>
      <c r="AP17" s="1652"/>
      <c r="AQ17" s="1652"/>
      <c r="AR17" s="1652"/>
    </row>
    <row r="18" spans="1:44">
      <c r="A18" s="1652"/>
      <c r="B18" s="1982"/>
      <c r="C18" s="1667"/>
      <c r="D18" s="2784"/>
      <c r="E18" s="1668"/>
      <c r="F18" s="1661">
        <f t="shared" si="1"/>
        <v>0</v>
      </c>
      <c r="G18" s="1652"/>
      <c r="H18" s="1460" t="s">
        <v>2562</v>
      </c>
      <c r="I18" s="2205">
        <v>6.5</v>
      </c>
      <c r="J18" s="1470" t="s">
        <v>71</v>
      </c>
      <c r="K18" s="1460" t="s">
        <v>845</v>
      </c>
      <c r="L18" s="1467">
        <v>13.09</v>
      </c>
      <c r="M18" s="1467">
        <v>13.09</v>
      </c>
      <c r="N18" s="1461">
        <v>7.5519574673755434E-3</v>
      </c>
      <c r="O18" s="1460">
        <v>10</v>
      </c>
      <c r="P18" s="1463" t="s">
        <v>997</v>
      </c>
      <c r="Q18" s="1466"/>
      <c r="R18" s="1466">
        <v>300</v>
      </c>
      <c r="S18" s="1469"/>
      <c r="T18" s="1469"/>
      <c r="U18" s="1469">
        <f t="shared" si="2"/>
        <v>1950</v>
      </c>
      <c r="V18" s="1469"/>
      <c r="W18" s="1459">
        <f t="shared" si="3"/>
        <v>0</v>
      </c>
      <c r="X18" s="1459">
        <f t="shared" si="4"/>
        <v>3927</v>
      </c>
      <c r="Y18" s="1459"/>
      <c r="Z18" s="1482">
        <v>132.69</v>
      </c>
      <c r="AA18" s="1456"/>
      <c r="AB18" s="1652"/>
      <c r="AC18" s="1652"/>
      <c r="AD18" s="1652"/>
      <c r="AE18" s="1652"/>
      <c r="AF18" s="1652"/>
      <c r="AG18" s="1652"/>
      <c r="AH18" s="1652"/>
      <c r="AI18" s="1652"/>
      <c r="AJ18" s="1652"/>
      <c r="AK18" s="1652"/>
      <c r="AL18" s="1652"/>
      <c r="AM18" s="1652"/>
      <c r="AN18" s="1652"/>
      <c r="AO18" s="1652"/>
      <c r="AP18" s="1652"/>
      <c r="AQ18" s="1652"/>
      <c r="AR18" s="1652"/>
    </row>
    <row r="19" spans="1:44">
      <c r="A19" s="1652"/>
      <c r="B19" s="1982"/>
      <c r="C19" s="1667"/>
      <c r="D19" s="2786"/>
      <c r="E19" s="1446"/>
      <c r="F19" s="1661">
        <f t="shared" si="1"/>
        <v>0</v>
      </c>
      <c r="G19" s="1652"/>
      <c r="H19" s="1460" t="s">
        <v>2563</v>
      </c>
      <c r="I19" s="2205">
        <v>8.1999999999999993</v>
      </c>
      <c r="J19" s="1470" t="s">
        <v>71</v>
      </c>
      <c r="K19" s="1460" t="s">
        <v>845</v>
      </c>
      <c r="L19" s="1467">
        <v>13.09</v>
      </c>
      <c r="M19" s="1467">
        <v>13.09</v>
      </c>
      <c r="N19" s="1461">
        <v>9.5270848049968399E-3</v>
      </c>
      <c r="O19" s="1460">
        <v>10</v>
      </c>
      <c r="P19" s="1463" t="s">
        <v>997</v>
      </c>
      <c r="Q19" s="1466"/>
      <c r="R19" s="1466">
        <v>300</v>
      </c>
      <c r="S19" s="1469"/>
      <c r="T19" s="1469"/>
      <c r="U19" s="1469">
        <f t="shared" si="2"/>
        <v>2460</v>
      </c>
      <c r="V19" s="1469"/>
      <c r="W19" s="1459">
        <f t="shared" si="3"/>
        <v>0</v>
      </c>
      <c r="X19" s="1459">
        <f t="shared" si="4"/>
        <v>3927</v>
      </c>
      <c r="Y19" s="1459"/>
      <c r="Z19" s="1482">
        <v>160.12</v>
      </c>
      <c r="AA19" s="1456"/>
      <c r="AB19" s="1652"/>
      <c r="AC19" s="1652"/>
      <c r="AD19" s="1652"/>
      <c r="AE19" s="1652"/>
      <c r="AF19" s="1652"/>
      <c r="AG19" s="1652"/>
      <c r="AH19" s="1652"/>
      <c r="AI19" s="1652"/>
      <c r="AJ19" s="1652"/>
      <c r="AK19" s="1652"/>
      <c r="AL19" s="1652"/>
      <c r="AM19" s="1652"/>
      <c r="AN19" s="1652"/>
      <c r="AO19" s="1652"/>
      <c r="AP19" s="1652"/>
      <c r="AQ19" s="1652"/>
      <c r="AR19" s="1652"/>
    </row>
    <row r="20" spans="1:44">
      <c r="A20" s="1652"/>
      <c r="B20" s="2204">
        <f>SUM(B16:B19)</f>
        <v>0.1</v>
      </c>
      <c r="C20" s="1488"/>
      <c r="D20" s="2770"/>
      <c r="E20" s="1490"/>
      <c r="F20" s="1492"/>
      <c r="G20" s="1652"/>
      <c r="H20" s="1460" t="s">
        <v>2564</v>
      </c>
      <c r="I20" s="2205">
        <v>2</v>
      </c>
      <c r="J20" s="1470" t="s">
        <v>71</v>
      </c>
      <c r="K20" s="1460" t="s">
        <v>845</v>
      </c>
      <c r="L20" s="1467">
        <v>13.09</v>
      </c>
      <c r="M20" s="1467">
        <v>13.09</v>
      </c>
      <c r="N20" s="1461">
        <v>2.3236792207309365E-3</v>
      </c>
      <c r="O20" s="1460">
        <v>10</v>
      </c>
      <c r="P20" s="1463" t="s">
        <v>997</v>
      </c>
      <c r="Q20" s="1466"/>
      <c r="R20" s="1466">
        <v>300</v>
      </c>
      <c r="S20" s="1469"/>
      <c r="T20" s="1469"/>
      <c r="U20" s="1469">
        <f t="shared" si="2"/>
        <v>600</v>
      </c>
      <c r="V20" s="1469"/>
      <c r="W20" s="1459">
        <f t="shared" si="3"/>
        <v>0</v>
      </c>
      <c r="X20" s="1459">
        <f t="shared" si="4"/>
        <v>3927</v>
      </c>
      <c r="Y20" s="1459"/>
      <c r="Z20" s="1482">
        <v>40.799999999999997</v>
      </c>
      <c r="AA20" s="1456"/>
      <c r="AB20" s="1652"/>
      <c r="AC20" s="1652"/>
      <c r="AD20" s="1652"/>
      <c r="AE20" s="1652"/>
      <c r="AF20" s="1652"/>
      <c r="AG20" s="1652"/>
      <c r="AH20" s="1652"/>
      <c r="AI20" s="1652"/>
      <c r="AJ20" s="1652"/>
      <c r="AK20" s="1652"/>
      <c r="AL20" s="1652"/>
      <c r="AM20" s="1652"/>
      <c r="AN20" s="1652"/>
      <c r="AO20" s="1652"/>
      <c r="AP20" s="1652"/>
      <c r="AQ20" s="1652"/>
      <c r="AR20" s="1652"/>
    </row>
    <row r="21" spans="1:44">
      <c r="A21" s="1652"/>
      <c r="B21" s="1433" t="s">
        <v>296</v>
      </c>
      <c r="C21" s="1597" t="s">
        <v>44</v>
      </c>
      <c r="D21" s="2771">
        <f>SUM(D22:D25)</f>
        <v>0</v>
      </c>
      <c r="E21" s="1464">
        <f>SUM(E22:E25)</f>
        <v>0</v>
      </c>
      <c r="F21" s="1638">
        <f>D21+E21</f>
        <v>0</v>
      </c>
      <c r="G21" s="1652"/>
      <c r="H21" s="1460" t="s">
        <v>2565</v>
      </c>
      <c r="I21" s="2205">
        <v>0.67</v>
      </c>
      <c r="J21" s="1470" t="s">
        <v>71</v>
      </c>
      <c r="K21" s="1460" t="s">
        <v>845</v>
      </c>
      <c r="L21" s="1467">
        <v>0</v>
      </c>
      <c r="M21" s="1467">
        <v>0</v>
      </c>
      <c r="N21" s="1461">
        <v>5.189550259632425E-5</v>
      </c>
      <c r="O21" s="1460">
        <v>8</v>
      </c>
      <c r="P21" s="1463" t="s">
        <v>1426</v>
      </c>
      <c r="Q21" s="1466"/>
      <c r="R21" s="1466">
        <v>20</v>
      </c>
      <c r="S21" s="1469"/>
      <c r="T21" s="1469"/>
      <c r="U21" s="1469">
        <f t="shared" si="2"/>
        <v>13.4</v>
      </c>
      <c r="V21" s="1469"/>
      <c r="W21" s="1459">
        <f t="shared" si="3"/>
        <v>0</v>
      </c>
      <c r="X21" s="1459">
        <f t="shared" si="4"/>
        <v>0</v>
      </c>
      <c r="Y21" s="1459"/>
      <c r="Z21" s="1482">
        <v>0</v>
      </c>
      <c r="AA21" s="1456"/>
      <c r="AB21" s="1652"/>
      <c r="AC21" s="1652"/>
      <c r="AD21" s="1652"/>
      <c r="AE21" s="1652"/>
      <c r="AF21" s="1652"/>
      <c r="AG21" s="1652"/>
      <c r="AH21" s="1652"/>
      <c r="AI21" s="1652"/>
      <c r="AJ21" s="1652"/>
      <c r="AK21" s="1652"/>
      <c r="AL21" s="1652"/>
      <c r="AM21" s="1652"/>
      <c r="AN21" s="1652"/>
      <c r="AO21" s="1652"/>
      <c r="AP21" s="1652"/>
      <c r="AQ21" s="1652"/>
      <c r="AR21" s="1652"/>
    </row>
    <row r="22" spans="1:44">
      <c r="A22" s="1652"/>
      <c r="B22" s="1982">
        <f>(SUM(D22:E22)/2)/((80000+(80000*1.025))/2)</f>
        <v>0</v>
      </c>
      <c r="C22" s="1667"/>
      <c r="D22" s="2772"/>
      <c r="E22" s="1669"/>
      <c r="F22" s="1426">
        <f t="shared" si="1"/>
        <v>0</v>
      </c>
      <c r="G22" s="1652"/>
      <c r="H22" s="1460" t="s">
        <v>2566</v>
      </c>
      <c r="I22" s="2205">
        <v>0.25</v>
      </c>
      <c r="J22" s="1470" t="s">
        <v>71</v>
      </c>
      <c r="K22" s="1460" t="s">
        <v>845</v>
      </c>
      <c r="L22" s="1467">
        <v>0</v>
      </c>
      <c r="M22" s="1467">
        <v>0</v>
      </c>
      <c r="N22" s="1461">
        <v>1.9363993506091138E-5</v>
      </c>
      <c r="O22" s="1460">
        <v>8</v>
      </c>
      <c r="P22" s="1463" t="s">
        <v>1426</v>
      </c>
      <c r="Q22" s="1466"/>
      <c r="R22" s="1466">
        <v>20</v>
      </c>
      <c r="S22" s="1469"/>
      <c r="T22" s="1469"/>
      <c r="U22" s="1469">
        <f t="shared" si="2"/>
        <v>5</v>
      </c>
      <c r="V22" s="1469"/>
      <c r="W22" s="1459">
        <f t="shared" si="3"/>
        <v>0</v>
      </c>
      <c r="X22" s="1459">
        <f t="shared" si="4"/>
        <v>0</v>
      </c>
      <c r="Y22" s="1459"/>
      <c r="Z22" s="1482">
        <v>0</v>
      </c>
      <c r="AA22" s="1456"/>
      <c r="AB22" s="1652"/>
      <c r="AC22" s="1652"/>
      <c r="AD22" s="1652"/>
      <c r="AE22" s="1652"/>
      <c r="AF22" s="1652"/>
      <c r="AG22" s="1652"/>
      <c r="AH22" s="1652"/>
      <c r="AI22" s="1652"/>
      <c r="AJ22" s="1652"/>
      <c r="AK22" s="1652"/>
      <c r="AL22" s="1652"/>
      <c r="AM22" s="1652"/>
      <c r="AN22" s="1652"/>
      <c r="AO22" s="1652"/>
      <c r="AP22" s="1652"/>
      <c r="AQ22" s="1652"/>
      <c r="AR22" s="1652"/>
    </row>
    <row r="23" spans="1:44">
      <c r="A23" s="1652"/>
      <c r="B23" s="1982"/>
      <c r="C23" s="1667"/>
      <c r="D23" s="2773"/>
      <c r="E23" s="1444"/>
      <c r="F23" s="1661">
        <f t="shared" si="1"/>
        <v>0</v>
      </c>
      <c r="G23" s="1652"/>
      <c r="H23" s="1460" t="s">
        <v>2567</v>
      </c>
      <c r="I23" s="2205">
        <v>5.62</v>
      </c>
      <c r="J23" s="1470" t="s">
        <v>71</v>
      </c>
      <c r="K23" s="1460" t="s">
        <v>845</v>
      </c>
      <c r="L23" s="1467">
        <v>0</v>
      </c>
      <c r="M23" s="1467">
        <v>0</v>
      </c>
      <c r="N23" s="1461">
        <v>4.3530257401692876E-4</v>
      </c>
      <c r="O23" s="1460">
        <v>8</v>
      </c>
      <c r="P23" s="1463" t="s">
        <v>1426</v>
      </c>
      <c r="Q23" s="1466"/>
      <c r="R23" s="1466">
        <v>20</v>
      </c>
      <c r="S23" s="1469"/>
      <c r="T23" s="1469"/>
      <c r="U23" s="1469">
        <f t="shared" si="2"/>
        <v>112.4</v>
      </c>
      <c r="V23" s="1469"/>
      <c r="W23" s="1459">
        <f t="shared" si="3"/>
        <v>0</v>
      </c>
      <c r="X23" s="1459">
        <f t="shared" si="4"/>
        <v>0</v>
      </c>
      <c r="Y23" s="1459"/>
      <c r="Z23" s="1482">
        <v>0</v>
      </c>
      <c r="AA23" s="1456"/>
      <c r="AB23" s="1652"/>
      <c r="AC23" s="1652"/>
      <c r="AD23" s="1652"/>
      <c r="AE23" s="1652"/>
      <c r="AF23" s="1652"/>
      <c r="AG23" s="1652"/>
      <c r="AH23" s="1652"/>
      <c r="AI23" s="1652"/>
      <c r="AJ23" s="1652"/>
      <c r="AK23" s="1652"/>
      <c r="AL23" s="1652"/>
      <c r="AM23" s="1652"/>
      <c r="AN23" s="1652"/>
      <c r="AO23" s="1652"/>
      <c r="AP23" s="1652"/>
      <c r="AQ23" s="1652"/>
      <c r="AR23" s="1652"/>
    </row>
    <row r="24" spans="1:44">
      <c r="A24" s="1652"/>
      <c r="B24" s="1982"/>
      <c r="C24" s="1667"/>
      <c r="D24" s="2774"/>
      <c r="E24" s="1443"/>
      <c r="F24" s="1661">
        <f t="shared" si="1"/>
        <v>0</v>
      </c>
      <c r="G24" s="1652"/>
      <c r="H24" s="1460" t="s">
        <v>2568</v>
      </c>
      <c r="I24" s="2205">
        <v>0.22</v>
      </c>
      <c r="J24" s="1470" t="s">
        <v>71</v>
      </c>
      <c r="K24" s="1460" t="s">
        <v>845</v>
      </c>
      <c r="L24" s="1467">
        <v>0</v>
      </c>
      <c r="M24" s="1467">
        <v>0</v>
      </c>
      <c r="N24" s="1461">
        <v>1.7040314285360201E-5</v>
      </c>
      <c r="O24" s="1460">
        <v>8</v>
      </c>
      <c r="P24" s="1463" t="s">
        <v>1426</v>
      </c>
      <c r="Q24" s="1466"/>
      <c r="R24" s="1466">
        <v>20</v>
      </c>
      <c r="S24" s="1469"/>
      <c r="T24" s="1469"/>
      <c r="U24" s="1469">
        <f t="shared" si="2"/>
        <v>4.4000000000000004</v>
      </c>
      <c r="V24" s="1469"/>
      <c r="W24" s="1459">
        <f t="shared" si="3"/>
        <v>0</v>
      </c>
      <c r="X24" s="1459">
        <f t="shared" si="4"/>
        <v>0</v>
      </c>
      <c r="Y24" s="1459"/>
      <c r="Z24" s="1482">
        <v>0</v>
      </c>
      <c r="AA24" s="1456"/>
      <c r="AB24" s="1652"/>
      <c r="AC24" s="1652"/>
      <c r="AD24" s="1652"/>
      <c r="AE24" s="1652"/>
      <c r="AF24" s="1652"/>
      <c r="AG24" s="1652"/>
      <c r="AH24" s="1652"/>
      <c r="AI24" s="1652"/>
      <c r="AJ24" s="1652"/>
      <c r="AK24" s="1652"/>
      <c r="AL24" s="1652"/>
      <c r="AM24" s="1652"/>
      <c r="AN24" s="1652"/>
      <c r="AO24" s="1652"/>
      <c r="AP24" s="1652"/>
      <c r="AQ24" s="1652"/>
      <c r="AR24" s="1652"/>
    </row>
    <row r="25" spans="1:44">
      <c r="A25" s="1652"/>
      <c r="B25" s="1982"/>
      <c r="C25" s="1667"/>
      <c r="D25" s="2775"/>
      <c r="E25" s="1444"/>
      <c r="F25" s="1661">
        <f t="shared" si="1"/>
        <v>0</v>
      </c>
      <c r="G25" s="1652"/>
      <c r="H25" s="1460" t="s">
        <v>2569</v>
      </c>
      <c r="I25" s="2205">
        <v>6.2</v>
      </c>
      <c r="J25" s="1470" t="s">
        <v>71</v>
      </c>
      <c r="K25" s="1460" t="s">
        <v>845</v>
      </c>
      <c r="L25" s="1467">
        <v>0</v>
      </c>
      <c r="M25" s="1467">
        <v>0</v>
      </c>
      <c r="N25" s="1461">
        <v>4.8022703895106021E-4</v>
      </c>
      <c r="O25" s="1460">
        <v>4</v>
      </c>
      <c r="P25" s="1463" t="s">
        <v>1426</v>
      </c>
      <c r="Q25" s="1466"/>
      <c r="R25" s="1466">
        <v>20</v>
      </c>
      <c r="S25" s="1469"/>
      <c r="T25" s="1469"/>
      <c r="U25" s="1469">
        <f t="shared" si="2"/>
        <v>124</v>
      </c>
      <c r="V25" s="1469"/>
      <c r="W25" s="1459">
        <f t="shared" si="3"/>
        <v>0</v>
      </c>
      <c r="X25" s="1459">
        <f t="shared" si="4"/>
        <v>0</v>
      </c>
      <c r="Y25" s="1459"/>
      <c r="Z25" s="1482">
        <v>0</v>
      </c>
      <c r="AA25" s="1456"/>
      <c r="AB25" s="1652"/>
      <c r="AC25" s="1652"/>
      <c r="AD25" s="1652"/>
      <c r="AE25" s="1652"/>
      <c r="AF25" s="1652"/>
      <c r="AG25" s="1652"/>
      <c r="AH25" s="1652"/>
      <c r="AI25" s="1652"/>
      <c r="AJ25" s="1652"/>
      <c r="AK25" s="1652"/>
      <c r="AL25" s="1652"/>
      <c r="AM25" s="1652"/>
      <c r="AN25" s="1652"/>
      <c r="AO25" s="1652"/>
      <c r="AP25" s="1652"/>
      <c r="AQ25" s="1652"/>
      <c r="AR25" s="1652"/>
    </row>
    <row r="26" spans="1:44">
      <c r="A26" s="1652"/>
      <c r="B26" s="2204">
        <f>SUM(B22:B25)</f>
        <v>0</v>
      </c>
      <c r="C26" s="1424"/>
      <c r="D26" s="2776"/>
      <c r="E26" s="1431"/>
      <c r="F26" s="1439"/>
      <c r="G26" s="1652"/>
      <c r="H26" s="1460" t="s">
        <v>2570</v>
      </c>
      <c r="I26" s="2205">
        <v>13.9</v>
      </c>
      <c r="J26" s="1470" t="s">
        <v>71</v>
      </c>
      <c r="K26" s="1460" t="s">
        <v>845</v>
      </c>
      <c r="L26" s="1467">
        <v>0</v>
      </c>
      <c r="M26" s="1467">
        <v>0</v>
      </c>
      <c r="N26" s="1461">
        <v>1.0766380389386672E-3</v>
      </c>
      <c r="O26" s="1460">
        <v>4</v>
      </c>
      <c r="P26" s="1463" t="s">
        <v>1426</v>
      </c>
      <c r="Q26" s="1466"/>
      <c r="R26" s="1466">
        <v>20</v>
      </c>
      <c r="S26" s="1469"/>
      <c r="T26" s="1469"/>
      <c r="U26" s="1469">
        <f t="shared" si="2"/>
        <v>278</v>
      </c>
      <c r="V26" s="1469"/>
      <c r="W26" s="1459">
        <f t="shared" si="3"/>
        <v>0</v>
      </c>
      <c r="X26" s="1459">
        <f t="shared" si="4"/>
        <v>0</v>
      </c>
      <c r="Y26" s="1459">
        <f t="shared" ref="Y26:Y65" si="5">SUM(W26:X26)</f>
        <v>0</v>
      </c>
      <c r="Z26" s="1482">
        <v>0</v>
      </c>
      <c r="AA26" s="1456"/>
      <c r="AB26" s="1652"/>
      <c r="AC26" s="1652"/>
      <c r="AD26" s="1652"/>
      <c r="AE26" s="1652"/>
      <c r="AF26" s="1652"/>
      <c r="AG26" s="1652"/>
      <c r="AH26" s="1652"/>
      <c r="AI26" s="1652"/>
      <c r="AJ26" s="1652"/>
      <c r="AK26" s="1652"/>
      <c r="AL26" s="1652"/>
      <c r="AM26" s="1652"/>
      <c r="AN26" s="1652"/>
      <c r="AO26" s="1652"/>
      <c r="AP26" s="1652"/>
      <c r="AQ26" s="1652"/>
      <c r="AR26" s="1652"/>
    </row>
    <row r="27" spans="1:44">
      <c r="A27" s="1652"/>
      <c r="B27" s="1652"/>
      <c r="C27" s="1597" t="s">
        <v>1737</v>
      </c>
      <c r="D27" s="2771">
        <f>SUM(D29:D35)</f>
        <v>6045.2211000000007</v>
      </c>
      <c r="E27" s="1657">
        <f>SUM(E29:E31)+SUM(E33:E35)</f>
        <v>8342.3302000000003</v>
      </c>
      <c r="F27" s="1638">
        <f>D27+E27</f>
        <v>14387.551300000001</v>
      </c>
      <c r="G27" s="1652"/>
      <c r="H27" s="1460" t="s">
        <v>2571</v>
      </c>
      <c r="I27" s="2205">
        <v>11.4</v>
      </c>
      <c r="J27" s="1470" t="s">
        <v>71</v>
      </c>
      <c r="K27" s="1460" t="s">
        <v>845</v>
      </c>
      <c r="L27" s="1467">
        <v>0</v>
      </c>
      <c r="M27" s="1467">
        <v>0</v>
      </c>
      <c r="N27" s="1461">
        <v>8.8299810387775586E-4</v>
      </c>
      <c r="O27" s="1460">
        <v>4</v>
      </c>
      <c r="P27" s="1463" t="s">
        <v>1426</v>
      </c>
      <c r="Q27" s="1466"/>
      <c r="R27" s="1466">
        <v>20</v>
      </c>
      <c r="S27" s="1469"/>
      <c r="T27" s="1469"/>
      <c r="U27" s="1469">
        <f t="shared" si="2"/>
        <v>228</v>
      </c>
      <c r="V27" s="1469"/>
      <c r="W27" s="1459">
        <f t="shared" si="3"/>
        <v>0</v>
      </c>
      <c r="X27" s="1459">
        <f t="shared" si="4"/>
        <v>0</v>
      </c>
      <c r="Y27" s="1459">
        <f t="shared" si="5"/>
        <v>0</v>
      </c>
      <c r="Z27" s="1482">
        <v>0</v>
      </c>
      <c r="AA27" s="1456"/>
      <c r="AB27" s="1652"/>
      <c r="AC27" s="1652"/>
      <c r="AD27" s="1652"/>
      <c r="AE27" s="1652"/>
      <c r="AF27" s="1652"/>
      <c r="AG27" s="1652"/>
      <c r="AH27" s="1652"/>
      <c r="AI27" s="1652"/>
      <c r="AJ27" s="1652"/>
      <c r="AK27" s="1652"/>
      <c r="AL27" s="1652"/>
      <c r="AM27" s="1652"/>
      <c r="AN27" s="1652"/>
      <c r="AO27" s="1652"/>
      <c r="AP27" s="1652"/>
      <c r="AQ27" s="1652"/>
      <c r="AR27" s="1652"/>
    </row>
    <row r="28" spans="1:44">
      <c r="A28" s="1652"/>
      <c r="B28" s="1652"/>
      <c r="C28" s="1450" t="s">
        <v>1733</v>
      </c>
      <c r="D28" s="2777">
        <v>0.66700000000000004</v>
      </c>
      <c r="E28" s="1452">
        <v>0.68799999999999994</v>
      </c>
      <c r="F28" s="1485"/>
      <c r="G28" s="1652"/>
      <c r="H28" s="1460" t="s">
        <v>2572</v>
      </c>
      <c r="I28" s="2205">
        <v>8.9</v>
      </c>
      <c r="J28" s="1470" t="s">
        <v>71</v>
      </c>
      <c r="K28" s="1460" t="s">
        <v>845</v>
      </c>
      <c r="L28" s="1467">
        <v>0</v>
      </c>
      <c r="M28" s="1467">
        <v>0</v>
      </c>
      <c r="N28" s="1461">
        <v>6.8935816881684445E-4</v>
      </c>
      <c r="O28" s="1460">
        <v>4</v>
      </c>
      <c r="P28" s="1463" t="s">
        <v>1426</v>
      </c>
      <c r="Q28" s="1466"/>
      <c r="R28" s="1466">
        <v>20</v>
      </c>
      <c r="S28" s="1469"/>
      <c r="T28" s="1469"/>
      <c r="U28" s="1469">
        <f t="shared" si="2"/>
        <v>178</v>
      </c>
      <c r="V28" s="1469"/>
      <c r="W28" s="1459">
        <f t="shared" si="3"/>
        <v>0</v>
      </c>
      <c r="X28" s="1459">
        <f t="shared" si="4"/>
        <v>0</v>
      </c>
      <c r="Y28" s="1459">
        <f t="shared" si="5"/>
        <v>0</v>
      </c>
      <c r="Z28" s="1482">
        <v>0</v>
      </c>
      <c r="AA28" s="1456"/>
      <c r="AB28" s="1652"/>
      <c r="AC28" s="1652"/>
      <c r="AD28" s="1652"/>
      <c r="AE28" s="1652"/>
      <c r="AF28" s="1652"/>
      <c r="AG28" s="1652"/>
      <c r="AH28" s="1652"/>
      <c r="AI28" s="1652"/>
      <c r="AJ28" s="1652"/>
      <c r="AK28" s="1652"/>
      <c r="AL28" s="1652"/>
      <c r="AM28" s="1652"/>
      <c r="AN28" s="1652"/>
      <c r="AO28" s="1652"/>
      <c r="AP28" s="1652"/>
      <c r="AQ28" s="1652"/>
      <c r="AR28" s="1652"/>
    </row>
    <row r="29" spans="1:44">
      <c r="A29" s="1652"/>
      <c r="B29" s="1652"/>
      <c r="C29" s="1667" t="s">
        <v>719</v>
      </c>
      <c r="D29" s="2778">
        <v>6045.2211000000007</v>
      </c>
      <c r="E29" s="1641">
        <f>E15*E28</f>
        <v>6391.4511999999995</v>
      </c>
      <c r="F29" s="1661">
        <f t="shared" si="1"/>
        <v>12436.6723</v>
      </c>
      <c r="G29" s="1652"/>
      <c r="H29" s="1460" t="s">
        <v>2573</v>
      </c>
      <c r="I29" s="2205">
        <v>3.9</v>
      </c>
      <c r="J29" s="1470" t="s">
        <v>71</v>
      </c>
      <c r="K29" s="1460" t="s">
        <v>845</v>
      </c>
      <c r="L29" s="1467">
        <v>0</v>
      </c>
      <c r="M29" s="1467">
        <v>0</v>
      </c>
      <c r="N29" s="1461">
        <v>3.0207829869502174E-4</v>
      </c>
      <c r="O29" s="1460">
        <v>5</v>
      </c>
      <c r="P29" s="1463" t="s">
        <v>1426</v>
      </c>
      <c r="Q29" s="1466"/>
      <c r="R29" s="1466">
        <v>20</v>
      </c>
      <c r="S29" s="1469"/>
      <c r="T29" s="1469"/>
      <c r="U29" s="1469">
        <f t="shared" si="2"/>
        <v>78</v>
      </c>
      <c r="V29" s="1469"/>
      <c r="W29" s="1459">
        <f t="shared" si="3"/>
        <v>0</v>
      </c>
      <c r="X29" s="1459">
        <f t="shared" si="4"/>
        <v>0</v>
      </c>
      <c r="Y29" s="1459">
        <f t="shared" si="5"/>
        <v>0</v>
      </c>
      <c r="Z29" s="1482">
        <v>0</v>
      </c>
      <c r="AA29" s="1456"/>
      <c r="AB29" s="1652"/>
      <c r="AC29" s="1652"/>
      <c r="AD29" s="1652"/>
      <c r="AE29" s="1652"/>
      <c r="AF29" s="1652"/>
      <c r="AG29" s="1652"/>
      <c r="AH29" s="1652"/>
      <c r="AI29" s="1652"/>
      <c r="AJ29" s="1652"/>
      <c r="AK29" s="1652"/>
      <c r="AL29" s="1652"/>
      <c r="AM29" s="1652"/>
      <c r="AN29" s="1652"/>
      <c r="AO29" s="1652"/>
      <c r="AP29" s="1652"/>
      <c r="AQ29" s="1652"/>
      <c r="AR29" s="1652"/>
    </row>
    <row r="30" spans="1:44">
      <c r="A30" s="1652"/>
      <c r="B30" s="1652"/>
      <c r="C30" s="1667" t="s">
        <v>720</v>
      </c>
      <c r="D30" s="2785">
        <v>0</v>
      </c>
      <c r="E30" s="1641">
        <f>E21*E28</f>
        <v>0</v>
      </c>
      <c r="F30" s="1661">
        <f t="shared" si="1"/>
        <v>0</v>
      </c>
      <c r="G30" s="1652"/>
      <c r="H30" s="1460" t="s">
        <v>2574</v>
      </c>
      <c r="I30" s="2205">
        <v>3.9</v>
      </c>
      <c r="J30" s="1470" t="s">
        <v>71</v>
      </c>
      <c r="K30" s="1460" t="s">
        <v>845</v>
      </c>
      <c r="L30" s="1467">
        <v>0</v>
      </c>
      <c r="M30" s="1467">
        <v>0</v>
      </c>
      <c r="N30" s="1461">
        <v>3.0207829869502174E-4</v>
      </c>
      <c r="O30" s="1460">
        <v>5</v>
      </c>
      <c r="P30" s="1463" t="s">
        <v>1426</v>
      </c>
      <c r="Q30" s="1466"/>
      <c r="R30" s="1466">
        <v>20</v>
      </c>
      <c r="S30" s="1469"/>
      <c r="T30" s="1469"/>
      <c r="U30" s="1469">
        <f t="shared" si="2"/>
        <v>78</v>
      </c>
      <c r="V30" s="1469"/>
      <c r="W30" s="1459">
        <f t="shared" si="3"/>
        <v>0</v>
      </c>
      <c r="X30" s="1459">
        <f t="shared" si="4"/>
        <v>0</v>
      </c>
      <c r="Y30" s="1459">
        <f t="shared" si="5"/>
        <v>0</v>
      </c>
      <c r="Z30" s="1482">
        <v>0</v>
      </c>
      <c r="AA30" s="1456"/>
      <c r="AB30" s="1652"/>
      <c r="AC30" s="1652"/>
      <c r="AD30" s="1652"/>
      <c r="AE30" s="1652"/>
      <c r="AF30" s="1652"/>
      <c r="AG30" s="1652"/>
      <c r="AH30" s="1652"/>
      <c r="AI30" s="1652"/>
      <c r="AJ30" s="1652"/>
      <c r="AK30" s="1652"/>
      <c r="AL30" s="1652"/>
      <c r="AM30" s="1652"/>
      <c r="AN30" s="1652"/>
      <c r="AO30" s="1652"/>
      <c r="AP30" s="1652"/>
      <c r="AQ30" s="1652"/>
      <c r="AR30" s="1652"/>
    </row>
    <row r="31" spans="1:44">
      <c r="A31" s="1652"/>
      <c r="B31" s="1652"/>
      <c r="C31" s="1667"/>
      <c r="D31" s="2774"/>
      <c r="E31" s="1443"/>
      <c r="F31" s="1436"/>
      <c r="G31" s="1652"/>
      <c r="H31" s="1460" t="s">
        <v>2575</v>
      </c>
      <c r="I31" s="2205">
        <v>5.2</v>
      </c>
      <c r="J31" s="1470" t="s">
        <v>71</v>
      </c>
      <c r="K31" s="1460" t="s">
        <v>845</v>
      </c>
      <c r="L31" s="1467">
        <v>0</v>
      </c>
      <c r="M31" s="1467">
        <v>0</v>
      </c>
      <c r="N31" s="1461">
        <v>4.0277106492669565E-4</v>
      </c>
      <c r="O31" s="1460">
        <v>5</v>
      </c>
      <c r="P31" s="1463" t="s">
        <v>1426</v>
      </c>
      <c r="Q31" s="1466"/>
      <c r="R31" s="1466">
        <v>20</v>
      </c>
      <c r="S31" s="1469"/>
      <c r="T31" s="1469"/>
      <c r="U31" s="1469">
        <f t="shared" si="2"/>
        <v>104</v>
      </c>
      <c r="V31" s="1469"/>
      <c r="W31" s="1459">
        <f t="shared" si="3"/>
        <v>0</v>
      </c>
      <c r="X31" s="1459">
        <f t="shared" si="4"/>
        <v>0</v>
      </c>
      <c r="Y31" s="1459">
        <f t="shared" si="5"/>
        <v>0</v>
      </c>
      <c r="Z31" s="1482">
        <v>0</v>
      </c>
      <c r="AA31" s="1456"/>
      <c r="AB31" s="1652"/>
      <c r="AC31" s="1652"/>
      <c r="AD31" s="1652"/>
      <c r="AE31" s="1652"/>
      <c r="AF31" s="1652"/>
      <c r="AG31" s="1652"/>
      <c r="AH31" s="1652"/>
      <c r="AI31" s="1652"/>
      <c r="AJ31" s="1652"/>
      <c r="AK31" s="1652"/>
      <c r="AL31" s="1652"/>
      <c r="AM31" s="1652"/>
      <c r="AN31" s="1652"/>
      <c r="AO31" s="1652"/>
      <c r="AP31" s="1652"/>
      <c r="AQ31" s="1652"/>
      <c r="AR31" s="1652"/>
    </row>
    <row r="32" spans="1:44">
      <c r="A32" s="1652"/>
      <c r="B32" s="1652"/>
      <c r="C32" s="1450" t="s">
        <v>1734</v>
      </c>
      <c r="D32" s="2777"/>
      <c r="E32" s="1452">
        <v>0.21</v>
      </c>
      <c r="F32" s="1485"/>
      <c r="G32" s="1652"/>
      <c r="H32" s="1460" t="s">
        <v>2576</v>
      </c>
      <c r="I32" s="2205">
        <v>10</v>
      </c>
      <c r="J32" s="1470" t="s">
        <v>71</v>
      </c>
      <c r="K32" s="1460" t="s">
        <v>845</v>
      </c>
      <c r="L32" s="1467">
        <v>28.7</v>
      </c>
      <c r="M32" s="1467">
        <v>28.7</v>
      </c>
      <c r="N32" s="1461">
        <v>1.9363993506091137E-2</v>
      </c>
      <c r="O32" s="1460">
        <v>10</v>
      </c>
      <c r="P32" s="1463" t="s">
        <v>997</v>
      </c>
      <c r="Q32" s="1466"/>
      <c r="R32" s="1466">
        <v>500</v>
      </c>
      <c r="S32" s="1469"/>
      <c r="T32" s="1469"/>
      <c r="U32" s="1469">
        <f t="shared" si="2"/>
        <v>5000</v>
      </c>
      <c r="V32" s="1469"/>
      <c r="W32" s="1459">
        <f t="shared" si="3"/>
        <v>0</v>
      </c>
      <c r="X32" s="1459">
        <f t="shared" si="4"/>
        <v>14350</v>
      </c>
      <c r="Y32" s="1459">
        <f t="shared" si="5"/>
        <v>14350</v>
      </c>
      <c r="Z32" s="1482">
        <v>0</v>
      </c>
      <c r="AA32" s="1456"/>
      <c r="AB32" s="1652"/>
      <c r="AC32" s="1652"/>
      <c r="AD32" s="1652"/>
      <c r="AE32" s="1652"/>
      <c r="AF32" s="1652"/>
      <c r="AG32" s="1652"/>
      <c r="AH32" s="1652"/>
      <c r="AI32" s="1652"/>
      <c r="AJ32" s="1652"/>
      <c r="AK32" s="1652"/>
      <c r="AL32" s="1652"/>
      <c r="AM32" s="1652"/>
      <c r="AN32" s="1652"/>
      <c r="AO32" s="1652"/>
      <c r="AP32" s="1652"/>
      <c r="AQ32" s="1652"/>
      <c r="AR32" s="1652"/>
    </row>
    <row r="33" spans="1:44">
      <c r="A33" s="1652"/>
      <c r="B33" s="1652"/>
      <c r="C33" s="1667" t="s">
        <v>719</v>
      </c>
      <c r="D33" s="2778"/>
      <c r="E33" s="1641">
        <f>E15*E32</f>
        <v>1950.8789999999999</v>
      </c>
      <c r="F33" s="1661">
        <f>SUM(D33:E33)</f>
        <v>1950.8789999999999</v>
      </c>
      <c r="G33" s="1652"/>
      <c r="H33" s="1460" t="s">
        <v>2577</v>
      </c>
      <c r="I33" s="2205">
        <v>10</v>
      </c>
      <c r="J33" s="1470" t="s">
        <v>71</v>
      </c>
      <c r="K33" s="1460" t="s">
        <v>845</v>
      </c>
      <c r="L33" s="1467">
        <v>28.7</v>
      </c>
      <c r="M33" s="1467">
        <v>28.7</v>
      </c>
      <c r="N33" s="1461">
        <v>1.9363993506091137E-2</v>
      </c>
      <c r="O33" s="1460">
        <v>10</v>
      </c>
      <c r="P33" s="1463" t="s">
        <v>997</v>
      </c>
      <c r="Q33" s="1466"/>
      <c r="R33" s="1466">
        <v>500</v>
      </c>
      <c r="S33" s="1469"/>
      <c r="T33" s="1469"/>
      <c r="U33" s="1469">
        <f t="shared" si="2"/>
        <v>5000</v>
      </c>
      <c r="V33" s="1469"/>
      <c r="W33" s="1459">
        <f t="shared" si="3"/>
        <v>0</v>
      </c>
      <c r="X33" s="1459">
        <f t="shared" si="4"/>
        <v>14350</v>
      </c>
      <c r="Y33" s="1459">
        <f t="shared" si="5"/>
        <v>14350</v>
      </c>
      <c r="Z33" s="1482">
        <v>0</v>
      </c>
      <c r="AA33" s="1456"/>
      <c r="AB33" s="1652"/>
      <c r="AC33" s="1652"/>
      <c r="AD33" s="1652"/>
      <c r="AE33" s="1652"/>
      <c r="AF33" s="1652"/>
      <c r="AG33" s="1652"/>
      <c r="AH33" s="1652"/>
      <c r="AI33" s="1652"/>
      <c r="AJ33" s="1652"/>
      <c r="AK33" s="1652"/>
      <c r="AL33" s="1652"/>
      <c r="AM33" s="1652"/>
      <c r="AN33" s="1652"/>
      <c r="AO33" s="1652"/>
      <c r="AP33" s="1652"/>
      <c r="AQ33" s="1652"/>
      <c r="AR33" s="1652"/>
    </row>
    <row r="34" spans="1:44">
      <c r="A34" s="1361" t="s">
        <v>1397</v>
      </c>
      <c r="B34" s="1652"/>
      <c r="C34" s="1667" t="s">
        <v>720</v>
      </c>
      <c r="D34" s="2785"/>
      <c r="E34" s="1641">
        <f>E21*E32</f>
        <v>0</v>
      </c>
      <c r="F34" s="1661">
        <f t="shared" ref="F34" si="6">SUM(D34:E34)</f>
        <v>0</v>
      </c>
      <c r="G34" s="1652"/>
      <c r="H34" s="1460" t="s">
        <v>2578</v>
      </c>
      <c r="I34" s="2205">
        <v>183</v>
      </c>
      <c r="J34" s="1470" t="s">
        <v>71</v>
      </c>
      <c r="K34" s="1460" t="s">
        <v>845</v>
      </c>
      <c r="L34" s="1467">
        <v>28.7</v>
      </c>
      <c r="M34" s="1467">
        <v>28.7</v>
      </c>
      <c r="N34" s="1461">
        <v>0.35436108116146781</v>
      </c>
      <c r="O34" s="1460">
        <v>10</v>
      </c>
      <c r="P34" s="1463" t="s">
        <v>997</v>
      </c>
      <c r="Q34" s="1466"/>
      <c r="R34" s="1466">
        <v>500</v>
      </c>
      <c r="S34" s="1469"/>
      <c r="T34" s="1469"/>
      <c r="U34" s="1469">
        <f t="shared" si="2"/>
        <v>91500</v>
      </c>
      <c r="V34" s="1469"/>
      <c r="W34" s="1459">
        <f t="shared" si="3"/>
        <v>0</v>
      </c>
      <c r="X34" s="1459">
        <f t="shared" si="4"/>
        <v>14350</v>
      </c>
      <c r="Y34" s="1459">
        <f t="shared" si="5"/>
        <v>14350</v>
      </c>
      <c r="Z34" s="1482">
        <v>0</v>
      </c>
      <c r="AA34" s="1456"/>
      <c r="AB34" s="1652"/>
      <c r="AC34" s="1652"/>
      <c r="AD34" s="1652"/>
      <c r="AE34" s="1652"/>
      <c r="AF34" s="1652"/>
      <c r="AG34" s="1652"/>
      <c r="AH34" s="1652"/>
      <c r="AI34" s="1652"/>
      <c r="AJ34" s="1652"/>
      <c r="AK34" s="1652"/>
      <c r="AL34" s="1652"/>
      <c r="AM34" s="1652"/>
      <c r="AN34" s="1652"/>
      <c r="AO34" s="1652"/>
      <c r="AP34" s="1652"/>
      <c r="AQ34" s="1652"/>
      <c r="AR34" s="1652"/>
    </row>
    <row r="35" spans="1:44">
      <c r="A35" s="2221" t="s">
        <v>262</v>
      </c>
      <c r="B35" s="1652"/>
      <c r="C35" s="1445"/>
      <c r="D35" s="2775"/>
      <c r="E35" s="1444"/>
      <c r="F35" s="1437"/>
      <c r="G35" s="1652"/>
      <c r="H35" s="1460" t="s">
        <v>2579</v>
      </c>
      <c r="I35" s="2205">
        <v>183</v>
      </c>
      <c r="J35" s="1470" t="s">
        <v>71</v>
      </c>
      <c r="K35" s="1460" t="s">
        <v>845</v>
      </c>
      <c r="L35" s="1467">
        <v>28.7</v>
      </c>
      <c r="M35" s="1467">
        <v>28.7</v>
      </c>
      <c r="N35" s="1461">
        <v>0.35436108116146781</v>
      </c>
      <c r="O35" s="1460">
        <v>10</v>
      </c>
      <c r="P35" s="1463" t="s">
        <v>997</v>
      </c>
      <c r="Q35" s="1466"/>
      <c r="R35" s="1466">
        <v>500</v>
      </c>
      <c r="S35" s="1469"/>
      <c r="T35" s="1469"/>
      <c r="U35" s="1469">
        <f t="shared" si="2"/>
        <v>91500</v>
      </c>
      <c r="V35" s="1469"/>
      <c r="W35" s="1459">
        <f t="shared" si="3"/>
        <v>0</v>
      </c>
      <c r="X35" s="1459">
        <f t="shared" si="4"/>
        <v>14350</v>
      </c>
      <c r="Y35" s="1459">
        <f t="shared" si="5"/>
        <v>14350</v>
      </c>
      <c r="Z35" s="1482">
        <v>0</v>
      </c>
      <c r="AA35" s="1456"/>
      <c r="AB35" s="1652"/>
      <c r="AC35" s="1652"/>
      <c r="AD35" s="1652"/>
      <c r="AE35" s="1652"/>
      <c r="AF35" s="1652"/>
      <c r="AG35" s="1652"/>
      <c r="AH35" s="1652"/>
      <c r="AI35" s="1652"/>
      <c r="AJ35" s="1652"/>
      <c r="AK35" s="1652"/>
      <c r="AL35" s="1652"/>
      <c r="AM35" s="1652"/>
      <c r="AN35" s="1652"/>
      <c r="AO35" s="1652"/>
      <c r="AP35" s="1652"/>
      <c r="AQ35" s="1652"/>
      <c r="AR35" s="1652"/>
    </row>
    <row r="36" spans="1:44">
      <c r="A36" s="2221" t="s">
        <v>5</v>
      </c>
      <c r="B36" s="1652"/>
      <c r="C36" s="1488"/>
      <c r="D36" s="2779"/>
      <c r="E36" s="1490"/>
      <c r="F36" s="1493"/>
      <c r="G36" s="1652"/>
      <c r="H36" s="1460" t="s">
        <v>2580</v>
      </c>
      <c r="I36" s="2205">
        <v>35.200000000000003</v>
      </c>
      <c r="J36" s="1470" t="s">
        <v>71</v>
      </c>
      <c r="K36" s="1460" t="s">
        <v>845</v>
      </c>
      <c r="L36" s="1467">
        <v>76.3</v>
      </c>
      <c r="M36" s="1467">
        <v>76.3</v>
      </c>
      <c r="N36" s="1461">
        <v>1.3632251428288162E-2</v>
      </c>
      <c r="O36" s="1460">
        <v>4</v>
      </c>
      <c r="P36" s="1463" t="s">
        <v>997</v>
      </c>
      <c r="Q36" s="1466"/>
      <c r="R36" s="1466">
        <v>100</v>
      </c>
      <c r="S36" s="1469"/>
      <c r="T36" s="1469"/>
      <c r="U36" s="1469">
        <f t="shared" si="2"/>
        <v>3520.0000000000005</v>
      </c>
      <c r="V36" s="1469"/>
      <c r="W36" s="1459">
        <f t="shared" si="3"/>
        <v>0</v>
      </c>
      <c r="X36" s="1459">
        <f t="shared" si="4"/>
        <v>7630</v>
      </c>
      <c r="Y36" s="1459">
        <f t="shared" si="5"/>
        <v>7630</v>
      </c>
      <c r="Z36" s="1482">
        <v>198.99</v>
      </c>
      <c r="AA36" s="1456"/>
      <c r="AB36" s="1652"/>
      <c r="AC36" s="1652"/>
      <c r="AD36" s="1652"/>
      <c r="AE36" s="1652"/>
      <c r="AF36" s="1652"/>
      <c r="AG36" s="1652"/>
      <c r="AH36" s="1652"/>
      <c r="AI36" s="1652"/>
      <c r="AJ36" s="1652"/>
      <c r="AK36" s="1652"/>
      <c r="AL36" s="1652"/>
      <c r="AM36" s="1652"/>
      <c r="AN36" s="1652"/>
      <c r="AO36" s="1652"/>
      <c r="AP36" s="1652"/>
      <c r="AQ36" s="1652"/>
      <c r="AR36" s="1652"/>
    </row>
    <row r="37" spans="1:44">
      <c r="A37" s="1361">
        <v>18230250</v>
      </c>
      <c r="B37" s="1652"/>
      <c r="C37" s="1597" t="s">
        <v>46</v>
      </c>
      <c r="D37" s="2771">
        <f>SUM(D38:D41)</f>
        <v>10000</v>
      </c>
      <c r="E37" s="1464">
        <f>SUM(E38:E41)</f>
        <v>10000</v>
      </c>
      <c r="F37" s="1638">
        <f>D37+E37</f>
        <v>20000</v>
      </c>
      <c r="G37" s="1652"/>
      <c r="H37" s="1460" t="s">
        <v>2581</v>
      </c>
      <c r="I37" s="2205">
        <v>55</v>
      </c>
      <c r="J37" s="1470" t="s">
        <v>71</v>
      </c>
      <c r="K37" s="1460" t="s">
        <v>845</v>
      </c>
      <c r="L37" s="1467">
        <v>76.3</v>
      </c>
      <c r="M37" s="1467">
        <v>76.3</v>
      </c>
      <c r="N37" s="1461">
        <v>2.130039285670025E-2</v>
      </c>
      <c r="O37" s="1460">
        <v>4</v>
      </c>
      <c r="P37" s="1463" t="s">
        <v>997</v>
      </c>
      <c r="Q37" s="1466"/>
      <c r="R37" s="1466">
        <v>100</v>
      </c>
      <c r="S37" s="1469"/>
      <c r="T37" s="1469"/>
      <c r="U37" s="1469">
        <f t="shared" si="2"/>
        <v>5500</v>
      </c>
      <c r="V37" s="1469"/>
      <c r="W37" s="1459">
        <f t="shared" si="3"/>
        <v>0</v>
      </c>
      <c r="X37" s="1459">
        <f t="shared" si="4"/>
        <v>7630</v>
      </c>
      <c r="Y37" s="1459">
        <f t="shared" si="5"/>
        <v>7630</v>
      </c>
      <c r="Z37" s="1482">
        <v>397.98</v>
      </c>
      <c r="AA37" s="1456"/>
      <c r="AB37" s="1652"/>
      <c r="AC37" s="1652"/>
      <c r="AD37" s="1652"/>
      <c r="AE37" s="1652"/>
      <c r="AF37" s="1652"/>
      <c r="AG37" s="1652"/>
      <c r="AH37" s="1652"/>
      <c r="AI37" s="1652"/>
      <c r="AJ37" s="1652"/>
      <c r="AK37" s="1652"/>
      <c r="AL37" s="1652"/>
      <c r="AM37" s="1652"/>
      <c r="AN37" s="1652"/>
      <c r="AO37" s="1652"/>
      <c r="AP37" s="1652"/>
      <c r="AQ37" s="1652"/>
      <c r="AR37" s="1652"/>
    </row>
    <row r="38" spans="1:44">
      <c r="A38" s="2221" t="s">
        <v>28</v>
      </c>
      <c r="B38" s="1652"/>
      <c r="C38" s="1667"/>
      <c r="D38" s="2778">
        <v>10000</v>
      </c>
      <c r="E38" s="1672">
        <v>10000</v>
      </c>
      <c r="F38" s="1661">
        <f t="shared" ref="F38:F47" si="7">SUM(D38:E38)</f>
        <v>20000</v>
      </c>
      <c r="G38" s="1652"/>
      <c r="H38" s="1460" t="s">
        <v>2582</v>
      </c>
      <c r="I38" s="2205">
        <v>90.7</v>
      </c>
      <c r="J38" s="1470" t="s">
        <v>71</v>
      </c>
      <c r="K38" s="1460" t="s">
        <v>845</v>
      </c>
      <c r="L38" s="1467">
        <v>76.3</v>
      </c>
      <c r="M38" s="1467">
        <v>76.3</v>
      </c>
      <c r="N38" s="1461">
        <v>3.512628422004932E-2</v>
      </c>
      <c r="O38" s="1460">
        <v>4</v>
      </c>
      <c r="P38" s="1463" t="s">
        <v>997</v>
      </c>
      <c r="Q38" s="1466"/>
      <c r="R38" s="1466">
        <v>100</v>
      </c>
      <c r="S38" s="1469"/>
      <c r="T38" s="1469"/>
      <c r="U38" s="1469">
        <f t="shared" si="2"/>
        <v>9070</v>
      </c>
      <c r="V38" s="1469"/>
      <c r="W38" s="1459">
        <f t="shared" si="3"/>
        <v>0</v>
      </c>
      <c r="X38" s="1459">
        <f t="shared" si="4"/>
        <v>7630</v>
      </c>
      <c r="Y38" s="1459">
        <f t="shared" si="5"/>
        <v>7630</v>
      </c>
      <c r="Z38" s="1482">
        <v>634.52</v>
      </c>
      <c r="AA38" s="1456"/>
      <c r="AB38" s="1652"/>
      <c r="AC38" s="1652"/>
      <c r="AD38" s="1652"/>
      <c r="AE38" s="1652"/>
      <c r="AF38" s="1652"/>
      <c r="AG38" s="1652"/>
      <c r="AH38" s="1652"/>
      <c r="AI38" s="1652"/>
      <c r="AJ38" s="1652"/>
      <c r="AK38" s="1652"/>
      <c r="AL38" s="1652"/>
      <c r="AM38" s="1652"/>
      <c r="AN38" s="1652"/>
      <c r="AO38" s="1652"/>
      <c r="AP38" s="1652"/>
      <c r="AQ38" s="1652"/>
      <c r="AR38" s="1652"/>
    </row>
    <row r="39" spans="1:44">
      <c r="A39" s="1663"/>
      <c r="B39" s="1652"/>
      <c r="C39" s="1667"/>
      <c r="D39" s="2778"/>
      <c r="E39" s="1672"/>
      <c r="F39" s="1661">
        <f t="shared" si="7"/>
        <v>0</v>
      </c>
      <c r="G39" s="1652"/>
      <c r="H39" s="1460" t="s">
        <v>2583</v>
      </c>
      <c r="I39" s="2205">
        <v>50</v>
      </c>
      <c r="J39" s="1470" t="s">
        <v>71</v>
      </c>
      <c r="K39" s="1460" t="s">
        <v>845</v>
      </c>
      <c r="L39" s="1467">
        <v>76.3</v>
      </c>
      <c r="M39" s="1467">
        <v>76.3</v>
      </c>
      <c r="N39" s="1461">
        <v>1.9363993506091137E-2</v>
      </c>
      <c r="O39" s="1460">
        <v>4</v>
      </c>
      <c r="P39" s="1463" t="s">
        <v>997</v>
      </c>
      <c r="Q39" s="1466"/>
      <c r="R39" s="1466">
        <v>100</v>
      </c>
      <c r="S39" s="1469"/>
      <c r="T39" s="1469"/>
      <c r="U39" s="1469">
        <f t="shared" si="2"/>
        <v>5000</v>
      </c>
      <c r="V39" s="1469"/>
      <c r="W39" s="1459">
        <f t="shared" si="3"/>
        <v>0</v>
      </c>
      <c r="X39" s="1459">
        <f t="shared" si="4"/>
        <v>7630</v>
      </c>
      <c r="Y39" s="1459">
        <f t="shared" si="5"/>
        <v>7630</v>
      </c>
      <c r="Z39" s="1482">
        <v>360.44</v>
      </c>
      <c r="AA39" s="1456"/>
      <c r="AB39" s="1652"/>
      <c r="AC39" s="1652"/>
      <c r="AD39" s="1652"/>
      <c r="AE39" s="1652"/>
      <c r="AF39" s="1652"/>
      <c r="AG39" s="1652"/>
      <c r="AH39" s="1652"/>
      <c r="AI39" s="1652"/>
      <c r="AJ39" s="1652"/>
      <c r="AK39" s="1652"/>
      <c r="AL39" s="1652"/>
      <c r="AM39" s="1652"/>
      <c r="AN39" s="1652"/>
      <c r="AO39" s="1652"/>
      <c r="AP39" s="1652"/>
      <c r="AQ39" s="1652"/>
      <c r="AR39" s="1652"/>
    </row>
    <row r="40" spans="1:44">
      <c r="A40" s="1663"/>
      <c r="B40" s="1652"/>
      <c r="C40" s="1667"/>
      <c r="D40" s="2778"/>
      <c r="E40" s="1672"/>
      <c r="F40" s="1661">
        <f t="shared" si="7"/>
        <v>0</v>
      </c>
      <c r="G40" s="1652"/>
      <c r="H40" s="1460" t="s">
        <v>1615</v>
      </c>
      <c r="I40" s="2205">
        <v>32728</v>
      </c>
      <c r="J40" s="1470" t="s">
        <v>71</v>
      </c>
      <c r="K40" s="1460" t="s">
        <v>991</v>
      </c>
      <c r="L40" s="1467">
        <v>914862</v>
      </c>
      <c r="M40" s="1467">
        <v>640404</v>
      </c>
      <c r="N40" s="1461">
        <v>0.12674895589347016</v>
      </c>
      <c r="O40" s="1460">
        <v>15</v>
      </c>
      <c r="P40" s="1463" t="s">
        <v>1426</v>
      </c>
      <c r="Q40" s="1466"/>
      <c r="R40" s="1466">
        <v>1</v>
      </c>
      <c r="S40" s="1469"/>
      <c r="T40" s="1469"/>
      <c r="U40" s="1469">
        <f t="shared" si="2"/>
        <v>32728</v>
      </c>
      <c r="V40" s="1469"/>
      <c r="W40" s="1459">
        <f t="shared" si="3"/>
        <v>0</v>
      </c>
      <c r="X40" s="1459">
        <f t="shared" si="4"/>
        <v>640404</v>
      </c>
      <c r="Y40" s="1459">
        <f t="shared" si="5"/>
        <v>640404</v>
      </c>
      <c r="Z40" s="1482">
        <v>0</v>
      </c>
      <c r="AA40" s="1456"/>
      <c r="AB40" s="1652"/>
      <c r="AC40" s="1652"/>
      <c r="AD40" s="1652"/>
      <c r="AE40" s="1652"/>
      <c r="AF40" s="1652"/>
      <c r="AG40" s="1652"/>
      <c r="AH40" s="1652"/>
      <c r="AI40" s="1652"/>
      <c r="AJ40" s="1652"/>
      <c r="AK40" s="1652"/>
      <c r="AL40" s="1652"/>
      <c r="AM40" s="1652"/>
      <c r="AN40" s="1652"/>
      <c r="AO40" s="1652"/>
      <c r="AP40" s="1652"/>
      <c r="AQ40" s="1652"/>
      <c r="AR40" s="1652"/>
    </row>
    <row r="41" spans="1:44">
      <c r="A41" s="1652"/>
      <c r="B41" s="1652"/>
      <c r="C41" s="1667"/>
      <c r="D41" s="2778"/>
      <c r="E41" s="1672"/>
      <c r="F41" s="1661">
        <f t="shared" si="7"/>
        <v>0</v>
      </c>
      <c r="G41" s="1652"/>
      <c r="H41" s="1460"/>
      <c r="I41" s="2205"/>
      <c r="J41" s="1470" t="s">
        <v>229</v>
      </c>
      <c r="K41" s="1460"/>
      <c r="L41" s="1467"/>
      <c r="M41" s="1467"/>
      <c r="N41" s="1461"/>
      <c r="O41" s="1460"/>
      <c r="P41" s="1463"/>
      <c r="Q41" s="1466"/>
      <c r="R41" s="1466"/>
      <c r="S41" s="1469"/>
      <c r="T41" s="1469"/>
      <c r="U41" s="1469">
        <f t="shared" si="2"/>
        <v>0</v>
      </c>
      <c r="V41" s="1469"/>
      <c r="W41" s="1459">
        <f t="shared" si="3"/>
        <v>0</v>
      </c>
      <c r="X41" s="1459">
        <f t="shared" si="4"/>
        <v>0</v>
      </c>
      <c r="Y41" s="1459">
        <f t="shared" si="5"/>
        <v>0</v>
      </c>
      <c r="Z41" s="1482"/>
      <c r="AA41" s="1456"/>
      <c r="AB41" s="1652"/>
      <c r="AC41" s="1652"/>
      <c r="AD41" s="1652"/>
      <c r="AE41" s="1652"/>
      <c r="AF41" s="1652"/>
      <c r="AG41" s="1652"/>
      <c r="AH41" s="1652"/>
      <c r="AI41" s="1652"/>
      <c r="AJ41" s="1652"/>
      <c r="AK41" s="1652"/>
      <c r="AL41" s="1652"/>
      <c r="AM41" s="1652"/>
      <c r="AN41" s="1652"/>
      <c r="AO41" s="1652"/>
      <c r="AP41" s="1652"/>
      <c r="AQ41" s="1652"/>
      <c r="AR41" s="1652"/>
    </row>
    <row r="42" spans="1:44">
      <c r="A42" s="1652"/>
      <c r="B42" s="1652"/>
      <c r="C42" s="1488"/>
      <c r="D42" s="2779"/>
      <c r="E42" s="1490"/>
      <c r="F42" s="1493"/>
      <c r="G42" s="1652"/>
      <c r="H42" s="1460"/>
      <c r="I42" s="2205"/>
      <c r="J42" s="1470" t="s">
        <v>229</v>
      </c>
      <c r="K42" s="1460"/>
      <c r="L42" s="1467"/>
      <c r="M42" s="1467"/>
      <c r="N42" s="1461"/>
      <c r="O42" s="1460"/>
      <c r="P42" s="1463"/>
      <c r="Q42" s="1466"/>
      <c r="R42" s="1466"/>
      <c r="S42" s="1469"/>
      <c r="T42" s="1469"/>
      <c r="U42" s="1469">
        <f t="shared" si="2"/>
        <v>0</v>
      </c>
      <c r="V42" s="1469"/>
      <c r="W42" s="1459">
        <f t="shared" si="3"/>
        <v>0</v>
      </c>
      <c r="X42" s="1459">
        <f t="shared" si="4"/>
        <v>0</v>
      </c>
      <c r="Y42" s="1459">
        <f t="shared" si="5"/>
        <v>0</v>
      </c>
      <c r="Z42" s="1482"/>
      <c r="AA42" s="1456"/>
      <c r="AB42" s="1652"/>
      <c r="AC42" s="1652"/>
      <c r="AD42" s="1652"/>
      <c r="AE42" s="1652"/>
      <c r="AF42" s="1652"/>
      <c r="AG42" s="1652"/>
      <c r="AH42" s="1652"/>
      <c r="AI42" s="1652"/>
      <c r="AJ42" s="1652"/>
      <c r="AK42" s="1652"/>
      <c r="AL42" s="1652"/>
      <c r="AM42" s="1652"/>
      <c r="AN42" s="1652"/>
      <c r="AO42" s="1652"/>
      <c r="AP42" s="1652"/>
      <c r="AQ42" s="1652"/>
      <c r="AR42" s="1652"/>
    </row>
    <row r="43" spans="1:44">
      <c r="A43" s="1652"/>
      <c r="B43" s="1652"/>
      <c r="C43" s="1597" t="s">
        <v>483</v>
      </c>
      <c r="D43" s="2771">
        <f>SUM(D44:D47)</f>
        <v>500</v>
      </c>
      <c r="E43" s="1464">
        <f>SUM(E44:E47)</f>
        <v>500</v>
      </c>
      <c r="F43" s="1638">
        <f>D43+E43</f>
        <v>1000</v>
      </c>
      <c r="G43" s="1652"/>
      <c r="H43" s="1460"/>
      <c r="I43" s="2205"/>
      <c r="J43" s="1470" t="s">
        <v>229</v>
      </c>
      <c r="K43" s="1460"/>
      <c r="L43" s="1467"/>
      <c r="M43" s="1467"/>
      <c r="N43" s="1461"/>
      <c r="O43" s="1460"/>
      <c r="P43" s="1463"/>
      <c r="Q43" s="1466"/>
      <c r="R43" s="1466"/>
      <c r="S43" s="1469"/>
      <c r="T43" s="1469"/>
      <c r="U43" s="1469">
        <f t="shared" si="2"/>
        <v>0</v>
      </c>
      <c r="V43" s="1469"/>
      <c r="W43" s="1459">
        <f t="shared" si="3"/>
        <v>0</v>
      </c>
      <c r="X43" s="1459">
        <f t="shared" si="4"/>
        <v>0</v>
      </c>
      <c r="Y43" s="1459">
        <f t="shared" si="5"/>
        <v>0</v>
      </c>
      <c r="Z43" s="1482"/>
      <c r="AA43" s="1456"/>
      <c r="AB43" s="1652"/>
      <c r="AC43" s="1652"/>
      <c r="AD43" s="1652"/>
      <c r="AE43" s="1652"/>
      <c r="AF43" s="1652"/>
      <c r="AG43" s="1652"/>
      <c r="AH43" s="1652"/>
      <c r="AI43" s="1652"/>
      <c r="AJ43" s="1652"/>
      <c r="AK43" s="1652"/>
      <c r="AL43" s="1652"/>
      <c r="AM43" s="1652"/>
      <c r="AN43" s="1652"/>
      <c r="AO43" s="1652"/>
      <c r="AP43" s="1652"/>
      <c r="AQ43" s="1652"/>
      <c r="AR43" s="1652"/>
    </row>
    <row r="44" spans="1:44">
      <c r="A44" s="1652"/>
      <c r="B44" s="1652"/>
      <c r="C44" s="1667"/>
      <c r="D44" s="2778">
        <v>500</v>
      </c>
      <c r="E44" s="1672">
        <v>500</v>
      </c>
      <c r="F44" s="1661">
        <f t="shared" si="7"/>
        <v>1000</v>
      </c>
      <c r="G44" s="1652"/>
      <c r="H44" s="1460"/>
      <c r="I44" s="2205"/>
      <c r="J44" s="1470" t="s">
        <v>229</v>
      </c>
      <c r="K44" s="1460"/>
      <c r="L44" s="1467"/>
      <c r="M44" s="1467"/>
      <c r="N44" s="1461"/>
      <c r="O44" s="1460"/>
      <c r="P44" s="1463"/>
      <c r="Q44" s="1466"/>
      <c r="R44" s="1466"/>
      <c r="S44" s="1469"/>
      <c r="T44" s="1469"/>
      <c r="U44" s="1469">
        <f t="shared" si="2"/>
        <v>0</v>
      </c>
      <c r="V44" s="1469"/>
      <c r="W44" s="1459">
        <f t="shared" si="3"/>
        <v>0</v>
      </c>
      <c r="X44" s="1459">
        <f t="shared" si="4"/>
        <v>0</v>
      </c>
      <c r="Y44" s="1459">
        <f t="shared" si="5"/>
        <v>0</v>
      </c>
      <c r="Z44" s="1482"/>
      <c r="AA44" s="1456"/>
      <c r="AB44" s="1652"/>
      <c r="AC44" s="1652"/>
      <c r="AD44" s="1652"/>
      <c r="AE44" s="1652"/>
      <c r="AF44" s="1652"/>
      <c r="AG44" s="1652"/>
      <c r="AH44" s="1652"/>
      <c r="AI44" s="1652"/>
      <c r="AJ44" s="1652"/>
      <c r="AK44" s="1652"/>
      <c r="AL44" s="1652"/>
      <c r="AM44" s="1652"/>
      <c r="AN44" s="1652"/>
      <c r="AO44" s="1652"/>
      <c r="AP44" s="1652"/>
      <c r="AQ44" s="1652"/>
      <c r="AR44" s="1652"/>
    </row>
    <row r="45" spans="1:44">
      <c r="A45" s="1652"/>
      <c r="B45" s="1652"/>
      <c r="C45" s="1667"/>
      <c r="D45" s="2778"/>
      <c r="E45" s="1672"/>
      <c r="F45" s="1661">
        <f t="shared" si="7"/>
        <v>0</v>
      </c>
      <c r="G45" s="1652"/>
      <c r="H45" s="1460"/>
      <c r="I45" s="2205"/>
      <c r="J45" s="1470" t="s">
        <v>229</v>
      </c>
      <c r="K45" s="1460"/>
      <c r="L45" s="1467"/>
      <c r="M45" s="1467"/>
      <c r="N45" s="1461"/>
      <c r="O45" s="1460"/>
      <c r="P45" s="1463"/>
      <c r="Q45" s="1466"/>
      <c r="R45" s="1466"/>
      <c r="S45" s="1469"/>
      <c r="T45" s="1469"/>
      <c r="U45" s="1469">
        <f t="shared" si="2"/>
        <v>0</v>
      </c>
      <c r="V45" s="1469"/>
      <c r="W45" s="1459">
        <f t="shared" si="3"/>
        <v>0</v>
      </c>
      <c r="X45" s="1459">
        <f t="shared" si="4"/>
        <v>0</v>
      </c>
      <c r="Y45" s="1459">
        <f t="shared" si="5"/>
        <v>0</v>
      </c>
      <c r="Z45" s="1482"/>
      <c r="AA45" s="1456"/>
      <c r="AB45" s="1652"/>
      <c r="AC45" s="1652"/>
      <c r="AD45" s="1652"/>
      <c r="AE45" s="1652"/>
      <c r="AF45" s="1652"/>
      <c r="AG45" s="1652"/>
      <c r="AH45" s="1652"/>
      <c r="AI45" s="1652"/>
      <c r="AJ45" s="1652"/>
      <c r="AK45" s="1652"/>
      <c r="AL45" s="1652"/>
      <c r="AM45" s="1652"/>
      <c r="AN45" s="1652"/>
      <c r="AO45" s="1652"/>
      <c r="AP45" s="1652"/>
      <c r="AQ45" s="1652"/>
      <c r="AR45" s="1652"/>
    </row>
    <row r="46" spans="1:44">
      <c r="A46" s="1652"/>
      <c r="B46" s="1652"/>
      <c r="C46" s="1667"/>
      <c r="D46" s="2778"/>
      <c r="E46" s="1672"/>
      <c r="F46" s="1661">
        <f t="shared" si="7"/>
        <v>0</v>
      </c>
      <c r="G46" s="1652"/>
      <c r="H46" s="1460"/>
      <c r="I46" s="2205"/>
      <c r="J46" s="1470" t="s">
        <v>229</v>
      </c>
      <c r="K46" s="1460"/>
      <c r="L46" s="1467"/>
      <c r="M46" s="1467"/>
      <c r="N46" s="1461"/>
      <c r="O46" s="1460"/>
      <c r="P46" s="1463"/>
      <c r="Q46" s="1466"/>
      <c r="R46" s="1466"/>
      <c r="S46" s="1469"/>
      <c r="T46" s="1469"/>
      <c r="U46" s="1469">
        <f t="shared" si="2"/>
        <v>0</v>
      </c>
      <c r="V46" s="1469"/>
      <c r="W46" s="1459">
        <f t="shared" si="3"/>
        <v>0</v>
      </c>
      <c r="X46" s="1459">
        <f t="shared" si="4"/>
        <v>0</v>
      </c>
      <c r="Y46" s="1459">
        <f t="shared" si="5"/>
        <v>0</v>
      </c>
      <c r="Z46" s="1482"/>
      <c r="AA46" s="1456"/>
      <c r="AB46" s="1652"/>
      <c r="AC46" s="1652"/>
      <c r="AD46" s="1652"/>
      <c r="AE46" s="1652"/>
      <c r="AF46" s="1652"/>
      <c r="AG46" s="1652"/>
      <c r="AH46" s="1652"/>
      <c r="AI46" s="1652"/>
      <c r="AJ46" s="1652"/>
      <c r="AK46" s="1652"/>
      <c r="AL46" s="1652"/>
      <c r="AM46" s="1652"/>
      <c r="AN46" s="1652"/>
      <c r="AO46" s="1652"/>
      <c r="AP46" s="1652"/>
      <c r="AQ46" s="1652"/>
      <c r="AR46" s="1652"/>
    </row>
    <row r="47" spans="1:44">
      <c r="A47" s="1652"/>
      <c r="B47" s="1652"/>
      <c r="C47" s="1667"/>
      <c r="D47" s="2778"/>
      <c r="E47" s="1672"/>
      <c r="F47" s="1661">
        <f t="shared" si="7"/>
        <v>0</v>
      </c>
      <c r="G47" s="1652"/>
      <c r="H47" s="1460"/>
      <c r="I47" s="2205"/>
      <c r="J47" s="1470" t="s">
        <v>229</v>
      </c>
      <c r="K47" s="1460"/>
      <c r="L47" s="1467"/>
      <c r="M47" s="1467"/>
      <c r="N47" s="1461"/>
      <c r="O47" s="1460"/>
      <c r="P47" s="1463"/>
      <c r="Q47" s="1466"/>
      <c r="R47" s="1466"/>
      <c r="S47" s="1469"/>
      <c r="T47" s="1469"/>
      <c r="U47" s="1469">
        <f t="shared" si="2"/>
        <v>0</v>
      </c>
      <c r="V47" s="1469"/>
      <c r="W47" s="1459">
        <f t="shared" si="3"/>
        <v>0</v>
      </c>
      <c r="X47" s="1459">
        <f t="shared" si="4"/>
        <v>0</v>
      </c>
      <c r="Y47" s="1459">
        <f t="shared" si="5"/>
        <v>0</v>
      </c>
      <c r="Z47" s="1482"/>
      <c r="AA47" s="1456"/>
      <c r="AB47" s="1652"/>
      <c r="AC47" s="1652"/>
      <c r="AD47" s="1652"/>
      <c r="AE47" s="1652"/>
      <c r="AF47" s="1652"/>
      <c r="AG47" s="1652"/>
      <c r="AH47" s="1652"/>
      <c r="AI47" s="1652"/>
      <c r="AJ47" s="1652"/>
      <c r="AK47" s="1652"/>
      <c r="AL47" s="1652"/>
      <c r="AM47" s="1652"/>
      <c r="AN47" s="1652"/>
      <c r="AO47" s="1652"/>
      <c r="AP47" s="1652"/>
      <c r="AQ47" s="1652"/>
      <c r="AR47" s="1652"/>
    </row>
    <row r="48" spans="1:44">
      <c r="A48" s="1652"/>
      <c r="B48" s="1652"/>
      <c r="C48" s="1488"/>
      <c r="D48" s="2779"/>
      <c r="E48" s="1490"/>
      <c r="F48" s="1493"/>
      <c r="G48" s="1652"/>
      <c r="H48" s="1460"/>
      <c r="I48" s="2205"/>
      <c r="J48" s="1470" t="s">
        <v>229</v>
      </c>
      <c r="K48" s="1460"/>
      <c r="L48" s="1467"/>
      <c r="M48" s="1467"/>
      <c r="N48" s="1461"/>
      <c r="O48" s="1460"/>
      <c r="P48" s="1463"/>
      <c r="Q48" s="1466"/>
      <c r="R48" s="1466"/>
      <c r="S48" s="1469"/>
      <c r="T48" s="1469"/>
      <c r="U48" s="1469">
        <f t="shared" si="2"/>
        <v>0</v>
      </c>
      <c r="V48" s="1469"/>
      <c r="W48" s="1459">
        <f t="shared" si="3"/>
        <v>0</v>
      </c>
      <c r="X48" s="1459">
        <f t="shared" si="4"/>
        <v>0</v>
      </c>
      <c r="Y48" s="1459">
        <f t="shared" si="5"/>
        <v>0</v>
      </c>
      <c r="Z48" s="1482"/>
      <c r="AA48" s="1456"/>
      <c r="AB48" s="1652"/>
      <c r="AC48" s="1652"/>
      <c r="AD48" s="1652"/>
      <c r="AE48" s="1652"/>
      <c r="AF48" s="1652"/>
      <c r="AG48" s="1652"/>
      <c r="AH48" s="1652"/>
      <c r="AI48" s="1652"/>
      <c r="AJ48" s="1652"/>
      <c r="AK48" s="1652"/>
      <c r="AL48" s="1652"/>
      <c r="AM48" s="1652"/>
      <c r="AN48" s="1652"/>
      <c r="AO48" s="1652"/>
      <c r="AP48" s="1652"/>
      <c r="AQ48" s="1652"/>
      <c r="AR48" s="1652"/>
    </row>
    <row r="49" spans="1:44">
      <c r="A49" s="1652"/>
      <c r="B49" s="1652"/>
      <c r="C49" s="1597" t="s">
        <v>47</v>
      </c>
      <c r="D49" s="2771">
        <f>SUM(D50:D53)</f>
        <v>0</v>
      </c>
      <c r="E49" s="1464">
        <f>SUM(E50:E53)</f>
        <v>110000</v>
      </c>
      <c r="F49" s="1638">
        <f>D49+E49</f>
        <v>110000</v>
      </c>
      <c r="G49" s="1652"/>
      <c r="H49" s="1460"/>
      <c r="I49" s="2205"/>
      <c r="J49" s="1470" t="s">
        <v>229</v>
      </c>
      <c r="K49" s="1460"/>
      <c r="L49" s="1467"/>
      <c r="M49" s="1467"/>
      <c r="N49" s="1461"/>
      <c r="O49" s="1460"/>
      <c r="P49" s="1463"/>
      <c r="Q49" s="1466"/>
      <c r="R49" s="1466"/>
      <c r="S49" s="1469"/>
      <c r="T49" s="1469"/>
      <c r="U49" s="1469">
        <f t="shared" si="2"/>
        <v>0</v>
      </c>
      <c r="V49" s="1469"/>
      <c r="W49" s="1459">
        <f t="shared" si="3"/>
        <v>0</v>
      </c>
      <c r="X49" s="1459">
        <f t="shared" si="4"/>
        <v>0</v>
      </c>
      <c r="Y49" s="1459">
        <f t="shared" si="5"/>
        <v>0</v>
      </c>
      <c r="Z49" s="1482"/>
      <c r="AA49" s="1456"/>
      <c r="AB49" s="1652"/>
      <c r="AC49" s="1652"/>
      <c r="AD49" s="1652"/>
      <c r="AE49" s="1652"/>
      <c r="AF49" s="1652"/>
      <c r="AG49" s="1652"/>
      <c r="AH49" s="1652"/>
      <c r="AI49" s="1652"/>
      <c r="AJ49" s="1652"/>
      <c r="AK49" s="1652"/>
      <c r="AL49" s="1652"/>
      <c r="AM49" s="1652"/>
      <c r="AN49" s="1652"/>
      <c r="AO49" s="1652"/>
      <c r="AP49" s="1652"/>
      <c r="AQ49" s="1652"/>
      <c r="AR49" s="1652"/>
    </row>
    <row r="50" spans="1:44">
      <c r="A50" s="1652"/>
      <c r="B50" s="1652"/>
      <c r="C50" s="1667"/>
      <c r="D50" s="2778"/>
      <c r="E50" s="1672">
        <v>110000</v>
      </c>
      <c r="F50" s="1661">
        <f t="shared" ref="F50:F65" si="8">SUM(D50:E50)</f>
        <v>110000</v>
      </c>
      <c r="G50" s="1652"/>
      <c r="H50" s="1460"/>
      <c r="I50" s="2205"/>
      <c r="J50" s="1470" t="s">
        <v>229</v>
      </c>
      <c r="K50" s="1460"/>
      <c r="L50" s="1467"/>
      <c r="M50" s="1467"/>
      <c r="N50" s="1461"/>
      <c r="O50" s="1460"/>
      <c r="P50" s="1463"/>
      <c r="Q50" s="1466"/>
      <c r="R50" s="1466"/>
      <c r="S50" s="1469"/>
      <c r="T50" s="1469"/>
      <c r="U50" s="1469">
        <f t="shared" si="2"/>
        <v>0</v>
      </c>
      <c r="V50" s="1469"/>
      <c r="W50" s="1459">
        <f t="shared" si="3"/>
        <v>0</v>
      </c>
      <c r="X50" s="1459">
        <f t="shared" si="4"/>
        <v>0</v>
      </c>
      <c r="Y50" s="1459">
        <f t="shared" si="5"/>
        <v>0</v>
      </c>
      <c r="Z50" s="1482"/>
      <c r="AA50" s="1456"/>
      <c r="AB50" s="1652"/>
      <c r="AC50" s="1652"/>
      <c r="AD50" s="1652"/>
      <c r="AE50" s="1652"/>
      <c r="AF50" s="1652"/>
      <c r="AG50" s="1652"/>
      <c r="AH50" s="1652"/>
      <c r="AI50" s="1652"/>
      <c r="AJ50" s="1652"/>
      <c r="AK50" s="1652"/>
      <c r="AL50" s="1652"/>
      <c r="AM50" s="1652"/>
      <c r="AN50" s="1652"/>
      <c r="AO50" s="1652"/>
      <c r="AP50" s="1652"/>
      <c r="AQ50" s="1652"/>
      <c r="AR50" s="1652"/>
    </row>
    <row r="51" spans="1:44">
      <c r="A51" s="1652"/>
      <c r="B51" s="1652"/>
      <c r="C51" s="1667"/>
      <c r="D51" s="2778"/>
      <c r="E51" s="1672"/>
      <c r="F51" s="1661">
        <f t="shared" si="8"/>
        <v>0</v>
      </c>
      <c r="G51" s="1652"/>
      <c r="H51" s="1460"/>
      <c r="I51" s="2205"/>
      <c r="J51" s="1470" t="s">
        <v>229</v>
      </c>
      <c r="K51" s="1460"/>
      <c r="L51" s="1467"/>
      <c r="M51" s="1467"/>
      <c r="N51" s="1461"/>
      <c r="O51" s="1460"/>
      <c r="P51" s="1463"/>
      <c r="Q51" s="1466"/>
      <c r="R51" s="1466"/>
      <c r="S51" s="1469"/>
      <c r="T51" s="1469"/>
      <c r="U51" s="1469">
        <f t="shared" si="2"/>
        <v>0</v>
      </c>
      <c r="V51" s="1469"/>
      <c r="W51" s="1459">
        <f t="shared" si="3"/>
        <v>0</v>
      </c>
      <c r="X51" s="1459">
        <f t="shared" si="4"/>
        <v>0</v>
      </c>
      <c r="Y51" s="1459">
        <f t="shared" si="5"/>
        <v>0</v>
      </c>
      <c r="Z51" s="1482"/>
      <c r="AA51" s="1456"/>
      <c r="AB51" s="1652"/>
      <c r="AC51" s="1652"/>
      <c r="AD51" s="1652"/>
      <c r="AE51" s="1652"/>
      <c r="AF51" s="1652"/>
      <c r="AG51" s="1652"/>
      <c r="AH51" s="1652"/>
      <c r="AI51" s="1652"/>
      <c r="AJ51" s="1652"/>
      <c r="AK51" s="1652"/>
      <c r="AL51" s="1652"/>
      <c r="AM51" s="1652"/>
      <c r="AN51" s="1652"/>
      <c r="AO51" s="1652"/>
      <c r="AP51" s="1652"/>
      <c r="AQ51" s="1652"/>
      <c r="AR51" s="1652"/>
    </row>
    <row r="52" spans="1:44">
      <c r="A52" s="1652"/>
      <c r="B52" s="1652"/>
      <c r="C52" s="1667"/>
      <c r="D52" s="2778"/>
      <c r="E52" s="1672"/>
      <c r="F52" s="1661">
        <f t="shared" si="8"/>
        <v>0</v>
      </c>
      <c r="G52" s="1652"/>
      <c r="H52" s="1460"/>
      <c r="I52" s="2205"/>
      <c r="J52" s="1470" t="s">
        <v>229</v>
      </c>
      <c r="K52" s="1460"/>
      <c r="L52" s="1467"/>
      <c r="M52" s="1467"/>
      <c r="N52" s="1461"/>
      <c r="O52" s="1460"/>
      <c r="P52" s="1463"/>
      <c r="Q52" s="1466"/>
      <c r="R52" s="1466"/>
      <c r="S52" s="1469"/>
      <c r="T52" s="1469"/>
      <c r="U52" s="1469">
        <f t="shared" si="2"/>
        <v>0</v>
      </c>
      <c r="V52" s="1469"/>
      <c r="W52" s="1459">
        <f t="shared" si="3"/>
        <v>0</v>
      </c>
      <c r="X52" s="1459">
        <f t="shared" si="4"/>
        <v>0</v>
      </c>
      <c r="Y52" s="1459">
        <f t="shared" si="5"/>
        <v>0</v>
      </c>
      <c r="Z52" s="1482"/>
      <c r="AA52" s="1456"/>
      <c r="AB52" s="1652"/>
      <c r="AC52" s="1652"/>
      <c r="AD52" s="1652"/>
      <c r="AE52" s="1652"/>
      <c r="AF52" s="1652"/>
      <c r="AG52" s="1652"/>
      <c r="AH52" s="1652"/>
      <c r="AI52" s="1652"/>
      <c r="AJ52" s="1652"/>
      <c r="AK52" s="1652"/>
      <c r="AL52" s="1652"/>
      <c r="AM52" s="1652"/>
      <c r="AN52" s="1652"/>
      <c r="AO52" s="1652"/>
      <c r="AP52" s="1652"/>
      <c r="AQ52" s="1652"/>
      <c r="AR52" s="1652"/>
    </row>
    <row r="53" spans="1:44">
      <c r="A53" s="1652"/>
      <c r="B53" s="1652"/>
      <c r="C53" s="1667"/>
      <c r="D53" s="2778"/>
      <c r="E53" s="1672"/>
      <c r="F53" s="1661">
        <f t="shared" si="8"/>
        <v>0</v>
      </c>
      <c r="G53" s="1652"/>
      <c r="H53" s="1460"/>
      <c r="I53" s="2205"/>
      <c r="J53" s="1470" t="s">
        <v>229</v>
      </c>
      <c r="K53" s="1460"/>
      <c r="L53" s="1467"/>
      <c r="M53" s="1467"/>
      <c r="N53" s="1461"/>
      <c r="O53" s="1460"/>
      <c r="P53" s="1463"/>
      <c r="Q53" s="1466"/>
      <c r="R53" s="1466"/>
      <c r="S53" s="1469"/>
      <c r="T53" s="1469"/>
      <c r="U53" s="1469">
        <f t="shared" si="2"/>
        <v>0</v>
      </c>
      <c r="V53" s="1469"/>
      <c r="W53" s="1459">
        <f t="shared" si="3"/>
        <v>0</v>
      </c>
      <c r="X53" s="1459">
        <f t="shared" si="4"/>
        <v>0</v>
      </c>
      <c r="Y53" s="1459">
        <f t="shared" si="5"/>
        <v>0</v>
      </c>
      <c r="Z53" s="1482"/>
      <c r="AA53" s="1456"/>
      <c r="AB53" s="1652"/>
      <c r="AC53" s="1652"/>
      <c r="AD53" s="1652"/>
      <c r="AE53" s="1652"/>
      <c r="AF53" s="1652"/>
      <c r="AG53" s="1652"/>
      <c r="AH53" s="1652"/>
      <c r="AI53" s="1652"/>
      <c r="AJ53" s="1652"/>
      <c r="AK53" s="1652"/>
      <c r="AL53" s="1652"/>
      <c r="AM53" s="1652"/>
      <c r="AN53" s="1652"/>
      <c r="AO53" s="1652"/>
      <c r="AP53" s="1652"/>
      <c r="AQ53" s="1652"/>
      <c r="AR53" s="1652"/>
    </row>
    <row r="54" spans="1:44">
      <c r="A54" s="1652"/>
      <c r="B54" s="1652"/>
      <c r="C54" s="1488"/>
      <c r="D54" s="2779"/>
      <c r="E54" s="1490"/>
      <c r="F54" s="1493"/>
      <c r="G54" s="1652"/>
      <c r="H54" s="1460"/>
      <c r="I54" s="2205"/>
      <c r="J54" s="1470" t="s">
        <v>229</v>
      </c>
      <c r="K54" s="1460"/>
      <c r="L54" s="1467"/>
      <c r="M54" s="1467"/>
      <c r="N54" s="1461"/>
      <c r="O54" s="1460"/>
      <c r="P54" s="1463"/>
      <c r="Q54" s="1466"/>
      <c r="R54" s="1466"/>
      <c r="S54" s="1469"/>
      <c r="T54" s="1469"/>
      <c r="U54" s="1469">
        <f t="shared" si="2"/>
        <v>0</v>
      </c>
      <c r="V54" s="1469"/>
      <c r="W54" s="1459">
        <f t="shared" si="3"/>
        <v>0</v>
      </c>
      <c r="X54" s="1459">
        <f t="shared" si="4"/>
        <v>0</v>
      </c>
      <c r="Y54" s="1459">
        <f t="shared" si="5"/>
        <v>0</v>
      </c>
      <c r="Z54" s="1482"/>
      <c r="AA54" s="1456"/>
      <c r="AB54" s="1652"/>
      <c r="AC54" s="1652"/>
      <c r="AD54" s="1652"/>
      <c r="AE54" s="1652"/>
      <c r="AF54" s="1652"/>
      <c r="AG54" s="1652"/>
      <c r="AH54" s="1652"/>
      <c r="AI54" s="1652"/>
      <c r="AJ54" s="1652"/>
      <c r="AK54" s="1652"/>
      <c r="AL54" s="1652"/>
      <c r="AM54" s="1652"/>
      <c r="AN54" s="1652"/>
      <c r="AO54" s="1652"/>
      <c r="AP54" s="1652"/>
      <c r="AQ54" s="1652"/>
      <c r="AR54" s="1652"/>
    </row>
    <row r="55" spans="1:44">
      <c r="A55" s="1652"/>
      <c r="B55" s="1652"/>
      <c r="C55" s="1597" t="s">
        <v>48</v>
      </c>
      <c r="D55" s="2771">
        <f>SUM(D56:D59)</f>
        <v>500</v>
      </c>
      <c r="E55" s="1464">
        <f>SUM(E56:E59)</f>
        <v>500</v>
      </c>
      <c r="F55" s="1638">
        <f>D55+E55</f>
        <v>1000</v>
      </c>
      <c r="G55" s="1652"/>
      <c r="H55" s="1460"/>
      <c r="I55" s="2205"/>
      <c r="J55" s="1470" t="s">
        <v>229</v>
      </c>
      <c r="K55" s="1460"/>
      <c r="L55" s="1467"/>
      <c r="M55" s="1467"/>
      <c r="N55" s="1461"/>
      <c r="O55" s="1460"/>
      <c r="P55" s="1463"/>
      <c r="Q55" s="1466"/>
      <c r="R55" s="1466"/>
      <c r="S55" s="1469"/>
      <c r="T55" s="1469"/>
      <c r="U55" s="1469">
        <f t="shared" si="2"/>
        <v>0</v>
      </c>
      <c r="V55" s="1469"/>
      <c r="W55" s="1459">
        <f t="shared" si="3"/>
        <v>0</v>
      </c>
      <c r="X55" s="1459">
        <f t="shared" si="4"/>
        <v>0</v>
      </c>
      <c r="Y55" s="1459">
        <f t="shared" si="5"/>
        <v>0</v>
      </c>
      <c r="Z55" s="1482"/>
      <c r="AA55" s="1456"/>
      <c r="AB55" s="1652"/>
      <c r="AC55" s="1652"/>
      <c r="AD55" s="1652"/>
      <c r="AE55" s="1652"/>
      <c r="AF55" s="1652"/>
      <c r="AG55" s="1652"/>
      <c r="AH55" s="1652"/>
      <c r="AI55" s="1652"/>
      <c r="AJ55" s="1652"/>
      <c r="AK55" s="1652"/>
      <c r="AL55" s="1652"/>
      <c r="AM55" s="1652"/>
      <c r="AN55" s="1652"/>
      <c r="AO55" s="1652"/>
      <c r="AP55" s="1652"/>
      <c r="AQ55" s="1652"/>
      <c r="AR55" s="1652"/>
    </row>
    <row r="56" spans="1:44">
      <c r="A56" s="1652"/>
      <c r="B56" s="1652"/>
      <c r="C56" s="1667"/>
      <c r="D56" s="2778">
        <v>500</v>
      </c>
      <c r="E56" s="1641">
        <v>500</v>
      </c>
      <c r="F56" s="1661">
        <f t="shared" si="8"/>
        <v>1000</v>
      </c>
      <c r="G56" s="1652"/>
      <c r="H56" s="1460"/>
      <c r="I56" s="2205"/>
      <c r="J56" s="1470" t="s">
        <v>229</v>
      </c>
      <c r="K56" s="1460"/>
      <c r="L56" s="1467"/>
      <c r="M56" s="1467"/>
      <c r="N56" s="1461"/>
      <c r="O56" s="1460"/>
      <c r="P56" s="1463"/>
      <c r="Q56" s="1466"/>
      <c r="R56" s="1466"/>
      <c r="S56" s="1469"/>
      <c r="T56" s="1469"/>
      <c r="U56" s="1469">
        <f t="shared" si="2"/>
        <v>0</v>
      </c>
      <c r="V56" s="1469"/>
      <c r="W56" s="1459">
        <f t="shared" si="3"/>
        <v>0</v>
      </c>
      <c r="X56" s="1459">
        <f t="shared" si="4"/>
        <v>0</v>
      </c>
      <c r="Y56" s="1459">
        <f t="shared" si="5"/>
        <v>0</v>
      </c>
      <c r="Z56" s="1482"/>
      <c r="AA56" s="1456"/>
      <c r="AB56" s="1652"/>
      <c r="AC56" s="1652"/>
      <c r="AD56" s="1652"/>
      <c r="AE56" s="1652"/>
      <c r="AF56" s="1652"/>
      <c r="AG56" s="1652"/>
      <c r="AH56" s="1652"/>
      <c r="AI56" s="1652"/>
      <c r="AJ56" s="1652"/>
      <c r="AK56" s="1652"/>
      <c r="AL56" s="1652"/>
      <c r="AM56" s="1652"/>
      <c r="AN56" s="1652"/>
      <c r="AO56" s="1652"/>
      <c r="AP56" s="1652"/>
      <c r="AQ56" s="1652"/>
      <c r="AR56" s="1652"/>
    </row>
    <row r="57" spans="1:44">
      <c r="A57" s="1652"/>
      <c r="B57" s="1652"/>
      <c r="C57" s="1667"/>
      <c r="D57" s="2778"/>
      <c r="E57" s="1641"/>
      <c r="F57" s="1661">
        <f t="shared" si="8"/>
        <v>0</v>
      </c>
      <c r="G57" s="1652"/>
      <c r="H57" s="1460"/>
      <c r="I57" s="2205"/>
      <c r="J57" s="1470" t="s">
        <v>229</v>
      </c>
      <c r="K57" s="1460"/>
      <c r="L57" s="1467"/>
      <c r="M57" s="1467"/>
      <c r="N57" s="1461"/>
      <c r="O57" s="1460"/>
      <c r="P57" s="1463"/>
      <c r="Q57" s="1466"/>
      <c r="R57" s="1466"/>
      <c r="S57" s="1469"/>
      <c r="T57" s="1469"/>
      <c r="U57" s="1469">
        <f t="shared" si="2"/>
        <v>0</v>
      </c>
      <c r="V57" s="1469"/>
      <c r="W57" s="1459">
        <f t="shared" si="3"/>
        <v>0</v>
      </c>
      <c r="X57" s="1459">
        <f t="shared" si="4"/>
        <v>0</v>
      </c>
      <c r="Y57" s="1459">
        <f t="shared" si="5"/>
        <v>0</v>
      </c>
      <c r="Z57" s="1482"/>
      <c r="AA57" s="1456"/>
      <c r="AB57" s="1652"/>
      <c r="AC57" s="1652"/>
      <c r="AD57" s="1652"/>
      <c r="AE57" s="1652"/>
      <c r="AF57" s="1652"/>
      <c r="AG57" s="1652"/>
      <c r="AH57" s="1652"/>
      <c r="AI57" s="1652"/>
      <c r="AJ57" s="1652"/>
      <c r="AK57" s="1652"/>
      <c r="AL57" s="1652"/>
      <c r="AM57" s="1652"/>
      <c r="AN57" s="1652"/>
      <c r="AO57" s="1652"/>
      <c r="AP57" s="1652"/>
      <c r="AQ57" s="1652"/>
      <c r="AR57" s="1652"/>
    </row>
    <row r="58" spans="1:44">
      <c r="A58" s="1652"/>
      <c r="B58" s="1652"/>
      <c r="C58" s="1667"/>
      <c r="D58" s="2778"/>
      <c r="E58" s="1641"/>
      <c r="F58" s="1661">
        <f t="shared" si="8"/>
        <v>0</v>
      </c>
      <c r="G58" s="1652"/>
      <c r="H58" s="1460"/>
      <c r="I58" s="2205"/>
      <c r="J58" s="1470" t="s">
        <v>229</v>
      </c>
      <c r="K58" s="1460"/>
      <c r="L58" s="1467"/>
      <c r="M58" s="1467"/>
      <c r="N58" s="1461"/>
      <c r="O58" s="1460"/>
      <c r="P58" s="1463"/>
      <c r="Q58" s="1466"/>
      <c r="R58" s="1466"/>
      <c r="S58" s="1469"/>
      <c r="T58" s="1469"/>
      <c r="U58" s="1469">
        <f t="shared" si="2"/>
        <v>0</v>
      </c>
      <c r="V58" s="1469"/>
      <c r="W58" s="1459">
        <f t="shared" si="3"/>
        <v>0</v>
      </c>
      <c r="X58" s="1459">
        <f t="shared" si="4"/>
        <v>0</v>
      </c>
      <c r="Y58" s="1459">
        <f t="shared" si="5"/>
        <v>0</v>
      </c>
      <c r="Z58" s="1482"/>
      <c r="AA58" s="1456"/>
      <c r="AB58" s="1652"/>
      <c r="AC58" s="1652"/>
      <c r="AD58" s="1652"/>
      <c r="AE58" s="1652"/>
      <c r="AF58" s="1652"/>
      <c r="AG58" s="1652"/>
      <c r="AH58" s="1652"/>
      <c r="AI58" s="1652"/>
      <c r="AJ58" s="1652"/>
      <c r="AK58" s="1652"/>
      <c r="AL58" s="1652"/>
      <c r="AM58" s="1652"/>
      <c r="AN58" s="1652"/>
      <c r="AO58" s="1652"/>
      <c r="AP58" s="1652"/>
      <c r="AQ58" s="1652"/>
      <c r="AR58" s="1652"/>
    </row>
    <row r="59" spans="1:44">
      <c r="A59" s="1652"/>
      <c r="B59" s="1652"/>
      <c r="C59" s="1667"/>
      <c r="D59" s="2778"/>
      <c r="E59" s="1641"/>
      <c r="F59" s="1661">
        <f t="shared" si="8"/>
        <v>0</v>
      </c>
      <c r="G59" s="1652"/>
      <c r="H59" s="1460"/>
      <c r="I59" s="2205"/>
      <c r="J59" s="1470" t="s">
        <v>229</v>
      </c>
      <c r="K59" s="1460"/>
      <c r="L59" s="1467"/>
      <c r="M59" s="1467"/>
      <c r="N59" s="1461"/>
      <c r="O59" s="1460"/>
      <c r="P59" s="1463"/>
      <c r="Q59" s="1466"/>
      <c r="R59" s="1466"/>
      <c r="S59" s="1469"/>
      <c r="T59" s="1469"/>
      <c r="U59" s="1469">
        <f t="shared" si="2"/>
        <v>0</v>
      </c>
      <c r="V59" s="1469"/>
      <c r="W59" s="1459">
        <f t="shared" si="3"/>
        <v>0</v>
      </c>
      <c r="X59" s="1459">
        <f t="shared" si="4"/>
        <v>0</v>
      </c>
      <c r="Y59" s="1459">
        <f t="shared" si="5"/>
        <v>0</v>
      </c>
      <c r="Z59" s="1482"/>
      <c r="AA59" s="1456"/>
      <c r="AB59" s="1652"/>
      <c r="AC59" s="1652"/>
      <c r="AD59" s="1652"/>
      <c r="AE59" s="1652"/>
      <c r="AF59" s="1652"/>
      <c r="AG59" s="1652"/>
      <c r="AH59" s="1652"/>
      <c r="AI59" s="1652"/>
      <c r="AJ59" s="1652"/>
      <c r="AK59" s="1652"/>
      <c r="AL59" s="1652"/>
      <c r="AM59" s="1652"/>
      <c r="AN59" s="1652"/>
      <c r="AO59" s="1652"/>
      <c r="AP59" s="1652"/>
      <c r="AQ59" s="1652"/>
      <c r="AR59" s="1652"/>
    </row>
    <row r="60" spans="1:44">
      <c r="A60" s="1652"/>
      <c r="B60" s="1652"/>
      <c r="C60" s="1488"/>
      <c r="D60" s="2779"/>
      <c r="E60" s="1490"/>
      <c r="F60" s="1493"/>
      <c r="G60" s="1652"/>
      <c r="H60" s="1460"/>
      <c r="I60" s="1466"/>
      <c r="J60" s="1470" t="s">
        <v>229</v>
      </c>
      <c r="K60" s="1460"/>
      <c r="L60" s="1467"/>
      <c r="M60" s="1467"/>
      <c r="N60" s="1461"/>
      <c r="O60" s="1460"/>
      <c r="P60" s="1463"/>
      <c r="Q60" s="1466"/>
      <c r="R60" s="1466"/>
      <c r="S60" s="1469"/>
      <c r="T60" s="1469"/>
      <c r="U60" s="1469">
        <f t="shared" si="2"/>
        <v>0</v>
      </c>
      <c r="V60" s="1469"/>
      <c r="W60" s="1459">
        <f t="shared" si="3"/>
        <v>0</v>
      </c>
      <c r="X60" s="1459">
        <f t="shared" si="4"/>
        <v>0</v>
      </c>
      <c r="Y60" s="1459">
        <f t="shared" si="5"/>
        <v>0</v>
      </c>
      <c r="Z60" s="1482"/>
      <c r="AA60" s="1456"/>
      <c r="AB60" s="1652"/>
      <c r="AC60" s="1652"/>
      <c r="AD60" s="1652"/>
      <c r="AE60" s="1652"/>
      <c r="AF60" s="1652"/>
      <c r="AG60" s="1652"/>
      <c r="AH60" s="1652"/>
      <c r="AI60" s="1652"/>
      <c r="AJ60" s="1652"/>
      <c r="AK60" s="1652"/>
      <c r="AL60" s="1652"/>
      <c r="AM60" s="1652"/>
      <c r="AN60" s="1652"/>
      <c r="AO60" s="1652"/>
      <c r="AP60" s="1652"/>
      <c r="AQ60" s="1652"/>
      <c r="AR60" s="1652"/>
    </row>
    <row r="61" spans="1:44">
      <c r="A61" s="1652"/>
      <c r="B61" s="1652"/>
      <c r="C61" s="1597" t="s">
        <v>49</v>
      </c>
      <c r="D61" s="2771">
        <f>SUM(D62:D65)</f>
        <v>500</v>
      </c>
      <c r="E61" s="1464">
        <f>SUM(E62:E65)</f>
        <v>500</v>
      </c>
      <c r="F61" s="1638">
        <f>D61+E61</f>
        <v>1000</v>
      </c>
      <c r="G61" s="1652"/>
      <c r="H61" s="1460"/>
      <c r="I61" s="1466"/>
      <c r="J61" s="1470" t="s">
        <v>229</v>
      </c>
      <c r="K61" s="1460"/>
      <c r="L61" s="1467"/>
      <c r="M61" s="1467"/>
      <c r="N61" s="1461"/>
      <c r="O61" s="1460"/>
      <c r="P61" s="1463"/>
      <c r="Q61" s="1466"/>
      <c r="R61" s="1466"/>
      <c r="S61" s="1469"/>
      <c r="T61" s="1469"/>
      <c r="U61" s="1469">
        <f t="shared" si="2"/>
        <v>0</v>
      </c>
      <c r="V61" s="1469"/>
      <c r="W61" s="1459">
        <f t="shared" si="3"/>
        <v>0</v>
      </c>
      <c r="X61" s="1459">
        <f t="shared" si="4"/>
        <v>0</v>
      </c>
      <c r="Y61" s="1459">
        <f t="shared" si="5"/>
        <v>0</v>
      </c>
      <c r="Z61" s="1482"/>
      <c r="AA61" s="1456"/>
      <c r="AB61" s="1652"/>
      <c r="AC61" s="1652"/>
      <c r="AD61" s="1652"/>
      <c r="AE61" s="1652"/>
      <c r="AF61" s="1652"/>
      <c r="AG61" s="1652"/>
      <c r="AH61" s="1652"/>
      <c r="AI61" s="1652"/>
      <c r="AJ61" s="1652"/>
      <c r="AK61" s="1652"/>
      <c r="AL61" s="1652"/>
      <c r="AM61" s="1652"/>
      <c r="AN61" s="1652"/>
      <c r="AO61" s="1652"/>
      <c r="AP61" s="1652"/>
      <c r="AQ61" s="1652"/>
      <c r="AR61" s="1652"/>
    </row>
    <row r="62" spans="1:44">
      <c r="A62" s="1652"/>
      <c r="B62" s="1652"/>
      <c r="C62" s="1667"/>
      <c r="D62" s="2778">
        <v>500</v>
      </c>
      <c r="E62" s="1672">
        <v>500</v>
      </c>
      <c r="F62" s="1661">
        <f t="shared" si="8"/>
        <v>1000</v>
      </c>
      <c r="G62" s="1652"/>
      <c r="H62" s="1460"/>
      <c r="I62" s="1466"/>
      <c r="J62" s="1470" t="s">
        <v>229</v>
      </c>
      <c r="K62" s="1460"/>
      <c r="L62" s="1467"/>
      <c r="M62" s="1467"/>
      <c r="N62" s="1461"/>
      <c r="O62" s="1460"/>
      <c r="P62" s="1463"/>
      <c r="Q62" s="1466"/>
      <c r="R62" s="1466"/>
      <c r="S62" s="1469"/>
      <c r="T62" s="1469"/>
      <c r="U62" s="1469">
        <f t="shared" si="2"/>
        <v>0</v>
      </c>
      <c r="V62" s="1469"/>
      <c r="W62" s="1459">
        <f t="shared" si="3"/>
        <v>0</v>
      </c>
      <c r="X62" s="1459">
        <f t="shared" si="4"/>
        <v>0</v>
      </c>
      <c r="Y62" s="1459">
        <f t="shared" si="5"/>
        <v>0</v>
      </c>
      <c r="Z62" s="1482"/>
      <c r="AA62" s="1456"/>
      <c r="AB62" s="1652"/>
      <c r="AC62" s="1652"/>
      <c r="AD62" s="1652"/>
      <c r="AE62" s="1652"/>
      <c r="AF62" s="1652"/>
      <c r="AG62" s="1652"/>
      <c r="AH62" s="1652"/>
      <c r="AI62" s="1652"/>
      <c r="AJ62" s="1652"/>
      <c r="AK62" s="1652"/>
      <c r="AL62" s="1652"/>
      <c r="AM62" s="1652"/>
      <c r="AN62" s="1652"/>
      <c r="AO62" s="1652"/>
      <c r="AP62" s="1652"/>
      <c r="AQ62" s="1652"/>
      <c r="AR62" s="1652"/>
    </row>
    <row r="63" spans="1:44">
      <c r="A63" s="1652"/>
      <c r="B63" s="1652"/>
      <c r="C63" s="1667"/>
      <c r="D63" s="2778"/>
      <c r="E63" s="1672"/>
      <c r="F63" s="1661">
        <f t="shared" si="8"/>
        <v>0</v>
      </c>
      <c r="G63" s="1652"/>
      <c r="H63" s="1460"/>
      <c r="I63" s="1466"/>
      <c r="J63" s="1470" t="s">
        <v>229</v>
      </c>
      <c r="K63" s="1460"/>
      <c r="L63" s="1467"/>
      <c r="M63" s="1467"/>
      <c r="N63" s="1461"/>
      <c r="O63" s="1460"/>
      <c r="P63" s="1463"/>
      <c r="Q63" s="1466"/>
      <c r="R63" s="1466"/>
      <c r="S63" s="1469"/>
      <c r="T63" s="1469"/>
      <c r="U63" s="1469">
        <f t="shared" si="2"/>
        <v>0</v>
      </c>
      <c r="V63" s="1469"/>
      <c r="W63" s="1459">
        <f t="shared" si="3"/>
        <v>0</v>
      </c>
      <c r="X63" s="1459">
        <f t="shared" si="4"/>
        <v>0</v>
      </c>
      <c r="Y63" s="1459">
        <f t="shared" si="5"/>
        <v>0</v>
      </c>
      <c r="Z63" s="1482"/>
      <c r="AA63" s="1456"/>
      <c r="AB63" s="1652"/>
      <c r="AC63" s="1652"/>
      <c r="AD63" s="1652"/>
      <c r="AE63" s="1652"/>
      <c r="AF63" s="1652"/>
      <c r="AG63" s="1652"/>
      <c r="AH63" s="1652"/>
      <c r="AI63" s="1652"/>
      <c r="AJ63" s="1652"/>
      <c r="AK63" s="1652"/>
      <c r="AL63" s="1652"/>
      <c r="AM63" s="1652"/>
      <c r="AN63" s="1652"/>
      <c r="AO63" s="1652"/>
      <c r="AP63" s="1652"/>
      <c r="AQ63" s="1652"/>
      <c r="AR63" s="1652"/>
    </row>
    <row r="64" spans="1:44">
      <c r="A64" s="1361" t="s">
        <v>1397</v>
      </c>
      <c r="B64" s="1652"/>
      <c r="C64" s="1667"/>
      <c r="D64" s="2778"/>
      <c r="E64" s="1672"/>
      <c r="F64" s="1437">
        <f t="shared" si="8"/>
        <v>0</v>
      </c>
      <c r="G64" s="1652"/>
      <c r="H64" s="1460"/>
      <c r="I64" s="1466"/>
      <c r="J64" s="1470" t="s">
        <v>229</v>
      </c>
      <c r="K64" s="1460"/>
      <c r="L64" s="1467"/>
      <c r="M64" s="1467"/>
      <c r="N64" s="1461"/>
      <c r="O64" s="1460"/>
      <c r="P64" s="1463"/>
      <c r="Q64" s="1466"/>
      <c r="R64" s="1466"/>
      <c r="S64" s="1469"/>
      <c r="T64" s="1469"/>
      <c r="U64" s="1469">
        <f t="shared" si="2"/>
        <v>0</v>
      </c>
      <c r="V64" s="1469"/>
      <c r="W64" s="1459">
        <f t="shared" si="3"/>
        <v>0</v>
      </c>
      <c r="X64" s="1459">
        <f t="shared" si="4"/>
        <v>0</v>
      </c>
      <c r="Y64" s="1459">
        <f t="shared" si="5"/>
        <v>0</v>
      </c>
      <c r="Z64" s="1482"/>
      <c r="AA64" s="1456"/>
      <c r="AB64" s="1652"/>
      <c r="AC64" s="1652"/>
      <c r="AD64" s="1652"/>
      <c r="AE64" s="1652"/>
      <c r="AF64" s="1652"/>
      <c r="AG64" s="1652"/>
      <c r="AH64" s="1652"/>
      <c r="AI64" s="1652"/>
      <c r="AJ64" s="1652"/>
      <c r="AK64" s="1652"/>
      <c r="AL64" s="1652"/>
      <c r="AM64" s="1652"/>
      <c r="AN64" s="1652"/>
      <c r="AO64" s="1652"/>
      <c r="AP64" s="1652"/>
      <c r="AQ64" s="1652"/>
      <c r="AR64" s="1652"/>
    </row>
    <row r="65" spans="1:44">
      <c r="A65" s="2221" t="s">
        <v>262</v>
      </c>
      <c r="B65" s="1652"/>
      <c r="C65" s="1667"/>
      <c r="D65" s="2778"/>
      <c r="E65" s="1672"/>
      <c r="F65" s="1661">
        <f t="shared" si="8"/>
        <v>0</v>
      </c>
      <c r="G65" s="1652"/>
      <c r="H65" s="1460"/>
      <c r="I65" s="1466"/>
      <c r="J65" s="1470" t="s">
        <v>229</v>
      </c>
      <c r="K65" s="1460"/>
      <c r="L65" s="1467"/>
      <c r="M65" s="1467"/>
      <c r="N65" s="1461"/>
      <c r="O65" s="1460"/>
      <c r="P65" s="1463"/>
      <c r="Q65" s="1466"/>
      <c r="R65" s="1466"/>
      <c r="S65" s="1469"/>
      <c r="T65" s="1469"/>
      <c r="U65" s="1469">
        <f t="shared" si="2"/>
        <v>0</v>
      </c>
      <c r="V65" s="1469"/>
      <c r="W65" s="1459">
        <f t="shared" si="3"/>
        <v>0</v>
      </c>
      <c r="X65" s="1459">
        <f t="shared" si="4"/>
        <v>0</v>
      </c>
      <c r="Y65" s="1459">
        <f t="shared" si="5"/>
        <v>0</v>
      </c>
      <c r="Z65" s="1482"/>
      <c r="AA65" s="1456"/>
      <c r="AB65" s="1652"/>
      <c r="AC65" s="1652"/>
      <c r="AD65" s="1652"/>
      <c r="AE65" s="1652"/>
      <c r="AF65" s="1652"/>
      <c r="AG65" s="1652"/>
      <c r="AH65" s="1652"/>
      <c r="AI65" s="1652"/>
      <c r="AJ65" s="1652"/>
      <c r="AK65" s="1652"/>
      <c r="AL65" s="1652"/>
      <c r="AM65" s="1652"/>
      <c r="AN65" s="1652"/>
      <c r="AO65" s="1652"/>
      <c r="AP65" s="1652"/>
      <c r="AQ65" s="1652"/>
      <c r="AR65" s="1652"/>
    </row>
    <row r="66" spans="1:44">
      <c r="A66" s="2221" t="s">
        <v>5</v>
      </c>
      <c r="B66" s="1652"/>
      <c r="C66" s="1488"/>
      <c r="D66" s="2779"/>
      <c r="E66" s="1490"/>
      <c r="F66" s="1493"/>
      <c r="G66" s="1652"/>
      <c r="H66" s="1652"/>
      <c r="I66" s="1652"/>
      <c r="J66" s="1652"/>
      <c r="K66" s="1652"/>
      <c r="L66" s="1652"/>
      <c r="M66" s="1652"/>
      <c r="N66" s="1652"/>
      <c r="O66" s="1652"/>
      <c r="P66" s="1652"/>
      <c r="Q66" s="1652"/>
      <c r="R66" s="1652"/>
      <c r="S66" s="1652"/>
      <c r="T66" s="1652"/>
      <c r="U66" s="1652"/>
      <c r="V66" s="1652"/>
      <c r="W66" s="1652"/>
      <c r="X66" s="1652"/>
      <c r="Y66" s="1652"/>
      <c r="Z66" s="1652"/>
      <c r="AA66" s="1652"/>
      <c r="AB66" s="1652"/>
      <c r="AC66" s="1652"/>
      <c r="AD66" s="1652"/>
      <c r="AE66" s="1652"/>
      <c r="AF66" s="1652"/>
      <c r="AG66" s="1652"/>
      <c r="AH66" s="1652"/>
      <c r="AI66" s="1652"/>
      <c r="AJ66" s="1652"/>
      <c r="AK66" s="1652"/>
      <c r="AL66" s="1652"/>
      <c r="AM66" s="1652"/>
      <c r="AN66" s="1652"/>
      <c r="AO66" s="1652"/>
      <c r="AP66" s="1652"/>
      <c r="AQ66" s="1652"/>
      <c r="AR66" s="1652"/>
    </row>
    <row r="67" spans="1:44">
      <c r="A67" s="1361">
        <v>18230250</v>
      </c>
      <c r="B67" s="1652"/>
      <c r="C67" s="1597" t="s">
        <v>50</v>
      </c>
      <c r="D67" s="2771">
        <f>W15</f>
        <v>0</v>
      </c>
      <c r="E67" s="1464">
        <f>X15</f>
        <v>747959</v>
      </c>
      <c r="F67" s="1638">
        <f>D67+E67</f>
        <v>747959</v>
      </c>
      <c r="G67" s="1652"/>
      <c r="H67" s="1652"/>
      <c r="I67" s="1652"/>
      <c r="J67" s="1652"/>
      <c r="K67" s="1652"/>
      <c r="L67" s="1652"/>
      <c r="M67" s="1652"/>
      <c r="N67" s="1652"/>
      <c r="O67" s="1652"/>
      <c r="P67" s="1652"/>
      <c r="Q67" s="1652"/>
      <c r="R67" s="1652"/>
      <c r="S67" s="1652"/>
      <c r="T67" s="1652"/>
      <c r="U67" s="1652"/>
      <c r="V67" s="1652"/>
      <c r="W67" s="1652"/>
      <c r="X67" s="1652"/>
      <c r="Y67" s="1652"/>
      <c r="Z67" s="1652"/>
      <c r="AA67" s="1652"/>
      <c r="AB67" s="1652"/>
      <c r="AC67" s="1652"/>
      <c r="AD67" s="1652"/>
      <c r="AE67" s="1652"/>
      <c r="AF67" s="1652"/>
      <c r="AG67" s="1652"/>
      <c r="AH67" s="1652"/>
      <c r="AI67" s="1652"/>
      <c r="AJ67" s="1652"/>
      <c r="AK67" s="1652"/>
      <c r="AL67" s="1652"/>
      <c r="AM67" s="1652"/>
      <c r="AN67" s="1652"/>
      <c r="AO67" s="1652"/>
      <c r="AP67" s="1652"/>
      <c r="AQ67" s="1652"/>
      <c r="AR67" s="1652"/>
    </row>
    <row r="68" spans="1:44">
      <c r="A68" s="2221" t="s">
        <v>28</v>
      </c>
      <c r="B68" s="1652"/>
      <c r="C68" s="1500" t="s">
        <v>297</v>
      </c>
      <c r="D68" s="2781"/>
      <c r="E68" s="1496"/>
      <c r="F68" s="1499"/>
      <c r="G68" s="1652"/>
      <c r="H68" s="1652"/>
      <c r="I68" s="1652"/>
      <c r="J68" s="1652"/>
      <c r="K68" s="1652"/>
      <c r="L68" s="1652"/>
      <c r="M68" s="1652"/>
      <c r="N68" s="1652"/>
      <c r="O68" s="1652"/>
      <c r="P68" s="1652"/>
      <c r="Q68" s="1652"/>
      <c r="R68" s="1652"/>
      <c r="S68" s="1652"/>
      <c r="T68" s="1652"/>
      <c r="U68" s="1652"/>
      <c r="V68" s="1652"/>
      <c r="W68" s="1652"/>
      <c r="X68" s="1652"/>
      <c r="Y68" s="1652"/>
      <c r="Z68" s="1652"/>
      <c r="AA68" s="1652"/>
      <c r="AB68" s="1652"/>
      <c r="AC68" s="1652"/>
      <c r="AD68" s="1652"/>
      <c r="AE68" s="1652"/>
      <c r="AF68" s="1652"/>
      <c r="AG68" s="1652"/>
      <c r="AH68" s="1652"/>
      <c r="AI68" s="1652"/>
      <c r="AJ68" s="1652"/>
      <c r="AK68" s="1652"/>
      <c r="AL68" s="1652"/>
      <c r="AM68" s="1652"/>
      <c r="AN68" s="1652"/>
      <c r="AO68" s="1652"/>
      <c r="AP68" s="1652"/>
      <c r="AQ68" s="1652"/>
      <c r="AR68" s="1652"/>
    </row>
    <row r="69" spans="1:44">
      <c r="A69" s="1663"/>
      <c r="B69" s="1652"/>
      <c r="C69" s="1501"/>
      <c r="D69" s="2782"/>
      <c r="E69" s="1497"/>
      <c r="F69" s="1498"/>
      <c r="G69" s="1652"/>
      <c r="H69" s="1652"/>
      <c r="I69" s="1652"/>
      <c r="J69" s="1652"/>
      <c r="K69" s="1652"/>
      <c r="L69" s="1652"/>
      <c r="M69" s="1652"/>
      <c r="N69" s="1652"/>
      <c r="O69" s="1652"/>
      <c r="P69" s="1652"/>
      <c r="Q69" s="1652"/>
      <c r="R69" s="1652"/>
      <c r="S69" s="1652"/>
      <c r="T69" s="1652"/>
      <c r="U69" s="1652"/>
      <c r="V69" s="1652"/>
      <c r="W69" s="1652"/>
      <c r="X69" s="1652"/>
      <c r="Y69" s="1652"/>
      <c r="Z69" s="1652"/>
      <c r="AA69" s="1652"/>
      <c r="AB69" s="1652"/>
      <c r="AC69" s="1652"/>
      <c r="AD69" s="1652"/>
      <c r="AE69" s="1652"/>
      <c r="AF69" s="1652"/>
      <c r="AG69" s="1652"/>
      <c r="AH69" s="1652"/>
      <c r="AI69" s="1652"/>
      <c r="AJ69" s="1652"/>
      <c r="AK69" s="1652"/>
      <c r="AL69" s="1652"/>
      <c r="AM69" s="1652"/>
      <c r="AN69" s="1652"/>
      <c r="AO69" s="1652"/>
      <c r="AP69" s="1652"/>
      <c r="AQ69" s="1652"/>
      <c r="AR69" s="1652"/>
    </row>
    <row r="70" spans="1:44">
      <c r="A70" s="1663"/>
      <c r="B70" s="1652"/>
      <c r="C70" s="1494" t="s">
        <v>51</v>
      </c>
      <c r="D70" s="2778">
        <v>0</v>
      </c>
      <c r="E70" s="1671">
        <v>0</v>
      </c>
      <c r="F70" s="1491">
        <v>0</v>
      </c>
      <c r="G70" s="1652"/>
      <c r="H70" s="1652"/>
      <c r="I70" s="1652"/>
      <c r="J70" s="1652"/>
      <c r="K70" s="1652"/>
      <c r="L70" s="1652"/>
      <c r="M70" s="1652"/>
      <c r="N70" s="1652"/>
      <c r="O70" s="1652"/>
      <c r="P70" s="1652"/>
      <c r="Q70" s="1652"/>
      <c r="R70" s="1652"/>
      <c r="S70" s="1652"/>
      <c r="T70" s="1652"/>
      <c r="U70" s="1652"/>
      <c r="V70" s="1652"/>
      <c r="W70" s="1652"/>
      <c r="X70" s="1652"/>
      <c r="Y70" s="1652"/>
      <c r="Z70" s="1652"/>
      <c r="AA70" s="1652"/>
      <c r="AB70" s="1652"/>
      <c r="AC70" s="1652"/>
      <c r="AD70" s="1652"/>
      <c r="AE70" s="1652"/>
      <c r="AF70" s="1652"/>
      <c r="AG70" s="1652"/>
      <c r="AH70" s="1652"/>
      <c r="AI70" s="1652"/>
      <c r="AJ70" s="1652"/>
      <c r="AK70" s="1652"/>
      <c r="AL70" s="1652"/>
      <c r="AM70" s="1652"/>
      <c r="AN70" s="1652"/>
      <c r="AO70" s="1652"/>
      <c r="AP70" s="1652"/>
      <c r="AQ70" s="1652"/>
      <c r="AR70" s="1652"/>
    </row>
    <row r="71" spans="1:44">
      <c r="A71" s="1652"/>
      <c r="B71" s="1652"/>
      <c r="C71" s="1652"/>
      <c r="D71" s="1652"/>
      <c r="E71" s="1663"/>
      <c r="F71" s="1652"/>
      <c r="G71" s="1652"/>
      <c r="H71" s="1652"/>
      <c r="I71" s="1652"/>
      <c r="J71" s="1652"/>
      <c r="K71" s="1652"/>
      <c r="L71" s="1652"/>
      <c r="M71" s="1652"/>
      <c r="N71" s="1652"/>
      <c r="O71" s="1652"/>
      <c r="P71" s="1652"/>
      <c r="Q71" s="1652"/>
      <c r="R71" s="1652"/>
      <c r="S71" s="1652"/>
      <c r="T71" s="1652"/>
      <c r="U71" s="1652"/>
      <c r="V71" s="1652"/>
      <c r="W71" s="1652"/>
      <c r="X71" s="1652"/>
      <c r="Y71" s="1652"/>
      <c r="Z71" s="1652"/>
      <c r="AA71" s="1652"/>
      <c r="AB71" s="1652"/>
      <c r="AC71" s="1652"/>
      <c r="AD71" s="1652"/>
      <c r="AE71" s="1652"/>
      <c r="AF71" s="1652"/>
      <c r="AG71" s="1652"/>
      <c r="AH71" s="1652"/>
      <c r="AI71" s="1652"/>
      <c r="AJ71" s="1652"/>
      <c r="AK71" s="1652"/>
      <c r="AL71" s="1652"/>
      <c r="AM71" s="1652"/>
      <c r="AN71" s="1652"/>
      <c r="AO71" s="1652"/>
      <c r="AP71" s="1652"/>
      <c r="AQ71" s="1652"/>
      <c r="AR71" s="1652"/>
    </row>
    <row r="72" spans="1:44">
      <c r="A72" s="1652"/>
      <c r="B72" s="1652"/>
      <c r="C72" s="1652"/>
      <c r="D72" s="1652"/>
      <c r="E72" s="1663"/>
      <c r="F72" s="1652"/>
      <c r="G72" s="1652"/>
      <c r="H72" s="1652"/>
      <c r="I72" s="1652"/>
      <c r="J72" s="1652"/>
      <c r="K72" s="1652"/>
      <c r="L72" s="1652"/>
      <c r="M72" s="1652"/>
      <c r="N72" s="1652"/>
      <c r="O72" s="1652"/>
      <c r="P72" s="1652"/>
      <c r="Q72" s="1652"/>
      <c r="R72" s="1652"/>
      <c r="S72" s="1652"/>
      <c r="T72" s="1652"/>
      <c r="U72" s="1652"/>
      <c r="V72" s="1652"/>
      <c r="W72" s="1652"/>
      <c r="X72" s="1652"/>
      <c r="Y72" s="1652"/>
      <c r="Z72" s="1652"/>
      <c r="AA72" s="1652"/>
      <c r="AB72" s="1652"/>
      <c r="AC72" s="1652"/>
      <c r="AD72" s="1652"/>
      <c r="AE72" s="1652"/>
      <c r="AF72" s="1652"/>
      <c r="AG72" s="1652"/>
      <c r="AH72" s="1652"/>
      <c r="AI72" s="1652"/>
      <c r="AJ72" s="1652"/>
      <c r="AK72" s="1652"/>
      <c r="AL72" s="1652"/>
      <c r="AM72" s="1652"/>
      <c r="AN72" s="1652"/>
      <c r="AO72" s="1652"/>
      <c r="AP72" s="1652"/>
      <c r="AQ72" s="1652"/>
      <c r="AR72" s="1652"/>
    </row>
    <row r="73" spans="1:44">
      <c r="A73" s="1652"/>
      <c r="B73" s="1652"/>
      <c r="C73" s="1652"/>
      <c r="D73" s="1652"/>
      <c r="E73" s="1663"/>
      <c r="F73" s="1652"/>
      <c r="G73" s="1652"/>
      <c r="H73" s="3003" t="s">
        <v>1751</v>
      </c>
      <c r="I73" s="1652"/>
      <c r="J73" s="1652"/>
      <c r="K73" s="1652"/>
      <c r="L73" s="1652"/>
      <c r="M73" s="1652"/>
      <c r="N73" s="1652"/>
      <c r="O73" s="1652"/>
      <c r="P73" s="1652"/>
      <c r="Q73" s="1652"/>
      <c r="R73" s="1652"/>
      <c r="S73" s="1652"/>
      <c r="T73" s="1652"/>
      <c r="U73" s="1652"/>
      <c r="V73" s="1652"/>
      <c r="W73" s="1652"/>
      <c r="X73" s="1652"/>
      <c r="Y73" s="1652"/>
      <c r="Z73" s="1652"/>
      <c r="AA73" s="1652"/>
      <c r="AB73" s="1652"/>
      <c r="AC73" s="1652"/>
      <c r="AD73" s="1652"/>
      <c r="AE73" s="1652"/>
      <c r="AF73" s="1652"/>
      <c r="AG73" s="1652"/>
      <c r="AH73" s="1652"/>
      <c r="AI73" s="1652"/>
      <c r="AJ73" s="1652"/>
      <c r="AK73" s="1652"/>
      <c r="AL73" s="1652"/>
      <c r="AM73" s="1652"/>
      <c r="AN73" s="1652"/>
      <c r="AO73" s="1652"/>
      <c r="AP73" s="1652"/>
      <c r="AQ73" s="1652"/>
      <c r="AR73" s="1652"/>
    </row>
    <row r="74" spans="1:44">
      <c r="A74" s="1652"/>
      <c r="B74" s="1652"/>
      <c r="C74" s="1652"/>
      <c r="D74" s="1652"/>
      <c r="E74" s="1663"/>
      <c r="F74" s="1652"/>
      <c r="G74" s="1652"/>
      <c r="H74" s="3191" t="s">
        <v>300</v>
      </c>
      <c r="I74" s="3191"/>
      <c r="J74" s="3191"/>
      <c r="K74" s="3191"/>
      <c r="L74" s="3191"/>
      <c r="M74" s="3191"/>
      <c r="N74" s="3191"/>
      <c r="O74" s="3191"/>
      <c r="P74" s="3191"/>
      <c r="Q74" s="1465"/>
      <c r="R74" s="1465"/>
      <c r="S74" s="1465"/>
      <c r="T74" s="1465"/>
      <c r="U74" s="1465"/>
      <c r="V74" s="1465"/>
      <c r="W74" s="3191" t="s">
        <v>300</v>
      </c>
      <c r="X74" s="1465"/>
      <c r="Y74" s="1465"/>
      <c r="Z74" s="3191" t="s">
        <v>300</v>
      </c>
      <c r="AA74" s="1465"/>
      <c r="AB74" s="1652"/>
      <c r="AC74" s="1652"/>
      <c r="AD74" s="1652"/>
      <c r="AE74" s="1652"/>
      <c r="AF74" s="1652"/>
      <c r="AG74" s="1652"/>
      <c r="AH74" s="1652"/>
      <c r="AI74" s="1652"/>
      <c r="AJ74" s="1652"/>
      <c r="AK74" s="1652"/>
      <c r="AL74" s="1652"/>
      <c r="AM74" s="1652"/>
      <c r="AN74" s="1652"/>
      <c r="AO74" s="1652"/>
      <c r="AP74" s="1652"/>
      <c r="AQ74" s="1652"/>
      <c r="AR74" s="1652"/>
    </row>
    <row r="75" spans="1:44">
      <c r="A75" s="1652"/>
      <c r="B75" s="1652"/>
      <c r="C75" s="1652"/>
      <c r="D75" s="1652"/>
      <c r="E75" s="1663"/>
      <c r="F75" s="1652"/>
      <c r="G75" s="1652"/>
      <c r="H75" s="1456"/>
      <c r="I75" s="1457"/>
      <c r="J75" s="1457"/>
      <c r="K75" s="1456"/>
      <c r="L75" s="1456"/>
      <c r="M75" s="1456"/>
      <c r="N75" s="1456"/>
      <c r="O75" s="1456"/>
      <c r="P75" s="1456"/>
      <c r="Q75" s="1456"/>
      <c r="R75" s="1456"/>
      <c r="S75" s="1456"/>
      <c r="T75" s="1456"/>
      <c r="U75" s="1456"/>
      <c r="V75" s="1456"/>
      <c r="W75" s="1456"/>
      <c r="X75" s="1456"/>
      <c r="Y75" s="1456"/>
      <c r="Z75" s="1456"/>
      <c r="AA75" s="1456"/>
      <c r="AB75" s="1652"/>
      <c r="AC75" s="1652"/>
      <c r="AD75" s="1652"/>
      <c r="AE75" s="1652"/>
      <c r="AF75" s="1652"/>
      <c r="AG75" s="1652"/>
      <c r="AH75" s="1652"/>
      <c r="AI75" s="1652"/>
      <c r="AJ75" s="1652"/>
      <c r="AK75" s="1652"/>
      <c r="AL75" s="1652"/>
      <c r="AM75" s="1652"/>
      <c r="AN75" s="1652"/>
      <c r="AO75" s="1652"/>
      <c r="AP75" s="1652"/>
      <c r="AQ75" s="1652"/>
      <c r="AR75" s="1652"/>
    </row>
    <row r="76" spans="1:44">
      <c r="A76" s="1652"/>
      <c r="B76" s="1652"/>
      <c r="C76" s="1652"/>
      <c r="D76" s="1652"/>
      <c r="E76" s="1663"/>
      <c r="F76" s="1652"/>
      <c r="G76" s="1652"/>
      <c r="H76" s="3192" t="s">
        <v>301</v>
      </c>
      <c r="I76" s="3192"/>
      <c r="J76" s="3192"/>
      <c r="K76" s="3192"/>
      <c r="L76" s="3192"/>
      <c r="M76" s="3192"/>
      <c r="N76" s="3192"/>
      <c r="O76" s="3192"/>
      <c r="P76" s="3192"/>
      <c r="Q76" s="3194" t="s">
        <v>40</v>
      </c>
      <c r="R76" s="3194"/>
      <c r="S76" s="3194"/>
      <c r="T76" s="3190" t="s">
        <v>41</v>
      </c>
      <c r="U76" s="3190"/>
      <c r="V76" s="3190"/>
      <c r="W76" s="3193" t="s">
        <v>52</v>
      </c>
      <c r="X76" s="3193"/>
      <c r="Y76" s="3193"/>
      <c r="Z76" s="3567" t="s">
        <v>1728</v>
      </c>
      <c r="AA76" s="1456"/>
      <c r="AB76" s="1652"/>
      <c r="AC76" s="1652"/>
      <c r="AD76" s="1652"/>
      <c r="AE76" s="1652"/>
      <c r="AF76" s="1652"/>
      <c r="AG76" s="1652"/>
      <c r="AH76" s="1652"/>
      <c r="AI76" s="1652"/>
      <c r="AJ76" s="1652"/>
      <c r="AK76" s="1652"/>
      <c r="AL76" s="1652"/>
      <c r="AM76" s="1652"/>
      <c r="AN76" s="1652"/>
      <c r="AO76" s="1652"/>
      <c r="AP76" s="1652"/>
      <c r="AQ76" s="1652"/>
      <c r="AR76" s="1652"/>
    </row>
    <row r="77" spans="1:44">
      <c r="A77" s="1652"/>
      <c r="B77" s="1652"/>
      <c r="C77" s="1652"/>
      <c r="D77" s="1652"/>
      <c r="E77" s="1663"/>
      <c r="F77" s="1652"/>
      <c r="G77" s="1652"/>
      <c r="H77" s="1471" t="s">
        <v>302</v>
      </c>
      <c r="I77" s="1471" t="s">
        <v>228</v>
      </c>
      <c r="J77" s="1471" t="s">
        <v>303</v>
      </c>
      <c r="K77" s="1471" t="s">
        <v>304</v>
      </c>
      <c r="L77" s="1471" t="s">
        <v>53</v>
      </c>
      <c r="M77" s="1471" t="s">
        <v>54</v>
      </c>
      <c r="N77" s="1471" t="s">
        <v>305</v>
      </c>
      <c r="O77" s="1471" t="s">
        <v>55</v>
      </c>
      <c r="P77" s="1471" t="s">
        <v>56</v>
      </c>
      <c r="Q77" s="1472">
        <v>2016</v>
      </c>
      <c r="R77" s="1472">
        <v>2017</v>
      </c>
      <c r="S77" s="1472" t="s">
        <v>306</v>
      </c>
      <c r="T77" s="1473">
        <v>2016</v>
      </c>
      <c r="U77" s="1473">
        <v>2017</v>
      </c>
      <c r="V77" s="1473" t="s">
        <v>306</v>
      </c>
      <c r="W77" s="1474">
        <v>2016</v>
      </c>
      <c r="X77" s="1474">
        <v>2017</v>
      </c>
      <c r="Y77" s="1474" t="s">
        <v>306</v>
      </c>
      <c r="Z77" s="3567"/>
      <c r="AA77" s="1456"/>
      <c r="AB77" s="1652"/>
      <c r="AC77" s="1652"/>
      <c r="AD77" s="1652"/>
      <c r="AE77" s="1652"/>
      <c r="AF77" s="1652"/>
      <c r="AG77" s="1652"/>
      <c r="AH77" s="1652"/>
      <c r="AI77" s="1652"/>
      <c r="AJ77" s="1652"/>
      <c r="AK77" s="1652"/>
      <c r="AL77" s="1652"/>
      <c r="AM77" s="1652"/>
      <c r="AN77" s="1652"/>
      <c r="AO77" s="1652"/>
      <c r="AP77" s="1652"/>
      <c r="AQ77" s="1652"/>
      <c r="AR77" s="1652"/>
    </row>
    <row r="78" spans="1:44">
      <c r="A78" s="1652"/>
      <c r="B78" s="1652"/>
      <c r="C78" s="1652"/>
      <c r="D78" s="1652"/>
      <c r="E78" s="1663"/>
      <c r="F78" s="1652"/>
      <c r="G78" s="1652"/>
      <c r="H78" s="1458" t="s">
        <v>307</v>
      </c>
      <c r="I78" s="1458" t="s">
        <v>307</v>
      </c>
      <c r="J78" s="1471"/>
      <c r="K78" s="1458" t="s">
        <v>307</v>
      </c>
      <c r="L78" s="1458" t="s">
        <v>307</v>
      </c>
      <c r="M78" s="1458" t="s">
        <v>307</v>
      </c>
      <c r="N78" s="1458" t="s">
        <v>307</v>
      </c>
      <c r="O78" s="1458" t="s">
        <v>307</v>
      </c>
      <c r="P78" s="1458" t="s">
        <v>307</v>
      </c>
      <c r="Q78" s="1458" t="s">
        <v>307</v>
      </c>
      <c r="R78" s="1458" t="s">
        <v>307</v>
      </c>
      <c r="S78" s="1472"/>
      <c r="T78" s="1473"/>
      <c r="U78" s="1473"/>
      <c r="V78" s="1473"/>
      <c r="W78" s="1474"/>
      <c r="X78" s="1474"/>
      <c r="Y78" s="1474"/>
      <c r="Z78" s="1458" t="s">
        <v>307</v>
      </c>
      <c r="AA78" s="1456"/>
      <c r="AB78" s="1652"/>
      <c r="AC78" s="1652"/>
      <c r="AD78" s="1652"/>
      <c r="AE78" s="1652"/>
      <c r="AF78" s="1652"/>
      <c r="AG78" s="1652"/>
      <c r="AH78" s="1652"/>
      <c r="AI78" s="1652"/>
      <c r="AJ78" s="1652"/>
      <c r="AK78" s="1652"/>
      <c r="AL78" s="1652"/>
      <c r="AM78" s="1652"/>
      <c r="AN78" s="1652"/>
      <c r="AO78" s="1652"/>
      <c r="AP78" s="1652"/>
      <c r="AQ78" s="1652"/>
      <c r="AR78" s="1652"/>
    </row>
    <row r="79" spans="1:44">
      <c r="A79" s="1652"/>
      <c r="B79" s="1652"/>
      <c r="C79" s="1652"/>
      <c r="D79" s="1652"/>
      <c r="E79" s="1663"/>
      <c r="F79" s="1652"/>
      <c r="G79" s="1652"/>
      <c r="H79" s="1475" t="s">
        <v>308</v>
      </c>
      <c r="I79" s="1476"/>
      <c r="J79" s="1476"/>
      <c r="K79" s="1477"/>
      <c r="L79" s="1478">
        <f>SUMPRODUCT(L80:L229,S80:S229)</f>
        <v>799103.26</v>
      </c>
      <c r="M79" s="1478">
        <f>SUM(M80:M229)</f>
        <v>160578.28899999999</v>
      </c>
      <c r="N79" s="1479" t="s">
        <v>229</v>
      </c>
      <c r="O79" s="1477">
        <v>9</v>
      </c>
      <c r="P79" s="1477"/>
      <c r="Q79" s="1477"/>
      <c r="R79" s="1477"/>
      <c r="S79" s="1477"/>
      <c r="T79" s="1480">
        <f t="shared" ref="T79:X79" si="9">SUM(T80:T129)</f>
        <v>133170</v>
      </c>
      <c r="U79" s="1480">
        <f t="shared" si="9"/>
        <v>133170</v>
      </c>
      <c r="V79" s="1480">
        <f t="shared" si="9"/>
        <v>266340</v>
      </c>
      <c r="W79" s="1478">
        <f t="shared" si="9"/>
        <v>399551.63</v>
      </c>
      <c r="X79" s="1478">
        <f t="shared" si="9"/>
        <v>399551.63</v>
      </c>
      <c r="Y79" s="1478">
        <f>SUM(Y80:Y129)</f>
        <v>799103.26</v>
      </c>
      <c r="Z79" s="1481">
        <v>0</v>
      </c>
      <c r="AA79" s="1456"/>
      <c r="AB79" s="1652"/>
      <c r="AC79" s="1652"/>
      <c r="AD79" s="1652"/>
      <c r="AE79" s="1652"/>
      <c r="AF79" s="1652"/>
      <c r="AG79" s="1652"/>
      <c r="AH79" s="1652"/>
      <c r="AI79" s="1652"/>
      <c r="AJ79" s="1652"/>
      <c r="AK79" s="1652"/>
      <c r="AL79" s="1652"/>
      <c r="AM79" s="1652"/>
      <c r="AN79" s="1652"/>
      <c r="AO79" s="1652"/>
      <c r="AP79" s="1652"/>
      <c r="AQ79" s="1652"/>
      <c r="AR79" s="1652"/>
    </row>
    <row r="80" spans="1:44">
      <c r="A80" s="1652"/>
      <c r="B80" s="1652"/>
      <c r="C80" s="1652"/>
      <c r="D80" s="1652"/>
      <c r="E80" s="1663"/>
      <c r="F80" s="1652"/>
      <c r="G80" s="1652"/>
      <c r="H80" s="1460" t="s">
        <v>1186</v>
      </c>
      <c r="I80" s="2205">
        <v>32</v>
      </c>
      <c r="J80" s="1470" t="s">
        <v>71</v>
      </c>
      <c r="K80" s="1460" t="s">
        <v>845</v>
      </c>
      <c r="L80" s="1467">
        <v>11.787999999999998</v>
      </c>
      <c r="M80" s="1467">
        <v>11.787999999999998</v>
      </c>
      <c r="N80" s="1461">
        <v>0.12014718029586244</v>
      </c>
      <c r="O80" s="1460">
        <v>5</v>
      </c>
      <c r="P80" s="1463" t="s">
        <v>997</v>
      </c>
      <c r="Q80" s="1466">
        <v>500</v>
      </c>
      <c r="R80" s="1466">
        <v>500</v>
      </c>
      <c r="S80" s="1469">
        <f>SUM(Q80:R80)</f>
        <v>1000</v>
      </c>
      <c r="T80" s="1469">
        <f>Q80*I80</f>
        <v>16000</v>
      </c>
      <c r="U80" s="1469">
        <f>R80*I80</f>
        <v>16000</v>
      </c>
      <c r="V80" s="1469">
        <f>SUM(T80:U80)</f>
        <v>32000</v>
      </c>
      <c r="W80" s="1459">
        <f>Q80*M80</f>
        <v>5893.9999999999991</v>
      </c>
      <c r="X80" s="1459">
        <f>R80*M80</f>
        <v>5893.9999999999991</v>
      </c>
      <c r="Y80" s="1459">
        <f>SUM(W80:X80)</f>
        <v>11787.999999999998</v>
      </c>
      <c r="Z80" s="1482"/>
      <c r="AA80" s="1456"/>
      <c r="AB80" s="1652"/>
      <c r="AC80" s="1652"/>
      <c r="AD80" s="1652"/>
      <c r="AE80" s="1652"/>
      <c r="AF80" s="1652"/>
      <c r="AG80" s="1652"/>
      <c r="AH80" s="1652"/>
      <c r="AI80" s="1652"/>
      <c r="AJ80" s="1652"/>
      <c r="AK80" s="1652"/>
      <c r="AL80" s="1652"/>
      <c r="AM80" s="1652"/>
      <c r="AN80" s="1652"/>
      <c r="AO80" s="1652"/>
      <c r="AP80" s="1652"/>
      <c r="AQ80" s="1652"/>
      <c r="AR80" s="1652"/>
    </row>
    <row r="81" spans="1:44">
      <c r="A81" s="1652"/>
      <c r="B81" s="1652"/>
      <c r="C81" s="1652"/>
      <c r="D81" s="1652"/>
      <c r="E81" s="1663"/>
      <c r="F81" s="1652"/>
      <c r="G81" s="1652"/>
      <c r="H81" s="1460" t="s">
        <v>1187</v>
      </c>
      <c r="I81" s="2205">
        <v>16</v>
      </c>
      <c r="J81" s="1470" t="s">
        <v>71</v>
      </c>
      <c r="K81" s="1460" t="s">
        <v>845</v>
      </c>
      <c r="L81" s="1467">
        <v>10.946</v>
      </c>
      <c r="M81" s="1467">
        <v>10.946</v>
      </c>
      <c r="N81" s="1461">
        <v>4.8058872118344975E-2</v>
      </c>
      <c r="O81" s="1460">
        <v>5</v>
      </c>
      <c r="P81" s="1463" t="s">
        <v>997</v>
      </c>
      <c r="Q81" s="1466">
        <v>400</v>
      </c>
      <c r="R81" s="1466">
        <v>400</v>
      </c>
      <c r="S81" s="1469">
        <f t="shared" ref="S81:S129" si="10">SUM(Q81:R81)</f>
        <v>800</v>
      </c>
      <c r="T81" s="1469">
        <f t="shared" ref="T81:T129" si="11">Q81*I81</f>
        <v>6400</v>
      </c>
      <c r="U81" s="1469">
        <f t="shared" ref="U81:U129" si="12">R81*I81</f>
        <v>6400</v>
      </c>
      <c r="V81" s="1469">
        <f t="shared" ref="V81:V129" si="13">SUM(T81:U81)</f>
        <v>12800</v>
      </c>
      <c r="W81" s="1459">
        <f t="shared" ref="W81:W129" si="14">Q81*M81</f>
        <v>4378.3999999999996</v>
      </c>
      <c r="X81" s="1459">
        <f t="shared" ref="X81:X129" si="15">R81*M81</f>
        <v>4378.3999999999996</v>
      </c>
      <c r="Y81" s="1459">
        <f t="shared" ref="Y81:Y129" si="16">SUM(W81:X81)</f>
        <v>8756.7999999999993</v>
      </c>
      <c r="Z81" s="1482"/>
      <c r="AA81" s="1456"/>
      <c r="AB81" s="1652"/>
      <c r="AC81" s="1652"/>
      <c r="AD81" s="1652"/>
      <c r="AE81" s="1652"/>
      <c r="AF81" s="1652"/>
      <c r="AG81" s="1652"/>
      <c r="AH81" s="1652"/>
      <c r="AI81" s="1652"/>
      <c r="AJ81" s="1652"/>
      <c r="AK81" s="1652"/>
      <c r="AL81" s="1652"/>
      <c r="AM81" s="1652"/>
      <c r="AN81" s="1652"/>
      <c r="AO81" s="1652"/>
      <c r="AP81" s="1652"/>
      <c r="AQ81" s="1652"/>
      <c r="AR81" s="1652"/>
    </row>
    <row r="82" spans="1:44">
      <c r="A82" s="1652"/>
      <c r="B82" s="1652"/>
      <c r="C82" s="1652"/>
      <c r="D82" s="1652"/>
      <c r="E82" s="1663"/>
      <c r="F82" s="1652"/>
      <c r="G82" s="1652"/>
      <c r="H82" s="1460" t="s">
        <v>1188</v>
      </c>
      <c r="I82" s="2205">
        <v>53</v>
      </c>
      <c r="J82" s="1470" t="s">
        <v>71</v>
      </c>
      <c r="K82" s="1460" t="s">
        <v>845</v>
      </c>
      <c r="L82" s="1467">
        <v>70.421000000000006</v>
      </c>
      <c r="M82" s="1467">
        <v>70.421000000000006</v>
      </c>
      <c r="N82" s="1461">
        <v>3.9798753473004427E-3</v>
      </c>
      <c r="O82" s="1460">
        <v>5</v>
      </c>
      <c r="P82" s="1463" t="s">
        <v>997</v>
      </c>
      <c r="Q82" s="1466">
        <v>10</v>
      </c>
      <c r="R82" s="1466">
        <v>10</v>
      </c>
      <c r="S82" s="1469">
        <f t="shared" si="10"/>
        <v>20</v>
      </c>
      <c r="T82" s="1469">
        <f t="shared" si="11"/>
        <v>530</v>
      </c>
      <c r="U82" s="1469">
        <f t="shared" si="12"/>
        <v>530</v>
      </c>
      <c r="V82" s="1469">
        <f t="shared" si="13"/>
        <v>1060</v>
      </c>
      <c r="W82" s="1459">
        <f t="shared" si="14"/>
        <v>704.21</v>
      </c>
      <c r="X82" s="1459">
        <f t="shared" si="15"/>
        <v>704.21</v>
      </c>
      <c r="Y82" s="1459">
        <f t="shared" si="16"/>
        <v>1408.42</v>
      </c>
      <c r="Z82" s="1482"/>
      <c r="AA82" s="1456"/>
      <c r="AB82" s="1652"/>
      <c r="AC82" s="1652"/>
      <c r="AD82" s="1652"/>
      <c r="AE82" s="1652"/>
      <c r="AF82" s="1652"/>
      <c r="AG82" s="1652"/>
      <c r="AH82" s="1652"/>
      <c r="AI82" s="1652"/>
      <c r="AJ82" s="1652"/>
      <c r="AK82" s="1652"/>
      <c r="AL82" s="1652"/>
      <c r="AM82" s="1652"/>
      <c r="AN82" s="1652"/>
      <c r="AO82" s="1652"/>
      <c r="AP82" s="1652"/>
      <c r="AQ82" s="1652"/>
      <c r="AR82" s="1652"/>
    </row>
    <row r="83" spans="1:44">
      <c r="A83" s="1652"/>
      <c r="B83" s="1652"/>
      <c r="C83" s="1652"/>
      <c r="D83" s="1652"/>
      <c r="E83" s="1663"/>
      <c r="F83" s="1652"/>
      <c r="G83" s="1652"/>
      <c r="H83" s="1460" t="s">
        <v>1189</v>
      </c>
      <c r="I83" s="2205">
        <v>37</v>
      </c>
      <c r="J83" s="1470" t="s">
        <v>71</v>
      </c>
      <c r="K83" s="1460" t="s">
        <v>845</v>
      </c>
      <c r="L83" s="1467">
        <v>70.421000000000006</v>
      </c>
      <c r="M83" s="1467">
        <v>70.421000000000006</v>
      </c>
      <c r="N83" s="1461">
        <v>2.7784035443418186E-3</v>
      </c>
      <c r="O83" s="1460">
        <v>5</v>
      </c>
      <c r="P83" s="1463" t="s">
        <v>997</v>
      </c>
      <c r="Q83" s="1466">
        <v>10</v>
      </c>
      <c r="R83" s="1466">
        <v>10</v>
      </c>
      <c r="S83" s="1469">
        <f t="shared" si="10"/>
        <v>20</v>
      </c>
      <c r="T83" s="1469">
        <f t="shared" si="11"/>
        <v>370</v>
      </c>
      <c r="U83" s="1469">
        <f t="shared" si="12"/>
        <v>370</v>
      </c>
      <c r="V83" s="1469">
        <f t="shared" si="13"/>
        <v>740</v>
      </c>
      <c r="W83" s="1459">
        <f t="shared" si="14"/>
        <v>704.21</v>
      </c>
      <c r="X83" s="1459">
        <f t="shared" si="15"/>
        <v>704.21</v>
      </c>
      <c r="Y83" s="1459">
        <f t="shared" si="16"/>
        <v>1408.42</v>
      </c>
      <c r="Z83" s="1482"/>
      <c r="AA83" s="1456"/>
      <c r="AB83" s="1652"/>
      <c r="AC83" s="1652"/>
      <c r="AD83" s="1652"/>
      <c r="AE83" s="1652"/>
      <c r="AF83" s="1652"/>
      <c r="AG83" s="1652"/>
      <c r="AH83" s="1652"/>
      <c r="AI83" s="1652"/>
      <c r="AJ83" s="1652"/>
      <c r="AK83" s="1652"/>
      <c r="AL83" s="1652"/>
      <c r="AM83" s="1652"/>
      <c r="AN83" s="1652"/>
      <c r="AO83" s="1652"/>
      <c r="AP83" s="1652"/>
      <c r="AQ83" s="1652"/>
      <c r="AR83" s="1652"/>
    </row>
    <row r="84" spans="1:44">
      <c r="A84" s="1652"/>
      <c r="B84" s="1652"/>
      <c r="C84" s="1652"/>
      <c r="D84" s="1652"/>
      <c r="E84" s="1652"/>
      <c r="F84" s="1652"/>
      <c r="G84" s="1652"/>
      <c r="H84" s="1460" t="s">
        <v>1190</v>
      </c>
      <c r="I84" s="2205">
        <v>58</v>
      </c>
      <c r="J84" s="1470" t="s">
        <v>71</v>
      </c>
      <c r="K84" s="1460" t="s">
        <v>845</v>
      </c>
      <c r="L84" s="1467">
        <v>70.421000000000006</v>
      </c>
      <c r="M84" s="1467">
        <v>70.421000000000006</v>
      </c>
      <c r="N84" s="1461">
        <v>4.3553352857250129E-2</v>
      </c>
      <c r="O84" s="1460">
        <v>5</v>
      </c>
      <c r="P84" s="1463" t="s">
        <v>997</v>
      </c>
      <c r="Q84" s="1466">
        <v>100</v>
      </c>
      <c r="R84" s="1466">
        <v>100</v>
      </c>
      <c r="S84" s="1469">
        <f t="shared" si="10"/>
        <v>200</v>
      </c>
      <c r="T84" s="1469">
        <f t="shared" si="11"/>
        <v>5800</v>
      </c>
      <c r="U84" s="1469">
        <f t="shared" si="12"/>
        <v>5800</v>
      </c>
      <c r="V84" s="1469">
        <f t="shared" si="13"/>
        <v>11600</v>
      </c>
      <c r="W84" s="1459">
        <f t="shared" si="14"/>
        <v>7042.1</v>
      </c>
      <c r="X84" s="1459">
        <f t="shared" si="15"/>
        <v>7042.1</v>
      </c>
      <c r="Y84" s="1459">
        <f t="shared" si="16"/>
        <v>14084.2</v>
      </c>
      <c r="Z84" s="1482"/>
      <c r="AA84" s="1456"/>
      <c r="AB84" s="1652"/>
      <c r="AC84" s="1652"/>
      <c r="AD84" s="1652"/>
      <c r="AE84" s="1652"/>
      <c r="AF84" s="1652"/>
      <c r="AG84" s="1652"/>
      <c r="AH84" s="1652"/>
      <c r="AI84" s="1652"/>
      <c r="AJ84" s="1652"/>
      <c r="AK84" s="1652"/>
      <c r="AL84" s="1652"/>
      <c r="AM84" s="1652"/>
      <c r="AN84" s="1652"/>
      <c r="AO84" s="1652"/>
      <c r="AP84" s="1652"/>
      <c r="AQ84" s="1652"/>
      <c r="AR84" s="1652"/>
    </row>
    <row r="85" spans="1:44">
      <c r="A85" s="1652"/>
      <c r="B85" s="1652"/>
      <c r="C85" s="1652"/>
      <c r="D85" s="1652"/>
      <c r="E85" s="1652"/>
      <c r="F85" s="1652"/>
      <c r="G85" s="1652"/>
      <c r="H85" s="1460" t="s">
        <v>1191</v>
      </c>
      <c r="I85" s="2205">
        <v>97</v>
      </c>
      <c r="J85" s="1470" t="s">
        <v>71</v>
      </c>
      <c r="K85" s="1460" t="s">
        <v>845</v>
      </c>
      <c r="L85" s="1467">
        <v>70.421000000000006</v>
      </c>
      <c r="M85" s="1467">
        <v>70.421000000000006</v>
      </c>
      <c r="N85" s="1461">
        <v>7.28392280543666E-3</v>
      </c>
      <c r="O85" s="1460">
        <v>5</v>
      </c>
      <c r="P85" s="1463" t="s">
        <v>997</v>
      </c>
      <c r="Q85" s="1466">
        <v>10</v>
      </c>
      <c r="R85" s="1466">
        <v>10</v>
      </c>
      <c r="S85" s="1469">
        <f t="shared" si="10"/>
        <v>20</v>
      </c>
      <c r="T85" s="1469">
        <f t="shared" si="11"/>
        <v>970</v>
      </c>
      <c r="U85" s="1469">
        <f t="shared" si="12"/>
        <v>970</v>
      </c>
      <c r="V85" s="1469">
        <f t="shared" si="13"/>
        <v>1940</v>
      </c>
      <c r="W85" s="1459">
        <f t="shared" si="14"/>
        <v>704.21</v>
      </c>
      <c r="X85" s="1459">
        <f t="shared" si="15"/>
        <v>704.21</v>
      </c>
      <c r="Y85" s="1459">
        <f t="shared" si="16"/>
        <v>1408.42</v>
      </c>
      <c r="Z85" s="1482"/>
      <c r="AA85" s="1456"/>
      <c r="AB85" s="1652"/>
      <c r="AC85" s="1652"/>
      <c r="AD85" s="1652"/>
      <c r="AE85" s="1652"/>
      <c r="AF85" s="1652"/>
      <c r="AG85" s="1652"/>
      <c r="AH85" s="1652"/>
      <c r="AI85" s="1652"/>
      <c r="AJ85" s="1652"/>
      <c r="AK85" s="1652"/>
      <c r="AL85" s="1652"/>
      <c r="AM85" s="1652"/>
      <c r="AN85" s="1652"/>
      <c r="AO85" s="1652"/>
      <c r="AP85" s="1652"/>
      <c r="AQ85" s="1652"/>
      <c r="AR85" s="1652"/>
    </row>
    <row r="86" spans="1:44">
      <c r="A86" s="1652"/>
      <c r="B86" s="1652"/>
      <c r="C86" s="1652"/>
      <c r="D86" s="1652"/>
      <c r="E86" s="1652"/>
      <c r="F86" s="1652"/>
      <c r="G86" s="1652"/>
      <c r="H86" s="1460" t="s">
        <v>1192</v>
      </c>
      <c r="I86" s="2205">
        <v>5</v>
      </c>
      <c r="J86" s="1470" t="s">
        <v>71</v>
      </c>
      <c r="K86" s="1460" t="s">
        <v>845</v>
      </c>
      <c r="L86" s="1467">
        <v>21.671000000000003</v>
      </c>
      <c r="M86" s="1467">
        <v>21.671000000000003</v>
      </c>
      <c r="N86" s="1461">
        <v>0.45055192610948414</v>
      </c>
      <c r="O86" s="1460">
        <v>10</v>
      </c>
      <c r="P86" s="1463" t="s">
        <v>997</v>
      </c>
      <c r="Q86" s="1466">
        <v>12000</v>
      </c>
      <c r="R86" s="1466">
        <v>12000</v>
      </c>
      <c r="S86" s="1469">
        <f t="shared" si="10"/>
        <v>24000</v>
      </c>
      <c r="T86" s="1469">
        <f t="shared" si="11"/>
        <v>60000</v>
      </c>
      <c r="U86" s="1469">
        <f t="shared" si="12"/>
        <v>60000</v>
      </c>
      <c r="V86" s="1469">
        <f t="shared" si="13"/>
        <v>120000</v>
      </c>
      <c r="W86" s="1459">
        <f t="shared" si="14"/>
        <v>260052.00000000003</v>
      </c>
      <c r="X86" s="1459">
        <f t="shared" si="15"/>
        <v>260052.00000000003</v>
      </c>
      <c r="Y86" s="1459">
        <f t="shared" si="16"/>
        <v>520104.00000000006</v>
      </c>
      <c r="Z86" s="1482"/>
      <c r="AA86" s="1456"/>
      <c r="AB86" s="1652"/>
      <c r="AC86" s="1652"/>
      <c r="AD86" s="1652"/>
      <c r="AE86" s="1652"/>
      <c r="AF86" s="1652"/>
      <c r="AG86" s="1652"/>
      <c r="AH86" s="1652"/>
      <c r="AI86" s="1652"/>
      <c r="AJ86" s="1652"/>
      <c r="AK86" s="1652"/>
      <c r="AL86" s="1652"/>
      <c r="AM86" s="1652"/>
      <c r="AN86" s="1652"/>
      <c r="AO86" s="1652"/>
      <c r="AP86" s="1652"/>
      <c r="AQ86" s="1652"/>
      <c r="AR86" s="1652"/>
    </row>
    <row r="87" spans="1:44">
      <c r="A87" s="1652"/>
      <c r="B87" s="1652"/>
      <c r="C87" s="1652"/>
      <c r="D87" s="1652"/>
      <c r="E87" s="1652"/>
      <c r="F87" s="1652"/>
      <c r="G87" s="1652"/>
      <c r="H87" s="1460" t="s">
        <v>1468</v>
      </c>
      <c r="I87" s="2205">
        <v>2</v>
      </c>
      <c r="J87" s="1470" t="s">
        <v>71</v>
      </c>
      <c r="K87" s="1460" t="s">
        <v>845</v>
      </c>
      <c r="L87" s="1467">
        <v>14.950000000000001</v>
      </c>
      <c r="M87" s="1467">
        <v>14.950000000000001</v>
      </c>
      <c r="N87" s="1461">
        <v>4.5055192610948414E-3</v>
      </c>
      <c r="O87" s="1460">
        <v>5</v>
      </c>
      <c r="P87" s="1463" t="s">
        <v>997</v>
      </c>
      <c r="Q87" s="1466">
        <v>300</v>
      </c>
      <c r="R87" s="1466">
        <v>300</v>
      </c>
      <c r="S87" s="1469">
        <f t="shared" si="10"/>
        <v>600</v>
      </c>
      <c r="T87" s="1469">
        <f t="shared" si="11"/>
        <v>600</v>
      </c>
      <c r="U87" s="1469">
        <f t="shared" si="12"/>
        <v>600</v>
      </c>
      <c r="V87" s="1469">
        <f t="shared" si="13"/>
        <v>1200</v>
      </c>
      <c r="W87" s="1459">
        <f t="shared" si="14"/>
        <v>4485</v>
      </c>
      <c r="X87" s="1459">
        <f t="shared" si="15"/>
        <v>4485</v>
      </c>
      <c r="Y87" s="1459">
        <f t="shared" si="16"/>
        <v>8970</v>
      </c>
      <c r="Z87" s="1482"/>
      <c r="AA87" s="1456"/>
      <c r="AB87" s="1652"/>
      <c r="AC87" s="1652"/>
      <c r="AD87" s="1652"/>
      <c r="AE87" s="1652"/>
      <c r="AF87" s="1652"/>
      <c r="AG87" s="1652"/>
      <c r="AH87" s="1652"/>
      <c r="AI87" s="1652"/>
      <c r="AJ87" s="1652"/>
      <c r="AK87" s="1652"/>
      <c r="AL87" s="1652"/>
      <c r="AM87" s="1652"/>
      <c r="AN87" s="1652"/>
      <c r="AO87" s="1652"/>
      <c r="AP87" s="1652"/>
      <c r="AQ87" s="1652"/>
      <c r="AR87" s="1652"/>
    </row>
    <row r="88" spans="1:44">
      <c r="A88" s="1652"/>
      <c r="B88" s="1652"/>
      <c r="C88" s="1652"/>
      <c r="D88" s="1652"/>
      <c r="E88" s="1652"/>
      <c r="F88" s="1652"/>
      <c r="G88" s="1652"/>
      <c r="H88" s="1460" t="s">
        <v>1194</v>
      </c>
      <c r="I88" s="2205">
        <v>50</v>
      </c>
      <c r="J88" s="1470" t="s">
        <v>71</v>
      </c>
      <c r="K88" s="1460" t="s">
        <v>845</v>
      </c>
      <c r="L88" s="1467">
        <v>237.25</v>
      </c>
      <c r="M88" s="1467">
        <v>237.25</v>
      </c>
      <c r="N88" s="1461">
        <v>5.6318990763685517E-2</v>
      </c>
      <c r="O88" s="1460">
        <v>10</v>
      </c>
      <c r="P88" s="1463" t="s">
        <v>1160</v>
      </c>
      <c r="Q88" s="1466">
        <v>150</v>
      </c>
      <c r="R88" s="1466">
        <v>150</v>
      </c>
      <c r="S88" s="1469">
        <f t="shared" si="10"/>
        <v>300</v>
      </c>
      <c r="T88" s="1469">
        <f t="shared" si="11"/>
        <v>7500</v>
      </c>
      <c r="U88" s="1469">
        <f t="shared" si="12"/>
        <v>7500</v>
      </c>
      <c r="V88" s="1469">
        <f t="shared" si="13"/>
        <v>15000</v>
      </c>
      <c r="W88" s="1459">
        <f t="shared" si="14"/>
        <v>35587.5</v>
      </c>
      <c r="X88" s="1459">
        <f t="shared" si="15"/>
        <v>35587.5</v>
      </c>
      <c r="Y88" s="1459">
        <f t="shared" si="16"/>
        <v>71175</v>
      </c>
      <c r="Z88" s="1482"/>
      <c r="AA88" s="1456"/>
      <c r="AB88" s="1652"/>
      <c r="AC88" s="1652"/>
      <c r="AD88" s="1652"/>
      <c r="AE88" s="1652"/>
      <c r="AF88" s="1652"/>
      <c r="AG88" s="1652"/>
      <c r="AH88" s="1652"/>
      <c r="AI88" s="1652"/>
      <c r="AJ88" s="1652"/>
      <c r="AK88" s="1652"/>
      <c r="AL88" s="1652"/>
      <c r="AM88" s="1652"/>
      <c r="AN88" s="1652"/>
      <c r="AO88" s="1652"/>
      <c r="AP88" s="1652"/>
      <c r="AQ88" s="1652"/>
      <c r="AR88" s="1652"/>
    </row>
    <row r="89" spans="1:44">
      <c r="A89" s="1652"/>
      <c r="B89" s="1652"/>
      <c r="C89" s="1652"/>
      <c r="D89" s="1652"/>
      <c r="E89" s="1652"/>
      <c r="F89" s="1652"/>
      <c r="G89" s="1652"/>
      <c r="H89" s="1460" t="s">
        <v>1615</v>
      </c>
      <c r="I89" s="2205">
        <v>70000</v>
      </c>
      <c r="J89" s="1470" t="s">
        <v>71</v>
      </c>
      <c r="K89" s="1460" t="s">
        <v>991</v>
      </c>
      <c r="L89" s="1467">
        <v>160000</v>
      </c>
      <c r="M89" s="1467">
        <v>160000</v>
      </c>
      <c r="N89" s="1461">
        <v>0.26282195689719906</v>
      </c>
      <c r="O89" s="1460">
        <v>10</v>
      </c>
      <c r="P89" s="1463" t="s">
        <v>1160</v>
      </c>
      <c r="Q89" s="1466">
        <v>0.5</v>
      </c>
      <c r="R89" s="1466">
        <v>0.5</v>
      </c>
      <c r="S89" s="1469">
        <f t="shared" si="10"/>
        <v>1</v>
      </c>
      <c r="T89" s="1469">
        <f t="shared" si="11"/>
        <v>35000</v>
      </c>
      <c r="U89" s="1469">
        <f t="shared" si="12"/>
        <v>35000</v>
      </c>
      <c r="V89" s="1469">
        <f t="shared" si="13"/>
        <v>70000</v>
      </c>
      <c r="W89" s="1459">
        <f t="shared" si="14"/>
        <v>80000</v>
      </c>
      <c r="X89" s="1459">
        <f t="shared" si="15"/>
        <v>80000</v>
      </c>
      <c r="Y89" s="1459">
        <f t="shared" si="16"/>
        <v>160000</v>
      </c>
      <c r="Z89" s="1482"/>
      <c r="AA89" s="1456"/>
      <c r="AB89" s="1652"/>
      <c r="AC89" s="1652"/>
      <c r="AD89" s="1652"/>
      <c r="AE89" s="1652"/>
      <c r="AF89" s="1652"/>
      <c r="AG89" s="1652"/>
      <c r="AH89" s="1652"/>
      <c r="AI89" s="1652"/>
      <c r="AJ89" s="1652"/>
      <c r="AK89" s="1652"/>
      <c r="AL89" s="1652"/>
      <c r="AM89" s="1652"/>
      <c r="AN89" s="1652"/>
      <c r="AO89" s="1652"/>
      <c r="AP89" s="1652"/>
      <c r="AQ89" s="1652"/>
      <c r="AR89" s="1652"/>
    </row>
    <row r="90" spans="1:44">
      <c r="A90" s="1652"/>
      <c r="B90" s="1652"/>
      <c r="C90" s="1652"/>
      <c r="D90" s="1652"/>
      <c r="E90" s="1652"/>
      <c r="F90" s="1652"/>
      <c r="G90" s="1652"/>
      <c r="H90" s="1460"/>
      <c r="I90" s="2205"/>
      <c r="J90" s="1470" t="s">
        <v>229</v>
      </c>
      <c r="K90" s="1460"/>
      <c r="L90" s="1467"/>
      <c r="M90" s="1467"/>
      <c r="N90" s="1461"/>
      <c r="O90" s="1460"/>
      <c r="P90" s="1463"/>
      <c r="Q90" s="1466"/>
      <c r="R90" s="1466"/>
      <c r="S90" s="1469">
        <f t="shared" si="10"/>
        <v>0</v>
      </c>
      <c r="T90" s="1469">
        <f t="shared" si="11"/>
        <v>0</v>
      </c>
      <c r="U90" s="1469">
        <f t="shared" si="12"/>
        <v>0</v>
      </c>
      <c r="V90" s="1469">
        <f t="shared" si="13"/>
        <v>0</v>
      </c>
      <c r="W90" s="1459">
        <f t="shared" si="14"/>
        <v>0</v>
      </c>
      <c r="X90" s="1459">
        <f t="shared" si="15"/>
        <v>0</v>
      </c>
      <c r="Y90" s="1459">
        <f t="shared" si="16"/>
        <v>0</v>
      </c>
      <c r="Z90" s="1482"/>
      <c r="AA90" s="1456"/>
      <c r="AB90" s="1652"/>
      <c r="AC90" s="1652"/>
      <c r="AD90" s="1652"/>
      <c r="AE90" s="1652"/>
      <c r="AF90" s="1652"/>
      <c r="AG90" s="1652"/>
      <c r="AH90" s="1652"/>
      <c r="AI90" s="1652"/>
      <c r="AJ90" s="1652"/>
      <c r="AK90" s="1652"/>
      <c r="AL90" s="1652"/>
      <c r="AM90" s="1652"/>
      <c r="AN90" s="1652"/>
      <c r="AO90" s="1652"/>
      <c r="AP90" s="1652"/>
      <c r="AQ90" s="1652"/>
      <c r="AR90" s="1652"/>
    </row>
    <row r="91" spans="1:44">
      <c r="A91" s="1652"/>
      <c r="B91" s="1652"/>
      <c r="C91" s="1652"/>
      <c r="D91" s="1652"/>
      <c r="E91" s="1652"/>
      <c r="F91" s="1652"/>
      <c r="G91" s="1652"/>
      <c r="H91" s="1460"/>
      <c r="I91" s="2205"/>
      <c r="J91" s="1470" t="s">
        <v>229</v>
      </c>
      <c r="K91" s="1460"/>
      <c r="L91" s="1467"/>
      <c r="M91" s="1467"/>
      <c r="N91" s="1461"/>
      <c r="O91" s="1460"/>
      <c r="P91" s="1463"/>
      <c r="Q91" s="1466"/>
      <c r="R91" s="1466"/>
      <c r="S91" s="1469">
        <f t="shared" si="10"/>
        <v>0</v>
      </c>
      <c r="T91" s="1469">
        <f t="shared" si="11"/>
        <v>0</v>
      </c>
      <c r="U91" s="1469">
        <f t="shared" si="12"/>
        <v>0</v>
      </c>
      <c r="V91" s="1469">
        <f t="shared" si="13"/>
        <v>0</v>
      </c>
      <c r="W91" s="1459">
        <f t="shared" si="14"/>
        <v>0</v>
      </c>
      <c r="X91" s="1459">
        <f t="shared" si="15"/>
        <v>0</v>
      </c>
      <c r="Y91" s="1459">
        <f t="shared" si="16"/>
        <v>0</v>
      </c>
      <c r="Z91" s="1482"/>
      <c r="AA91" s="1456"/>
      <c r="AB91" s="1652"/>
      <c r="AC91" s="1652"/>
      <c r="AD91" s="1652"/>
      <c r="AE91" s="1652"/>
      <c r="AF91" s="1652"/>
      <c r="AG91" s="1652"/>
      <c r="AH91" s="1652"/>
      <c r="AI91" s="1652"/>
      <c r="AJ91" s="1652"/>
      <c r="AK91" s="1652"/>
      <c r="AL91" s="1652"/>
      <c r="AM91" s="1652"/>
      <c r="AN91" s="1652"/>
      <c r="AO91" s="1652"/>
      <c r="AP91" s="1652"/>
      <c r="AQ91" s="1652"/>
      <c r="AR91" s="1652"/>
    </row>
    <row r="92" spans="1:44">
      <c r="A92" s="1652"/>
      <c r="B92" s="1652"/>
      <c r="C92" s="1652"/>
      <c r="D92" s="1652"/>
      <c r="E92" s="1652"/>
      <c r="F92" s="1652"/>
      <c r="G92" s="1652"/>
      <c r="H92" s="1460"/>
      <c r="I92" s="2205"/>
      <c r="J92" s="1470" t="s">
        <v>229</v>
      </c>
      <c r="K92" s="1460"/>
      <c r="L92" s="1467"/>
      <c r="M92" s="1467"/>
      <c r="N92" s="1461"/>
      <c r="O92" s="1460"/>
      <c r="P92" s="1463"/>
      <c r="Q92" s="1466"/>
      <c r="R92" s="1466"/>
      <c r="S92" s="1469">
        <f t="shared" si="10"/>
        <v>0</v>
      </c>
      <c r="T92" s="1469">
        <f t="shared" si="11"/>
        <v>0</v>
      </c>
      <c r="U92" s="1469">
        <f t="shared" si="12"/>
        <v>0</v>
      </c>
      <c r="V92" s="1469">
        <f t="shared" si="13"/>
        <v>0</v>
      </c>
      <c r="W92" s="1459">
        <f t="shared" si="14"/>
        <v>0</v>
      </c>
      <c r="X92" s="1459">
        <f t="shared" si="15"/>
        <v>0</v>
      </c>
      <c r="Y92" s="1459">
        <f t="shared" si="16"/>
        <v>0</v>
      </c>
      <c r="Z92" s="1482"/>
      <c r="AA92" s="1456"/>
      <c r="AB92" s="1652"/>
      <c r="AC92" s="1652"/>
      <c r="AD92" s="1652"/>
      <c r="AE92" s="1652"/>
      <c r="AF92" s="1652"/>
      <c r="AG92" s="1652"/>
      <c r="AH92" s="1652"/>
      <c r="AI92" s="1652"/>
      <c r="AJ92" s="1652"/>
      <c r="AK92" s="1652"/>
      <c r="AL92" s="1652"/>
      <c r="AM92" s="1652"/>
      <c r="AN92" s="1652"/>
      <c r="AO92" s="1652"/>
      <c r="AP92" s="1652"/>
      <c r="AQ92" s="1652"/>
      <c r="AR92" s="1652"/>
    </row>
    <row r="93" spans="1:44">
      <c r="A93" s="1652"/>
      <c r="B93" s="1652"/>
      <c r="C93" s="1652"/>
      <c r="D93" s="1652"/>
      <c r="E93" s="1652"/>
      <c r="F93" s="1652"/>
      <c r="G93" s="1652"/>
      <c r="H93" s="1460"/>
      <c r="I93" s="2205"/>
      <c r="J93" s="1470" t="s">
        <v>229</v>
      </c>
      <c r="K93" s="1460"/>
      <c r="L93" s="1467"/>
      <c r="M93" s="1467"/>
      <c r="N93" s="1461"/>
      <c r="O93" s="1460"/>
      <c r="P93" s="1463"/>
      <c r="Q93" s="1466"/>
      <c r="R93" s="1466"/>
      <c r="S93" s="1469">
        <f t="shared" si="10"/>
        <v>0</v>
      </c>
      <c r="T93" s="1469">
        <f t="shared" si="11"/>
        <v>0</v>
      </c>
      <c r="U93" s="1469">
        <f t="shared" si="12"/>
        <v>0</v>
      </c>
      <c r="V93" s="1469">
        <f t="shared" si="13"/>
        <v>0</v>
      </c>
      <c r="W93" s="1459">
        <f t="shared" si="14"/>
        <v>0</v>
      </c>
      <c r="X93" s="1459">
        <f t="shared" si="15"/>
        <v>0</v>
      </c>
      <c r="Y93" s="1459">
        <f t="shared" si="16"/>
        <v>0</v>
      </c>
      <c r="Z93" s="1482"/>
      <c r="AA93" s="1456"/>
      <c r="AB93" s="1652"/>
      <c r="AC93" s="1652"/>
      <c r="AD93" s="1652"/>
      <c r="AE93" s="1652"/>
      <c r="AF93" s="1652"/>
      <c r="AG93" s="1652"/>
      <c r="AH93" s="1652"/>
      <c r="AI93" s="1652"/>
      <c r="AJ93" s="1652"/>
      <c r="AK93" s="1652"/>
      <c r="AL93" s="1652"/>
      <c r="AM93" s="1652"/>
      <c r="AN93" s="1652"/>
      <c r="AO93" s="1652"/>
      <c r="AP93" s="1652"/>
      <c r="AQ93" s="1652"/>
      <c r="AR93" s="1652"/>
    </row>
    <row r="94" spans="1:44">
      <c r="A94" s="1652"/>
      <c r="B94" s="1652"/>
      <c r="C94" s="1652"/>
      <c r="D94" s="1652"/>
      <c r="E94" s="1652"/>
      <c r="F94" s="1652"/>
      <c r="G94" s="1652"/>
      <c r="H94" s="1460"/>
      <c r="I94" s="2205"/>
      <c r="J94" s="1470" t="s">
        <v>229</v>
      </c>
      <c r="K94" s="1460"/>
      <c r="L94" s="1467"/>
      <c r="M94" s="1467"/>
      <c r="N94" s="1461"/>
      <c r="O94" s="1460"/>
      <c r="P94" s="1463"/>
      <c r="Q94" s="1466"/>
      <c r="R94" s="1466"/>
      <c r="S94" s="1469">
        <f t="shared" si="10"/>
        <v>0</v>
      </c>
      <c r="T94" s="1469">
        <f t="shared" si="11"/>
        <v>0</v>
      </c>
      <c r="U94" s="1469">
        <f t="shared" si="12"/>
        <v>0</v>
      </c>
      <c r="V94" s="1469">
        <f t="shared" si="13"/>
        <v>0</v>
      </c>
      <c r="W94" s="1459">
        <f t="shared" si="14"/>
        <v>0</v>
      </c>
      <c r="X94" s="1459">
        <f t="shared" si="15"/>
        <v>0</v>
      </c>
      <c r="Y94" s="1459">
        <f t="shared" si="16"/>
        <v>0</v>
      </c>
      <c r="Z94" s="1482"/>
      <c r="AA94" s="1456"/>
      <c r="AB94" s="1652"/>
      <c r="AC94" s="1652"/>
      <c r="AD94" s="1652"/>
      <c r="AE94" s="1652"/>
      <c r="AF94" s="1652"/>
      <c r="AG94" s="1652"/>
      <c r="AH94" s="1652"/>
      <c r="AI94" s="1652"/>
      <c r="AJ94" s="1652"/>
      <c r="AK94" s="1652"/>
      <c r="AL94" s="1652"/>
      <c r="AM94" s="1652"/>
      <c r="AN94" s="1652"/>
      <c r="AO94" s="1652"/>
      <c r="AP94" s="1652"/>
      <c r="AQ94" s="1652"/>
      <c r="AR94" s="1652"/>
    </row>
    <row r="95" spans="1:44">
      <c r="A95" s="1652"/>
      <c r="B95" s="1652"/>
      <c r="C95" s="1652"/>
      <c r="D95" s="1652"/>
      <c r="E95" s="1652"/>
      <c r="F95" s="1652"/>
      <c r="G95" s="1652"/>
      <c r="H95" s="1460"/>
      <c r="I95" s="2205"/>
      <c r="J95" s="1470" t="s">
        <v>229</v>
      </c>
      <c r="K95" s="1460"/>
      <c r="L95" s="1467"/>
      <c r="M95" s="1467"/>
      <c r="N95" s="1461"/>
      <c r="O95" s="1460"/>
      <c r="P95" s="1463"/>
      <c r="Q95" s="1466"/>
      <c r="R95" s="1466"/>
      <c r="S95" s="1469">
        <f t="shared" si="10"/>
        <v>0</v>
      </c>
      <c r="T95" s="1469">
        <f t="shared" si="11"/>
        <v>0</v>
      </c>
      <c r="U95" s="1469">
        <f t="shared" si="12"/>
        <v>0</v>
      </c>
      <c r="V95" s="1469">
        <f t="shared" si="13"/>
        <v>0</v>
      </c>
      <c r="W95" s="1459">
        <f t="shared" si="14"/>
        <v>0</v>
      </c>
      <c r="X95" s="1459">
        <f t="shared" si="15"/>
        <v>0</v>
      </c>
      <c r="Y95" s="1459">
        <f t="shared" si="16"/>
        <v>0</v>
      </c>
      <c r="Z95" s="1482"/>
      <c r="AA95" s="1456"/>
      <c r="AB95" s="1652"/>
      <c r="AC95" s="1652"/>
      <c r="AD95" s="1652"/>
      <c r="AE95" s="1652"/>
      <c r="AF95" s="1652"/>
      <c r="AG95" s="1652"/>
      <c r="AH95" s="1652"/>
      <c r="AI95" s="1652"/>
      <c r="AJ95" s="1652"/>
      <c r="AK95" s="1652"/>
      <c r="AL95" s="1652"/>
      <c r="AM95" s="1652"/>
      <c r="AN95" s="1652"/>
      <c r="AO95" s="1652"/>
      <c r="AP95" s="1652"/>
      <c r="AQ95" s="1652"/>
      <c r="AR95" s="1652"/>
    </row>
    <row r="96" spans="1:44">
      <c r="A96" s="1652"/>
      <c r="B96" s="1652"/>
      <c r="C96" s="1652"/>
      <c r="D96" s="1652"/>
      <c r="E96" s="1652"/>
      <c r="F96" s="1652"/>
      <c r="G96" s="1652"/>
      <c r="H96" s="1460"/>
      <c r="I96" s="2205"/>
      <c r="J96" s="1470" t="s">
        <v>229</v>
      </c>
      <c r="K96" s="1460"/>
      <c r="L96" s="1467"/>
      <c r="M96" s="1467"/>
      <c r="N96" s="1461"/>
      <c r="O96" s="1460"/>
      <c r="P96" s="1463"/>
      <c r="Q96" s="1466"/>
      <c r="R96" s="1466"/>
      <c r="S96" s="1469">
        <f t="shared" si="10"/>
        <v>0</v>
      </c>
      <c r="T96" s="1469">
        <f t="shared" si="11"/>
        <v>0</v>
      </c>
      <c r="U96" s="1469">
        <f t="shared" si="12"/>
        <v>0</v>
      </c>
      <c r="V96" s="1469">
        <f t="shared" si="13"/>
        <v>0</v>
      </c>
      <c r="W96" s="1459">
        <f t="shared" si="14"/>
        <v>0</v>
      </c>
      <c r="X96" s="1459">
        <f t="shared" si="15"/>
        <v>0</v>
      </c>
      <c r="Y96" s="1459">
        <f t="shared" si="16"/>
        <v>0</v>
      </c>
      <c r="Z96" s="1482"/>
      <c r="AA96" s="1456"/>
      <c r="AB96" s="1652"/>
      <c r="AC96" s="1652"/>
      <c r="AD96" s="1652"/>
      <c r="AE96" s="1652"/>
      <c r="AF96" s="1652"/>
      <c r="AG96" s="1652"/>
      <c r="AH96" s="1652"/>
      <c r="AI96" s="1652"/>
      <c r="AJ96" s="1652"/>
      <c r="AK96" s="1652"/>
      <c r="AL96" s="1652"/>
      <c r="AM96" s="1652"/>
      <c r="AN96" s="1652"/>
      <c r="AO96" s="1652"/>
      <c r="AP96" s="1652"/>
      <c r="AQ96" s="1652"/>
      <c r="AR96" s="1652"/>
    </row>
    <row r="97" spans="1:44">
      <c r="A97" s="1652"/>
      <c r="B97" s="1652"/>
      <c r="C97" s="1652"/>
      <c r="D97" s="1652"/>
      <c r="E97" s="1652"/>
      <c r="F97" s="1652"/>
      <c r="G97" s="1652"/>
      <c r="H97" s="1460"/>
      <c r="I97" s="2205"/>
      <c r="J97" s="1470" t="s">
        <v>229</v>
      </c>
      <c r="K97" s="1460"/>
      <c r="L97" s="1467"/>
      <c r="M97" s="1467"/>
      <c r="N97" s="1461"/>
      <c r="O97" s="1460"/>
      <c r="P97" s="1463"/>
      <c r="Q97" s="1466"/>
      <c r="R97" s="1466"/>
      <c r="S97" s="1469">
        <f t="shared" si="10"/>
        <v>0</v>
      </c>
      <c r="T97" s="1469">
        <f t="shared" si="11"/>
        <v>0</v>
      </c>
      <c r="U97" s="1469">
        <f t="shared" si="12"/>
        <v>0</v>
      </c>
      <c r="V97" s="1469">
        <f t="shared" si="13"/>
        <v>0</v>
      </c>
      <c r="W97" s="1459">
        <f t="shared" si="14"/>
        <v>0</v>
      </c>
      <c r="X97" s="1459">
        <f t="shared" si="15"/>
        <v>0</v>
      </c>
      <c r="Y97" s="1459">
        <f t="shared" si="16"/>
        <v>0</v>
      </c>
      <c r="Z97" s="1482"/>
      <c r="AA97" s="1456"/>
      <c r="AB97" s="1652"/>
      <c r="AC97" s="1652"/>
      <c r="AD97" s="1652"/>
      <c r="AE97" s="1652"/>
      <c r="AF97" s="1652"/>
      <c r="AG97" s="1652"/>
      <c r="AH97" s="1652"/>
      <c r="AI97" s="1652"/>
      <c r="AJ97" s="1652"/>
      <c r="AK97" s="1652"/>
      <c r="AL97" s="1652"/>
      <c r="AM97" s="1652"/>
      <c r="AN97" s="1652"/>
      <c r="AO97" s="1652"/>
      <c r="AP97" s="1652"/>
      <c r="AQ97" s="1652"/>
      <c r="AR97" s="1652"/>
    </row>
    <row r="98" spans="1:44">
      <c r="A98" s="1652"/>
      <c r="B98" s="1652"/>
      <c r="C98" s="1652"/>
      <c r="D98" s="1652"/>
      <c r="E98" s="1652"/>
      <c r="F98" s="1652"/>
      <c r="G98" s="1652"/>
      <c r="H98" s="1460"/>
      <c r="I98" s="2205"/>
      <c r="J98" s="1470" t="s">
        <v>229</v>
      </c>
      <c r="K98" s="1460"/>
      <c r="L98" s="1467"/>
      <c r="M98" s="1467"/>
      <c r="N98" s="1461"/>
      <c r="O98" s="1460"/>
      <c r="P98" s="1463"/>
      <c r="Q98" s="1466"/>
      <c r="R98" s="1466"/>
      <c r="S98" s="1469">
        <f t="shared" si="10"/>
        <v>0</v>
      </c>
      <c r="T98" s="1469">
        <f t="shared" si="11"/>
        <v>0</v>
      </c>
      <c r="U98" s="1469">
        <f t="shared" si="12"/>
        <v>0</v>
      </c>
      <c r="V98" s="1469">
        <f t="shared" si="13"/>
        <v>0</v>
      </c>
      <c r="W98" s="1459">
        <f t="shared" si="14"/>
        <v>0</v>
      </c>
      <c r="X98" s="1459">
        <f t="shared" si="15"/>
        <v>0</v>
      </c>
      <c r="Y98" s="1459">
        <f t="shared" si="16"/>
        <v>0</v>
      </c>
      <c r="Z98" s="1482"/>
      <c r="AA98" s="1456"/>
      <c r="AB98" s="1652"/>
      <c r="AC98" s="1652"/>
      <c r="AD98" s="1652"/>
      <c r="AE98" s="1652"/>
      <c r="AF98" s="1652"/>
      <c r="AG98" s="1652"/>
      <c r="AH98" s="1652"/>
      <c r="AI98" s="1652"/>
      <c r="AJ98" s="1652"/>
      <c r="AK98" s="1652"/>
      <c r="AL98" s="1652"/>
      <c r="AM98" s="1652"/>
      <c r="AN98" s="1652"/>
      <c r="AO98" s="1652"/>
      <c r="AP98" s="1652"/>
      <c r="AQ98" s="1652"/>
      <c r="AR98" s="1652"/>
    </row>
    <row r="99" spans="1:44">
      <c r="C99" s="1652"/>
      <c r="D99" s="1652"/>
      <c r="E99" s="1652"/>
      <c r="F99" s="1652"/>
      <c r="H99" s="1460"/>
      <c r="I99" s="2205"/>
      <c r="J99" s="1470" t="s">
        <v>229</v>
      </c>
      <c r="K99" s="1460"/>
      <c r="L99" s="1467"/>
      <c r="M99" s="1467"/>
      <c r="N99" s="1461"/>
      <c r="O99" s="1460"/>
      <c r="P99" s="1463"/>
      <c r="Q99" s="1466"/>
      <c r="R99" s="1466"/>
      <c r="S99" s="1469">
        <f t="shared" si="10"/>
        <v>0</v>
      </c>
      <c r="T99" s="1469">
        <f t="shared" si="11"/>
        <v>0</v>
      </c>
      <c r="U99" s="1469">
        <f t="shared" si="12"/>
        <v>0</v>
      </c>
      <c r="V99" s="1469">
        <f t="shared" si="13"/>
        <v>0</v>
      </c>
      <c r="W99" s="1459">
        <f t="shared" si="14"/>
        <v>0</v>
      </c>
      <c r="X99" s="1459">
        <f t="shared" si="15"/>
        <v>0</v>
      </c>
      <c r="Y99" s="1459">
        <f t="shared" si="16"/>
        <v>0</v>
      </c>
      <c r="Z99" s="1482"/>
      <c r="AA99" s="1456"/>
    </row>
    <row r="100" spans="1:44">
      <c r="C100" s="1652"/>
      <c r="D100" s="1652"/>
      <c r="E100" s="1652"/>
      <c r="F100" s="1652"/>
      <c r="H100" s="1460"/>
      <c r="I100" s="2205"/>
      <c r="J100" s="1470" t="s">
        <v>229</v>
      </c>
      <c r="K100" s="1460"/>
      <c r="L100" s="1467"/>
      <c r="M100" s="1467"/>
      <c r="N100" s="1461"/>
      <c r="O100" s="1460"/>
      <c r="P100" s="1463"/>
      <c r="Q100" s="1466"/>
      <c r="R100" s="1466"/>
      <c r="S100" s="1469">
        <f t="shared" si="10"/>
        <v>0</v>
      </c>
      <c r="T100" s="1469">
        <f t="shared" si="11"/>
        <v>0</v>
      </c>
      <c r="U100" s="1469">
        <f t="shared" si="12"/>
        <v>0</v>
      </c>
      <c r="V100" s="1469">
        <f t="shared" si="13"/>
        <v>0</v>
      </c>
      <c r="W100" s="1459">
        <f t="shared" si="14"/>
        <v>0</v>
      </c>
      <c r="X100" s="1459">
        <f t="shared" si="15"/>
        <v>0</v>
      </c>
      <c r="Y100" s="1459">
        <f t="shared" si="16"/>
        <v>0</v>
      </c>
      <c r="Z100" s="1482"/>
      <c r="AA100" s="1456"/>
    </row>
    <row r="101" spans="1:44">
      <c r="C101" s="1652"/>
      <c r="D101" s="1652"/>
      <c r="E101" s="1652"/>
      <c r="F101" s="1652"/>
      <c r="H101" s="1460"/>
      <c r="I101" s="2205"/>
      <c r="J101" s="1470" t="s">
        <v>229</v>
      </c>
      <c r="K101" s="1460"/>
      <c r="L101" s="1467"/>
      <c r="M101" s="1467"/>
      <c r="N101" s="1461"/>
      <c r="O101" s="1460"/>
      <c r="P101" s="1463"/>
      <c r="Q101" s="1466"/>
      <c r="R101" s="1466"/>
      <c r="S101" s="1469">
        <f t="shared" si="10"/>
        <v>0</v>
      </c>
      <c r="T101" s="1469">
        <f t="shared" si="11"/>
        <v>0</v>
      </c>
      <c r="U101" s="1469">
        <f t="shared" si="12"/>
        <v>0</v>
      </c>
      <c r="V101" s="1469">
        <f t="shared" si="13"/>
        <v>0</v>
      </c>
      <c r="W101" s="1459">
        <f t="shared" si="14"/>
        <v>0</v>
      </c>
      <c r="X101" s="1459">
        <f t="shared" si="15"/>
        <v>0</v>
      </c>
      <c r="Y101" s="1459">
        <f t="shared" si="16"/>
        <v>0</v>
      </c>
      <c r="Z101" s="1482"/>
      <c r="AA101" s="1456"/>
    </row>
    <row r="102" spans="1:44">
      <c r="H102" s="1460"/>
      <c r="I102" s="2205"/>
      <c r="J102" s="1470" t="s">
        <v>229</v>
      </c>
      <c r="K102" s="1460"/>
      <c r="L102" s="1467"/>
      <c r="M102" s="1467"/>
      <c r="N102" s="1461"/>
      <c r="O102" s="1460"/>
      <c r="P102" s="1463"/>
      <c r="Q102" s="1466"/>
      <c r="R102" s="1466"/>
      <c r="S102" s="1469">
        <f t="shared" si="10"/>
        <v>0</v>
      </c>
      <c r="T102" s="1469">
        <f t="shared" si="11"/>
        <v>0</v>
      </c>
      <c r="U102" s="1469">
        <f t="shared" si="12"/>
        <v>0</v>
      </c>
      <c r="V102" s="1469">
        <f t="shared" si="13"/>
        <v>0</v>
      </c>
      <c r="W102" s="1459">
        <f t="shared" si="14"/>
        <v>0</v>
      </c>
      <c r="X102" s="1459">
        <f t="shared" si="15"/>
        <v>0</v>
      </c>
      <c r="Y102" s="1459">
        <f t="shared" si="16"/>
        <v>0</v>
      </c>
      <c r="Z102" s="1482"/>
      <c r="AA102" s="1456"/>
    </row>
    <row r="103" spans="1:44">
      <c r="H103" s="1460"/>
      <c r="I103" s="2205"/>
      <c r="J103" s="1470" t="s">
        <v>229</v>
      </c>
      <c r="K103" s="1460"/>
      <c r="L103" s="1467"/>
      <c r="M103" s="1467"/>
      <c r="N103" s="1461"/>
      <c r="O103" s="1460"/>
      <c r="P103" s="1463"/>
      <c r="Q103" s="1466"/>
      <c r="R103" s="1466"/>
      <c r="S103" s="1469">
        <f t="shared" si="10"/>
        <v>0</v>
      </c>
      <c r="T103" s="1469">
        <f t="shared" si="11"/>
        <v>0</v>
      </c>
      <c r="U103" s="1469">
        <f t="shared" si="12"/>
        <v>0</v>
      </c>
      <c r="V103" s="1469">
        <f t="shared" si="13"/>
        <v>0</v>
      </c>
      <c r="W103" s="1459">
        <f t="shared" si="14"/>
        <v>0</v>
      </c>
      <c r="X103" s="1459">
        <f t="shared" si="15"/>
        <v>0</v>
      </c>
      <c r="Y103" s="1459">
        <f t="shared" si="16"/>
        <v>0</v>
      </c>
      <c r="Z103" s="1482"/>
      <c r="AA103" s="1456"/>
    </row>
    <row r="104" spans="1:44">
      <c r="H104" s="1460"/>
      <c r="I104" s="2205"/>
      <c r="J104" s="1470" t="s">
        <v>229</v>
      </c>
      <c r="K104" s="1460"/>
      <c r="L104" s="1467"/>
      <c r="M104" s="1467"/>
      <c r="N104" s="1461"/>
      <c r="O104" s="1460"/>
      <c r="P104" s="1463"/>
      <c r="Q104" s="1466"/>
      <c r="R104" s="1466"/>
      <c r="S104" s="1469">
        <f t="shared" si="10"/>
        <v>0</v>
      </c>
      <c r="T104" s="1469">
        <f t="shared" si="11"/>
        <v>0</v>
      </c>
      <c r="U104" s="1469">
        <f t="shared" si="12"/>
        <v>0</v>
      </c>
      <c r="V104" s="1469">
        <f t="shared" si="13"/>
        <v>0</v>
      </c>
      <c r="W104" s="1459">
        <f t="shared" si="14"/>
        <v>0</v>
      </c>
      <c r="X104" s="1459">
        <f t="shared" si="15"/>
        <v>0</v>
      </c>
      <c r="Y104" s="1459">
        <f t="shared" si="16"/>
        <v>0</v>
      </c>
      <c r="Z104" s="1482"/>
      <c r="AA104" s="1456"/>
    </row>
    <row r="105" spans="1:44">
      <c r="H105" s="1460"/>
      <c r="I105" s="2205"/>
      <c r="J105" s="1470" t="s">
        <v>229</v>
      </c>
      <c r="K105" s="1460"/>
      <c r="L105" s="1467"/>
      <c r="M105" s="1467"/>
      <c r="N105" s="1461"/>
      <c r="O105" s="1460"/>
      <c r="P105" s="1463"/>
      <c r="Q105" s="1466"/>
      <c r="R105" s="1466"/>
      <c r="S105" s="1469">
        <f t="shared" si="10"/>
        <v>0</v>
      </c>
      <c r="T105" s="1469">
        <f t="shared" si="11"/>
        <v>0</v>
      </c>
      <c r="U105" s="1469">
        <f t="shared" si="12"/>
        <v>0</v>
      </c>
      <c r="V105" s="1469">
        <f t="shared" si="13"/>
        <v>0</v>
      </c>
      <c r="W105" s="1459">
        <f t="shared" si="14"/>
        <v>0</v>
      </c>
      <c r="X105" s="1459">
        <f t="shared" si="15"/>
        <v>0</v>
      </c>
      <c r="Y105" s="1459">
        <f t="shared" si="16"/>
        <v>0</v>
      </c>
      <c r="Z105" s="1482"/>
      <c r="AA105" s="1456"/>
    </row>
    <row r="106" spans="1:44">
      <c r="H106" s="1460"/>
      <c r="I106" s="2205"/>
      <c r="J106" s="1470" t="s">
        <v>229</v>
      </c>
      <c r="K106" s="1460"/>
      <c r="L106" s="1467"/>
      <c r="M106" s="1467"/>
      <c r="N106" s="1461"/>
      <c r="O106" s="1460"/>
      <c r="P106" s="1463"/>
      <c r="Q106" s="1466"/>
      <c r="R106" s="1466"/>
      <c r="S106" s="1469">
        <f t="shared" si="10"/>
        <v>0</v>
      </c>
      <c r="T106" s="1469">
        <f t="shared" si="11"/>
        <v>0</v>
      </c>
      <c r="U106" s="1469">
        <f t="shared" si="12"/>
        <v>0</v>
      </c>
      <c r="V106" s="1469">
        <f t="shared" si="13"/>
        <v>0</v>
      </c>
      <c r="W106" s="1459">
        <f t="shared" si="14"/>
        <v>0</v>
      </c>
      <c r="X106" s="1459">
        <f t="shared" si="15"/>
        <v>0</v>
      </c>
      <c r="Y106" s="1459">
        <f t="shared" si="16"/>
        <v>0</v>
      </c>
      <c r="Z106" s="1482"/>
      <c r="AA106" s="1456"/>
    </row>
    <row r="107" spans="1:44">
      <c r="H107" s="1460"/>
      <c r="I107" s="2205"/>
      <c r="J107" s="1470" t="s">
        <v>229</v>
      </c>
      <c r="K107" s="1460"/>
      <c r="L107" s="1467"/>
      <c r="M107" s="1467"/>
      <c r="N107" s="1461"/>
      <c r="O107" s="1460"/>
      <c r="P107" s="1463"/>
      <c r="Q107" s="1466"/>
      <c r="R107" s="1466"/>
      <c r="S107" s="1469">
        <f t="shared" si="10"/>
        <v>0</v>
      </c>
      <c r="T107" s="1469">
        <f t="shared" si="11"/>
        <v>0</v>
      </c>
      <c r="U107" s="1469">
        <f t="shared" si="12"/>
        <v>0</v>
      </c>
      <c r="V107" s="1469">
        <f t="shared" si="13"/>
        <v>0</v>
      </c>
      <c r="W107" s="1459">
        <f t="shared" si="14"/>
        <v>0</v>
      </c>
      <c r="X107" s="1459">
        <f t="shared" si="15"/>
        <v>0</v>
      </c>
      <c r="Y107" s="1459">
        <f t="shared" si="16"/>
        <v>0</v>
      </c>
      <c r="Z107" s="1482"/>
      <c r="AA107" s="1456"/>
    </row>
    <row r="108" spans="1:44">
      <c r="H108" s="1460"/>
      <c r="I108" s="2205"/>
      <c r="J108" s="1470" t="s">
        <v>229</v>
      </c>
      <c r="K108" s="1460"/>
      <c r="L108" s="1467"/>
      <c r="M108" s="1467"/>
      <c r="N108" s="1461"/>
      <c r="O108" s="1460"/>
      <c r="P108" s="1463"/>
      <c r="Q108" s="1466"/>
      <c r="R108" s="1466"/>
      <c r="S108" s="1469">
        <f t="shared" si="10"/>
        <v>0</v>
      </c>
      <c r="T108" s="1469">
        <f t="shared" si="11"/>
        <v>0</v>
      </c>
      <c r="U108" s="1469">
        <f t="shared" si="12"/>
        <v>0</v>
      </c>
      <c r="V108" s="1469">
        <f t="shared" si="13"/>
        <v>0</v>
      </c>
      <c r="W108" s="1459">
        <f t="shared" si="14"/>
        <v>0</v>
      </c>
      <c r="X108" s="1459">
        <f t="shared" si="15"/>
        <v>0</v>
      </c>
      <c r="Y108" s="1459">
        <f t="shared" si="16"/>
        <v>0</v>
      </c>
      <c r="Z108" s="1482"/>
      <c r="AA108" s="1456"/>
    </row>
    <row r="109" spans="1:44">
      <c r="H109" s="1460"/>
      <c r="I109" s="2205"/>
      <c r="J109" s="1470" t="s">
        <v>229</v>
      </c>
      <c r="K109" s="1460"/>
      <c r="L109" s="1467"/>
      <c r="M109" s="1467"/>
      <c r="N109" s="1461"/>
      <c r="O109" s="1460"/>
      <c r="P109" s="1463"/>
      <c r="Q109" s="1466"/>
      <c r="R109" s="1466"/>
      <c r="S109" s="1469">
        <f t="shared" si="10"/>
        <v>0</v>
      </c>
      <c r="T109" s="1469">
        <f t="shared" si="11"/>
        <v>0</v>
      </c>
      <c r="U109" s="1469">
        <f t="shared" si="12"/>
        <v>0</v>
      </c>
      <c r="V109" s="1469">
        <f t="shared" si="13"/>
        <v>0</v>
      </c>
      <c r="W109" s="1459">
        <f t="shared" si="14"/>
        <v>0</v>
      </c>
      <c r="X109" s="1459">
        <f t="shared" si="15"/>
        <v>0</v>
      </c>
      <c r="Y109" s="1459">
        <f t="shared" si="16"/>
        <v>0</v>
      </c>
      <c r="Z109" s="1482"/>
      <c r="AA109" s="1456"/>
    </row>
    <row r="110" spans="1:44">
      <c r="H110" s="1460"/>
      <c r="I110" s="2205"/>
      <c r="J110" s="1470" t="s">
        <v>229</v>
      </c>
      <c r="K110" s="1460"/>
      <c r="L110" s="1467"/>
      <c r="M110" s="1467"/>
      <c r="N110" s="1461"/>
      <c r="O110" s="1460"/>
      <c r="P110" s="1463"/>
      <c r="Q110" s="1466"/>
      <c r="R110" s="1466"/>
      <c r="S110" s="1469">
        <f t="shared" si="10"/>
        <v>0</v>
      </c>
      <c r="T110" s="1469">
        <f t="shared" si="11"/>
        <v>0</v>
      </c>
      <c r="U110" s="1469">
        <f t="shared" si="12"/>
        <v>0</v>
      </c>
      <c r="V110" s="1469">
        <f t="shared" si="13"/>
        <v>0</v>
      </c>
      <c r="W110" s="1459">
        <f t="shared" si="14"/>
        <v>0</v>
      </c>
      <c r="X110" s="1459">
        <f t="shared" si="15"/>
        <v>0</v>
      </c>
      <c r="Y110" s="1459">
        <f t="shared" si="16"/>
        <v>0</v>
      </c>
      <c r="Z110" s="1482"/>
      <c r="AA110" s="1456"/>
    </row>
    <row r="111" spans="1:44">
      <c r="H111" s="1460"/>
      <c r="I111" s="2205"/>
      <c r="J111" s="1470" t="s">
        <v>229</v>
      </c>
      <c r="K111" s="1460"/>
      <c r="L111" s="1467"/>
      <c r="M111" s="1467"/>
      <c r="N111" s="1461"/>
      <c r="O111" s="1460"/>
      <c r="P111" s="1463"/>
      <c r="Q111" s="1466"/>
      <c r="R111" s="1466"/>
      <c r="S111" s="1469">
        <f t="shared" si="10"/>
        <v>0</v>
      </c>
      <c r="T111" s="1469">
        <f t="shared" si="11"/>
        <v>0</v>
      </c>
      <c r="U111" s="1469">
        <f t="shared" si="12"/>
        <v>0</v>
      </c>
      <c r="V111" s="1469">
        <f t="shared" si="13"/>
        <v>0</v>
      </c>
      <c r="W111" s="1459">
        <f t="shared" si="14"/>
        <v>0</v>
      </c>
      <c r="X111" s="1459">
        <f t="shared" si="15"/>
        <v>0</v>
      </c>
      <c r="Y111" s="1459">
        <f t="shared" si="16"/>
        <v>0</v>
      </c>
      <c r="Z111" s="1482"/>
      <c r="AA111" s="1456"/>
    </row>
    <row r="112" spans="1:44">
      <c r="H112" s="1460"/>
      <c r="I112" s="2205"/>
      <c r="J112" s="1470" t="s">
        <v>229</v>
      </c>
      <c r="K112" s="1460"/>
      <c r="L112" s="1467"/>
      <c r="M112" s="1467"/>
      <c r="N112" s="1461"/>
      <c r="O112" s="1460"/>
      <c r="P112" s="1463"/>
      <c r="Q112" s="1466"/>
      <c r="R112" s="1466"/>
      <c r="S112" s="1469">
        <f t="shared" si="10"/>
        <v>0</v>
      </c>
      <c r="T112" s="1469">
        <f t="shared" si="11"/>
        <v>0</v>
      </c>
      <c r="U112" s="1469">
        <f t="shared" si="12"/>
        <v>0</v>
      </c>
      <c r="V112" s="1469">
        <f t="shared" si="13"/>
        <v>0</v>
      </c>
      <c r="W112" s="1459">
        <f t="shared" si="14"/>
        <v>0</v>
      </c>
      <c r="X112" s="1459">
        <f t="shared" si="15"/>
        <v>0</v>
      </c>
      <c r="Y112" s="1459">
        <f t="shared" si="16"/>
        <v>0</v>
      </c>
      <c r="Z112" s="1482"/>
      <c r="AA112" s="1456"/>
    </row>
    <row r="113" spans="8:27">
      <c r="H113" s="1460"/>
      <c r="I113" s="2205"/>
      <c r="J113" s="1470" t="s">
        <v>229</v>
      </c>
      <c r="K113" s="1460"/>
      <c r="L113" s="1467"/>
      <c r="M113" s="1467"/>
      <c r="N113" s="1461"/>
      <c r="O113" s="1460"/>
      <c r="P113" s="1463"/>
      <c r="Q113" s="1466"/>
      <c r="R113" s="1466"/>
      <c r="S113" s="1469">
        <f t="shared" si="10"/>
        <v>0</v>
      </c>
      <c r="T113" s="1469">
        <f t="shared" si="11"/>
        <v>0</v>
      </c>
      <c r="U113" s="1469">
        <f t="shared" si="12"/>
        <v>0</v>
      </c>
      <c r="V113" s="1469">
        <f t="shared" si="13"/>
        <v>0</v>
      </c>
      <c r="W113" s="1459">
        <f t="shared" si="14"/>
        <v>0</v>
      </c>
      <c r="X113" s="1459">
        <f t="shared" si="15"/>
        <v>0</v>
      </c>
      <c r="Y113" s="1459">
        <f t="shared" si="16"/>
        <v>0</v>
      </c>
      <c r="Z113" s="1482"/>
      <c r="AA113" s="1456"/>
    </row>
    <row r="114" spans="8:27">
      <c r="H114" s="1460"/>
      <c r="I114" s="2205"/>
      <c r="J114" s="1470" t="s">
        <v>229</v>
      </c>
      <c r="K114" s="1460"/>
      <c r="L114" s="1467"/>
      <c r="M114" s="1467"/>
      <c r="N114" s="1461"/>
      <c r="O114" s="1460"/>
      <c r="P114" s="1463"/>
      <c r="Q114" s="1466"/>
      <c r="R114" s="1466"/>
      <c r="S114" s="1469">
        <f t="shared" si="10"/>
        <v>0</v>
      </c>
      <c r="T114" s="1469">
        <f t="shared" si="11"/>
        <v>0</v>
      </c>
      <c r="U114" s="1469">
        <f t="shared" si="12"/>
        <v>0</v>
      </c>
      <c r="V114" s="1469">
        <f t="shared" si="13"/>
        <v>0</v>
      </c>
      <c r="W114" s="1459">
        <f t="shared" si="14"/>
        <v>0</v>
      </c>
      <c r="X114" s="1459">
        <f t="shared" si="15"/>
        <v>0</v>
      </c>
      <c r="Y114" s="1459">
        <f t="shared" si="16"/>
        <v>0</v>
      </c>
      <c r="Z114" s="1482"/>
      <c r="AA114" s="1456"/>
    </row>
    <row r="115" spans="8:27">
      <c r="H115" s="1460"/>
      <c r="I115" s="2205"/>
      <c r="J115" s="1470" t="s">
        <v>229</v>
      </c>
      <c r="K115" s="1460"/>
      <c r="L115" s="1467"/>
      <c r="M115" s="1467"/>
      <c r="N115" s="1461"/>
      <c r="O115" s="1460"/>
      <c r="P115" s="1463"/>
      <c r="Q115" s="1466"/>
      <c r="R115" s="1466"/>
      <c r="S115" s="1469">
        <f t="shared" si="10"/>
        <v>0</v>
      </c>
      <c r="T115" s="1469">
        <f t="shared" si="11"/>
        <v>0</v>
      </c>
      <c r="U115" s="1469">
        <f t="shared" si="12"/>
        <v>0</v>
      </c>
      <c r="V115" s="1469">
        <f t="shared" si="13"/>
        <v>0</v>
      </c>
      <c r="W115" s="1459">
        <f t="shared" si="14"/>
        <v>0</v>
      </c>
      <c r="X115" s="1459">
        <f t="shared" si="15"/>
        <v>0</v>
      </c>
      <c r="Y115" s="1459">
        <f t="shared" si="16"/>
        <v>0</v>
      </c>
      <c r="Z115" s="1482"/>
      <c r="AA115" s="1456"/>
    </row>
    <row r="116" spans="8:27">
      <c r="H116" s="1460"/>
      <c r="I116" s="2205"/>
      <c r="J116" s="1470" t="s">
        <v>229</v>
      </c>
      <c r="K116" s="1460"/>
      <c r="L116" s="1467"/>
      <c r="M116" s="1467"/>
      <c r="N116" s="1461"/>
      <c r="O116" s="1460"/>
      <c r="P116" s="1463"/>
      <c r="Q116" s="1466"/>
      <c r="R116" s="1466"/>
      <c r="S116" s="1469">
        <f t="shared" si="10"/>
        <v>0</v>
      </c>
      <c r="T116" s="1469">
        <f t="shared" si="11"/>
        <v>0</v>
      </c>
      <c r="U116" s="1469">
        <f t="shared" si="12"/>
        <v>0</v>
      </c>
      <c r="V116" s="1469">
        <f t="shared" si="13"/>
        <v>0</v>
      </c>
      <c r="W116" s="1459">
        <f t="shared" si="14"/>
        <v>0</v>
      </c>
      <c r="X116" s="1459">
        <f t="shared" si="15"/>
        <v>0</v>
      </c>
      <c r="Y116" s="1459">
        <f t="shared" si="16"/>
        <v>0</v>
      </c>
      <c r="Z116" s="1482"/>
      <c r="AA116" s="1456"/>
    </row>
    <row r="117" spans="8:27">
      <c r="H117" s="1460"/>
      <c r="I117" s="2205"/>
      <c r="J117" s="1470" t="s">
        <v>229</v>
      </c>
      <c r="K117" s="1460"/>
      <c r="L117" s="1467"/>
      <c r="M117" s="1467"/>
      <c r="N117" s="1461"/>
      <c r="O117" s="1460"/>
      <c r="P117" s="1463"/>
      <c r="Q117" s="1466"/>
      <c r="R117" s="1466"/>
      <c r="S117" s="1469">
        <f t="shared" si="10"/>
        <v>0</v>
      </c>
      <c r="T117" s="1469">
        <f t="shared" si="11"/>
        <v>0</v>
      </c>
      <c r="U117" s="1469">
        <f t="shared" si="12"/>
        <v>0</v>
      </c>
      <c r="V117" s="1469">
        <f t="shared" si="13"/>
        <v>0</v>
      </c>
      <c r="W117" s="1459">
        <f t="shared" si="14"/>
        <v>0</v>
      </c>
      <c r="X117" s="1459">
        <f t="shared" si="15"/>
        <v>0</v>
      </c>
      <c r="Y117" s="1459">
        <f t="shared" si="16"/>
        <v>0</v>
      </c>
      <c r="Z117" s="1482"/>
      <c r="AA117" s="1456"/>
    </row>
    <row r="118" spans="8:27">
      <c r="H118" s="1460"/>
      <c r="I118" s="2205"/>
      <c r="J118" s="1470" t="s">
        <v>229</v>
      </c>
      <c r="K118" s="1460"/>
      <c r="L118" s="1467"/>
      <c r="M118" s="1467"/>
      <c r="N118" s="1461"/>
      <c r="O118" s="1460"/>
      <c r="P118" s="1463"/>
      <c r="Q118" s="1466"/>
      <c r="R118" s="1466"/>
      <c r="S118" s="1469">
        <f t="shared" si="10"/>
        <v>0</v>
      </c>
      <c r="T118" s="1469">
        <f t="shared" si="11"/>
        <v>0</v>
      </c>
      <c r="U118" s="1469">
        <f t="shared" si="12"/>
        <v>0</v>
      </c>
      <c r="V118" s="1469">
        <f t="shared" si="13"/>
        <v>0</v>
      </c>
      <c r="W118" s="1459">
        <f t="shared" si="14"/>
        <v>0</v>
      </c>
      <c r="X118" s="1459">
        <f t="shared" si="15"/>
        <v>0</v>
      </c>
      <c r="Y118" s="1459">
        <f t="shared" si="16"/>
        <v>0</v>
      </c>
      <c r="Z118" s="1482"/>
      <c r="AA118" s="1456"/>
    </row>
    <row r="119" spans="8:27">
      <c r="H119" s="1460"/>
      <c r="I119" s="2205"/>
      <c r="J119" s="1470" t="s">
        <v>229</v>
      </c>
      <c r="K119" s="1460"/>
      <c r="L119" s="1467"/>
      <c r="M119" s="1467"/>
      <c r="N119" s="1461"/>
      <c r="O119" s="1460"/>
      <c r="P119" s="1463"/>
      <c r="Q119" s="1466"/>
      <c r="R119" s="1466"/>
      <c r="S119" s="1469">
        <f t="shared" si="10"/>
        <v>0</v>
      </c>
      <c r="T119" s="1469">
        <f t="shared" si="11"/>
        <v>0</v>
      </c>
      <c r="U119" s="1469">
        <f t="shared" si="12"/>
        <v>0</v>
      </c>
      <c r="V119" s="1469">
        <f t="shared" si="13"/>
        <v>0</v>
      </c>
      <c r="W119" s="1459">
        <f t="shared" si="14"/>
        <v>0</v>
      </c>
      <c r="X119" s="1459">
        <f t="shared" si="15"/>
        <v>0</v>
      </c>
      <c r="Y119" s="1459">
        <f t="shared" si="16"/>
        <v>0</v>
      </c>
      <c r="Z119" s="1482"/>
      <c r="AA119" s="1456"/>
    </row>
    <row r="120" spans="8:27">
      <c r="H120" s="1460"/>
      <c r="I120" s="2205"/>
      <c r="J120" s="1470" t="s">
        <v>229</v>
      </c>
      <c r="K120" s="1460"/>
      <c r="L120" s="1467"/>
      <c r="M120" s="1467"/>
      <c r="N120" s="1461"/>
      <c r="O120" s="1460"/>
      <c r="P120" s="1463"/>
      <c r="Q120" s="1466"/>
      <c r="R120" s="1466"/>
      <c r="S120" s="1469">
        <f t="shared" si="10"/>
        <v>0</v>
      </c>
      <c r="T120" s="1469">
        <f t="shared" si="11"/>
        <v>0</v>
      </c>
      <c r="U120" s="1469">
        <f t="shared" si="12"/>
        <v>0</v>
      </c>
      <c r="V120" s="1469">
        <f t="shared" si="13"/>
        <v>0</v>
      </c>
      <c r="W120" s="1459">
        <f t="shared" si="14"/>
        <v>0</v>
      </c>
      <c r="X120" s="1459">
        <f t="shared" si="15"/>
        <v>0</v>
      </c>
      <c r="Y120" s="1459">
        <f t="shared" si="16"/>
        <v>0</v>
      </c>
      <c r="Z120" s="1482"/>
      <c r="AA120" s="1456"/>
    </row>
    <row r="121" spans="8:27">
      <c r="H121" s="1460"/>
      <c r="I121" s="2205"/>
      <c r="J121" s="1470" t="s">
        <v>229</v>
      </c>
      <c r="K121" s="1460"/>
      <c r="L121" s="1467"/>
      <c r="M121" s="1467"/>
      <c r="N121" s="1461"/>
      <c r="O121" s="1460"/>
      <c r="P121" s="1463"/>
      <c r="Q121" s="1466"/>
      <c r="R121" s="1466"/>
      <c r="S121" s="1469">
        <f t="shared" si="10"/>
        <v>0</v>
      </c>
      <c r="T121" s="1469">
        <f t="shared" si="11"/>
        <v>0</v>
      </c>
      <c r="U121" s="1469">
        <f t="shared" si="12"/>
        <v>0</v>
      </c>
      <c r="V121" s="1469">
        <f t="shared" si="13"/>
        <v>0</v>
      </c>
      <c r="W121" s="1459">
        <f t="shared" si="14"/>
        <v>0</v>
      </c>
      <c r="X121" s="1459">
        <f t="shared" si="15"/>
        <v>0</v>
      </c>
      <c r="Y121" s="1459">
        <f t="shared" si="16"/>
        <v>0</v>
      </c>
      <c r="Z121" s="1482"/>
      <c r="AA121" s="1456"/>
    </row>
    <row r="122" spans="8:27">
      <c r="H122" s="1460"/>
      <c r="I122" s="2205"/>
      <c r="J122" s="1470" t="s">
        <v>229</v>
      </c>
      <c r="K122" s="1460"/>
      <c r="L122" s="1467"/>
      <c r="M122" s="1467"/>
      <c r="N122" s="1461"/>
      <c r="O122" s="1460"/>
      <c r="P122" s="1463"/>
      <c r="Q122" s="1466"/>
      <c r="R122" s="1466"/>
      <c r="S122" s="1469">
        <f t="shared" si="10"/>
        <v>0</v>
      </c>
      <c r="T122" s="1469">
        <f t="shared" si="11"/>
        <v>0</v>
      </c>
      <c r="U122" s="1469">
        <f t="shared" si="12"/>
        <v>0</v>
      </c>
      <c r="V122" s="1469">
        <f t="shared" si="13"/>
        <v>0</v>
      </c>
      <c r="W122" s="1459">
        <f t="shared" si="14"/>
        <v>0</v>
      </c>
      <c r="X122" s="1459">
        <f t="shared" si="15"/>
        <v>0</v>
      </c>
      <c r="Y122" s="1459">
        <f t="shared" si="16"/>
        <v>0</v>
      </c>
      <c r="Z122" s="1482"/>
      <c r="AA122" s="1456"/>
    </row>
    <row r="123" spans="8:27">
      <c r="H123" s="1460"/>
      <c r="I123" s="2205"/>
      <c r="J123" s="1470" t="s">
        <v>229</v>
      </c>
      <c r="K123" s="1460"/>
      <c r="L123" s="1467"/>
      <c r="M123" s="1467"/>
      <c r="N123" s="1461"/>
      <c r="O123" s="1460"/>
      <c r="P123" s="1463"/>
      <c r="Q123" s="1466"/>
      <c r="R123" s="1466"/>
      <c r="S123" s="1469">
        <f t="shared" si="10"/>
        <v>0</v>
      </c>
      <c r="T123" s="1469">
        <f t="shared" si="11"/>
        <v>0</v>
      </c>
      <c r="U123" s="1469">
        <f t="shared" si="12"/>
        <v>0</v>
      </c>
      <c r="V123" s="1469">
        <f t="shared" si="13"/>
        <v>0</v>
      </c>
      <c r="W123" s="1459">
        <f t="shared" si="14"/>
        <v>0</v>
      </c>
      <c r="X123" s="1459">
        <f t="shared" si="15"/>
        <v>0</v>
      </c>
      <c r="Y123" s="1459">
        <f t="shared" si="16"/>
        <v>0</v>
      </c>
      <c r="Z123" s="1482"/>
      <c r="AA123" s="1456"/>
    </row>
    <row r="124" spans="8:27">
      <c r="H124" s="1460"/>
      <c r="I124" s="1466"/>
      <c r="J124" s="1470" t="s">
        <v>229</v>
      </c>
      <c r="K124" s="1460"/>
      <c r="L124" s="1467"/>
      <c r="M124" s="1467"/>
      <c r="N124" s="1461"/>
      <c r="O124" s="1460"/>
      <c r="P124" s="1463"/>
      <c r="Q124" s="1466"/>
      <c r="R124" s="1466"/>
      <c r="S124" s="1469">
        <f t="shared" si="10"/>
        <v>0</v>
      </c>
      <c r="T124" s="1469">
        <f t="shared" si="11"/>
        <v>0</v>
      </c>
      <c r="U124" s="1469">
        <f t="shared" si="12"/>
        <v>0</v>
      </c>
      <c r="V124" s="1469">
        <f t="shared" si="13"/>
        <v>0</v>
      </c>
      <c r="W124" s="1459">
        <f t="shared" si="14"/>
        <v>0</v>
      </c>
      <c r="X124" s="1459">
        <f t="shared" si="15"/>
        <v>0</v>
      </c>
      <c r="Y124" s="1459">
        <f t="shared" si="16"/>
        <v>0</v>
      </c>
      <c r="Z124" s="1482"/>
      <c r="AA124" s="1456"/>
    </row>
    <row r="125" spans="8:27">
      <c r="H125" s="1460"/>
      <c r="I125" s="1466"/>
      <c r="J125" s="1470" t="s">
        <v>229</v>
      </c>
      <c r="K125" s="1460"/>
      <c r="L125" s="1467"/>
      <c r="M125" s="1467"/>
      <c r="N125" s="1461"/>
      <c r="O125" s="1460"/>
      <c r="P125" s="1463"/>
      <c r="Q125" s="1466"/>
      <c r="R125" s="1466"/>
      <c r="S125" s="1469">
        <f t="shared" si="10"/>
        <v>0</v>
      </c>
      <c r="T125" s="1469">
        <f t="shared" si="11"/>
        <v>0</v>
      </c>
      <c r="U125" s="1469">
        <f t="shared" si="12"/>
        <v>0</v>
      </c>
      <c r="V125" s="1469">
        <f t="shared" si="13"/>
        <v>0</v>
      </c>
      <c r="W125" s="1459">
        <f t="shared" si="14"/>
        <v>0</v>
      </c>
      <c r="X125" s="1459">
        <f t="shared" si="15"/>
        <v>0</v>
      </c>
      <c r="Y125" s="1459">
        <f t="shared" si="16"/>
        <v>0</v>
      </c>
      <c r="Z125" s="1482"/>
      <c r="AA125" s="1456"/>
    </row>
    <row r="126" spans="8:27">
      <c r="H126" s="1460"/>
      <c r="I126" s="1466"/>
      <c r="J126" s="1470" t="s">
        <v>229</v>
      </c>
      <c r="K126" s="1460"/>
      <c r="L126" s="1467"/>
      <c r="M126" s="1467"/>
      <c r="N126" s="1461"/>
      <c r="O126" s="1460"/>
      <c r="P126" s="1463"/>
      <c r="Q126" s="1466"/>
      <c r="R126" s="1466"/>
      <c r="S126" s="1469">
        <f t="shared" si="10"/>
        <v>0</v>
      </c>
      <c r="T126" s="1469">
        <f t="shared" si="11"/>
        <v>0</v>
      </c>
      <c r="U126" s="1469">
        <f t="shared" si="12"/>
        <v>0</v>
      </c>
      <c r="V126" s="1469">
        <f t="shared" si="13"/>
        <v>0</v>
      </c>
      <c r="W126" s="1459">
        <f t="shared" si="14"/>
        <v>0</v>
      </c>
      <c r="X126" s="1459">
        <f t="shared" si="15"/>
        <v>0</v>
      </c>
      <c r="Y126" s="1459">
        <f t="shared" si="16"/>
        <v>0</v>
      </c>
      <c r="Z126" s="1482"/>
      <c r="AA126" s="1456"/>
    </row>
    <row r="127" spans="8:27">
      <c r="H127" s="1460"/>
      <c r="I127" s="1466"/>
      <c r="J127" s="1470" t="s">
        <v>229</v>
      </c>
      <c r="K127" s="1460"/>
      <c r="L127" s="1467"/>
      <c r="M127" s="1467"/>
      <c r="N127" s="1461"/>
      <c r="O127" s="1460"/>
      <c r="P127" s="1463"/>
      <c r="Q127" s="1466"/>
      <c r="R127" s="1466"/>
      <c r="S127" s="1469">
        <f t="shared" si="10"/>
        <v>0</v>
      </c>
      <c r="T127" s="1469">
        <f t="shared" si="11"/>
        <v>0</v>
      </c>
      <c r="U127" s="1469">
        <f t="shared" si="12"/>
        <v>0</v>
      </c>
      <c r="V127" s="1469">
        <f t="shared" si="13"/>
        <v>0</v>
      </c>
      <c r="W127" s="1459">
        <f t="shared" si="14"/>
        <v>0</v>
      </c>
      <c r="X127" s="1459">
        <f t="shared" si="15"/>
        <v>0</v>
      </c>
      <c r="Y127" s="1459">
        <f t="shared" si="16"/>
        <v>0</v>
      </c>
      <c r="Z127" s="1482"/>
      <c r="AA127" s="1456"/>
    </row>
    <row r="128" spans="8:27">
      <c r="H128" s="1460"/>
      <c r="I128" s="1466"/>
      <c r="J128" s="1470" t="s">
        <v>229</v>
      </c>
      <c r="K128" s="1460"/>
      <c r="L128" s="1467"/>
      <c r="M128" s="1467"/>
      <c r="N128" s="1461"/>
      <c r="O128" s="1460"/>
      <c r="P128" s="1463"/>
      <c r="Q128" s="1466"/>
      <c r="R128" s="1466"/>
      <c r="S128" s="1469">
        <f t="shared" si="10"/>
        <v>0</v>
      </c>
      <c r="T128" s="1469">
        <f t="shared" si="11"/>
        <v>0</v>
      </c>
      <c r="U128" s="1469">
        <f t="shared" si="12"/>
        <v>0</v>
      </c>
      <c r="V128" s="1469">
        <f t="shared" si="13"/>
        <v>0</v>
      </c>
      <c r="W128" s="1459">
        <f t="shared" si="14"/>
        <v>0</v>
      </c>
      <c r="X128" s="1459">
        <f t="shared" si="15"/>
        <v>0</v>
      </c>
      <c r="Y128" s="1459">
        <f t="shared" si="16"/>
        <v>0</v>
      </c>
      <c r="Z128" s="1482"/>
      <c r="AA128" s="1456"/>
    </row>
    <row r="129" spans="8:27">
      <c r="H129" s="1460"/>
      <c r="I129" s="1466"/>
      <c r="J129" s="1470" t="s">
        <v>229</v>
      </c>
      <c r="K129" s="1460"/>
      <c r="L129" s="1467"/>
      <c r="M129" s="1467"/>
      <c r="N129" s="1461"/>
      <c r="O129" s="1460"/>
      <c r="P129" s="1463"/>
      <c r="Q129" s="1466"/>
      <c r="R129" s="1466"/>
      <c r="S129" s="1469">
        <f t="shared" si="10"/>
        <v>0</v>
      </c>
      <c r="T129" s="1469">
        <f t="shared" si="11"/>
        <v>0</v>
      </c>
      <c r="U129" s="1469">
        <f t="shared" si="12"/>
        <v>0</v>
      </c>
      <c r="V129" s="1469">
        <f t="shared" si="13"/>
        <v>0</v>
      </c>
      <c r="W129" s="1459">
        <f t="shared" si="14"/>
        <v>0</v>
      </c>
      <c r="X129" s="1459">
        <f t="shared" si="15"/>
        <v>0</v>
      </c>
      <c r="Y129" s="1459">
        <f t="shared" si="16"/>
        <v>0</v>
      </c>
      <c r="Z129" s="1482"/>
      <c r="AA129" s="1456"/>
    </row>
  </sheetData>
  <customSheetViews>
    <customSheetView guid="{D9EFFE19-D14B-4C6F-BDF4-FF696F73968D}" showGridLines="0">
      <pane xSplit="1" ySplit="1" topLeftCell="B20" activePane="bottomRight" state="frozen"/>
      <selection pane="bottomRight" activeCell="G41" sqref="G41"/>
      <pageMargins left="0.7" right="0.7" top="0.75" bottom="0.75" header="0.3" footer="0.3"/>
    </customSheetView>
    <customSheetView guid="{074EB09C-6289-46D7-9513-012B68BCA7BF}" showGridLines="0">
      <pane xSplit="1" ySplit="1" topLeftCell="F2" activePane="bottomRight" state="frozen"/>
      <selection pane="bottomRight" activeCell="T7" sqref="T7"/>
      <pageMargins left="0.7" right="0.7" top="0.75" bottom="0.75" header="0.3" footer="0.3"/>
    </customSheetView>
  </customSheetViews>
  <mergeCells count="2">
    <mergeCell ref="Z12:Z13"/>
    <mergeCell ref="Z76:Z77"/>
  </mergeCells>
  <pageMargins left="0.45" right="0.2" top="0.75" bottom="0.75" header="0.3" footer="0.3"/>
  <pageSetup paperSize="3" scale="45" orientation="landscape" horizontalDpi="1200" verticalDpi="1200" r:id="rId1"/>
  <rowBreaks count="1" manualBreakCount="1">
    <brk id="72" max="16383" man="1"/>
  </row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tabColor rgb="FFFABF8F"/>
  </sheetPr>
  <dimension ref="A1:AA114"/>
  <sheetViews>
    <sheetView showGridLines="0" workbookViewId="0">
      <pane xSplit="1" ySplit="1" topLeftCell="H20" activePane="bottomRight" state="frozen"/>
      <selection pane="topRight" activeCell="B1" sqref="B1"/>
      <selection pane="bottomLeft" activeCell="A2" sqref="A2"/>
      <selection pane="bottomRight"/>
    </sheetView>
  </sheetViews>
  <sheetFormatPr defaultRowHeight="12.75"/>
  <cols>
    <col min="1" max="1" width="18.42578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50.855468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4.85546875" style="1652"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 customHeight="1" thickBot="1">
      <c r="C1" s="1361" t="s">
        <v>640</v>
      </c>
      <c r="D1" s="1361" t="s">
        <v>262</v>
      </c>
      <c r="E1" s="1361" t="s">
        <v>5</v>
      </c>
      <c r="F1" s="1361">
        <v>18231022</v>
      </c>
      <c r="G1" s="1361" t="s">
        <v>28</v>
      </c>
      <c r="J1" s="1190"/>
      <c r="M1" s="1361" t="s">
        <v>640</v>
      </c>
      <c r="N1" s="1361" t="s">
        <v>262</v>
      </c>
      <c r="O1" s="1361" t="s">
        <v>5</v>
      </c>
      <c r="P1" s="1361">
        <v>18231022</v>
      </c>
      <c r="Q1" s="1361" t="s">
        <v>28</v>
      </c>
      <c r="V1" s="1361" t="s">
        <v>640</v>
      </c>
      <c r="W1" s="1361" t="s">
        <v>262</v>
      </c>
      <c r="X1" s="1361" t="s">
        <v>5</v>
      </c>
      <c r="Y1" s="1361">
        <v>18231022</v>
      </c>
      <c r="Z1" s="1361" t="s">
        <v>28</v>
      </c>
    </row>
    <row r="2" spans="1:27" ht="16.5" thickBot="1">
      <c r="C2" s="1190"/>
      <c r="D2" s="1177"/>
      <c r="I2" s="1178" t="s">
        <v>627</v>
      </c>
      <c r="S2" s="3575"/>
      <c r="T2" s="3575"/>
      <c r="U2" s="3576" t="s">
        <v>33</v>
      </c>
      <c r="V2" s="3577"/>
      <c r="W2" s="3578"/>
      <c r="X2" s="3579" t="s">
        <v>34</v>
      </c>
    </row>
    <row r="3" spans="1:27" ht="26.25" thickBot="1">
      <c r="A3" s="2143" t="s">
        <v>640</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262</v>
      </c>
      <c r="B4" s="2143"/>
      <c r="C4" s="1190"/>
      <c r="H4" s="2946" t="s">
        <v>1726</v>
      </c>
      <c r="I4" s="2959">
        <f>D15</f>
        <v>19032.930000000004</v>
      </c>
      <c r="J4" s="2960">
        <f>D21</f>
        <v>0</v>
      </c>
      <c r="K4" s="2960">
        <f>D27</f>
        <v>12694.964310000003</v>
      </c>
      <c r="L4" s="2960">
        <f>D37</f>
        <v>250</v>
      </c>
      <c r="M4" s="2960">
        <f>D43</f>
        <v>0</v>
      </c>
      <c r="N4" s="2960">
        <f>D49</f>
        <v>6000</v>
      </c>
      <c r="O4" s="2960">
        <f>D55</f>
        <v>0</v>
      </c>
      <c r="P4" s="2960">
        <f>D61</f>
        <v>68809.5</v>
      </c>
      <c r="Q4" s="2960">
        <f>D67</f>
        <v>737860.67500000005</v>
      </c>
      <c r="R4" s="2960">
        <f>D68</f>
        <v>0</v>
      </c>
      <c r="S4" s="2961">
        <f>SUM(I4:R4)</f>
        <v>844648.06931000005</v>
      </c>
      <c r="T4" s="2963">
        <f>T15</f>
        <v>277585</v>
      </c>
      <c r="U4" s="2954">
        <f>Q4/S4</f>
        <v>0.87357172982442799</v>
      </c>
      <c r="V4" s="2954">
        <f>(L4+(J4*1.63))/S4</f>
        <v>2.9598126022383153E-4</v>
      </c>
      <c r="W4" s="2954">
        <f>N4/S4</f>
        <v>7.1035502453719564E-3</v>
      </c>
      <c r="X4" s="2953">
        <f>S4/T4</f>
        <v>3.0428447837959545</v>
      </c>
    </row>
    <row r="5" spans="1:27" ht="16.5" thickBot="1">
      <c r="A5" s="2143" t="s">
        <v>5</v>
      </c>
      <c r="C5" s="1177"/>
      <c r="H5" s="3205" t="s">
        <v>1753</v>
      </c>
      <c r="I5" s="2617">
        <v>19508.79</v>
      </c>
      <c r="J5" s="2618">
        <v>0</v>
      </c>
      <c r="K5" s="2618">
        <v>13265.977200000001</v>
      </c>
      <c r="L5" s="2618">
        <v>250</v>
      </c>
      <c r="M5" s="2618">
        <v>0</v>
      </c>
      <c r="N5" s="2618">
        <v>6000</v>
      </c>
      <c r="O5" s="2618">
        <v>0</v>
      </c>
      <c r="P5" s="2618">
        <v>68809.5</v>
      </c>
      <c r="Q5" s="2618">
        <v>751072.55499999993</v>
      </c>
      <c r="R5" s="2618">
        <v>0</v>
      </c>
      <c r="S5" s="2619">
        <v>858906.82219999994</v>
      </c>
      <c r="T5" s="2640">
        <v>281325</v>
      </c>
      <c r="U5" s="1187">
        <f>Q5/S5</f>
        <v>0.8744517281585984</v>
      </c>
      <c r="V5" s="1187">
        <f>(L5+(J5*1.63))/S5</f>
        <v>2.9106766128559925E-4</v>
      </c>
      <c r="W5" s="1187">
        <f>N5/S5</f>
        <v>6.9856238708543824E-3</v>
      </c>
      <c r="X5" s="1155">
        <f>S5/T5</f>
        <v>3.053076769572558</v>
      </c>
    </row>
    <row r="6" spans="1:27" ht="16.5" thickBot="1">
      <c r="A6" s="2143">
        <v>18231022</v>
      </c>
      <c r="B6" s="2143"/>
      <c r="D6" s="1190"/>
      <c r="H6" s="3206" t="s">
        <v>1754</v>
      </c>
      <c r="I6" s="2621">
        <f>E15</f>
        <v>19508.79</v>
      </c>
      <c r="J6" s="2622">
        <f>E21</f>
        <v>0</v>
      </c>
      <c r="K6" s="2623">
        <f>E27</f>
        <v>17518.89342</v>
      </c>
      <c r="L6" s="2622">
        <f>E37</f>
        <v>250</v>
      </c>
      <c r="M6" s="2622">
        <f>E43</f>
        <v>0</v>
      </c>
      <c r="N6" s="2622">
        <f>E49</f>
        <v>6000</v>
      </c>
      <c r="O6" s="2622">
        <f>E55</f>
        <v>0</v>
      </c>
      <c r="P6" s="2622">
        <f>E61</f>
        <v>68809.5</v>
      </c>
      <c r="Q6" s="2622">
        <f>E67</f>
        <v>21175.5</v>
      </c>
      <c r="R6" s="2622">
        <f>E68</f>
        <v>0</v>
      </c>
      <c r="S6" s="2624">
        <f>SUM(I6:R6)</f>
        <v>133262.68342000002</v>
      </c>
      <c r="T6" s="2641">
        <f>U15</f>
        <v>23504.6</v>
      </c>
      <c r="U6" s="2631">
        <f>Q6/S6</f>
        <v>0.15890044727121252</v>
      </c>
      <c r="V6" s="2631">
        <f>(L6+(J6*1.63))/S6</f>
        <v>1.8759940411231437E-3</v>
      </c>
      <c r="W6" s="2631">
        <f>N6/S6</f>
        <v>4.5023856986955449E-2</v>
      </c>
      <c r="X6" s="2626">
        <f>S6/T6</f>
        <v>5.6696426835598146</v>
      </c>
    </row>
    <row r="7" spans="1:27" ht="15.75">
      <c r="A7" s="2143" t="s">
        <v>28</v>
      </c>
      <c r="B7" s="2143"/>
      <c r="D7" s="1190"/>
      <c r="G7" s="2606"/>
      <c r="H7" s="2607"/>
      <c r="I7" s="2607"/>
      <c r="J7" s="2607"/>
      <c r="K7" s="2607"/>
      <c r="L7" s="2607"/>
      <c r="M7" s="2607"/>
      <c r="N7" s="2607"/>
      <c r="O7" s="2607"/>
      <c r="P7" s="2607"/>
      <c r="Q7" s="2607"/>
      <c r="R7" s="2607"/>
      <c r="S7" s="2639"/>
      <c r="T7" s="2630"/>
      <c r="U7" s="2630"/>
      <c r="V7" s="2630"/>
      <c r="W7" s="2610"/>
    </row>
    <row r="8" spans="1:27" ht="15.75">
      <c r="A8" s="1663"/>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D15+D21+D27+D37+D43+D49+D55+D61+D67</f>
        <v>844648.06931000005</v>
      </c>
      <c r="E12" s="1484">
        <f>E15+E21+E27+E37+E43+E49+E55+E61+E67</f>
        <v>133262.68342000002</v>
      </c>
      <c r="F12" s="1638">
        <f>D12+E12</f>
        <v>977910.75273000007</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3223">
        <v>2016</v>
      </c>
      <c r="R13" s="1472">
        <v>2017</v>
      </c>
      <c r="S13" s="1472" t="s">
        <v>306</v>
      </c>
      <c r="T13" s="3234">
        <v>2016</v>
      </c>
      <c r="U13" s="1473">
        <v>2017</v>
      </c>
      <c r="V13" s="1473" t="s">
        <v>306</v>
      </c>
      <c r="W13" s="3235">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24" t="s">
        <v>307</v>
      </c>
      <c r="R14" s="1458" t="s">
        <v>307</v>
      </c>
      <c r="S14" s="1472"/>
      <c r="T14" s="3234"/>
      <c r="U14" s="1473"/>
      <c r="V14" s="1473"/>
      <c r="W14" s="3235"/>
      <c r="X14" s="1474"/>
      <c r="Y14" s="1474"/>
      <c r="Z14" s="1458" t="s">
        <v>307</v>
      </c>
      <c r="AA14" s="1456"/>
    </row>
    <row r="15" spans="1:27">
      <c r="B15" s="1433" t="s">
        <v>296</v>
      </c>
      <c r="C15" s="1597" t="s">
        <v>43</v>
      </c>
      <c r="D15" s="2771">
        <f>SUM(D16:D19)</f>
        <v>19032.930000000004</v>
      </c>
      <c r="E15" s="1464">
        <f>SUM(E16:E19)</f>
        <v>19508.79</v>
      </c>
      <c r="F15" s="1638">
        <f>D15+E15</f>
        <v>38541.72</v>
      </c>
      <c r="H15" s="1475" t="s">
        <v>308</v>
      </c>
      <c r="I15" s="1476"/>
      <c r="J15" s="1476"/>
      <c r="K15" s="1477"/>
      <c r="L15" s="1478">
        <f>SUMPRODUCT(L16:L165,S16:S165)</f>
        <v>1187742.675</v>
      </c>
      <c r="M15" s="1478">
        <f>SUM(M16:M165)</f>
        <v>1804.0169999999994</v>
      </c>
      <c r="N15" s="1479" t="s">
        <v>229</v>
      </c>
      <c r="O15" s="1477">
        <v>6</v>
      </c>
      <c r="P15" s="1477"/>
      <c r="Q15" s="3225"/>
      <c r="R15" s="1477"/>
      <c r="S15" s="1477"/>
      <c r="T15" s="2983">
        <f t="shared" ref="T15:X15" si="0">SUM(T16:T65)</f>
        <v>277585</v>
      </c>
      <c r="U15" s="1480">
        <f t="shared" si="0"/>
        <v>23504.6</v>
      </c>
      <c r="V15" s="1480">
        <f t="shared" si="0"/>
        <v>301089.60000000003</v>
      </c>
      <c r="W15" s="2987">
        <f t="shared" si="0"/>
        <v>737860.67500000005</v>
      </c>
      <c r="X15" s="1478">
        <f t="shared" si="0"/>
        <v>21175.5</v>
      </c>
      <c r="Y15" s="1478">
        <f>SUM(Y16:Y65)</f>
        <v>759036.17500000005</v>
      </c>
      <c r="Z15" s="1481">
        <v>0</v>
      </c>
      <c r="AA15" s="1456"/>
    </row>
    <row r="16" spans="1:27">
      <c r="B16" s="1982">
        <v>0.2</v>
      </c>
      <c r="C16" s="1667" t="s">
        <v>735</v>
      </c>
      <c r="D16" s="2772">
        <v>18126.600000000002</v>
      </c>
      <c r="E16" s="1669">
        <v>18579.8</v>
      </c>
      <c r="F16" s="1426">
        <f>SUM(D16:E16)</f>
        <v>36706.400000000001</v>
      </c>
      <c r="H16" s="1460" t="s">
        <v>1186</v>
      </c>
      <c r="I16" s="2205">
        <v>25.6</v>
      </c>
      <c r="J16" s="1470" t="s">
        <v>71</v>
      </c>
      <c r="K16" s="1460" t="s">
        <v>845</v>
      </c>
      <c r="L16" s="1467">
        <v>10.946</v>
      </c>
      <c r="M16" s="1467">
        <v>10.946</v>
      </c>
      <c r="N16" s="1461">
        <v>2.1256131065304144E-3</v>
      </c>
      <c r="O16" s="1460">
        <v>5</v>
      </c>
      <c r="P16" s="1463" t="s">
        <v>997</v>
      </c>
      <c r="Q16" s="3233">
        <v>25</v>
      </c>
      <c r="R16" s="1466">
        <v>0</v>
      </c>
      <c r="S16" s="1469">
        <f>SUM(Q16:R16)</f>
        <v>25</v>
      </c>
      <c r="T16" s="2991">
        <f>Q16*I16</f>
        <v>640</v>
      </c>
      <c r="U16" s="1469">
        <f>R16*I16</f>
        <v>0</v>
      </c>
      <c r="V16" s="1469">
        <f>SUM(T16:U16)</f>
        <v>640</v>
      </c>
      <c r="W16" s="2993">
        <f>Q16*M16</f>
        <v>273.64999999999998</v>
      </c>
      <c r="X16" s="1459">
        <f>R16*M16</f>
        <v>0</v>
      </c>
      <c r="Y16" s="1459">
        <f>SUM(W16:X16)</f>
        <v>273.64999999999998</v>
      </c>
      <c r="Z16" s="1482">
        <v>0</v>
      </c>
      <c r="AA16" s="1456"/>
    </row>
    <row r="17" spans="2:27">
      <c r="B17" s="1982">
        <v>0.01</v>
      </c>
      <c r="C17" s="1667" t="s">
        <v>734</v>
      </c>
      <c r="D17" s="2784">
        <v>906.33</v>
      </c>
      <c r="E17" s="1668">
        <v>928.99</v>
      </c>
      <c r="F17" s="1661">
        <f t="shared" ref="F17:F30" si="1">SUM(D17:E17)</f>
        <v>1835.3200000000002</v>
      </c>
      <c r="H17" s="1460" t="s">
        <v>1187</v>
      </c>
      <c r="I17" s="2205">
        <v>12.8</v>
      </c>
      <c r="J17" s="1470" t="s">
        <v>71</v>
      </c>
      <c r="K17" s="1460" t="s">
        <v>845</v>
      </c>
      <c r="L17" s="1467">
        <v>10.946</v>
      </c>
      <c r="M17" s="1467">
        <v>10.946</v>
      </c>
      <c r="N17" s="1461">
        <v>1.0628065532652072E-3</v>
      </c>
      <c r="O17" s="1460">
        <v>5</v>
      </c>
      <c r="P17" s="1463" t="s">
        <v>997</v>
      </c>
      <c r="Q17" s="3233">
        <v>25</v>
      </c>
      <c r="R17" s="1466">
        <v>0</v>
      </c>
      <c r="S17" s="1469">
        <f t="shared" ref="S17:S52" si="2">SUM(Q17:R17)</f>
        <v>25</v>
      </c>
      <c r="T17" s="2991">
        <f t="shared" ref="T17:T52" si="3">Q17*I17</f>
        <v>320</v>
      </c>
      <c r="U17" s="1469">
        <f t="shared" ref="U17:U52" si="4">R17*I17</f>
        <v>0</v>
      </c>
      <c r="V17" s="1469">
        <f t="shared" ref="V17:V52" si="5">SUM(T17:U17)</f>
        <v>320</v>
      </c>
      <c r="W17" s="2993">
        <f t="shared" ref="W17:W52" si="6">Q17*M17</f>
        <v>273.64999999999998</v>
      </c>
      <c r="X17" s="1459">
        <f t="shared" ref="X17:X52" si="7">R17*M17</f>
        <v>0</v>
      </c>
      <c r="Y17" s="1459">
        <f t="shared" ref="Y17:Y52" si="8">SUM(W17:X17)</f>
        <v>273.64999999999998</v>
      </c>
      <c r="Z17" s="1482">
        <v>0</v>
      </c>
      <c r="AA17" s="1456"/>
    </row>
    <row r="18" spans="2:27">
      <c r="B18" s="1982"/>
      <c r="C18" s="1667"/>
      <c r="D18" s="2784"/>
      <c r="E18" s="1668"/>
      <c r="F18" s="1661">
        <f t="shared" si="1"/>
        <v>0</v>
      </c>
      <c r="H18" s="1460" t="s">
        <v>1188</v>
      </c>
      <c r="I18" s="2205">
        <v>53</v>
      </c>
      <c r="J18" s="1470" t="s">
        <v>71</v>
      </c>
      <c r="K18" s="1460" t="s">
        <v>845</v>
      </c>
      <c r="L18" s="1467">
        <v>70.421000000000006</v>
      </c>
      <c r="M18" s="1467">
        <v>70.421000000000006</v>
      </c>
      <c r="N18" s="1461">
        <v>4.4006833846137487E-3</v>
      </c>
      <c r="O18" s="1460">
        <v>5</v>
      </c>
      <c r="P18" s="1463" t="s">
        <v>997</v>
      </c>
      <c r="Q18" s="3233">
        <v>25</v>
      </c>
      <c r="R18" s="1466">
        <v>0</v>
      </c>
      <c r="S18" s="1469">
        <f t="shared" si="2"/>
        <v>25</v>
      </c>
      <c r="T18" s="2991">
        <f t="shared" si="3"/>
        <v>1325</v>
      </c>
      <c r="U18" s="1469">
        <f t="shared" si="4"/>
        <v>0</v>
      </c>
      <c r="V18" s="1469">
        <f t="shared" si="5"/>
        <v>1325</v>
      </c>
      <c r="W18" s="2993">
        <f t="shared" si="6"/>
        <v>1760.5250000000001</v>
      </c>
      <c r="X18" s="1459">
        <f t="shared" si="7"/>
        <v>0</v>
      </c>
      <c r="Y18" s="1459">
        <f t="shared" si="8"/>
        <v>1760.5250000000001</v>
      </c>
      <c r="Z18" s="1482">
        <v>0</v>
      </c>
      <c r="AA18" s="1456"/>
    </row>
    <row r="19" spans="2:27">
      <c r="B19" s="1982"/>
      <c r="C19" s="1667"/>
      <c r="D19" s="2786"/>
      <c r="E19" s="1446"/>
      <c r="F19" s="1661">
        <f t="shared" si="1"/>
        <v>0</v>
      </c>
      <c r="H19" s="1460" t="s">
        <v>1189</v>
      </c>
      <c r="I19" s="2205">
        <v>37</v>
      </c>
      <c r="J19" s="1470" t="s">
        <v>71</v>
      </c>
      <c r="K19" s="1460" t="s">
        <v>845</v>
      </c>
      <c r="L19" s="1467">
        <v>70.421000000000006</v>
      </c>
      <c r="M19" s="1467">
        <v>70.421000000000006</v>
      </c>
      <c r="N19" s="1461">
        <v>3.0721751930322398E-3</v>
      </c>
      <c r="O19" s="1460">
        <v>5</v>
      </c>
      <c r="P19" s="1463" t="s">
        <v>997</v>
      </c>
      <c r="Q19" s="3233">
        <v>25</v>
      </c>
      <c r="R19" s="1466">
        <v>0</v>
      </c>
      <c r="S19" s="1469">
        <f t="shared" si="2"/>
        <v>25</v>
      </c>
      <c r="T19" s="2991">
        <f t="shared" si="3"/>
        <v>925</v>
      </c>
      <c r="U19" s="1469">
        <f t="shared" si="4"/>
        <v>0</v>
      </c>
      <c r="V19" s="1469">
        <f t="shared" si="5"/>
        <v>925</v>
      </c>
      <c r="W19" s="2993">
        <f t="shared" si="6"/>
        <v>1760.5250000000001</v>
      </c>
      <c r="X19" s="1459">
        <f t="shared" si="7"/>
        <v>0</v>
      </c>
      <c r="Y19" s="1459">
        <f t="shared" si="8"/>
        <v>1760.5250000000001</v>
      </c>
      <c r="Z19" s="1482">
        <v>0</v>
      </c>
      <c r="AA19" s="1456"/>
    </row>
    <row r="20" spans="2:27">
      <c r="B20" s="2204">
        <f>SUM(B16:B19)</f>
        <v>0.21000000000000002</v>
      </c>
      <c r="C20" s="1488"/>
      <c r="D20" s="2770"/>
      <c r="E20" s="1490"/>
      <c r="F20" s="1492"/>
      <c r="H20" s="1460" t="s">
        <v>1190</v>
      </c>
      <c r="I20" s="2205">
        <v>58</v>
      </c>
      <c r="J20" s="1470" t="s">
        <v>71</v>
      </c>
      <c r="K20" s="1460" t="s">
        <v>845</v>
      </c>
      <c r="L20" s="1467">
        <v>70.421000000000006</v>
      </c>
      <c r="M20" s="1467">
        <v>70.421000000000006</v>
      </c>
      <c r="N20" s="1461">
        <v>4.8158421944829704E-3</v>
      </c>
      <c r="O20" s="1460">
        <v>5</v>
      </c>
      <c r="P20" s="1463" t="s">
        <v>997</v>
      </c>
      <c r="Q20" s="3233">
        <v>25</v>
      </c>
      <c r="R20" s="1466">
        <v>0</v>
      </c>
      <c r="S20" s="1469">
        <f t="shared" si="2"/>
        <v>25</v>
      </c>
      <c r="T20" s="2991">
        <f t="shared" si="3"/>
        <v>1450</v>
      </c>
      <c r="U20" s="1469">
        <f t="shared" si="4"/>
        <v>0</v>
      </c>
      <c r="V20" s="1469">
        <f t="shared" si="5"/>
        <v>1450</v>
      </c>
      <c r="W20" s="2993">
        <f t="shared" si="6"/>
        <v>1760.5250000000001</v>
      </c>
      <c r="X20" s="1459">
        <f t="shared" si="7"/>
        <v>0</v>
      </c>
      <c r="Y20" s="1459">
        <f t="shared" si="8"/>
        <v>1760.5250000000001</v>
      </c>
      <c r="Z20" s="1482">
        <v>0</v>
      </c>
      <c r="AA20" s="1456"/>
    </row>
    <row r="21" spans="2:27">
      <c r="B21" s="1433" t="s">
        <v>296</v>
      </c>
      <c r="C21" s="1597" t="s">
        <v>44</v>
      </c>
      <c r="D21" s="2771">
        <f>SUM(D22:D25)</f>
        <v>0</v>
      </c>
      <c r="E21" s="1464">
        <f>SUM(E22:E25)</f>
        <v>0</v>
      </c>
      <c r="F21" s="1638">
        <f>D21+E21</f>
        <v>0</v>
      </c>
      <c r="H21" s="1460" t="s">
        <v>1191</v>
      </c>
      <c r="I21" s="2205">
        <v>97</v>
      </c>
      <c r="J21" s="1470" t="s">
        <v>71</v>
      </c>
      <c r="K21" s="1460" t="s">
        <v>845</v>
      </c>
      <c r="L21" s="1467">
        <v>70.421000000000006</v>
      </c>
      <c r="M21" s="1467">
        <v>70.421000000000006</v>
      </c>
      <c r="N21" s="1461">
        <v>8.0540809114628999E-3</v>
      </c>
      <c r="O21" s="1460">
        <v>5</v>
      </c>
      <c r="P21" s="1463" t="s">
        <v>997</v>
      </c>
      <c r="Q21" s="3233">
        <v>25</v>
      </c>
      <c r="R21" s="1466">
        <v>0</v>
      </c>
      <c r="S21" s="1469">
        <f t="shared" si="2"/>
        <v>25</v>
      </c>
      <c r="T21" s="2991">
        <f t="shared" si="3"/>
        <v>2425</v>
      </c>
      <c r="U21" s="1469">
        <f t="shared" si="4"/>
        <v>0</v>
      </c>
      <c r="V21" s="1469">
        <f t="shared" si="5"/>
        <v>2425</v>
      </c>
      <c r="W21" s="2993">
        <f t="shared" si="6"/>
        <v>1760.5250000000001</v>
      </c>
      <c r="X21" s="1459">
        <f t="shared" si="7"/>
        <v>0</v>
      </c>
      <c r="Y21" s="1459">
        <f t="shared" si="8"/>
        <v>1760.5250000000001</v>
      </c>
      <c r="Z21" s="1482">
        <v>0</v>
      </c>
      <c r="AA21" s="1456"/>
    </row>
    <row r="22" spans="2:27">
      <c r="B22" s="1982">
        <f>(SUM(D22:E22)/2)/((80000+(80000*1.025))/2)</f>
        <v>0</v>
      </c>
      <c r="C22" s="1667"/>
      <c r="D22" s="2772"/>
      <c r="E22" s="1669"/>
      <c r="F22" s="1426">
        <f t="shared" si="1"/>
        <v>0</v>
      </c>
      <c r="H22" s="1460" t="s">
        <v>1192</v>
      </c>
      <c r="I22" s="2205">
        <v>10</v>
      </c>
      <c r="J22" s="1470" t="s">
        <v>71</v>
      </c>
      <c r="K22" s="1460" t="s">
        <v>845</v>
      </c>
      <c r="L22" s="1467">
        <v>21.671000000000003</v>
      </c>
      <c r="M22" s="1467">
        <v>21.671000000000003</v>
      </c>
      <c r="N22" s="1461">
        <v>8.3031761973844319E-4</v>
      </c>
      <c r="O22" s="1460">
        <v>10</v>
      </c>
      <c r="P22" s="1463" t="s">
        <v>997</v>
      </c>
      <c r="Q22" s="3233">
        <v>25</v>
      </c>
      <c r="R22" s="1466">
        <v>0</v>
      </c>
      <c r="S22" s="1469">
        <f t="shared" si="2"/>
        <v>25</v>
      </c>
      <c r="T22" s="2991">
        <f t="shared" si="3"/>
        <v>250</v>
      </c>
      <c r="U22" s="1469">
        <f t="shared" si="4"/>
        <v>0</v>
      </c>
      <c r="V22" s="1469">
        <f t="shared" si="5"/>
        <v>250</v>
      </c>
      <c r="W22" s="2993">
        <f t="shared" si="6"/>
        <v>541.77500000000009</v>
      </c>
      <c r="X22" s="1459">
        <f t="shared" si="7"/>
        <v>0</v>
      </c>
      <c r="Y22" s="1459">
        <f t="shared" si="8"/>
        <v>541.77500000000009</v>
      </c>
      <c r="Z22" s="1482">
        <v>0</v>
      </c>
      <c r="AA22" s="1456"/>
    </row>
    <row r="23" spans="2:27">
      <c r="B23" s="1982"/>
      <c r="C23" s="1667"/>
      <c r="D23" s="2773"/>
      <c r="E23" s="1444"/>
      <c r="F23" s="1661">
        <f t="shared" si="1"/>
        <v>0</v>
      </c>
      <c r="H23" s="1460" t="s">
        <v>1193</v>
      </c>
      <c r="I23" s="2205">
        <v>85</v>
      </c>
      <c r="J23" s="1470" t="s">
        <v>71</v>
      </c>
      <c r="K23" s="1460" t="s">
        <v>845</v>
      </c>
      <c r="L23" s="1467">
        <v>800</v>
      </c>
      <c r="M23" s="1467">
        <v>300.27</v>
      </c>
      <c r="N23" s="1461">
        <v>0.2399617921044101</v>
      </c>
      <c r="O23" s="1460">
        <v>5</v>
      </c>
      <c r="P23" s="1463" t="s">
        <v>1160</v>
      </c>
      <c r="Q23" s="3233">
        <v>850</v>
      </c>
      <c r="R23" s="1466">
        <v>0</v>
      </c>
      <c r="S23" s="1469">
        <f t="shared" si="2"/>
        <v>850</v>
      </c>
      <c r="T23" s="2991">
        <f t="shared" si="3"/>
        <v>72250</v>
      </c>
      <c r="U23" s="1469">
        <f t="shared" si="4"/>
        <v>0</v>
      </c>
      <c r="V23" s="1469">
        <f t="shared" si="5"/>
        <v>72250</v>
      </c>
      <c r="W23" s="2993">
        <f t="shared" si="6"/>
        <v>255229.49999999997</v>
      </c>
      <c r="X23" s="1459">
        <f t="shared" si="7"/>
        <v>0</v>
      </c>
      <c r="Y23" s="1459">
        <f t="shared" si="8"/>
        <v>255229.49999999997</v>
      </c>
      <c r="Z23" s="1482">
        <v>0</v>
      </c>
      <c r="AA23" s="1456"/>
    </row>
    <row r="24" spans="2:27">
      <c r="B24" s="1982"/>
      <c r="C24" s="1667"/>
      <c r="D24" s="2774"/>
      <c r="E24" s="1443"/>
      <c r="F24" s="1661">
        <f t="shared" si="1"/>
        <v>0</v>
      </c>
      <c r="H24" s="1460" t="s">
        <v>1194</v>
      </c>
      <c r="I24" s="2205">
        <v>99</v>
      </c>
      <c r="J24" s="1470" t="s">
        <v>71</v>
      </c>
      <c r="K24" s="1460" t="s">
        <v>845</v>
      </c>
      <c r="L24" s="1467">
        <v>237.25</v>
      </c>
      <c r="M24" s="1467">
        <v>237.25</v>
      </c>
      <c r="N24" s="1461">
        <v>0.65761155483284706</v>
      </c>
      <c r="O24" s="1460">
        <v>10</v>
      </c>
      <c r="P24" s="1463" t="s">
        <v>1160</v>
      </c>
      <c r="Q24" s="3233">
        <v>2000</v>
      </c>
      <c r="R24" s="1466">
        <v>0</v>
      </c>
      <c r="S24" s="1469">
        <f t="shared" si="2"/>
        <v>2000</v>
      </c>
      <c r="T24" s="2991">
        <f t="shared" si="3"/>
        <v>198000</v>
      </c>
      <c r="U24" s="1469">
        <f t="shared" si="4"/>
        <v>0</v>
      </c>
      <c r="V24" s="1469">
        <f t="shared" si="5"/>
        <v>198000</v>
      </c>
      <c r="W24" s="2993">
        <f t="shared" si="6"/>
        <v>474500</v>
      </c>
      <c r="X24" s="1459">
        <f t="shared" si="7"/>
        <v>0</v>
      </c>
      <c r="Y24" s="1459">
        <f t="shared" si="8"/>
        <v>474500</v>
      </c>
      <c r="Z24" s="1482">
        <v>0</v>
      </c>
      <c r="AA24" s="1456"/>
    </row>
    <row r="25" spans="2:27">
      <c r="B25" s="1982"/>
      <c r="C25" s="1667"/>
      <c r="D25" s="2775"/>
      <c r="E25" s="1444"/>
      <c r="F25" s="1661">
        <f t="shared" si="1"/>
        <v>0</v>
      </c>
      <c r="H25" s="1460" t="s">
        <v>2532</v>
      </c>
      <c r="I25" s="2205">
        <v>0.67</v>
      </c>
      <c r="J25" s="1470" t="s">
        <v>71</v>
      </c>
      <c r="K25" s="1460" t="s">
        <v>845</v>
      </c>
      <c r="L25" s="1467">
        <v>0</v>
      </c>
      <c r="M25" s="1467">
        <v>0</v>
      </c>
      <c r="N25" s="1461">
        <v>2.2252512208990279E-5</v>
      </c>
      <c r="O25" s="1460">
        <v>8</v>
      </c>
      <c r="P25" s="1463" t="s">
        <v>1253</v>
      </c>
      <c r="Q25" s="3233">
        <v>0</v>
      </c>
      <c r="R25" s="1466">
        <v>10</v>
      </c>
      <c r="S25" s="1469">
        <f t="shared" si="2"/>
        <v>10</v>
      </c>
      <c r="T25" s="2991">
        <f t="shared" si="3"/>
        <v>0</v>
      </c>
      <c r="U25" s="1469">
        <f t="shared" si="4"/>
        <v>6.7</v>
      </c>
      <c r="V25" s="1469">
        <f t="shared" si="5"/>
        <v>6.7</v>
      </c>
      <c r="W25" s="2993">
        <f t="shared" si="6"/>
        <v>0</v>
      </c>
      <c r="X25" s="1459">
        <f t="shared" si="7"/>
        <v>0</v>
      </c>
      <c r="Y25" s="1459">
        <f t="shared" si="8"/>
        <v>0</v>
      </c>
      <c r="Z25" s="1482"/>
      <c r="AA25" s="1456"/>
    </row>
    <row r="26" spans="2:27">
      <c r="B26" s="2204">
        <f>SUM(B22:B25)</f>
        <v>0</v>
      </c>
      <c r="C26" s="1424"/>
      <c r="D26" s="2776"/>
      <c r="E26" s="1431"/>
      <c r="F26" s="1439"/>
      <c r="H26" s="1460" t="s">
        <v>2533</v>
      </c>
      <c r="I26" s="2205">
        <v>0.25</v>
      </c>
      <c r="J26" s="1470" t="s">
        <v>71</v>
      </c>
      <c r="K26" s="1460" t="s">
        <v>845</v>
      </c>
      <c r="L26" s="1467">
        <v>0</v>
      </c>
      <c r="M26" s="1467">
        <v>0</v>
      </c>
      <c r="N26" s="1461">
        <v>8.3031761973844313E-6</v>
      </c>
      <c r="O26" s="1460">
        <v>8</v>
      </c>
      <c r="P26" s="1463" t="s">
        <v>1253</v>
      </c>
      <c r="Q26" s="3233">
        <v>0</v>
      </c>
      <c r="R26" s="1466">
        <v>10</v>
      </c>
      <c r="S26" s="1469">
        <f t="shared" si="2"/>
        <v>10</v>
      </c>
      <c r="T26" s="2991">
        <f t="shared" si="3"/>
        <v>0</v>
      </c>
      <c r="U26" s="1469">
        <f t="shared" si="4"/>
        <v>2.5</v>
      </c>
      <c r="V26" s="1469">
        <f t="shared" si="5"/>
        <v>2.5</v>
      </c>
      <c r="W26" s="2993">
        <f t="shared" si="6"/>
        <v>0</v>
      </c>
      <c r="X26" s="1459">
        <f t="shared" si="7"/>
        <v>0</v>
      </c>
      <c r="Y26" s="1459">
        <f t="shared" si="8"/>
        <v>0</v>
      </c>
      <c r="Z26" s="1482"/>
      <c r="AA26" s="1456"/>
    </row>
    <row r="27" spans="2:27">
      <c r="C27" s="1597" t="s">
        <v>1737</v>
      </c>
      <c r="D27" s="2771">
        <f>SUM(D29:D35)</f>
        <v>12694.964310000003</v>
      </c>
      <c r="E27" s="1657">
        <f>SUM(E29:E31)+SUM(E33:E35)</f>
        <v>17518.89342</v>
      </c>
      <c r="F27" s="1638">
        <f>D27+E27</f>
        <v>30213.857730000003</v>
      </c>
      <c r="H27" s="1460" t="s">
        <v>2534</v>
      </c>
      <c r="I27" s="2205">
        <v>5.62</v>
      </c>
      <c r="J27" s="1470" t="s">
        <v>71</v>
      </c>
      <c r="K27" s="1460" t="s">
        <v>845</v>
      </c>
      <c r="L27" s="1467">
        <v>0</v>
      </c>
      <c r="M27" s="1467">
        <v>0</v>
      </c>
      <c r="N27" s="1461">
        <v>1.8665540091720203E-4</v>
      </c>
      <c r="O27" s="1460">
        <v>8</v>
      </c>
      <c r="P27" s="1463" t="s">
        <v>1253</v>
      </c>
      <c r="Q27" s="3233">
        <v>0</v>
      </c>
      <c r="R27" s="1466">
        <v>10</v>
      </c>
      <c r="S27" s="1469">
        <f t="shared" si="2"/>
        <v>10</v>
      </c>
      <c r="T27" s="2991">
        <f t="shared" si="3"/>
        <v>0</v>
      </c>
      <c r="U27" s="1469">
        <f t="shared" si="4"/>
        <v>56.2</v>
      </c>
      <c r="V27" s="1469">
        <f t="shared" si="5"/>
        <v>56.2</v>
      </c>
      <c r="W27" s="2993">
        <f t="shared" si="6"/>
        <v>0</v>
      </c>
      <c r="X27" s="1459">
        <f t="shared" si="7"/>
        <v>0</v>
      </c>
      <c r="Y27" s="1459">
        <f t="shared" si="8"/>
        <v>0</v>
      </c>
      <c r="Z27" s="1482"/>
      <c r="AA27" s="1456"/>
    </row>
    <row r="28" spans="2:27">
      <c r="C28" s="1450" t="s">
        <v>1733</v>
      </c>
      <c r="D28" s="2777">
        <v>0.66700000000000004</v>
      </c>
      <c r="E28" s="1452">
        <v>0.68799999999999994</v>
      </c>
      <c r="F28" s="1485"/>
      <c r="H28" s="1460" t="s">
        <v>2535</v>
      </c>
      <c r="I28" s="2205">
        <v>0.22</v>
      </c>
      <c r="J28" s="1470" t="s">
        <v>71</v>
      </c>
      <c r="K28" s="1460" t="s">
        <v>845</v>
      </c>
      <c r="L28" s="1467">
        <v>0</v>
      </c>
      <c r="M28" s="1467">
        <v>0</v>
      </c>
      <c r="N28" s="1461">
        <v>7.3067950536983005E-6</v>
      </c>
      <c r="O28" s="1460">
        <v>8</v>
      </c>
      <c r="P28" s="1463" t="s">
        <v>1253</v>
      </c>
      <c r="Q28" s="3233">
        <v>0</v>
      </c>
      <c r="R28" s="1466">
        <v>10</v>
      </c>
      <c r="S28" s="1469">
        <f t="shared" si="2"/>
        <v>10</v>
      </c>
      <c r="T28" s="2991">
        <f t="shared" si="3"/>
        <v>0</v>
      </c>
      <c r="U28" s="1469">
        <f t="shared" si="4"/>
        <v>2.2000000000000002</v>
      </c>
      <c r="V28" s="1469">
        <f t="shared" si="5"/>
        <v>2.2000000000000002</v>
      </c>
      <c r="W28" s="2993">
        <f t="shared" si="6"/>
        <v>0</v>
      </c>
      <c r="X28" s="1459">
        <f t="shared" si="7"/>
        <v>0</v>
      </c>
      <c r="Y28" s="1459">
        <f t="shared" si="8"/>
        <v>0</v>
      </c>
      <c r="Z28" s="1482"/>
      <c r="AA28" s="1456"/>
    </row>
    <row r="29" spans="2:27">
      <c r="C29" s="1667" t="s">
        <v>719</v>
      </c>
      <c r="D29" s="2778">
        <f>D15*D28</f>
        <v>12694.964310000003</v>
      </c>
      <c r="E29" s="1641">
        <f>E15*E28</f>
        <v>13422.04752</v>
      </c>
      <c r="F29" s="1661">
        <f t="shared" si="1"/>
        <v>26117.011830000003</v>
      </c>
      <c r="H29" s="1460" t="s">
        <v>2536</v>
      </c>
      <c r="I29" s="2205">
        <v>6.2</v>
      </c>
      <c r="J29" s="1470" t="s">
        <v>71</v>
      </c>
      <c r="K29" s="1460" t="s">
        <v>845</v>
      </c>
      <c r="L29" s="1467">
        <v>100</v>
      </c>
      <c r="M29" s="1467">
        <v>72.900000000000006</v>
      </c>
      <c r="N29" s="1461">
        <v>2.0591876969513391E-4</v>
      </c>
      <c r="O29" s="1460">
        <v>4</v>
      </c>
      <c r="P29" s="1463" t="s">
        <v>1253</v>
      </c>
      <c r="Q29" s="3233">
        <v>0</v>
      </c>
      <c r="R29" s="1466">
        <v>10</v>
      </c>
      <c r="S29" s="1469">
        <f t="shared" si="2"/>
        <v>10</v>
      </c>
      <c r="T29" s="2991">
        <f t="shared" si="3"/>
        <v>0</v>
      </c>
      <c r="U29" s="1469">
        <f t="shared" si="4"/>
        <v>62</v>
      </c>
      <c r="V29" s="1469">
        <f t="shared" si="5"/>
        <v>62</v>
      </c>
      <c r="W29" s="2993">
        <f t="shared" si="6"/>
        <v>0</v>
      </c>
      <c r="X29" s="1459">
        <f t="shared" si="7"/>
        <v>729</v>
      </c>
      <c r="Y29" s="1459">
        <f t="shared" si="8"/>
        <v>729</v>
      </c>
      <c r="Z29" s="1482"/>
      <c r="AA29" s="1456"/>
    </row>
    <row r="30" spans="2:27">
      <c r="C30" s="1667" t="s">
        <v>720</v>
      </c>
      <c r="D30" s="2785">
        <f>D21*D28</f>
        <v>0</v>
      </c>
      <c r="E30" s="1641">
        <f>E21*E28</f>
        <v>0</v>
      </c>
      <c r="F30" s="1661">
        <f t="shared" si="1"/>
        <v>0</v>
      </c>
      <c r="H30" s="1460" t="s">
        <v>2537</v>
      </c>
      <c r="I30" s="2205">
        <v>13.9</v>
      </c>
      <c r="J30" s="1470" t="s">
        <v>71</v>
      </c>
      <c r="K30" s="1460" t="s">
        <v>845</v>
      </c>
      <c r="L30" s="1467">
        <v>81</v>
      </c>
      <c r="M30" s="1467">
        <v>74.400000000000006</v>
      </c>
      <c r="N30" s="1461">
        <v>4.6165659657457442E-4</v>
      </c>
      <c r="O30" s="1460">
        <v>4</v>
      </c>
      <c r="P30" s="1463" t="s">
        <v>1253</v>
      </c>
      <c r="Q30" s="3233">
        <v>0</v>
      </c>
      <c r="R30" s="1466">
        <v>10</v>
      </c>
      <c r="S30" s="1469">
        <f t="shared" si="2"/>
        <v>10</v>
      </c>
      <c r="T30" s="2991">
        <f t="shared" si="3"/>
        <v>0</v>
      </c>
      <c r="U30" s="1469">
        <f t="shared" si="4"/>
        <v>139</v>
      </c>
      <c r="V30" s="1469">
        <f t="shared" si="5"/>
        <v>139</v>
      </c>
      <c r="W30" s="2993">
        <f t="shared" si="6"/>
        <v>0</v>
      </c>
      <c r="X30" s="1459">
        <f t="shared" si="7"/>
        <v>744</v>
      </c>
      <c r="Y30" s="1459">
        <f t="shared" si="8"/>
        <v>744</v>
      </c>
      <c r="Z30" s="1482"/>
      <c r="AA30" s="1456"/>
    </row>
    <row r="31" spans="2:27">
      <c r="C31" s="1667"/>
      <c r="D31" s="2774"/>
      <c r="E31" s="1443"/>
      <c r="F31" s="1436"/>
      <c r="H31" s="1460" t="s">
        <v>2538</v>
      </c>
      <c r="I31" s="2205">
        <v>8.9</v>
      </c>
      <c r="J31" s="1470" t="s">
        <v>71</v>
      </c>
      <c r="K31" s="1460" t="s">
        <v>845</v>
      </c>
      <c r="L31" s="1467">
        <v>114</v>
      </c>
      <c r="M31" s="1467">
        <v>104.1</v>
      </c>
      <c r="N31" s="1461">
        <v>2.9559307262688576E-4</v>
      </c>
      <c r="O31" s="1460">
        <v>4</v>
      </c>
      <c r="P31" s="1463" t="s">
        <v>1253</v>
      </c>
      <c r="Q31" s="3233">
        <v>0</v>
      </c>
      <c r="R31" s="1466">
        <v>10</v>
      </c>
      <c r="S31" s="1469">
        <f t="shared" si="2"/>
        <v>10</v>
      </c>
      <c r="T31" s="2991">
        <f t="shared" si="3"/>
        <v>0</v>
      </c>
      <c r="U31" s="1469">
        <f t="shared" si="4"/>
        <v>89</v>
      </c>
      <c r="V31" s="1469">
        <f t="shared" si="5"/>
        <v>89</v>
      </c>
      <c r="W31" s="2993">
        <f t="shared" si="6"/>
        <v>0</v>
      </c>
      <c r="X31" s="1459">
        <f t="shared" si="7"/>
        <v>1041</v>
      </c>
      <c r="Y31" s="1459">
        <f t="shared" si="8"/>
        <v>1041</v>
      </c>
      <c r="Z31" s="1482"/>
      <c r="AA31" s="1456"/>
    </row>
    <row r="32" spans="2:27">
      <c r="C32" s="1450" t="s">
        <v>1734</v>
      </c>
      <c r="D32" s="2777"/>
      <c r="E32" s="1452">
        <v>0.21</v>
      </c>
      <c r="F32" s="1485"/>
      <c r="H32" s="1460" t="s">
        <v>2539</v>
      </c>
      <c r="I32" s="2205">
        <v>11.4</v>
      </c>
      <c r="J32" s="1470" t="s">
        <v>71</v>
      </c>
      <c r="K32" s="1460" t="s">
        <v>845</v>
      </c>
      <c r="L32" s="1467">
        <v>76</v>
      </c>
      <c r="M32" s="1467">
        <v>61.2</v>
      </c>
      <c r="N32" s="1461" t="s">
        <v>229</v>
      </c>
      <c r="O32" s="1460">
        <v>5</v>
      </c>
      <c r="P32" s="1463" t="s">
        <v>1253</v>
      </c>
      <c r="Q32" s="3233">
        <v>0</v>
      </c>
      <c r="R32" s="1466"/>
      <c r="S32" s="1469">
        <f t="shared" si="2"/>
        <v>0</v>
      </c>
      <c r="T32" s="2991">
        <f t="shared" si="3"/>
        <v>0</v>
      </c>
      <c r="U32" s="1469">
        <f t="shared" si="4"/>
        <v>0</v>
      </c>
      <c r="V32" s="1469">
        <f t="shared" si="5"/>
        <v>0</v>
      </c>
      <c r="W32" s="2993">
        <f t="shared" si="6"/>
        <v>0</v>
      </c>
      <c r="X32" s="1459">
        <f t="shared" si="7"/>
        <v>0</v>
      </c>
      <c r="Y32" s="1459">
        <f t="shared" si="8"/>
        <v>0</v>
      </c>
      <c r="Z32" s="1482"/>
      <c r="AA32" s="1456"/>
    </row>
    <row r="33" spans="1:27">
      <c r="C33" s="1667" t="s">
        <v>719</v>
      </c>
      <c r="D33" s="2778"/>
      <c r="E33" s="1641">
        <f>E15*E32</f>
        <v>4096.8459000000003</v>
      </c>
      <c r="F33" s="1661">
        <f>SUM(D33:E33)</f>
        <v>4096.8459000000003</v>
      </c>
      <c r="H33" s="1460" t="s">
        <v>2540</v>
      </c>
      <c r="I33" s="2205">
        <v>3.9</v>
      </c>
      <c r="J33" s="1470" t="s">
        <v>71</v>
      </c>
      <c r="K33" s="1460" t="s">
        <v>845</v>
      </c>
      <c r="L33" s="1467">
        <v>0</v>
      </c>
      <c r="M33" s="1467">
        <v>0</v>
      </c>
      <c r="N33" s="1461" t="s">
        <v>229</v>
      </c>
      <c r="O33" s="1460">
        <v>5</v>
      </c>
      <c r="P33" s="1463" t="s">
        <v>1253</v>
      </c>
      <c r="Q33" s="3233">
        <v>0</v>
      </c>
      <c r="R33" s="1466"/>
      <c r="S33" s="1469">
        <f t="shared" si="2"/>
        <v>0</v>
      </c>
      <c r="T33" s="2991">
        <f t="shared" si="3"/>
        <v>0</v>
      </c>
      <c r="U33" s="1469">
        <f t="shared" si="4"/>
        <v>0</v>
      </c>
      <c r="V33" s="1469">
        <f t="shared" si="5"/>
        <v>0</v>
      </c>
      <c r="W33" s="2993">
        <f t="shared" si="6"/>
        <v>0</v>
      </c>
      <c r="X33" s="1459">
        <f t="shared" si="7"/>
        <v>0</v>
      </c>
      <c r="Y33" s="1459">
        <f t="shared" si="8"/>
        <v>0</v>
      </c>
      <c r="Z33" s="1482"/>
      <c r="AA33" s="1456"/>
    </row>
    <row r="34" spans="1:27" ht="25.5">
      <c r="A34" s="2143" t="s">
        <v>640</v>
      </c>
      <c r="C34" s="1667" t="s">
        <v>720</v>
      </c>
      <c r="D34" s="2785"/>
      <c r="E34" s="1641">
        <f>E21*E32</f>
        <v>0</v>
      </c>
      <c r="F34" s="1661">
        <f t="shared" ref="F34" si="9">SUM(D34:E34)</f>
        <v>0</v>
      </c>
      <c r="H34" s="1460" t="s">
        <v>2541</v>
      </c>
      <c r="I34" s="2205">
        <v>5.2</v>
      </c>
      <c r="J34" s="1470" t="s">
        <v>71</v>
      </c>
      <c r="K34" s="1460" t="s">
        <v>845</v>
      </c>
      <c r="L34" s="1467">
        <v>0</v>
      </c>
      <c r="M34" s="1467">
        <v>0</v>
      </c>
      <c r="N34" s="1461">
        <v>1.7270606490559618E-4</v>
      </c>
      <c r="O34" s="1460">
        <v>5</v>
      </c>
      <c r="P34" s="1463" t="s">
        <v>1253</v>
      </c>
      <c r="Q34" s="3233">
        <v>0</v>
      </c>
      <c r="R34" s="1466">
        <v>10</v>
      </c>
      <c r="S34" s="1469">
        <f t="shared" si="2"/>
        <v>10</v>
      </c>
      <c r="T34" s="2991">
        <f t="shared" si="3"/>
        <v>0</v>
      </c>
      <c r="U34" s="1469">
        <f t="shared" si="4"/>
        <v>52</v>
      </c>
      <c r="V34" s="1469">
        <f t="shared" si="5"/>
        <v>52</v>
      </c>
      <c r="W34" s="2993">
        <f t="shared" si="6"/>
        <v>0</v>
      </c>
      <c r="X34" s="1459">
        <f t="shared" si="7"/>
        <v>0</v>
      </c>
      <c r="Y34" s="1459">
        <f t="shared" si="8"/>
        <v>0</v>
      </c>
      <c r="Z34" s="1482"/>
      <c r="AA34" s="1456"/>
    </row>
    <row r="35" spans="1:27">
      <c r="A35" s="2143" t="s">
        <v>262</v>
      </c>
      <c r="C35" s="1445"/>
      <c r="D35" s="2775"/>
      <c r="E35" s="1444"/>
      <c r="F35" s="1437"/>
      <c r="H35" s="1460" t="s">
        <v>2542</v>
      </c>
      <c r="I35" s="2205">
        <v>3.9</v>
      </c>
      <c r="J35" s="1470" t="s">
        <v>71</v>
      </c>
      <c r="K35" s="1460" t="s">
        <v>845</v>
      </c>
      <c r="L35" s="1467">
        <v>0</v>
      </c>
      <c r="M35" s="1467">
        <v>0</v>
      </c>
      <c r="N35" s="1461" t="s">
        <v>229</v>
      </c>
      <c r="O35" s="1460">
        <v>5</v>
      </c>
      <c r="P35" s="1463" t="s">
        <v>1253</v>
      </c>
      <c r="Q35" s="3233">
        <v>0</v>
      </c>
      <c r="R35" s="1466"/>
      <c r="S35" s="1469">
        <f t="shared" si="2"/>
        <v>0</v>
      </c>
      <c r="T35" s="2991">
        <f t="shared" si="3"/>
        <v>0</v>
      </c>
      <c r="U35" s="1469">
        <f t="shared" si="4"/>
        <v>0</v>
      </c>
      <c r="V35" s="1469">
        <f t="shared" si="5"/>
        <v>0</v>
      </c>
      <c r="W35" s="2993">
        <f t="shared" si="6"/>
        <v>0</v>
      </c>
      <c r="X35" s="1459">
        <f t="shared" si="7"/>
        <v>0</v>
      </c>
      <c r="Y35" s="1459">
        <f t="shared" si="8"/>
        <v>0</v>
      </c>
      <c r="Z35" s="1482"/>
      <c r="AA35" s="1456"/>
    </row>
    <row r="36" spans="1:27">
      <c r="A36" s="2143" t="s">
        <v>5</v>
      </c>
      <c r="C36" s="1488"/>
      <c r="D36" s="2779"/>
      <c r="E36" s="1490"/>
      <c r="F36" s="1493"/>
      <c r="H36" s="1460" t="s">
        <v>2543</v>
      </c>
      <c r="I36" s="2205">
        <v>50</v>
      </c>
      <c r="J36" s="1470" t="s">
        <v>71</v>
      </c>
      <c r="K36" s="1460" t="s">
        <v>845</v>
      </c>
      <c r="L36" s="1467">
        <v>76.3</v>
      </c>
      <c r="M36" s="1467">
        <v>76.3</v>
      </c>
      <c r="N36" s="1461">
        <v>4.1515880986922162E-3</v>
      </c>
      <c r="O36" s="1460">
        <v>4</v>
      </c>
      <c r="P36" s="1463" t="s">
        <v>997</v>
      </c>
      <c r="Q36" s="3233">
        <v>0</v>
      </c>
      <c r="R36" s="1466">
        <v>25</v>
      </c>
      <c r="S36" s="1469">
        <f t="shared" si="2"/>
        <v>25</v>
      </c>
      <c r="T36" s="2991">
        <f t="shared" si="3"/>
        <v>0</v>
      </c>
      <c r="U36" s="1469">
        <f t="shared" si="4"/>
        <v>1250</v>
      </c>
      <c r="V36" s="1469">
        <f t="shared" si="5"/>
        <v>1250</v>
      </c>
      <c r="W36" s="2993">
        <f t="shared" si="6"/>
        <v>0</v>
      </c>
      <c r="X36" s="1459">
        <f t="shared" si="7"/>
        <v>1907.5</v>
      </c>
      <c r="Y36" s="1459">
        <f t="shared" si="8"/>
        <v>1907.5</v>
      </c>
      <c r="Z36" s="1482"/>
      <c r="AA36" s="1456"/>
    </row>
    <row r="37" spans="1:27">
      <c r="A37" s="2143">
        <v>18231022</v>
      </c>
      <c r="C37" s="1597" t="s">
        <v>46</v>
      </c>
      <c r="D37" s="2771">
        <f>SUM(D38:D41)</f>
        <v>250</v>
      </c>
      <c r="E37" s="1464">
        <f>SUM(E38:E41)</f>
        <v>250</v>
      </c>
      <c r="F37" s="1638">
        <f>D37+E37</f>
        <v>500</v>
      </c>
      <c r="H37" s="1460" t="s">
        <v>2544</v>
      </c>
      <c r="I37" s="2205">
        <v>91</v>
      </c>
      <c r="J37" s="1470" t="s">
        <v>71</v>
      </c>
      <c r="K37" s="1460" t="s">
        <v>845</v>
      </c>
      <c r="L37" s="1467">
        <v>76.3</v>
      </c>
      <c r="M37" s="1467">
        <v>76.3</v>
      </c>
      <c r="N37" s="1461">
        <v>7.5558903396198331E-3</v>
      </c>
      <c r="O37" s="1460">
        <v>4</v>
      </c>
      <c r="P37" s="1463" t="s">
        <v>997</v>
      </c>
      <c r="Q37" s="3233">
        <v>0</v>
      </c>
      <c r="R37" s="1466">
        <v>25</v>
      </c>
      <c r="S37" s="1469">
        <f t="shared" si="2"/>
        <v>25</v>
      </c>
      <c r="T37" s="2991">
        <f t="shared" si="3"/>
        <v>0</v>
      </c>
      <c r="U37" s="1469">
        <f t="shared" si="4"/>
        <v>2275</v>
      </c>
      <c r="V37" s="1469">
        <f t="shared" si="5"/>
        <v>2275</v>
      </c>
      <c r="W37" s="2993">
        <f t="shared" si="6"/>
        <v>0</v>
      </c>
      <c r="X37" s="1459">
        <f t="shared" si="7"/>
        <v>1907.5</v>
      </c>
      <c r="Y37" s="1459">
        <f t="shared" si="8"/>
        <v>1907.5</v>
      </c>
      <c r="Z37" s="1482"/>
      <c r="AA37" s="1456"/>
    </row>
    <row r="38" spans="1:27">
      <c r="A38" s="2143" t="s">
        <v>28</v>
      </c>
      <c r="C38" s="1667" t="s">
        <v>12</v>
      </c>
      <c r="D38" s="2778">
        <v>250</v>
      </c>
      <c r="E38" s="1672">
        <v>250</v>
      </c>
      <c r="F38" s="1661">
        <f t="shared" ref="F38:F47" si="10">SUM(D38:E38)</f>
        <v>500</v>
      </c>
      <c r="H38" s="1460" t="s">
        <v>2545</v>
      </c>
      <c r="I38" s="2205">
        <v>55</v>
      </c>
      <c r="J38" s="1470" t="s">
        <v>71</v>
      </c>
      <c r="K38" s="1460" t="s">
        <v>845</v>
      </c>
      <c r="L38" s="1467">
        <v>76.3</v>
      </c>
      <c r="M38" s="1467">
        <v>76.3</v>
      </c>
      <c r="N38" s="1461">
        <v>4.5667469085614379E-3</v>
      </c>
      <c r="O38" s="1460">
        <v>4</v>
      </c>
      <c r="P38" s="1463" t="s">
        <v>997</v>
      </c>
      <c r="Q38" s="3233">
        <v>0</v>
      </c>
      <c r="R38" s="1466">
        <v>25</v>
      </c>
      <c r="S38" s="1469">
        <f t="shared" si="2"/>
        <v>25</v>
      </c>
      <c r="T38" s="2991">
        <f t="shared" si="3"/>
        <v>0</v>
      </c>
      <c r="U38" s="1469">
        <f t="shared" si="4"/>
        <v>1375</v>
      </c>
      <c r="V38" s="1469">
        <f t="shared" si="5"/>
        <v>1375</v>
      </c>
      <c r="W38" s="2993">
        <f t="shared" si="6"/>
        <v>0</v>
      </c>
      <c r="X38" s="1459">
        <f t="shared" si="7"/>
        <v>1907.5</v>
      </c>
      <c r="Y38" s="1459">
        <f t="shared" si="8"/>
        <v>1907.5</v>
      </c>
      <c r="Z38" s="1482"/>
      <c r="AA38" s="1456"/>
    </row>
    <row r="39" spans="1:27">
      <c r="A39" s="1663"/>
      <c r="C39" s="1667"/>
      <c r="D39" s="2778"/>
      <c r="E39" s="1672"/>
      <c r="F39" s="1661">
        <f t="shared" si="10"/>
        <v>0</v>
      </c>
      <c r="H39" s="1460" t="s">
        <v>2546</v>
      </c>
      <c r="I39" s="2205">
        <v>35</v>
      </c>
      <c r="J39" s="1470" t="s">
        <v>71</v>
      </c>
      <c r="K39" s="1460" t="s">
        <v>845</v>
      </c>
      <c r="L39" s="1467">
        <v>76.3</v>
      </c>
      <c r="M39" s="1467">
        <v>76.3</v>
      </c>
      <c r="N39" s="1461">
        <v>2.9061116690845511E-3</v>
      </c>
      <c r="O39" s="1460">
        <v>4</v>
      </c>
      <c r="P39" s="1463" t="s">
        <v>997</v>
      </c>
      <c r="Q39" s="3233">
        <v>0</v>
      </c>
      <c r="R39" s="1466">
        <v>25</v>
      </c>
      <c r="S39" s="1469">
        <f t="shared" si="2"/>
        <v>25</v>
      </c>
      <c r="T39" s="2991">
        <f t="shared" si="3"/>
        <v>0</v>
      </c>
      <c r="U39" s="1469">
        <f t="shared" si="4"/>
        <v>875</v>
      </c>
      <c r="V39" s="1469">
        <f t="shared" si="5"/>
        <v>875</v>
      </c>
      <c r="W39" s="2993">
        <f t="shared" si="6"/>
        <v>0</v>
      </c>
      <c r="X39" s="1459">
        <f t="shared" si="7"/>
        <v>1907.5</v>
      </c>
      <c r="Y39" s="1459">
        <f t="shared" si="8"/>
        <v>1907.5</v>
      </c>
      <c r="Z39" s="1482"/>
      <c r="AA39" s="1456"/>
    </row>
    <row r="40" spans="1:27">
      <c r="A40" s="1663"/>
      <c r="C40" s="1667"/>
      <c r="D40" s="2778"/>
      <c r="E40" s="1672"/>
      <c r="F40" s="1661">
        <f t="shared" si="10"/>
        <v>0</v>
      </c>
      <c r="H40" s="1460" t="s">
        <v>2547</v>
      </c>
      <c r="I40" s="2205">
        <v>50</v>
      </c>
      <c r="J40" s="1470" t="s">
        <v>71</v>
      </c>
      <c r="K40" s="1460" t="s">
        <v>845</v>
      </c>
      <c r="L40" s="1467">
        <v>76.3</v>
      </c>
      <c r="M40" s="1467">
        <v>41.3</v>
      </c>
      <c r="N40" s="1461">
        <v>4.1515880986922162E-3</v>
      </c>
      <c r="O40" s="1460">
        <v>4</v>
      </c>
      <c r="P40" s="1463" t="s">
        <v>997</v>
      </c>
      <c r="Q40" s="3233">
        <v>0</v>
      </c>
      <c r="R40" s="1466">
        <v>25</v>
      </c>
      <c r="S40" s="1469">
        <f t="shared" si="2"/>
        <v>25</v>
      </c>
      <c r="T40" s="2991">
        <f t="shared" si="3"/>
        <v>0</v>
      </c>
      <c r="U40" s="1469">
        <f t="shared" si="4"/>
        <v>1250</v>
      </c>
      <c r="V40" s="1469">
        <f t="shared" si="5"/>
        <v>1250</v>
      </c>
      <c r="W40" s="2993">
        <f t="shared" si="6"/>
        <v>0</v>
      </c>
      <c r="X40" s="1459">
        <f t="shared" si="7"/>
        <v>1032.5</v>
      </c>
      <c r="Y40" s="1459">
        <f t="shared" si="8"/>
        <v>1032.5</v>
      </c>
      <c r="Z40" s="1482"/>
      <c r="AA40" s="1456"/>
    </row>
    <row r="41" spans="1:27">
      <c r="C41" s="1667"/>
      <c r="D41" s="2778"/>
      <c r="E41" s="1672"/>
      <c r="F41" s="1661">
        <f t="shared" si="10"/>
        <v>0</v>
      </c>
      <c r="H41" s="1460" t="s">
        <v>2548</v>
      </c>
      <c r="I41" s="2205">
        <v>91</v>
      </c>
      <c r="J41" s="1470" t="s">
        <v>71</v>
      </c>
      <c r="K41" s="1460" t="s">
        <v>845</v>
      </c>
      <c r="L41" s="1467">
        <v>76.3</v>
      </c>
      <c r="M41" s="1467">
        <v>41.3</v>
      </c>
      <c r="N41" s="1461">
        <v>7.5558903396198331E-3</v>
      </c>
      <c r="O41" s="1460">
        <v>4</v>
      </c>
      <c r="P41" s="1463" t="s">
        <v>997</v>
      </c>
      <c r="Q41" s="3233">
        <v>0</v>
      </c>
      <c r="R41" s="1466">
        <v>25</v>
      </c>
      <c r="S41" s="1469">
        <f t="shared" si="2"/>
        <v>25</v>
      </c>
      <c r="T41" s="2991">
        <f t="shared" si="3"/>
        <v>0</v>
      </c>
      <c r="U41" s="1469">
        <f t="shared" si="4"/>
        <v>2275</v>
      </c>
      <c r="V41" s="1469">
        <f t="shared" si="5"/>
        <v>2275</v>
      </c>
      <c r="W41" s="2993">
        <f t="shared" si="6"/>
        <v>0</v>
      </c>
      <c r="X41" s="1459">
        <f t="shared" si="7"/>
        <v>1032.5</v>
      </c>
      <c r="Y41" s="1459">
        <f t="shared" si="8"/>
        <v>1032.5</v>
      </c>
      <c r="Z41" s="1482"/>
      <c r="AA41" s="1456"/>
    </row>
    <row r="42" spans="1:27">
      <c r="C42" s="1488"/>
      <c r="D42" s="2779"/>
      <c r="E42" s="1490"/>
      <c r="F42" s="1493"/>
      <c r="H42" s="1460" t="s">
        <v>2549</v>
      </c>
      <c r="I42" s="2205">
        <v>55</v>
      </c>
      <c r="J42" s="1470" t="s">
        <v>71</v>
      </c>
      <c r="K42" s="1460" t="s">
        <v>845</v>
      </c>
      <c r="L42" s="1467">
        <v>76.3</v>
      </c>
      <c r="M42" s="1467">
        <v>41.3</v>
      </c>
      <c r="N42" s="1461">
        <v>4.5667469085614379E-3</v>
      </c>
      <c r="O42" s="1460">
        <v>4</v>
      </c>
      <c r="P42" s="1463" t="s">
        <v>997</v>
      </c>
      <c r="Q42" s="3233">
        <v>0</v>
      </c>
      <c r="R42" s="1466">
        <v>25</v>
      </c>
      <c r="S42" s="1469">
        <f t="shared" si="2"/>
        <v>25</v>
      </c>
      <c r="T42" s="2991">
        <f t="shared" si="3"/>
        <v>0</v>
      </c>
      <c r="U42" s="1469">
        <f t="shared" si="4"/>
        <v>1375</v>
      </c>
      <c r="V42" s="1469">
        <f t="shared" si="5"/>
        <v>1375</v>
      </c>
      <c r="W42" s="2993">
        <f t="shared" si="6"/>
        <v>0</v>
      </c>
      <c r="X42" s="1459">
        <f t="shared" si="7"/>
        <v>1032.5</v>
      </c>
      <c r="Y42" s="1459">
        <f t="shared" si="8"/>
        <v>1032.5</v>
      </c>
      <c r="Z42" s="1482"/>
      <c r="AA42" s="1456"/>
    </row>
    <row r="43" spans="1:27">
      <c r="C43" s="1597" t="s">
        <v>483</v>
      </c>
      <c r="D43" s="2771">
        <f>SUM(D44:D47)</f>
        <v>0</v>
      </c>
      <c r="E43" s="1464">
        <f>SUM(E44:E47)</f>
        <v>0</v>
      </c>
      <c r="F43" s="1638">
        <f>D43+E43</f>
        <v>0</v>
      </c>
      <c r="H43" s="1460" t="s">
        <v>2550</v>
      </c>
      <c r="I43" s="2205">
        <v>35</v>
      </c>
      <c r="J43" s="1470" t="s">
        <v>71</v>
      </c>
      <c r="K43" s="1460" t="s">
        <v>845</v>
      </c>
      <c r="L43" s="1467">
        <v>76.3</v>
      </c>
      <c r="M43" s="1467">
        <v>41.3</v>
      </c>
      <c r="N43" s="1461">
        <v>2.9061116690845511E-3</v>
      </c>
      <c r="O43" s="1460">
        <v>4</v>
      </c>
      <c r="P43" s="1463" t="s">
        <v>997</v>
      </c>
      <c r="Q43" s="3233">
        <v>0</v>
      </c>
      <c r="R43" s="1466">
        <v>25</v>
      </c>
      <c r="S43" s="1469">
        <f t="shared" si="2"/>
        <v>25</v>
      </c>
      <c r="T43" s="2991">
        <f t="shared" si="3"/>
        <v>0</v>
      </c>
      <c r="U43" s="1469">
        <f t="shared" si="4"/>
        <v>875</v>
      </c>
      <c r="V43" s="1469">
        <f t="shared" si="5"/>
        <v>875</v>
      </c>
      <c r="W43" s="2993">
        <f t="shared" si="6"/>
        <v>0</v>
      </c>
      <c r="X43" s="1459">
        <f t="shared" si="7"/>
        <v>1032.5</v>
      </c>
      <c r="Y43" s="1459">
        <f t="shared" si="8"/>
        <v>1032.5</v>
      </c>
      <c r="Z43" s="1482"/>
      <c r="AA43" s="1456"/>
    </row>
    <row r="44" spans="1:27">
      <c r="C44" s="1667"/>
      <c r="D44" s="2778"/>
      <c r="E44" s="1672"/>
      <c r="F44" s="1661">
        <f t="shared" si="10"/>
        <v>0</v>
      </c>
      <c r="H44" s="1460" t="s">
        <v>2551</v>
      </c>
      <c r="I44" s="2205">
        <v>10</v>
      </c>
      <c r="J44" s="1470" t="s">
        <v>71</v>
      </c>
      <c r="K44" s="1460" t="s">
        <v>845</v>
      </c>
      <c r="L44" s="1467">
        <v>28.7</v>
      </c>
      <c r="M44" s="1467">
        <v>28.7</v>
      </c>
      <c r="N44" s="1461">
        <v>8.3031761973844319E-4</v>
      </c>
      <c r="O44" s="1460">
        <v>10</v>
      </c>
      <c r="P44" s="1463" t="s">
        <v>997</v>
      </c>
      <c r="Q44" s="3233">
        <v>0</v>
      </c>
      <c r="R44" s="1466">
        <v>25</v>
      </c>
      <c r="S44" s="1469">
        <f t="shared" si="2"/>
        <v>25</v>
      </c>
      <c r="T44" s="2991">
        <f t="shared" si="3"/>
        <v>0</v>
      </c>
      <c r="U44" s="1469">
        <f t="shared" si="4"/>
        <v>250</v>
      </c>
      <c r="V44" s="1469">
        <f t="shared" si="5"/>
        <v>250</v>
      </c>
      <c r="W44" s="2993">
        <f t="shared" si="6"/>
        <v>0</v>
      </c>
      <c r="X44" s="1459">
        <f t="shared" si="7"/>
        <v>717.5</v>
      </c>
      <c r="Y44" s="1459">
        <f t="shared" si="8"/>
        <v>717.5</v>
      </c>
      <c r="Z44" s="1482"/>
      <c r="AA44" s="1456"/>
    </row>
    <row r="45" spans="1:27">
      <c r="C45" s="1667"/>
      <c r="D45" s="2778"/>
      <c r="E45" s="1672"/>
      <c r="F45" s="1661">
        <f t="shared" si="10"/>
        <v>0</v>
      </c>
      <c r="H45" s="1460" t="s">
        <v>2552</v>
      </c>
      <c r="I45" s="2205">
        <v>183</v>
      </c>
      <c r="J45" s="1470" t="s">
        <v>71</v>
      </c>
      <c r="K45" s="1460" t="s">
        <v>845</v>
      </c>
      <c r="L45" s="1467">
        <v>28.7</v>
      </c>
      <c r="M45" s="1467">
        <v>28.7</v>
      </c>
      <c r="N45" s="1461">
        <v>1.519481244121351E-2</v>
      </c>
      <c r="O45" s="1460">
        <v>10</v>
      </c>
      <c r="P45" s="1463" t="s">
        <v>997</v>
      </c>
      <c r="Q45" s="3233">
        <v>0</v>
      </c>
      <c r="R45" s="1466">
        <v>25</v>
      </c>
      <c r="S45" s="1469">
        <f t="shared" si="2"/>
        <v>25</v>
      </c>
      <c r="T45" s="2991">
        <f t="shared" si="3"/>
        <v>0</v>
      </c>
      <c r="U45" s="1469">
        <f t="shared" si="4"/>
        <v>4575</v>
      </c>
      <c r="V45" s="1469">
        <f t="shared" si="5"/>
        <v>4575</v>
      </c>
      <c r="W45" s="2993">
        <f t="shared" si="6"/>
        <v>0</v>
      </c>
      <c r="X45" s="1459">
        <f t="shared" si="7"/>
        <v>717.5</v>
      </c>
      <c r="Y45" s="1459">
        <f t="shared" si="8"/>
        <v>717.5</v>
      </c>
      <c r="Z45" s="1482"/>
      <c r="AA45" s="1456"/>
    </row>
    <row r="46" spans="1:27">
      <c r="C46" s="1667"/>
      <c r="D46" s="2778"/>
      <c r="E46" s="1672"/>
      <c r="F46" s="1661">
        <f t="shared" si="10"/>
        <v>0</v>
      </c>
      <c r="H46" s="1460" t="s">
        <v>2553</v>
      </c>
      <c r="I46" s="2205">
        <v>10</v>
      </c>
      <c r="J46" s="1470" t="s">
        <v>71</v>
      </c>
      <c r="K46" s="1460" t="s">
        <v>845</v>
      </c>
      <c r="L46" s="1467">
        <v>17.7</v>
      </c>
      <c r="M46" s="1467">
        <v>17.7</v>
      </c>
      <c r="N46" s="1461">
        <v>8.3031761973844319E-4</v>
      </c>
      <c r="O46" s="1460">
        <v>10</v>
      </c>
      <c r="P46" s="1463" t="s">
        <v>997</v>
      </c>
      <c r="Q46" s="3233">
        <v>0</v>
      </c>
      <c r="R46" s="1466">
        <v>25</v>
      </c>
      <c r="S46" s="1469">
        <f t="shared" si="2"/>
        <v>25</v>
      </c>
      <c r="T46" s="2991">
        <f t="shared" si="3"/>
        <v>0</v>
      </c>
      <c r="U46" s="1469">
        <f t="shared" si="4"/>
        <v>250</v>
      </c>
      <c r="V46" s="1469">
        <f t="shared" si="5"/>
        <v>250</v>
      </c>
      <c r="W46" s="2993">
        <f t="shared" si="6"/>
        <v>0</v>
      </c>
      <c r="X46" s="1459">
        <f t="shared" si="7"/>
        <v>442.5</v>
      </c>
      <c r="Y46" s="1459">
        <f t="shared" si="8"/>
        <v>442.5</v>
      </c>
      <c r="Z46" s="1482"/>
      <c r="AA46" s="1456"/>
    </row>
    <row r="47" spans="1:27">
      <c r="C47" s="1667"/>
      <c r="D47" s="2778"/>
      <c r="E47" s="1672"/>
      <c r="F47" s="1661">
        <f t="shared" si="10"/>
        <v>0</v>
      </c>
      <c r="H47" s="1460" t="s">
        <v>2554</v>
      </c>
      <c r="I47" s="2205">
        <v>183</v>
      </c>
      <c r="J47" s="1470" t="s">
        <v>71</v>
      </c>
      <c r="K47" s="1460" t="s">
        <v>845</v>
      </c>
      <c r="L47" s="1467">
        <v>17.7</v>
      </c>
      <c r="M47" s="1467">
        <v>17.7</v>
      </c>
      <c r="N47" s="1461">
        <v>1.519481244121351E-2</v>
      </c>
      <c r="O47" s="1460">
        <v>10</v>
      </c>
      <c r="P47" s="1463" t="s">
        <v>997</v>
      </c>
      <c r="Q47" s="3233">
        <v>0</v>
      </c>
      <c r="R47" s="1466">
        <v>25</v>
      </c>
      <c r="S47" s="1469">
        <f t="shared" si="2"/>
        <v>25</v>
      </c>
      <c r="T47" s="2991">
        <f t="shared" si="3"/>
        <v>0</v>
      </c>
      <c r="U47" s="1469">
        <f t="shared" si="4"/>
        <v>4575</v>
      </c>
      <c r="V47" s="1469">
        <f t="shared" si="5"/>
        <v>4575</v>
      </c>
      <c r="W47" s="2993">
        <f t="shared" si="6"/>
        <v>0</v>
      </c>
      <c r="X47" s="1459">
        <f t="shared" si="7"/>
        <v>442.5</v>
      </c>
      <c r="Y47" s="1459">
        <f t="shared" si="8"/>
        <v>442.5</v>
      </c>
      <c r="Z47" s="1482"/>
      <c r="AA47" s="1456"/>
    </row>
    <row r="48" spans="1:27">
      <c r="C48" s="1488"/>
      <c r="D48" s="2779"/>
      <c r="E48" s="1490"/>
      <c r="F48" s="1493"/>
      <c r="H48" s="1460" t="s">
        <v>2555</v>
      </c>
      <c r="I48" s="2205">
        <v>2</v>
      </c>
      <c r="J48" s="1470" t="s">
        <v>71</v>
      </c>
      <c r="K48" s="1460" t="s">
        <v>845</v>
      </c>
      <c r="L48" s="1467">
        <v>13.09</v>
      </c>
      <c r="M48" s="1467">
        <v>13.09</v>
      </c>
      <c r="N48" s="1461">
        <v>3.3212704789537727E-4</v>
      </c>
      <c r="O48" s="1460">
        <v>10</v>
      </c>
      <c r="P48" s="1463" t="s">
        <v>997</v>
      </c>
      <c r="Q48" s="3233">
        <v>0</v>
      </c>
      <c r="R48" s="1466">
        <v>50</v>
      </c>
      <c r="S48" s="1469">
        <f t="shared" si="2"/>
        <v>50</v>
      </c>
      <c r="T48" s="2991">
        <f t="shared" si="3"/>
        <v>0</v>
      </c>
      <c r="U48" s="1469">
        <f t="shared" si="4"/>
        <v>100</v>
      </c>
      <c r="V48" s="1469">
        <f t="shared" si="5"/>
        <v>100</v>
      </c>
      <c r="W48" s="2993">
        <f t="shared" si="6"/>
        <v>0</v>
      </c>
      <c r="X48" s="1459">
        <f t="shared" si="7"/>
        <v>654.5</v>
      </c>
      <c r="Y48" s="1459">
        <f t="shared" si="8"/>
        <v>654.5</v>
      </c>
      <c r="Z48" s="1482"/>
      <c r="AA48" s="1456"/>
    </row>
    <row r="49" spans="1:27">
      <c r="C49" s="1597" t="s">
        <v>47</v>
      </c>
      <c r="D49" s="2771">
        <f>SUM(D50:D53)</f>
        <v>6000</v>
      </c>
      <c r="E49" s="1464">
        <f>SUM(E50:E53)</f>
        <v>6000</v>
      </c>
      <c r="F49" s="1638">
        <f>D49+E49</f>
        <v>12000</v>
      </c>
      <c r="H49" s="1460" t="s">
        <v>2556</v>
      </c>
      <c r="I49" s="2205">
        <v>4.0999999999999996</v>
      </c>
      <c r="J49" s="1470" t="s">
        <v>71</v>
      </c>
      <c r="K49" s="1460" t="s">
        <v>845</v>
      </c>
      <c r="L49" s="1467">
        <v>13.09</v>
      </c>
      <c r="M49" s="1467">
        <v>13.09</v>
      </c>
      <c r="N49" s="1461">
        <v>1.3617208963710467E-3</v>
      </c>
      <c r="O49" s="1460">
        <v>10</v>
      </c>
      <c r="P49" s="1463" t="s">
        <v>997</v>
      </c>
      <c r="Q49" s="3233">
        <v>0</v>
      </c>
      <c r="R49" s="1466">
        <v>100</v>
      </c>
      <c r="S49" s="1469">
        <f t="shared" si="2"/>
        <v>100</v>
      </c>
      <c r="T49" s="2991">
        <f t="shared" si="3"/>
        <v>0</v>
      </c>
      <c r="U49" s="1469">
        <f t="shared" si="4"/>
        <v>409.99999999999994</v>
      </c>
      <c r="V49" s="1469">
        <f t="shared" si="5"/>
        <v>409.99999999999994</v>
      </c>
      <c r="W49" s="2993">
        <f t="shared" si="6"/>
        <v>0</v>
      </c>
      <c r="X49" s="1459">
        <f t="shared" si="7"/>
        <v>1309</v>
      </c>
      <c r="Y49" s="1459">
        <f t="shared" si="8"/>
        <v>1309</v>
      </c>
      <c r="Z49" s="1482"/>
      <c r="AA49" s="1456"/>
    </row>
    <row r="50" spans="1:27">
      <c r="C50" s="1667" t="s">
        <v>1184</v>
      </c>
      <c r="D50" s="2778">
        <v>6000</v>
      </c>
      <c r="E50" s="1672">
        <v>6000</v>
      </c>
      <c r="F50" s="1661">
        <f t="shared" ref="F50:F65" si="11">SUM(D50:E50)</f>
        <v>12000</v>
      </c>
      <c r="H50" s="1460" t="s">
        <v>2557</v>
      </c>
      <c r="I50" s="2205">
        <v>6.5</v>
      </c>
      <c r="J50" s="1470" t="s">
        <v>71</v>
      </c>
      <c r="K50" s="1460" t="s">
        <v>845</v>
      </c>
      <c r="L50" s="1467">
        <v>13.09</v>
      </c>
      <c r="M50" s="1467">
        <v>13.09</v>
      </c>
      <c r="N50" s="1461">
        <v>1.0794129056599761E-3</v>
      </c>
      <c r="O50" s="1460">
        <v>10</v>
      </c>
      <c r="P50" s="1463" t="s">
        <v>997</v>
      </c>
      <c r="Q50" s="3233">
        <v>0</v>
      </c>
      <c r="R50" s="1466">
        <v>50</v>
      </c>
      <c r="S50" s="1469">
        <f t="shared" si="2"/>
        <v>50</v>
      </c>
      <c r="T50" s="2991">
        <f t="shared" si="3"/>
        <v>0</v>
      </c>
      <c r="U50" s="1469">
        <f t="shared" si="4"/>
        <v>325</v>
      </c>
      <c r="V50" s="1469">
        <f t="shared" si="5"/>
        <v>325</v>
      </c>
      <c r="W50" s="2993">
        <f t="shared" si="6"/>
        <v>0</v>
      </c>
      <c r="X50" s="1459">
        <f t="shared" si="7"/>
        <v>654.5</v>
      </c>
      <c r="Y50" s="1459">
        <f t="shared" si="8"/>
        <v>654.5</v>
      </c>
      <c r="Z50" s="1482"/>
      <c r="AA50" s="1456"/>
    </row>
    <row r="51" spans="1:27">
      <c r="C51" s="1667"/>
      <c r="D51" s="2778"/>
      <c r="E51" s="1672"/>
      <c r="F51" s="1661">
        <f t="shared" si="11"/>
        <v>0</v>
      </c>
      <c r="H51" s="1460" t="s">
        <v>2558</v>
      </c>
      <c r="I51" s="2205">
        <v>8.1999999999999993</v>
      </c>
      <c r="J51" s="1470" t="s">
        <v>71</v>
      </c>
      <c r="K51" s="1460" t="s">
        <v>845</v>
      </c>
      <c r="L51" s="1467">
        <v>13.09</v>
      </c>
      <c r="M51" s="1467">
        <v>13.09</v>
      </c>
      <c r="N51" s="1461">
        <v>1.3617208963710467E-3</v>
      </c>
      <c r="O51" s="1460">
        <v>10</v>
      </c>
      <c r="P51" s="1463" t="s">
        <v>997</v>
      </c>
      <c r="Q51" s="3233">
        <v>0</v>
      </c>
      <c r="R51" s="1466">
        <v>50</v>
      </c>
      <c r="S51" s="1469">
        <f t="shared" si="2"/>
        <v>50</v>
      </c>
      <c r="T51" s="2991">
        <f t="shared" si="3"/>
        <v>0</v>
      </c>
      <c r="U51" s="1469">
        <f t="shared" si="4"/>
        <v>409.99999999999994</v>
      </c>
      <c r="V51" s="1469">
        <f t="shared" si="5"/>
        <v>409.99999999999994</v>
      </c>
      <c r="W51" s="2993">
        <f t="shared" si="6"/>
        <v>0</v>
      </c>
      <c r="X51" s="1459">
        <f t="shared" si="7"/>
        <v>654.5</v>
      </c>
      <c r="Y51" s="1459">
        <f t="shared" si="8"/>
        <v>654.5</v>
      </c>
      <c r="Z51" s="1482"/>
      <c r="AA51" s="1456"/>
    </row>
    <row r="52" spans="1:27">
      <c r="C52" s="1667"/>
      <c r="D52" s="2778"/>
      <c r="E52" s="1672"/>
      <c r="F52" s="1661">
        <f t="shared" si="11"/>
        <v>0</v>
      </c>
      <c r="H52" s="1460" t="s">
        <v>2559</v>
      </c>
      <c r="I52" s="2205">
        <v>6.5</v>
      </c>
      <c r="J52" s="1470" t="s">
        <v>71</v>
      </c>
      <c r="K52" s="1460" t="s">
        <v>845</v>
      </c>
      <c r="L52" s="1467">
        <v>13.09</v>
      </c>
      <c r="M52" s="1467">
        <v>13.09</v>
      </c>
      <c r="N52" s="1461">
        <v>2.1588258113199523E-3</v>
      </c>
      <c r="O52" s="1460">
        <v>10</v>
      </c>
      <c r="P52" s="1463" t="s">
        <v>997</v>
      </c>
      <c r="Q52" s="3233">
        <v>0</v>
      </c>
      <c r="R52" s="1466">
        <v>100</v>
      </c>
      <c r="S52" s="1469">
        <f t="shared" si="2"/>
        <v>100</v>
      </c>
      <c r="T52" s="2991">
        <f t="shared" si="3"/>
        <v>0</v>
      </c>
      <c r="U52" s="1469">
        <f t="shared" si="4"/>
        <v>650</v>
      </c>
      <c r="V52" s="1469">
        <f t="shared" si="5"/>
        <v>650</v>
      </c>
      <c r="W52" s="2993">
        <f t="shared" si="6"/>
        <v>0</v>
      </c>
      <c r="X52" s="1459">
        <f t="shared" si="7"/>
        <v>1309</v>
      </c>
      <c r="Y52" s="1459">
        <f t="shared" si="8"/>
        <v>1309</v>
      </c>
      <c r="Z52" s="1482"/>
      <c r="AA52" s="1456"/>
    </row>
    <row r="53" spans="1:27">
      <c r="C53" s="1667"/>
      <c r="D53" s="2778"/>
      <c r="E53" s="1672"/>
      <c r="F53" s="1661">
        <f t="shared" si="11"/>
        <v>0</v>
      </c>
      <c r="H53" s="1460"/>
      <c r="I53" s="2205"/>
      <c r="J53" s="1470" t="s">
        <v>229</v>
      </c>
      <c r="K53" s="1460"/>
      <c r="L53" s="1467"/>
      <c r="M53" s="1467"/>
      <c r="N53" s="1461"/>
      <c r="O53" s="1460"/>
      <c r="P53" s="1463"/>
      <c r="Q53" s="1466"/>
      <c r="R53" s="1466"/>
      <c r="S53" s="1469"/>
      <c r="T53" s="1469"/>
      <c r="U53" s="1469"/>
      <c r="V53" s="1469"/>
      <c r="W53" s="1459"/>
      <c r="X53" s="1459"/>
      <c r="Y53" s="1459"/>
      <c r="Z53" s="1482"/>
      <c r="AA53" s="1456"/>
    </row>
    <row r="54" spans="1:27">
      <c r="C54" s="1488"/>
      <c r="D54" s="2779"/>
      <c r="E54" s="1490"/>
      <c r="F54" s="1493"/>
      <c r="H54" s="1460"/>
      <c r="I54" s="2205"/>
      <c r="J54" s="1470" t="s">
        <v>229</v>
      </c>
      <c r="K54" s="1460"/>
      <c r="L54" s="1467"/>
      <c r="M54" s="1467"/>
      <c r="N54" s="1461"/>
      <c r="O54" s="1460"/>
      <c r="P54" s="1463"/>
      <c r="Q54" s="1466"/>
      <c r="R54" s="1466"/>
      <c r="S54" s="1469"/>
      <c r="T54" s="1469"/>
      <c r="U54" s="1469"/>
      <c r="V54" s="1469"/>
      <c r="W54" s="1459"/>
      <c r="X54" s="1459"/>
      <c r="Y54" s="1459"/>
      <c r="Z54" s="1482"/>
      <c r="AA54" s="1456"/>
    </row>
    <row r="55" spans="1:27">
      <c r="C55" s="1597" t="s">
        <v>48</v>
      </c>
      <c r="D55" s="2771">
        <f>SUM(D56:D59)</f>
        <v>0</v>
      </c>
      <c r="E55" s="1464">
        <f>SUM(E56:E59)</f>
        <v>0</v>
      </c>
      <c r="F55" s="1638">
        <f>D55+E55</f>
        <v>0</v>
      </c>
      <c r="H55" s="1460"/>
      <c r="I55" s="2205"/>
      <c r="J55" s="1470" t="s">
        <v>229</v>
      </c>
      <c r="K55" s="1460"/>
      <c r="L55" s="1467"/>
      <c r="M55" s="1467"/>
      <c r="N55" s="1461"/>
      <c r="O55" s="1460"/>
      <c r="P55" s="1463"/>
      <c r="Q55" s="1466"/>
      <c r="R55" s="1466"/>
      <c r="S55" s="1469"/>
      <c r="T55" s="1469"/>
      <c r="U55" s="1469"/>
      <c r="V55" s="1469"/>
      <c r="W55" s="1459"/>
      <c r="X55" s="1459"/>
      <c r="Y55" s="1459"/>
      <c r="Z55" s="1482"/>
      <c r="AA55" s="1456"/>
    </row>
    <row r="56" spans="1:27">
      <c r="C56" s="1667"/>
      <c r="D56" s="2778"/>
      <c r="E56" s="1641"/>
      <c r="F56" s="1661">
        <f t="shared" si="11"/>
        <v>0</v>
      </c>
      <c r="H56" s="1460"/>
      <c r="I56" s="2205"/>
      <c r="J56" s="1470" t="s">
        <v>229</v>
      </c>
      <c r="K56" s="1460"/>
      <c r="L56" s="1467"/>
      <c r="M56" s="1467"/>
      <c r="N56" s="1461"/>
      <c r="O56" s="1460"/>
      <c r="P56" s="1463"/>
      <c r="Q56" s="1466"/>
      <c r="R56" s="1466"/>
      <c r="S56" s="1469"/>
      <c r="T56" s="1469"/>
      <c r="U56" s="1469"/>
      <c r="V56" s="1469"/>
      <c r="W56" s="1459"/>
      <c r="X56" s="1459"/>
      <c r="Y56" s="1459"/>
      <c r="Z56" s="1482"/>
      <c r="AA56" s="1456"/>
    </row>
    <row r="57" spans="1:27">
      <c r="C57" s="1667"/>
      <c r="D57" s="2778"/>
      <c r="E57" s="1641"/>
      <c r="F57" s="1661">
        <f t="shared" si="11"/>
        <v>0</v>
      </c>
      <c r="H57" s="1460"/>
      <c r="I57" s="2205"/>
      <c r="J57" s="1470" t="s">
        <v>229</v>
      </c>
      <c r="K57" s="1460"/>
      <c r="L57" s="1467"/>
      <c r="M57" s="1467"/>
      <c r="N57" s="1461"/>
      <c r="O57" s="1460"/>
      <c r="P57" s="1463"/>
      <c r="Q57" s="1466"/>
      <c r="R57" s="1466"/>
      <c r="S57" s="1469"/>
      <c r="T57" s="1469"/>
      <c r="U57" s="1469"/>
      <c r="V57" s="1469"/>
      <c r="W57" s="1459"/>
      <c r="X57" s="1459"/>
      <c r="Y57" s="1459"/>
      <c r="Z57" s="1482"/>
      <c r="AA57" s="1456"/>
    </row>
    <row r="58" spans="1:27">
      <c r="C58" s="1667"/>
      <c r="D58" s="2778"/>
      <c r="E58" s="1641"/>
      <c r="F58" s="1661">
        <f t="shared" si="11"/>
        <v>0</v>
      </c>
      <c r="H58" s="1460"/>
      <c r="I58" s="2205"/>
      <c r="J58" s="1470" t="s">
        <v>229</v>
      </c>
      <c r="K58" s="1460"/>
      <c r="L58" s="1467"/>
      <c r="M58" s="1467"/>
      <c r="N58" s="1461"/>
      <c r="O58" s="1460"/>
      <c r="P58" s="1463"/>
      <c r="Q58" s="1466"/>
      <c r="R58" s="1466"/>
      <c r="S58" s="1469"/>
      <c r="T58" s="1469"/>
      <c r="U58" s="1469"/>
      <c r="V58" s="1469"/>
      <c r="W58" s="1459"/>
      <c r="X58" s="1459"/>
      <c r="Y58" s="1459"/>
      <c r="Z58" s="1482"/>
      <c r="AA58" s="1456"/>
    </row>
    <row r="59" spans="1:27">
      <c r="C59" s="1667"/>
      <c r="D59" s="2778"/>
      <c r="E59" s="1641"/>
      <c r="F59" s="1661">
        <f t="shared" si="11"/>
        <v>0</v>
      </c>
      <c r="H59" s="1460"/>
      <c r="I59" s="2205"/>
      <c r="J59" s="1470" t="s">
        <v>229</v>
      </c>
      <c r="K59" s="1460"/>
      <c r="L59" s="1467"/>
      <c r="M59" s="1467"/>
      <c r="N59" s="1461"/>
      <c r="O59" s="1460"/>
      <c r="P59" s="1463"/>
      <c r="Q59" s="1466"/>
      <c r="R59" s="1466"/>
      <c r="S59" s="1469"/>
      <c r="T59" s="1469"/>
      <c r="U59" s="1469"/>
      <c r="V59" s="1469"/>
      <c r="W59" s="1459"/>
      <c r="X59" s="1459"/>
      <c r="Y59" s="1459"/>
      <c r="Z59" s="1482"/>
      <c r="AA59" s="1456"/>
    </row>
    <row r="60" spans="1:27">
      <c r="C60" s="1488"/>
      <c r="D60" s="2779"/>
      <c r="E60" s="1490"/>
      <c r="F60" s="1493"/>
      <c r="H60" s="1460"/>
      <c r="I60" s="1466"/>
      <c r="J60" s="1470" t="s">
        <v>229</v>
      </c>
      <c r="K60" s="1460"/>
      <c r="L60" s="1467"/>
      <c r="M60" s="1467"/>
      <c r="N60" s="1461"/>
      <c r="O60" s="1460"/>
      <c r="P60" s="1463"/>
      <c r="Q60" s="1466"/>
      <c r="R60" s="1466"/>
      <c r="S60" s="1469"/>
      <c r="T60" s="1469"/>
      <c r="U60" s="1469"/>
      <c r="V60" s="1469"/>
      <c r="W60" s="1459"/>
      <c r="X60" s="1459"/>
      <c r="Y60" s="1459"/>
      <c r="Z60" s="1482"/>
      <c r="AA60" s="1456"/>
    </row>
    <row r="61" spans="1:27">
      <c r="C61" s="1597" t="s">
        <v>49</v>
      </c>
      <c r="D61" s="2771">
        <f>SUM(D62:D65)</f>
        <v>68809.5</v>
      </c>
      <c r="E61" s="1464">
        <f>SUM(E62:E65)</f>
        <v>68809.5</v>
      </c>
      <c r="F61" s="1638">
        <f>D61+E61</f>
        <v>137619</v>
      </c>
      <c r="H61" s="1460"/>
      <c r="I61" s="1466"/>
      <c r="J61" s="1470" t="s">
        <v>229</v>
      </c>
      <c r="K61" s="1460"/>
      <c r="L61" s="1467"/>
      <c r="M61" s="1467"/>
      <c r="N61" s="1461"/>
      <c r="O61" s="1460"/>
      <c r="P61" s="1463"/>
      <c r="Q61" s="1466"/>
      <c r="R61" s="1466"/>
      <c r="S61" s="1469"/>
      <c r="T61" s="1469"/>
      <c r="U61" s="1469"/>
      <c r="V61" s="1469"/>
      <c r="W61" s="1459"/>
      <c r="X61" s="1459"/>
      <c r="Y61" s="1459"/>
      <c r="Z61" s="1482"/>
      <c r="AA61" s="1456"/>
    </row>
    <row r="62" spans="1:27">
      <c r="C62" s="1667" t="s">
        <v>1185</v>
      </c>
      <c r="D62" s="2778">
        <v>68809.5</v>
      </c>
      <c r="E62" s="1672">
        <v>68809.5</v>
      </c>
      <c r="F62" s="1661">
        <f t="shared" si="11"/>
        <v>137619</v>
      </c>
      <c r="H62" s="1460"/>
      <c r="I62" s="1466"/>
      <c r="J62" s="1470" t="s">
        <v>229</v>
      </c>
      <c r="K62" s="1460"/>
      <c r="L62" s="1467"/>
      <c r="M62" s="1467"/>
      <c r="N62" s="1461"/>
      <c r="O62" s="1460"/>
      <c r="P62" s="1463"/>
      <c r="Q62" s="1466"/>
      <c r="R62" s="1466"/>
      <c r="S62" s="1469"/>
      <c r="T62" s="1469"/>
      <c r="U62" s="1469"/>
      <c r="V62" s="1469"/>
      <c r="W62" s="1459"/>
      <c r="X62" s="1459"/>
      <c r="Y62" s="1459"/>
      <c r="Z62" s="1482"/>
      <c r="AA62" s="1456"/>
    </row>
    <row r="63" spans="1:27">
      <c r="C63" s="1667"/>
      <c r="D63" s="2778"/>
      <c r="E63" s="1672"/>
      <c r="F63" s="1661">
        <f t="shared" si="11"/>
        <v>0</v>
      </c>
      <c r="H63" s="1460"/>
      <c r="I63" s="1466"/>
      <c r="J63" s="1470" t="s">
        <v>229</v>
      </c>
      <c r="K63" s="1460"/>
      <c r="L63" s="1467"/>
      <c r="M63" s="1467"/>
      <c r="N63" s="1461"/>
      <c r="O63" s="1460"/>
      <c r="P63" s="1463"/>
      <c r="Q63" s="1466"/>
      <c r="R63" s="1466"/>
      <c r="S63" s="1469"/>
      <c r="T63" s="1469"/>
      <c r="U63" s="1469"/>
      <c r="V63" s="1469"/>
      <c r="W63" s="1459"/>
      <c r="X63" s="1459"/>
      <c r="Y63" s="1459"/>
      <c r="Z63" s="1482"/>
      <c r="AA63" s="1456"/>
    </row>
    <row r="64" spans="1:27" ht="25.5">
      <c r="A64" s="2143" t="s">
        <v>640</v>
      </c>
      <c r="C64" s="1667"/>
      <c r="D64" s="2778"/>
      <c r="E64" s="1672"/>
      <c r="F64" s="1437">
        <f t="shared" si="11"/>
        <v>0</v>
      </c>
      <c r="H64" s="1460"/>
      <c r="I64" s="1466"/>
      <c r="J64" s="1470" t="s">
        <v>229</v>
      </c>
      <c r="K64" s="1460"/>
      <c r="L64" s="1467"/>
      <c r="M64" s="1467"/>
      <c r="N64" s="1461"/>
      <c r="O64" s="1460"/>
      <c r="P64" s="1463"/>
      <c r="Q64" s="1466"/>
      <c r="R64" s="1466"/>
      <c r="S64" s="1469"/>
      <c r="T64" s="1469"/>
      <c r="U64" s="1469"/>
      <c r="V64" s="1469"/>
      <c r="W64" s="1459"/>
      <c r="X64" s="1459"/>
      <c r="Y64" s="1459"/>
      <c r="Z64" s="1482"/>
      <c r="AA64" s="1456"/>
    </row>
    <row r="65" spans="1:27">
      <c r="A65" s="2143" t="s">
        <v>262</v>
      </c>
      <c r="C65" s="1667"/>
      <c r="D65" s="2778"/>
      <c r="E65" s="1672"/>
      <c r="F65" s="1661">
        <f t="shared" si="11"/>
        <v>0</v>
      </c>
      <c r="H65" s="1460"/>
      <c r="I65" s="1466"/>
      <c r="J65" s="1470" t="s">
        <v>229</v>
      </c>
      <c r="K65" s="1460"/>
      <c r="L65" s="1467"/>
      <c r="M65" s="1467"/>
      <c r="N65" s="1461"/>
      <c r="O65" s="1460"/>
      <c r="P65" s="1463"/>
      <c r="Q65" s="1466"/>
      <c r="R65" s="1466"/>
      <c r="S65" s="1469"/>
      <c r="T65" s="1469"/>
      <c r="U65" s="1469"/>
      <c r="V65" s="1469"/>
      <c r="W65" s="1459"/>
      <c r="X65" s="1459"/>
      <c r="Y65" s="1459"/>
      <c r="Z65" s="1482"/>
      <c r="AA65" s="1456"/>
    </row>
    <row r="66" spans="1:27">
      <c r="A66" s="2143" t="s">
        <v>5</v>
      </c>
      <c r="C66" s="1488"/>
      <c r="D66" s="2779"/>
      <c r="E66" s="1490"/>
      <c r="F66" s="1493"/>
    </row>
    <row r="67" spans="1:27">
      <c r="A67" s="2143">
        <v>18231022</v>
      </c>
      <c r="C67" s="1597" t="s">
        <v>50</v>
      </c>
      <c r="D67" s="2771">
        <f>W15</f>
        <v>737860.67500000005</v>
      </c>
      <c r="E67" s="1464">
        <f>X15</f>
        <v>21175.5</v>
      </c>
      <c r="F67" s="1638">
        <f>D67+E67</f>
        <v>759036.17500000005</v>
      </c>
    </row>
    <row r="68" spans="1:27">
      <c r="A68" s="2143" t="s">
        <v>28</v>
      </c>
      <c r="C68" s="1500" t="s">
        <v>297</v>
      </c>
      <c r="D68" s="2781"/>
      <c r="E68" s="1496"/>
      <c r="F68" s="1499"/>
    </row>
    <row r="69" spans="1:27">
      <c r="A69" s="1663"/>
      <c r="C69" s="1501"/>
      <c r="D69" s="2782"/>
      <c r="E69" s="1497"/>
      <c r="F69" s="1498"/>
    </row>
    <row r="70" spans="1:27">
      <c r="A70" s="1663"/>
      <c r="C70" s="1494" t="s">
        <v>51</v>
      </c>
      <c r="D70" s="2778">
        <v>0</v>
      </c>
      <c r="E70" s="1671">
        <v>0</v>
      </c>
      <c r="F70" s="1491">
        <v>0</v>
      </c>
    </row>
    <row r="84" spans="5:5">
      <c r="E84" s="1652"/>
    </row>
    <row r="85" spans="5:5">
      <c r="E85" s="1652"/>
    </row>
    <row r="86" spans="5:5">
      <c r="E86" s="1652"/>
    </row>
    <row r="87" spans="5:5">
      <c r="E87" s="1652"/>
    </row>
    <row r="88" spans="5:5">
      <c r="E88" s="1652"/>
    </row>
    <row r="89" spans="5:5">
      <c r="E89" s="1652"/>
    </row>
    <row r="90" spans="5:5">
      <c r="E90" s="1652"/>
    </row>
    <row r="91" spans="5:5">
      <c r="E91" s="1652"/>
    </row>
    <row r="92" spans="5:5">
      <c r="E92" s="1652"/>
    </row>
    <row r="93" spans="5:5">
      <c r="E93" s="1652"/>
    </row>
    <row r="94" spans="5:5">
      <c r="E94" s="1652"/>
    </row>
    <row r="95" spans="5:5">
      <c r="E95" s="1652"/>
    </row>
    <row r="96" spans="5: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F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H4" sqref="H4:H6"/>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45" right="0.25" top="0.75" bottom="0.75" header="0.3" footer="0.3"/>
  <pageSetup paperSize="3" scale="43" orientation="landscape" horizontalDpi="1200" verticalDpi="12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rgb="FFFABF8F"/>
  </sheetPr>
  <dimension ref="A1:AA114"/>
  <sheetViews>
    <sheetView showGridLines="0" workbookViewId="0">
      <pane xSplit="1" ySplit="1" topLeftCell="F80" activePane="bottomRight" state="frozen"/>
      <selection pane="topRight" activeCell="B1" sqref="B1"/>
      <selection pane="bottomLeft" activeCell="A2" sqref="A2"/>
      <selection pane="bottomRight" activeCell="L119" sqref="L119"/>
    </sheetView>
  </sheetViews>
  <sheetFormatPr defaultRowHeight="12.75"/>
  <cols>
    <col min="1" max="1" width="18.5703125" style="1652" customWidth="1"/>
    <col min="2"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39"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2.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 customHeight="1" thickBot="1">
      <c r="C1" s="1361" t="s">
        <v>641</v>
      </c>
      <c r="D1" s="1361" t="s">
        <v>262</v>
      </c>
      <c r="E1" s="1361" t="s">
        <v>5</v>
      </c>
      <c r="F1" s="1361">
        <v>18231027</v>
      </c>
      <c r="G1" s="1361" t="s">
        <v>28</v>
      </c>
      <c r="J1" s="1190"/>
      <c r="M1" s="1361" t="s">
        <v>641</v>
      </c>
      <c r="N1" s="1361" t="s">
        <v>262</v>
      </c>
      <c r="O1" s="1361" t="s">
        <v>5</v>
      </c>
      <c r="P1" s="1361">
        <v>18231027</v>
      </c>
      <c r="Q1" s="1361" t="s">
        <v>28</v>
      </c>
      <c r="V1" s="1361" t="s">
        <v>641</v>
      </c>
      <c r="W1" s="1361" t="s">
        <v>262</v>
      </c>
      <c r="X1" s="1361" t="s">
        <v>5</v>
      </c>
      <c r="Y1" s="1361">
        <v>18231027</v>
      </c>
      <c r="Z1" s="1361" t="s">
        <v>28</v>
      </c>
    </row>
    <row r="2" spans="1:27" ht="16.5" thickBot="1">
      <c r="C2" s="1190"/>
      <c r="D2" s="1177"/>
      <c r="I2" s="1178" t="s">
        <v>627</v>
      </c>
      <c r="S2" s="3575"/>
      <c r="T2" s="3575"/>
      <c r="U2" s="3576" t="s">
        <v>33</v>
      </c>
      <c r="V2" s="3577"/>
      <c r="W2" s="3578"/>
      <c r="X2" s="3579" t="s">
        <v>34</v>
      </c>
    </row>
    <row r="3" spans="1:27" ht="26.25" thickBot="1">
      <c r="A3" s="2143" t="s">
        <v>642</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643</v>
      </c>
      <c r="B4" s="2143"/>
      <c r="C4" s="1190"/>
      <c r="H4" s="2946" t="s">
        <v>1726</v>
      </c>
      <c r="I4" s="2959">
        <f>D15</f>
        <v>29908.890000000003</v>
      </c>
      <c r="J4" s="2960">
        <f>D21</f>
        <v>0</v>
      </c>
      <c r="K4" s="2960">
        <f>D27</f>
        <v>19949.229630000002</v>
      </c>
      <c r="L4" s="2960">
        <f>D37</f>
        <v>15000</v>
      </c>
      <c r="M4" s="2960">
        <f>D43</f>
        <v>5225</v>
      </c>
      <c r="N4" s="2960">
        <f>D49</f>
        <v>600</v>
      </c>
      <c r="O4" s="2960">
        <f>D55</f>
        <v>240</v>
      </c>
      <c r="P4" s="2960">
        <f>D61</f>
        <v>0</v>
      </c>
      <c r="Q4" s="2960">
        <f>D67</f>
        <v>0</v>
      </c>
      <c r="R4" s="2960">
        <f>D68</f>
        <v>0</v>
      </c>
      <c r="S4" s="2961">
        <f>SUM(I4:R4)</f>
        <v>70923.119630000001</v>
      </c>
      <c r="T4" s="2963">
        <f>T79</f>
        <v>208526</v>
      </c>
      <c r="U4" s="2954">
        <f>Q4/S4</f>
        <v>0</v>
      </c>
      <c r="V4" s="2954">
        <f>(L4+(J4*1.63))/S4</f>
        <v>0.21149661884944923</v>
      </c>
      <c r="W4" s="2954">
        <f>N4/S4</f>
        <v>8.4598647539779678E-3</v>
      </c>
      <c r="X4" s="2953">
        <f>S4/T4</f>
        <v>0.34011643454533247</v>
      </c>
    </row>
    <row r="5" spans="1:27" ht="16.5" thickBot="1">
      <c r="A5" s="2143" t="s">
        <v>262</v>
      </c>
      <c r="C5" s="1177"/>
      <c r="H5" s="3205" t="s">
        <v>1753</v>
      </c>
      <c r="I5" s="2617">
        <v>30656.670000000002</v>
      </c>
      <c r="J5" s="2618">
        <v>0</v>
      </c>
      <c r="K5" s="2618">
        <v>20846.535600000003</v>
      </c>
      <c r="L5" s="2618">
        <v>15000</v>
      </c>
      <c r="M5" s="2618">
        <v>5225</v>
      </c>
      <c r="N5" s="2618">
        <v>600</v>
      </c>
      <c r="O5" s="2618">
        <v>240</v>
      </c>
      <c r="P5" s="2618">
        <v>0</v>
      </c>
      <c r="Q5" s="2618">
        <v>353198.5</v>
      </c>
      <c r="R5" s="2618">
        <v>0</v>
      </c>
      <c r="S5" s="2619">
        <v>425766.70559999999</v>
      </c>
      <c r="T5" s="2640">
        <v>226537.4</v>
      </c>
      <c r="U5" s="1187">
        <f>Q5/S5</f>
        <v>0.82955875918541999</v>
      </c>
      <c r="V5" s="1187">
        <f>(L5+(J5*1.63))/S5</f>
        <v>3.5230561250348742E-2</v>
      </c>
      <c r="W5" s="1187">
        <f>N5/S5</f>
        <v>1.4092224500139496E-3</v>
      </c>
      <c r="X5" s="1155">
        <f>S5/T5</f>
        <v>1.8794543664754695</v>
      </c>
    </row>
    <row r="6" spans="1:27" ht="16.5" thickBot="1">
      <c r="A6" s="2143" t="s">
        <v>5</v>
      </c>
      <c r="B6" s="2143"/>
      <c r="D6" s="1190"/>
      <c r="H6" s="3206" t="s">
        <v>1754</v>
      </c>
      <c r="I6" s="2621">
        <f>E15</f>
        <v>23224.75</v>
      </c>
      <c r="J6" s="2622">
        <f>E21</f>
        <v>0</v>
      </c>
      <c r="K6" s="2623">
        <f>E27</f>
        <v>20855.825499999999</v>
      </c>
      <c r="L6" s="2622">
        <f>E37</f>
        <v>15000</v>
      </c>
      <c r="M6" s="2622">
        <f>E43</f>
        <v>5225</v>
      </c>
      <c r="N6" s="2622">
        <f>E49</f>
        <v>600</v>
      </c>
      <c r="O6" s="2622">
        <f>E55</f>
        <v>240</v>
      </c>
      <c r="P6" s="2622">
        <f>E61</f>
        <v>0</v>
      </c>
      <c r="Q6" s="2622">
        <f>E67</f>
        <v>366102</v>
      </c>
      <c r="R6" s="2622">
        <f>E68</f>
        <v>0</v>
      </c>
      <c r="S6" s="2624">
        <f>SUM(I6:R6)</f>
        <v>431247.57549999998</v>
      </c>
      <c r="T6" s="2641">
        <f>U15</f>
        <v>225939.30000000002</v>
      </c>
      <c r="U6" s="2631">
        <f>Q6/S6</f>
        <v>0.84893694666116448</v>
      </c>
      <c r="V6" s="2631">
        <f>(L6+(J6*1.63))/S6</f>
        <v>3.4782804245585844E-2</v>
      </c>
      <c r="W6" s="2631">
        <f>N6/S6</f>
        <v>1.3913121698234338E-3</v>
      </c>
      <c r="X6" s="2626">
        <f>S6/T6</f>
        <v>1.908687755959233</v>
      </c>
    </row>
    <row r="7" spans="1:27" ht="15.75">
      <c r="A7" s="2143">
        <v>18231027</v>
      </c>
      <c r="B7" s="2143"/>
      <c r="D7" s="1190"/>
      <c r="G7" s="2606"/>
      <c r="H7" s="2607"/>
      <c r="I7" s="2607"/>
      <c r="J7" s="2607"/>
      <c r="K7" s="2607"/>
      <c r="L7" s="2607"/>
      <c r="M7" s="2607"/>
      <c r="N7" s="2607"/>
      <c r="O7" s="2607"/>
      <c r="P7" s="2607"/>
      <c r="Q7" s="2607"/>
      <c r="R7" s="2607"/>
      <c r="S7" s="2639"/>
      <c r="T7" s="2630"/>
      <c r="U7" s="2630"/>
      <c r="V7" s="2630"/>
      <c r="W7" s="2610"/>
    </row>
    <row r="8" spans="1:27" ht="15.75">
      <c r="A8" s="1663" t="s">
        <v>28</v>
      </c>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D15+D21+D27+D37+D43+D49+D55+D61+D67</f>
        <v>70923.119630000001</v>
      </c>
      <c r="E12" s="1484">
        <f>E15+E21+E27+E37+E43+E49+E55+E61+E67</f>
        <v>431247.57549999998</v>
      </c>
      <c r="F12" s="1638">
        <f>D12+E12</f>
        <v>502170.69513000001</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29908.890000000003</v>
      </c>
      <c r="E15" s="1464">
        <f>SUM(E16:E19)</f>
        <v>23224.75</v>
      </c>
      <c r="F15" s="1638">
        <f>D15+E15</f>
        <v>53133.64</v>
      </c>
      <c r="H15" s="1475" t="s">
        <v>308</v>
      </c>
      <c r="I15" s="1476"/>
      <c r="J15" s="1476"/>
      <c r="K15" s="1477"/>
      <c r="L15" s="1478">
        <f>SUMPRODUCT(L16:L165,S16:S165)</f>
        <v>944777.4</v>
      </c>
      <c r="M15" s="1478">
        <f>SUM(M16:M165)</f>
        <v>427206</v>
      </c>
      <c r="N15" s="1479" t="s">
        <v>229</v>
      </c>
      <c r="O15" s="1477">
        <v>10</v>
      </c>
      <c r="P15" s="1477"/>
      <c r="Q15" s="1477"/>
      <c r="R15" s="1477"/>
      <c r="S15" s="1477"/>
      <c r="T15" s="1480"/>
      <c r="U15" s="1480">
        <f>SUM(U16:U65)</f>
        <v>225939.30000000002</v>
      </c>
      <c r="V15" s="1480"/>
      <c r="W15" s="1478"/>
      <c r="X15" s="1478">
        <f>SUM(X16:X65)</f>
        <v>366102</v>
      </c>
      <c r="Y15" s="1478"/>
      <c r="Z15" s="1481">
        <v>0</v>
      </c>
      <c r="AA15" s="1456"/>
    </row>
    <row r="16" spans="1:27">
      <c r="B16" s="1982">
        <v>0.25</v>
      </c>
      <c r="C16" s="1667" t="s">
        <v>735</v>
      </c>
      <c r="D16" s="2772">
        <v>29908.890000000003</v>
      </c>
      <c r="E16" s="1669">
        <v>23224.75</v>
      </c>
      <c r="F16" s="1426">
        <f>SUM(D16:E16)</f>
        <v>53133.64</v>
      </c>
      <c r="H16" s="2420" t="s">
        <v>1869</v>
      </c>
      <c r="I16" s="2416">
        <v>432</v>
      </c>
      <c r="J16" s="1470" t="s">
        <v>71</v>
      </c>
      <c r="K16" s="1460" t="s">
        <v>845</v>
      </c>
      <c r="L16" s="1467">
        <v>1017</v>
      </c>
      <c r="M16" s="1467">
        <v>500</v>
      </c>
      <c r="N16" s="1461">
        <v>0.26630215174162619</v>
      </c>
      <c r="O16" s="1460">
        <v>12</v>
      </c>
      <c r="P16" s="1463" t="s">
        <v>1252</v>
      </c>
      <c r="Q16" s="1466"/>
      <c r="R16" s="1466">
        <v>110</v>
      </c>
      <c r="S16" s="1469"/>
      <c r="T16" s="1469"/>
      <c r="U16" s="1469">
        <f>R16*I16</f>
        <v>47520</v>
      </c>
      <c r="V16" s="1469"/>
      <c r="W16" s="1459"/>
      <c r="X16" s="1459">
        <f>R16*M16</f>
        <v>55000</v>
      </c>
      <c r="Y16" s="1459"/>
      <c r="Z16" s="2341">
        <v>1357</v>
      </c>
      <c r="AA16" s="1456"/>
    </row>
    <row r="17" spans="2:27">
      <c r="B17" s="1982"/>
      <c r="C17" s="1667"/>
      <c r="D17" s="2784"/>
      <c r="E17" s="1668"/>
      <c r="F17" s="1661">
        <f t="shared" ref="F17:F30" si="0">SUM(D17:E17)</f>
        <v>0</v>
      </c>
      <c r="H17" s="2420" t="s">
        <v>1870</v>
      </c>
      <c r="I17" s="2416">
        <v>1164</v>
      </c>
      <c r="J17" s="1470" t="s">
        <v>71</v>
      </c>
      <c r="K17" s="1460" t="s">
        <v>845</v>
      </c>
      <c r="L17" s="1467">
        <v>284</v>
      </c>
      <c r="M17" s="1467">
        <v>250</v>
      </c>
      <c r="N17" s="1461">
        <v>1.2223104916349271E-2</v>
      </c>
      <c r="O17" s="1460">
        <v>12</v>
      </c>
      <c r="P17" s="1463" t="s">
        <v>1252</v>
      </c>
      <c r="Q17" s="1466"/>
      <c r="R17" s="1466">
        <v>2.2000000000000002</v>
      </c>
      <c r="S17" s="1469"/>
      <c r="T17" s="1469"/>
      <c r="U17" s="1469">
        <f t="shared" ref="U17:U24" si="1">R17*I17</f>
        <v>2560.8000000000002</v>
      </c>
      <c r="V17" s="1469"/>
      <c r="W17" s="1459"/>
      <c r="X17" s="1459">
        <f t="shared" ref="X17:X24" si="2">R17*M17</f>
        <v>550</v>
      </c>
      <c r="Y17" s="1459"/>
      <c r="Z17" s="2341">
        <v>0</v>
      </c>
      <c r="AA17" s="1456"/>
    </row>
    <row r="18" spans="2:27">
      <c r="B18" s="1982"/>
      <c r="C18" s="1667"/>
      <c r="D18" s="2784"/>
      <c r="E18" s="1668"/>
      <c r="F18" s="1661">
        <f t="shared" si="0"/>
        <v>0</v>
      </c>
      <c r="H18" s="2420" t="s">
        <v>1871</v>
      </c>
      <c r="I18" s="2416">
        <v>1554</v>
      </c>
      <c r="J18" s="1470" t="s">
        <v>71</v>
      </c>
      <c r="K18" s="1460" t="s">
        <v>845</v>
      </c>
      <c r="L18" s="1467">
        <v>378</v>
      </c>
      <c r="M18" s="1467">
        <v>350</v>
      </c>
      <c r="N18" s="1461">
        <v>8.1548407741074899E-3</v>
      </c>
      <c r="O18" s="1460">
        <v>12</v>
      </c>
      <c r="P18" s="1463" t="s">
        <v>1252</v>
      </c>
      <c r="Q18" s="1466"/>
      <c r="R18" s="1466">
        <v>1.1000000000000001</v>
      </c>
      <c r="S18" s="1469"/>
      <c r="T18" s="1469"/>
      <c r="U18" s="1469">
        <f t="shared" si="1"/>
        <v>1709.4</v>
      </c>
      <c r="V18" s="1469"/>
      <c r="W18" s="1459"/>
      <c r="X18" s="1459">
        <f t="shared" si="2"/>
        <v>385.00000000000006</v>
      </c>
      <c r="Y18" s="1459"/>
      <c r="Z18" s="2341">
        <v>0</v>
      </c>
      <c r="AA18" s="1456"/>
    </row>
    <row r="19" spans="2:27">
      <c r="B19" s="1982"/>
      <c r="C19" s="1667"/>
      <c r="D19" s="2786"/>
      <c r="E19" s="1446"/>
      <c r="F19" s="1661">
        <f t="shared" si="0"/>
        <v>0</v>
      </c>
      <c r="H19" s="2420" t="s">
        <v>1872</v>
      </c>
      <c r="I19" s="2416">
        <v>1944</v>
      </c>
      <c r="J19" s="1470" t="s">
        <v>71</v>
      </c>
      <c r="K19" s="1460" t="s">
        <v>845</v>
      </c>
      <c r="L19" s="1467">
        <v>473</v>
      </c>
      <c r="M19" s="1467">
        <v>450</v>
      </c>
      <c r="N19" s="1461">
        <v>1.0195719551931931E-2</v>
      </c>
      <c r="O19" s="1460">
        <v>12</v>
      </c>
      <c r="P19" s="1463" t="s">
        <v>1252</v>
      </c>
      <c r="Q19" s="1466"/>
      <c r="R19" s="1466">
        <v>1.1000000000000001</v>
      </c>
      <c r="S19" s="1469"/>
      <c r="T19" s="1469"/>
      <c r="U19" s="1469">
        <f t="shared" si="1"/>
        <v>2138.4</v>
      </c>
      <c r="V19" s="1469"/>
      <c r="W19" s="1459"/>
      <c r="X19" s="1459">
        <f t="shared" si="2"/>
        <v>495.00000000000006</v>
      </c>
      <c r="Y19" s="1459"/>
      <c r="Z19" s="2341">
        <v>0</v>
      </c>
      <c r="AA19" s="1456"/>
    </row>
    <row r="20" spans="2:27">
      <c r="B20" s="2204">
        <f>SUM(B16:B19)</f>
        <v>0.25</v>
      </c>
      <c r="C20" s="1488"/>
      <c r="D20" s="2770"/>
      <c r="E20" s="1490"/>
      <c r="F20" s="1492"/>
      <c r="H20" s="2420" t="s">
        <v>1873</v>
      </c>
      <c r="I20" s="2416">
        <v>2334</v>
      </c>
      <c r="J20" s="1470" t="s">
        <v>71</v>
      </c>
      <c r="K20" s="1460" t="s">
        <v>845</v>
      </c>
      <c r="L20" s="1467">
        <v>567</v>
      </c>
      <c r="M20" s="1467">
        <v>550</v>
      </c>
      <c r="N20" s="1461">
        <v>6.119503933932393E-2</v>
      </c>
      <c r="O20" s="1460">
        <v>12</v>
      </c>
      <c r="P20" s="1463" t="s">
        <v>1252</v>
      </c>
      <c r="Q20" s="1466"/>
      <c r="R20" s="1466">
        <v>5.5</v>
      </c>
      <c r="S20" s="1469"/>
      <c r="T20" s="1469"/>
      <c r="U20" s="1469">
        <f t="shared" si="1"/>
        <v>12837</v>
      </c>
      <c r="V20" s="1469"/>
      <c r="W20" s="1459"/>
      <c r="X20" s="1459">
        <f t="shared" si="2"/>
        <v>3025</v>
      </c>
      <c r="Y20" s="1459"/>
      <c r="Z20" s="2341">
        <v>0</v>
      </c>
      <c r="AA20" s="1456"/>
    </row>
    <row r="21" spans="2:27">
      <c r="B21" s="1433" t="s">
        <v>296</v>
      </c>
      <c r="C21" s="1597" t="s">
        <v>44</v>
      </c>
      <c r="D21" s="2771">
        <f>SUM(D22:D25)</f>
        <v>0</v>
      </c>
      <c r="E21" s="1464">
        <f>SUM(E22:E25)</f>
        <v>0</v>
      </c>
      <c r="F21" s="1638">
        <f>D21+E21</f>
        <v>0</v>
      </c>
      <c r="H21" s="2420" t="s">
        <v>1874</v>
      </c>
      <c r="I21" s="2416">
        <v>3893</v>
      </c>
      <c r="J21" s="1470" t="s">
        <v>71</v>
      </c>
      <c r="K21" s="1460" t="s">
        <v>845</v>
      </c>
      <c r="L21" s="1467">
        <v>946</v>
      </c>
      <c r="M21" s="1467">
        <v>950</v>
      </c>
      <c r="N21" s="1461">
        <v>4.081420220313707E-2</v>
      </c>
      <c r="O21" s="1460">
        <v>12</v>
      </c>
      <c r="P21" s="1463" t="s">
        <v>1252</v>
      </c>
      <c r="Q21" s="1466"/>
      <c r="R21" s="1466">
        <v>2.2000000000000002</v>
      </c>
      <c r="S21" s="1469"/>
      <c r="T21" s="1469"/>
      <c r="U21" s="1469">
        <f t="shared" si="1"/>
        <v>8564.6</v>
      </c>
      <c r="V21" s="1469"/>
      <c r="W21" s="1459"/>
      <c r="X21" s="1459">
        <f t="shared" si="2"/>
        <v>2090</v>
      </c>
      <c r="Y21" s="1459"/>
      <c r="Z21" s="2341">
        <v>0</v>
      </c>
      <c r="AA21" s="1456"/>
    </row>
    <row r="22" spans="2:27">
      <c r="B22" s="1982">
        <f>(SUM(D22:E22)/2)/((80000+(80000*1.025))/2)</f>
        <v>0</v>
      </c>
      <c r="C22" s="1667"/>
      <c r="D22" s="2772"/>
      <c r="E22" s="1669"/>
      <c r="F22" s="1426">
        <f t="shared" si="0"/>
        <v>0</v>
      </c>
      <c r="H22" s="2420" t="s">
        <v>1369</v>
      </c>
      <c r="I22" s="2416">
        <v>357</v>
      </c>
      <c r="J22" s="1470" t="s">
        <v>71</v>
      </c>
      <c r="K22" s="1460" t="s">
        <v>845</v>
      </c>
      <c r="L22" s="1467">
        <v>1177</v>
      </c>
      <c r="M22" s="1467">
        <v>1000</v>
      </c>
      <c r="N22" s="1461">
        <v>4.5160767996900372E-2</v>
      </c>
      <c r="O22" s="1460">
        <v>12</v>
      </c>
      <c r="P22" s="1463" t="s">
        <v>1252</v>
      </c>
      <c r="Q22" s="1466"/>
      <c r="R22" s="1466">
        <v>27.5</v>
      </c>
      <c r="S22" s="1469"/>
      <c r="T22" s="1469"/>
      <c r="U22" s="1469">
        <f t="shared" si="1"/>
        <v>9817.5</v>
      </c>
      <c r="V22" s="1469"/>
      <c r="W22" s="1459"/>
      <c r="X22" s="1459">
        <f t="shared" si="2"/>
        <v>27500</v>
      </c>
      <c r="Y22" s="1459"/>
      <c r="Z22" s="2341">
        <v>0</v>
      </c>
      <c r="AA22" s="1456"/>
    </row>
    <row r="23" spans="2:27">
      <c r="B23" s="1982"/>
      <c r="C23" s="1667"/>
      <c r="D23" s="2773"/>
      <c r="E23" s="1444"/>
      <c r="F23" s="1661">
        <f t="shared" si="0"/>
        <v>0</v>
      </c>
      <c r="H23" s="2420" t="s">
        <v>1370</v>
      </c>
      <c r="I23" s="2416">
        <v>714</v>
      </c>
      <c r="J23" s="1470" t="s">
        <v>71</v>
      </c>
      <c r="K23" s="1460" t="s">
        <v>845</v>
      </c>
      <c r="L23" s="1467">
        <v>2354</v>
      </c>
      <c r="M23" s="1467">
        <v>2000</v>
      </c>
      <c r="N23" s="1461">
        <v>9.0321535993800744E-2</v>
      </c>
      <c r="O23" s="1460">
        <v>12</v>
      </c>
      <c r="P23" s="1463" t="s">
        <v>1252</v>
      </c>
      <c r="Q23" s="1466"/>
      <c r="R23" s="1466">
        <v>27.5</v>
      </c>
      <c r="S23" s="1469"/>
      <c r="T23" s="1469"/>
      <c r="U23" s="1469">
        <f t="shared" si="1"/>
        <v>19635</v>
      </c>
      <c r="V23" s="1469"/>
      <c r="W23" s="1459"/>
      <c r="X23" s="1459">
        <f t="shared" si="2"/>
        <v>55000</v>
      </c>
      <c r="Y23" s="1459"/>
      <c r="Z23" s="2341">
        <v>0</v>
      </c>
      <c r="AA23" s="1456"/>
    </row>
    <row r="24" spans="2:27">
      <c r="B24" s="1982"/>
      <c r="C24" s="1667"/>
      <c r="D24" s="2774"/>
      <c r="E24" s="1443"/>
      <c r="F24" s="1661">
        <f t="shared" si="0"/>
        <v>0</v>
      </c>
      <c r="H24" s="2420" t="s">
        <v>1875</v>
      </c>
      <c r="I24" s="2416">
        <v>798</v>
      </c>
      <c r="J24" s="1470" t="s">
        <v>71</v>
      </c>
      <c r="K24" s="1460" t="s">
        <v>845</v>
      </c>
      <c r="L24" s="1467">
        <v>2531</v>
      </c>
      <c r="M24" s="1467">
        <v>2500</v>
      </c>
      <c r="N24" s="1461">
        <v>3.2687793978708843E-2</v>
      </c>
      <c r="O24" s="1460">
        <v>12</v>
      </c>
      <c r="P24" s="1463" t="s">
        <v>1252</v>
      </c>
      <c r="Q24" s="1466"/>
      <c r="R24" s="1466">
        <v>7</v>
      </c>
      <c r="S24" s="1469"/>
      <c r="T24" s="1469"/>
      <c r="U24" s="1469">
        <f t="shared" si="1"/>
        <v>5586</v>
      </c>
      <c r="V24" s="1469"/>
      <c r="W24" s="1459"/>
      <c r="X24" s="1459">
        <f t="shared" si="2"/>
        <v>17500</v>
      </c>
      <c r="Y24" s="1459"/>
      <c r="Z24" s="2341">
        <v>0</v>
      </c>
      <c r="AA24" s="1456"/>
    </row>
    <row r="25" spans="2:27">
      <c r="B25" s="1982"/>
      <c r="C25" s="1667"/>
      <c r="D25" s="2775"/>
      <c r="E25" s="1444"/>
      <c r="F25" s="1661">
        <f t="shared" si="0"/>
        <v>0</v>
      </c>
      <c r="H25" s="2420" t="s">
        <v>1876</v>
      </c>
      <c r="I25" s="2416">
        <v>2100</v>
      </c>
      <c r="J25" s="1470" t="s">
        <v>71</v>
      </c>
      <c r="K25" s="1460" t="s">
        <v>845</v>
      </c>
      <c r="L25" s="1467">
        <v>4128</v>
      </c>
      <c r="M25" s="1467">
        <v>2000</v>
      </c>
      <c r="N25" s="1461">
        <v>5.3130315290471027E-2</v>
      </c>
      <c r="O25" s="1460">
        <v>12</v>
      </c>
      <c r="P25" s="1463" t="s">
        <v>1252</v>
      </c>
      <c r="Q25" s="1466"/>
      <c r="R25" s="1466">
        <v>5.5</v>
      </c>
      <c r="S25" s="1469"/>
      <c r="T25" s="1469"/>
      <c r="U25" s="1469">
        <f t="shared" ref="U25:U47" si="3">R25*I25</f>
        <v>11550</v>
      </c>
      <c r="V25" s="1469"/>
      <c r="W25" s="1459"/>
      <c r="X25" s="1459">
        <f t="shared" ref="X25:X46" si="4">R25*M25</f>
        <v>11000</v>
      </c>
      <c r="Y25" s="1459"/>
      <c r="Z25" s="2341">
        <v>0</v>
      </c>
      <c r="AA25" s="1456"/>
    </row>
    <row r="26" spans="2:27">
      <c r="B26" s="2204">
        <f>SUM(B22:B25)</f>
        <v>0</v>
      </c>
      <c r="C26" s="1424"/>
      <c r="D26" s="2776"/>
      <c r="E26" s="1431"/>
      <c r="F26" s="1439"/>
      <c r="H26" s="2420" t="s">
        <v>1373</v>
      </c>
      <c r="I26" s="2416">
        <v>884</v>
      </c>
      <c r="J26" s="1470" t="s">
        <v>71</v>
      </c>
      <c r="K26" s="1460" t="s">
        <v>845</v>
      </c>
      <c r="L26" s="1467">
        <v>4731</v>
      </c>
      <c r="M26" s="1467">
        <v>2000</v>
      </c>
      <c r="N26" s="1461" t="s">
        <v>229</v>
      </c>
      <c r="O26" s="1460">
        <v>12</v>
      </c>
      <c r="P26" s="1463" t="s">
        <v>1252</v>
      </c>
      <c r="Q26" s="1466"/>
      <c r="R26" s="1466"/>
      <c r="S26" s="1469"/>
      <c r="T26" s="1469"/>
      <c r="U26" s="1469">
        <f t="shared" si="3"/>
        <v>0</v>
      </c>
      <c r="V26" s="1469"/>
      <c r="W26" s="1459"/>
      <c r="X26" s="1459">
        <f t="shared" si="4"/>
        <v>0</v>
      </c>
      <c r="Y26" s="1459"/>
      <c r="Z26" s="2341">
        <v>0</v>
      </c>
      <c r="AA26" s="1456"/>
    </row>
    <row r="27" spans="2:27">
      <c r="C27" s="1597" t="s">
        <v>1737</v>
      </c>
      <c r="D27" s="2771">
        <f>SUM(D29:D35)</f>
        <v>19949.229630000002</v>
      </c>
      <c r="E27" s="1657">
        <f>SUM(E29:E31)+SUM(E33:E35)</f>
        <v>20855.825499999999</v>
      </c>
      <c r="F27" s="1638">
        <f>D27+E27</f>
        <v>40805.055130000001</v>
      </c>
      <c r="H27" s="2420" t="s">
        <v>1374</v>
      </c>
      <c r="I27" s="2416">
        <v>1768</v>
      </c>
      <c r="J27" s="1470" t="s">
        <v>71</v>
      </c>
      <c r="K27" s="1460" t="s">
        <v>845</v>
      </c>
      <c r="L27" s="1467">
        <v>9462</v>
      </c>
      <c r="M27" s="1467">
        <v>4000</v>
      </c>
      <c r="N27" s="1461" t="s">
        <v>229</v>
      </c>
      <c r="O27" s="1460">
        <v>12</v>
      </c>
      <c r="P27" s="1463" t="s">
        <v>1252</v>
      </c>
      <c r="Q27" s="1466"/>
      <c r="R27" s="1466"/>
      <c r="S27" s="1469"/>
      <c r="T27" s="1469"/>
      <c r="U27" s="1469">
        <f t="shared" si="3"/>
        <v>0</v>
      </c>
      <c r="V27" s="1469"/>
      <c r="W27" s="1459"/>
      <c r="X27" s="1459">
        <f t="shared" si="4"/>
        <v>0</v>
      </c>
      <c r="Y27" s="1459"/>
      <c r="Z27" s="2341">
        <v>0</v>
      </c>
      <c r="AA27" s="1456"/>
    </row>
    <row r="28" spans="2:27">
      <c r="C28" s="1450" t="s">
        <v>1733</v>
      </c>
      <c r="D28" s="2777">
        <v>0.66700000000000004</v>
      </c>
      <c r="E28" s="1452">
        <v>0.68799999999999994</v>
      </c>
      <c r="F28" s="1485"/>
      <c r="H28" s="2420" t="s">
        <v>1375</v>
      </c>
      <c r="I28" s="2416">
        <v>94</v>
      </c>
      <c r="J28" s="1470" t="s">
        <v>71</v>
      </c>
      <c r="K28" s="1460" t="s">
        <v>845</v>
      </c>
      <c r="L28" s="1467">
        <v>232</v>
      </c>
      <c r="M28" s="1467">
        <v>150</v>
      </c>
      <c r="N28" s="1461">
        <v>2.0085909671717301E-3</v>
      </c>
      <c r="O28" s="1460">
        <v>10</v>
      </c>
      <c r="P28" s="1463" t="s">
        <v>997</v>
      </c>
      <c r="Q28" s="1466"/>
      <c r="R28" s="1466">
        <v>4.4000000000000004</v>
      </c>
      <c r="S28" s="1469"/>
      <c r="T28" s="1469"/>
      <c r="U28" s="1469">
        <f t="shared" si="3"/>
        <v>413.6</v>
      </c>
      <c r="V28" s="1469"/>
      <c r="W28" s="1459"/>
      <c r="X28" s="1459">
        <f t="shared" si="4"/>
        <v>660</v>
      </c>
      <c r="Y28" s="1459"/>
      <c r="Z28" s="2341">
        <v>1126.21</v>
      </c>
      <c r="AA28" s="1456"/>
    </row>
    <row r="29" spans="2:27">
      <c r="C29" s="1667" t="s">
        <v>719</v>
      </c>
      <c r="D29" s="2778">
        <f>D15*D28</f>
        <v>19949.229630000002</v>
      </c>
      <c r="E29" s="1641">
        <f>E15*E28</f>
        <v>15978.627999999999</v>
      </c>
      <c r="F29" s="1661">
        <f t="shared" si="0"/>
        <v>35927.857629999999</v>
      </c>
      <c r="H29" s="2420" t="s">
        <v>1376</v>
      </c>
      <c r="I29" s="2416">
        <v>40</v>
      </c>
      <c r="J29" s="1470" t="s">
        <v>71</v>
      </c>
      <c r="K29" s="1460" t="s">
        <v>845</v>
      </c>
      <c r="L29" s="1467">
        <v>40</v>
      </c>
      <c r="M29" s="1467">
        <v>0</v>
      </c>
      <c r="N29" s="1461">
        <v>8.5779556659445284E-4</v>
      </c>
      <c r="O29" s="1460">
        <v>10</v>
      </c>
      <c r="P29" s="1463" t="s">
        <v>997</v>
      </c>
      <c r="Q29" s="1466"/>
      <c r="R29" s="1466">
        <v>4.4000000000000004</v>
      </c>
      <c r="S29" s="1469"/>
      <c r="T29" s="1469"/>
      <c r="U29" s="1469">
        <f t="shared" si="3"/>
        <v>176</v>
      </c>
      <c r="V29" s="1469"/>
      <c r="W29" s="1459"/>
      <c r="X29" s="1459">
        <f t="shared" si="4"/>
        <v>0</v>
      </c>
      <c r="Y29" s="1459"/>
      <c r="Z29" s="2341">
        <v>81.425857409748488</v>
      </c>
      <c r="AA29" s="1456"/>
    </row>
    <row r="30" spans="2:27">
      <c r="C30" s="1667" t="s">
        <v>720</v>
      </c>
      <c r="D30" s="2785">
        <f>D21*D28</f>
        <v>0</v>
      </c>
      <c r="E30" s="1641">
        <f>E21*E28</f>
        <v>0</v>
      </c>
      <c r="F30" s="1661">
        <f t="shared" si="0"/>
        <v>0</v>
      </c>
      <c r="H30" s="2420" t="s">
        <v>1377</v>
      </c>
      <c r="I30" s="2416">
        <v>599</v>
      </c>
      <c r="J30" s="1470" t="s">
        <v>71</v>
      </c>
      <c r="K30" s="1460" t="s">
        <v>845</v>
      </c>
      <c r="L30" s="1467">
        <v>2659</v>
      </c>
      <c r="M30" s="1467">
        <v>750</v>
      </c>
      <c r="N30" s="1461">
        <v>3.1923970398342436E-3</v>
      </c>
      <c r="O30" s="1460">
        <v>15</v>
      </c>
      <c r="P30" s="1463" t="s">
        <v>997</v>
      </c>
      <c r="Q30" s="1466"/>
      <c r="R30" s="1466">
        <v>1.1000000000000001</v>
      </c>
      <c r="S30" s="1469"/>
      <c r="T30" s="1469"/>
      <c r="U30" s="1469">
        <f t="shared" si="3"/>
        <v>658.90000000000009</v>
      </c>
      <c r="V30" s="1469"/>
      <c r="W30" s="1459"/>
      <c r="X30" s="1459">
        <f t="shared" si="4"/>
        <v>825.00000000000011</v>
      </c>
      <c r="Y30" s="1459"/>
      <c r="Z30" s="2341">
        <v>9597.84</v>
      </c>
      <c r="AA30" s="1456"/>
    </row>
    <row r="31" spans="2:27">
      <c r="C31" s="1667"/>
      <c r="D31" s="2774"/>
      <c r="E31" s="1443"/>
      <c r="F31" s="1436"/>
      <c r="H31" s="2420" t="s">
        <v>1378</v>
      </c>
      <c r="I31" s="2416">
        <v>261</v>
      </c>
      <c r="J31" s="1470" t="s">
        <v>71</v>
      </c>
      <c r="K31" s="1460" t="s">
        <v>845</v>
      </c>
      <c r="L31" s="1467">
        <v>846</v>
      </c>
      <c r="M31" s="1467">
        <v>250</v>
      </c>
      <c r="N31" s="1461">
        <v>1.39054444236421E-3</v>
      </c>
      <c r="O31" s="1460">
        <v>15</v>
      </c>
      <c r="P31" s="1463" t="s">
        <v>997</v>
      </c>
      <c r="Q31" s="1466"/>
      <c r="R31" s="1466">
        <v>1.1000000000000001</v>
      </c>
      <c r="S31" s="1469"/>
      <c r="T31" s="1469"/>
      <c r="U31" s="1469">
        <f t="shared" si="3"/>
        <v>287.10000000000002</v>
      </c>
      <c r="V31" s="1469"/>
      <c r="W31" s="1459"/>
      <c r="X31" s="1459">
        <f t="shared" si="4"/>
        <v>275</v>
      </c>
      <c r="Y31" s="1459"/>
      <c r="Z31" s="2341">
        <v>1338.9627812887252</v>
      </c>
      <c r="AA31" s="1456"/>
    </row>
    <row r="32" spans="2:27">
      <c r="C32" s="1450" t="s">
        <v>1734</v>
      </c>
      <c r="D32" s="2777"/>
      <c r="E32" s="1452">
        <v>0.21</v>
      </c>
      <c r="F32" s="1485"/>
      <c r="H32" s="2420" t="s">
        <v>1379</v>
      </c>
      <c r="I32" s="2416">
        <v>484</v>
      </c>
      <c r="J32" s="1470" t="s">
        <v>71</v>
      </c>
      <c r="K32" s="1460" t="s">
        <v>845</v>
      </c>
      <c r="L32" s="1467">
        <v>5385</v>
      </c>
      <c r="M32" s="1467">
        <v>1000</v>
      </c>
      <c r="N32" s="1461">
        <v>5.1583391824870919E-3</v>
      </c>
      <c r="O32" s="1460">
        <v>20</v>
      </c>
      <c r="P32" s="1463" t="s">
        <v>997</v>
      </c>
      <c r="Q32" s="1466"/>
      <c r="R32" s="1466">
        <v>2.2000000000000002</v>
      </c>
      <c r="S32" s="1469"/>
      <c r="T32" s="1469"/>
      <c r="U32" s="1469">
        <f t="shared" si="3"/>
        <v>1064.8000000000002</v>
      </c>
      <c r="V32" s="1469"/>
      <c r="W32" s="1459"/>
      <c r="X32" s="1459">
        <f t="shared" si="4"/>
        <v>2200</v>
      </c>
      <c r="Y32" s="1459"/>
      <c r="Z32" s="2341">
        <v>5094.048511858231</v>
      </c>
      <c r="AA32" s="1456"/>
    </row>
    <row r="33" spans="1:27">
      <c r="C33" s="1667" t="s">
        <v>719</v>
      </c>
      <c r="D33" s="2778"/>
      <c r="E33" s="1641">
        <f>E15*E32</f>
        <v>4877.1975000000002</v>
      </c>
      <c r="F33" s="1661">
        <f>SUM(D33:E33)</f>
        <v>4877.1975000000002</v>
      </c>
      <c r="H33" s="2420" t="s">
        <v>1380</v>
      </c>
      <c r="I33" s="2416">
        <v>158</v>
      </c>
      <c r="J33" s="1470" t="s">
        <v>71</v>
      </c>
      <c r="K33" s="1460" t="s">
        <v>845</v>
      </c>
      <c r="L33" s="1467">
        <v>1436</v>
      </c>
      <c r="M33" s="1467">
        <v>250</v>
      </c>
      <c r="N33" s="1461">
        <v>2.5285692909669069E-3</v>
      </c>
      <c r="O33" s="1460">
        <v>20</v>
      </c>
      <c r="P33" s="1463" t="s">
        <v>997</v>
      </c>
      <c r="Q33" s="1466"/>
      <c r="R33" s="1466">
        <v>3.3</v>
      </c>
      <c r="S33" s="1469"/>
      <c r="T33" s="1469"/>
      <c r="U33" s="1469">
        <f t="shared" si="3"/>
        <v>521.4</v>
      </c>
      <c r="V33" s="1469"/>
      <c r="W33" s="1459"/>
      <c r="X33" s="1459">
        <f t="shared" si="4"/>
        <v>825</v>
      </c>
      <c r="Y33" s="1459"/>
      <c r="Z33" s="2341">
        <v>447.31193136807406</v>
      </c>
      <c r="AA33" s="1456"/>
    </row>
    <row r="34" spans="1:27" ht="25.5">
      <c r="A34" s="2143" t="s">
        <v>642</v>
      </c>
      <c r="C34" s="1667" t="s">
        <v>720</v>
      </c>
      <c r="D34" s="2785"/>
      <c r="E34" s="1641">
        <f>E21*E32</f>
        <v>0</v>
      </c>
      <c r="F34" s="1661">
        <f t="shared" ref="F34" si="5">SUM(D34:E34)</f>
        <v>0</v>
      </c>
      <c r="H34" s="2456" t="s">
        <v>1381</v>
      </c>
      <c r="I34" s="2416">
        <v>698</v>
      </c>
      <c r="J34" s="1470" t="s">
        <v>71</v>
      </c>
      <c r="K34" s="1460" t="s">
        <v>845</v>
      </c>
      <c r="L34" s="1467">
        <v>3394</v>
      </c>
      <c r="M34" s="1467">
        <v>1500</v>
      </c>
      <c r="N34" s="1461">
        <v>3.7198449317654954E-3</v>
      </c>
      <c r="O34" s="1460">
        <v>20</v>
      </c>
      <c r="P34" s="1463" t="s">
        <v>997</v>
      </c>
      <c r="Q34" s="1466"/>
      <c r="R34" s="1466">
        <v>1.1000000000000001</v>
      </c>
      <c r="S34" s="1469"/>
      <c r="T34" s="1469"/>
      <c r="U34" s="1469">
        <f t="shared" si="3"/>
        <v>767.80000000000007</v>
      </c>
      <c r="V34" s="1469"/>
      <c r="W34" s="1459"/>
      <c r="X34" s="1459">
        <f t="shared" si="4"/>
        <v>1650.0000000000002</v>
      </c>
      <c r="Y34" s="1459"/>
      <c r="Z34" s="2341">
        <v>8016.35</v>
      </c>
      <c r="AA34" s="1456"/>
    </row>
    <row r="35" spans="1:27">
      <c r="A35" s="2143" t="s">
        <v>643</v>
      </c>
      <c r="C35" s="1445"/>
      <c r="D35" s="2775"/>
      <c r="E35" s="1444"/>
      <c r="F35" s="1437"/>
      <c r="H35" s="2420" t="s">
        <v>1382</v>
      </c>
      <c r="I35" s="2416">
        <v>600</v>
      </c>
      <c r="J35" s="1470" t="s">
        <v>71</v>
      </c>
      <c r="K35" s="1460" t="s">
        <v>845</v>
      </c>
      <c r="L35" s="1467">
        <v>1082</v>
      </c>
      <c r="M35" s="1467">
        <v>500</v>
      </c>
      <c r="N35" s="1461">
        <v>9.5923712095857209E-3</v>
      </c>
      <c r="O35" s="1460">
        <v>20</v>
      </c>
      <c r="P35" s="1463" t="s">
        <v>997</v>
      </c>
      <c r="Q35" s="1466"/>
      <c r="R35" s="1466">
        <v>3.3</v>
      </c>
      <c r="S35" s="1469"/>
      <c r="T35" s="1469"/>
      <c r="U35" s="1469">
        <f t="shared" si="3"/>
        <v>1980</v>
      </c>
      <c r="V35" s="1469"/>
      <c r="W35" s="1459"/>
      <c r="X35" s="1459">
        <f t="shared" si="4"/>
        <v>1650</v>
      </c>
      <c r="Y35" s="1459"/>
      <c r="Z35" s="2341">
        <v>2216.2514746791799</v>
      </c>
      <c r="AA35" s="1456"/>
    </row>
    <row r="36" spans="1:27">
      <c r="A36" s="2143" t="s">
        <v>262</v>
      </c>
      <c r="C36" s="1488"/>
      <c r="D36" s="2779"/>
      <c r="E36" s="1490"/>
      <c r="F36" s="1493"/>
      <c r="H36" s="2420" t="s">
        <v>1383</v>
      </c>
      <c r="I36" s="2416">
        <v>613</v>
      </c>
      <c r="J36" s="1470" t="s">
        <v>71</v>
      </c>
      <c r="K36" s="1460" t="s">
        <v>845</v>
      </c>
      <c r="L36" s="1467">
        <v>1644</v>
      </c>
      <c r="M36" s="1467">
        <v>800</v>
      </c>
      <c r="N36" s="1461">
        <v>3.101798406957975E-2</v>
      </c>
      <c r="O36" s="1460">
        <v>7</v>
      </c>
      <c r="P36" s="1463" t="s">
        <v>997</v>
      </c>
      <c r="Q36" s="1466"/>
      <c r="R36" s="1466">
        <v>11</v>
      </c>
      <c r="S36" s="1469"/>
      <c r="T36" s="1469"/>
      <c r="U36" s="1469">
        <f t="shared" si="3"/>
        <v>6743</v>
      </c>
      <c r="V36" s="1469"/>
      <c r="W36" s="1459"/>
      <c r="X36" s="1459">
        <f t="shared" si="4"/>
        <v>8800</v>
      </c>
      <c r="Y36" s="1459"/>
      <c r="Z36" s="2341">
        <v>0</v>
      </c>
      <c r="AA36" s="1456"/>
    </row>
    <row r="37" spans="1:27">
      <c r="A37" s="2143" t="s">
        <v>5</v>
      </c>
      <c r="C37" s="1597" t="s">
        <v>46</v>
      </c>
      <c r="D37" s="2771">
        <f>SUM(D38:D41)</f>
        <v>15000</v>
      </c>
      <c r="E37" s="1464">
        <f>SUM(E38:E41)</f>
        <v>15000</v>
      </c>
      <c r="F37" s="1638">
        <f>D37+E37</f>
        <v>30000</v>
      </c>
      <c r="H37" s="2420" t="s">
        <v>1384</v>
      </c>
      <c r="I37" s="2416">
        <v>800</v>
      </c>
      <c r="J37" s="1470" t="s">
        <v>71</v>
      </c>
      <c r="K37" s="1460" t="s">
        <v>845</v>
      </c>
      <c r="L37" s="1467">
        <v>3191</v>
      </c>
      <c r="M37" s="1467">
        <v>1500</v>
      </c>
      <c r="N37" s="1461">
        <v>2.0240120110655627E-2</v>
      </c>
      <c r="O37" s="1460">
        <v>15</v>
      </c>
      <c r="P37" s="1463" t="s">
        <v>997</v>
      </c>
      <c r="Q37" s="1466"/>
      <c r="R37" s="1466">
        <v>5.5</v>
      </c>
      <c r="S37" s="1469"/>
      <c r="T37" s="1469"/>
      <c r="U37" s="1469">
        <f t="shared" si="3"/>
        <v>4400</v>
      </c>
      <c r="V37" s="1469"/>
      <c r="W37" s="1459"/>
      <c r="X37" s="1459">
        <f t="shared" si="4"/>
        <v>8250</v>
      </c>
      <c r="Y37" s="1459"/>
      <c r="Z37" s="2341">
        <v>0</v>
      </c>
      <c r="AA37" s="1456"/>
    </row>
    <row r="38" spans="1:27">
      <c r="A38" s="2143">
        <v>18231027</v>
      </c>
      <c r="C38" s="1667"/>
      <c r="D38" s="2778">
        <v>15000</v>
      </c>
      <c r="E38" s="1672">
        <v>15000</v>
      </c>
      <c r="F38" s="1661">
        <f t="shared" ref="F38:F47" si="6">SUM(D38:E38)</f>
        <v>30000</v>
      </c>
      <c r="H38" s="2420" t="s">
        <v>1385</v>
      </c>
      <c r="I38" s="2416">
        <v>0</v>
      </c>
      <c r="J38" s="1470" t="s">
        <v>71</v>
      </c>
      <c r="K38" s="1460" t="s">
        <v>845</v>
      </c>
      <c r="L38" s="1467">
        <v>30</v>
      </c>
      <c r="M38" s="1467">
        <v>30</v>
      </c>
      <c r="N38" s="1461">
        <v>0</v>
      </c>
      <c r="O38" s="1460">
        <v>0</v>
      </c>
      <c r="P38" s="1463"/>
      <c r="Q38" s="1466"/>
      <c r="R38" s="1466">
        <v>33</v>
      </c>
      <c r="S38" s="1469"/>
      <c r="T38" s="1469"/>
      <c r="U38" s="1469">
        <f t="shared" si="3"/>
        <v>0</v>
      </c>
      <c r="V38" s="1469"/>
      <c r="W38" s="1459"/>
      <c r="X38" s="1459">
        <f t="shared" si="4"/>
        <v>990</v>
      </c>
      <c r="Y38" s="1459"/>
      <c r="Z38" s="2341">
        <v>0</v>
      </c>
      <c r="AA38" s="1456"/>
    </row>
    <row r="39" spans="1:27">
      <c r="A39" s="1663" t="s">
        <v>28</v>
      </c>
      <c r="C39" s="1667"/>
      <c r="D39" s="2778"/>
      <c r="E39" s="1672"/>
      <c r="F39" s="1661">
        <f t="shared" si="6"/>
        <v>0</v>
      </c>
      <c r="H39" s="2420" t="s">
        <v>1386</v>
      </c>
      <c r="I39" s="2416">
        <v>0</v>
      </c>
      <c r="J39" s="1470" t="s">
        <v>71</v>
      </c>
      <c r="K39" s="1460" t="s">
        <v>845</v>
      </c>
      <c r="L39" s="1467">
        <v>30</v>
      </c>
      <c r="M39" s="1467">
        <v>30</v>
      </c>
      <c r="N39" s="1461">
        <v>0</v>
      </c>
      <c r="O39" s="1460">
        <v>0</v>
      </c>
      <c r="P39" s="1463"/>
      <c r="Q39" s="1466"/>
      <c r="R39" s="1466">
        <v>2.2000000000000002</v>
      </c>
      <c r="S39" s="1469"/>
      <c r="T39" s="1469"/>
      <c r="U39" s="1469">
        <f t="shared" si="3"/>
        <v>0</v>
      </c>
      <c r="V39" s="1469"/>
      <c r="W39" s="1459"/>
      <c r="X39" s="1459">
        <f t="shared" si="4"/>
        <v>66</v>
      </c>
      <c r="Y39" s="1459"/>
      <c r="Z39" s="2341">
        <v>0</v>
      </c>
      <c r="AA39" s="1456"/>
    </row>
    <row r="40" spans="1:27">
      <c r="A40" s="1663"/>
      <c r="C40" s="1667"/>
      <c r="D40" s="2778"/>
      <c r="E40" s="1672"/>
      <c r="F40" s="1661">
        <f t="shared" si="6"/>
        <v>0</v>
      </c>
      <c r="H40" s="2420" t="s">
        <v>1387</v>
      </c>
      <c r="I40" s="2416">
        <v>0</v>
      </c>
      <c r="J40" s="1470" t="s">
        <v>71</v>
      </c>
      <c r="K40" s="1460" t="s">
        <v>845</v>
      </c>
      <c r="L40" s="1467">
        <v>50</v>
      </c>
      <c r="M40" s="1467">
        <v>50</v>
      </c>
      <c r="N40" s="1461">
        <v>0</v>
      </c>
      <c r="O40" s="1460">
        <v>0</v>
      </c>
      <c r="P40" s="1463"/>
      <c r="Q40" s="1466"/>
      <c r="R40" s="1466">
        <v>33</v>
      </c>
      <c r="S40" s="1469"/>
      <c r="T40" s="1469"/>
      <c r="U40" s="1469">
        <f t="shared" si="3"/>
        <v>0</v>
      </c>
      <c r="V40" s="1469"/>
      <c r="W40" s="1459"/>
      <c r="X40" s="1459">
        <f t="shared" si="4"/>
        <v>1650</v>
      </c>
      <c r="Y40" s="1459"/>
      <c r="Z40" s="2341">
        <v>0</v>
      </c>
      <c r="AA40" s="1456"/>
    </row>
    <row r="41" spans="1:27">
      <c r="C41" s="1667"/>
      <c r="D41" s="2778"/>
      <c r="E41" s="1672"/>
      <c r="F41" s="1661">
        <f t="shared" si="6"/>
        <v>0</v>
      </c>
      <c r="H41" s="2420" t="s">
        <v>1388</v>
      </c>
      <c r="I41" s="2416">
        <v>0</v>
      </c>
      <c r="J41" s="1470" t="s">
        <v>71</v>
      </c>
      <c r="K41" s="1460" t="s">
        <v>845</v>
      </c>
      <c r="L41" s="1467">
        <v>30</v>
      </c>
      <c r="M41" s="1467">
        <v>30</v>
      </c>
      <c r="N41" s="1461">
        <v>0</v>
      </c>
      <c r="O41" s="1460">
        <v>0</v>
      </c>
      <c r="P41" s="1463"/>
      <c r="Q41" s="1466"/>
      <c r="R41" s="1466">
        <v>11</v>
      </c>
      <c r="S41" s="1469"/>
      <c r="T41" s="1469"/>
      <c r="U41" s="1469">
        <f t="shared" si="3"/>
        <v>0</v>
      </c>
      <c r="V41" s="1469"/>
      <c r="W41" s="1459"/>
      <c r="X41" s="1459">
        <f t="shared" si="4"/>
        <v>330</v>
      </c>
      <c r="Y41" s="1459"/>
      <c r="Z41" s="2341">
        <v>0</v>
      </c>
      <c r="AA41" s="1456"/>
    </row>
    <row r="42" spans="1:27">
      <c r="C42" s="1488"/>
      <c r="D42" s="2779"/>
      <c r="E42" s="1490"/>
      <c r="F42" s="1493"/>
      <c r="H42" s="2420" t="s">
        <v>1389</v>
      </c>
      <c r="I42" s="2416">
        <v>0</v>
      </c>
      <c r="J42" s="1470" t="s">
        <v>71</v>
      </c>
      <c r="K42" s="1460" t="s">
        <v>845</v>
      </c>
      <c r="L42" s="1467">
        <v>50</v>
      </c>
      <c r="M42" s="1467">
        <v>50</v>
      </c>
      <c r="N42" s="1461">
        <v>0</v>
      </c>
      <c r="O42" s="1460">
        <v>0</v>
      </c>
      <c r="P42" s="1463"/>
      <c r="Q42" s="1466"/>
      <c r="R42" s="1466">
        <v>5.5</v>
      </c>
      <c r="S42" s="1469"/>
      <c r="T42" s="1469"/>
      <c r="U42" s="1469">
        <f t="shared" si="3"/>
        <v>0</v>
      </c>
      <c r="V42" s="1469"/>
      <c r="W42" s="1459"/>
      <c r="X42" s="1459">
        <f t="shared" si="4"/>
        <v>275</v>
      </c>
      <c r="Y42" s="1459"/>
      <c r="Z42" s="2341">
        <v>0</v>
      </c>
      <c r="AA42" s="1456"/>
    </row>
    <row r="43" spans="1:27">
      <c r="C43" s="1597" t="s">
        <v>483</v>
      </c>
      <c r="D43" s="2771">
        <f>SUM(D44:D47)</f>
        <v>5225</v>
      </c>
      <c r="E43" s="1464">
        <f>SUM(E44:E47)</f>
        <v>5225</v>
      </c>
      <c r="F43" s="1638">
        <f>D43+E43</f>
        <v>10450</v>
      </c>
      <c r="H43" s="2420" t="s">
        <v>1390</v>
      </c>
      <c r="I43" s="2416">
        <v>32</v>
      </c>
      <c r="J43" s="1470" t="s">
        <v>71</v>
      </c>
      <c r="K43" s="1460" t="s">
        <v>845</v>
      </c>
      <c r="L43" s="1467">
        <v>210</v>
      </c>
      <c r="M43" s="1467">
        <v>150</v>
      </c>
      <c r="N43" s="1461">
        <v>1.6192096088524504E-4</v>
      </c>
      <c r="O43" s="1460">
        <v>7</v>
      </c>
      <c r="P43" s="1463" t="s">
        <v>997</v>
      </c>
      <c r="Q43" s="1466"/>
      <c r="R43" s="1466">
        <v>1.1000000000000001</v>
      </c>
      <c r="S43" s="1469"/>
      <c r="T43" s="1469"/>
      <c r="U43" s="1469">
        <f t="shared" si="3"/>
        <v>35.200000000000003</v>
      </c>
      <c r="V43" s="1469"/>
      <c r="W43" s="1459"/>
      <c r="X43" s="1459">
        <f t="shared" si="4"/>
        <v>165</v>
      </c>
      <c r="Y43" s="1459"/>
      <c r="Z43" s="2341">
        <v>951.67</v>
      </c>
      <c r="AA43" s="1456"/>
    </row>
    <row r="44" spans="1:27">
      <c r="C44" s="1667"/>
      <c r="D44" s="2778">
        <v>5000</v>
      </c>
      <c r="E44" s="1672">
        <v>5000</v>
      </c>
      <c r="F44" s="1661">
        <f t="shared" si="6"/>
        <v>10000</v>
      </c>
      <c r="H44" s="2420" t="s">
        <v>1391</v>
      </c>
      <c r="I44" s="2416">
        <v>20</v>
      </c>
      <c r="J44" s="1470" t="s">
        <v>71</v>
      </c>
      <c r="K44" s="1460" t="s">
        <v>845</v>
      </c>
      <c r="L44" s="1467">
        <v>61</v>
      </c>
      <c r="M44" s="1467">
        <v>60</v>
      </c>
      <c r="N44" s="1461">
        <v>1.0120060055327815E-4</v>
      </c>
      <c r="O44" s="1460">
        <v>7</v>
      </c>
      <c r="P44" s="1463" t="s">
        <v>997</v>
      </c>
      <c r="Q44" s="1466"/>
      <c r="R44" s="1466">
        <v>1.1000000000000001</v>
      </c>
      <c r="S44" s="1469"/>
      <c r="T44" s="1469"/>
      <c r="U44" s="1469">
        <f t="shared" si="3"/>
        <v>22</v>
      </c>
      <c r="V44" s="1469"/>
      <c r="W44" s="1459"/>
      <c r="X44" s="1459">
        <f t="shared" si="4"/>
        <v>66</v>
      </c>
      <c r="Y44" s="1459"/>
      <c r="Z44" s="2341">
        <v>276.94</v>
      </c>
      <c r="AA44" s="1456"/>
    </row>
    <row r="45" spans="1:27">
      <c r="C45" s="1667" t="s">
        <v>1362</v>
      </c>
      <c r="D45" s="2778">
        <v>225</v>
      </c>
      <c r="E45" s="1672">
        <v>225</v>
      </c>
      <c r="F45" s="1661">
        <f t="shared" si="6"/>
        <v>450</v>
      </c>
      <c r="H45" s="2420" t="s">
        <v>1392</v>
      </c>
      <c r="I45" s="2416">
        <v>12</v>
      </c>
      <c r="J45" s="1470" t="s">
        <v>71</v>
      </c>
      <c r="K45" s="1460" t="s">
        <v>845</v>
      </c>
      <c r="L45" s="1467">
        <v>33</v>
      </c>
      <c r="M45" s="1467">
        <v>30</v>
      </c>
      <c r="N45" s="1461">
        <v>3.6432216199180131E-3</v>
      </c>
      <c r="O45" s="1460">
        <v>7</v>
      </c>
      <c r="P45" s="1463" t="s">
        <v>997</v>
      </c>
      <c r="Q45" s="1466"/>
      <c r="R45" s="1466">
        <v>66</v>
      </c>
      <c r="S45" s="1469"/>
      <c r="T45" s="1469"/>
      <c r="U45" s="1469">
        <f t="shared" si="3"/>
        <v>792</v>
      </c>
      <c r="V45" s="1469"/>
      <c r="W45" s="1459"/>
      <c r="X45" s="1459">
        <f t="shared" si="4"/>
        <v>1980</v>
      </c>
      <c r="Y45" s="1459"/>
      <c r="Z45" s="2341">
        <v>147.51</v>
      </c>
      <c r="AA45" s="1456"/>
    </row>
    <row r="46" spans="1:27">
      <c r="C46" s="1667"/>
      <c r="D46" s="2778"/>
      <c r="E46" s="1672"/>
      <c r="F46" s="1661">
        <f t="shared" si="6"/>
        <v>0</v>
      </c>
      <c r="H46" s="2420" t="s">
        <v>1393</v>
      </c>
      <c r="I46" s="2416">
        <v>597</v>
      </c>
      <c r="J46" s="1470" t="s">
        <v>71</v>
      </c>
      <c r="K46" s="1460" t="s">
        <v>845</v>
      </c>
      <c r="L46" s="1467">
        <v>1644</v>
      </c>
      <c r="M46" s="1467">
        <v>800</v>
      </c>
      <c r="N46" s="1461">
        <v>3.0208379265153525E-2</v>
      </c>
      <c r="O46" s="1460">
        <v>7</v>
      </c>
      <c r="P46" s="1463" t="s">
        <v>997</v>
      </c>
      <c r="Q46" s="1466"/>
      <c r="R46" s="1466">
        <v>11</v>
      </c>
      <c r="S46" s="1469"/>
      <c r="T46" s="1469"/>
      <c r="U46" s="1469">
        <f t="shared" si="3"/>
        <v>6567</v>
      </c>
      <c r="V46" s="1469"/>
      <c r="W46" s="1459"/>
      <c r="X46" s="1459">
        <f t="shared" si="4"/>
        <v>8800</v>
      </c>
      <c r="Y46" s="1459"/>
      <c r="Z46" s="2341">
        <v>0</v>
      </c>
      <c r="AA46" s="1456"/>
    </row>
    <row r="47" spans="1:27">
      <c r="C47" s="1667"/>
      <c r="D47" s="2778"/>
      <c r="E47" s="1672"/>
      <c r="F47" s="1661">
        <f t="shared" si="6"/>
        <v>0</v>
      </c>
      <c r="H47" s="2420" t="s">
        <v>1394</v>
      </c>
      <c r="I47" s="2416">
        <v>597</v>
      </c>
      <c r="J47" s="1470" t="s">
        <v>71</v>
      </c>
      <c r="K47" s="1460" t="s">
        <v>845</v>
      </c>
      <c r="L47" s="1467">
        <v>3191</v>
      </c>
      <c r="M47" s="1467">
        <v>1500</v>
      </c>
      <c r="N47" s="1461">
        <v>1.2083351706061412E-2</v>
      </c>
      <c r="O47" s="1460">
        <v>15</v>
      </c>
      <c r="P47" s="1463" t="s">
        <v>997</v>
      </c>
      <c r="Q47" s="1466"/>
      <c r="R47" s="1466">
        <v>4.4000000000000004</v>
      </c>
      <c r="S47" s="1469"/>
      <c r="T47" s="1469"/>
      <c r="U47" s="1469">
        <f t="shared" si="3"/>
        <v>2626.8</v>
      </c>
      <c r="V47" s="1469"/>
      <c r="W47" s="1459"/>
      <c r="X47" s="1459">
        <f t="shared" ref="X47:X58" si="7">R47*M47</f>
        <v>6600.0000000000009</v>
      </c>
      <c r="Y47" s="1459"/>
      <c r="Z47" s="2341">
        <v>0</v>
      </c>
      <c r="AA47" s="1456"/>
    </row>
    <row r="48" spans="1:27">
      <c r="C48" s="1488"/>
      <c r="D48" s="2779"/>
      <c r="E48" s="1490"/>
      <c r="F48" s="1493"/>
      <c r="H48" s="2420" t="s">
        <v>1877</v>
      </c>
      <c r="I48" s="2416">
        <v>55000</v>
      </c>
      <c r="J48" s="1470" t="s">
        <v>71</v>
      </c>
      <c r="K48" s="1460" t="s">
        <v>991</v>
      </c>
      <c r="L48" s="1467">
        <v>0</v>
      </c>
      <c r="M48" s="1467">
        <v>0</v>
      </c>
      <c r="N48" s="1461">
        <v>0.13472209471749733</v>
      </c>
      <c r="O48" s="1460">
        <v>15</v>
      </c>
      <c r="P48" s="1463" t="s">
        <v>1252</v>
      </c>
      <c r="Q48" s="2027"/>
      <c r="R48" s="2027">
        <v>0.5</v>
      </c>
      <c r="S48" s="1469"/>
      <c r="T48" s="1469"/>
      <c r="U48" s="1469">
        <f t="shared" ref="U48" si="8">R48*I48</f>
        <v>27500</v>
      </c>
      <c r="V48" s="1469"/>
      <c r="W48" s="1459"/>
      <c r="X48" s="1459">
        <f t="shared" si="7"/>
        <v>0</v>
      </c>
      <c r="Y48" s="1459"/>
      <c r="Z48" s="1482">
        <v>0</v>
      </c>
      <c r="AA48" s="1456"/>
    </row>
    <row r="49" spans="1:27">
      <c r="C49" s="1597" t="s">
        <v>47</v>
      </c>
      <c r="D49" s="2771">
        <f>SUM(D50:D53)</f>
        <v>600</v>
      </c>
      <c r="E49" s="1464">
        <f>SUM(E50:E53)</f>
        <v>600</v>
      </c>
      <c r="F49" s="1638">
        <f>D49+E49</f>
        <v>1200</v>
      </c>
      <c r="H49" s="1460"/>
      <c r="I49" s="2205"/>
      <c r="J49" s="1470" t="s">
        <v>229</v>
      </c>
      <c r="K49" s="1460"/>
      <c r="L49" s="1467"/>
      <c r="M49" s="1467"/>
      <c r="N49" s="1461" t="s">
        <v>229</v>
      </c>
      <c r="O49" s="1460"/>
      <c r="P49" s="1463"/>
      <c r="Q49" s="1466"/>
      <c r="R49" s="1466"/>
      <c r="S49" s="1469"/>
      <c r="T49" s="1469" t="s">
        <v>229</v>
      </c>
      <c r="U49" s="1469">
        <f t="shared" ref="U49:U58" si="9">R49*I49</f>
        <v>0</v>
      </c>
      <c r="V49" s="1469"/>
      <c r="W49" s="1459" t="s">
        <v>229</v>
      </c>
      <c r="X49" s="1459">
        <f t="shared" si="7"/>
        <v>0</v>
      </c>
      <c r="Y49" s="1459" t="s">
        <v>229</v>
      </c>
      <c r="Z49" s="1482">
        <v>0</v>
      </c>
      <c r="AA49" s="1456"/>
    </row>
    <row r="50" spans="1:27">
      <c r="C50" s="1667"/>
      <c r="D50" s="2778">
        <v>600</v>
      </c>
      <c r="E50" s="1672">
        <v>600</v>
      </c>
      <c r="F50" s="1661">
        <f t="shared" ref="F50:F65" si="10">SUM(D50:E50)</f>
        <v>1200</v>
      </c>
      <c r="H50" s="1460" t="s">
        <v>1878</v>
      </c>
      <c r="I50" s="2205">
        <v>490</v>
      </c>
      <c r="J50" s="1470" t="s">
        <v>71</v>
      </c>
      <c r="K50" s="1460" t="s">
        <v>845</v>
      </c>
      <c r="L50" s="1467">
        <v>591</v>
      </c>
      <c r="M50" s="1467">
        <v>500</v>
      </c>
      <c r="N50" s="1461">
        <v>1.1806736731215784E-2</v>
      </c>
      <c r="O50" s="1460">
        <v>12</v>
      </c>
      <c r="P50" s="1463" t="s">
        <v>1252</v>
      </c>
      <c r="Q50" s="1466"/>
      <c r="R50" s="1466">
        <v>10</v>
      </c>
      <c r="S50" s="1469"/>
      <c r="T50" s="1469" t="s">
        <v>229</v>
      </c>
      <c r="U50" s="1469">
        <f t="shared" si="9"/>
        <v>4900</v>
      </c>
      <c r="V50" s="1469"/>
      <c r="W50" s="1459" t="s">
        <v>229</v>
      </c>
      <c r="X50" s="1459">
        <f t="shared" si="7"/>
        <v>5000</v>
      </c>
      <c r="Y50" s="1459" t="s">
        <v>229</v>
      </c>
      <c r="Z50" s="1482">
        <v>1357</v>
      </c>
      <c r="AA50" s="1456"/>
    </row>
    <row r="51" spans="1:27">
      <c r="C51" s="1667"/>
      <c r="D51" s="2778"/>
      <c r="E51" s="1672"/>
      <c r="F51" s="1661">
        <f t="shared" si="10"/>
        <v>0</v>
      </c>
      <c r="H51" s="1460" t="s">
        <v>1879</v>
      </c>
      <c r="I51" s="2205">
        <v>174</v>
      </c>
      <c r="J51" s="1470" t="s">
        <v>71</v>
      </c>
      <c r="K51" s="1460" t="s">
        <v>845</v>
      </c>
      <c r="L51" s="1467">
        <v>1438</v>
      </c>
      <c r="M51" s="1467">
        <v>900</v>
      </c>
      <c r="N51" s="1461">
        <v>2.0962981543179043E-3</v>
      </c>
      <c r="O51" s="1460">
        <v>12</v>
      </c>
      <c r="P51" s="1463" t="s">
        <v>1252</v>
      </c>
      <c r="Q51" s="1466"/>
      <c r="R51" s="1466">
        <v>5</v>
      </c>
      <c r="S51" s="1469"/>
      <c r="T51" s="1469" t="s">
        <v>229</v>
      </c>
      <c r="U51" s="1469">
        <f t="shared" si="9"/>
        <v>870</v>
      </c>
      <c r="V51" s="1469"/>
      <c r="W51" s="1459" t="s">
        <v>229</v>
      </c>
      <c r="X51" s="1459">
        <f t="shared" si="7"/>
        <v>4500</v>
      </c>
      <c r="Y51" s="1459" t="s">
        <v>229</v>
      </c>
      <c r="Z51" s="1482">
        <v>0</v>
      </c>
      <c r="AA51" s="1456"/>
    </row>
    <row r="52" spans="1:27">
      <c r="C52" s="1667"/>
      <c r="D52" s="2778"/>
      <c r="E52" s="1672"/>
      <c r="F52" s="1661">
        <f t="shared" si="10"/>
        <v>0</v>
      </c>
      <c r="H52" s="1460" t="s">
        <v>1880</v>
      </c>
      <c r="I52" s="2205">
        <v>261</v>
      </c>
      <c r="J52" s="1470" t="s">
        <v>71</v>
      </c>
      <c r="K52" s="1460" t="s">
        <v>845</v>
      </c>
      <c r="L52" s="1467">
        <v>2157</v>
      </c>
      <c r="M52" s="1467">
        <v>1300</v>
      </c>
      <c r="N52" s="1461">
        <v>6.2888944629537133E-3</v>
      </c>
      <c r="O52" s="1460">
        <v>12</v>
      </c>
      <c r="P52" s="1463" t="s">
        <v>1252</v>
      </c>
      <c r="Q52" s="1466"/>
      <c r="R52" s="1466">
        <v>10</v>
      </c>
      <c r="S52" s="1469"/>
      <c r="T52" s="1469" t="s">
        <v>229</v>
      </c>
      <c r="U52" s="1469">
        <f t="shared" si="9"/>
        <v>2610</v>
      </c>
      <c r="V52" s="1469"/>
      <c r="W52" s="1459" t="s">
        <v>229</v>
      </c>
      <c r="X52" s="1459">
        <f t="shared" si="7"/>
        <v>13000</v>
      </c>
      <c r="Y52" s="1459" t="s">
        <v>229</v>
      </c>
      <c r="Z52" s="1482">
        <v>0</v>
      </c>
      <c r="AA52" s="1456"/>
    </row>
    <row r="53" spans="1:27">
      <c r="C53" s="1667"/>
      <c r="D53" s="2778"/>
      <c r="E53" s="1672"/>
      <c r="F53" s="1661">
        <f t="shared" si="10"/>
        <v>0</v>
      </c>
      <c r="H53" s="1460" t="s">
        <v>1881</v>
      </c>
      <c r="I53" s="2205">
        <v>348</v>
      </c>
      <c r="J53" s="1470" t="s">
        <v>71</v>
      </c>
      <c r="K53" s="1460" t="s">
        <v>845</v>
      </c>
      <c r="L53" s="1467">
        <v>2876</v>
      </c>
      <c r="M53" s="1467">
        <v>1400</v>
      </c>
      <c r="N53" s="1461">
        <v>1.6770385234543234E-2</v>
      </c>
      <c r="O53" s="1460">
        <v>12</v>
      </c>
      <c r="P53" s="1463" t="s">
        <v>1252</v>
      </c>
      <c r="Q53" s="1466"/>
      <c r="R53" s="1466">
        <v>20</v>
      </c>
      <c r="S53" s="1469"/>
      <c r="T53" s="1469" t="s">
        <v>229</v>
      </c>
      <c r="U53" s="1469">
        <f t="shared" si="9"/>
        <v>6960</v>
      </c>
      <c r="V53" s="1469"/>
      <c r="W53" s="1459" t="s">
        <v>229</v>
      </c>
      <c r="X53" s="1459">
        <f t="shared" si="7"/>
        <v>28000</v>
      </c>
      <c r="Y53" s="1459" t="s">
        <v>229</v>
      </c>
      <c r="Z53" s="1482">
        <v>0</v>
      </c>
      <c r="AA53" s="1456"/>
    </row>
    <row r="54" spans="1:27">
      <c r="C54" s="1488"/>
      <c r="D54" s="2779"/>
      <c r="E54" s="1490"/>
      <c r="F54" s="1493"/>
      <c r="H54" s="1460" t="s">
        <v>1882</v>
      </c>
      <c r="I54" s="2205">
        <v>435</v>
      </c>
      <c r="J54" s="1470" t="s">
        <v>71</v>
      </c>
      <c r="K54" s="1460" t="s">
        <v>845</v>
      </c>
      <c r="L54" s="1467">
        <v>3494</v>
      </c>
      <c r="M54" s="1467">
        <v>1500</v>
      </c>
      <c r="N54" s="1461">
        <v>1.0481490771589523E-2</v>
      </c>
      <c r="O54" s="1460">
        <v>12</v>
      </c>
      <c r="P54" s="1463" t="s">
        <v>1252</v>
      </c>
      <c r="Q54" s="1466"/>
      <c r="R54" s="1466">
        <v>10</v>
      </c>
      <c r="S54" s="1469"/>
      <c r="T54" s="1469" t="s">
        <v>229</v>
      </c>
      <c r="U54" s="1469">
        <f t="shared" si="9"/>
        <v>4350</v>
      </c>
      <c r="V54" s="1469"/>
      <c r="W54" s="1459" t="s">
        <v>229</v>
      </c>
      <c r="X54" s="1459">
        <f t="shared" si="7"/>
        <v>15000</v>
      </c>
      <c r="Y54" s="1459" t="s">
        <v>229</v>
      </c>
      <c r="Z54" s="1482">
        <v>0</v>
      </c>
      <c r="AA54" s="1456"/>
    </row>
    <row r="55" spans="1:27">
      <c r="C55" s="1597" t="s">
        <v>48</v>
      </c>
      <c r="D55" s="2771">
        <f>SUM(D56:D59)</f>
        <v>240</v>
      </c>
      <c r="E55" s="1464">
        <f>SUM(E56:E59)</f>
        <v>240</v>
      </c>
      <c r="F55" s="1638">
        <f>D55+E55</f>
        <v>480</v>
      </c>
      <c r="H55" s="1460" t="s">
        <v>1883</v>
      </c>
      <c r="I55" s="2205">
        <v>522</v>
      </c>
      <c r="J55" s="1470" t="s">
        <v>71</v>
      </c>
      <c r="K55" s="1460" t="s">
        <v>845</v>
      </c>
      <c r="L55" s="1467">
        <v>4314</v>
      </c>
      <c r="M55" s="1467">
        <v>1600</v>
      </c>
      <c r="N55" s="1461">
        <v>6.2888944629537133E-3</v>
      </c>
      <c r="O55" s="1460">
        <v>12</v>
      </c>
      <c r="P55" s="1463" t="s">
        <v>1252</v>
      </c>
      <c r="Q55" s="1466"/>
      <c r="R55" s="1466">
        <v>5</v>
      </c>
      <c r="S55" s="1469"/>
      <c r="T55" s="1469" t="s">
        <v>229</v>
      </c>
      <c r="U55" s="1469">
        <f t="shared" si="9"/>
        <v>2610</v>
      </c>
      <c r="V55" s="1469"/>
      <c r="W55" s="1459" t="s">
        <v>229</v>
      </c>
      <c r="X55" s="1459">
        <f t="shared" si="7"/>
        <v>8000</v>
      </c>
      <c r="Y55" s="1459" t="s">
        <v>229</v>
      </c>
      <c r="Z55" s="1482">
        <v>0</v>
      </c>
      <c r="AA55" s="1456"/>
    </row>
    <row r="56" spans="1:27">
      <c r="C56" s="1667"/>
      <c r="D56" s="2778">
        <v>240</v>
      </c>
      <c r="E56" s="1641">
        <v>240</v>
      </c>
      <c r="F56" s="1661">
        <f t="shared" si="10"/>
        <v>480</v>
      </c>
      <c r="H56" s="1460" t="s">
        <v>1884</v>
      </c>
      <c r="I56" s="2205">
        <v>1120</v>
      </c>
      <c r="J56" s="1470" t="s">
        <v>71</v>
      </c>
      <c r="K56" s="1460" t="s">
        <v>845</v>
      </c>
      <c r="L56" s="1467">
        <v>3361</v>
      </c>
      <c r="M56" s="1467">
        <v>3000</v>
      </c>
      <c r="N56" s="1461">
        <v>2.1589461451366004E-2</v>
      </c>
      <c r="O56" s="1460">
        <v>12</v>
      </c>
      <c r="P56" s="1463" t="s">
        <v>1252</v>
      </c>
      <c r="Q56" s="1466"/>
      <c r="R56" s="1466">
        <v>8</v>
      </c>
      <c r="S56" s="1469"/>
      <c r="T56" s="1469" t="s">
        <v>229</v>
      </c>
      <c r="U56" s="1469">
        <f t="shared" si="9"/>
        <v>8960</v>
      </c>
      <c r="V56" s="1469"/>
      <c r="W56" s="1459" t="s">
        <v>229</v>
      </c>
      <c r="X56" s="1459">
        <f t="shared" si="7"/>
        <v>24000</v>
      </c>
      <c r="Y56" s="1459" t="s">
        <v>229</v>
      </c>
      <c r="Z56" s="1482">
        <v>0</v>
      </c>
      <c r="AA56" s="1456"/>
    </row>
    <row r="57" spans="1:27">
      <c r="C57" s="1667"/>
      <c r="D57" s="2778"/>
      <c r="E57" s="1641"/>
      <c r="F57" s="1661">
        <f t="shared" si="10"/>
        <v>0</v>
      </c>
      <c r="H57" s="1460" t="s">
        <v>1885</v>
      </c>
      <c r="I57" s="2205">
        <v>1573</v>
      </c>
      <c r="J57" s="1470" t="s">
        <v>71</v>
      </c>
      <c r="K57" s="1460" t="s">
        <v>845</v>
      </c>
      <c r="L57" s="1467">
        <v>7890</v>
      </c>
      <c r="M57" s="1467">
        <v>7000</v>
      </c>
      <c r="N57" s="1461">
        <v>1.8951017222655537E-2</v>
      </c>
      <c r="O57" s="1460">
        <v>12</v>
      </c>
      <c r="P57" s="1463" t="s">
        <v>1252</v>
      </c>
      <c r="Q57" s="1466"/>
      <c r="R57" s="1466">
        <v>5</v>
      </c>
      <c r="S57" s="1469"/>
      <c r="T57" s="1469" t="s">
        <v>229</v>
      </c>
      <c r="U57" s="1469">
        <f t="shared" si="9"/>
        <v>7865</v>
      </c>
      <c r="V57" s="1469"/>
      <c r="W57" s="1459" t="s">
        <v>229</v>
      </c>
      <c r="X57" s="1459">
        <f t="shared" si="7"/>
        <v>35000</v>
      </c>
      <c r="Y57" s="1459" t="s">
        <v>229</v>
      </c>
      <c r="Z57" s="1482">
        <v>0</v>
      </c>
      <c r="AA57" s="1456"/>
    </row>
    <row r="58" spans="1:27">
      <c r="C58" s="1667"/>
      <c r="D58" s="2778"/>
      <c r="E58" s="1641"/>
      <c r="F58" s="1661">
        <f t="shared" si="10"/>
        <v>0</v>
      </c>
      <c r="H58" s="1460" t="s">
        <v>1886</v>
      </c>
      <c r="I58" s="2205">
        <v>1034</v>
      </c>
      <c r="J58" s="1470" t="s">
        <v>71</v>
      </c>
      <c r="K58" s="1460" t="s">
        <v>845</v>
      </c>
      <c r="L58" s="1467">
        <v>1817</v>
      </c>
      <c r="M58" s="1467">
        <v>1500</v>
      </c>
      <c r="N58" s="1461">
        <v>2.4914624040973714E-2</v>
      </c>
      <c r="O58" s="1460">
        <v>12</v>
      </c>
      <c r="P58" s="1463" t="s">
        <v>1252</v>
      </c>
      <c r="Q58" s="1466"/>
      <c r="R58" s="1466">
        <v>10</v>
      </c>
      <c r="S58" s="1469"/>
      <c r="T58" s="1469" t="s">
        <v>229</v>
      </c>
      <c r="U58" s="1469">
        <f t="shared" si="9"/>
        <v>10340</v>
      </c>
      <c r="V58" s="1469"/>
      <c r="W58" s="1459" t="s">
        <v>229</v>
      </c>
      <c r="X58" s="1459">
        <f t="shared" si="7"/>
        <v>15000</v>
      </c>
      <c r="Y58" s="1459" t="s">
        <v>229</v>
      </c>
      <c r="Z58" s="1482">
        <v>0</v>
      </c>
      <c r="AA58" s="1456"/>
    </row>
    <row r="59" spans="1:27">
      <c r="C59" s="1667"/>
      <c r="D59" s="2778"/>
      <c r="E59" s="1641"/>
      <c r="F59" s="1661">
        <f t="shared" si="10"/>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10"/>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10"/>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642</v>
      </c>
      <c r="C64" s="1667"/>
      <c r="D64" s="2778"/>
      <c r="E64" s="1672"/>
      <c r="F64" s="1437">
        <f t="shared" si="10"/>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643</v>
      </c>
      <c r="C65" s="1667"/>
      <c r="D65" s="2778"/>
      <c r="E65" s="1672"/>
      <c r="F65" s="1661">
        <f t="shared" si="10"/>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262</v>
      </c>
      <c r="C66" s="1488"/>
      <c r="D66" s="2779"/>
      <c r="E66" s="1490"/>
      <c r="F66" s="1493"/>
    </row>
    <row r="67" spans="1:27">
      <c r="A67" s="2143" t="s">
        <v>5</v>
      </c>
      <c r="C67" s="1597" t="s">
        <v>50</v>
      </c>
      <c r="D67" s="2771">
        <f>W15</f>
        <v>0</v>
      </c>
      <c r="E67" s="1464">
        <f>X15</f>
        <v>366102</v>
      </c>
      <c r="F67" s="1638">
        <f>D67+E67</f>
        <v>366102</v>
      </c>
    </row>
    <row r="68" spans="1:27">
      <c r="A68" s="2143">
        <v>18231027</v>
      </c>
      <c r="C68" s="1500" t="s">
        <v>297</v>
      </c>
      <c r="D68" s="2781"/>
      <c r="E68" s="1496"/>
      <c r="F68" s="1499"/>
    </row>
    <row r="69" spans="1:27">
      <c r="A69" s="1663" t="s">
        <v>28</v>
      </c>
      <c r="C69" s="1501"/>
      <c r="D69" s="2782"/>
      <c r="E69" s="1497"/>
      <c r="F69" s="1498"/>
    </row>
    <row r="70" spans="1:27">
      <c r="A70" s="1663"/>
      <c r="C70" s="1494" t="s">
        <v>51</v>
      </c>
      <c r="D70" s="2778">
        <v>0</v>
      </c>
      <c r="E70" s="1671">
        <v>0</v>
      </c>
      <c r="F70" s="1491">
        <v>0</v>
      </c>
    </row>
    <row r="73" spans="1:27">
      <c r="H73" s="3003" t="s">
        <v>1751</v>
      </c>
    </row>
    <row r="74" spans="1:27">
      <c r="H74" s="3562" t="s">
        <v>300</v>
      </c>
      <c r="I74" s="3562"/>
      <c r="J74" s="3562"/>
      <c r="K74" s="3562"/>
      <c r="L74" s="3562"/>
      <c r="M74" s="3562"/>
      <c r="N74" s="3562"/>
      <c r="O74" s="3562"/>
      <c r="P74" s="3562"/>
      <c r="Q74" s="1465"/>
      <c r="R74" s="1465"/>
      <c r="S74" s="1465"/>
      <c r="T74" s="1465"/>
      <c r="U74" s="1465"/>
      <c r="V74" s="1465"/>
      <c r="W74" s="3191" t="s">
        <v>300</v>
      </c>
      <c r="X74" s="1465"/>
      <c r="Y74" s="1465"/>
      <c r="Z74" s="3191" t="s">
        <v>300</v>
      </c>
      <c r="AA74" s="1465"/>
    </row>
    <row r="75" spans="1:27">
      <c r="H75" s="1456"/>
      <c r="I75" s="1457"/>
      <c r="J75" s="1457"/>
      <c r="K75" s="1456"/>
      <c r="L75" s="1456"/>
      <c r="M75" s="1456"/>
      <c r="N75" s="1456"/>
      <c r="O75" s="1456"/>
      <c r="P75" s="1456"/>
      <c r="Q75" s="1456"/>
      <c r="R75" s="1456"/>
      <c r="S75" s="1456"/>
      <c r="T75" s="1456"/>
      <c r="U75" s="1456"/>
      <c r="V75" s="1456"/>
      <c r="W75" s="1456"/>
      <c r="X75" s="1456"/>
      <c r="Y75" s="1456"/>
      <c r="Z75" s="1456"/>
      <c r="AA75" s="1456"/>
    </row>
    <row r="76" spans="1:27">
      <c r="H76" s="3563" t="s">
        <v>301</v>
      </c>
      <c r="I76" s="3563"/>
      <c r="J76" s="3563"/>
      <c r="K76" s="3563"/>
      <c r="L76" s="3563"/>
      <c r="M76" s="3563"/>
      <c r="N76" s="3563"/>
      <c r="O76" s="3563"/>
      <c r="P76" s="3563"/>
      <c r="Q76" s="3565" t="s">
        <v>40</v>
      </c>
      <c r="R76" s="3565"/>
      <c r="S76" s="3565"/>
      <c r="T76" s="3574" t="s">
        <v>41</v>
      </c>
      <c r="U76" s="3574"/>
      <c r="V76" s="3574"/>
      <c r="W76" s="3564" t="s">
        <v>52</v>
      </c>
      <c r="X76" s="3564"/>
      <c r="Y76" s="3564"/>
      <c r="Z76" s="3567" t="s">
        <v>1728</v>
      </c>
      <c r="AA76" s="1456"/>
    </row>
    <row r="77" spans="1:27">
      <c r="H77" s="1471" t="s">
        <v>302</v>
      </c>
      <c r="I77" s="1471" t="s">
        <v>228</v>
      </c>
      <c r="J77" s="1471" t="s">
        <v>303</v>
      </c>
      <c r="K77" s="1471" t="s">
        <v>304</v>
      </c>
      <c r="L77" s="1471" t="s">
        <v>53</v>
      </c>
      <c r="M77" s="1471" t="s">
        <v>54</v>
      </c>
      <c r="N77" s="1471" t="s">
        <v>305</v>
      </c>
      <c r="O77" s="1471" t="s">
        <v>55</v>
      </c>
      <c r="P77" s="1471" t="s">
        <v>56</v>
      </c>
      <c r="Q77" s="1472">
        <v>2016</v>
      </c>
      <c r="R77" s="1472">
        <v>2017</v>
      </c>
      <c r="S77" s="1472" t="s">
        <v>306</v>
      </c>
      <c r="T77" s="1473">
        <v>2016</v>
      </c>
      <c r="U77" s="1473">
        <v>2017</v>
      </c>
      <c r="V77" s="1473" t="s">
        <v>306</v>
      </c>
      <c r="W77" s="1474">
        <v>2016</v>
      </c>
      <c r="X77" s="1474">
        <v>2017</v>
      </c>
      <c r="Y77" s="1474" t="s">
        <v>306</v>
      </c>
      <c r="Z77" s="3567"/>
      <c r="AA77" s="1456"/>
    </row>
    <row r="78" spans="1:27">
      <c r="H78" s="1458" t="s">
        <v>307</v>
      </c>
      <c r="I78" s="1458" t="s">
        <v>307</v>
      </c>
      <c r="J78" s="1471"/>
      <c r="K78" s="1458" t="s">
        <v>307</v>
      </c>
      <c r="L78" s="1458" t="s">
        <v>307</v>
      </c>
      <c r="M78" s="1458" t="s">
        <v>307</v>
      </c>
      <c r="N78" s="1458" t="s">
        <v>307</v>
      </c>
      <c r="O78" s="1458" t="s">
        <v>307</v>
      </c>
      <c r="P78" s="1458" t="s">
        <v>307</v>
      </c>
      <c r="Q78" s="1458" t="s">
        <v>307</v>
      </c>
      <c r="R78" s="1458" t="s">
        <v>307</v>
      </c>
      <c r="S78" s="1472"/>
      <c r="T78" s="1473"/>
      <c r="U78" s="1473"/>
      <c r="V78" s="1473"/>
      <c r="W78" s="1474"/>
      <c r="X78" s="1474"/>
      <c r="Y78" s="1474"/>
      <c r="Z78" s="1458" t="s">
        <v>307</v>
      </c>
      <c r="AA78" s="1456"/>
    </row>
    <row r="79" spans="1:27">
      <c r="H79" s="1475" t="s">
        <v>308</v>
      </c>
      <c r="I79" s="1476"/>
      <c r="J79" s="1476"/>
      <c r="K79" s="1477"/>
      <c r="L79" s="1478">
        <f>SUMPRODUCT(L80:L229,S80:S229)</f>
        <v>944777.4</v>
      </c>
      <c r="M79" s="1478">
        <f>SUM(M80:M229)</f>
        <v>191263</v>
      </c>
      <c r="N79" s="1479" t="s">
        <v>229</v>
      </c>
      <c r="O79" s="1477">
        <v>10</v>
      </c>
      <c r="P79" s="1477"/>
      <c r="Q79" s="1477"/>
      <c r="R79" s="1477"/>
      <c r="S79" s="1477"/>
      <c r="T79" s="1480">
        <f>SUM(T80:T129)</f>
        <v>208526</v>
      </c>
      <c r="U79" s="1480">
        <f t="shared" ref="U79:X79" si="11">SUM(U80:U129)</f>
        <v>226537.4</v>
      </c>
      <c r="V79" s="1480">
        <f t="shared" si="11"/>
        <v>435063.39999999991</v>
      </c>
      <c r="W79" s="1478">
        <f t="shared" si="11"/>
        <v>328661.5</v>
      </c>
      <c r="X79" s="1478">
        <f t="shared" si="11"/>
        <v>353198.5</v>
      </c>
      <c r="Y79" s="1478">
        <f>SUM(Y80:Y129)</f>
        <v>681860</v>
      </c>
      <c r="Z79" s="1481">
        <v>0</v>
      </c>
      <c r="AA79" s="1456"/>
    </row>
    <row r="80" spans="1:27">
      <c r="H80" s="2420" t="s">
        <v>1363</v>
      </c>
      <c r="I80" s="2416">
        <v>630</v>
      </c>
      <c r="J80" s="1470" t="s">
        <v>71</v>
      </c>
      <c r="K80" s="1460" t="s">
        <v>845</v>
      </c>
      <c r="L80" s="1467">
        <v>1017</v>
      </c>
      <c r="M80" s="1467">
        <v>500</v>
      </c>
      <c r="N80" s="1461">
        <v>0.34977847363336556</v>
      </c>
      <c r="O80" s="1460">
        <v>8</v>
      </c>
      <c r="P80" s="1463" t="s">
        <v>1252</v>
      </c>
      <c r="Q80" s="1466">
        <v>100</v>
      </c>
      <c r="R80" s="1466">
        <v>110</v>
      </c>
      <c r="S80" s="1469">
        <f>SUM(Q80:R80)</f>
        <v>210</v>
      </c>
      <c r="T80" s="1469">
        <f>Q80*I80</f>
        <v>63000</v>
      </c>
      <c r="U80" s="1469">
        <f>R80*I80</f>
        <v>69300</v>
      </c>
      <c r="V80" s="1469">
        <f>SUM(T80:U80)</f>
        <v>132300</v>
      </c>
      <c r="W80" s="1459">
        <f>Q80*M80</f>
        <v>50000</v>
      </c>
      <c r="X80" s="1459">
        <f>R80*M80</f>
        <v>55000</v>
      </c>
      <c r="Y80" s="1459">
        <f>SUM(W80:X80)</f>
        <v>105000</v>
      </c>
      <c r="Z80" s="2341">
        <v>0</v>
      </c>
      <c r="AA80" s="1456"/>
    </row>
    <row r="81" spans="5:27">
      <c r="H81" s="2420" t="s">
        <v>1364</v>
      </c>
      <c r="I81" s="2416">
        <v>1256</v>
      </c>
      <c r="J81" s="1470" t="s">
        <v>71</v>
      </c>
      <c r="K81" s="1460" t="s">
        <v>845</v>
      </c>
      <c r="L81" s="1467">
        <v>284</v>
      </c>
      <c r="M81" s="1467">
        <v>250</v>
      </c>
      <c r="N81" s="1461">
        <v>1.3946722631222449E-2</v>
      </c>
      <c r="O81" s="1460">
        <v>9</v>
      </c>
      <c r="P81" s="1463" t="s">
        <v>1252</v>
      </c>
      <c r="Q81" s="1466">
        <v>2</v>
      </c>
      <c r="R81" s="1466">
        <v>2.2000000000000002</v>
      </c>
      <c r="S81" s="1469">
        <f t="shared" ref="S81:S88" si="12">SUM(Q81:R81)</f>
        <v>4.2</v>
      </c>
      <c r="T81" s="1469">
        <f t="shared" ref="T81:T112" si="13">Q81*I81</f>
        <v>2512</v>
      </c>
      <c r="U81" s="1469">
        <f t="shared" ref="U81:U112" si="14">R81*I81</f>
        <v>2763.2000000000003</v>
      </c>
      <c r="V81" s="1469">
        <f t="shared" ref="V81:V88" si="15">SUM(T81:U81)</f>
        <v>5275.2000000000007</v>
      </c>
      <c r="W81" s="1459">
        <f t="shared" ref="W81:W112" si="16">Q81*M81</f>
        <v>500</v>
      </c>
      <c r="X81" s="1459">
        <f t="shared" ref="X81:X112" si="17">R81*M81</f>
        <v>550</v>
      </c>
      <c r="Y81" s="1459">
        <f t="shared" ref="Y81:Y88" si="18">SUM(W81:X81)</f>
        <v>1050</v>
      </c>
      <c r="Z81" s="2341">
        <v>0</v>
      </c>
      <c r="AA81" s="1456"/>
    </row>
    <row r="82" spans="5:27">
      <c r="H82" s="2420" t="s">
        <v>1365</v>
      </c>
      <c r="I82" s="2416">
        <v>1675</v>
      </c>
      <c r="J82" s="1470" t="s">
        <v>71</v>
      </c>
      <c r="K82" s="1460" t="s">
        <v>845</v>
      </c>
      <c r="L82" s="1467">
        <v>378</v>
      </c>
      <c r="M82" s="1467">
        <v>250</v>
      </c>
      <c r="N82" s="1461">
        <v>9.2996657672363078E-3</v>
      </c>
      <c r="O82" s="1460">
        <v>9</v>
      </c>
      <c r="P82" s="1463" t="s">
        <v>1252</v>
      </c>
      <c r="Q82" s="1466">
        <v>1</v>
      </c>
      <c r="R82" s="1466">
        <v>1.1000000000000001</v>
      </c>
      <c r="S82" s="1469">
        <f t="shared" si="12"/>
        <v>2.1</v>
      </c>
      <c r="T82" s="1469">
        <f t="shared" si="13"/>
        <v>1675</v>
      </c>
      <c r="U82" s="1469">
        <f t="shared" si="14"/>
        <v>1842.5000000000002</v>
      </c>
      <c r="V82" s="1469">
        <f t="shared" si="15"/>
        <v>3517.5</v>
      </c>
      <c r="W82" s="1459">
        <f t="shared" si="16"/>
        <v>250</v>
      </c>
      <c r="X82" s="1459">
        <f t="shared" si="17"/>
        <v>275</v>
      </c>
      <c r="Y82" s="1459">
        <f t="shared" si="18"/>
        <v>525</v>
      </c>
      <c r="Z82" s="2341">
        <v>0</v>
      </c>
      <c r="AA82" s="1456"/>
    </row>
    <row r="83" spans="5:27">
      <c r="H83" s="2420" t="s">
        <v>1366</v>
      </c>
      <c r="I83" s="2416">
        <v>2093</v>
      </c>
      <c r="J83" s="1470" t="s">
        <v>71</v>
      </c>
      <c r="K83" s="1460" t="s">
        <v>845</v>
      </c>
      <c r="L83" s="1467">
        <v>473</v>
      </c>
      <c r="M83" s="1467">
        <v>250</v>
      </c>
      <c r="N83" s="1461">
        <v>1.1620418179597367E-2</v>
      </c>
      <c r="O83" s="1460">
        <v>9</v>
      </c>
      <c r="P83" s="1463" t="s">
        <v>1252</v>
      </c>
      <c r="Q83" s="1466">
        <v>1</v>
      </c>
      <c r="R83" s="1466">
        <v>1.1000000000000001</v>
      </c>
      <c r="S83" s="1469">
        <f t="shared" si="12"/>
        <v>2.1</v>
      </c>
      <c r="T83" s="1469">
        <f t="shared" si="13"/>
        <v>2093</v>
      </c>
      <c r="U83" s="1469">
        <f t="shared" si="14"/>
        <v>2302.3000000000002</v>
      </c>
      <c r="V83" s="1469">
        <f t="shared" si="15"/>
        <v>4395.3</v>
      </c>
      <c r="W83" s="1459">
        <f t="shared" si="16"/>
        <v>250</v>
      </c>
      <c r="X83" s="1459">
        <f t="shared" si="17"/>
        <v>275</v>
      </c>
      <c r="Y83" s="1459">
        <f t="shared" si="18"/>
        <v>525</v>
      </c>
      <c r="Z83" s="2341">
        <v>0</v>
      </c>
      <c r="AA83" s="1456"/>
    </row>
    <row r="84" spans="5:27">
      <c r="E84" s="1652"/>
      <c r="H84" s="2420" t="s">
        <v>1367</v>
      </c>
      <c r="I84" s="2416">
        <v>2512</v>
      </c>
      <c r="J84" s="1470" t="s">
        <v>71</v>
      </c>
      <c r="K84" s="1460" t="s">
        <v>845</v>
      </c>
      <c r="L84" s="1467">
        <v>567</v>
      </c>
      <c r="M84" s="1467">
        <v>500</v>
      </c>
      <c r="N84" s="1461">
        <v>6.9733613156112248E-2</v>
      </c>
      <c r="O84" s="1460">
        <v>9</v>
      </c>
      <c r="P84" s="1463" t="s">
        <v>1252</v>
      </c>
      <c r="Q84" s="1466">
        <v>5</v>
      </c>
      <c r="R84" s="1466">
        <v>5.5</v>
      </c>
      <c r="S84" s="1469">
        <f t="shared" si="12"/>
        <v>10.5</v>
      </c>
      <c r="T84" s="1469">
        <f t="shared" si="13"/>
        <v>12560</v>
      </c>
      <c r="U84" s="1469">
        <f t="shared" si="14"/>
        <v>13816</v>
      </c>
      <c r="V84" s="1469">
        <f t="shared" si="15"/>
        <v>26376</v>
      </c>
      <c r="W84" s="1459">
        <f t="shared" si="16"/>
        <v>2500</v>
      </c>
      <c r="X84" s="1459">
        <f t="shared" si="17"/>
        <v>2750</v>
      </c>
      <c r="Y84" s="1459">
        <f t="shared" si="18"/>
        <v>5250</v>
      </c>
      <c r="Z84" s="2341">
        <v>0</v>
      </c>
      <c r="AA84" s="1456"/>
    </row>
    <row r="85" spans="5:27">
      <c r="E85" s="1652"/>
      <c r="H85" s="2420" t="s">
        <v>1368</v>
      </c>
      <c r="I85" s="2416">
        <v>4187</v>
      </c>
      <c r="J85" s="1470" t="s">
        <v>71</v>
      </c>
      <c r="K85" s="1460" t="s">
        <v>845</v>
      </c>
      <c r="L85" s="1467">
        <v>946</v>
      </c>
      <c r="M85" s="1467">
        <v>500</v>
      </c>
      <c r="N85" s="1461">
        <v>4.6492776796917518E-2</v>
      </c>
      <c r="O85" s="1460">
        <v>9</v>
      </c>
      <c r="P85" s="1463" t="s">
        <v>1252</v>
      </c>
      <c r="Q85" s="1466">
        <v>2</v>
      </c>
      <c r="R85" s="1466">
        <v>2.2000000000000002</v>
      </c>
      <c r="S85" s="1469">
        <f t="shared" si="12"/>
        <v>4.2</v>
      </c>
      <c r="T85" s="1469">
        <f t="shared" si="13"/>
        <v>8374</v>
      </c>
      <c r="U85" s="1469">
        <f t="shared" si="14"/>
        <v>9211.4000000000015</v>
      </c>
      <c r="V85" s="1469">
        <f t="shared" si="15"/>
        <v>17585.400000000001</v>
      </c>
      <c r="W85" s="1459">
        <f t="shared" si="16"/>
        <v>1000</v>
      </c>
      <c r="X85" s="1459">
        <f t="shared" si="17"/>
        <v>1100</v>
      </c>
      <c r="Y85" s="1459">
        <f t="shared" si="18"/>
        <v>2100</v>
      </c>
      <c r="Z85" s="2341">
        <v>0</v>
      </c>
      <c r="AA85" s="1456"/>
    </row>
    <row r="86" spans="5:27">
      <c r="E86" s="1652"/>
      <c r="H86" s="2420" t="s">
        <v>1369</v>
      </c>
      <c r="I86" s="2416">
        <v>357</v>
      </c>
      <c r="J86" s="1470" t="s">
        <v>71</v>
      </c>
      <c r="K86" s="1460" t="s">
        <v>845</v>
      </c>
      <c r="L86" s="1467">
        <v>1177</v>
      </c>
      <c r="M86" s="1467">
        <v>1000</v>
      </c>
      <c r="N86" s="1461">
        <v>4.9551950431393453E-2</v>
      </c>
      <c r="O86" s="1460">
        <v>12</v>
      </c>
      <c r="P86" s="1463" t="s">
        <v>1252</v>
      </c>
      <c r="Q86" s="1466">
        <v>25</v>
      </c>
      <c r="R86" s="1466">
        <v>27.5</v>
      </c>
      <c r="S86" s="1469">
        <f t="shared" si="12"/>
        <v>52.5</v>
      </c>
      <c r="T86" s="1469">
        <f t="shared" si="13"/>
        <v>8925</v>
      </c>
      <c r="U86" s="1469">
        <f t="shared" si="14"/>
        <v>9817.5</v>
      </c>
      <c r="V86" s="1469">
        <f t="shared" si="15"/>
        <v>18742.5</v>
      </c>
      <c r="W86" s="1459">
        <f t="shared" si="16"/>
        <v>25000</v>
      </c>
      <c r="X86" s="1459">
        <f t="shared" si="17"/>
        <v>27500</v>
      </c>
      <c r="Y86" s="1459">
        <f t="shared" si="18"/>
        <v>52500</v>
      </c>
      <c r="Z86" s="2341">
        <v>0</v>
      </c>
      <c r="AA86" s="1456"/>
    </row>
    <row r="87" spans="5:27">
      <c r="E87" s="1652"/>
      <c r="H87" s="2420" t="s">
        <v>1370</v>
      </c>
      <c r="I87" s="2416">
        <v>714</v>
      </c>
      <c r="J87" s="1470" t="s">
        <v>71</v>
      </c>
      <c r="K87" s="1460" t="s">
        <v>845</v>
      </c>
      <c r="L87" s="1467">
        <v>2354</v>
      </c>
      <c r="M87" s="1467">
        <v>2000</v>
      </c>
      <c r="N87" s="1461">
        <v>9.9103900862786906E-2</v>
      </c>
      <c r="O87" s="1460">
        <v>12</v>
      </c>
      <c r="P87" s="1463" t="s">
        <v>1252</v>
      </c>
      <c r="Q87" s="1466">
        <v>25</v>
      </c>
      <c r="R87" s="1466">
        <v>27.5</v>
      </c>
      <c r="S87" s="1469">
        <f t="shared" si="12"/>
        <v>52.5</v>
      </c>
      <c r="T87" s="1469">
        <f t="shared" si="13"/>
        <v>17850</v>
      </c>
      <c r="U87" s="1469">
        <f t="shared" si="14"/>
        <v>19635</v>
      </c>
      <c r="V87" s="1469">
        <f t="shared" si="15"/>
        <v>37485</v>
      </c>
      <c r="W87" s="1459">
        <f t="shared" si="16"/>
        <v>50000</v>
      </c>
      <c r="X87" s="1459">
        <f t="shared" si="17"/>
        <v>55000</v>
      </c>
      <c r="Y87" s="1459">
        <f t="shared" si="18"/>
        <v>105000</v>
      </c>
      <c r="Z87" s="2341">
        <v>0</v>
      </c>
      <c r="AA87" s="1456"/>
    </row>
    <row r="88" spans="5:27">
      <c r="E88" s="1652"/>
      <c r="H88" s="2420" t="s">
        <v>1371</v>
      </c>
      <c r="I88" s="2416">
        <v>798</v>
      </c>
      <c r="J88" s="1470" t="s">
        <v>71</v>
      </c>
      <c r="K88" s="1460" t="s">
        <v>845</v>
      </c>
      <c r="L88" s="1467">
        <v>3588</v>
      </c>
      <c r="M88" s="1467">
        <v>2000</v>
      </c>
      <c r="N88" s="1461">
        <v>4.430527332689297E-2</v>
      </c>
      <c r="O88" s="1460">
        <v>12</v>
      </c>
      <c r="P88" s="1463" t="s">
        <v>1252</v>
      </c>
      <c r="Q88" s="1466">
        <v>10</v>
      </c>
      <c r="R88" s="1466">
        <v>11</v>
      </c>
      <c r="S88" s="1469">
        <f t="shared" si="12"/>
        <v>21</v>
      </c>
      <c r="T88" s="1469">
        <f t="shared" si="13"/>
        <v>7980</v>
      </c>
      <c r="U88" s="1469">
        <f t="shared" si="14"/>
        <v>8778</v>
      </c>
      <c r="V88" s="1469">
        <f t="shared" si="15"/>
        <v>16758</v>
      </c>
      <c r="W88" s="1459">
        <f t="shared" si="16"/>
        <v>20000</v>
      </c>
      <c r="X88" s="1459">
        <f t="shared" si="17"/>
        <v>22000</v>
      </c>
      <c r="Y88" s="1459">
        <f t="shared" si="18"/>
        <v>42000</v>
      </c>
      <c r="Z88" s="2341">
        <v>0</v>
      </c>
      <c r="AA88" s="1456"/>
    </row>
    <row r="89" spans="5:27">
      <c r="E89" s="1652"/>
      <c r="H89" s="2420" t="s">
        <v>1372</v>
      </c>
      <c r="I89" s="2416">
        <v>2100</v>
      </c>
      <c r="J89" s="1470" t="s">
        <v>71</v>
      </c>
      <c r="K89" s="1460" t="s">
        <v>845</v>
      </c>
      <c r="L89" s="1467">
        <v>4128</v>
      </c>
      <c r="M89" s="1467">
        <v>2000</v>
      </c>
      <c r="N89" s="1461">
        <v>5.8296412272227593E-2</v>
      </c>
      <c r="O89" s="1460">
        <v>12</v>
      </c>
      <c r="P89" s="1463" t="s">
        <v>1252</v>
      </c>
      <c r="Q89" s="1466">
        <v>5</v>
      </c>
      <c r="R89" s="1466">
        <v>5.5</v>
      </c>
      <c r="S89" s="1469">
        <f t="shared" ref="S89:S112" si="19">SUM(Q89:R89)</f>
        <v>10.5</v>
      </c>
      <c r="T89" s="1469">
        <f t="shared" si="13"/>
        <v>10500</v>
      </c>
      <c r="U89" s="1469">
        <f t="shared" si="14"/>
        <v>11550</v>
      </c>
      <c r="V89" s="1469">
        <f t="shared" ref="V89:V111" si="20">SUM(T89:U89)</f>
        <v>22050</v>
      </c>
      <c r="W89" s="1459">
        <f t="shared" si="16"/>
        <v>10000</v>
      </c>
      <c r="X89" s="1459">
        <f t="shared" si="17"/>
        <v>11000</v>
      </c>
      <c r="Y89" s="1459">
        <f t="shared" ref="Y89:Y111" si="21">SUM(W89:X89)</f>
        <v>21000</v>
      </c>
      <c r="Z89" s="2341">
        <v>0</v>
      </c>
      <c r="AA89" s="1456"/>
    </row>
    <row r="90" spans="5:27">
      <c r="E90" s="1652"/>
      <c r="H90" s="2420" t="s">
        <v>1373</v>
      </c>
      <c r="I90" s="2416">
        <v>884</v>
      </c>
      <c r="J90" s="1470" t="s">
        <v>71</v>
      </c>
      <c r="K90" s="1460" t="s">
        <v>845</v>
      </c>
      <c r="L90" s="1467">
        <v>4731</v>
      </c>
      <c r="M90" s="1467">
        <v>2000</v>
      </c>
      <c r="N90" s="1461">
        <v>9.8160054187903228E-3</v>
      </c>
      <c r="O90" s="1460">
        <v>12</v>
      </c>
      <c r="P90" s="1463" t="s">
        <v>1252</v>
      </c>
      <c r="Q90" s="1466">
        <v>2</v>
      </c>
      <c r="R90" s="1466">
        <v>2.2000000000000002</v>
      </c>
      <c r="S90" s="1469">
        <f t="shared" si="19"/>
        <v>4.2</v>
      </c>
      <c r="T90" s="1469">
        <f t="shared" si="13"/>
        <v>1768</v>
      </c>
      <c r="U90" s="1469">
        <f t="shared" si="14"/>
        <v>1944.8000000000002</v>
      </c>
      <c r="V90" s="1469">
        <f t="shared" si="20"/>
        <v>3712.8</v>
      </c>
      <c r="W90" s="1459">
        <f t="shared" si="16"/>
        <v>4000</v>
      </c>
      <c r="X90" s="1459">
        <f t="shared" si="17"/>
        <v>4400</v>
      </c>
      <c r="Y90" s="1459">
        <f t="shared" si="21"/>
        <v>8400</v>
      </c>
      <c r="Z90" s="2341">
        <v>0</v>
      </c>
      <c r="AA90" s="1456"/>
    </row>
    <row r="91" spans="5:27">
      <c r="E91" s="1652"/>
      <c r="H91" s="2420" t="s">
        <v>1374</v>
      </c>
      <c r="I91" s="2416">
        <v>1768</v>
      </c>
      <c r="J91" s="1470" t="s">
        <v>71</v>
      </c>
      <c r="K91" s="1460" t="s">
        <v>845</v>
      </c>
      <c r="L91" s="1467">
        <v>9462</v>
      </c>
      <c r="M91" s="1467">
        <v>4000</v>
      </c>
      <c r="N91" s="1461">
        <v>9.8160054187903217E-2</v>
      </c>
      <c r="O91" s="1460">
        <v>12</v>
      </c>
      <c r="P91" s="1463" t="s">
        <v>1252</v>
      </c>
      <c r="Q91" s="1466">
        <v>10</v>
      </c>
      <c r="R91" s="1466">
        <v>11</v>
      </c>
      <c r="S91" s="1469">
        <f t="shared" si="19"/>
        <v>21</v>
      </c>
      <c r="T91" s="1469">
        <f t="shared" si="13"/>
        <v>17680</v>
      </c>
      <c r="U91" s="1469">
        <f t="shared" si="14"/>
        <v>19448</v>
      </c>
      <c r="V91" s="1469">
        <f t="shared" si="20"/>
        <v>37128</v>
      </c>
      <c r="W91" s="1459">
        <f t="shared" si="16"/>
        <v>40000</v>
      </c>
      <c r="X91" s="1459">
        <f t="shared" si="17"/>
        <v>44000</v>
      </c>
      <c r="Y91" s="1459">
        <f t="shared" si="21"/>
        <v>84000</v>
      </c>
      <c r="Z91" s="2341">
        <v>0</v>
      </c>
      <c r="AA91" s="1456"/>
    </row>
    <row r="92" spans="5:27">
      <c r="E92" s="1652"/>
      <c r="H92" s="2420" t="s">
        <v>1375</v>
      </c>
      <c r="I92" s="2416">
        <v>105</v>
      </c>
      <c r="J92" s="1470" t="s">
        <v>71</v>
      </c>
      <c r="K92" s="1460" t="s">
        <v>845</v>
      </c>
      <c r="L92" s="1467">
        <v>232</v>
      </c>
      <c r="M92" s="1467">
        <v>150</v>
      </c>
      <c r="N92" s="1461">
        <v>2.3318564908891039E-3</v>
      </c>
      <c r="O92" s="1460">
        <v>10</v>
      </c>
      <c r="P92" s="1463" t="s">
        <v>997</v>
      </c>
      <c r="Q92" s="1466">
        <v>4</v>
      </c>
      <c r="R92" s="1466">
        <v>4.4000000000000004</v>
      </c>
      <c r="S92" s="1469">
        <f t="shared" si="19"/>
        <v>8.4</v>
      </c>
      <c r="T92" s="1469">
        <f t="shared" si="13"/>
        <v>420</v>
      </c>
      <c r="U92" s="1469">
        <f t="shared" si="14"/>
        <v>462.00000000000006</v>
      </c>
      <c r="V92" s="1469">
        <f t="shared" si="20"/>
        <v>882</v>
      </c>
      <c r="W92" s="1459">
        <f t="shared" si="16"/>
        <v>600</v>
      </c>
      <c r="X92" s="1459">
        <f t="shared" si="17"/>
        <v>660</v>
      </c>
      <c r="Y92" s="1459">
        <f t="shared" si="21"/>
        <v>1260</v>
      </c>
      <c r="Z92" s="2341">
        <v>0</v>
      </c>
      <c r="AA92" s="1456"/>
    </row>
    <row r="93" spans="5:27">
      <c r="E93" s="1652"/>
      <c r="H93" s="2420" t="s">
        <v>1376</v>
      </c>
      <c r="I93" s="2416">
        <v>45</v>
      </c>
      <c r="J93" s="1470" t="s">
        <v>71</v>
      </c>
      <c r="K93" s="1460" t="s">
        <v>845</v>
      </c>
      <c r="L93" s="1467">
        <v>40</v>
      </c>
      <c r="M93" s="1467">
        <v>0</v>
      </c>
      <c r="N93" s="1461">
        <v>9.9936706752390175E-4</v>
      </c>
      <c r="O93" s="1460">
        <v>10</v>
      </c>
      <c r="P93" s="1463" t="s">
        <v>997</v>
      </c>
      <c r="Q93" s="1466">
        <v>4</v>
      </c>
      <c r="R93" s="1466">
        <v>4.4000000000000004</v>
      </c>
      <c r="S93" s="1469">
        <f t="shared" si="19"/>
        <v>8.4</v>
      </c>
      <c r="T93" s="1469">
        <f t="shared" si="13"/>
        <v>180</v>
      </c>
      <c r="U93" s="1469">
        <f t="shared" si="14"/>
        <v>198.00000000000003</v>
      </c>
      <c r="V93" s="1469">
        <f t="shared" si="20"/>
        <v>378</v>
      </c>
      <c r="W93" s="1459">
        <f t="shared" si="16"/>
        <v>0</v>
      </c>
      <c r="X93" s="1459">
        <f t="shared" si="17"/>
        <v>0</v>
      </c>
      <c r="Y93" s="1459">
        <f t="shared" si="21"/>
        <v>0</v>
      </c>
      <c r="Z93" s="2341">
        <v>0</v>
      </c>
      <c r="AA93" s="1456"/>
    </row>
    <row r="94" spans="5:27">
      <c r="E94" s="1652"/>
      <c r="H94" s="2420" t="s">
        <v>1377</v>
      </c>
      <c r="I94" s="2416">
        <v>666</v>
      </c>
      <c r="J94" s="1470" t="s">
        <v>71</v>
      </c>
      <c r="K94" s="1460" t="s">
        <v>845</v>
      </c>
      <c r="L94" s="1467">
        <v>2659</v>
      </c>
      <c r="M94" s="1467">
        <v>750</v>
      </c>
      <c r="N94" s="1461">
        <v>3.6976581498384359E-3</v>
      </c>
      <c r="O94" s="1460">
        <v>15</v>
      </c>
      <c r="P94" s="1463" t="s">
        <v>997</v>
      </c>
      <c r="Q94" s="1466">
        <v>1</v>
      </c>
      <c r="R94" s="1466">
        <v>1.1000000000000001</v>
      </c>
      <c r="S94" s="1469">
        <f t="shared" si="19"/>
        <v>2.1</v>
      </c>
      <c r="T94" s="1469">
        <f t="shared" si="13"/>
        <v>666</v>
      </c>
      <c r="U94" s="1469">
        <f t="shared" si="14"/>
        <v>732.6</v>
      </c>
      <c r="V94" s="1469">
        <f t="shared" si="20"/>
        <v>1398.6</v>
      </c>
      <c r="W94" s="1459">
        <f t="shared" si="16"/>
        <v>750</v>
      </c>
      <c r="X94" s="1459">
        <f t="shared" si="17"/>
        <v>825.00000000000011</v>
      </c>
      <c r="Y94" s="1459">
        <f t="shared" si="21"/>
        <v>1575</v>
      </c>
      <c r="Z94" s="2341">
        <v>0</v>
      </c>
      <c r="AA94" s="1456"/>
    </row>
    <row r="95" spans="5:27">
      <c r="E95" s="1652"/>
      <c r="H95" s="2420" t="s">
        <v>1378</v>
      </c>
      <c r="I95" s="2416">
        <v>290</v>
      </c>
      <c r="J95" s="1470" t="s">
        <v>71</v>
      </c>
      <c r="K95" s="1460" t="s">
        <v>845</v>
      </c>
      <c r="L95" s="1467">
        <v>846</v>
      </c>
      <c r="M95" s="1467">
        <v>250</v>
      </c>
      <c r="N95" s="1461">
        <v>1.6100913865662858E-3</v>
      </c>
      <c r="O95" s="1460">
        <v>15</v>
      </c>
      <c r="P95" s="1463" t="s">
        <v>997</v>
      </c>
      <c r="Q95" s="1466">
        <v>1</v>
      </c>
      <c r="R95" s="1466">
        <v>1.1000000000000001</v>
      </c>
      <c r="S95" s="1469">
        <f t="shared" si="19"/>
        <v>2.1</v>
      </c>
      <c r="T95" s="1469">
        <f t="shared" si="13"/>
        <v>290</v>
      </c>
      <c r="U95" s="1469">
        <f t="shared" si="14"/>
        <v>319</v>
      </c>
      <c r="V95" s="1469">
        <f t="shared" si="20"/>
        <v>609</v>
      </c>
      <c r="W95" s="1459">
        <f t="shared" si="16"/>
        <v>250</v>
      </c>
      <c r="X95" s="1459">
        <f t="shared" si="17"/>
        <v>275</v>
      </c>
      <c r="Y95" s="1459">
        <f t="shared" si="21"/>
        <v>525</v>
      </c>
      <c r="Z95" s="2341">
        <v>0</v>
      </c>
      <c r="AA95" s="1456"/>
    </row>
    <row r="96" spans="5:27">
      <c r="E96" s="1652"/>
      <c r="H96" s="2420" t="s">
        <v>1379</v>
      </c>
      <c r="I96" s="2416">
        <v>538</v>
      </c>
      <c r="J96" s="1470" t="s">
        <v>71</v>
      </c>
      <c r="K96" s="1460" t="s">
        <v>845</v>
      </c>
      <c r="L96" s="1467">
        <v>5385</v>
      </c>
      <c r="M96" s="1467">
        <v>1000</v>
      </c>
      <c r="N96" s="1461">
        <v>5.9739942480873231E-3</v>
      </c>
      <c r="O96" s="1460">
        <v>20</v>
      </c>
      <c r="P96" s="1463" t="s">
        <v>997</v>
      </c>
      <c r="Q96" s="1466">
        <v>2</v>
      </c>
      <c r="R96" s="1466">
        <v>2.2000000000000002</v>
      </c>
      <c r="S96" s="1469">
        <f t="shared" si="19"/>
        <v>4.2</v>
      </c>
      <c r="T96" s="1469">
        <f t="shared" si="13"/>
        <v>1076</v>
      </c>
      <c r="U96" s="1469">
        <f t="shared" si="14"/>
        <v>1183.6000000000001</v>
      </c>
      <c r="V96" s="1469">
        <f t="shared" si="20"/>
        <v>2259.6000000000004</v>
      </c>
      <c r="W96" s="1459">
        <f t="shared" si="16"/>
        <v>2000</v>
      </c>
      <c r="X96" s="1459">
        <f t="shared" si="17"/>
        <v>2200</v>
      </c>
      <c r="Y96" s="1459">
        <f t="shared" si="21"/>
        <v>4200</v>
      </c>
      <c r="Z96" s="2341">
        <v>9438</v>
      </c>
      <c r="AA96" s="1456"/>
    </row>
    <row r="97" spans="5:27">
      <c r="E97" s="1652"/>
      <c r="H97" s="2420" t="s">
        <v>1380</v>
      </c>
      <c r="I97" s="2416">
        <v>176</v>
      </c>
      <c r="J97" s="1470" t="s">
        <v>71</v>
      </c>
      <c r="K97" s="1460" t="s">
        <v>845</v>
      </c>
      <c r="L97" s="1467">
        <v>1436</v>
      </c>
      <c r="M97" s="1467">
        <v>250</v>
      </c>
      <c r="N97" s="1461">
        <v>2.9314767314034445E-3</v>
      </c>
      <c r="O97" s="1460">
        <v>20</v>
      </c>
      <c r="P97" s="1463" t="s">
        <v>997</v>
      </c>
      <c r="Q97" s="1466">
        <v>3</v>
      </c>
      <c r="R97" s="1466">
        <v>3.3</v>
      </c>
      <c r="S97" s="1469">
        <f t="shared" si="19"/>
        <v>6.3</v>
      </c>
      <c r="T97" s="1469">
        <f t="shared" si="13"/>
        <v>528</v>
      </c>
      <c r="U97" s="1469">
        <f t="shared" si="14"/>
        <v>580.79999999999995</v>
      </c>
      <c r="V97" s="1469">
        <f t="shared" si="20"/>
        <v>1108.8</v>
      </c>
      <c r="W97" s="1459">
        <f t="shared" si="16"/>
        <v>750</v>
      </c>
      <c r="X97" s="1459">
        <f t="shared" si="17"/>
        <v>825</v>
      </c>
      <c r="Y97" s="1459">
        <f t="shared" si="21"/>
        <v>1575</v>
      </c>
      <c r="Z97" s="2341">
        <v>823</v>
      </c>
      <c r="AA97" s="1456"/>
    </row>
    <row r="98" spans="5:27">
      <c r="E98" s="1652"/>
      <c r="H98" s="2456" t="s">
        <v>1381</v>
      </c>
      <c r="I98" s="2416">
        <v>776</v>
      </c>
      <c r="J98" s="1470" t="s">
        <v>71</v>
      </c>
      <c r="K98" s="1460" t="s">
        <v>845</v>
      </c>
      <c r="L98" s="1467">
        <v>3394</v>
      </c>
      <c r="M98" s="1467">
        <v>1500</v>
      </c>
      <c r="N98" s="1461">
        <v>4.3083824688808199E-3</v>
      </c>
      <c r="O98" s="1460">
        <v>20</v>
      </c>
      <c r="P98" s="1463" t="s">
        <v>997</v>
      </c>
      <c r="Q98" s="1466">
        <v>1</v>
      </c>
      <c r="R98" s="1466">
        <v>1.1000000000000001</v>
      </c>
      <c r="S98" s="1469">
        <f t="shared" si="19"/>
        <v>2.1</v>
      </c>
      <c r="T98" s="1469">
        <f t="shared" si="13"/>
        <v>776</v>
      </c>
      <c r="U98" s="1469">
        <f t="shared" si="14"/>
        <v>853.6</v>
      </c>
      <c r="V98" s="1469">
        <f t="shared" si="20"/>
        <v>1629.6</v>
      </c>
      <c r="W98" s="1459">
        <f t="shared" si="16"/>
        <v>1500</v>
      </c>
      <c r="X98" s="1459">
        <f t="shared" si="17"/>
        <v>1650.0000000000002</v>
      </c>
      <c r="Y98" s="1459">
        <f t="shared" si="21"/>
        <v>3150</v>
      </c>
      <c r="Z98" s="2341">
        <v>0</v>
      </c>
      <c r="AA98" s="1456"/>
    </row>
    <row r="99" spans="5:27">
      <c r="E99" s="1652"/>
      <c r="H99" s="2420" t="s">
        <v>1382</v>
      </c>
      <c r="I99" s="2416">
        <v>667</v>
      </c>
      <c r="J99" s="1470" t="s">
        <v>71</v>
      </c>
      <c r="K99" s="1460" t="s">
        <v>845</v>
      </c>
      <c r="L99" s="1467">
        <v>1082</v>
      </c>
      <c r="M99" s="1467">
        <v>500</v>
      </c>
      <c r="N99" s="1461">
        <v>1.1109630567307372E-2</v>
      </c>
      <c r="O99" s="1460">
        <v>20</v>
      </c>
      <c r="P99" s="1463" t="s">
        <v>997</v>
      </c>
      <c r="Q99" s="1466">
        <v>3</v>
      </c>
      <c r="R99" s="1466">
        <v>3.3</v>
      </c>
      <c r="S99" s="1469">
        <f t="shared" si="19"/>
        <v>6.3</v>
      </c>
      <c r="T99" s="1469">
        <f t="shared" si="13"/>
        <v>2001</v>
      </c>
      <c r="U99" s="1469">
        <f t="shared" si="14"/>
        <v>2201.1</v>
      </c>
      <c r="V99" s="1469">
        <f t="shared" si="20"/>
        <v>4202.1000000000004</v>
      </c>
      <c r="W99" s="1459">
        <f t="shared" si="16"/>
        <v>1500</v>
      </c>
      <c r="X99" s="1459">
        <f t="shared" si="17"/>
        <v>1650</v>
      </c>
      <c r="Y99" s="1459">
        <f t="shared" si="21"/>
        <v>3150</v>
      </c>
      <c r="Z99" s="2341">
        <v>0</v>
      </c>
      <c r="AA99" s="1456"/>
    </row>
    <row r="100" spans="5:27">
      <c r="E100" s="1652"/>
      <c r="H100" s="2420" t="s">
        <v>1383</v>
      </c>
      <c r="I100" s="2416">
        <v>613</v>
      </c>
      <c r="J100" s="1470" t="s">
        <v>71</v>
      </c>
      <c r="K100" s="1460" t="s">
        <v>845</v>
      </c>
      <c r="L100" s="1467">
        <v>1644</v>
      </c>
      <c r="M100" s="1467">
        <v>800</v>
      </c>
      <c r="N100" s="1461">
        <v>3.4034000688452873E-2</v>
      </c>
      <c r="O100" s="1460">
        <v>7</v>
      </c>
      <c r="P100" s="1463" t="s">
        <v>997</v>
      </c>
      <c r="Q100" s="1466">
        <v>10</v>
      </c>
      <c r="R100" s="1466">
        <v>11</v>
      </c>
      <c r="S100" s="1469">
        <f t="shared" si="19"/>
        <v>21</v>
      </c>
      <c r="T100" s="1469">
        <f t="shared" si="13"/>
        <v>6130</v>
      </c>
      <c r="U100" s="1469">
        <f t="shared" si="14"/>
        <v>6743</v>
      </c>
      <c r="V100" s="1469">
        <f t="shared" si="20"/>
        <v>12873</v>
      </c>
      <c r="W100" s="1459">
        <f t="shared" si="16"/>
        <v>8000</v>
      </c>
      <c r="X100" s="1459">
        <f t="shared" si="17"/>
        <v>8800</v>
      </c>
      <c r="Y100" s="1459">
        <f t="shared" si="21"/>
        <v>16800</v>
      </c>
      <c r="Z100" s="2341">
        <v>0</v>
      </c>
      <c r="AA100" s="1456"/>
    </row>
    <row r="101" spans="5:27">
      <c r="E101" s="1652"/>
      <c r="H101" s="2420" t="s">
        <v>1384</v>
      </c>
      <c r="I101" s="2416">
        <v>800</v>
      </c>
      <c r="J101" s="1470" t="s">
        <v>71</v>
      </c>
      <c r="K101" s="1460" t="s">
        <v>845</v>
      </c>
      <c r="L101" s="1467">
        <v>3191</v>
      </c>
      <c r="M101" s="1467">
        <v>1500</v>
      </c>
      <c r="N101" s="1461">
        <v>2.22081570560867E-2</v>
      </c>
      <c r="O101" s="1460">
        <v>15</v>
      </c>
      <c r="P101" s="1463" t="s">
        <v>997</v>
      </c>
      <c r="Q101" s="1466">
        <v>5</v>
      </c>
      <c r="R101" s="1466">
        <v>5.5</v>
      </c>
      <c r="S101" s="1469">
        <f t="shared" si="19"/>
        <v>10.5</v>
      </c>
      <c r="T101" s="1469">
        <f t="shared" si="13"/>
        <v>4000</v>
      </c>
      <c r="U101" s="1469">
        <f t="shared" si="14"/>
        <v>4400</v>
      </c>
      <c r="V101" s="1469">
        <f t="shared" si="20"/>
        <v>8400</v>
      </c>
      <c r="W101" s="1459">
        <f t="shared" si="16"/>
        <v>7500</v>
      </c>
      <c r="X101" s="1459">
        <f t="shared" si="17"/>
        <v>8250</v>
      </c>
      <c r="Y101" s="1459">
        <f t="shared" si="21"/>
        <v>15750</v>
      </c>
      <c r="Z101" s="2341">
        <v>0</v>
      </c>
      <c r="AA101" s="1456"/>
    </row>
    <row r="102" spans="5:27">
      <c r="E102" s="1652"/>
      <c r="H102" s="2420" t="s">
        <v>1385</v>
      </c>
      <c r="I102" s="2416">
        <v>0</v>
      </c>
      <c r="J102" s="1470" t="s">
        <v>71</v>
      </c>
      <c r="K102" s="1460" t="s">
        <v>845</v>
      </c>
      <c r="L102" s="1467">
        <v>30</v>
      </c>
      <c r="M102" s="1467">
        <v>30</v>
      </c>
      <c r="N102" s="1461">
        <v>0</v>
      </c>
      <c r="O102" s="1460">
        <v>0</v>
      </c>
      <c r="P102" s="1463"/>
      <c r="Q102" s="1466">
        <v>30</v>
      </c>
      <c r="R102" s="1466">
        <v>33</v>
      </c>
      <c r="S102" s="1469">
        <f t="shared" si="19"/>
        <v>63</v>
      </c>
      <c r="T102" s="1469">
        <f t="shared" si="13"/>
        <v>0</v>
      </c>
      <c r="U102" s="1469">
        <f t="shared" si="14"/>
        <v>0</v>
      </c>
      <c r="V102" s="1469">
        <f t="shared" si="20"/>
        <v>0</v>
      </c>
      <c r="W102" s="1459">
        <f t="shared" si="16"/>
        <v>900</v>
      </c>
      <c r="X102" s="1459">
        <f t="shared" si="17"/>
        <v>990</v>
      </c>
      <c r="Y102" s="1459">
        <f t="shared" si="21"/>
        <v>1890</v>
      </c>
      <c r="Z102" s="2341">
        <v>0</v>
      </c>
      <c r="AA102" s="1456"/>
    </row>
    <row r="103" spans="5:27">
      <c r="E103" s="1652"/>
      <c r="H103" s="2420" t="s">
        <v>1386</v>
      </c>
      <c r="I103" s="2416">
        <v>0</v>
      </c>
      <c r="J103" s="1470" t="s">
        <v>71</v>
      </c>
      <c r="K103" s="1460" t="s">
        <v>845</v>
      </c>
      <c r="L103" s="1467">
        <v>30</v>
      </c>
      <c r="M103" s="1467">
        <v>30</v>
      </c>
      <c r="N103" s="1461">
        <v>0</v>
      </c>
      <c r="O103" s="1460">
        <v>0</v>
      </c>
      <c r="P103" s="1463"/>
      <c r="Q103" s="1466">
        <v>2</v>
      </c>
      <c r="R103" s="1466">
        <v>2.2000000000000002</v>
      </c>
      <c r="S103" s="1469">
        <f t="shared" si="19"/>
        <v>4.2</v>
      </c>
      <c r="T103" s="1469">
        <f t="shared" si="13"/>
        <v>0</v>
      </c>
      <c r="U103" s="1469">
        <f t="shared" si="14"/>
        <v>0</v>
      </c>
      <c r="V103" s="1469">
        <f t="shared" si="20"/>
        <v>0</v>
      </c>
      <c r="W103" s="1459">
        <f t="shared" si="16"/>
        <v>60</v>
      </c>
      <c r="X103" s="1459">
        <f t="shared" si="17"/>
        <v>66</v>
      </c>
      <c r="Y103" s="1459">
        <f t="shared" si="21"/>
        <v>126</v>
      </c>
      <c r="Z103" s="2341">
        <v>0</v>
      </c>
      <c r="AA103" s="1456"/>
    </row>
    <row r="104" spans="5:27">
      <c r="E104" s="1652"/>
      <c r="H104" s="2420" t="s">
        <v>1387</v>
      </c>
      <c r="I104" s="2416">
        <v>0</v>
      </c>
      <c r="J104" s="1470" t="s">
        <v>71</v>
      </c>
      <c r="K104" s="1460" t="s">
        <v>845</v>
      </c>
      <c r="L104" s="1467">
        <v>50</v>
      </c>
      <c r="M104" s="1467">
        <v>50</v>
      </c>
      <c r="N104" s="1461">
        <v>0</v>
      </c>
      <c r="O104" s="1460">
        <v>0</v>
      </c>
      <c r="P104" s="1463"/>
      <c r="Q104" s="1466">
        <v>30</v>
      </c>
      <c r="R104" s="1466">
        <v>33</v>
      </c>
      <c r="S104" s="1469">
        <f t="shared" si="19"/>
        <v>63</v>
      </c>
      <c r="T104" s="1469">
        <f t="shared" si="13"/>
        <v>0</v>
      </c>
      <c r="U104" s="1469">
        <f t="shared" si="14"/>
        <v>0</v>
      </c>
      <c r="V104" s="1469">
        <f t="shared" si="20"/>
        <v>0</v>
      </c>
      <c r="W104" s="1459">
        <f t="shared" si="16"/>
        <v>1500</v>
      </c>
      <c r="X104" s="1459">
        <f t="shared" si="17"/>
        <v>1650</v>
      </c>
      <c r="Y104" s="1459">
        <f t="shared" si="21"/>
        <v>3150</v>
      </c>
      <c r="Z104" s="2341">
        <v>0</v>
      </c>
      <c r="AA104" s="1456"/>
    </row>
    <row r="105" spans="5:27">
      <c r="E105" s="1652"/>
      <c r="H105" s="2420" t="s">
        <v>1388</v>
      </c>
      <c r="I105" s="2416">
        <v>0</v>
      </c>
      <c r="J105" s="1470" t="s">
        <v>71</v>
      </c>
      <c r="K105" s="1460" t="s">
        <v>845</v>
      </c>
      <c r="L105" s="1467">
        <v>30</v>
      </c>
      <c r="M105" s="1467">
        <v>30</v>
      </c>
      <c r="N105" s="1461">
        <v>0</v>
      </c>
      <c r="O105" s="1460">
        <v>0</v>
      </c>
      <c r="P105" s="1463"/>
      <c r="Q105" s="1466">
        <v>10</v>
      </c>
      <c r="R105" s="1466">
        <v>11</v>
      </c>
      <c r="S105" s="1469">
        <f t="shared" si="19"/>
        <v>21</v>
      </c>
      <c r="T105" s="1469">
        <f t="shared" si="13"/>
        <v>0</v>
      </c>
      <c r="U105" s="1469">
        <f t="shared" si="14"/>
        <v>0</v>
      </c>
      <c r="V105" s="1469">
        <f t="shared" si="20"/>
        <v>0</v>
      </c>
      <c r="W105" s="1459">
        <f t="shared" si="16"/>
        <v>300</v>
      </c>
      <c r="X105" s="1459">
        <f t="shared" si="17"/>
        <v>330</v>
      </c>
      <c r="Y105" s="1459">
        <f t="shared" si="21"/>
        <v>630</v>
      </c>
      <c r="Z105" s="2341">
        <v>0</v>
      </c>
      <c r="AA105" s="1456"/>
    </row>
    <row r="106" spans="5:27">
      <c r="E106" s="1652"/>
      <c r="H106" s="2420" t="s">
        <v>1389</v>
      </c>
      <c r="I106" s="2416">
        <v>0</v>
      </c>
      <c r="J106" s="1470" t="s">
        <v>71</v>
      </c>
      <c r="K106" s="1460" t="s">
        <v>845</v>
      </c>
      <c r="L106" s="1467">
        <v>50</v>
      </c>
      <c r="M106" s="1467">
        <v>50</v>
      </c>
      <c r="N106" s="1461">
        <v>0</v>
      </c>
      <c r="O106" s="1460">
        <v>0</v>
      </c>
      <c r="P106" s="1463"/>
      <c r="Q106" s="1466">
        <v>5</v>
      </c>
      <c r="R106" s="1466">
        <v>5.5</v>
      </c>
      <c r="S106" s="1469">
        <f t="shared" si="19"/>
        <v>10.5</v>
      </c>
      <c r="T106" s="1469">
        <f t="shared" si="13"/>
        <v>0</v>
      </c>
      <c r="U106" s="1469">
        <f t="shared" si="14"/>
        <v>0</v>
      </c>
      <c r="V106" s="1469">
        <f t="shared" si="20"/>
        <v>0</v>
      </c>
      <c r="W106" s="1459">
        <f t="shared" si="16"/>
        <v>250</v>
      </c>
      <c r="X106" s="1459">
        <f t="shared" si="17"/>
        <v>275</v>
      </c>
      <c r="Y106" s="1459">
        <f t="shared" si="21"/>
        <v>525</v>
      </c>
      <c r="Z106" s="2341">
        <v>0</v>
      </c>
      <c r="AA106" s="1456"/>
    </row>
    <row r="107" spans="5:27">
      <c r="E107" s="1652"/>
      <c r="H107" s="2420" t="s">
        <v>1390</v>
      </c>
      <c r="I107" s="2416">
        <v>32</v>
      </c>
      <c r="J107" s="1470" t="s">
        <v>71</v>
      </c>
      <c r="K107" s="1460" t="s">
        <v>845</v>
      </c>
      <c r="L107" s="1467">
        <v>210</v>
      </c>
      <c r="M107" s="1467">
        <v>150</v>
      </c>
      <c r="N107" s="1461">
        <v>1.7766525644869363E-4</v>
      </c>
      <c r="O107" s="1460">
        <v>7</v>
      </c>
      <c r="P107" s="1463" t="s">
        <v>997</v>
      </c>
      <c r="Q107" s="1466">
        <v>1</v>
      </c>
      <c r="R107" s="1466">
        <v>1.1000000000000001</v>
      </c>
      <c r="S107" s="1469">
        <f t="shared" si="19"/>
        <v>2.1</v>
      </c>
      <c r="T107" s="1469">
        <f t="shared" si="13"/>
        <v>32</v>
      </c>
      <c r="U107" s="1469">
        <f t="shared" si="14"/>
        <v>35.200000000000003</v>
      </c>
      <c r="V107" s="1469">
        <f t="shared" si="20"/>
        <v>67.2</v>
      </c>
      <c r="W107" s="1459">
        <f t="shared" si="16"/>
        <v>150</v>
      </c>
      <c r="X107" s="1459">
        <f t="shared" si="17"/>
        <v>165</v>
      </c>
      <c r="Y107" s="1459">
        <f t="shared" si="21"/>
        <v>315</v>
      </c>
      <c r="Z107" s="2341">
        <v>951.67</v>
      </c>
      <c r="AA107" s="1456"/>
    </row>
    <row r="108" spans="5:27">
      <c r="E108" s="1652"/>
      <c r="H108" s="2420" t="s">
        <v>1391</v>
      </c>
      <c r="I108" s="2416">
        <v>20</v>
      </c>
      <c r="J108" s="1470" t="s">
        <v>71</v>
      </c>
      <c r="K108" s="1460" t="s">
        <v>845</v>
      </c>
      <c r="L108" s="1467">
        <v>61</v>
      </c>
      <c r="M108" s="1467">
        <v>60</v>
      </c>
      <c r="N108" s="1461">
        <v>1.110407852804335E-4</v>
      </c>
      <c r="O108" s="1460">
        <v>7</v>
      </c>
      <c r="P108" s="1463" t="s">
        <v>997</v>
      </c>
      <c r="Q108" s="1466">
        <v>1</v>
      </c>
      <c r="R108" s="1466">
        <v>1.1000000000000001</v>
      </c>
      <c r="S108" s="1469">
        <f t="shared" si="19"/>
        <v>2.1</v>
      </c>
      <c r="T108" s="1469">
        <f t="shared" si="13"/>
        <v>20</v>
      </c>
      <c r="U108" s="1469">
        <f t="shared" si="14"/>
        <v>22</v>
      </c>
      <c r="V108" s="1469">
        <f t="shared" si="20"/>
        <v>42</v>
      </c>
      <c r="W108" s="1459">
        <f t="shared" si="16"/>
        <v>60</v>
      </c>
      <c r="X108" s="1459">
        <f t="shared" si="17"/>
        <v>66</v>
      </c>
      <c r="Y108" s="1459">
        <f t="shared" si="21"/>
        <v>126</v>
      </c>
      <c r="Z108" s="2341">
        <v>276.94</v>
      </c>
      <c r="AA108" s="1456"/>
    </row>
    <row r="109" spans="5:27">
      <c r="E109" s="1652"/>
      <c r="H109" s="2420" t="s">
        <v>1392</v>
      </c>
      <c r="I109" s="2416">
        <v>12</v>
      </c>
      <c r="J109" s="1470" t="s">
        <v>71</v>
      </c>
      <c r="K109" s="1460" t="s">
        <v>845</v>
      </c>
      <c r="L109" s="1467">
        <v>33</v>
      </c>
      <c r="M109" s="1467">
        <v>30</v>
      </c>
      <c r="N109" s="1461">
        <v>3.9974682700956062E-3</v>
      </c>
      <c r="O109" s="1460">
        <v>7</v>
      </c>
      <c r="P109" s="1463" t="s">
        <v>997</v>
      </c>
      <c r="Q109" s="1466">
        <v>60</v>
      </c>
      <c r="R109" s="1466">
        <v>66</v>
      </c>
      <c r="S109" s="1469">
        <f t="shared" si="19"/>
        <v>126</v>
      </c>
      <c r="T109" s="1469">
        <f t="shared" si="13"/>
        <v>720</v>
      </c>
      <c r="U109" s="1469">
        <f t="shared" si="14"/>
        <v>792</v>
      </c>
      <c r="V109" s="1469">
        <f t="shared" si="20"/>
        <v>1512</v>
      </c>
      <c r="W109" s="1459">
        <f t="shared" si="16"/>
        <v>1800</v>
      </c>
      <c r="X109" s="1459">
        <f t="shared" si="17"/>
        <v>1980</v>
      </c>
      <c r="Y109" s="1459">
        <f t="shared" si="21"/>
        <v>3780</v>
      </c>
      <c r="Z109" s="2341">
        <v>147.51</v>
      </c>
      <c r="AA109" s="1456"/>
    </row>
    <row r="110" spans="5:27">
      <c r="E110" s="1652"/>
      <c r="H110" s="2420" t="s">
        <v>1393</v>
      </c>
      <c r="I110" s="2416">
        <v>597</v>
      </c>
      <c r="J110" s="1470" t="s">
        <v>71</v>
      </c>
      <c r="K110" s="1460" t="s">
        <v>845</v>
      </c>
      <c r="L110" s="1467">
        <v>1644</v>
      </c>
      <c r="M110" s="1467">
        <v>800</v>
      </c>
      <c r="N110" s="1461">
        <v>3.3145674406209399E-2</v>
      </c>
      <c r="O110" s="1460">
        <v>7</v>
      </c>
      <c r="P110" s="1463" t="s">
        <v>997</v>
      </c>
      <c r="Q110" s="1466">
        <v>10</v>
      </c>
      <c r="R110" s="1466">
        <v>11</v>
      </c>
      <c r="S110" s="1469">
        <f t="shared" si="19"/>
        <v>21</v>
      </c>
      <c r="T110" s="1469">
        <f t="shared" si="13"/>
        <v>5970</v>
      </c>
      <c r="U110" s="1469">
        <f t="shared" si="14"/>
        <v>6567</v>
      </c>
      <c r="V110" s="1469">
        <f t="shared" si="20"/>
        <v>12537</v>
      </c>
      <c r="W110" s="1459">
        <f t="shared" si="16"/>
        <v>8000</v>
      </c>
      <c r="X110" s="1459">
        <f t="shared" si="17"/>
        <v>8800</v>
      </c>
      <c r="Y110" s="1459">
        <f t="shared" si="21"/>
        <v>16800</v>
      </c>
      <c r="Z110" s="2341">
        <v>0</v>
      </c>
      <c r="AA110" s="1456"/>
    </row>
    <row r="111" spans="5:27">
      <c r="E111" s="1652"/>
      <c r="H111" s="2420" t="s">
        <v>1394</v>
      </c>
      <c r="I111" s="2416">
        <v>597</v>
      </c>
      <c r="J111" s="1470" t="s">
        <v>71</v>
      </c>
      <c r="K111" s="1460" t="s">
        <v>845</v>
      </c>
      <c r="L111" s="1467">
        <v>3191</v>
      </c>
      <c r="M111" s="1467">
        <v>1500</v>
      </c>
      <c r="N111" s="1461">
        <v>1.3258269762483762E-2</v>
      </c>
      <c r="O111" s="1460">
        <v>15</v>
      </c>
      <c r="P111" s="1463" t="s">
        <v>997</v>
      </c>
      <c r="Q111" s="1466">
        <v>4</v>
      </c>
      <c r="R111" s="1466">
        <v>4.4000000000000004</v>
      </c>
      <c r="S111" s="1469">
        <f t="shared" si="19"/>
        <v>8.4</v>
      </c>
      <c r="T111" s="1469">
        <f t="shared" si="13"/>
        <v>2388</v>
      </c>
      <c r="U111" s="1469">
        <f t="shared" si="14"/>
        <v>2626.8</v>
      </c>
      <c r="V111" s="1469">
        <f t="shared" si="20"/>
        <v>5014.8</v>
      </c>
      <c r="W111" s="1459">
        <f t="shared" si="16"/>
        <v>6000</v>
      </c>
      <c r="X111" s="1459">
        <f t="shared" si="17"/>
        <v>6600.0000000000009</v>
      </c>
      <c r="Y111" s="1459">
        <f t="shared" si="21"/>
        <v>12600</v>
      </c>
      <c r="Z111" s="2341">
        <v>0</v>
      </c>
      <c r="AA111" s="1456"/>
    </row>
    <row r="112" spans="5:27">
      <c r="E112" s="1652"/>
      <c r="H112" s="2420" t="s">
        <v>1588</v>
      </c>
      <c r="I112" s="2416">
        <v>56824</v>
      </c>
      <c r="J112" s="1470" t="s">
        <v>71</v>
      </c>
      <c r="K112" s="1460" t="s">
        <v>991</v>
      </c>
      <c r="L112" s="1467">
        <v>0</v>
      </c>
      <c r="M112" s="1467">
        <v>166583</v>
      </c>
      <c r="N112" s="1461">
        <v>0.13100000000000001</v>
      </c>
      <c r="O112" s="1460">
        <v>15</v>
      </c>
      <c r="P112" s="1463" t="s">
        <v>1252</v>
      </c>
      <c r="Q112" s="2027">
        <v>0.5</v>
      </c>
      <c r="R112" s="2027">
        <v>0.5</v>
      </c>
      <c r="S112" s="1469">
        <f t="shared" si="19"/>
        <v>1</v>
      </c>
      <c r="T112" s="1469">
        <f t="shared" si="13"/>
        <v>28412</v>
      </c>
      <c r="U112" s="1469">
        <f t="shared" si="14"/>
        <v>28412</v>
      </c>
      <c r="V112" s="1469">
        <f t="shared" ref="V112" si="22">SUM(T112:U112)</f>
        <v>56824</v>
      </c>
      <c r="W112" s="1459">
        <f t="shared" si="16"/>
        <v>83291.5</v>
      </c>
      <c r="X112" s="1459">
        <f t="shared" si="17"/>
        <v>83291.5</v>
      </c>
      <c r="Y112" s="1459">
        <f t="shared" ref="Y112" si="23">SUM(W112:X112)</f>
        <v>166583</v>
      </c>
      <c r="Z112" s="1482"/>
      <c r="AA112" s="1456"/>
    </row>
    <row r="113" spans="5:27">
      <c r="E113" s="1652"/>
      <c r="H113" s="1460"/>
      <c r="I113" s="2205"/>
      <c r="J113" s="1470" t="s">
        <v>229</v>
      </c>
      <c r="K113" s="1460"/>
      <c r="L113" s="1467"/>
      <c r="M113" s="1467"/>
      <c r="N113" s="1461"/>
      <c r="O113" s="1460"/>
      <c r="P113" s="1463"/>
      <c r="Q113" s="1466"/>
      <c r="R113" s="1466"/>
      <c r="S113" s="1469" t="s">
        <v>229</v>
      </c>
      <c r="T113" s="1469" t="s">
        <v>229</v>
      </c>
      <c r="U113" s="1469" t="s">
        <v>229</v>
      </c>
      <c r="V113" s="1469" t="s">
        <v>229</v>
      </c>
      <c r="W113" s="1459" t="s">
        <v>229</v>
      </c>
      <c r="X113" s="1459" t="s">
        <v>229</v>
      </c>
      <c r="Y113" s="1459" t="s">
        <v>229</v>
      </c>
      <c r="Z113" s="1482"/>
      <c r="AA113" s="1456"/>
    </row>
    <row r="114" spans="5:27">
      <c r="E114" s="1652"/>
    </row>
  </sheetData>
  <customSheetViews>
    <customSheetView guid="{D9EFFE19-D14B-4C6F-BDF4-FF696F73968D}" showGridLines="0">
      <pane xSplit="1" ySplit="1" topLeftCell="E2" activePane="bottomRight" state="frozen"/>
      <selection pane="bottomRight" activeCell="O16" sqref="O16"/>
      <pageMargins left="0.7" right="0.7" top="0.75" bottom="0.75" header="0.3" footer="0.3"/>
    </customSheetView>
    <customSheetView guid="{074EB09C-6289-46D7-9513-012B68BCA7BF}" showGridLines="0">
      <pane xSplit="1" ySplit="1" topLeftCell="F56" activePane="bottomRight" state="frozen"/>
      <selection pane="bottomRight" activeCell="H73" sqref="H73"/>
      <pageMargins left="0.7" right="0.7" top="0.75" bottom="0.75" header="0.3" footer="0.3"/>
    </customSheetView>
  </customSheetViews>
  <mergeCells count="15">
    <mergeCell ref="Z76:Z77"/>
    <mergeCell ref="H74:P74"/>
    <mergeCell ref="H76:P76"/>
    <mergeCell ref="Q76:S76"/>
    <mergeCell ref="T76:V76"/>
    <mergeCell ref="W76:Y76"/>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ABF8F"/>
    <pageSetUpPr fitToPage="1"/>
  </sheetPr>
  <dimension ref="D1:M28"/>
  <sheetViews>
    <sheetView showGridLines="0" workbookViewId="0">
      <pane xSplit="1" ySplit="1" topLeftCell="B5" activePane="bottomRight" state="frozen"/>
      <selection pane="topRight" activeCell="B1" sqref="B1"/>
      <selection pane="bottomLeft" activeCell="A2" sqref="A2"/>
      <selection pane="bottomRight" activeCell="L38" sqref="L38"/>
    </sheetView>
  </sheetViews>
  <sheetFormatPr defaultColWidth="9.140625" defaultRowHeight="12.75"/>
  <cols>
    <col min="1" max="1" width="15.42578125" style="1652" customWidth="1"/>
    <col min="2" max="3" width="9.140625" style="1652"/>
    <col min="4" max="4" width="0.85546875" style="1652" customWidth="1"/>
    <col min="5" max="5" width="9.140625" style="1652"/>
    <col min="6" max="6" width="39.85546875" style="1652" customWidth="1"/>
    <col min="7" max="7" width="14.28515625" style="1652" customWidth="1"/>
    <col min="8" max="9" width="9.140625" style="1652"/>
    <col min="10" max="10" width="29.28515625" style="1652" customWidth="1"/>
    <col min="11" max="11" width="18.5703125" style="1652" customWidth="1"/>
    <col min="12" max="12" width="20.85546875" style="1652" customWidth="1"/>
    <col min="13" max="13" width="0.85546875" style="1652" customWidth="1"/>
    <col min="14" max="16384" width="9.140625" style="1652"/>
  </cols>
  <sheetData>
    <row r="1" spans="4:13" ht="43.5" customHeight="1"/>
    <row r="5" spans="4:13" ht="18">
      <c r="D5" s="2504"/>
    </row>
    <row r="6" spans="4:13" ht="13.5" thickBot="1"/>
    <row r="7" spans="4:13" ht="4.5" customHeight="1">
      <c r="D7" s="3538"/>
      <c r="E7" s="2092"/>
      <c r="F7" s="3540" t="s">
        <v>1722</v>
      </c>
      <c r="G7" s="3540"/>
      <c r="H7" s="3541"/>
      <c r="I7" s="3541"/>
      <c r="J7" s="3541"/>
      <c r="K7" s="3541"/>
      <c r="L7" s="3543"/>
    </row>
    <row r="8" spans="4:13" ht="28.5" customHeight="1">
      <c r="D8" s="3539"/>
      <c r="E8" s="2093"/>
      <c r="F8" s="3542"/>
      <c r="G8" s="3542"/>
      <c r="H8" s="3542"/>
      <c r="I8" s="3542"/>
      <c r="J8" s="3542"/>
      <c r="K8" s="3542"/>
      <c r="L8" s="3544"/>
      <c r="M8" s="2094"/>
    </row>
    <row r="9" spans="4:13">
      <c r="D9" s="2095"/>
      <c r="E9" s="2096"/>
      <c r="F9" s="2097"/>
      <c r="G9" s="2119"/>
      <c r="H9" s="2099"/>
      <c r="I9" s="2099"/>
      <c r="J9" s="2100"/>
      <c r="K9" s="2099"/>
      <c r="L9" s="2101"/>
      <c r="M9" s="2094"/>
    </row>
    <row r="10" spans="4:13">
      <c r="D10" s="2102"/>
      <c r="E10" s="2103"/>
      <c r="F10" s="2104" t="s">
        <v>19</v>
      </c>
      <c r="G10" s="2120" t="s">
        <v>608</v>
      </c>
      <c r="H10" s="3545" t="s">
        <v>590</v>
      </c>
      <c r="I10" s="3546"/>
      <c r="J10" s="3547"/>
      <c r="K10" s="2524" t="s">
        <v>601</v>
      </c>
      <c r="L10" s="2106"/>
      <c r="M10" s="2107"/>
    </row>
    <row r="11" spans="4:13">
      <c r="D11" s="2469"/>
      <c r="E11" s="2110"/>
      <c r="F11" s="2473" t="s">
        <v>1670</v>
      </c>
      <c r="G11" s="2109"/>
      <c r="H11" s="2109"/>
      <c r="I11" s="2109"/>
      <c r="J11" s="2110"/>
      <c r="K11" s="2109"/>
      <c r="L11" s="2028"/>
      <c r="M11" s="2111"/>
    </row>
    <row r="12" spans="4:13" ht="21" customHeight="1">
      <c r="D12" s="2469"/>
      <c r="E12" s="2110"/>
      <c r="F12" s="2547" t="s">
        <v>1627</v>
      </c>
      <c r="G12" s="2108"/>
      <c r="H12" s="2550" t="s">
        <v>1666</v>
      </c>
      <c r="I12" s="2109"/>
      <c r="J12" s="2110"/>
      <c r="K12" s="2109"/>
      <c r="L12" s="2028"/>
      <c r="M12" s="2111"/>
    </row>
    <row r="13" spans="4:13" ht="30.75" customHeight="1">
      <c r="D13" s="2501"/>
      <c r="E13" s="2198" t="s">
        <v>418</v>
      </c>
      <c r="F13" s="2470" t="s">
        <v>702</v>
      </c>
      <c r="G13" s="2471">
        <v>6756000</v>
      </c>
      <c r="H13" s="2109" t="s">
        <v>822</v>
      </c>
      <c r="I13" s="2473"/>
      <c r="J13" s="2474"/>
      <c r="K13" s="2475" t="s">
        <v>1654</v>
      </c>
      <c r="L13" s="2476"/>
      <c r="M13" s="2111"/>
    </row>
    <row r="14" spans="4:13" ht="20.25" customHeight="1">
      <c r="D14" s="2469"/>
      <c r="E14" s="2198" t="s">
        <v>419</v>
      </c>
      <c r="F14" s="2477" t="s">
        <v>1671</v>
      </c>
      <c r="G14" s="2478">
        <v>239967</v>
      </c>
      <c r="H14" s="2473"/>
      <c r="I14" s="2473"/>
      <c r="J14" s="2474"/>
      <c r="K14" s="2475" t="s">
        <v>1649</v>
      </c>
      <c r="L14" s="2476"/>
      <c r="M14" s="2111"/>
    </row>
    <row r="15" spans="4:13" ht="25.5" customHeight="1">
      <c r="D15" s="2469"/>
      <c r="E15" s="2198" t="s">
        <v>420</v>
      </c>
      <c r="F15" s="2477" t="s">
        <v>1672</v>
      </c>
      <c r="G15" s="2471">
        <f>G13+G14</f>
        <v>6995967</v>
      </c>
      <c r="H15" s="2473"/>
      <c r="I15" s="2473"/>
      <c r="J15" s="2474"/>
      <c r="K15" s="2505" t="s">
        <v>1628</v>
      </c>
      <c r="L15" s="2476"/>
      <c r="M15" s="2111"/>
    </row>
    <row r="16" spans="4:13" ht="30" customHeight="1">
      <c r="D16" s="2501"/>
      <c r="E16" s="2057" t="s">
        <v>421</v>
      </c>
      <c r="F16" s="2479" t="s">
        <v>1673</v>
      </c>
      <c r="G16" s="2465">
        <v>430529</v>
      </c>
      <c r="H16" s="2473" t="s">
        <v>1655</v>
      </c>
      <c r="J16" s="2474"/>
      <c r="K16" s="2475" t="s">
        <v>1648</v>
      </c>
      <c r="L16" s="2476"/>
      <c r="M16" s="2111"/>
    </row>
    <row r="17" spans="4:13" ht="22.5" customHeight="1">
      <c r="D17" s="2502"/>
      <c r="E17" s="2520" t="s">
        <v>422</v>
      </c>
      <c r="F17" s="2486" t="s">
        <v>1621</v>
      </c>
      <c r="G17" s="2487">
        <f>G15+G16</f>
        <v>7426496</v>
      </c>
      <c r="H17" s="3553" t="s">
        <v>1622</v>
      </c>
      <c r="I17" s="3536"/>
      <c r="J17" s="3537"/>
      <c r="K17" s="2505" t="s">
        <v>1652</v>
      </c>
      <c r="L17" s="2476"/>
      <c r="M17" s="2107"/>
    </row>
    <row r="18" spans="4:13" ht="18.75" customHeight="1">
      <c r="D18" s="2469"/>
      <c r="E18" s="2474"/>
      <c r="F18" s="2546" t="s">
        <v>1623</v>
      </c>
      <c r="G18" s="2477"/>
      <c r="H18" s="2551" t="s">
        <v>1667</v>
      </c>
      <c r="I18" s="2473"/>
      <c r="J18" s="2474"/>
      <c r="K18" s="2473"/>
      <c r="L18" s="2476"/>
      <c r="M18" s="2111"/>
    </row>
    <row r="19" spans="4:13" ht="19.5" customHeight="1">
      <c r="D19" s="2480"/>
      <c r="E19" s="2495" t="s">
        <v>423</v>
      </c>
      <c r="F19" s="2489" t="s">
        <v>1624</v>
      </c>
      <c r="G19" s="2490">
        <v>-37680</v>
      </c>
      <c r="H19" s="2482"/>
      <c r="I19" s="2482"/>
      <c r="J19" s="2503"/>
      <c r="K19" s="2492" t="s">
        <v>1653</v>
      </c>
      <c r="L19" s="2483"/>
      <c r="M19" s="2111"/>
    </row>
    <row r="20" spans="4:13" ht="19.5" customHeight="1">
      <c r="D20" s="2469"/>
      <c r="E20" s="2198" t="s">
        <v>424</v>
      </c>
      <c r="F20" s="2497" t="s">
        <v>1643</v>
      </c>
      <c r="G20" s="2478">
        <f>-G16</f>
        <v>-430529</v>
      </c>
      <c r="H20" s="1507"/>
      <c r="I20" s="1507"/>
      <c r="J20" s="2198"/>
      <c r="K20" s="2507" t="s">
        <v>1641</v>
      </c>
      <c r="L20" s="2500"/>
      <c r="M20" s="2111"/>
    </row>
    <row r="21" spans="4:13" ht="19.5" customHeight="1">
      <c r="D21" s="2469"/>
      <c r="E21" s="2198" t="s">
        <v>425</v>
      </c>
      <c r="F21" s="2497" t="s">
        <v>1659</v>
      </c>
      <c r="G21" s="2471">
        <f>G19+G20</f>
        <v>-468209</v>
      </c>
      <c r="H21" s="1507"/>
      <c r="I21" s="1507"/>
      <c r="J21" s="2198"/>
      <c r="K21" s="2507" t="s">
        <v>1669</v>
      </c>
      <c r="L21" s="2500"/>
      <c r="M21" s="2111"/>
    </row>
    <row r="22" spans="4:13" ht="24.75" customHeight="1">
      <c r="D22" s="2469"/>
      <c r="E22" s="2198"/>
      <c r="F22" s="2546" t="s">
        <v>1665</v>
      </c>
      <c r="G22" s="2471"/>
      <c r="H22" s="1507"/>
      <c r="I22" s="1507"/>
      <c r="J22" s="2198"/>
      <c r="K22" s="2507"/>
      <c r="L22" s="2500"/>
      <c r="M22" s="2111"/>
    </row>
    <row r="23" spans="4:13" ht="22.5" customHeight="1">
      <c r="D23" s="2469"/>
      <c r="E23" s="2481" t="s">
        <v>307</v>
      </c>
      <c r="F23" s="2498" t="s">
        <v>1644</v>
      </c>
      <c r="G23" s="2484">
        <f>G17+G21</f>
        <v>6958287</v>
      </c>
      <c r="H23" s="3550" t="s">
        <v>700</v>
      </c>
      <c r="I23" s="3551"/>
      <c r="J23" s="3552"/>
      <c r="K23" s="2508" t="s">
        <v>1668</v>
      </c>
      <c r="L23" s="2483"/>
      <c r="M23" s="2107"/>
    </row>
    <row r="24" spans="4:13" ht="6" customHeight="1" thickBot="1">
      <c r="D24" s="2112"/>
      <c r="E24" s="2113"/>
      <c r="F24" s="2114"/>
      <c r="G24" s="2121"/>
      <c r="H24" s="2116"/>
      <c r="I24" s="2116"/>
      <c r="J24" s="2117"/>
      <c r="K24" s="2460"/>
      <c r="L24" s="2461"/>
      <c r="M24" s="2094"/>
    </row>
    <row r="25" spans="4:13" ht="4.5" customHeight="1">
      <c r="E25" s="2094"/>
      <c r="F25" s="2094"/>
      <c r="G25" s="2122"/>
      <c r="H25" s="2094"/>
      <c r="I25" s="2094"/>
      <c r="J25" s="2094"/>
      <c r="K25" s="2462"/>
      <c r="L25" s="2462"/>
      <c r="M25" s="2094"/>
    </row>
    <row r="27" spans="4:13">
      <c r="G27" s="1652" t="s">
        <v>1678</v>
      </c>
    </row>
    <row r="28" spans="4:13">
      <c r="G28" s="1652" t="s">
        <v>1679</v>
      </c>
    </row>
  </sheetData>
  <customSheetViews>
    <customSheetView guid="{D9EFFE19-D14B-4C6F-BDF4-FF696F73968D}" showPageBreaks="1" showGridLines="0">
      <pane xSplit="1" ySplit="1" topLeftCell="B2" activePane="bottomRight" state="frozen"/>
      <selection pane="bottomRight" activeCell="G11" sqref="G11"/>
      <pageMargins left="0.7" right="0.7" top="0.75" bottom="0.75" header="0.3" footer="0.3"/>
      <pageSetup orientation="portrait" r:id="rId1"/>
    </customSheetView>
    <customSheetView guid="{074EB09C-6289-46D7-9513-012B68BCA7BF}" showGridLines="0" fitToPage="1">
      <pane xSplit="1" ySplit="1" topLeftCell="B5" activePane="bottomRight" state="frozen"/>
      <selection pane="bottomRight"/>
      <pageMargins left="0.7" right="0.7" top="0.75" bottom="0.75" header="0.3" footer="0.3"/>
      <pageSetup scale="73" orientation="landscape" r:id="rId2"/>
    </customSheetView>
  </customSheetViews>
  <mergeCells count="6">
    <mergeCell ref="H23:J23"/>
    <mergeCell ref="H17:J17"/>
    <mergeCell ref="D7:D8"/>
    <mergeCell ref="F7:K8"/>
    <mergeCell ref="L7:L8"/>
    <mergeCell ref="H10:J10"/>
  </mergeCells>
  <pageMargins left="0.7" right="0.7" top="0.75" bottom="0.75" header="0.3" footer="0.3"/>
  <pageSetup paperSize="3" orientation="landscape" r:id="rId3"/>
  <drawing r:id="rId4"/>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rgb="FFFF0000"/>
  </sheetPr>
  <dimension ref="A1:AA114"/>
  <sheetViews>
    <sheetView showGridLines="0" workbookViewId="0">
      <pane xSplit="1" ySplit="1" topLeftCell="B2" activePane="bottomRight" state="frozen"/>
      <selection pane="topRight" activeCell="B1" sqref="B1"/>
      <selection pane="bottomLeft" activeCell="A2" sqref="A2"/>
      <selection pane="bottomRight" activeCell="E29" sqref="E29"/>
    </sheetView>
  </sheetViews>
  <sheetFormatPr defaultRowHeight="12.75"/>
  <cols>
    <col min="1" max="2" width="16" style="1652" customWidth="1"/>
    <col min="3" max="3" width="32.28515625" style="1652" customWidth="1"/>
    <col min="4" max="4" width="26" style="1652" customWidth="1"/>
    <col min="5" max="5" width="15.5703125" style="1663" customWidth="1"/>
    <col min="6" max="6" width="15.5703125" style="1652" customWidth="1"/>
    <col min="7" max="7" width="17" style="1652" customWidth="1"/>
    <col min="8" max="8" width="13.425781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44.25" customHeight="1" thickBot="1">
      <c r="C1" s="1361" t="s">
        <v>644</v>
      </c>
      <c r="D1" s="1361" t="s">
        <v>262</v>
      </c>
      <c r="E1" s="1361" t="s">
        <v>5</v>
      </c>
      <c r="F1" s="1361">
        <v>18231028</v>
      </c>
      <c r="G1" s="1361" t="s">
        <v>28</v>
      </c>
      <c r="J1" s="1190"/>
      <c r="M1" s="1361" t="s">
        <v>644</v>
      </c>
      <c r="N1" s="1361" t="s">
        <v>262</v>
      </c>
      <c r="O1" s="1361" t="s">
        <v>5</v>
      </c>
      <c r="P1" s="1361">
        <v>18231028</v>
      </c>
      <c r="Q1" s="1361" t="s">
        <v>28</v>
      </c>
      <c r="V1" s="1361" t="s">
        <v>644</v>
      </c>
      <c r="W1" s="1361" t="s">
        <v>262</v>
      </c>
      <c r="X1" s="1361" t="s">
        <v>5</v>
      </c>
      <c r="Y1" s="1361">
        <v>18231028</v>
      </c>
      <c r="Z1" s="1361" t="s">
        <v>28</v>
      </c>
    </row>
    <row r="2" spans="1:27" ht="16.5" thickBot="1">
      <c r="C2" s="1190"/>
      <c r="D2" s="1177"/>
      <c r="I2" s="1178" t="s">
        <v>627</v>
      </c>
      <c r="S2" s="3575"/>
      <c r="T2" s="3575"/>
      <c r="U2" s="3576" t="s">
        <v>33</v>
      </c>
      <c r="V2" s="3577"/>
      <c r="W2" s="3578"/>
      <c r="X2" s="3579" t="s">
        <v>34</v>
      </c>
    </row>
    <row r="3" spans="1:27" ht="26.25" thickBot="1">
      <c r="A3" s="2143" t="s">
        <v>645</v>
      </c>
      <c r="B3" s="2143"/>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7" ht="16.5" thickBot="1">
      <c r="A4" s="2143" t="s">
        <v>646</v>
      </c>
      <c r="B4" s="2143"/>
      <c r="C4" s="1177"/>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1155" t="e">
        <f>S4/T4</f>
        <v>#DIV/0!</v>
      </c>
    </row>
    <row r="5" spans="1:27" ht="16.5" thickBot="1">
      <c r="A5" s="2143" t="s">
        <v>262</v>
      </c>
      <c r="B5" s="2143"/>
      <c r="C5" s="1190"/>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7" ht="16.5" thickBot="1">
      <c r="A6" s="2143" t="s">
        <v>5</v>
      </c>
      <c r="B6" s="2143"/>
      <c r="D6" s="1190"/>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7" ht="15.75">
      <c r="A7" s="2143">
        <v>18231028</v>
      </c>
      <c r="B7" s="2143"/>
      <c r="D7" s="1190"/>
      <c r="G7" s="2606"/>
      <c r="H7" s="2607"/>
      <c r="I7" s="2607"/>
      <c r="J7" s="2607"/>
      <c r="K7" s="2607"/>
      <c r="L7" s="2607"/>
      <c r="M7" s="2607"/>
      <c r="N7" s="2607"/>
      <c r="O7" s="2607"/>
      <c r="P7" s="2607"/>
      <c r="Q7" s="2607"/>
      <c r="R7" s="2607"/>
      <c r="S7" s="2608"/>
      <c r="T7" s="2630"/>
      <c r="U7" s="2630"/>
      <c r="V7" s="2630"/>
      <c r="W7" s="2610"/>
    </row>
    <row r="8" spans="1:27" ht="15.75">
      <c r="A8" s="1663" t="s">
        <v>28</v>
      </c>
      <c r="B8" s="2143"/>
      <c r="D8" s="1190"/>
    </row>
    <row r="9" spans="1:27" ht="20.25" customHeight="1">
      <c r="A9" s="2143"/>
      <c r="B9" s="2143"/>
      <c r="D9" s="1190"/>
      <c r="I9" s="3003" t="s">
        <v>1730</v>
      </c>
      <c r="Q9" s="3003" t="s">
        <v>1729</v>
      </c>
      <c r="T9" s="3003" t="s">
        <v>1729</v>
      </c>
      <c r="W9" s="3003" t="s">
        <v>1729</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D15+D21+D27+D37+D43+D49+D55+D61</f>
        <v>0</v>
      </c>
      <c r="E12" s="1484">
        <f>E15+E21+E27+E37+E43+E49+E55+E61</f>
        <v>0</v>
      </c>
      <c r="F12" s="1638">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0</v>
      </c>
      <c r="E15" s="1464">
        <f>SUM(E16:E19)</f>
        <v>0</v>
      </c>
      <c r="F15" s="1638">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481">
        <v>0</v>
      </c>
      <c r="AA15" s="1456"/>
    </row>
    <row r="16" spans="1:27">
      <c r="B16" s="1982"/>
      <c r="C16" s="1667"/>
      <c r="D16" s="2772"/>
      <c r="E16" s="1669"/>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482"/>
      <c r="AA16" s="1456"/>
    </row>
    <row r="17" spans="2:27">
      <c r="B17" s="1982"/>
      <c r="C17" s="1667"/>
      <c r="D17" s="2784"/>
      <c r="E17" s="1668"/>
      <c r="F17" s="1661">
        <f t="shared" ref="F17:F30"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482"/>
      <c r="AA17" s="1456"/>
    </row>
    <row r="18" spans="2:27">
      <c r="B18" s="1982"/>
      <c r="C18" s="1667"/>
      <c r="D18" s="2784"/>
      <c r="E18" s="1668"/>
      <c r="F18" s="1661">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482"/>
      <c r="AA18" s="1456"/>
    </row>
    <row r="19" spans="2:27">
      <c r="B19" s="1982"/>
      <c r="C19" s="1667"/>
      <c r="D19" s="2786"/>
      <c r="E19" s="1446"/>
      <c r="F19" s="1661">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482"/>
      <c r="AA19" s="1456"/>
    </row>
    <row r="20" spans="2:27">
      <c r="B20" s="1449">
        <f>SUM(B16:B19)</f>
        <v>0</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482"/>
      <c r="AA20" s="1456"/>
    </row>
    <row r="21" spans="2:27">
      <c r="B21" s="1433" t="s">
        <v>296</v>
      </c>
      <c r="C21" s="1597" t="s">
        <v>44</v>
      </c>
      <c r="D21" s="2771">
        <f>SUM(D22:D25)</f>
        <v>0</v>
      </c>
      <c r="E21" s="1464">
        <f>SUM(E22:E25)</f>
        <v>0</v>
      </c>
      <c r="F21" s="1638">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482"/>
      <c r="AA21" s="1456"/>
    </row>
    <row r="22" spans="2:27">
      <c r="B22" s="1982">
        <f>(SUM(D22:E22)/2)/((80000+(80000*1.025))/2)</f>
        <v>0</v>
      </c>
      <c r="C22" s="1667"/>
      <c r="D22" s="2772"/>
      <c r="E22" s="1669"/>
      <c r="F22" s="1426">
        <f t="shared" si="0"/>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482"/>
      <c r="AA22" s="1456"/>
    </row>
    <row r="23" spans="2:27">
      <c r="B23" s="1982"/>
      <c r="C23" s="1667"/>
      <c r="D23" s="2773"/>
      <c r="E23" s="1444"/>
      <c r="F23" s="1661">
        <f t="shared" si="0"/>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482"/>
      <c r="AA23" s="1456"/>
    </row>
    <row r="24" spans="2:27">
      <c r="B24" s="1982"/>
      <c r="C24" s="1667"/>
      <c r="D24" s="2774"/>
      <c r="E24" s="1443"/>
      <c r="F24" s="1661">
        <f t="shared" si="0"/>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482"/>
      <c r="AA24" s="1456"/>
    </row>
    <row r="25" spans="2:27">
      <c r="B25" s="1982"/>
      <c r="C25" s="1667"/>
      <c r="D25" s="2775"/>
      <c r="E25" s="1444"/>
      <c r="F25" s="1661">
        <f t="shared" si="0"/>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482"/>
      <c r="AA25" s="1456"/>
    </row>
    <row r="26" spans="2:27">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482"/>
      <c r="AA26" s="1456"/>
    </row>
    <row r="27" spans="2:27">
      <c r="C27" s="1597" t="s">
        <v>1737</v>
      </c>
      <c r="D27" s="2771">
        <f>SUM(D29:D35)</f>
        <v>0</v>
      </c>
      <c r="E27" s="1657">
        <f>SUM(E29:E31)+SUM(E33:E35)</f>
        <v>0</v>
      </c>
      <c r="F27" s="1638">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482"/>
      <c r="AA28" s="1456"/>
    </row>
    <row r="29" spans="2:27">
      <c r="C29" s="1667" t="s">
        <v>719</v>
      </c>
      <c r="D29" s="2778">
        <f>D15*D28</f>
        <v>0</v>
      </c>
      <c r="E29" s="1641">
        <f>E15*E28</f>
        <v>0</v>
      </c>
      <c r="F29" s="1661">
        <f t="shared" si="0"/>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482"/>
      <c r="AA29" s="1456"/>
    </row>
    <row r="30" spans="2:27">
      <c r="C30" s="1667" t="s">
        <v>720</v>
      </c>
      <c r="D30" s="2785">
        <f>D21*D28</f>
        <v>0</v>
      </c>
      <c r="E30" s="1641">
        <f>E21*E28</f>
        <v>0</v>
      </c>
      <c r="F30" s="1661">
        <f t="shared" si="0"/>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482"/>
      <c r="AA30" s="1456"/>
    </row>
    <row r="31" spans="2:27">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ht="25.5">
      <c r="A34" s="2143" t="s">
        <v>645</v>
      </c>
      <c r="C34" s="1667" t="s">
        <v>720</v>
      </c>
      <c r="D34" s="2785"/>
      <c r="E34" s="1641">
        <f>E21*E32</f>
        <v>0</v>
      </c>
      <c r="F34" s="1661">
        <f t="shared" ref="F34" si="1">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646</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262</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t="s">
        <v>5</v>
      </c>
      <c r="C37" s="1597"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v>18231028</v>
      </c>
      <c r="C38" s="1667"/>
      <c r="D38" s="2778"/>
      <c r="E38" s="1672"/>
      <c r="F38" s="1661">
        <f t="shared" ref="F38:F47" si="2">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t="s">
        <v>28</v>
      </c>
      <c r="C39" s="1667"/>
      <c r="D39" s="2778"/>
      <c r="E39" s="1672"/>
      <c r="F39" s="1661">
        <f t="shared" si="2"/>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2"/>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2"/>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0</v>
      </c>
      <c r="E43" s="1464">
        <f>SUM(E44:E47)</f>
        <v>0</v>
      </c>
      <c r="F43" s="1638">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c r="E44" s="1672"/>
      <c r="F44" s="1661">
        <f t="shared" si="2"/>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2"/>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2"/>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2"/>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0</v>
      </c>
      <c r="F49" s="1638">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c r="F50" s="1661">
        <f t="shared" ref="F50:F65" si="3">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3"/>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3"/>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3"/>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0</v>
      </c>
      <c r="E55" s="1464">
        <f>SUM(E56:E59)</f>
        <v>0</v>
      </c>
      <c r="F55" s="1638">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c r="E56" s="1641"/>
      <c r="F56" s="1661">
        <f t="shared" si="3"/>
        <v>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3"/>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3"/>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3"/>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0</v>
      </c>
      <c r="E61" s="1464">
        <f>SUM(E62:E65)</f>
        <v>0</v>
      </c>
      <c r="F61" s="1638">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c r="E62" s="1672"/>
      <c r="F62" s="1661">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ht="25.5">
      <c r="A64" s="2143" t="s">
        <v>645</v>
      </c>
      <c r="C64" s="1667"/>
      <c r="D64" s="2778"/>
      <c r="E64" s="1672"/>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646</v>
      </c>
      <c r="C65" s="1667"/>
      <c r="D65" s="2778"/>
      <c r="E65" s="1672"/>
      <c r="F65" s="1661">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262</v>
      </c>
      <c r="C66" s="1488"/>
      <c r="D66" s="2779"/>
      <c r="E66" s="1490"/>
      <c r="F66" s="1493"/>
    </row>
    <row r="67" spans="1:27">
      <c r="A67" s="2143" t="s">
        <v>5</v>
      </c>
      <c r="C67" s="1597" t="s">
        <v>50</v>
      </c>
      <c r="D67" s="2771">
        <f>W15</f>
        <v>0</v>
      </c>
      <c r="E67" s="1464">
        <f>X15</f>
        <v>0</v>
      </c>
      <c r="F67" s="1638">
        <f>D67+E67</f>
        <v>0</v>
      </c>
    </row>
    <row r="68" spans="1:27">
      <c r="A68" s="2143">
        <v>18231028</v>
      </c>
      <c r="C68" s="1500" t="s">
        <v>297</v>
      </c>
      <c r="D68" s="2781"/>
      <c r="E68" s="1496"/>
      <c r="F68" s="1499"/>
    </row>
    <row r="69" spans="1:27">
      <c r="A69" s="1663" t="s">
        <v>28</v>
      </c>
      <c r="C69" s="1501"/>
      <c r="D69" s="2782"/>
      <c r="E69" s="1497"/>
      <c r="F69" s="1498"/>
    </row>
    <row r="70" spans="1:27">
      <c r="A70" s="1663"/>
      <c r="C70" s="1494" t="s">
        <v>51</v>
      </c>
      <c r="D70" s="2778">
        <v>0</v>
      </c>
      <c r="E70" s="1671">
        <v>0</v>
      </c>
      <c r="F70" s="1491">
        <v>0</v>
      </c>
    </row>
    <row r="71" spans="1:27">
      <c r="D71" s="2767"/>
    </row>
    <row r="72" spans="1:27">
      <c r="D72" s="2767"/>
    </row>
    <row r="73" spans="1:27">
      <c r="D73" s="2767"/>
    </row>
    <row r="74" spans="1:27">
      <c r="D74" s="2767"/>
    </row>
    <row r="75" spans="1:27">
      <c r="D75" s="2767"/>
    </row>
    <row r="76" spans="1:27">
      <c r="D76" s="2767"/>
    </row>
    <row r="77" spans="1:27">
      <c r="D77" s="2767"/>
    </row>
    <row r="78" spans="1:27">
      <c r="D78" s="2767"/>
    </row>
    <row r="79" spans="1:27">
      <c r="D79" s="2767"/>
    </row>
    <row r="80" spans="1:27">
      <c r="D80" s="2767"/>
    </row>
    <row r="81" spans="4:5">
      <c r="D81" s="2767"/>
    </row>
    <row r="82" spans="4:5">
      <c r="D82" s="2767"/>
    </row>
    <row r="83" spans="4:5">
      <c r="D83" s="2767"/>
    </row>
    <row r="84" spans="4:5">
      <c r="D84" s="2767"/>
      <c r="E84" s="1652"/>
    </row>
    <row r="85" spans="4:5">
      <c r="D85" s="2767"/>
      <c r="E85" s="1652"/>
    </row>
    <row r="86" spans="4:5">
      <c r="D86" s="2767"/>
      <c r="E86" s="1652"/>
    </row>
    <row r="87" spans="4:5">
      <c r="D87" s="2767"/>
      <c r="E87" s="1652"/>
    </row>
    <row r="88" spans="4:5">
      <c r="D88" s="2767"/>
      <c r="E88" s="1652"/>
    </row>
    <row r="89" spans="4:5">
      <c r="D89" s="2767"/>
      <c r="E89" s="1652"/>
    </row>
    <row r="90" spans="4:5">
      <c r="D90" s="2767"/>
      <c r="E90" s="1652"/>
    </row>
    <row r="91" spans="4:5">
      <c r="D91" s="2767"/>
      <c r="E91" s="1652"/>
    </row>
    <row r="92" spans="4:5">
      <c r="E92" s="1652"/>
    </row>
    <row r="93" spans="4:5">
      <c r="E93" s="1652"/>
    </row>
    <row r="94" spans="4:5">
      <c r="E94" s="1652"/>
    </row>
    <row r="95" spans="4:5">
      <c r="E95" s="1652"/>
    </row>
    <row r="96" spans="4:5">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B2" activePane="bottomRight" state="frozen"/>
      <selection pane="bottomRight"/>
      <pageMargins left="0.7" right="0.7" top="0.75" bottom="0.75" header="0.3" footer="0.3"/>
    </customSheetView>
    <customSheetView guid="{074EB09C-6289-46D7-9513-012B68BCA7BF}" showGridLines="0">
      <pane xSplit="1" ySplit="1" topLeftCell="B2" activePane="bottomRight" state="frozen"/>
      <selection pane="bottomRight" activeCell="E29" sqref="E29"/>
      <pageMargins left="0.7" right="0.7" top="0.75" bottom="0.75" header="0.3" footer="0.3"/>
    </customSheetView>
  </customSheetViews>
  <mergeCells count="9">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tabColor rgb="FFFABF8F"/>
  </sheetPr>
  <dimension ref="A1:AA114"/>
  <sheetViews>
    <sheetView showGridLines="0" workbookViewId="0">
      <pane xSplit="1" ySplit="1" topLeftCell="I2" activePane="bottomRight" state="frozen"/>
      <selection pane="topRight" activeCell="B1" sqref="B1"/>
      <selection pane="bottomLeft" activeCell="A2" sqref="A2"/>
      <selection pane="bottomRight" activeCell="E29" sqref="E29"/>
    </sheetView>
  </sheetViews>
  <sheetFormatPr defaultRowHeight="12.75"/>
  <cols>
    <col min="1" max="1" width="18.42578125" style="1652" customWidth="1"/>
    <col min="2" max="2" width="16" style="1652" customWidth="1"/>
    <col min="3" max="3" width="25.5703125" style="1652" customWidth="1"/>
    <col min="4" max="4" width="14.28515625" style="1652" customWidth="1"/>
    <col min="5" max="5" width="15.5703125" style="1663" customWidth="1"/>
    <col min="6" max="6" width="15.5703125" style="1652" customWidth="1"/>
    <col min="7" max="7" width="17" style="1652" customWidth="1"/>
    <col min="8" max="8" width="42.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6.5703125" style="1652" customWidth="1"/>
    <col min="18" max="18" width="16.140625" style="1652" customWidth="1"/>
    <col min="19" max="19" width="16.7109375" style="1652" bestFit="1" customWidth="1"/>
    <col min="20" max="20" width="15.5703125" style="1652" bestFit="1" customWidth="1"/>
    <col min="21" max="21" width="18" style="1652" customWidth="1"/>
    <col min="22" max="22" width="16.42578125" style="1652" bestFit="1" customWidth="1"/>
    <col min="23" max="23" width="14.28515625" style="1652" customWidth="1"/>
    <col min="24" max="24" width="12.85546875" style="1652" bestFit="1" customWidth="1"/>
    <col min="25" max="25" width="11.28515625" style="1652" bestFit="1" customWidth="1"/>
    <col min="26" max="26" width="12.5703125" style="1652" bestFit="1" customWidth="1"/>
    <col min="27" max="249" width="9.140625" style="1652"/>
    <col min="250" max="250" width="24" style="1652" bestFit="1" customWidth="1"/>
    <col min="251" max="251" width="43.85546875" style="1652" customWidth="1"/>
    <col min="252" max="252" width="19.7109375" style="1652" bestFit="1" customWidth="1"/>
    <col min="253" max="253" width="15.28515625" style="1652" bestFit="1" customWidth="1"/>
    <col min="254" max="254" width="17.5703125" style="1652" bestFit="1" customWidth="1"/>
    <col min="255" max="255" width="13.42578125" style="1652" customWidth="1"/>
    <col min="256" max="256" width="15.28515625" style="1652" bestFit="1" customWidth="1"/>
    <col min="257" max="257" width="14.140625" style="1652" bestFit="1" customWidth="1"/>
    <col min="258" max="258" width="15.28515625" style="1652" customWidth="1"/>
    <col min="259" max="259" width="15.85546875" style="1652" customWidth="1"/>
    <col min="260" max="260" width="17" style="1652" bestFit="1" customWidth="1"/>
    <col min="261" max="261" width="12.7109375" style="1652" customWidth="1"/>
    <col min="262" max="262" width="13.7109375" style="1652" customWidth="1"/>
    <col min="263" max="263" width="13.85546875" style="1652" bestFit="1" customWidth="1"/>
    <col min="264" max="264" width="16.5703125" style="1652" customWidth="1"/>
    <col min="265" max="265" width="16.140625" style="1652" customWidth="1"/>
    <col min="266" max="266" width="16.7109375" style="1652" bestFit="1" customWidth="1"/>
    <col min="267" max="267" width="15.5703125" style="1652" bestFit="1" customWidth="1"/>
    <col min="268" max="268" width="18" style="1652" customWidth="1"/>
    <col min="269" max="269" width="16.42578125" style="1652" bestFit="1" customWidth="1"/>
    <col min="270" max="270" width="14.28515625" style="1652" customWidth="1"/>
    <col min="271" max="271" width="12.85546875" style="1652" bestFit="1" customWidth="1"/>
    <col min="272" max="272" width="11.28515625" style="1652" bestFit="1" customWidth="1"/>
    <col min="273" max="273" width="12.5703125" style="1652" bestFit="1" customWidth="1"/>
    <col min="274" max="274" width="14" style="1652" bestFit="1" customWidth="1"/>
    <col min="275" max="275" width="6" style="1652" bestFit="1" customWidth="1"/>
    <col min="276" max="276" width="15" style="1652" customWidth="1"/>
    <col min="277" max="277" width="14.85546875" style="1652" bestFit="1" customWidth="1"/>
    <col min="278" max="278" width="16.140625" style="1652" bestFit="1" customWidth="1"/>
    <col min="279" max="505" width="9.140625" style="1652"/>
    <col min="506" max="506" width="24" style="1652" bestFit="1" customWidth="1"/>
    <col min="507" max="507" width="43.85546875" style="1652" customWidth="1"/>
    <col min="508" max="508" width="19.7109375" style="1652" bestFit="1" customWidth="1"/>
    <col min="509" max="509" width="15.28515625" style="1652" bestFit="1" customWidth="1"/>
    <col min="510" max="510" width="17.5703125" style="1652" bestFit="1" customWidth="1"/>
    <col min="511" max="511" width="13.42578125" style="1652" customWidth="1"/>
    <col min="512" max="512" width="15.28515625" style="1652" bestFit="1" customWidth="1"/>
    <col min="513" max="513" width="14.140625" style="1652" bestFit="1" customWidth="1"/>
    <col min="514" max="514" width="15.28515625" style="1652" customWidth="1"/>
    <col min="515" max="515" width="15.85546875" style="1652" customWidth="1"/>
    <col min="516" max="516" width="17" style="1652" bestFit="1" customWidth="1"/>
    <col min="517" max="517" width="12.7109375" style="1652" customWidth="1"/>
    <col min="518" max="518" width="13.7109375" style="1652" customWidth="1"/>
    <col min="519" max="519" width="13.85546875" style="1652" bestFit="1" customWidth="1"/>
    <col min="520" max="520" width="16.5703125" style="1652" customWidth="1"/>
    <col min="521" max="521" width="16.140625" style="1652" customWidth="1"/>
    <col min="522" max="522" width="16.7109375" style="1652" bestFit="1" customWidth="1"/>
    <col min="523" max="523" width="15.5703125" style="1652" bestFit="1" customWidth="1"/>
    <col min="524" max="524" width="18" style="1652" customWidth="1"/>
    <col min="525" max="525" width="16.42578125" style="1652" bestFit="1" customWidth="1"/>
    <col min="526" max="526" width="14.28515625" style="1652" customWidth="1"/>
    <col min="527" max="527" width="12.85546875" style="1652" bestFit="1" customWidth="1"/>
    <col min="528" max="528" width="11.28515625" style="1652" bestFit="1" customWidth="1"/>
    <col min="529" max="529" width="12.5703125" style="1652" bestFit="1" customWidth="1"/>
    <col min="530" max="530" width="14" style="1652" bestFit="1" customWidth="1"/>
    <col min="531" max="531" width="6" style="1652" bestFit="1" customWidth="1"/>
    <col min="532" max="532" width="15" style="1652" customWidth="1"/>
    <col min="533" max="533" width="14.85546875" style="1652" bestFit="1" customWidth="1"/>
    <col min="534" max="534" width="16.140625" style="1652" bestFit="1" customWidth="1"/>
    <col min="535" max="761" width="9.140625" style="1652"/>
    <col min="762" max="762" width="24" style="1652" bestFit="1" customWidth="1"/>
    <col min="763" max="763" width="43.85546875" style="1652" customWidth="1"/>
    <col min="764" max="764" width="19.7109375" style="1652" bestFit="1" customWidth="1"/>
    <col min="765" max="765" width="15.28515625" style="1652" bestFit="1" customWidth="1"/>
    <col min="766" max="766" width="17.5703125" style="1652" bestFit="1" customWidth="1"/>
    <col min="767" max="767" width="13.42578125" style="1652" customWidth="1"/>
    <col min="768" max="768" width="15.28515625" style="1652" bestFit="1" customWidth="1"/>
    <col min="769" max="769" width="14.140625" style="1652" bestFit="1" customWidth="1"/>
    <col min="770" max="770" width="15.28515625" style="1652" customWidth="1"/>
    <col min="771" max="771" width="15.85546875" style="1652" customWidth="1"/>
    <col min="772" max="772" width="17" style="1652" bestFit="1" customWidth="1"/>
    <col min="773" max="773" width="12.7109375" style="1652" customWidth="1"/>
    <col min="774" max="774" width="13.7109375" style="1652" customWidth="1"/>
    <col min="775" max="775" width="13.85546875" style="1652" bestFit="1" customWidth="1"/>
    <col min="776" max="776" width="16.5703125" style="1652" customWidth="1"/>
    <col min="777" max="777" width="16.140625" style="1652" customWidth="1"/>
    <col min="778" max="778" width="16.7109375" style="1652" bestFit="1" customWidth="1"/>
    <col min="779" max="779" width="15.5703125" style="1652" bestFit="1" customWidth="1"/>
    <col min="780" max="780" width="18" style="1652" customWidth="1"/>
    <col min="781" max="781" width="16.42578125" style="1652" bestFit="1" customWidth="1"/>
    <col min="782" max="782" width="14.28515625" style="1652" customWidth="1"/>
    <col min="783" max="783" width="12.85546875" style="1652" bestFit="1" customWidth="1"/>
    <col min="784" max="784" width="11.28515625" style="1652" bestFit="1" customWidth="1"/>
    <col min="785" max="785" width="12.5703125" style="1652" bestFit="1" customWidth="1"/>
    <col min="786" max="786" width="14" style="1652" bestFit="1" customWidth="1"/>
    <col min="787" max="787" width="6" style="1652" bestFit="1" customWidth="1"/>
    <col min="788" max="788" width="15" style="1652" customWidth="1"/>
    <col min="789" max="789" width="14.85546875" style="1652" bestFit="1" customWidth="1"/>
    <col min="790" max="790" width="16.140625" style="1652" bestFit="1" customWidth="1"/>
    <col min="791" max="1017" width="9.140625" style="1652"/>
    <col min="1018" max="1018" width="24" style="1652" bestFit="1" customWidth="1"/>
    <col min="1019" max="1019" width="43.85546875" style="1652" customWidth="1"/>
    <col min="1020" max="1020" width="19.7109375" style="1652" bestFit="1" customWidth="1"/>
    <col min="1021" max="1021" width="15.28515625" style="1652" bestFit="1" customWidth="1"/>
    <col min="1022" max="1022" width="17.5703125" style="1652" bestFit="1" customWidth="1"/>
    <col min="1023" max="1023" width="13.42578125" style="1652" customWidth="1"/>
    <col min="1024" max="1024" width="15.28515625" style="1652" bestFit="1" customWidth="1"/>
    <col min="1025" max="1025" width="14.140625" style="1652" bestFit="1" customWidth="1"/>
    <col min="1026" max="1026" width="15.28515625" style="1652" customWidth="1"/>
    <col min="1027" max="1027" width="15.85546875" style="1652" customWidth="1"/>
    <col min="1028" max="1028" width="17" style="1652" bestFit="1" customWidth="1"/>
    <col min="1029" max="1029" width="12.7109375" style="1652" customWidth="1"/>
    <col min="1030" max="1030" width="13.7109375" style="1652" customWidth="1"/>
    <col min="1031" max="1031" width="13.85546875" style="1652" bestFit="1" customWidth="1"/>
    <col min="1032" max="1032" width="16.5703125" style="1652" customWidth="1"/>
    <col min="1033" max="1033" width="16.140625" style="1652" customWidth="1"/>
    <col min="1034" max="1034" width="16.7109375" style="1652" bestFit="1" customWidth="1"/>
    <col min="1035" max="1035" width="15.5703125" style="1652" bestFit="1" customWidth="1"/>
    <col min="1036" max="1036" width="18" style="1652" customWidth="1"/>
    <col min="1037" max="1037" width="16.42578125" style="1652" bestFit="1" customWidth="1"/>
    <col min="1038" max="1038" width="14.28515625" style="1652" customWidth="1"/>
    <col min="1039" max="1039" width="12.85546875" style="1652" bestFit="1" customWidth="1"/>
    <col min="1040" max="1040" width="11.28515625" style="1652" bestFit="1" customWidth="1"/>
    <col min="1041" max="1041" width="12.5703125" style="1652" bestFit="1" customWidth="1"/>
    <col min="1042" max="1042" width="14" style="1652" bestFit="1" customWidth="1"/>
    <col min="1043" max="1043" width="6" style="1652" bestFit="1" customWidth="1"/>
    <col min="1044" max="1044" width="15" style="1652" customWidth="1"/>
    <col min="1045" max="1045" width="14.85546875" style="1652" bestFit="1" customWidth="1"/>
    <col min="1046" max="1046" width="16.140625" style="1652" bestFit="1" customWidth="1"/>
    <col min="1047" max="1273" width="9.140625" style="1652"/>
    <col min="1274" max="1274" width="24" style="1652" bestFit="1" customWidth="1"/>
    <col min="1275" max="1275" width="43.85546875" style="1652" customWidth="1"/>
    <col min="1276" max="1276" width="19.7109375" style="1652" bestFit="1" customWidth="1"/>
    <col min="1277" max="1277" width="15.28515625" style="1652" bestFit="1" customWidth="1"/>
    <col min="1278" max="1278" width="17.5703125" style="1652" bestFit="1" customWidth="1"/>
    <col min="1279" max="1279" width="13.42578125" style="1652" customWidth="1"/>
    <col min="1280" max="1280" width="15.28515625" style="1652" bestFit="1" customWidth="1"/>
    <col min="1281" max="1281" width="14.140625" style="1652" bestFit="1" customWidth="1"/>
    <col min="1282" max="1282" width="15.28515625" style="1652" customWidth="1"/>
    <col min="1283" max="1283" width="15.85546875" style="1652" customWidth="1"/>
    <col min="1284" max="1284" width="17" style="1652" bestFit="1" customWidth="1"/>
    <col min="1285" max="1285" width="12.7109375" style="1652" customWidth="1"/>
    <col min="1286" max="1286" width="13.7109375" style="1652" customWidth="1"/>
    <col min="1287" max="1287" width="13.85546875" style="1652" bestFit="1" customWidth="1"/>
    <col min="1288" max="1288" width="16.5703125" style="1652" customWidth="1"/>
    <col min="1289" max="1289" width="16.140625" style="1652" customWidth="1"/>
    <col min="1290" max="1290" width="16.7109375" style="1652" bestFit="1" customWidth="1"/>
    <col min="1291" max="1291" width="15.5703125" style="1652" bestFit="1" customWidth="1"/>
    <col min="1292" max="1292" width="18" style="1652" customWidth="1"/>
    <col min="1293" max="1293" width="16.42578125" style="1652" bestFit="1" customWidth="1"/>
    <col min="1294" max="1294" width="14.28515625" style="1652" customWidth="1"/>
    <col min="1295" max="1295" width="12.85546875" style="1652" bestFit="1" customWidth="1"/>
    <col min="1296" max="1296" width="11.28515625" style="1652" bestFit="1" customWidth="1"/>
    <col min="1297" max="1297" width="12.5703125" style="1652" bestFit="1" customWidth="1"/>
    <col min="1298" max="1298" width="14" style="1652" bestFit="1" customWidth="1"/>
    <col min="1299" max="1299" width="6" style="1652" bestFit="1" customWidth="1"/>
    <col min="1300" max="1300" width="15" style="1652" customWidth="1"/>
    <col min="1301" max="1301" width="14.85546875" style="1652" bestFit="1" customWidth="1"/>
    <col min="1302" max="1302" width="16.140625" style="1652" bestFit="1" customWidth="1"/>
    <col min="1303" max="1529" width="9.140625" style="1652"/>
    <col min="1530" max="1530" width="24" style="1652" bestFit="1" customWidth="1"/>
    <col min="1531" max="1531" width="43.85546875" style="1652" customWidth="1"/>
    <col min="1532" max="1532" width="19.7109375" style="1652" bestFit="1" customWidth="1"/>
    <col min="1533" max="1533" width="15.28515625" style="1652" bestFit="1" customWidth="1"/>
    <col min="1534" max="1534" width="17.5703125" style="1652" bestFit="1" customWidth="1"/>
    <col min="1535" max="1535" width="13.42578125" style="1652" customWidth="1"/>
    <col min="1536" max="1536" width="15.28515625" style="1652" bestFit="1" customWidth="1"/>
    <col min="1537" max="1537" width="14.140625" style="1652" bestFit="1" customWidth="1"/>
    <col min="1538" max="1538" width="15.28515625" style="1652" customWidth="1"/>
    <col min="1539" max="1539" width="15.85546875" style="1652" customWidth="1"/>
    <col min="1540" max="1540" width="17" style="1652" bestFit="1" customWidth="1"/>
    <col min="1541" max="1541" width="12.7109375" style="1652" customWidth="1"/>
    <col min="1542" max="1542" width="13.7109375" style="1652" customWidth="1"/>
    <col min="1543" max="1543" width="13.85546875" style="1652" bestFit="1" customWidth="1"/>
    <col min="1544" max="1544" width="16.5703125" style="1652" customWidth="1"/>
    <col min="1545" max="1545" width="16.140625" style="1652" customWidth="1"/>
    <col min="1546" max="1546" width="16.7109375" style="1652" bestFit="1" customWidth="1"/>
    <col min="1547" max="1547" width="15.5703125" style="1652" bestFit="1" customWidth="1"/>
    <col min="1548" max="1548" width="18" style="1652" customWidth="1"/>
    <col min="1549" max="1549" width="16.42578125" style="1652" bestFit="1" customWidth="1"/>
    <col min="1550" max="1550" width="14.28515625" style="1652" customWidth="1"/>
    <col min="1551" max="1551" width="12.85546875" style="1652" bestFit="1" customWidth="1"/>
    <col min="1552" max="1552" width="11.28515625" style="1652" bestFit="1" customWidth="1"/>
    <col min="1553" max="1553" width="12.5703125" style="1652" bestFit="1" customWidth="1"/>
    <col min="1554" max="1554" width="14" style="1652" bestFit="1" customWidth="1"/>
    <col min="1555" max="1555" width="6" style="1652" bestFit="1" customWidth="1"/>
    <col min="1556" max="1556" width="15" style="1652" customWidth="1"/>
    <col min="1557" max="1557" width="14.85546875" style="1652" bestFit="1" customWidth="1"/>
    <col min="1558" max="1558" width="16.140625" style="1652" bestFit="1" customWidth="1"/>
    <col min="1559" max="1785" width="9.140625" style="1652"/>
    <col min="1786" max="1786" width="24" style="1652" bestFit="1" customWidth="1"/>
    <col min="1787" max="1787" width="43.85546875" style="1652" customWidth="1"/>
    <col min="1788" max="1788" width="19.7109375" style="1652" bestFit="1" customWidth="1"/>
    <col min="1789" max="1789" width="15.28515625" style="1652" bestFit="1" customWidth="1"/>
    <col min="1790" max="1790" width="17.5703125" style="1652" bestFit="1" customWidth="1"/>
    <col min="1791" max="1791" width="13.42578125" style="1652" customWidth="1"/>
    <col min="1792" max="1792" width="15.28515625" style="1652" bestFit="1" customWidth="1"/>
    <col min="1793" max="1793" width="14.140625" style="1652" bestFit="1" customWidth="1"/>
    <col min="1794" max="1794" width="15.28515625" style="1652" customWidth="1"/>
    <col min="1795" max="1795" width="15.85546875" style="1652" customWidth="1"/>
    <col min="1796" max="1796" width="17" style="1652" bestFit="1" customWidth="1"/>
    <col min="1797" max="1797" width="12.7109375" style="1652" customWidth="1"/>
    <col min="1798" max="1798" width="13.7109375" style="1652" customWidth="1"/>
    <col min="1799" max="1799" width="13.85546875" style="1652" bestFit="1" customWidth="1"/>
    <col min="1800" max="1800" width="16.5703125" style="1652" customWidth="1"/>
    <col min="1801" max="1801" width="16.140625" style="1652" customWidth="1"/>
    <col min="1802" max="1802" width="16.7109375" style="1652" bestFit="1" customWidth="1"/>
    <col min="1803" max="1803" width="15.5703125" style="1652" bestFit="1" customWidth="1"/>
    <col min="1804" max="1804" width="18" style="1652" customWidth="1"/>
    <col min="1805" max="1805" width="16.42578125" style="1652" bestFit="1" customWidth="1"/>
    <col min="1806" max="1806" width="14.28515625" style="1652" customWidth="1"/>
    <col min="1807" max="1807" width="12.85546875" style="1652" bestFit="1" customWidth="1"/>
    <col min="1808" max="1808" width="11.28515625" style="1652" bestFit="1" customWidth="1"/>
    <col min="1809" max="1809" width="12.5703125" style="1652" bestFit="1" customWidth="1"/>
    <col min="1810" max="1810" width="14" style="1652" bestFit="1" customWidth="1"/>
    <col min="1811" max="1811" width="6" style="1652" bestFit="1" customWidth="1"/>
    <col min="1812" max="1812" width="15" style="1652" customWidth="1"/>
    <col min="1813" max="1813" width="14.85546875" style="1652" bestFit="1" customWidth="1"/>
    <col min="1814" max="1814" width="16.140625" style="1652" bestFit="1" customWidth="1"/>
    <col min="1815" max="2041" width="9.140625" style="1652"/>
    <col min="2042" max="2042" width="24" style="1652" bestFit="1" customWidth="1"/>
    <col min="2043" max="2043" width="43.85546875" style="1652" customWidth="1"/>
    <col min="2044" max="2044" width="19.7109375" style="1652" bestFit="1" customWidth="1"/>
    <col min="2045" max="2045" width="15.28515625" style="1652" bestFit="1" customWidth="1"/>
    <col min="2046" max="2046" width="17.5703125" style="1652" bestFit="1" customWidth="1"/>
    <col min="2047" max="2047" width="13.42578125" style="1652" customWidth="1"/>
    <col min="2048" max="2048" width="15.28515625" style="1652" bestFit="1" customWidth="1"/>
    <col min="2049" max="2049" width="14.140625" style="1652" bestFit="1" customWidth="1"/>
    <col min="2050" max="2050" width="15.28515625" style="1652" customWidth="1"/>
    <col min="2051" max="2051" width="15.85546875" style="1652" customWidth="1"/>
    <col min="2052" max="2052" width="17" style="1652" bestFit="1" customWidth="1"/>
    <col min="2053" max="2053" width="12.7109375" style="1652" customWidth="1"/>
    <col min="2054" max="2054" width="13.7109375" style="1652" customWidth="1"/>
    <col min="2055" max="2055" width="13.85546875" style="1652" bestFit="1" customWidth="1"/>
    <col min="2056" max="2056" width="16.5703125" style="1652" customWidth="1"/>
    <col min="2057" max="2057" width="16.140625" style="1652" customWidth="1"/>
    <col min="2058" max="2058" width="16.7109375" style="1652" bestFit="1" customWidth="1"/>
    <col min="2059" max="2059" width="15.5703125" style="1652" bestFit="1" customWidth="1"/>
    <col min="2060" max="2060" width="18" style="1652" customWidth="1"/>
    <col min="2061" max="2061" width="16.42578125" style="1652" bestFit="1" customWidth="1"/>
    <col min="2062" max="2062" width="14.28515625" style="1652" customWidth="1"/>
    <col min="2063" max="2063" width="12.85546875" style="1652" bestFit="1" customWidth="1"/>
    <col min="2064" max="2064" width="11.28515625" style="1652" bestFit="1" customWidth="1"/>
    <col min="2065" max="2065" width="12.5703125" style="1652" bestFit="1" customWidth="1"/>
    <col min="2066" max="2066" width="14" style="1652" bestFit="1" customWidth="1"/>
    <col min="2067" max="2067" width="6" style="1652" bestFit="1" customWidth="1"/>
    <col min="2068" max="2068" width="15" style="1652" customWidth="1"/>
    <col min="2069" max="2069" width="14.85546875" style="1652" bestFit="1" customWidth="1"/>
    <col min="2070" max="2070" width="16.140625" style="1652" bestFit="1" customWidth="1"/>
    <col min="2071" max="2297" width="9.140625" style="1652"/>
    <col min="2298" max="2298" width="24" style="1652" bestFit="1" customWidth="1"/>
    <col min="2299" max="2299" width="43.85546875" style="1652" customWidth="1"/>
    <col min="2300" max="2300" width="19.7109375" style="1652" bestFit="1" customWidth="1"/>
    <col min="2301" max="2301" width="15.28515625" style="1652" bestFit="1" customWidth="1"/>
    <col min="2302" max="2302" width="17.5703125" style="1652" bestFit="1" customWidth="1"/>
    <col min="2303" max="2303" width="13.42578125" style="1652" customWidth="1"/>
    <col min="2304" max="2304" width="15.28515625" style="1652" bestFit="1" customWidth="1"/>
    <col min="2305" max="2305" width="14.140625" style="1652" bestFit="1" customWidth="1"/>
    <col min="2306" max="2306" width="15.28515625" style="1652" customWidth="1"/>
    <col min="2307" max="2307" width="15.85546875" style="1652" customWidth="1"/>
    <col min="2308" max="2308" width="17" style="1652" bestFit="1" customWidth="1"/>
    <col min="2309" max="2309" width="12.7109375" style="1652" customWidth="1"/>
    <col min="2310" max="2310" width="13.7109375" style="1652" customWidth="1"/>
    <col min="2311" max="2311" width="13.85546875" style="1652" bestFit="1" customWidth="1"/>
    <col min="2312" max="2312" width="16.5703125" style="1652" customWidth="1"/>
    <col min="2313" max="2313" width="16.140625" style="1652" customWidth="1"/>
    <col min="2314" max="2314" width="16.7109375" style="1652" bestFit="1" customWidth="1"/>
    <col min="2315" max="2315" width="15.5703125" style="1652" bestFit="1" customWidth="1"/>
    <col min="2316" max="2316" width="18" style="1652" customWidth="1"/>
    <col min="2317" max="2317" width="16.42578125" style="1652" bestFit="1" customWidth="1"/>
    <col min="2318" max="2318" width="14.28515625" style="1652" customWidth="1"/>
    <col min="2319" max="2319" width="12.85546875" style="1652" bestFit="1" customWidth="1"/>
    <col min="2320" max="2320" width="11.28515625" style="1652" bestFit="1" customWidth="1"/>
    <col min="2321" max="2321" width="12.5703125" style="1652" bestFit="1" customWidth="1"/>
    <col min="2322" max="2322" width="14" style="1652" bestFit="1" customWidth="1"/>
    <col min="2323" max="2323" width="6" style="1652" bestFit="1" customWidth="1"/>
    <col min="2324" max="2324" width="15" style="1652" customWidth="1"/>
    <col min="2325" max="2325" width="14.85546875" style="1652" bestFit="1" customWidth="1"/>
    <col min="2326" max="2326" width="16.140625" style="1652" bestFit="1" customWidth="1"/>
    <col min="2327" max="2553" width="9.140625" style="1652"/>
    <col min="2554" max="2554" width="24" style="1652" bestFit="1" customWidth="1"/>
    <col min="2555" max="2555" width="43.85546875" style="1652" customWidth="1"/>
    <col min="2556" max="2556" width="19.7109375" style="1652" bestFit="1" customWidth="1"/>
    <col min="2557" max="2557" width="15.28515625" style="1652" bestFit="1" customWidth="1"/>
    <col min="2558" max="2558" width="17.5703125" style="1652" bestFit="1" customWidth="1"/>
    <col min="2559" max="2559" width="13.42578125" style="1652" customWidth="1"/>
    <col min="2560" max="2560" width="15.28515625" style="1652" bestFit="1" customWidth="1"/>
    <col min="2561" max="2561" width="14.140625" style="1652" bestFit="1" customWidth="1"/>
    <col min="2562" max="2562" width="15.28515625" style="1652" customWidth="1"/>
    <col min="2563" max="2563" width="15.85546875" style="1652" customWidth="1"/>
    <col min="2564" max="2564" width="17" style="1652" bestFit="1" customWidth="1"/>
    <col min="2565" max="2565" width="12.7109375" style="1652" customWidth="1"/>
    <col min="2566" max="2566" width="13.7109375" style="1652" customWidth="1"/>
    <col min="2567" max="2567" width="13.85546875" style="1652" bestFit="1" customWidth="1"/>
    <col min="2568" max="2568" width="16.5703125" style="1652" customWidth="1"/>
    <col min="2569" max="2569" width="16.140625" style="1652" customWidth="1"/>
    <col min="2570" max="2570" width="16.7109375" style="1652" bestFit="1" customWidth="1"/>
    <col min="2571" max="2571" width="15.5703125" style="1652" bestFit="1" customWidth="1"/>
    <col min="2572" max="2572" width="18" style="1652" customWidth="1"/>
    <col min="2573" max="2573" width="16.42578125" style="1652" bestFit="1" customWidth="1"/>
    <col min="2574" max="2574" width="14.28515625" style="1652" customWidth="1"/>
    <col min="2575" max="2575" width="12.85546875" style="1652" bestFit="1" customWidth="1"/>
    <col min="2576" max="2576" width="11.28515625" style="1652" bestFit="1" customWidth="1"/>
    <col min="2577" max="2577" width="12.5703125" style="1652" bestFit="1" customWidth="1"/>
    <col min="2578" max="2578" width="14" style="1652" bestFit="1" customWidth="1"/>
    <col min="2579" max="2579" width="6" style="1652" bestFit="1" customWidth="1"/>
    <col min="2580" max="2580" width="15" style="1652" customWidth="1"/>
    <col min="2581" max="2581" width="14.85546875" style="1652" bestFit="1" customWidth="1"/>
    <col min="2582" max="2582" width="16.140625" style="1652" bestFit="1" customWidth="1"/>
    <col min="2583" max="2809" width="9.140625" style="1652"/>
    <col min="2810" max="2810" width="24" style="1652" bestFit="1" customWidth="1"/>
    <col min="2811" max="2811" width="43.85546875" style="1652" customWidth="1"/>
    <col min="2812" max="2812" width="19.7109375" style="1652" bestFit="1" customWidth="1"/>
    <col min="2813" max="2813" width="15.28515625" style="1652" bestFit="1" customWidth="1"/>
    <col min="2814" max="2814" width="17.5703125" style="1652" bestFit="1" customWidth="1"/>
    <col min="2815" max="2815" width="13.42578125" style="1652" customWidth="1"/>
    <col min="2816" max="2816" width="15.28515625" style="1652" bestFit="1" customWidth="1"/>
    <col min="2817" max="2817" width="14.140625" style="1652" bestFit="1" customWidth="1"/>
    <col min="2818" max="2818" width="15.28515625" style="1652" customWidth="1"/>
    <col min="2819" max="2819" width="15.85546875" style="1652" customWidth="1"/>
    <col min="2820" max="2820" width="17" style="1652" bestFit="1" customWidth="1"/>
    <col min="2821" max="2821" width="12.7109375" style="1652" customWidth="1"/>
    <col min="2822" max="2822" width="13.7109375" style="1652" customWidth="1"/>
    <col min="2823" max="2823" width="13.85546875" style="1652" bestFit="1" customWidth="1"/>
    <col min="2824" max="2824" width="16.5703125" style="1652" customWidth="1"/>
    <col min="2825" max="2825" width="16.140625" style="1652" customWidth="1"/>
    <col min="2826" max="2826" width="16.7109375" style="1652" bestFit="1" customWidth="1"/>
    <col min="2827" max="2827" width="15.5703125" style="1652" bestFit="1" customWidth="1"/>
    <col min="2828" max="2828" width="18" style="1652" customWidth="1"/>
    <col min="2829" max="2829" width="16.42578125" style="1652" bestFit="1" customWidth="1"/>
    <col min="2830" max="2830" width="14.28515625" style="1652" customWidth="1"/>
    <col min="2831" max="2831" width="12.85546875" style="1652" bestFit="1" customWidth="1"/>
    <col min="2832" max="2832" width="11.28515625" style="1652" bestFit="1" customWidth="1"/>
    <col min="2833" max="2833" width="12.5703125" style="1652" bestFit="1" customWidth="1"/>
    <col min="2834" max="2834" width="14" style="1652" bestFit="1" customWidth="1"/>
    <col min="2835" max="2835" width="6" style="1652" bestFit="1" customWidth="1"/>
    <col min="2836" max="2836" width="15" style="1652" customWidth="1"/>
    <col min="2837" max="2837" width="14.85546875" style="1652" bestFit="1" customWidth="1"/>
    <col min="2838" max="2838" width="16.140625" style="1652" bestFit="1" customWidth="1"/>
    <col min="2839" max="3065" width="9.140625" style="1652"/>
    <col min="3066" max="3066" width="24" style="1652" bestFit="1" customWidth="1"/>
    <col min="3067" max="3067" width="43.85546875" style="1652" customWidth="1"/>
    <col min="3068" max="3068" width="19.7109375" style="1652" bestFit="1" customWidth="1"/>
    <col min="3069" max="3069" width="15.28515625" style="1652" bestFit="1" customWidth="1"/>
    <col min="3070" max="3070" width="17.5703125" style="1652" bestFit="1" customWidth="1"/>
    <col min="3071" max="3071" width="13.42578125" style="1652" customWidth="1"/>
    <col min="3072" max="3072" width="15.28515625" style="1652" bestFit="1" customWidth="1"/>
    <col min="3073" max="3073" width="14.140625" style="1652" bestFit="1" customWidth="1"/>
    <col min="3074" max="3074" width="15.28515625" style="1652" customWidth="1"/>
    <col min="3075" max="3075" width="15.85546875" style="1652" customWidth="1"/>
    <col min="3076" max="3076" width="17" style="1652" bestFit="1" customWidth="1"/>
    <col min="3077" max="3077" width="12.7109375" style="1652" customWidth="1"/>
    <col min="3078" max="3078" width="13.7109375" style="1652" customWidth="1"/>
    <col min="3079" max="3079" width="13.85546875" style="1652" bestFit="1" customWidth="1"/>
    <col min="3080" max="3080" width="16.5703125" style="1652" customWidth="1"/>
    <col min="3081" max="3081" width="16.140625" style="1652" customWidth="1"/>
    <col min="3082" max="3082" width="16.7109375" style="1652" bestFit="1" customWidth="1"/>
    <col min="3083" max="3083" width="15.5703125" style="1652" bestFit="1" customWidth="1"/>
    <col min="3084" max="3084" width="18" style="1652" customWidth="1"/>
    <col min="3085" max="3085" width="16.42578125" style="1652" bestFit="1" customWidth="1"/>
    <col min="3086" max="3086" width="14.28515625" style="1652" customWidth="1"/>
    <col min="3087" max="3087" width="12.85546875" style="1652" bestFit="1" customWidth="1"/>
    <col min="3088" max="3088" width="11.28515625" style="1652" bestFit="1" customWidth="1"/>
    <col min="3089" max="3089" width="12.5703125" style="1652" bestFit="1" customWidth="1"/>
    <col min="3090" max="3090" width="14" style="1652" bestFit="1" customWidth="1"/>
    <col min="3091" max="3091" width="6" style="1652" bestFit="1" customWidth="1"/>
    <col min="3092" max="3092" width="15" style="1652" customWidth="1"/>
    <col min="3093" max="3093" width="14.85546875" style="1652" bestFit="1" customWidth="1"/>
    <col min="3094" max="3094" width="16.140625" style="1652" bestFit="1" customWidth="1"/>
    <col min="3095" max="3321" width="9.140625" style="1652"/>
    <col min="3322" max="3322" width="24" style="1652" bestFit="1" customWidth="1"/>
    <col min="3323" max="3323" width="43.85546875" style="1652" customWidth="1"/>
    <col min="3324" max="3324" width="19.7109375" style="1652" bestFit="1" customWidth="1"/>
    <col min="3325" max="3325" width="15.28515625" style="1652" bestFit="1" customWidth="1"/>
    <col min="3326" max="3326" width="17.5703125" style="1652" bestFit="1" customWidth="1"/>
    <col min="3327" max="3327" width="13.42578125" style="1652" customWidth="1"/>
    <col min="3328" max="3328" width="15.28515625" style="1652" bestFit="1" customWidth="1"/>
    <col min="3329" max="3329" width="14.140625" style="1652" bestFit="1" customWidth="1"/>
    <col min="3330" max="3330" width="15.28515625" style="1652" customWidth="1"/>
    <col min="3331" max="3331" width="15.85546875" style="1652" customWidth="1"/>
    <col min="3332" max="3332" width="17" style="1652" bestFit="1" customWidth="1"/>
    <col min="3333" max="3333" width="12.7109375" style="1652" customWidth="1"/>
    <col min="3334" max="3334" width="13.7109375" style="1652" customWidth="1"/>
    <col min="3335" max="3335" width="13.85546875" style="1652" bestFit="1" customWidth="1"/>
    <col min="3336" max="3336" width="16.5703125" style="1652" customWidth="1"/>
    <col min="3337" max="3337" width="16.140625" style="1652" customWidth="1"/>
    <col min="3338" max="3338" width="16.7109375" style="1652" bestFit="1" customWidth="1"/>
    <col min="3339" max="3339" width="15.5703125" style="1652" bestFit="1" customWidth="1"/>
    <col min="3340" max="3340" width="18" style="1652" customWidth="1"/>
    <col min="3341" max="3341" width="16.42578125" style="1652" bestFit="1" customWidth="1"/>
    <col min="3342" max="3342" width="14.28515625" style="1652" customWidth="1"/>
    <col min="3343" max="3343" width="12.85546875" style="1652" bestFit="1" customWidth="1"/>
    <col min="3344" max="3344" width="11.28515625" style="1652" bestFit="1" customWidth="1"/>
    <col min="3345" max="3345" width="12.5703125" style="1652" bestFit="1" customWidth="1"/>
    <col min="3346" max="3346" width="14" style="1652" bestFit="1" customWidth="1"/>
    <col min="3347" max="3347" width="6" style="1652" bestFit="1" customWidth="1"/>
    <col min="3348" max="3348" width="15" style="1652" customWidth="1"/>
    <col min="3349" max="3349" width="14.85546875" style="1652" bestFit="1" customWidth="1"/>
    <col min="3350" max="3350" width="16.140625" style="1652" bestFit="1" customWidth="1"/>
    <col min="3351" max="3577" width="9.140625" style="1652"/>
    <col min="3578" max="3578" width="24" style="1652" bestFit="1" customWidth="1"/>
    <col min="3579" max="3579" width="43.85546875" style="1652" customWidth="1"/>
    <col min="3580" max="3580" width="19.7109375" style="1652" bestFit="1" customWidth="1"/>
    <col min="3581" max="3581" width="15.28515625" style="1652" bestFit="1" customWidth="1"/>
    <col min="3582" max="3582" width="17.5703125" style="1652" bestFit="1" customWidth="1"/>
    <col min="3583" max="3583" width="13.42578125" style="1652" customWidth="1"/>
    <col min="3584" max="3584" width="15.28515625" style="1652" bestFit="1" customWidth="1"/>
    <col min="3585" max="3585" width="14.140625" style="1652" bestFit="1" customWidth="1"/>
    <col min="3586" max="3586" width="15.28515625" style="1652" customWidth="1"/>
    <col min="3587" max="3587" width="15.85546875" style="1652" customWidth="1"/>
    <col min="3588" max="3588" width="17" style="1652" bestFit="1" customWidth="1"/>
    <col min="3589" max="3589" width="12.7109375" style="1652" customWidth="1"/>
    <col min="3590" max="3590" width="13.7109375" style="1652" customWidth="1"/>
    <col min="3591" max="3591" width="13.85546875" style="1652" bestFit="1" customWidth="1"/>
    <col min="3592" max="3592" width="16.5703125" style="1652" customWidth="1"/>
    <col min="3593" max="3593" width="16.140625" style="1652" customWidth="1"/>
    <col min="3594" max="3594" width="16.7109375" style="1652" bestFit="1" customWidth="1"/>
    <col min="3595" max="3595" width="15.5703125" style="1652" bestFit="1" customWidth="1"/>
    <col min="3596" max="3596" width="18" style="1652" customWidth="1"/>
    <col min="3597" max="3597" width="16.42578125" style="1652" bestFit="1" customWidth="1"/>
    <col min="3598" max="3598" width="14.28515625" style="1652" customWidth="1"/>
    <col min="3599" max="3599" width="12.85546875" style="1652" bestFit="1" customWidth="1"/>
    <col min="3600" max="3600" width="11.28515625" style="1652" bestFit="1" customWidth="1"/>
    <col min="3601" max="3601" width="12.5703125" style="1652" bestFit="1" customWidth="1"/>
    <col min="3602" max="3602" width="14" style="1652" bestFit="1" customWidth="1"/>
    <col min="3603" max="3603" width="6" style="1652" bestFit="1" customWidth="1"/>
    <col min="3604" max="3604" width="15" style="1652" customWidth="1"/>
    <col min="3605" max="3605" width="14.85546875" style="1652" bestFit="1" customWidth="1"/>
    <col min="3606" max="3606" width="16.140625" style="1652" bestFit="1" customWidth="1"/>
    <col min="3607" max="3833" width="9.140625" style="1652"/>
    <col min="3834" max="3834" width="24" style="1652" bestFit="1" customWidth="1"/>
    <col min="3835" max="3835" width="43.85546875" style="1652" customWidth="1"/>
    <col min="3836" max="3836" width="19.7109375" style="1652" bestFit="1" customWidth="1"/>
    <col min="3837" max="3837" width="15.28515625" style="1652" bestFit="1" customWidth="1"/>
    <col min="3838" max="3838" width="17.5703125" style="1652" bestFit="1" customWidth="1"/>
    <col min="3839" max="3839" width="13.42578125" style="1652" customWidth="1"/>
    <col min="3840" max="3840" width="15.28515625" style="1652" bestFit="1" customWidth="1"/>
    <col min="3841" max="3841" width="14.140625" style="1652" bestFit="1" customWidth="1"/>
    <col min="3842" max="3842" width="15.28515625" style="1652" customWidth="1"/>
    <col min="3843" max="3843" width="15.85546875" style="1652" customWidth="1"/>
    <col min="3844" max="3844" width="17" style="1652" bestFit="1" customWidth="1"/>
    <col min="3845" max="3845" width="12.7109375" style="1652" customWidth="1"/>
    <col min="3846" max="3846" width="13.7109375" style="1652" customWidth="1"/>
    <col min="3847" max="3847" width="13.85546875" style="1652" bestFit="1" customWidth="1"/>
    <col min="3848" max="3848" width="16.5703125" style="1652" customWidth="1"/>
    <col min="3849" max="3849" width="16.140625" style="1652" customWidth="1"/>
    <col min="3850" max="3850" width="16.7109375" style="1652" bestFit="1" customWidth="1"/>
    <col min="3851" max="3851" width="15.5703125" style="1652" bestFit="1" customWidth="1"/>
    <col min="3852" max="3852" width="18" style="1652" customWidth="1"/>
    <col min="3853" max="3853" width="16.42578125" style="1652" bestFit="1" customWidth="1"/>
    <col min="3854" max="3854" width="14.28515625" style="1652" customWidth="1"/>
    <col min="3855" max="3855" width="12.85546875" style="1652" bestFit="1" customWidth="1"/>
    <col min="3856" max="3856" width="11.28515625" style="1652" bestFit="1" customWidth="1"/>
    <col min="3857" max="3857" width="12.5703125" style="1652" bestFit="1" customWidth="1"/>
    <col min="3858" max="3858" width="14" style="1652" bestFit="1" customWidth="1"/>
    <col min="3859" max="3859" width="6" style="1652" bestFit="1" customWidth="1"/>
    <col min="3860" max="3860" width="15" style="1652" customWidth="1"/>
    <col min="3861" max="3861" width="14.85546875" style="1652" bestFit="1" customWidth="1"/>
    <col min="3862" max="3862" width="16.140625" style="1652" bestFit="1" customWidth="1"/>
    <col min="3863" max="4089" width="9.140625" style="1652"/>
    <col min="4090" max="4090" width="24" style="1652" bestFit="1" customWidth="1"/>
    <col min="4091" max="4091" width="43.85546875" style="1652" customWidth="1"/>
    <col min="4092" max="4092" width="19.7109375" style="1652" bestFit="1" customWidth="1"/>
    <col min="4093" max="4093" width="15.28515625" style="1652" bestFit="1" customWidth="1"/>
    <col min="4094" max="4094" width="17.5703125" style="1652" bestFit="1" customWidth="1"/>
    <col min="4095" max="4095" width="13.42578125" style="1652" customWidth="1"/>
    <col min="4096" max="4096" width="15.28515625" style="1652" bestFit="1" customWidth="1"/>
    <col min="4097" max="4097" width="14.140625" style="1652" bestFit="1" customWidth="1"/>
    <col min="4098" max="4098" width="15.28515625" style="1652" customWidth="1"/>
    <col min="4099" max="4099" width="15.85546875" style="1652" customWidth="1"/>
    <col min="4100" max="4100" width="17" style="1652" bestFit="1" customWidth="1"/>
    <col min="4101" max="4101" width="12.7109375" style="1652" customWidth="1"/>
    <col min="4102" max="4102" width="13.7109375" style="1652" customWidth="1"/>
    <col min="4103" max="4103" width="13.85546875" style="1652" bestFit="1" customWidth="1"/>
    <col min="4104" max="4104" width="16.5703125" style="1652" customWidth="1"/>
    <col min="4105" max="4105" width="16.140625" style="1652" customWidth="1"/>
    <col min="4106" max="4106" width="16.7109375" style="1652" bestFit="1" customWidth="1"/>
    <col min="4107" max="4107" width="15.5703125" style="1652" bestFit="1" customWidth="1"/>
    <col min="4108" max="4108" width="18" style="1652" customWidth="1"/>
    <col min="4109" max="4109" width="16.42578125" style="1652" bestFit="1" customWidth="1"/>
    <col min="4110" max="4110" width="14.28515625" style="1652" customWidth="1"/>
    <col min="4111" max="4111" width="12.85546875" style="1652" bestFit="1" customWidth="1"/>
    <col min="4112" max="4112" width="11.28515625" style="1652" bestFit="1" customWidth="1"/>
    <col min="4113" max="4113" width="12.5703125" style="1652" bestFit="1" customWidth="1"/>
    <col min="4114" max="4114" width="14" style="1652" bestFit="1" customWidth="1"/>
    <col min="4115" max="4115" width="6" style="1652" bestFit="1" customWidth="1"/>
    <col min="4116" max="4116" width="15" style="1652" customWidth="1"/>
    <col min="4117" max="4117" width="14.85546875" style="1652" bestFit="1" customWidth="1"/>
    <col min="4118" max="4118" width="16.140625" style="1652" bestFit="1" customWidth="1"/>
    <col min="4119" max="4345" width="9.140625" style="1652"/>
    <col min="4346" max="4346" width="24" style="1652" bestFit="1" customWidth="1"/>
    <col min="4347" max="4347" width="43.85546875" style="1652" customWidth="1"/>
    <col min="4348" max="4348" width="19.7109375" style="1652" bestFit="1" customWidth="1"/>
    <col min="4349" max="4349" width="15.28515625" style="1652" bestFit="1" customWidth="1"/>
    <col min="4350" max="4350" width="17.5703125" style="1652" bestFit="1" customWidth="1"/>
    <col min="4351" max="4351" width="13.42578125" style="1652" customWidth="1"/>
    <col min="4352" max="4352" width="15.28515625" style="1652" bestFit="1" customWidth="1"/>
    <col min="4353" max="4353" width="14.140625" style="1652" bestFit="1" customWidth="1"/>
    <col min="4354" max="4354" width="15.28515625" style="1652" customWidth="1"/>
    <col min="4355" max="4355" width="15.85546875" style="1652" customWidth="1"/>
    <col min="4356" max="4356" width="17" style="1652" bestFit="1" customWidth="1"/>
    <col min="4357" max="4357" width="12.7109375" style="1652" customWidth="1"/>
    <col min="4358" max="4358" width="13.7109375" style="1652" customWidth="1"/>
    <col min="4359" max="4359" width="13.85546875" style="1652" bestFit="1" customWidth="1"/>
    <col min="4360" max="4360" width="16.5703125" style="1652" customWidth="1"/>
    <col min="4361" max="4361" width="16.140625" style="1652" customWidth="1"/>
    <col min="4362" max="4362" width="16.7109375" style="1652" bestFit="1" customWidth="1"/>
    <col min="4363" max="4363" width="15.5703125" style="1652" bestFit="1" customWidth="1"/>
    <col min="4364" max="4364" width="18" style="1652" customWidth="1"/>
    <col min="4365" max="4365" width="16.42578125" style="1652" bestFit="1" customWidth="1"/>
    <col min="4366" max="4366" width="14.28515625" style="1652" customWidth="1"/>
    <col min="4367" max="4367" width="12.85546875" style="1652" bestFit="1" customWidth="1"/>
    <col min="4368" max="4368" width="11.28515625" style="1652" bestFit="1" customWidth="1"/>
    <col min="4369" max="4369" width="12.5703125" style="1652" bestFit="1" customWidth="1"/>
    <col min="4370" max="4370" width="14" style="1652" bestFit="1" customWidth="1"/>
    <col min="4371" max="4371" width="6" style="1652" bestFit="1" customWidth="1"/>
    <col min="4372" max="4372" width="15" style="1652" customWidth="1"/>
    <col min="4373" max="4373" width="14.85546875" style="1652" bestFit="1" customWidth="1"/>
    <col min="4374" max="4374" width="16.140625" style="1652" bestFit="1" customWidth="1"/>
    <col min="4375" max="4601" width="9.140625" style="1652"/>
    <col min="4602" max="4602" width="24" style="1652" bestFit="1" customWidth="1"/>
    <col min="4603" max="4603" width="43.85546875" style="1652" customWidth="1"/>
    <col min="4604" max="4604" width="19.7109375" style="1652" bestFit="1" customWidth="1"/>
    <col min="4605" max="4605" width="15.28515625" style="1652" bestFit="1" customWidth="1"/>
    <col min="4606" max="4606" width="17.5703125" style="1652" bestFit="1" customWidth="1"/>
    <col min="4607" max="4607" width="13.42578125" style="1652" customWidth="1"/>
    <col min="4608" max="4608" width="15.28515625" style="1652" bestFit="1" customWidth="1"/>
    <col min="4609" max="4609" width="14.140625" style="1652" bestFit="1" customWidth="1"/>
    <col min="4610" max="4610" width="15.28515625" style="1652" customWidth="1"/>
    <col min="4611" max="4611" width="15.85546875" style="1652" customWidth="1"/>
    <col min="4612" max="4612" width="17" style="1652" bestFit="1" customWidth="1"/>
    <col min="4613" max="4613" width="12.7109375" style="1652" customWidth="1"/>
    <col min="4614" max="4614" width="13.7109375" style="1652" customWidth="1"/>
    <col min="4615" max="4615" width="13.85546875" style="1652" bestFit="1" customWidth="1"/>
    <col min="4616" max="4616" width="16.5703125" style="1652" customWidth="1"/>
    <col min="4617" max="4617" width="16.140625" style="1652" customWidth="1"/>
    <col min="4618" max="4618" width="16.7109375" style="1652" bestFit="1" customWidth="1"/>
    <col min="4619" max="4619" width="15.5703125" style="1652" bestFit="1" customWidth="1"/>
    <col min="4620" max="4620" width="18" style="1652" customWidth="1"/>
    <col min="4621" max="4621" width="16.42578125" style="1652" bestFit="1" customWidth="1"/>
    <col min="4622" max="4622" width="14.28515625" style="1652" customWidth="1"/>
    <col min="4623" max="4623" width="12.85546875" style="1652" bestFit="1" customWidth="1"/>
    <col min="4624" max="4624" width="11.28515625" style="1652" bestFit="1" customWidth="1"/>
    <col min="4625" max="4625" width="12.5703125" style="1652" bestFit="1" customWidth="1"/>
    <col min="4626" max="4626" width="14" style="1652" bestFit="1" customWidth="1"/>
    <col min="4627" max="4627" width="6" style="1652" bestFit="1" customWidth="1"/>
    <col min="4628" max="4628" width="15" style="1652" customWidth="1"/>
    <col min="4629" max="4629" width="14.85546875" style="1652" bestFit="1" customWidth="1"/>
    <col min="4630" max="4630" width="16.140625" style="1652" bestFit="1" customWidth="1"/>
    <col min="4631" max="4857" width="9.140625" style="1652"/>
    <col min="4858" max="4858" width="24" style="1652" bestFit="1" customWidth="1"/>
    <col min="4859" max="4859" width="43.85546875" style="1652" customWidth="1"/>
    <col min="4860" max="4860" width="19.7109375" style="1652" bestFit="1" customWidth="1"/>
    <col min="4861" max="4861" width="15.28515625" style="1652" bestFit="1" customWidth="1"/>
    <col min="4862" max="4862" width="17.5703125" style="1652" bestFit="1" customWidth="1"/>
    <col min="4863" max="4863" width="13.42578125" style="1652" customWidth="1"/>
    <col min="4864" max="4864" width="15.28515625" style="1652" bestFit="1" customWidth="1"/>
    <col min="4865" max="4865" width="14.140625" style="1652" bestFit="1" customWidth="1"/>
    <col min="4866" max="4866" width="15.28515625" style="1652" customWidth="1"/>
    <col min="4867" max="4867" width="15.85546875" style="1652" customWidth="1"/>
    <col min="4868" max="4868" width="17" style="1652" bestFit="1" customWidth="1"/>
    <col min="4869" max="4869" width="12.7109375" style="1652" customWidth="1"/>
    <col min="4870" max="4870" width="13.7109375" style="1652" customWidth="1"/>
    <col min="4871" max="4871" width="13.85546875" style="1652" bestFit="1" customWidth="1"/>
    <col min="4872" max="4872" width="16.5703125" style="1652" customWidth="1"/>
    <col min="4873" max="4873" width="16.140625" style="1652" customWidth="1"/>
    <col min="4874" max="4874" width="16.7109375" style="1652" bestFit="1" customWidth="1"/>
    <col min="4875" max="4875" width="15.5703125" style="1652" bestFit="1" customWidth="1"/>
    <col min="4876" max="4876" width="18" style="1652" customWidth="1"/>
    <col min="4877" max="4877" width="16.42578125" style="1652" bestFit="1" customWidth="1"/>
    <col min="4878" max="4878" width="14.28515625" style="1652" customWidth="1"/>
    <col min="4879" max="4879" width="12.85546875" style="1652" bestFit="1" customWidth="1"/>
    <col min="4880" max="4880" width="11.28515625" style="1652" bestFit="1" customWidth="1"/>
    <col min="4881" max="4881" width="12.5703125" style="1652" bestFit="1" customWidth="1"/>
    <col min="4882" max="4882" width="14" style="1652" bestFit="1" customWidth="1"/>
    <col min="4883" max="4883" width="6" style="1652" bestFit="1" customWidth="1"/>
    <col min="4884" max="4884" width="15" style="1652" customWidth="1"/>
    <col min="4885" max="4885" width="14.85546875" style="1652" bestFit="1" customWidth="1"/>
    <col min="4886" max="4886" width="16.140625" style="1652" bestFit="1" customWidth="1"/>
    <col min="4887" max="5113" width="9.140625" style="1652"/>
    <col min="5114" max="5114" width="24" style="1652" bestFit="1" customWidth="1"/>
    <col min="5115" max="5115" width="43.85546875" style="1652" customWidth="1"/>
    <col min="5116" max="5116" width="19.7109375" style="1652" bestFit="1" customWidth="1"/>
    <col min="5117" max="5117" width="15.28515625" style="1652" bestFit="1" customWidth="1"/>
    <col min="5118" max="5118" width="17.5703125" style="1652" bestFit="1" customWidth="1"/>
    <col min="5119" max="5119" width="13.42578125" style="1652" customWidth="1"/>
    <col min="5120" max="5120" width="15.28515625" style="1652" bestFit="1" customWidth="1"/>
    <col min="5121" max="5121" width="14.140625" style="1652" bestFit="1" customWidth="1"/>
    <col min="5122" max="5122" width="15.28515625" style="1652" customWidth="1"/>
    <col min="5123" max="5123" width="15.85546875" style="1652" customWidth="1"/>
    <col min="5124" max="5124" width="17" style="1652" bestFit="1" customWidth="1"/>
    <col min="5125" max="5125" width="12.7109375" style="1652" customWidth="1"/>
    <col min="5126" max="5126" width="13.7109375" style="1652" customWidth="1"/>
    <col min="5127" max="5127" width="13.85546875" style="1652" bestFit="1" customWidth="1"/>
    <col min="5128" max="5128" width="16.5703125" style="1652" customWidth="1"/>
    <col min="5129" max="5129" width="16.140625" style="1652" customWidth="1"/>
    <col min="5130" max="5130" width="16.7109375" style="1652" bestFit="1" customWidth="1"/>
    <col min="5131" max="5131" width="15.5703125" style="1652" bestFit="1" customWidth="1"/>
    <col min="5132" max="5132" width="18" style="1652" customWidth="1"/>
    <col min="5133" max="5133" width="16.42578125" style="1652" bestFit="1" customWidth="1"/>
    <col min="5134" max="5134" width="14.28515625" style="1652" customWidth="1"/>
    <col min="5135" max="5135" width="12.85546875" style="1652" bestFit="1" customWidth="1"/>
    <col min="5136" max="5136" width="11.28515625" style="1652" bestFit="1" customWidth="1"/>
    <col min="5137" max="5137" width="12.5703125" style="1652" bestFit="1" customWidth="1"/>
    <col min="5138" max="5138" width="14" style="1652" bestFit="1" customWidth="1"/>
    <col min="5139" max="5139" width="6" style="1652" bestFit="1" customWidth="1"/>
    <col min="5140" max="5140" width="15" style="1652" customWidth="1"/>
    <col min="5141" max="5141" width="14.85546875" style="1652" bestFit="1" customWidth="1"/>
    <col min="5142" max="5142" width="16.140625" style="1652" bestFit="1" customWidth="1"/>
    <col min="5143" max="5369" width="9.140625" style="1652"/>
    <col min="5370" max="5370" width="24" style="1652" bestFit="1" customWidth="1"/>
    <col min="5371" max="5371" width="43.85546875" style="1652" customWidth="1"/>
    <col min="5372" max="5372" width="19.7109375" style="1652" bestFit="1" customWidth="1"/>
    <col min="5373" max="5373" width="15.28515625" style="1652" bestFit="1" customWidth="1"/>
    <col min="5374" max="5374" width="17.5703125" style="1652" bestFit="1" customWidth="1"/>
    <col min="5375" max="5375" width="13.42578125" style="1652" customWidth="1"/>
    <col min="5376" max="5376" width="15.28515625" style="1652" bestFit="1" customWidth="1"/>
    <col min="5377" max="5377" width="14.140625" style="1652" bestFit="1" customWidth="1"/>
    <col min="5378" max="5378" width="15.28515625" style="1652" customWidth="1"/>
    <col min="5379" max="5379" width="15.85546875" style="1652" customWidth="1"/>
    <col min="5380" max="5380" width="17" style="1652" bestFit="1" customWidth="1"/>
    <col min="5381" max="5381" width="12.7109375" style="1652" customWidth="1"/>
    <col min="5382" max="5382" width="13.7109375" style="1652" customWidth="1"/>
    <col min="5383" max="5383" width="13.85546875" style="1652" bestFit="1" customWidth="1"/>
    <col min="5384" max="5384" width="16.5703125" style="1652" customWidth="1"/>
    <col min="5385" max="5385" width="16.140625" style="1652" customWidth="1"/>
    <col min="5386" max="5386" width="16.7109375" style="1652" bestFit="1" customWidth="1"/>
    <col min="5387" max="5387" width="15.5703125" style="1652" bestFit="1" customWidth="1"/>
    <col min="5388" max="5388" width="18" style="1652" customWidth="1"/>
    <col min="5389" max="5389" width="16.42578125" style="1652" bestFit="1" customWidth="1"/>
    <col min="5390" max="5390" width="14.28515625" style="1652" customWidth="1"/>
    <col min="5391" max="5391" width="12.85546875" style="1652" bestFit="1" customWidth="1"/>
    <col min="5392" max="5392" width="11.28515625" style="1652" bestFit="1" customWidth="1"/>
    <col min="5393" max="5393" width="12.5703125" style="1652" bestFit="1" customWidth="1"/>
    <col min="5394" max="5394" width="14" style="1652" bestFit="1" customWidth="1"/>
    <col min="5395" max="5395" width="6" style="1652" bestFit="1" customWidth="1"/>
    <col min="5396" max="5396" width="15" style="1652" customWidth="1"/>
    <col min="5397" max="5397" width="14.85546875" style="1652" bestFit="1" customWidth="1"/>
    <col min="5398" max="5398" width="16.140625" style="1652" bestFit="1" customWidth="1"/>
    <col min="5399" max="5625" width="9.140625" style="1652"/>
    <col min="5626" max="5626" width="24" style="1652" bestFit="1" customWidth="1"/>
    <col min="5627" max="5627" width="43.85546875" style="1652" customWidth="1"/>
    <col min="5628" max="5628" width="19.7109375" style="1652" bestFit="1" customWidth="1"/>
    <col min="5629" max="5629" width="15.28515625" style="1652" bestFit="1" customWidth="1"/>
    <col min="5630" max="5630" width="17.5703125" style="1652" bestFit="1" customWidth="1"/>
    <col min="5631" max="5631" width="13.42578125" style="1652" customWidth="1"/>
    <col min="5632" max="5632" width="15.28515625" style="1652" bestFit="1" customWidth="1"/>
    <col min="5633" max="5633" width="14.140625" style="1652" bestFit="1" customWidth="1"/>
    <col min="5634" max="5634" width="15.28515625" style="1652" customWidth="1"/>
    <col min="5635" max="5635" width="15.85546875" style="1652" customWidth="1"/>
    <col min="5636" max="5636" width="17" style="1652" bestFit="1" customWidth="1"/>
    <col min="5637" max="5637" width="12.7109375" style="1652" customWidth="1"/>
    <col min="5638" max="5638" width="13.7109375" style="1652" customWidth="1"/>
    <col min="5639" max="5639" width="13.85546875" style="1652" bestFit="1" customWidth="1"/>
    <col min="5640" max="5640" width="16.5703125" style="1652" customWidth="1"/>
    <col min="5641" max="5641" width="16.140625" style="1652" customWidth="1"/>
    <col min="5642" max="5642" width="16.7109375" style="1652" bestFit="1" customWidth="1"/>
    <col min="5643" max="5643" width="15.5703125" style="1652" bestFit="1" customWidth="1"/>
    <col min="5644" max="5644" width="18" style="1652" customWidth="1"/>
    <col min="5645" max="5645" width="16.42578125" style="1652" bestFit="1" customWidth="1"/>
    <col min="5646" max="5646" width="14.28515625" style="1652" customWidth="1"/>
    <col min="5647" max="5647" width="12.85546875" style="1652" bestFit="1" customWidth="1"/>
    <col min="5648" max="5648" width="11.28515625" style="1652" bestFit="1" customWidth="1"/>
    <col min="5649" max="5649" width="12.5703125" style="1652" bestFit="1" customWidth="1"/>
    <col min="5650" max="5650" width="14" style="1652" bestFit="1" customWidth="1"/>
    <col min="5651" max="5651" width="6" style="1652" bestFit="1" customWidth="1"/>
    <col min="5652" max="5652" width="15" style="1652" customWidth="1"/>
    <col min="5653" max="5653" width="14.85546875" style="1652" bestFit="1" customWidth="1"/>
    <col min="5654" max="5654" width="16.140625" style="1652" bestFit="1" customWidth="1"/>
    <col min="5655" max="5881" width="9.140625" style="1652"/>
    <col min="5882" max="5882" width="24" style="1652" bestFit="1" customWidth="1"/>
    <col min="5883" max="5883" width="43.85546875" style="1652" customWidth="1"/>
    <col min="5884" max="5884" width="19.7109375" style="1652" bestFit="1" customWidth="1"/>
    <col min="5885" max="5885" width="15.28515625" style="1652" bestFit="1" customWidth="1"/>
    <col min="5886" max="5886" width="17.5703125" style="1652" bestFit="1" customWidth="1"/>
    <col min="5887" max="5887" width="13.42578125" style="1652" customWidth="1"/>
    <col min="5888" max="5888" width="15.28515625" style="1652" bestFit="1" customWidth="1"/>
    <col min="5889" max="5889" width="14.140625" style="1652" bestFit="1" customWidth="1"/>
    <col min="5890" max="5890" width="15.28515625" style="1652" customWidth="1"/>
    <col min="5891" max="5891" width="15.85546875" style="1652" customWidth="1"/>
    <col min="5892" max="5892" width="17" style="1652" bestFit="1" customWidth="1"/>
    <col min="5893" max="5893" width="12.7109375" style="1652" customWidth="1"/>
    <col min="5894" max="5894" width="13.7109375" style="1652" customWidth="1"/>
    <col min="5895" max="5895" width="13.85546875" style="1652" bestFit="1" customWidth="1"/>
    <col min="5896" max="5896" width="16.5703125" style="1652" customWidth="1"/>
    <col min="5897" max="5897" width="16.140625" style="1652" customWidth="1"/>
    <col min="5898" max="5898" width="16.7109375" style="1652" bestFit="1" customWidth="1"/>
    <col min="5899" max="5899" width="15.5703125" style="1652" bestFit="1" customWidth="1"/>
    <col min="5900" max="5900" width="18" style="1652" customWidth="1"/>
    <col min="5901" max="5901" width="16.42578125" style="1652" bestFit="1" customWidth="1"/>
    <col min="5902" max="5902" width="14.28515625" style="1652" customWidth="1"/>
    <col min="5903" max="5903" width="12.85546875" style="1652" bestFit="1" customWidth="1"/>
    <col min="5904" max="5904" width="11.28515625" style="1652" bestFit="1" customWidth="1"/>
    <col min="5905" max="5905" width="12.5703125" style="1652" bestFit="1" customWidth="1"/>
    <col min="5906" max="5906" width="14" style="1652" bestFit="1" customWidth="1"/>
    <col min="5907" max="5907" width="6" style="1652" bestFit="1" customWidth="1"/>
    <col min="5908" max="5908" width="15" style="1652" customWidth="1"/>
    <col min="5909" max="5909" width="14.85546875" style="1652" bestFit="1" customWidth="1"/>
    <col min="5910" max="5910" width="16.140625" style="1652" bestFit="1" customWidth="1"/>
    <col min="5911" max="6137" width="9.140625" style="1652"/>
    <col min="6138" max="6138" width="24" style="1652" bestFit="1" customWidth="1"/>
    <col min="6139" max="6139" width="43.85546875" style="1652" customWidth="1"/>
    <col min="6140" max="6140" width="19.7109375" style="1652" bestFit="1" customWidth="1"/>
    <col min="6141" max="6141" width="15.28515625" style="1652" bestFit="1" customWidth="1"/>
    <col min="6142" max="6142" width="17.5703125" style="1652" bestFit="1" customWidth="1"/>
    <col min="6143" max="6143" width="13.42578125" style="1652" customWidth="1"/>
    <col min="6144" max="6144" width="15.28515625" style="1652" bestFit="1" customWidth="1"/>
    <col min="6145" max="6145" width="14.140625" style="1652" bestFit="1" customWidth="1"/>
    <col min="6146" max="6146" width="15.28515625" style="1652" customWidth="1"/>
    <col min="6147" max="6147" width="15.85546875" style="1652" customWidth="1"/>
    <col min="6148" max="6148" width="17" style="1652" bestFit="1" customWidth="1"/>
    <col min="6149" max="6149" width="12.7109375" style="1652" customWidth="1"/>
    <col min="6150" max="6150" width="13.7109375" style="1652" customWidth="1"/>
    <col min="6151" max="6151" width="13.85546875" style="1652" bestFit="1" customWidth="1"/>
    <col min="6152" max="6152" width="16.5703125" style="1652" customWidth="1"/>
    <col min="6153" max="6153" width="16.140625" style="1652" customWidth="1"/>
    <col min="6154" max="6154" width="16.7109375" style="1652" bestFit="1" customWidth="1"/>
    <col min="6155" max="6155" width="15.5703125" style="1652" bestFit="1" customWidth="1"/>
    <col min="6156" max="6156" width="18" style="1652" customWidth="1"/>
    <col min="6157" max="6157" width="16.42578125" style="1652" bestFit="1" customWidth="1"/>
    <col min="6158" max="6158" width="14.28515625" style="1652" customWidth="1"/>
    <col min="6159" max="6159" width="12.85546875" style="1652" bestFit="1" customWidth="1"/>
    <col min="6160" max="6160" width="11.28515625" style="1652" bestFit="1" customWidth="1"/>
    <col min="6161" max="6161" width="12.5703125" style="1652" bestFit="1" customWidth="1"/>
    <col min="6162" max="6162" width="14" style="1652" bestFit="1" customWidth="1"/>
    <col min="6163" max="6163" width="6" style="1652" bestFit="1" customWidth="1"/>
    <col min="6164" max="6164" width="15" style="1652" customWidth="1"/>
    <col min="6165" max="6165" width="14.85546875" style="1652" bestFit="1" customWidth="1"/>
    <col min="6166" max="6166" width="16.140625" style="1652" bestFit="1" customWidth="1"/>
    <col min="6167" max="6393" width="9.140625" style="1652"/>
    <col min="6394" max="6394" width="24" style="1652" bestFit="1" customWidth="1"/>
    <col min="6395" max="6395" width="43.85546875" style="1652" customWidth="1"/>
    <col min="6396" max="6396" width="19.7109375" style="1652" bestFit="1" customWidth="1"/>
    <col min="6397" max="6397" width="15.28515625" style="1652" bestFit="1" customWidth="1"/>
    <col min="6398" max="6398" width="17.5703125" style="1652" bestFit="1" customWidth="1"/>
    <col min="6399" max="6399" width="13.42578125" style="1652" customWidth="1"/>
    <col min="6400" max="6400" width="15.28515625" style="1652" bestFit="1" customWidth="1"/>
    <col min="6401" max="6401" width="14.140625" style="1652" bestFit="1" customWidth="1"/>
    <col min="6402" max="6402" width="15.28515625" style="1652" customWidth="1"/>
    <col min="6403" max="6403" width="15.85546875" style="1652" customWidth="1"/>
    <col min="6404" max="6404" width="17" style="1652" bestFit="1" customWidth="1"/>
    <col min="6405" max="6405" width="12.7109375" style="1652" customWidth="1"/>
    <col min="6406" max="6406" width="13.7109375" style="1652" customWidth="1"/>
    <col min="6407" max="6407" width="13.85546875" style="1652" bestFit="1" customWidth="1"/>
    <col min="6408" max="6408" width="16.5703125" style="1652" customWidth="1"/>
    <col min="6409" max="6409" width="16.140625" style="1652" customWidth="1"/>
    <col min="6410" max="6410" width="16.7109375" style="1652" bestFit="1" customWidth="1"/>
    <col min="6411" max="6411" width="15.5703125" style="1652" bestFit="1" customWidth="1"/>
    <col min="6412" max="6412" width="18" style="1652" customWidth="1"/>
    <col min="6413" max="6413" width="16.42578125" style="1652" bestFit="1" customWidth="1"/>
    <col min="6414" max="6414" width="14.28515625" style="1652" customWidth="1"/>
    <col min="6415" max="6415" width="12.85546875" style="1652" bestFit="1" customWidth="1"/>
    <col min="6416" max="6416" width="11.28515625" style="1652" bestFit="1" customWidth="1"/>
    <col min="6417" max="6417" width="12.5703125" style="1652" bestFit="1" customWidth="1"/>
    <col min="6418" max="6418" width="14" style="1652" bestFit="1" customWidth="1"/>
    <col min="6419" max="6419" width="6" style="1652" bestFit="1" customWidth="1"/>
    <col min="6420" max="6420" width="15" style="1652" customWidth="1"/>
    <col min="6421" max="6421" width="14.85546875" style="1652" bestFit="1" customWidth="1"/>
    <col min="6422" max="6422" width="16.140625" style="1652" bestFit="1" customWidth="1"/>
    <col min="6423" max="6649" width="9.140625" style="1652"/>
    <col min="6650" max="6650" width="24" style="1652" bestFit="1" customWidth="1"/>
    <col min="6651" max="6651" width="43.85546875" style="1652" customWidth="1"/>
    <col min="6652" max="6652" width="19.7109375" style="1652" bestFit="1" customWidth="1"/>
    <col min="6653" max="6653" width="15.28515625" style="1652" bestFit="1" customWidth="1"/>
    <col min="6654" max="6654" width="17.5703125" style="1652" bestFit="1" customWidth="1"/>
    <col min="6655" max="6655" width="13.42578125" style="1652" customWidth="1"/>
    <col min="6656" max="6656" width="15.28515625" style="1652" bestFit="1" customWidth="1"/>
    <col min="6657" max="6657" width="14.140625" style="1652" bestFit="1" customWidth="1"/>
    <col min="6658" max="6658" width="15.28515625" style="1652" customWidth="1"/>
    <col min="6659" max="6659" width="15.85546875" style="1652" customWidth="1"/>
    <col min="6660" max="6660" width="17" style="1652" bestFit="1" customWidth="1"/>
    <col min="6661" max="6661" width="12.7109375" style="1652" customWidth="1"/>
    <col min="6662" max="6662" width="13.7109375" style="1652" customWidth="1"/>
    <col min="6663" max="6663" width="13.85546875" style="1652" bestFit="1" customWidth="1"/>
    <col min="6664" max="6664" width="16.5703125" style="1652" customWidth="1"/>
    <col min="6665" max="6665" width="16.140625" style="1652" customWidth="1"/>
    <col min="6666" max="6666" width="16.7109375" style="1652" bestFit="1" customWidth="1"/>
    <col min="6667" max="6667" width="15.5703125" style="1652" bestFit="1" customWidth="1"/>
    <col min="6668" max="6668" width="18" style="1652" customWidth="1"/>
    <col min="6669" max="6669" width="16.42578125" style="1652" bestFit="1" customWidth="1"/>
    <col min="6670" max="6670" width="14.28515625" style="1652" customWidth="1"/>
    <col min="6671" max="6671" width="12.85546875" style="1652" bestFit="1" customWidth="1"/>
    <col min="6672" max="6672" width="11.28515625" style="1652" bestFit="1" customWidth="1"/>
    <col min="6673" max="6673" width="12.5703125" style="1652" bestFit="1" customWidth="1"/>
    <col min="6674" max="6674" width="14" style="1652" bestFit="1" customWidth="1"/>
    <col min="6675" max="6675" width="6" style="1652" bestFit="1" customWidth="1"/>
    <col min="6676" max="6676" width="15" style="1652" customWidth="1"/>
    <col min="6677" max="6677" width="14.85546875" style="1652" bestFit="1" customWidth="1"/>
    <col min="6678" max="6678" width="16.140625" style="1652" bestFit="1" customWidth="1"/>
    <col min="6679" max="6905" width="9.140625" style="1652"/>
    <col min="6906" max="6906" width="24" style="1652" bestFit="1" customWidth="1"/>
    <col min="6907" max="6907" width="43.85546875" style="1652" customWidth="1"/>
    <col min="6908" max="6908" width="19.7109375" style="1652" bestFit="1" customWidth="1"/>
    <col min="6909" max="6909" width="15.28515625" style="1652" bestFit="1" customWidth="1"/>
    <col min="6910" max="6910" width="17.5703125" style="1652" bestFit="1" customWidth="1"/>
    <col min="6911" max="6911" width="13.42578125" style="1652" customWidth="1"/>
    <col min="6912" max="6912" width="15.28515625" style="1652" bestFit="1" customWidth="1"/>
    <col min="6913" max="6913" width="14.140625" style="1652" bestFit="1" customWidth="1"/>
    <col min="6914" max="6914" width="15.28515625" style="1652" customWidth="1"/>
    <col min="6915" max="6915" width="15.85546875" style="1652" customWidth="1"/>
    <col min="6916" max="6916" width="17" style="1652" bestFit="1" customWidth="1"/>
    <col min="6917" max="6917" width="12.7109375" style="1652" customWidth="1"/>
    <col min="6918" max="6918" width="13.7109375" style="1652" customWidth="1"/>
    <col min="6919" max="6919" width="13.85546875" style="1652" bestFit="1" customWidth="1"/>
    <col min="6920" max="6920" width="16.5703125" style="1652" customWidth="1"/>
    <col min="6921" max="6921" width="16.140625" style="1652" customWidth="1"/>
    <col min="6922" max="6922" width="16.7109375" style="1652" bestFit="1" customWidth="1"/>
    <col min="6923" max="6923" width="15.5703125" style="1652" bestFit="1" customWidth="1"/>
    <col min="6924" max="6924" width="18" style="1652" customWidth="1"/>
    <col min="6925" max="6925" width="16.42578125" style="1652" bestFit="1" customWidth="1"/>
    <col min="6926" max="6926" width="14.28515625" style="1652" customWidth="1"/>
    <col min="6927" max="6927" width="12.85546875" style="1652" bestFit="1" customWidth="1"/>
    <col min="6928" max="6928" width="11.28515625" style="1652" bestFit="1" customWidth="1"/>
    <col min="6929" max="6929" width="12.5703125" style="1652" bestFit="1" customWidth="1"/>
    <col min="6930" max="6930" width="14" style="1652" bestFit="1" customWidth="1"/>
    <col min="6931" max="6931" width="6" style="1652" bestFit="1" customWidth="1"/>
    <col min="6932" max="6932" width="15" style="1652" customWidth="1"/>
    <col min="6933" max="6933" width="14.85546875" style="1652" bestFit="1" customWidth="1"/>
    <col min="6934" max="6934" width="16.140625" style="1652" bestFit="1" customWidth="1"/>
    <col min="6935" max="7161" width="9.140625" style="1652"/>
    <col min="7162" max="7162" width="24" style="1652" bestFit="1" customWidth="1"/>
    <col min="7163" max="7163" width="43.85546875" style="1652" customWidth="1"/>
    <col min="7164" max="7164" width="19.7109375" style="1652" bestFit="1" customWidth="1"/>
    <col min="7165" max="7165" width="15.28515625" style="1652" bestFit="1" customWidth="1"/>
    <col min="7166" max="7166" width="17.5703125" style="1652" bestFit="1" customWidth="1"/>
    <col min="7167" max="7167" width="13.42578125" style="1652" customWidth="1"/>
    <col min="7168" max="7168" width="15.28515625" style="1652" bestFit="1" customWidth="1"/>
    <col min="7169" max="7169" width="14.140625" style="1652" bestFit="1" customWidth="1"/>
    <col min="7170" max="7170" width="15.28515625" style="1652" customWidth="1"/>
    <col min="7171" max="7171" width="15.85546875" style="1652" customWidth="1"/>
    <col min="7172" max="7172" width="17" style="1652" bestFit="1" customWidth="1"/>
    <col min="7173" max="7173" width="12.7109375" style="1652" customWidth="1"/>
    <col min="7174" max="7174" width="13.7109375" style="1652" customWidth="1"/>
    <col min="7175" max="7175" width="13.85546875" style="1652" bestFit="1" customWidth="1"/>
    <col min="7176" max="7176" width="16.5703125" style="1652" customWidth="1"/>
    <col min="7177" max="7177" width="16.140625" style="1652" customWidth="1"/>
    <col min="7178" max="7178" width="16.7109375" style="1652" bestFit="1" customWidth="1"/>
    <col min="7179" max="7179" width="15.5703125" style="1652" bestFit="1" customWidth="1"/>
    <col min="7180" max="7180" width="18" style="1652" customWidth="1"/>
    <col min="7181" max="7181" width="16.42578125" style="1652" bestFit="1" customWidth="1"/>
    <col min="7182" max="7182" width="14.28515625" style="1652" customWidth="1"/>
    <col min="7183" max="7183" width="12.85546875" style="1652" bestFit="1" customWidth="1"/>
    <col min="7184" max="7184" width="11.28515625" style="1652" bestFit="1" customWidth="1"/>
    <col min="7185" max="7185" width="12.5703125" style="1652" bestFit="1" customWidth="1"/>
    <col min="7186" max="7186" width="14" style="1652" bestFit="1" customWidth="1"/>
    <col min="7187" max="7187" width="6" style="1652" bestFit="1" customWidth="1"/>
    <col min="7188" max="7188" width="15" style="1652" customWidth="1"/>
    <col min="7189" max="7189" width="14.85546875" style="1652" bestFit="1" customWidth="1"/>
    <col min="7190" max="7190" width="16.140625" style="1652" bestFit="1" customWidth="1"/>
    <col min="7191" max="7417" width="9.140625" style="1652"/>
    <col min="7418" max="7418" width="24" style="1652" bestFit="1" customWidth="1"/>
    <col min="7419" max="7419" width="43.85546875" style="1652" customWidth="1"/>
    <col min="7420" max="7420" width="19.7109375" style="1652" bestFit="1" customWidth="1"/>
    <col min="7421" max="7421" width="15.28515625" style="1652" bestFit="1" customWidth="1"/>
    <col min="7422" max="7422" width="17.5703125" style="1652" bestFit="1" customWidth="1"/>
    <col min="7423" max="7423" width="13.42578125" style="1652" customWidth="1"/>
    <col min="7424" max="7424" width="15.28515625" style="1652" bestFit="1" customWidth="1"/>
    <col min="7425" max="7425" width="14.140625" style="1652" bestFit="1" customWidth="1"/>
    <col min="7426" max="7426" width="15.28515625" style="1652" customWidth="1"/>
    <col min="7427" max="7427" width="15.85546875" style="1652" customWidth="1"/>
    <col min="7428" max="7428" width="17" style="1652" bestFit="1" customWidth="1"/>
    <col min="7429" max="7429" width="12.7109375" style="1652" customWidth="1"/>
    <col min="7430" max="7430" width="13.7109375" style="1652" customWidth="1"/>
    <col min="7431" max="7431" width="13.85546875" style="1652" bestFit="1" customWidth="1"/>
    <col min="7432" max="7432" width="16.5703125" style="1652" customWidth="1"/>
    <col min="7433" max="7433" width="16.140625" style="1652" customWidth="1"/>
    <col min="7434" max="7434" width="16.7109375" style="1652" bestFit="1" customWidth="1"/>
    <col min="7435" max="7435" width="15.5703125" style="1652" bestFit="1" customWidth="1"/>
    <col min="7436" max="7436" width="18" style="1652" customWidth="1"/>
    <col min="7437" max="7437" width="16.42578125" style="1652" bestFit="1" customWidth="1"/>
    <col min="7438" max="7438" width="14.28515625" style="1652" customWidth="1"/>
    <col min="7439" max="7439" width="12.85546875" style="1652" bestFit="1" customWidth="1"/>
    <col min="7440" max="7440" width="11.28515625" style="1652" bestFit="1" customWidth="1"/>
    <col min="7441" max="7441" width="12.5703125" style="1652" bestFit="1" customWidth="1"/>
    <col min="7442" max="7442" width="14" style="1652" bestFit="1" customWidth="1"/>
    <col min="7443" max="7443" width="6" style="1652" bestFit="1" customWidth="1"/>
    <col min="7444" max="7444" width="15" style="1652" customWidth="1"/>
    <col min="7445" max="7445" width="14.85546875" style="1652" bestFit="1" customWidth="1"/>
    <col min="7446" max="7446" width="16.140625" style="1652" bestFit="1" customWidth="1"/>
    <col min="7447" max="7673" width="9.140625" style="1652"/>
    <col min="7674" max="7674" width="24" style="1652" bestFit="1" customWidth="1"/>
    <col min="7675" max="7675" width="43.85546875" style="1652" customWidth="1"/>
    <col min="7676" max="7676" width="19.7109375" style="1652" bestFit="1" customWidth="1"/>
    <col min="7677" max="7677" width="15.28515625" style="1652" bestFit="1" customWidth="1"/>
    <col min="7678" max="7678" width="17.5703125" style="1652" bestFit="1" customWidth="1"/>
    <col min="7679" max="7679" width="13.42578125" style="1652" customWidth="1"/>
    <col min="7680" max="7680" width="15.28515625" style="1652" bestFit="1" customWidth="1"/>
    <col min="7681" max="7681" width="14.140625" style="1652" bestFit="1" customWidth="1"/>
    <col min="7682" max="7682" width="15.28515625" style="1652" customWidth="1"/>
    <col min="7683" max="7683" width="15.85546875" style="1652" customWidth="1"/>
    <col min="7684" max="7684" width="17" style="1652" bestFit="1" customWidth="1"/>
    <col min="7685" max="7685" width="12.7109375" style="1652" customWidth="1"/>
    <col min="7686" max="7686" width="13.7109375" style="1652" customWidth="1"/>
    <col min="7687" max="7687" width="13.85546875" style="1652" bestFit="1" customWidth="1"/>
    <col min="7688" max="7688" width="16.5703125" style="1652" customWidth="1"/>
    <col min="7689" max="7689" width="16.140625" style="1652" customWidth="1"/>
    <col min="7690" max="7690" width="16.7109375" style="1652" bestFit="1" customWidth="1"/>
    <col min="7691" max="7691" width="15.5703125" style="1652" bestFit="1" customWidth="1"/>
    <col min="7692" max="7692" width="18" style="1652" customWidth="1"/>
    <col min="7693" max="7693" width="16.42578125" style="1652" bestFit="1" customWidth="1"/>
    <col min="7694" max="7694" width="14.28515625" style="1652" customWidth="1"/>
    <col min="7695" max="7695" width="12.85546875" style="1652" bestFit="1" customWidth="1"/>
    <col min="7696" max="7696" width="11.28515625" style="1652" bestFit="1" customWidth="1"/>
    <col min="7697" max="7697" width="12.5703125" style="1652" bestFit="1" customWidth="1"/>
    <col min="7698" max="7698" width="14" style="1652" bestFit="1" customWidth="1"/>
    <col min="7699" max="7699" width="6" style="1652" bestFit="1" customWidth="1"/>
    <col min="7700" max="7700" width="15" style="1652" customWidth="1"/>
    <col min="7701" max="7701" width="14.85546875" style="1652" bestFit="1" customWidth="1"/>
    <col min="7702" max="7702" width="16.140625" style="1652" bestFit="1" customWidth="1"/>
    <col min="7703" max="7929" width="9.140625" style="1652"/>
    <col min="7930" max="7930" width="24" style="1652" bestFit="1" customWidth="1"/>
    <col min="7931" max="7931" width="43.85546875" style="1652" customWidth="1"/>
    <col min="7932" max="7932" width="19.7109375" style="1652" bestFit="1" customWidth="1"/>
    <col min="7933" max="7933" width="15.28515625" style="1652" bestFit="1" customWidth="1"/>
    <col min="7934" max="7934" width="17.5703125" style="1652" bestFit="1" customWidth="1"/>
    <col min="7935" max="7935" width="13.42578125" style="1652" customWidth="1"/>
    <col min="7936" max="7936" width="15.28515625" style="1652" bestFit="1" customWidth="1"/>
    <col min="7937" max="7937" width="14.140625" style="1652" bestFit="1" customWidth="1"/>
    <col min="7938" max="7938" width="15.28515625" style="1652" customWidth="1"/>
    <col min="7939" max="7939" width="15.85546875" style="1652" customWidth="1"/>
    <col min="7940" max="7940" width="17" style="1652" bestFit="1" customWidth="1"/>
    <col min="7941" max="7941" width="12.7109375" style="1652" customWidth="1"/>
    <col min="7942" max="7942" width="13.7109375" style="1652" customWidth="1"/>
    <col min="7943" max="7943" width="13.85546875" style="1652" bestFit="1" customWidth="1"/>
    <col min="7944" max="7944" width="16.5703125" style="1652" customWidth="1"/>
    <col min="7945" max="7945" width="16.140625" style="1652" customWidth="1"/>
    <col min="7946" max="7946" width="16.7109375" style="1652" bestFit="1" customWidth="1"/>
    <col min="7947" max="7947" width="15.5703125" style="1652" bestFit="1" customWidth="1"/>
    <col min="7948" max="7948" width="18" style="1652" customWidth="1"/>
    <col min="7949" max="7949" width="16.42578125" style="1652" bestFit="1" customWidth="1"/>
    <col min="7950" max="7950" width="14.28515625" style="1652" customWidth="1"/>
    <col min="7951" max="7951" width="12.85546875" style="1652" bestFit="1" customWidth="1"/>
    <col min="7952" max="7952" width="11.28515625" style="1652" bestFit="1" customWidth="1"/>
    <col min="7953" max="7953" width="12.5703125" style="1652" bestFit="1" customWidth="1"/>
    <col min="7954" max="7954" width="14" style="1652" bestFit="1" customWidth="1"/>
    <col min="7955" max="7955" width="6" style="1652" bestFit="1" customWidth="1"/>
    <col min="7956" max="7956" width="15" style="1652" customWidth="1"/>
    <col min="7957" max="7957" width="14.85546875" style="1652" bestFit="1" customWidth="1"/>
    <col min="7958" max="7958" width="16.140625" style="1652" bestFit="1" customWidth="1"/>
    <col min="7959" max="8185" width="9.140625" style="1652"/>
    <col min="8186" max="8186" width="24" style="1652" bestFit="1" customWidth="1"/>
    <col min="8187" max="8187" width="43.85546875" style="1652" customWidth="1"/>
    <col min="8188" max="8188" width="19.7109375" style="1652" bestFit="1" customWidth="1"/>
    <col min="8189" max="8189" width="15.28515625" style="1652" bestFit="1" customWidth="1"/>
    <col min="8190" max="8190" width="17.5703125" style="1652" bestFit="1" customWidth="1"/>
    <col min="8191" max="8191" width="13.42578125" style="1652" customWidth="1"/>
    <col min="8192" max="8192" width="15.28515625" style="1652" bestFit="1" customWidth="1"/>
    <col min="8193" max="8193" width="14.140625" style="1652" bestFit="1" customWidth="1"/>
    <col min="8194" max="8194" width="15.28515625" style="1652" customWidth="1"/>
    <col min="8195" max="8195" width="15.85546875" style="1652" customWidth="1"/>
    <col min="8196" max="8196" width="17" style="1652" bestFit="1" customWidth="1"/>
    <col min="8197" max="8197" width="12.7109375" style="1652" customWidth="1"/>
    <col min="8198" max="8198" width="13.7109375" style="1652" customWidth="1"/>
    <col min="8199" max="8199" width="13.85546875" style="1652" bestFit="1" customWidth="1"/>
    <col min="8200" max="8200" width="16.5703125" style="1652" customWidth="1"/>
    <col min="8201" max="8201" width="16.140625" style="1652" customWidth="1"/>
    <col min="8202" max="8202" width="16.7109375" style="1652" bestFit="1" customWidth="1"/>
    <col min="8203" max="8203" width="15.5703125" style="1652" bestFit="1" customWidth="1"/>
    <col min="8204" max="8204" width="18" style="1652" customWidth="1"/>
    <col min="8205" max="8205" width="16.42578125" style="1652" bestFit="1" customWidth="1"/>
    <col min="8206" max="8206" width="14.28515625" style="1652" customWidth="1"/>
    <col min="8207" max="8207" width="12.85546875" style="1652" bestFit="1" customWidth="1"/>
    <col min="8208" max="8208" width="11.28515625" style="1652" bestFit="1" customWidth="1"/>
    <col min="8209" max="8209" width="12.5703125" style="1652" bestFit="1" customWidth="1"/>
    <col min="8210" max="8210" width="14" style="1652" bestFit="1" customWidth="1"/>
    <col min="8211" max="8211" width="6" style="1652" bestFit="1" customWidth="1"/>
    <col min="8212" max="8212" width="15" style="1652" customWidth="1"/>
    <col min="8213" max="8213" width="14.85546875" style="1652" bestFit="1" customWidth="1"/>
    <col min="8214" max="8214" width="16.140625" style="1652" bestFit="1" customWidth="1"/>
    <col min="8215" max="8441" width="9.140625" style="1652"/>
    <col min="8442" max="8442" width="24" style="1652" bestFit="1" customWidth="1"/>
    <col min="8443" max="8443" width="43.85546875" style="1652" customWidth="1"/>
    <col min="8444" max="8444" width="19.7109375" style="1652" bestFit="1" customWidth="1"/>
    <col min="8445" max="8445" width="15.28515625" style="1652" bestFit="1" customWidth="1"/>
    <col min="8446" max="8446" width="17.5703125" style="1652" bestFit="1" customWidth="1"/>
    <col min="8447" max="8447" width="13.42578125" style="1652" customWidth="1"/>
    <col min="8448" max="8448" width="15.28515625" style="1652" bestFit="1" customWidth="1"/>
    <col min="8449" max="8449" width="14.140625" style="1652" bestFit="1" customWidth="1"/>
    <col min="8450" max="8450" width="15.28515625" style="1652" customWidth="1"/>
    <col min="8451" max="8451" width="15.85546875" style="1652" customWidth="1"/>
    <col min="8452" max="8452" width="17" style="1652" bestFit="1" customWidth="1"/>
    <col min="8453" max="8453" width="12.7109375" style="1652" customWidth="1"/>
    <col min="8454" max="8454" width="13.7109375" style="1652" customWidth="1"/>
    <col min="8455" max="8455" width="13.85546875" style="1652" bestFit="1" customWidth="1"/>
    <col min="8456" max="8456" width="16.5703125" style="1652" customWidth="1"/>
    <col min="8457" max="8457" width="16.140625" style="1652" customWidth="1"/>
    <col min="8458" max="8458" width="16.7109375" style="1652" bestFit="1" customWidth="1"/>
    <col min="8459" max="8459" width="15.5703125" style="1652" bestFit="1" customWidth="1"/>
    <col min="8460" max="8460" width="18" style="1652" customWidth="1"/>
    <col min="8461" max="8461" width="16.42578125" style="1652" bestFit="1" customWidth="1"/>
    <col min="8462" max="8462" width="14.28515625" style="1652" customWidth="1"/>
    <col min="8463" max="8463" width="12.85546875" style="1652" bestFit="1" customWidth="1"/>
    <col min="8464" max="8464" width="11.28515625" style="1652" bestFit="1" customWidth="1"/>
    <col min="8465" max="8465" width="12.5703125" style="1652" bestFit="1" customWidth="1"/>
    <col min="8466" max="8466" width="14" style="1652" bestFit="1" customWidth="1"/>
    <col min="8467" max="8467" width="6" style="1652" bestFit="1" customWidth="1"/>
    <col min="8468" max="8468" width="15" style="1652" customWidth="1"/>
    <col min="8469" max="8469" width="14.85546875" style="1652" bestFit="1" customWidth="1"/>
    <col min="8470" max="8470" width="16.140625" style="1652" bestFit="1" customWidth="1"/>
    <col min="8471" max="8697" width="9.140625" style="1652"/>
    <col min="8698" max="8698" width="24" style="1652" bestFit="1" customWidth="1"/>
    <col min="8699" max="8699" width="43.85546875" style="1652" customWidth="1"/>
    <col min="8700" max="8700" width="19.7109375" style="1652" bestFit="1" customWidth="1"/>
    <col min="8701" max="8701" width="15.28515625" style="1652" bestFit="1" customWidth="1"/>
    <col min="8702" max="8702" width="17.5703125" style="1652" bestFit="1" customWidth="1"/>
    <col min="8703" max="8703" width="13.42578125" style="1652" customWidth="1"/>
    <col min="8704" max="8704" width="15.28515625" style="1652" bestFit="1" customWidth="1"/>
    <col min="8705" max="8705" width="14.140625" style="1652" bestFit="1" customWidth="1"/>
    <col min="8706" max="8706" width="15.28515625" style="1652" customWidth="1"/>
    <col min="8707" max="8707" width="15.85546875" style="1652" customWidth="1"/>
    <col min="8708" max="8708" width="17" style="1652" bestFit="1" customWidth="1"/>
    <col min="8709" max="8709" width="12.7109375" style="1652" customWidth="1"/>
    <col min="8710" max="8710" width="13.7109375" style="1652" customWidth="1"/>
    <col min="8711" max="8711" width="13.85546875" style="1652" bestFit="1" customWidth="1"/>
    <col min="8712" max="8712" width="16.5703125" style="1652" customWidth="1"/>
    <col min="8713" max="8713" width="16.140625" style="1652" customWidth="1"/>
    <col min="8714" max="8714" width="16.7109375" style="1652" bestFit="1" customWidth="1"/>
    <col min="8715" max="8715" width="15.5703125" style="1652" bestFit="1" customWidth="1"/>
    <col min="8716" max="8716" width="18" style="1652" customWidth="1"/>
    <col min="8717" max="8717" width="16.42578125" style="1652" bestFit="1" customWidth="1"/>
    <col min="8718" max="8718" width="14.28515625" style="1652" customWidth="1"/>
    <col min="8719" max="8719" width="12.85546875" style="1652" bestFit="1" customWidth="1"/>
    <col min="8720" max="8720" width="11.28515625" style="1652" bestFit="1" customWidth="1"/>
    <col min="8721" max="8721" width="12.5703125" style="1652" bestFit="1" customWidth="1"/>
    <col min="8722" max="8722" width="14" style="1652" bestFit="1" customWidth="1"/>
    <col min="8723" max="8723" width="6" style="1652" bestFit="1" customWidth="1"/>
    <col min="8724" max="8724" width="15" style="1652" customWidth="1"/>
    <col min="8725" max="8725" width="14.85546875" style="1652" bestFit="1" customWidth="1"/>
    <col min="8726" max="8726" width="16.140625" style="1652" bestFit="1" customWidth="1"/>
    <col min="8727" max="8953" width="9.140625" style="1652"/>
    <col min="8954" max="8954" width="24" style="1652" bestFit="1" customWidth="1"/>
    <col min="8955" max="8955" width="43.85546875" style="1652" customWidth="1"/>
    <col min="8956" max="8956" width="19.7109375" style="1652" bestFit="1" customWidth="1"/>
    <col min="8957" max="8957" width="15.28515625" style="1652" bestFit="1" customWidth="1"/>
    <col min="8958" max="8958" width="17.5703125" style="1652" bestFit="1" customWidth="1"/>
    <col min="8959" max="8959" width="13.42578125" style="1652" customWidth="1"/>
    <col min="8960" max="8960" width="15.28515625" style="1652" bestFit="1" customWidth="1"/>
    <col min="8961" max="8961" width="14.140625" style="1652" bestFit="1" customWidth="1"/>
    <col min="8962" max="8962" width="15.28515625" style="1652" customWidth="1"/>
    <col min="8963" max="8963" width="15.85546875" style="1652" customWidth="1"/>
    <col min="8964" max="8964" width="17" style="1652" bestFit="1" customWidth="1"/>
    <col min="8965" max="8965" width="12.7109375" style="1652" customWidth="1"/>
    <col min="8966" max="8966" width="13.7109375" style="1652" customWidth="1"/>
    <col min="8967" max="8967" width="13.85546875" style="1652" bestFit="1" customWidth="1"/>
    <col min="8968" max="8968" width="16.5703125" style="1652" customWidth="1"/>
    <col min="8969" max="8969" width="16.140625" style="1652" customWidth="1"/>
    <col min="8970" max="8970" width="16.7109375" style="1652" bestFit="1" customWidth="1"/>
    <col min="8971" max="8971" width="15.5703125" style="1652" bestFit="1" customWidth="1"/>
    <col min="8972" max="8972" width="18" style="1652" customWidth="1"/>
    <col min="8973" max="8973" width="16.42578125" style="1652" bestFit="1" customWidth="1"/>
    <col min="8974" max="8974" width="14.28515625" style="1652" customWidth="1"/>
    <col min="8975" max="8975" width="12.85546875" style="1652" bestFit="1" customWidth="1"/>
    <col min="8976" max="8976" width="11.28515625" style="1652" bestFit="1" customWidth="1"/>
    <col min="8977" max="8977" width="12.5703125" style="1652" bestFit="1" customWidth="1"/>
    <col min="8978" max="8978" width="14" style="1652" bestFit="1" customWidth="1"/>
    <col min="8979" max="8979" width="6" style="1652" bestFit="1" customWidth="1"/>
    <col min="8980" max="8980" width="15" style="1652" customWidth="1"/>
    <col min="8981" max="8981" width="14.85546875" style="1652" bestFit="1" customWidth="1"/>
    <col min="8982" max="8982" width="16.140625" style="1652" bestFit="1" customWidth="1"/>
    <col min="8983" max="9209" width="9.140625" style="1652"/>
    <col min="9210" max="9210" width="24" style="1652" bestFit="1" customWidth="1"/>
    <col min="9211" max="9211" width="43.85546875" style="1652" customWidth="1"/>
    <col min="9212" max="9212" width="19.7109375" style="1652" bestFit="1" customWidth="1"/>
    <col min="9213" max="9213" width="15.28515625" style="1652" bestFit="1" customWidth="1"/>
    <col min="9214" max="9214" width="17.5703125" style="1652" bestFit="1" customWidth="1"/>
    <col min="9215" max="9215" width="13.42578125" style="1652" customWidth="1"/>
    <col min="9216" max="9216" width="15.28515625" style="1652" bestFit="1" customWidth="1"/>
    <col min="9217" max="9217" width="14.140625" style="1652" bestFit="1" customWidth="1"/>
    <col min="9218" max="9218" width="15.28515625" style="1652" customWidth="1"/>
    <col min="9219" max="9219" width="15.85546875" style="1652" customWidth="1"/>
    <col min="9220" max="9220" width="17" style="1652" bestFit="1" customWidth="1"/>
    <col min="9221" max="9221" width="12.7109375" style="1652" customWidth="1"/>
    <col min="9222" max="9222" width="13.7109375" style="1652" customWidth="1"/>
    <col min="9223" max="9223" width="13.85546875" style="1652" bestFit="1" customWidth="1"/>
    <col min="9224" max="9224" width="16.5703125" style="1652" customWidth="1"/>
    <col min="9225" max="9225" width="16.140625" style="1652" customWidth="1"/>
    <col min="9226" max="9226" width="16.7109375" style="1652" bestFit="1" customWidth="1"/>
    <col min="9227" max="9227" width="15.5703125" style="1652" bestFit="1" customWidth="1"/>
    <col min="9228" max="9228" width="18" style="1652" customWidth="1"/>
    <col min="9229" max="9229" width="16.42578125" style="1652" bestFit="1" customWidth="1"/>
    <col min="9230" max="9230" width="14.28515625" style="1652" customWidth="1"/>
    <col min="9231" max="9231" width="12.85546875" style="1652" bestFit="1" customWidth="1"/>
    <col min="9232" max="9232" width="11.28515625" style="1652" bestFit="1" customWidth="1"/>
    <col min="9233" max="9233" width="12.5703125" style="1652" bestFit="1" customWidth="1"/>
    <col min="9234" max="9234" width="14" style="1652" bestFit="1" customWidth="1"/>
    <col min="9235" max="9235" width="6" style="1652" bestFit="1" customWidth="1"/>
    <col min="9236" max="9236" width="15" style="1652" customWidth="1"/>
    <col min="9237" max="9237" width="14.85546875" style="1652" bestFit="1" customWidth="1"/>
    <col min="9238" max="9238" width="16.140625" style="1652" bestFit="1" customWidth="1"/>
    <col min="9239" max="9465" width="9.140625" style="1652"/>
    <col min="9466" max="9466" width="24" style="1652" bestFit="1" customWidth="1"/>
    <col min="9467" max="9467" width="43.85546875" style="1652" customWidth="1"/>
    <col min="9468" max="9468" width="19.7109375" style="1652" bestFit="1" customWidth="1"/>
    <col min="9469" max="9469" width="15.28515625" style="1652" bestFit="1" customWidth="1"/>
    <col min="9470" max="9470" width="17.5703125" style="1652" bestFit="1" customWidth="1"/>
    <col min="9471" max="9471" width="13.42578125" style="1652" customWidth="1"/>
    <col min="9472" max="9472" width="15.28515625" style="1652" bestFit="1" customWidth="1"/>
    <col min="9473" max="9473" width="14.140625" style="1652" bestFit="1" customWidth="1"/>
    <col min="9474" max="9474" width="15.28515625" style="1652" customWidth="1"/>
    <col min="9475" max="9475" width="15.85546875" style="1652" customWidth="1"/>
    <col min="9476" max="9476" width="17" style="1652" bestFit="1" customWidth="1"/>
    <col min="9477" max="9477" width="12.7109375" style="1652" customWidth="1"/>
    <col min="9478" max="9478" width="13.7109375" style="1652" customWidth="1"/>
    <col min="9479" max="9479" width="13.85546875" style="1652" bestFit="1" customWidth="1"/>
    <col min="9480" max="9480" width="16.5703125" style="1652" customWidth="1"/>
    <col min="9481" max="9481" width="16.140625" style="1652" customWidth="1"/>
    <col min="9482" max="9482" width="16.7109375" style="1652" bestFit="1" customWidth="1"/>
    <col min="9483" max="9483" width="15.5703125" style="1652" bestFit="1" customWidth="1"/>
    <col min="9484" max="9484" width="18" style="1652" customWidth="1"/>
    <col min="9485" max="9485" width="16.42578125" style="1652" bestFit="1" customWidth="1"/>
    <col min="9486" max="9486" width="14.28515625" style="1652" customWidth="1"/>
    <col min="9487" max="9487" width="12.85546875" style="1652" bestFit="1" customWidth="1"/>
    <col min="9488" max="9488" width="11.28515625" style="1652" bestFit="1" customWidth="1"/>
    <col min="9489" max="9489" width="12.5703125" style="1652" bestFit="1" customWidth="1"/>
    <col min="9490" max="9490" width="14" style="1652" bestFit="1" customWidth="1"/>
    <col min="9491" max="9491" width="6" style="1652" bestFit="1" customWidth="1"/>
    <col min="9492" max="9492" width="15" style="1652" customWidth="1"/>
    <col min="9493" max="9493" width="14.85546875" style="1652" bestFit="1" customWidth="1"/>
    <col min="9494" max="9494" width="16.140625" style="1652" bestFit="1" customWidth="1"/>
    <col min="9495" max="9721" width="9.140625" style="1652"/>
    <col min="9722" max="9722" width="24" style="1652" bestFit="1" customWidth="1"/>
    <col min="9723" max="9723" width="43.85546875" style="1652" customWidth="1"/>
    <col min="9724" max="9724" width="19.7109375" style="1652" bestFit="1" customWidth="1"/>
    <col min="9725" max="9725" width="15.28515625" style="1652" bestFit="1" customWidth="1"/>
    <col min="9726" max="9726" width="17.5703125" style="1652" bestFit="1" customWidth="1"/>
    <col min="9727" max="9727" width="13.42578125" style="1652" customWidth="1"/>
    <col min="9728" max="9728" width="15.28515625" style="1652" bestFit="1" customWidth="1"/>
    <col min="9729" max="9729" width="14.140625" style="1652" bestFit="1" customWidth="1"/>
    <col min="9730" max="9730" width="15.28515625" style="1652" customWidth="1"/>
    <col min="9731" max="9731" width="15.85546875" style="1652" customWidth="1"/>
    <col min="9732" max="9732" width="17" style="1652" bestFit="1" customWidth="1"/>
    <col min="9733" max="9733" width="12.7109375" style="1652" customWidth="1"/>
    <col min="9734" max="9734" width="13.7109375" style="1652" customWidth="1"/>
    <col min="9735" max="9735" width="13.85546875" style="1652" bestFit="1" customWidth="1"/>
    <col min="9736" max="9736" width="16.5703125" style="1652" customWidth="1"/>
    <col min="9737" max="9737" width="16.140625" style="1652" customWidth="1"/>
    <col min="9738" max="9738" width="16.7109375" style="1652" bestFit="1" customWidth="1"/>
    <col min="9739" max="9739" width="15.5703125" style="1652" bestFit="1" customWidth="1"/>
    <col min="9740" max="9740" width="18" style="1652" customWidth="1"/>
    <col min="9741" max="9741" width="16.42578125" style="1652" bestFit="1" customWidth="1"/>
    <col min="9742" max="9742" width="14.28515625" style="1652" customWidth="1"/>
    <col min="9743" max="9743" width="12.85546875" style="1652" bestFit="1" customWidth="1"/>
    <col min="9744" max="9744" width="11.28515625" style="1652" bestFit="1" customWidth="1"/>
    <col min="9745" max="9745" width="12.5703125" style="1652" bestFit="1" customWidth="1"/>
    <col min="9746" max="9746" width="14" style="1652" bestFit="1" customWidth="1"/>
    <col min="9747" max="9747" width="6" style="1652" bestFit="1" customWidth="1"/>
    <col min="9748" max="9748" width="15" style="1652" customWidth="1"/>
    <col min="9749" max="9749" width="14.85546875" style="1652" bestFit="1" customWidth="1"/>
    <col min="9750" max="9750" width="16.140625" style="1652" bestFit="1" customWidth="1"/>
    <col min="9751" max="9977" width="9.140625" style="1652"/>
    <col min="9978" max="9978" width="24" style="1652" bestFit="1" customWidth="1"/>
    <col min="9979" max="9979" width="43.85546875" style="1652" customWidth="1"/>
    <col min="9980" max="9980" width="19.7109375" style="1652" bestFit="1" customWidth="1"/>
    <col min="9981" max="9981" width="15.28515625" style="1652" bestFit="1" customWidth="1"/>
    <col min="9982" max="9982" width="17.5703125" style="1652" bestFit="1" customWidth="1"/>
    <col min="9983" max="9983" width="13.42578125" style="1652" customWidth="1"/>
    <col min="9984" max="9984" width="15.28515625" style="1652" bestFit="1" customWidth="1"/>
    <col min="9985" max="9985" width="14.140625" style="1652" bestFit="1" customWidth="1"/>
    <col min="9986" max="9986" width="15.28515625" style="1652" customWidth="1"/>
    <col min="9987" max="9987" width="15.85546875" style="1652" customWidth="1"/>
    <col min="9988" max="9988" width="17" style="1652" bestFit="1" customWidth="1"/>
    <col min="9989" max="9989" width="12.7109375" style="1652" customWidth="1"/>
    <col min="9990" max="9990" width="13.7109375" style="1652" customWidth="1"/>
    <col min="9991" max="9991" width="13.85546875" style="1652" bestFit="1" customWidth="1"/>
    <col min="9992" max="9992" width="16.5703125" style="1652" customWidth="1"/>
    <col min="9993" max="9993" width="16.140625" style="1652" customWidth="1"/>
    <col min="9994" max="9994" width="16.7109375" style="1652" bestFit="1" customWidth="1"/>
    <col min="9995" max="9995" width="15.5703125" style="1652" bestFit="1" customWidth="1"/>
    <col min="9996" max="9996" width="18" style="1652" customWidth="1"/>
    <col min="9997" max="9997" width="16.42578125" style="1652" bestFit="1" customWidth="1"/>
    <col min="9998" max="9998" width="14.28515625" style="1652" customWidth="1"/>
    <col min="9999" max="9999" width="12.85546875" style="1652" bestFit="1" customWidth="1"/>
    <col min="10000" max="10000" width="11.28515625" style="1652" bestFit="1" customWidth="1"/>
    <col min="10001" max="10001" width="12.5703125" style="1652" bestFit="1" customWidth="1"/>
    <col min="10002" max="10002" width="14" style="1652" bestFit="1" customWidth="1"/>
    <col min="10003" max="10003" width="6" style="1652" bestFit="1" customWidth="1"/>
    <col min="10004" max="10004" width="15" style="1652" customWidth="1"/>
    <col min="10005" max="10005" width="14.85546875" style="1652" bestFit="1" customWidth="1"/>
    <col min="10006" max="10006" width="16.140625" style="1652" bestFit="1" customWidth="1"/>
    <col min="10007" max="10233" width="9.140625" style="1652"/>
    <col min="10234" max="10234" width="24" style="1652" bestFit="1" customWidth="1"/>
    <col min="10235" max="10235" width="43.85546875" style="1652" customWidth="1"/>
    <col min="10236" max="10236" width="19.7109375" style="1652" bestFit="1" customWidth="1"/>
    <col min="10237" max="10237" width="15.28515625" style="1652" bestFit="1" customWidth="1"/>
    <col min="10238" max="10238" width="17.5703125" style="1652" bestFit="1" customWidth="1"/>
    <col min="10239" max="10239" width="13.42578125" style="1652" customWidth="1"/>
    <col min="10240" max="10240" width="15.28515625" style="1652" bestFit="1" customWidth="1"/>
    <col min="10241" max="10241" width="14.140625" style="1652" bestFit="1" customWidth="1"/>
    <col min="10242" max="10242" width="15.28515625" style="1652" customWidth="1"/>
    <col min="10243" max="10243" width="15.85546875" style="1652" customWidth="1"/>
    <col min="10244" max="10244" width="17" style="1652" bestFit="1" customWidth="1"/>
    <col min="10245" max="10245" width="12.7109375" style="1652" customWidth="1"/>
    <col min="10246" max="10246" width="13.7109375" style="1652" customWidth="1"/>
    <col min="10247" max="10247" width="13.85546875" style="1652" bestFit="1" customWidth="1"/>
    <col min="10248" max="10248" width="16.5703125" style="1652" customWidth="1"/>
    <col min="10249" max="10249" width="16.140625" style="1652" customWidth="1"/>
    <col min="10250" max="10250" width="16.7109375" style="1652" bestFit="1" customWidth="1"/>
    <col min="10251" max="10251" width="15.5703125" style="1652" bestFit="1" customWidth="1"/>
    <col min="10252" max="10252" width="18" style="1652" customWidth="1"/>
    <col min="10253" max="10253" width="16.42578125" style="1652" bestFit="1" customWidth="1"/>
    <col min="10254" max="10254" width="14.28515625" style="1652" customWidth="1"/>
    <col min="10255" max="10255" width="12.85546875" style="1652" bestFit="1" customWidth="1"/>
    <col min="10256" max="10256" width="11.28515625" style="1652" bestFit="1" customWidth="1"/>
    <col min="10257" max="10257" width="12.5703125" style="1652" bestFit="1" customWidth="1"/>
    <col min="10258" max="10258" width="14" style="1652" bestFit="1" customWidth="1"/>
    <col min="10259" max="10259" width="6" style="1652" bestFit="1" customWidth="1"/>
    <col min="10260" max="10260" width="15" style="1652" customWidth="1"/>
    <col min="10261" max="10261" width="14.85546875" style="1652" bestFit="1" customWidth="1"/>
    <col min="10262" max="10262" width="16.140625" style="1652" bestFit="1" customWidth="1"/>
    <col min="10263" max="10489" width="9.140625" style="1652"/>
    <col min="10490" max="10490" width="24" style="1652" bestFit="1" customWidth="1"/>
    <col min="10491" max="10491" width="43.85546875" style="1652" customWidth="1"/>
    <col min="10492" max="10492" width="19.7109375" style="1652" bestFit="1" customWidth="1"/>
    <col min="10493" max="10493" width="15.28515625" style="1652" bestFit="1" customWidth="1"/>
    <col min="10494" max="10494" width="17.5703125" style="1652" bestFit="1" customWidth="1"/>
    <col min="10495" max="10495" width="13.42578125" style="1652" customWidth="1"/>
    <col min="10496" max="10496" width="15.28515625" style="1652" bestFit="1" customWidth="1"/>
    <col min="10497" max="10497" width="14.140625" style="1652" bestFit="1" customWidth="1"/>
    <col min="10498" max="10498" width="15.28515625" style="1652" customWidth="1"/>
    <col min="10499" max="10499" width="15.85546875" style="1652" customWidth="1"/>
    <col min="10500" max="10500" width="17" style="1652" bestFit="1" customWidth="1"/>
    <col min="10501" max="10501" width="12.7109375" style="1652" customWidth="1"/>
    <col min="10502" max="10502" width="13.7109375" style="1652" customWidth="1"/>
    <col min="10503" max="10503" width="13.85546875" style="1652" bestFit="1" customWidth="1"/>
    <col min="10504" max="10504" width="16.5703125" style="1652" customWidth="1"/>
    <col min="10505" max="10505" width="16.140625" style="1652" customWidth="1"/>
    <col min="10506" max="10506" width="16.7109375" style="1652" bestFit="1" customWidth="1"/>
    <col min="10507" max="10507" width="15.5703125" style="1652" bestFit="1" customWidth="1"/>
    <col min="10508" max="10508" width="18" style="1652" customWidth="1"/>
    <col min="10509" max="10509" width="16.42578125" style="1652" bestFit="1" customWidth="1"/>
    <col min="10510" max="10510" width="14.28515625" style="1652" customWidth="1"/>
    <col min="10511" max="10511" width="12.85546875" style="1652" bestFit="1" customWidth="1"/>
    <col min="10512" max="10512" width="11.28515625" style="1652" bestFit="1" customWidth="1"/>
    <col min="10513" max="10513" width="12.5703125" style="1652" bestFit="1" customWidth="1"/>
    <col min="10514" max="10514" width="14" style="1652" bestFit="1" customWidth="1"/>
    <col min="10515" max="10515" width="6" style="1652" bestFit="1" customWidth="1"/>
    <col min="10516" max="10516" width="15" style="1652" customWidth="1"/>
    <col min="10517" max="10517" width="14.85546875" style="1652" bestFit="1" customWidth="1"/>
    <col min="10518" max="10518" width="16.140625" style="1652" bestFit="1" customWidth="1"/>
    <col min="10519" max="10745" width="9.140625" style="1652"/>
    <col min="10746" max="10746" width="24" style="1652" bestFit="1" customWidth="1"/>
    <col min="10747" max="10747" width="43.85546875" style="1652" customWidth="1"/>
    <col min="10748" max="10748" width="19.7109375" style="1652" bestFit="1" customWidth="1"/>
    <col min="10749" max="10749" width="15.28515625" style="1652" bestFit="1" customWidth="1"/>
    <col min="10750" max="10750" width="17.5703125" style="1652" bestFit="1" customWidth="1"/>
    <col min="10751" max="10751" width="13.42578125" style="1652" customWidth="1"/>
    <col min="10752" max="10752" width="15.28515625" style="1652" bestFit="1" customWidth="1"/>
    <col min="10753" max="10753" width="14.140625" style="1652" bestFit="1" customWidth="1"/>
    <col min="10754" max="10754" width="15.28515625" style="1652" customWidth="1"/>
    <col min="10755" max="10755" width="15.85546875" style="1652" customWidth="1"/>
    <col min="10756" max="10756" width="17" style="1652" bestFit="1" customWidth="1"/>
    <col min="10757" max="10757" width="12.7109375" style="1652" customWidth="1"/>
    <col min="10758" max="10758" width="13.7109375" style="1652" customWidth="1"/>
    <col min="10759" max="10759" width="13.85546875" style="1652" bestFit="1" customWidth="1"/>
    <col min="10760" max="10760" width="16.5703125" style="1652" customWidth="1"/>
    <col min="10761" max="10761" width="16.140625" style="1652" customWidth="1"/>
    <col min="10762" max="10762" width="16.7109375" style="1652" bestFit="1" customWidth="1"/>
    <col min="10763" max="10763" width="15.5703125" style="1652" bestFit="1" customWidth="1"/>
    <col min="10764" max="10764" width="18" style="1652" customWidth="1"/>
    <col min="10765" max="10765" width="16.42578125" style="1652" bestFit="1" customWidth="1"/>
    <col min="10766" max="10766" width="14.28515625" style="1652" customWidth="1"/>
    <col min="10767" max="10767" width="12.85546875" style="1652" bestFit="1" customWidth="1"/>
    <col min="10768" max="10768" width="11.28515625" style="1652" bestFit="1" customWidth="1"/>
    <col min="10769" max="10769" width="12.5703125" style="1652" bestFit="1" customWidth="1"/>
    <col min="10770" max="10770" width="14" style="1652" bestFit="1" customWidth="1"/>
    <col min="10771" max="10771" width="6" style="1652" bestFit="1" customWidth="1"/>
    <col min="10772" max="10772" width="15" style="1652" customWidth="1"/>
    <col min="10773" max="10773" width="14.85546875" style="1652" bestFit="1" customWidth="1"/>
    <col min="10774" max="10774" width="16.140625" style="1652" bestFit="1" customWidth="1"/>
    <col min="10775" max="11001" width="9.140625" style="1652"/>
    <col min="11002" max="11002" width="24" style="1652" bestFit="1" customWidth="1"/>
    <col min="11003" max="11003" width="43.85546875" style="1652" customWidth="1"/>
    <col min="11004" max="11004" width="19.7109375" style="1652" bestFit="1" customWidth="1"/>
    <col min="11005" max="11005" width="15.28515625" style="1652" bestFit="1" customWidth="1"/>
    <col min="11006" max="11006" width="17.5703125" style="1652" bestFit="1" customWidth="1"/>
    <col min="11007" max="11007" width="13.42578125" style="1652" customWidth="1"/>
    <col min="11008" max="11008" width="15.28515625" style="1652" bestFit="1" customWidth="1"/>
    <col min="11009" max="11009" width="14.140625" style="1652" bestFit="1" customWidth="1"/>
    <col min="11010" max="11010" width="15.28515625" style="1652" customWidth="1"/>
    <col min="11011" max="11011" width="15.85546875" style="1652" customWidth="1"/>
    <col min="11012" max="11012" width="17" style="1652" bestFit="1" customWidth="1"/>
    <col min="11013" max="11013" width="12.7109375" style="1652" customWidth="1"/>
    <col min="11014" max="11014" width="13.7109375" style="1652" customWidth="1"/>
    <col min="11015" max="11015" width="13.85546875" style="1652" bestFit="1" customWidth="1"/>
    <col min="11016" max="11016" width="16.5703125" style="1652" customWidth="1"/>
    <col min="11017" max="11017" width="16.140625" style="1652" customWidth="1"/>
    <col min="11018" max="11018" width="16.7109375" style="1652" bestFit="1" customWidth="1"/>
    <col min="11019" max="11019" width="15.5703125" style="1652" bestFit="1" customWidth="1"/>
    <col min="11020" max="11020" width="18" style="1652" customWidth="1"/>
    <col min="11021" max="11021" width="16.42578125" style="1652" bestFit="1" customWidth="1"/>
    <col min="11022" max="11022" width="14.28515625" style="1652" customWidth="1"/>
    <col min="11023" max="11023" width="12.85546875" style="1652" bestFit="1" customWidth="1"/>
    <col min="11024" max="11024" width="11.28515625" style="1652" bestFit="1" customWidth="1"/>
    <col min="11025" max="11025" width="12.5703125" style="1652" bestFit="1" customWidth="1"/>
    <col min="11026" max="11026" width="14" style="1652" bestFit="1" customWidth="1"/>
    <col min="11027" max="11027" width="6" style="1652" bestFit="1" customWidth="1"/>
    <col min="11028" max="11028" width="15" style="1652" customWidth="1"/>
    <col min="11029" max="11029" width="14.85546875" style="1652" bestFit="1" customWidth="1"/>
    <col min="11030" max="11030" width="16.140625" style="1652" bestFit="1" customWidth="1"/>
    <col min="11031" max="11257" width="9.140625" style="1652"/>
    <col min="11258" max="11258" width="24" style="1652" bestFit="1" customWidth="1"/>
    <col min="11259" max="11259" width="43.85546875" style="1652" customWidth="1"/>
    <col min="11260" max="11260" width="19.7109375" style="1652" bestFit="1" customWidth="1"/>
    <col min="11261" max="11261" width="15.28515625" style="1652" bestFit="1" customWidth="1"/>
    <col min="11262" max="11262" width="17.5703125" style="1652" bestFit="1" customWidth="1"/>
    <col min="11263" max="11263" width="13.42578125" style="1652" customWidth="1"/>
    <col min="11264" max="11264" width="15.28515625" style="1652" bestFit="1" customWidth="1"/>
    <col min="11265" max="11265" width="14.140625" style="1652" bestFit="1" customWidth="1"/>
    <col min="11266" max="11266" width="15.28515625" style="1652" customWidth="1"/>
    <col min="11267" max="11267" width="15.85546875" style="1652" customWidth="1"/>
    <col min="11268" max="11268" width="17" style="1652" bestFit="1" customWidth="1"/>
    <col min="11269" max="11269" width="12.7109375" style="1652" customWidth="1"/>
    <col min="11270" max="11270" width="13.7109375" style="1652" customWidth="1"/>
    <col min="11271" max="11271" width="13.85546875" style="1652" bestFit="1" customWidth="1"/>
    <col min="11272" max="11272" width="16.5703125" style="1652" customWidth="1"/>
    <col min="11273" max="11273" width="16.140625" style="1652" customWidth="1"/>
    <col min="11274" max="11274" width="16.7109375" style="1652" bestFit="1" customWidth="1"/>
    <col min="11275" max="11275" width="15.5703125" style="1652" bestFit="1" customWidth="1"/>
    <col min="11276" max="11276" width="18" style="1652" customWidth="1"/>
    <col min="11277" max="11277" width="16.42578125" style="1652" bestFit="1" customWidth="1"/>
    <col min="11278" max="11278" width="14.28515625" style="1652" customWidth="1"/>
    <col min="11279" max="11279" width="12.85546875" style="1652" bestFit="1" customWidth="1"/>
    <col min="11280" max="11280" width="11.28515625" style="1652" bestFit="1" customWidth="1"/>
    <col min="11281" max="11281" width="12.5703125" style="1652" bestFit="1" customWidth="1"/>
    <col min="11282" max="11282" width="14" style="1652" bestFit="1" customWidth="1"/>
    <col min="11283" max="11283" width="6" style="1652" bestFit="1" customWidth="1"/>
    <col min="11284" max="11284" width="15" style="1652" customWidth="1"/>
    <col min="11285" max="11285" width="14.85546875" style="1652" bestFit="1" customWidth="1"/>
    <col min="11286" max="11286" width="16.140625" style="1652" bestFit="1" customWidth="1"/>
    <col min="11287" max="11513" width="9.140625" style="1652"/>
    <col min="11514" max="11514" width="24" style="1652" bestFit="1" customWidth="1"/>
    <col min="11515" max="11515" width="43.85546875" style="1652" customWidth="1"/>
    <col min="11516" max="11516" width="19.7109375" style="1652" bestFit="1" customWidth="1"/>
    <col min="11517" max="11517" width="15.28515625" style="1652" bestFit="1" customWidth="1"/>
    <col min="11518" max="11518" width="17.5703125" style="1652" bestFit="1" customWidth="1"/>
    <col min="11519" max="11519" width="13.42578125" style="1652" customWidth="1"/>
    <col min="11520" max="11520" width="15.28515625" style="1652" bestFit="1" customWidth="1"/>
    <col min="11521" max="11521" width="14.140625" style="1652" bestFit="1" customWidth="1"/>
    <col min="11522" max="11522" width="15.28515625" style="1652" customWidth="1"/>
    <col min="11523" max="11523" width="15.85546875" style="1652" customWidth="1"/>
    <col min="11524" max="11524" width="17" style="1652" bestFit="1" customWidth="1"/>
    <col min="11525" max="11525" width="12.7109375" style="1652" customWidth="1"/>
    <col min="11526" max="11526" width="13.7109375" style="1652" customWidth="1"/>
    <col min="11527" max="11527" width="13.85546875" style="1652" bestFit="1" customWidth="1"/>
    <col min="11528" max="11528" width="16.5703125" style="1652" customWidth="1"/>
    <col min="11529" max="11529" width="16.140625" style="1652" customWidth="1"/>
    <col min="11530" max="11530" width="16.7109375" style="1652" bestFit="1" customWidth="1"/>
    <col min="11531" max="11531" width="15.5703125" style="1652" bestFit="1" customWidth="1"/>
    <col min="11532" max="11532" width="18" style="1652" customWidth="1"/>
    <col min="11533" max="11533" width="16.42578125" style="1652" bestFit="1" customWidth="1"/>
    <col min="11534" max="11534" width="14.28515625" style="1652" customWidth="1"/>
    <col min="11535" max="11535" width="12.85546875" style="1652" bestFit="1" customWidth="1"/>
    <col min="11536" max="11536" width="11.28515625" style="1652" bestFit="1" customWidth="1"/>
    <col min="11537" max="11537" width="12.5703125" style="1652" bestFit="1" customWidth="1"/>
    <col min="11538" max="11538" width="14" style="1652" bestFit="1" customWidth="1"/>
    <col min="11539" max="11539" width="6" style="1652" bestFit="1" customWidth="1"/>
    <col min="11540" max="11540" width="15" style="1652" customWidth="1"/>
    <col min="11541" max="11541" width="14.85546875" style="1652" bestFit="1" customWidth="1"/>
    <col min="11542" max="11542" width="16.140625" style="1652" bestFit="1" customWidth="1"/>
    <col min="11543" max="11769" width="9.140625" style="1652"/>
    <col min="11770" max="11770" width="24" style="1652" bestFit="1" customWidth="1"/>
    <col min="11771" max="11771" width="43.85546875" style="1652" customWidth="1"/>
    <col min="11772" max="11772" width="19.7109375" style="1652" bestFit="1" customWidth="1"/>
    <col min="11773" max="11773" width="15.28515625" style="1652" bestFit="1" customWidth="1"/>
    <col min="11774" max="11774" width="17.5703125" style="1652" bestFit="1" customWidth="1"/>
    <col min="11775" max="11775" width="13.42578125" style="1652" customWidth="1"/>
    <col min="11776" max="11776" width="15.28515625" style="1652" bestFit="1" customWidth="1"/>
    <col min="11777" max="11777" width="14.140625" style="1652" bestFit="1" customWidth="1"/>
    <col min="11778" max="11778" width="15.28515625" style="1652" customWidth="1"/>
    <col min="11779" max="11779" width="15.85546875" style="1652" customWidth="1"/>
    <col min="11780" max="11780" width="17" style="1652" bestFit="1" customWidth="1"/>
    <col min="11781" max="11781" width="12.7109375" style="1652" customWidth="1"/>
    <col min="11782" max="11782" width="13.7109375" style="1652" customWidth="1"/>
    <col min="11783" max="11783" width="13.85546875" style="1652" bestFit="1" customWidth="1"/>
    <col min="11784" max="11784" width="16.5703125" style="1652" customWidth="1"/>
    <col min="11785" max="11785" width="16.140625" style="1652" customWidth="1"/>
    <col min="11786" max="11786" width="16.7109375" style="1652" bestFit="1" customWidth="1"/>
    <col min="11787" max="11787" width="15.5703125" style="1652" bestFit="1" customWidth="1"/>
    <col min="11788" max="11788" width="18" style="1652" customWidth="1"/>
    <col min="11789" max="11789" width="16.42578125" style="1652" bestFit="1" customWidth="1"/>
    <col min="11790" max="11790" width="14.28515625" style="1652" customWidth="1"/>
    <col min="11791" max="11791" width="12.85546875" style="1652" bestFit="1" customWidth="1"/>
    <col min="11792" max="11792" width="11.28515625" style="1652" bestFit="1" customWidth="1"/>
    <col min="11793" max="11793" width="12.5703125" style="1652" bestFit="1" customWidth="1"/>
    <col min="11794" max="11794" width="14" style="1652" bestFit="1" customWidth="1"/>
    <col min="11795" max="11795" width="6" style="1652" bestFit="1" customWidth="1"/>
    <col min="11796" max="11796" width="15" style="1652" customWidth="1"/>
    <col min="11797" max="11797" width="14.85546875" style="1652" bestFit="1" customWidth="1"/>
    <col min="11798" max="11798" width="16.140625" style="1652" bestFit="1" customWidth="1"/>
    <col min="11799" max="12025" width="9.140625" style="1652"/>
    <col min="12026" max="12026" width="24" style="1652" bestFit="1" customWidth="1"/>
    <col min="12027" max="12027" width="43.85546875" style="1652" customWidth="1"/>
    <col min="12028" max="12028" width="19.7109375" style="1652" bestFit="1" customWidth="1"/>
    <col min="12029" max="12029" width="15.28515625" style="1652" bestFit="1" customWidth="1"/>
    <col min="12030" max="12030" width="17.5703125" style="1652" bestFit="1" customWidth="1"/>
    <col min="12031" max="12031" width="13.42578125" style="1652" customWidth="1"/>
    <col min="12032" max="12032" width="15.28515625" style="1652" bestFit="1" customWidth="1"/>
    <col min="12033" max="12033" width="14.140625" style="1652" bestFit="1" customWidth="1"/>
    <col min="12034" max="12034" width="15.28515625" style="1652" customWidth="1"/>
    <col min="12035" max="12035" width="15.85546875" style="1652" customWidth="1"/>
    <col min="12036" max="12036" width="17" style="1652" bestFit="1" customWidth="1"/>
    <col min="12037" max="12037" width="12.7109375" style="1652" customWidth="1"/>
    <col min="12038" max="12038" width="13.7109375" style="1652" customWidth="1"/>
    <col min="12039" max="12039" width="13.85546875" style="1652" bestFit="1" customWidth="1"/>
    <col min="12040" max="12040" width="16.5703125" style="1652" customWidth="1"/>
    <col min="12041" max="12041" width="16.140625" style="1652" customWidth="1"/>
    <col min="12042" max="12042" width="16.7109375" style="1652" bestFit="1" customWidth="1"/>
    <col min="12043" max="12043" width="15.5703125" style="1652" bestFit="1" customWidth="1"/>
    <col min="12044" max="12044" width="18" style="1652" customWidth="1"/>
    <col min="12045" max="12045" width="16.42578125" style="1652" bestFit="1" customWidth="1"/>
    <col min="12046" max="12046" width="14.28515625" style="1652" customWidth="1"/>
    <col min="12047" max="12047" width="12.85546875" style="1652" bestFit="1" customWidth="1"/>
    <col min="12048" max="12048" width="11.28515625" style="1652" bestFit="1" customWidth="1"/>
    <col min="12049" max="12049" width="12.5703125" style="1652" bestFit="1" customWidth="1"/>
    <col min="12050" max="12050" width="14" style="1652" bestFit="1" customWidth="1"/>
    <col min="12051" max="12051" width="6" style="1652" bestFit="1" customWidth="1"/>
    <col min="12052" max="12052" width="15" style="1652" customWidth="1"/>
    <col min="12053" max="12053" width="14.85546875" style="1652" bestFit="1" customWidth="1"/>
    <col min="12054" max="12054" width="16.140625" style="1652" bestFit="1" customWidth="1"/>
    <col min="12055" max="12281" width="9.140625" style="1652"/>
    <col min="12282" max="12282" width="24" style="1652" bestFit="1" customWidth="1"/>
    <col min="12283" max="12283" width="43.85546875" style="1652" customWidth="1"/>
    <col min="12284" max="12284" width="19.7109375" style="1652" bestFit="1" customWidth="1"/>
    <col min="12285" max="12285" width="15.28515625" style="1652" bestFit="1" customWidth="1"/>
    <col min="12286" max="12286" width="17.5703125" style="1652" bestFit="1" customWidth="1"/>
    <col min="12287" max="12287" width="13.42578125" style="1652" customWidth="1"/>
    <col min="12288" max="12288" width="15.28515625" style="1652" bestFit="1" customWidth="1"/>
    <col min="12289" max="12289" width="14.140625" style="1652" bestFit="1" customWidth="1"/>
    <col min="12290" max="12290" width="15.28515625" style="1652" customWidth="1"/>
    <col min="12291" max="12291" width="15.85546875" style="1652" customWidth="1"/>
    <col min="12292" max="12292" width="17" style="1652" bestFit="1" customWidth="1"/>
    <col min="12293" max="12293" width="12.7109375" style="1652" customWidth="1"/>
    <col min="12294" max="12294" width="13.7109375" style="1652" customWidth="1"/>
    <col min="12295" max="12295" width="13.85546875" style="1652" bestFit="1" customWidth="1"/>
    <col min="12296" max="12296" width="16.5703125" style="1652" customWidth="1"/>
    <col min="12297" max="12297" width="16.140625" style="1652" customWidth="1"/>
    <col min="12298" max="12298" width="16.7109375" style="1652" bestFit="1" customWidth="1"/>
    <col min="12299" max="12299" width="15.5703125" style="1652" bestFit="1" customWidth="1"/>
    <col min="12300" max="12300" width="18" style="1652" customWidth="1"/>
    <col min="12301" max="12301" width="16.42578125" style="1652" bestFit="1" customWidth="1"/>
    <col min="12302" max="12302" width="14.28515625" style="1652" customWidth="1"/>
    <col min="12303" max="12303" width="12.85546875" style="1652" bestFit="1" customWidth="1"/>
    <col min="12304" max="12304" width="11.28515625" style="1652" bestFit="1" customWidth="1"/>
    <col min="12305" max="12305" width="12.5703125" style="1652" bestFit="1" customWidth="1"/>
    <col min="12306" max="12306" width="14" style="1652" bestFit="1" customWidth="1"/>
    <col min="12307" max="12307" width="6" style="1652" bestFit="1" customWidth="1"/>
    <col min="12308" max="12308" width="15" style="1652" customWidth="1"/>
    <col min="12309" max="12309" width="14.85546875" style="1652" bestFit="1" customWidth="1"/>
    <col min="12310" max="12310" width="16.140625" style="1652" bestFit="1" customWidth="1"/>
    <col min="12311" max="12537" width="9.140625" style="1652"/>
    <col min="12538" max="12538" width="24" style="1652" bestFit="1" customWidth="1"/>
    <col min="12539" max="12539" width="43.85546875" style="1652" customWidth="1"/>
    <col min="12540" max="12540" width="19.7109375" style="1652" bestFit="1" customWidth="1"/>
    <col min="12541" max="12541" width="15.28515625" style="1652" bestFit="1" customWidth="1"/>
    <col min="12542" max="12542" width="17.5703125" style="1652" bestFit="1" customWidth="1"/>
    <col min="12543" max="12543" width="13.42578125" style="1652" customWidth="1"/>
    <col min="12544" max="12544" width="15.28515625" style="1652" bestFit="1" customWidth="1"/>
    <col min="12545" max="12545" width="14.140625" style="1652" bestFit="1" customWidth="1"/>
    <col min="12546" max="12546" width="15.28515625" style="1652" customWidth="1"/>
    <col min="12547" max="12547" width="15.85546875" style="1652" customWidth="1"/>
    <col min="12548" max="12548" width="17" style="1652" bestFit="1" customWidth="1"/>
    <col min="12549" max="12549" width="12.7109375" style="1652" customWidth="1"/>
    <col min="12550" max="12550" width="13.7109375" style="1652" customWidth="1"/>
    <col min="12551" max="12551" width="13.85546875" style="1652" bestFit="1" customWidth="1"/>
    <col min="12552" max="12552" width="16.5703125" style="1652" customWidth="1"/>
    <col min="12553" max="12553" width="16.140625" style="1652" customWidth="1"/>
    <col min="12554" max="12554" width="16.7109375" style="1652" bestFit="1" customWidth="1"/>
    <col min="12555" max="12555" width="15.5703125" style="1652" bestFit="1" customWidth="1"/>
    <col min="12556" max="12556" width="18" style="1652" customWidth="1"/>
    <col min="12557" max="12557" width="16.42578125" style="1652" bestFit="1" customWidth="1"/>
    <col min="12558" max="12558" width="14.28515625" style="1652" customWidth="1"/>
    <col min="12559" max="12559" width="12.85546875" style="1652" bestFit="1" customWidth="1"/>
    <col min="12560" max="12560" width="11.28515625" style="1652" bestFit="1" customWidth="1"/>
    <col min="12561" max="12561" width="12.5703125" style="1652" bestFit="1" customWidth="1"/>
    <col min="12562" max="12562" width="14" style="1652" bestFit="1" customWidth="1"/>
    <col min="12563" max="12563" width="6" style="1652" bestFit="1" customWidth="1"/>
    <col min="12564" max="12564" width="15" style="1652" customWidth="1"/>
    <col min="12565" max="12565" width="14.85546875" style="1652" bestFit="1" customWidth="1"/>
    <col min="12566" max="12566" width="16.140625" style="1652" bestFit="1" customWidth="1"/>
    <col min="12567" max="12793" width="9.140625" style="1652"/>
    <col min="12794" max="12794" width="24" style="1652" bestFit="1" customWidth="1"/>
    <col min="12795" max="12795" width="43.85546875" style="1652" customWidth="1"/>
    <col min="12796" max="12796" width="19.7109375" style="1652" bestFit="1" customWidth="1"/>
    <col min="12797" max="12797" width="15.28515625" style="1652" bestFit="1" customWidth="1"/>
    <col min="12798" max="12798" width="17.5703125" style="1652" bestFit="1" customWidth="1"/>
    <col min="12799" max="12799" width="13.42578125" style="1652" customWidth="1"/>
    <col min="12800" max="12800" width="15.28515625" style="1652" bestFit="1" customWidth="1"/>
    <col min="12801" max="12801" width="14.140625" style="1652" bestFit="1" customWidth="1"/>
    <col min="12802" max="12802" width="15.28515625" style="1652" customWidth="1"/>
    <col min="12803" max="12803" width="15.85546875" style="1652" customWidth="1"/>
    <col min="12804" max="12804" width="17" style="1652" bestFit="1" customWidth="1"/>
    <col min="12805" max="12805" width="12.7109375" style="1652" customWidth="1"/>
    <col min="12806" max="12806" width="13.7109375" style="1652" customWidth="1"/>
    <col min="12807" max="12807" width="13.85546875" style="1652" bestFit="1" customWidth="1"/>
    <col min="12808" max="12808" width="16.5703125" style="1652" customWidth="1"/>
    <col min="12809" max="12809" width="16.140625" style="1652" customWidth="1"/>
    <col min="12810" max="12810" width="16.7109375" style="1652" bestFit="1" customWidth="1"/>
    <col min="12811" max="12811" width="15.5703125" style="1652" bestFit="1" customWidth="1"/>
    <col min="12812" max="12812" width="18" style="1652" customWidth="1"/>
    <col min="12813" max="12813" width="16.42578125" style="1652" bestFit="1" customWidth="1"/>
    <col min="12814" max="12814" width="14.28515625" style="1652" customWidth="1"/>
    <col min="12815" max="12815" width="12.85546875" style="1652" bestFit="1" customWidth="1"/>
    <col min="12816" max="12816" width="11.28515625" style="1652" bestFit="1" customWidth="1"/>
    <col min="12817" max="12817" width="12.5703125" style="1652" bestFit="1" customWidth="1"/>
    <col min="12818" max="12818" width="14" style="1652" bestFit="1" customWidth="1"/>
    <col min="12819" max="12819" width="6" style="1652" bestFit="1" customWidth="1"/>
    <col min="12820" max="12820" width="15" style="1652" customWidth="1"/>
    <col min="12821" max="12821" width="14.85546875" style="1652" bestFit="1" customWidth="1"/>
    <col min="12822" max="12822" width="16.140625" style="1652" bestFit="1" customWidth="1"/>
    <col min="12823" max="13049" width="9.140625" style="1652"/>
    <col min="13050" max="13050" width="24" style="1652" bestFit="1" customWidth="1"/>
    <col min="13051" max="13051" width="43.85546875" style="1652" customWidth="1"/>
    <col min="13052" max="13052" width="19.7109375" style="1652" bestFit="1" customWidth="1"/>
    <col min="13053" max="13053" width="15.28515625" style="1652" bestFit="1" customWidth="1"/>
    <col min="13054" max="13054" width="17.5703125" style="1652" bestFit="1" customWidth="1"/>
    <col min="13055" max="13055" width="13.42578125" style="1652" customWidth="1"/>
    <col min="13056" max="13056" width="15.28515625" style="1652" bestFit="1" customWidth="1"/>
    <col min="13057" max="13057" width="14.140625" style="1652" bestFit="1" customWidth="1"/>
    <col min="13058" max="13058" width="15.28515625" style="1652" customWidth="1"/>
    <col min="13059" max="13059" width="15.85546875" style="1652" customWidth="1"/>
    <col min="13060" max="13060" width="17" style="1652" bestFit="1" customWidth="1"/>
    <col min="13061" max="13061" width="12.7109375" style="1652" customWidth="1"/>
    <col min="13062" max="13062" width="13.7109375" style="1652" customWidth="1"/>
    <col min="13063" max="13063" width="13.85546875" style="1652" bestFit="1" customWidth="1"/>
    <col min="13064" max="13064" width="16.5703125" style="1652" customWidth="1"/>
    <col min="13065" max="13065" width="16.140625" style="1652" customWidth="1"/>
    <col min="13066" max="13066" width="16.7109375" style="1652" bestFit="1" customWidth="1"/>
    <col min="13067" max="13067" width="15.5703125" style="1652" bestFit="1" customWidth="1"/>
    <col min="13068" max="13068" width="18" style="1652" customWidth="1"/>
    <col min="13069" max="13069" width="16.42578125" style="1652" bestFit="1" customWidth="1"/>
    <col min="13070" max="13070" width="14.28515625" style="1652" customWidth="1"/>
    <col min="13071" max="13071" width="12.85546875" style="1652" bestFit="1" customWidth="1"/>
    <col min="13072" max="13072" width="11.28515625" style="1652" bestFit="1" customWidth="1"/>
    <col min="13073" max="13073" width="12.5703125" style="1652" bestFit="1" customWidth="1"/>
    <col min="13074" max="13074" width="14" style="1652" bestFit="1" customWidth="1"/>
    <col min="13075" max="13075" width="6" style="1652" bestFit="1" customWidth="1"/>
    <col min="13076" max="13076" width="15" style="1652" customWidth="1"/>
    <col min="13077" max="13077" width="14.85546875" style="1652" bestFit="1" customWidth="1"/>
    <col min="13078" max="13078" width="16.140625" style="1652" bestFit="1" customWidth="1"/>
    <col min="13079" max="13305" width="9.140625" style="1652"/>
    <col min="13306" max="13306" width="24" style="1652" bestFit="1" customWidth="1"/>
    <col min="13307" max="13307" width="43.85546875" style="1652" customWidth="1"/>
    <col min="13308" max="13308" width="19.7109375" style="1652" bestFit="1" customWidth="1"/>
    <col min="13309" max="13309" width="15.28515625" style="1652" bestFit="1" customWidth="1"/>
    <col min="13310" max="13310" width="17.5703125" style="1652" bestFit="1" customWidth="1"/>
    <col min="13311" max="13311" width="13.42578125" style="1652" customWidth="1"/>
    <col min="13312" max="13312" width="15.28515625" style="1652" bestFit="1" customWidth="1"/>
    <col min="13313" max="13313" width="14.140625" style="1652" bestFit="1" customWidth="1"/>
    <col min="13314" max="13314" width="15.28515625" style="1652" customWidth="1"/>
    <col min="13315" max="13315" width="15.85546875" style="1652" customWidth="1"/>
    <col min="13316" max="13316" width="17" style="1652" bestFit="1" customWidth="1"/>
    <col min="13317" max="13317" width="12.7109375" style="1652" customWidth="1"/>
    <col min="13318" max="13318" width="13.7109375" style="1652" customWidth="1"/>
    <col min="13319" max="13319" width="13.85546875" style="1652" bestFit="1" customWidth="1"/>
    <col min="13320" max="13320" width="16.5703125" style="1652" customWidth="1"/>
    <col min="13321" max="13321" width="16.140625" style="1652" customWidth="1"/>
    <col min="13322" max="13322" width="16.7109375" style="1652" bestFit="1" customWidth="1"/>
    <col min="13323" max="13323" width="15.5703125" style="1652" bestFit="1" customWidth="1"/>
    <col min="13324" max="13324" width="18" style="1652" customWidth="1"/>
    <col min="13325" max="13325" width="16.42578125" style="1652" bestFit="1" customWidth="1"/>
    <col min="13326" max="13326" width="14.28515625" style="1652" customWidth="1"/>
    <col min="13327" max="13327" width="12.85546875" style="1652" bestFit="1" customWidth="1"/>
    <col min="13328" max="13328" width="11.28515625" style="1652" bestFit="1" customWidth="1"/>
    <col min="13329" max="13329" width="12.5703125" style="1652" bestFit="1" customWidth="1"/>
    <col min="13330" max="13330" width="14" style="1652" bestFit="1" customWidth="1"/>
    <col min="13331" max="13331" width="6" style="1652" bestFit="1" customWidth="1"/>
    <col min="13332" max="13332" width="15" style="1652" customWidth="1"/>
    <col min="13333" max="13333" width="14.85546875" style="1652" bestFit="1" customWidth="1"/>
    <col min="13334" max="13334" width="16.140625" style="1652" bestFit="1" customWidth="1"/>
    <col min="13335" max="13561" width="9.140625" style="1652"/>
    <col min="13562" max="13562" width="24" style="1652" bestFit="1" customWidth="1"/>
    <col min="13563" max="13563" width="43.85546875" style="1652" customWidth="1"/>
    <col min="13564" max="13564" width="19.7109375" style="1652" bestFit="1" customWidth="1"/>
    <col min="13565" max="13565" width="15.28515625" style="1652" bestFit="1" customWidth="1"/>
    <col min="13566" max="13566" width="17.5703125" style="1652" bestFit="1" customWidth="1"/>
    <col min="13567" max="13567" width="13.42578125" style="1652" customWidth="1"/>
    <col min="13568" max="13568" width="15.28515625" style="1652" bestFit="1" customWidth="1"/>
    <col min="13569" max="13569" width="14.140625" style="1652" bestFit="1" customWidth="1"/>
    <col min="13570" max="13570" width="15.28515625" style="1652" customWidth="1"/>
    <col min="13571" max="13571" width="15.85546875" style="1652" customWidth="1"/>
    <col min="13572" max="13572" width="17" style="1652" bestFit="1" customWidth="1"/>
    <col min="13573" max="13573" width="12.7109375" style="1652" customWidth="1"/>
    <col min="13574" max="13574" width="13.7109375" style="1652" customWidth="1"/>
    <col min="13575" max="13575" width="13.85546875" style="1652" bestFit="1" customWidth="1"/>
    <col min="13576" max="13576" width="16.5703125" style="1652" customWidth="1"/>
    <col min="13577" max="13577" width="16.140625" style="1652" customWidth="1"/>
    <col min="13578" max="13578" width="16.7109375" style="1652" bestFit="1" customWidth="1"/>
    <col min="13579" max="13579" width="15.5703125" style="1652" bestFit="1" customWidth="1"/>
    <col min="13580" max="13580" width="18" style="1652" customWidth="1"/>
    <col min="13581" max="13581" width="16.42578125" style="1652" bestFit="1" customWidth="1"/>
    <col min="13582" max="13582" width="14.28515625" style="1652" customWidth="1"/>
    <col min="13583" max="13583" width="12.85546875" style="1652" bestFit="1" customWidth="1"/>
    <col min="13584" max="13584" width="11.28515625" style="1652" bestFit="1" customWidth="1"/>
    <col min="13585" max="13585" width="12.5703125" style="1652" bestFit="1" customWidth="1"/>
    <col min="13586" max="13586" width="14" style="1652" bestFit="1" customWidth="1"/>
    <col min="13587" max="13587" width="6" style="1652" bestFit="1" customWidth="1"/>
    <col min="13588" max="13588" width="15" style="1652" customWidth="1"/>
    <col min="13589" max="13589" width="14.85546875" style="1652" bestFit="1" customWidth="1"/>
    <col min="13590" max="13590" width="16.140625" style="1652" bestFit="1" customWidth="1"/>
    <col min="13591" max="13817" width="9.140625" style="1652"/>
    <col min="13818" max="13818" width="24" style="1652" bestFit="1" customWidth="1"/>
    <col min="13819" max="13819" width="43.85546875" style="1652" customWidth="1"/>
    <col min="13820" max="13820" width="19.7109375" style="1652" bestFit="1" customWidth="1"/>
    <col min="13821" max="13821" width="15.28515625" style="1652" bestFit="1" customWidth="1"/>
    <col min="13822" max="13822" width="17.5703125" style="1652" bestFit="1" customWidth="1"/>
    <col min="13823" max="13823" width="13.42578125" style="1652" customWidth="1"/>
    <col min="13824" max="13824" width="15.28515625" style="1652" bestFit="1" customWidth="1"/>
    <col min="13825" max="13825" width="14.140625" style="1652" bestFit="1" customWidth="1"/>
    <col min="13826" max="13826" width="15.28515625" style="1652" customWidth="1"/>
    <col min="13827" max="13827" width="15.85546875" style="1652" customWidth="1"/>
    <col min="13828" max="13828" width="17" style="1652" bestFit="1" customWidth="1"/>
    <col min="13829" max="13829" width="12.7109375" style="1652" customWidth="1"/>
    <col min="13830" max="13830" width="13.7109375" style="1652" customWidth="1"/>
    <col min="13831" max="13831" width="13.85546875" style="1652" bestFit="1" customWidth="1"/>
    <col min="13832" max="13832" width="16.5703125" style="1652" customWidth="1"/>
    <col min="13833" max="13833" width="16.140625" style="1652" customWidth="1"/>
    <col min="13834" max="13834" width="16.7109375" style="1652" bestFit="1" customWidth="1"/>
    <col min="13835" max="13835" width="15.5703125" style="1652" bestFit="1" customWidth="1"/>
    <col min="13836" max="13836" width="18" style="1652" customWidth="1"/>
    <col min="13837" max="13837" width="16.42578125" style="1652" bestFit="1" customWidth="1"/>
    <col min="13838" max="13838" width="14.28515625" style="1652" customWidth="1"/>
    <col min="13839" max="13839" width="12.85546875" style="1652" bestFit="1" customWidth="1"/>
    <col min="13840" max="13840" width="11.28515625" style="1652" bestFit="1" customWidth="1"/>
    <col min="13841" max="13841" width="12.5703125" style="1652" bestFit="1" customWidth="1"/>
    <col min="13842" max="13842" width="14" style="1652" bestFit="1" customWidth="1"/>
    <col min="13843" max="13843" width="6" style="1652" bestFit="1" customWidth="1"/>
    <col min="13844" max="13844" width="15" style="1652" customWidth="1"/>
    <col min="13845" max="13845" width="14.85546875" style="1652" bestFit="1" customWidth="1"/>
    <col min="13846" max="13846" width="16.140625" style="1652" bestFit="1" customWidth="1"/>
    <col min="13847" max="14073" width="9.140625" style="1652"/>
    <col min="14074" max="14074" width="24" style="1652" bestFit="1" customWidth="1"/>
    <col min="14075" max="14075" width="43.85546875" style="1652" customWidth="1"/>
    <col min="14076" max="14076" width="19.7109375" style="1652" bestFit="1" customWidth="1"/>
    <col min="14077" max="14077" width="15.28515625" style="1652" bestFit="1" customWidth="1"/>
    <col min="14078" max="14078" width="17.5703125" style="1652" bestFit="1" customWidth="1"/>
    <col min="14079" max="14079" width="13.42578125" style="1652" customWidth="1"/>
    <col min="14080" max="14080" width="15.28515625" style="1652" bestFit="1" customWidth="1"/>
    <col min="14081" max="14081" width="14.140625" style="1652" bestFit="1" customWidth="1"/>
    <col min="14082" max="14082" width="15.28515625" style="1652" customWidth="1"/>
    <col min="14083" max="14083" width="15.85546875" style="1652" customWidth="1"/>
    <col min="14084" max="14084" width="17" style="1652" bestFit="1" customWidth="1"/>
    <col min="14085" max="14085" width="12.7109375" style="1652" customWidth="1"/>
    <col min="14086" max="14086" width="13.7109375" style="1652" customWidth="1"/>
    <col min="14087" max="14087" width="13.85546875" style="1652" bestFit="1" customWidth="1"/>
    <col min="14088" max="14088" width="16.5703125" style="1652" customWidth="1"/>
    <col min="14089" max="14089" width="16.140625" style="1652" customWidth="1"/>
    <col min="14090" max="14090" width="16.7109375" style="1652" bestFit="1" customWidth="1"/>
    <col min="14091" max="14091" width="15.5703125" style="1652" bestFit="1" customWidth="1"/>
    <col min="14092" max="14092" width="18" style="1652" customWidth="1"/>
    <col min="14093" max="14093" width="16.42578125" style="1652" bestFit="1" customWidth="1"/>
    <col min="14094" max="14094" width="14.28515625" style="1652" customWidth="1"/>
    <col min="14095" max="14095" width="12.85546875" style="1652" bestFit="1" customWidth="1"/>
    <col min="14096" max="14096" width="11.28515625" style="1652" bestFit="1" customWidth="1"/>
    <col min="14097" max="14097" width="12.5703125" style="1652" bestFit="1" customWidth="1"/>
    <col min="14098" max="14098" width="14" style="1652" bestFit="1" customWidth="1"/>
    <col min="14099" max="14099" width="6" style="1652" bestFit="1" customWidth="1"/>
    <col min="14100" max="14100" width="15" style="1652" customWidth="1"/>
    <col min="14101" max="14101" width="14.85546875" style="1652" bestFit="1" customWidth="1"/>
    <col min="14102" max="14102" width="16.140625" style="1652" bestFit="1" customWidth="1"/>
    <col min="14103" max="14329" width="9.140625" style="1652"/>
    <col min="14330" max="14330" width="24" style="1652" bestFit="1" customWidth="1"/>
    <col min="14331" max="14331" width="43.85546875" style="1652" customWidth="1"/>
    <col min="14332" max="14332" width="19.7109375" style="1652" bestFit="1" customWidth="1"/>
    <col min="14333" max="14333" width="15.28515625" style="1652" bestFit="1" customWidth="1"/>
    <col min="14334" max="14334" width="17.5703125" style="1652" bestFit="1" customWidth="1"/>
    <col min="14335" max="14335" width="13.42578125" style="1652" customWidth="1"/>
    <col min="14336" max="14336" width="15.28515625" style="1652" bestFit="1" customWidth="1"/>
    <col min="14337" max="14337" width="14.140625" style="1652" bestFit="1" customWidth="1"/>
    <col min="14338" max="14338" width="15.28515625" style="1652" customWidth="1"/>
    <col min="14339" max="14339" width="15.85546875" style="1652" customWidth="1"/>
    <col min="14340" max="14340" width="17" style="1652" bestFit="1" customWidth="1"/>
    <col min="14341" max="14341" width="12.7109375" style="1652" customWidth="1"/>
    <col min="14342" max="14342" width="13.7109375" style="1652" customWidth="1"/>
    <col min="14343" max="14343" width="13.85546875" style="1652" bestFit="1" customWidth="1"/>
    <col min="14344" max="14344" width="16.5703125" style="1652" customWidth="1"/>
    <col min="14345" max="14345" width="16.140625" style="1652" customWidth="1"/>
    <col min="14346" max="14346" width="16.7109375" style="1652" bestFit="1" customWidth="1"/>
    <col min="14347" max="14347" width="15.5703125" style="1652" bestFit="1" customWidth="1"/>
    <col min="14348" max="14348" width="18" style="1652" customWidth="1"/>
    <col min="14349" max="14349" width="16.42578125" style="1652" bestFit="1" customWidth="1"/>
    <col min="14350" max="14350" width="14.28515625" style="1652" customWidth="1"/>
    <col min="14351" max="14351" width="12.85546875" style="1652" bestFit="1" customWidth="1"/>
    <col min="14352" max="14352" width="11.28515625" style="1652" bestFit="1" customWidth="1"/>
    <col min="14353" max="14353" width="12.5703125" style="1652" bestFit="1" customWidth="1"/>
    <col min="14354" max="14354" width="14" style="1652" bestFit="1" customWidth="1"/>
    <col min="14355" max="14355" width="6" style="1652" bestFit="1" customWidth="1"/>
    <col min="14356" max="14356" width="15" style="1652" customWidth="1"/>
    <col min="14357" max="14357" width="14.85546875" style="1652" bestFit="1" customWidth="1"/>
    <col min="14358" max="14358" width="16.140625" style="1652" bestFit="1" customWidth="1"/>
    <col min="14359" max="14585" width="9.140625" style="1652"/>
    <col min="14586" max="14586" width="24" style="1652" bestFit="1" customWidth="1"/>
    <col min="14587" max="14587" width="43.85546875" style="1652" customWidth="1"/>
    <col min="14588" max="14588" width="19.7109375" style="1652" bestFit="1" customWidth="1"/>
    <col min="14589" max="14589" width="15.28515625" style="1652" bestFit="1" customWidth="1"/>
    <col min="14590" max="14590" width="17.5703125" style="1652" bestFit="1" customWidth="1"/>
    <col min="14591" max="14591" width="13.42578125" style="1652" customWidth="1"/>
    <col min="14592" max="14592" width="15.28515625" style="1652" bestFit="1" customWidth="1"/>
    <col min="14593" max="14593" width="14.140625" style="1652" bestFit="1" customWidth="1"/>
    <col min="14594" max="14594" width="15.28515625" style="1652" customWidth="1"/>
    <col min="14595" max="14595" width="15.85546875" style="1652" customWidth="1"/>
    <col min="14596" max="14596" width="17" style="1652" bestFit="1" customWidth="1"/>
    <col min="14597" max="14597" width="12.7109375" style="1652" customWidth="1"/>
    <col min="14598" max="14598" width="13.7109375" style="1652" customWidth="1"/>
    <col min="14599" max="14599" width="13.85546875" style="1652" bestFit="1" customWidth="1"/>
    <col min="14600" max="14600" width="16.5703125" style="1652" customWidth="1"/>
    <col min="14601" max="14601" width="16.140625" style="1652" customWidth="1"/>
    <col min="14602" max="14602" width="16.7109375" style="1652" bestFit="1" customWidth="1"/>
    <col min="14603" max="14603" width="15.5703125" style="1652" bestFit="1" customWidth="1"/>
    <col min="14604" max="14604" width="18" style="1652" customWidth="1"/>
    <col min="14605" max="14605" width="16.42578125" style="1652" bestFit="1" customWidth="1"/>
    <col min="14606" max="14606" width="14.28515625" style="1652" customWidth="1"/>
    <col min="14607" max="14607" width="12.85546875" style="1652" bestFit="1" customWidth="1"/>
    <col min="14608" max="14608" width="11.28515625" style="1652" bestFit="1" customWidth="1"/>
    <col min="14609" max="14609" width="12.5703125" style="1652" bestFit="1" customWidth="1"/>
    <col min="14610" max="14610" width="14" style="1652" bestFit="1" customWidth="1"/>
    <col min="14611" max="14611" width="6" style="1652" bestFit="1" customWidth="1"/>
    <col min="14612" max="14612" width="15" style="1652" customWidth="1"/>
    <col min="14613" max="14613" width="14.85546875" style="1652" bestFit="1" customWidth="1"/>
    <col min="14614" max="14614" width="16.140625" style="1652" bestFit="1" customWidth="1"/>
    <col min="14615" max="14841" width="9.140625" style="1652"/>
    <col min="14842" max="14842" width="24" style="1652" bestFit="1" customWidth="1"/>
    <col min="14843" max="14843" width="43.85546875" style="1652" customWidth="1"/>
    <col min="14844" max="14844" width="19.7109375" style="1652" bestFit="1" customWidth="1"/>
    <col min="14845" max="14845" width="15.28515625" style="1652" bestFit="1" customWidth="1"/>
    <col min="14846" max="14846" width="17.5703125" style="1652" bestFit="1" customWidth="1"/>
    <col min="14847" max="14847" width="13.42578125" style="1652" customWidth="1"/>
    <col min="14848" max="14848" width="15.28515625" style="1652" bestFit="1" customWidth="1"/>
    <col min="14849" max="14849" width="14.140625" style="1652" bestFit="1" customWidth="1"/>
    <col min="14850" max="14850" width="15.28515625" style="1652" customWidth="1"/>
    <col min="14851" max="14851" width="15.85546875" style="1652" customWidth="1"/>
    <col min="14852" max="14852" width="17" style="1652" bestFit="1" customWidth="1"/>
    <col min="14853" max="14853" width="12.7109375" style="1652" customWidth="1"/>
    <col min="14854" max="14854" width="13.7109375" style="1652" customWidth="1"/>
    <col min="14855" max="14855" width="13.85546875" style="1652" bestFit="1" customWidth="1"/>
    <col min="14856" max="14856" width="16.5703125" style="1652" customWidth="1"/>
    <col min="14857" max="14857" width="16.140625" style="1652" customWidth="1"/>
    <col min="14858" max="14858" width="16.7109375" style="1652" bestFit="1" customWidth="1"/>
    <col min="14859" max="14859" width="15.5703125" style="1652" bestFit="1" customWidth="1"/>
    <col min="14860" max="14860" width="18" style="1652" customWidth="1"/>
    <col min="14861" max="14861" width="16.42578125" style="1652" bestFit="1" customWidth="1"/>
    <col min="14862" max="14862" width="14.28515625" style="1652" customWidth="1"/>
    <col min="14863" max="14863" width="12.85546875" style="1652" bestFit="1" customWidth="1"/>
    <col min="14864" max="14864" width="11.28515625" style="1652" bestFit="1" customWidth="1"/>
    <col min="14865" max="14865" width="12.5703125" style="1652" bestFit="1" customWidth="1"/>
    <col min="14866" max="14866" width="14" style="1652" bestFit="1" customWidth="1"/>
    <col min="14867" max="14867" width="6" style="1652" bestFit="1" customWidth="1"/>
    <col min="14868" max="14868" width="15" style="1652" customWidth="1"/>
    <col min="14869" max="14869" width="14.85546875" style="1652" bestFit="1" customWidth="1"/>
    <col min="14870" max="14870" width="16.140625" style="1652" bestFit="1" customWidth="1"/>
    <col min="14871" max="15097" width="9.140625" style="1652"/>
    <col min="15098" max="15098" width="24" style="1652" bestFit="1" customWidth="1"/>
    <col min="15099" max="15099" width="43.85546875" style="1652" customWidth="1"/>
    <col min="15100" max="15100" width="19.7109375" style="1652" bestFit="1" customWidth="1"/>
    <col min="15101" max="15101" width="15.28515625" style="1652" bestFit="1" customWidth="1"/>
    <col min="15102" max="15102" width="17.5703125" style="1652" bestFit="1" customWidth="1"/>
    <col min="15103" max="15103" width="13.42578125" style="1652" customWidth="1"/>
    <col min="15104" max="15104" width="15.28515625" style="1652" bestFit="1" customWidth="1"/>
    <col min="15105" max="15105" width="14.140625" style="1652" bestFit="1" customWidth="1"/>
    <col min="15106" max="15106" width="15.28515625" style="1652" customWidth="1"/>
    <col min="15107" max="15107" width="15.85546875" style="1652" customWidth="1"/>
    <col min="15108" max="15108" width="17" style="1652" bestFit="1" customWidth="1"/>
    <col min="15109" max="15109" width="12.7109375" style="1652" customWidth="1"/>
    <col min="15110" max="15110" width="13.7109375" style="1652" customWidth="1"/>
    <col min="15111" max="15111" width="13.85546875" style="1652" bestFit="1" customWidth="1"/>
    <col min="15112" max="15112" width="16.5703125" style="1652" customWidth="1"/>
    <col min="15113" max="15113" width="16.140625" style="1652" customWidth="1"/>
    <col min="15114" max="15114" width="16.7109375" style="1652" bestFit="1" customWidth="1"/>
    <col min="15115" max="15115" width="15.5703125" style="1652" bestFit="1" customWidth="1"/>
    <col min="15116" max="15116" width="18" style="1652" customWidth="1"/>
    <col min="15117" max="15117" width="16.42578125" style="1652" bestFit="1" customWidth="1"/>
    <col min="15118" max="15118" width="14.28515625" style="1652" customWidth="1"/>
    <col min="15119" max="15119" width="12.85546875" style="1652" bestFit="1" customWidth="1"/>
    <col min="15120" max="15120" width="11.28515625" style="1652" bestFit="1" customWidth="1"/>
    <col min="15121" max="15121" width="12.5703125" style="1652" bestFit="1" customWidth="1"/>
    <col min="15122" max="15122" width="14" style="1652" bestFit="1" customWidth="1"/>
    <col min="15123" max="15123" width="6" style="1652" bestFit="1" customWidth="1"/>
    <col min="15124" max="15124" width="15" style="1652" customWidth="1"/>
    <col min="15125" max="15125" width="14.85546875" style="1652" bestFit="1" customWidth="1"/>
    <col min="15126" max="15126" width="16.140625" style="1652" bestFit="1" customWidth="1"/>
    <col min="15127" max="15353" width="9.140625" style="1652"/>
    <col min="15354" max="15354" width="24" style="1652" bestFit="1" customWidth="1"/>
    <col min="15355" max="15355" width="43.85546875" style="1652" customWidth="1"/>
    <col min="15356" max="15356" width="19.7109375" style="1652" bestFit="1" customWidth="1"/>
    <col min="15357" max="15357" width="15.28515625" style="1652" bestFit="1" customWidth="1"/>
    <col min="15358" max="15358" width="17.5703125" style="1652" bestFit="1" customWidth="1"/>
    <col min="15359" max="15359" width="13.42578125" style="1652" customWidth="1"/>
    <col min="15360" max="15360" width="15.28515625" style="1652" bestFit="1" customWidth="1"/>
    <col min="15361" max="15361" width="14.140625" style="1652" bestFit="1" customWidth="1"/>
    <col min="15362" max="15362" width="15.28515625" style="1652" customWidth="1"/>
    <col min="15363" max="15363" width="15.85546875" style="1652" customWidth="1"/>
    <col min="15364" max="15364" width="17" style="1652" bestFit="1" customWidth="1"/>
    <col min="15365" max="15365" width="12.7109375" style="1652" customWidth="1"/>
    <col min="15366" max="15366" width="13.7109375" style="1652" customWidth="1"/>
    <col min="15367" max="15367" width="13.85546875" style="1652" bestFit="1" customWidth="1"/>
    <col min="15368" max="15368" width="16.5703125" style="1652" customWidth="1"/>
    <col min="15369" max="15369" width="16.140625" style="1652" customWidth="1"/>
    <col min="15370" max="15370" width="16.7109375" style="1652" bestFit="1" customWidth="1"/>
    <col min="15371" max="15371" width="15.5703125" style="1652" bestFit="1" customWidth="1"/>
    <col min="15372" max="15372" width="18" style="1652" customWidth="1"/>
    <col min="15373" max="15373" width="16.42578125" style="1652" bestFit="1" customWidth="1"/>
    <col min="15374" max="15374" width="14.28515625" style="1652" customWidth="1"/>
    <col min="15375" max="15375" width="12.85546875" style="1652" bestFit="1" customWidth="1"/>
    <col min="15376" max="15376" width="11.28515625" style="1652" bestFit="1" customWidth="1"/>
    <col min="15377" max="15377" width="12.5703125" style="1652" bestFit="1" customWidth="1"/>
    <col min="15378" max="15378" width="14" style="1652" bestFit="1" customWidth="1"/>
    <col min="15379" max="15379" width="6" style="1652" bestFit="1" customWidth="1"/>
    <col min="15380" max="15380" width="15" style="1652" customWidth="1"/>
    <col min="15381" max="15381" width="14.85546875" style="1652" bestFit="1" customWidth="1"/>
    <col min="15382" max="15382" width="16.140625" style="1652" bestFit="1" customWidth="1"/>
    <col min="15383" max="15609" width="9.140625" style="1652"/>
    <col min="15610" max="15610" width="24" style="1652" bestFit="1" customWidth="1"/>
    <col min="15611" max="15611" width="43.85546875" style="1652" customWidth="1"/>
    <col min="15612" max="15612" width="19.7109375" style="1652" bestFit="1" customWidth="1"/>
    <col min="15613" max="15613" width="15.28515625" style="1652" bestFit="1" customWidth="1"/>
    <col min="15614" max="15614" width="17.5703125" style="1652" bestFit="1" customWidth="1"/>
    <col min="15615" max="15615" width="13.42578125" style="1652" customWidth="1"/>
    <col min="15616" max="15616" width="15.28515625" style="1652" bestFit="1" customWidth="1"/>
    <col min="15617" max="15617" width="14.140625" style="1652" bestFit="1" customWidth="1"/>
    <col min="15618" max="15618" width="15.28515625" style="1652" customWidth="1"/>
    <col min="15619" max="15619" width="15.85546875" style="1652" customWidth="1"/>
    <col min="15620" max="15620" width="17" style="1652" bestFit="1" customWidth="1"/>
    <col min="15621" max="15621" width="12.7109375" style="1652" customWidth="1"/>
    <col min="15622" max="15622" width="13.7109375" style="1652" customWidth="1"/>
    <col min="15623" max="15623" width="13.85546875" style="1652" bestFit="1" customWidth="1"/>
    <col min="15624" max="15624" width="16.5703125" style="1652" customWidth="1"/>
    <col min="15625" max="15625" width="16.140625" style="1652" customWidth="1"/>
    <col min="15626" max="15626" width="16.7109375" style="1652" bestFit="1" customWidth="1"/>
    <col min="15627" max="15627" width="15.5703125" style="1652" bestFit="1" customWidth="1"/>
    <col min="15628" max="15628" width="18" style="1652" customWidth="1"/>
    <col min="15629" max="15629" width="16.42578125" style="1652" bestFit="1" customWidth="1"/>
    <col min="15630" max="15630" width="14.28515625" style="1652" customWidth="1"/>
    <col min="15631" max="15631" width="12.85546875" style="1652" bestFit="1" customWidth="1"/>
    <col min="15632" max="15632" width="11.28515625" style="1652" bestFit="1" customWidth="1"/>
    <col min="15633" max="15633" width="12.5703125" style="1652" bestFit="1" customWidth="1"/>
    <col min="15634" max="15634" width="14" style="1652" bestFit="1" customWidth="1"/>
    <col min="15635" max="15635" width="6" style="1652" bestFit="1" customWidth="1"/>
    <col min="15636" max="15636" width="15" style="1652" customWidth="1"/>
    <col min="15637" max="15637" width="14.85546875" style="1652" bestFit="1" customWidth="1"/>
    <col min="15638" max="15638" width="16.140625" style="1652" bestFit="1" customWidth="1"/>
    <col min="15639" max="15865" width="9.140625" style="1652"/>
    <col min="15866" max="15866" width="24" style="1652" bestFit="1" customWidth="1"/>
    <col min="15867" max="15867" width="43.85546875" style="1652" customWidth="1"/>
    <col min="15868" max="15868" width="19.7109375" style="1652" bestFit="1" customWidth="1"/>
    <col min="15869" max="15869" width="15.28515625" style="1652" bestFit="1" customWidth="1"/>
    <col min="15870" max="15870" width="17.5703125" style="1652" bestFit="1" customWidth="1"/>
    <col min="15871" max="15871" width="13.42578125" style="1652" customWidth="1"/>
    <col min="15872" max="15872" width="15.28515625" style="1652" bestFit="1" customWidth="1"/>
    <col min="15873" max="15873" width="14.140625" style="1652" bestFit="1" customWidth="1"/>
    <col min="15874" max="15874" width="15.28515625" style="1652" customWidth="1"/>
    <col min="15875" max="15875" width="15.85546875" style="1652" customWidth="1"/>
    <col min="15876" max="15876" width="17" style="1652" bestFit="1" customWidth="1"/>
    <col min="15877" max="15877" width="12.7109375" style="1652" customWidth="1"/>
    <col min="15878" max="15878" width="13.7109375" style="1652" customWidth="1"/>
    <col min="15879" max="15879" width="13.85546875" style="1652" bestFit="1" customWidth="1"/>
    <col min="15880" max="15880" width="16.5703125" style="1652" customWidth="1"/>
    <col min="15881" max="15881" width="16.140625" style="1652" customWidth="1"/>
    <col min="15882" max="15882" width="16.7109375" style="1652" bestFit="1" customWidth="1"/>
    <col min="15883" max="15883" width="15.5703125" style="1652" bestFit="1" customWidth="1"/>
    <col min="15884" max="15884" width="18" style="1652" customWidth="1"/>
    <col min="15885" max="15885" width="16.42578125" style="1652" bestFit="1" customWidth="1"/>
    <col min="15886" max="15886" width="14.28515625" style="1652" customWidth="1"/>
    <col min="15887" max="15887" width="12.85546875" style="1652" bestFit="1" customWidth="1"/>
    <col min="15888" max="15888" width="11.28515625" style="1652" bestFit="1" customWidth="1"/>
    <col min="15889" max="15889" width="12.5703125" style="1652" bestFit="1" customWidth="1"/>
    <col min="15890" max="15890" width="14" style="1652" bestFit="1" customWidth="1"/>
    <col min="15891" max="15891" width="6" style="1652" bestFit="1" customWidth="1"/>
    <col min="15892" max="15892" width="15" style="1652" customWidth="1"/>
    <col min="15893" max="15893" width="14.85546875" style="1652" bestFit="1" customWidth="1"/>
    <col min="15894" max="15894" width="16.140625" style="1652" bestFit="1" customWidth="1"/>
    <col min="15895" max="16121" width="9.140625" style="1652"/>
    <col min="16122" max="16122" width="24" style="1652" bestFit="1" customWidth="1"/>
    <col min="16123" max="16123" width="43.85546875" style="1652" customWidth="1"/>
    <col min="16124" max="16124" width="19.7109375" style="1652" bestFit="1" customWidth="1"/>
    <col min="16125" max="16125" width="15.28515625" style="1652" bestFit="1" customWidth="1"/>
    <col min="16126" max="16126" width="17.5703125" style="1652" bestFit="1" customWidth="1"/>
    <col min="16127" max="16127" width="13.42578125" style="1652" customWidth="1"/>
    <col min="16128" max="16128" width="15.28515625" style="1652" bestFit="1" customWidth="1"/>
    <col min="16129" max="16129" width="14.140625" style="1652" bestFit="1" customWidth="1"/>
    <col min="16130" max="16130" width="15.28515625" style="1652" customWidth="1"/>
    <col min="16131" max="16131" width="15.85546875" style="1652" customWidth="1"/>
    <col min="16132" max="16132" width="17" style="1652" bestFit="1" customWidth="1"/>
    <col min="16133" max="16133" width="12.7109375" style="1652" customWidth="1"/>
    <col min="16134" max="16134" width="13.7109375" style="1652" customWidth="1"/>
    <col min="16135" max="16135" width="13.85546875" style="1652" bestFit="1" customWidth="1"/>
    <col min="16136" max="16136" width="16.5703125" style="1652" customWidth="1"/>
    <col min="16137" max="16137" width="16.140625" style="1652" customWidth="1"/>
    <col min="16138" max="16138" width="16.7109375" style="1652" bestFit="1" customWidth="1"/>
    <col min="16139" max="16139" width="15.5703125" style="1652" bestFit="1" customWidth="1"/>
    <col min="16140" max="16140" width="18" style="1652" customWidth="1"/>
    <col min="16141" max="16141" width="16.42578125" style="1652" bestFit="1" customWidth="1"/>
    <col min="16142" max="16142" width="14.28515625" style="1652" customWidth="1"/>
    <col min="16143" max="16143" width="12.85546875" style="1652" bestFit="1" customWidth="1"/>
    <col min="16144" max="16144" width="11.28515625" style="1652" bestFit="1" customWidth="1"/>
    <col min="16145" max="16145" width="12.5703125" style="1652" bestFit="1" customWidth="1"/>
    <col min="16146" max="16146" width="14" style="1652" bestFit="1" customWidth="1"/>
    <col min="16147" max="16147" width="6" style="1652" bestFit="1" customWidth="1"/>
    <col min="16148" max="16148" width="15" style="1652" customWidth="1"/>
    <col min="16149" max="16149" width="14.85546875" style="1652" bestFit="1" customWidth="1"/>
    <col min="16150" max="16150" width="16.140625" style="1652" bestFit="1" customWidth="1"/>
    <col min="16151" max="16378" width="9.140625" style="1652"/>
    <col min="16379" max="16384" width="9.140625" style="1652" customWidth="1"/>
  </cols>
  <sheetData>
    <row r="1" spans="1:27" ht="57.75" customHeight="1" thickBot="1">
      <c r="C1" s="1361" t="s">
        <v>621</v>
      </c>
      <c r="D1" s="1361" t="s">
        <v>262</v>
      </c>
      <c r="E1" s="1361" t="s">
        <v>5</v>
      </c>
      <c r="F1" s="1361">
        <v>18231029</v>
      </c>
      <c r="G1" s="1361" t="s">
        <v>28</v>
      </c>
      <c r="J1" s="1190"/>
      <c r="M1" s="1361" t="s">
        <v>621</v>
      </c>
      <c r="N1" s="1361" t="s">
        <v>262</v>
      </c>
      <c r="O1" s="1361" t="s">
        <v>5</v>
      </c>
      <c r="P1" s="1361">
        <v>18231029</v>
      </c>
      <c r="Q1" s="1361" t="s">
        <v>28</v>
      </c>
      <c r="V1" s="1361" t="s">
        <v>621</v>
      </c>
      <c r="W1" s="1361" t="s">
        <v>262</v>
      </c>
      <c r="X1" s="1361" t="s">
        <v>5</v>
      </c>
      <c r="Y1" s="1361">
        <v>18231029</v>
      </c>
      <c r="Z1" s="1361" t="s">
        <v>28</v>
      </c>
    </row>
    <row r="2" spans="1:27" ht="16.5" thickBot="1">
      <c r="C2" s="1190"/>
      <c r="D2" s="1177"/>
      <c r="I2" s="1178" t="s">
        <v>627</v>
      </c>
      <c r="S2" s="3575"/>
      <c r="T2" s="3575"/>
      <c r="U2" s="3576" t="s">
        <v>33</v>
      </c>
      <c r="V2" s="3577"/>
      <c r="W2" s="3578"/>
      <c r="X2" s="3579" t="s">
        <v>34</v>
      </c>
    </row>
    <row r="3" spans="1:27" ht="26.25" thickBot="1">
      <c r="A3" s="2143" t="s">
        <v>621</v>
      </c>
      <c r="B3" s="2143"/>
      <c r="I3" s="1179" t="s">
        <v>7</v>
      </c>
      <c r="J3" s="2150" t="s">
        <v>8</v>
      </c>
      <c r="K3" s="2150" t="s">
        <v>9</v>
      </c>
      <c r="L3" s="2150" t="s">
        <v>10</v>
      </c>
      <c r="M3" s="2613" t="s">
        <v>482</v>
      </c>
      <c r="N3" s="2150" t="s">
        <v>11</v>
      </c>
      <c r="O3" s="2150" t="s">
        <v>12</v>
      </c>
      <c r="P3" s="2150" t="s">
        <v>13</v>
      </c>
      <c r="Q3" s="2150" t="s">
        <v>35</v>
      </c>
      <c r="R3" s="2150" t="s">
        <v>36</v>
      </c>
      <c r="S3" s="2150" t="s">
        <v>15</v>
      </c>
      <c r="T3" s="1527" t="s">
        <v>37</v>
      </c>
      <c r="U3" s="1181" t="s">
        <v>38</v>
      </c>
      <c r="V3" s="1181" t="s">
        <v>10</v>
      </c>
      <c r="W3" s="1182" t="s">
        <v>39</v>
      </c>
      <c r="X3" s="3569"/>
    </row>
    <row r="4" spans="1:27" ht="16.5" thickBot="1">
      <c r="A4" s="2143" t="s">
        <v>262</v>
      </c>
      <c r="B4" s="2143"/>
      <c r="C4" s="1190"/>
      <c r="H4" s="2946" t="s">
        <v>1726</v>
      </c>
      <c r="I4" s="2947">
        <f>D15</f>
        <v>13594.95</v>
      </c>
      <c r="J4" s="2948">
        <f>D21</f>
        <v>0</v>
      </c>
      <c r="K4" s="2948">
        <f>D27</f>
        <v>9067.8316500000019</v>
      </c>
      <c r="L4" s="2948">
        <f>D37</f>
        <v>0</v>
      </c>
      <c r="M4" s="2948">
        <f>D43</f>
        <v>500</v>
      </c>
      <c r="N4" s="2948">
        <f>D49</f>
        <v>0</v>
      </c>
      <c r="O4" s="2948">
        <f>D55</f>
        <v>100</v>
      </c>
      <c r="P4" s="2948">
        <f>D61</f>
        <v>120</v>
      </c>
      <c r="Q4" s="2948">
        <f>D67</f>
        <v>0</v>
      </c>
      <c r="R4" s="2948">
        <f>D68</f>
        <v>0</v>
      </c>
      <c r="S4" s="2949">
        <f>SUM(I4:R4)</f>
        <v>23382.781650000004</v>
      </c>
      <c r="T4" s="2958">
        <f>T78</f>
        <v>23600</v>
      </c>
      <c r="U4" s="2954">
        <f>Q4/S4</f>
        <v>0</v>
      </c>
      <c r="V4" s="2954">
        <f>(L4+(J4*1.63))/S4</f>
        <v>0</v>
      </c>
      <c r="W4" s="2954">
        <f>N4/S4</f>
        <v>0</v>
      </c>
      <c r="X4" s="2953">
        <f>S4/T4</f>
        <v>0.99079583262711879</v>
      </c>
    </row>
    <row r="5" spans="1:27" ht="16.5" thickBot="1">
      <c r="A5" s="2143" t="s">
        <v>5</v>
      </c>
      <c r="B5" s="2143"/>
      <c r="H5" s="3205" t="s">
        <v>1753</v>
      </c>
      <c r="I5" s="2617">
        <v>13934.849999999999</v>
      </c>
      <c r="J5" s="2618">
        <v>0</v>
      </c>
      <c r="K5" s="2618">
        <v>9475.6980000000003</v>
      </c>
      <c r="L5" s="2618">
        <v>0</v>
      </c>
      <c r="M5" s="2618">
        <v>500</v>
      </c>
      <c r="N5" s="2618">
        <v>0</v>
      </c>
      <c r="O5" s="2618">
        <v>100</v>
      </c>
      <c r="P5" s="2618">
        <v>120</v>
      </c>
      <c r="Q5" s="2618">
        <v>33750.002999999997</v>
      </c>
      <c r="R5" s="2618">
        <v>0</v>
      </c>
      <c r="S5" s="2619">
        <v>57880.550999999992</v>
      </c>
      <c r="T5" s="2640">
        <v>27400</v>
      </c>
      <c r="U5" s="1186">
        <f>Q5/S5</f>
        <v>0.58309747258625788</v>
      </c>
      <c r="V5" s="1186">
        <f>(L5+(J5*1.63))/S5</f>
        <v>0</v>
      </c>
      <c r="W5" s="1186">
        <f>N5/S5</f>
        <v>0</v>
      </c>
      <c r="X5" s="1155">
        <f>S5/T5</f>
        <v>2.1124288686131383</v>
      </c>
    </row>
    <row r="6" spans="1:27" ht="16.5" thickBot="1">
      <c r="A6" s="2143">
        <v>18231029</v>
      </c>
      <c r="B6" s="2143"/>
      <c r="D6" s="1190"/>
      <c r="H6" s="3206" t="s">
        <v>1754</v>
      </c>
      <c r="I6" s="2621">
        <f>E15</f>
        <v>13934.849999999999</v>
      </c>
      <c r="J6" s="2622">
        <f>E21</f>
        <v>0</v>
      </c>
      <c r="K6" s="2623">
        <f>E27</f>
        <v>12513.495299999997</v>
      </c>
      <c r="L6" s="2622">
        <f>E37</f>
        <v>0</v>
      </c>
      <c r="M6" s="2622">
        <f>E43</f>
        <v>500</v>
      </c>
      <c r="N6" s="2622">
        <f>E49</f>
        <v>55976.03</v>
      </c>
      <c r="O6" s="2622">
        <f>E55</f>
        <v>100</v>
      </c>
      <c r="P6" s="2622">
        <f>E61</f>
        <v>120</v>
      </c>
      <c r="Q6" s="2622">
        <f>E67</f>
        <v>123800</v>
      </c>
      <c r="R6" s="2622">
        <f>E68</f>
        <v>0</v>
      </c>
      <c r="S6" s="2624">
        <f>SUM(I6:R6)</f>
        <v>206944.37529999999</v>
      </c>
      <c r="T6" s="2641">
        <f>U15</f>
        <v>69010</v>
      </c>
      <c r="U6" s="2631">
        <f>Q6/S6</f>
        <v>0.59822838780001386</v>
      </c>
      <c r="V6" s="2631">
        <f>(L6+(J6*1.63))/S6</f>
        <v>0</v>
      </c>
      <c r="W6" s="2631">
        <f>N6/S6</f>
        <v>0.2704882890334831</v>
      </c>
      <c r="X6" s="2626">
        <f>S6/T6</f>
        <v>2.9987592421388203</v>
      </c>
    </row>
    <row r="7" spans="1:27" ht="15.75">
      <c r="A7" s="2143" t="s">
        <v>28</v>
      </c>
      <c r="B7" s="2143"/>
      <c r="D7" s="1190"/>
      <c r="G7" s="2606"/>
      <c r="H7" s="2607"/>
      <c r="I7" s="2607"/>
      <c r="J7" s="2607"/>
      <c r="K7" s="2607"/>
      <c r="L7" s="2607"/>
      <c r="M7" s="2607"/>
      <c r="N7" s="2607"/>
      <c r="O7" s="2607"/>
      <c r="P7" s="2607"/>
      <c r="Q7" s="2607"/>
      <c r="R7" s="2607"/>
      <c r="S7" s="2639"/>
      <c r="T7" s="2630"/>
      <c r="U7" s="2630"/>
      <c r="V7" s="2630"/>
      <c r="W7" s="2610"/>
    </row>
    <row r="8" spans="1:27" ht="15.75">
      <c r="A8" s="1663"/>
      <c r="B8" s="2143"/>
      <c r="D8" s="1190"/>
    </row>
    <row r="9" spans="1:27" ht="20.25" customHeight="1">
      <c r="A9" s="2143"/>
      <c r="B9" s="2143"/>
      <c r="D9" s="1190"/>
      <c r="I9" s="3003" t="s">
        <v>1750</v>
      </c>
      <c r="Q9" s="3003" t="s">
        <v>1752</v>
      </c>
      <c r="T9" s="3003" t="s">
        <v>1752</v>
      </c>
      <c r="W9" s="3003" t="s">
        <v>1752</v>
      </c>
    </row>
    <row r="10" spans="1:27">
      <c r="A10" s="2143"/>
      <c r="B10" s="2143"/>
      <c r="C10" s="1454" t="s">
        <v>310</v>
      </c>
      <c r="D10" s="1454"/>
      <c r="E10" s="1454"/>
      <c r="F10" s="1454"/>
      <c r="H10" s="3562" t="s">
        <v>300</v>
      </c>
      <c r="I10" s="3562"/>
      <c r="J10" s="3562"/>
      <c r="K10" s="3562"/>
      <c r="L10" s="3562"/>
      <c r="M10" s="3562"/>
      <c r="N10" s="3562"/>
      <c r="O10" s="3562"/>
      <c r="P10" s="3562"/>
      <c r="Q10" s="1465"/>
      <c r="R10" s="1465"/>
      <c r="S10" s="1465"/>
      <c r="T10" s="1465"/>
      <c r="U10" s="1465"/>
      <c r="V10" s="1465"/>
      <c r="W10" s="2141" t="s">
        <v>300</v>
      </c>
      <c r="X10" s="1465"/>
      <c r="Y10" s="1465"/>
      <c r="Z10" s="2604" t="s">
        <v>300</v>
      </c>
      <c r="AA10" s="1465"/>
    </row>
    <row r="11" spans="1:27">
      <c r="A11" s="2143"/>
      <c r="B11" s="2143"/>
      <c r="H11" s="1456"/>
      <c r="I11" s="1457"/>
      <c r="J11" s="1457"/>
      <c r="K11" s="1456"/>
      <c r="L11" s="1456"/>
      <c r="M11" s="1456"/>
      <c r="N11" s="1456"/>
      <c r="O11" s="1456"/>
      <c r="P11" s="1456"/>
      <c r="Q11" s="1456"/>
      <c r="R11" s="1456"/>
      <c r="S11" s="1456"/>
      <c r="T11" s="1456"/>
      <c r="U11" s="1456"/>
      <c r="V11" s="1456"/>
      <c r="W11" s="1456"/>
      <c r="X11" s="1456"/>
      <c r="Y11" s="1456"/>
      <c r="Z11" s="1456"/>
      <c r="AA11" s="1456"/>
    </row>
    <row r="12" spans="1:27" ht="13.15" customHeight="1">
      <c r="A12" s="2143"/>
      <c r="B12" s="2143"/>
      <c r="C12" s="1434" t="s">
        <v>298</v>
      </c>
      <c r="D12" s="2766">
        <f>D15+D21+D27+D37+D43+D5+D55+D61+D67</f>
        <v>23382.781650000004</v>
      </c>
      <c r="E12" s="1484">
        <f>E15+E21+E27+E37+E43+E49+E55+E61+E67</f>
        <v>206944.37529999999</v>
      </c>
      <c r="F12" s="1638">
        <f>D12+E12</f>
        <v>230327.15694999998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67" t="s">
        <v>1728</v>
      </c>
      <c r="AA12" s="1456"/>
    </row>
    <row r="13" spans="1:27">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3567"/>
      <c r="AA13" s="1456"/>
    </row>
    <row r="14" spans="1:27"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458" t="s">
        <v>307</v>
      </c>
      <c r="AA14" s="1456"/>
    </row>
    <row r="15" spans="1:27">
      <c r="B15" s="1433" t="s">
        <v>296</v>
      </c>
      <c r="C15" s="1597" t="s">
        <v>43</v>
      </c>
      <c r="D15" s="2771">
        <f>SUM(D16:D19)</f>
        <v>13594.95</v>
      </c>
      <c r="E15" s="1464">
        <f>SUM(E16:E19)</f>
        <v>13934.849999999999</v>
      </c>
      <c r="F15" s="1638">
        <f>D15+E15</f>
        <v>27529.8</v>
      </c>
      <c r="H15" s="1475" t="s">
        <v>308</v>
      </c>
      <c r="I15" s="1476"/>
      <c r="J15" s="1476"/>
      <c r="K15" s="1477"/>
      <c r="L15" s="1478">
        <f>SUMPRODUCT(L16:L165,S16:S165)</f>
        <v>171750.00400000002</v>
      </c>
      <c r="M15" s="1478">
        <f>SUM(M16:M165)</f>
        <v>113225.00700000001</v>
      </c>
      <c r="N15" s="1479" t="s">
        <v>229</v>
      </c>
      <c r="O15" s="1477">
        <v>9</v>
      </c>
      <c r="P15" s="1477"/>
      <c r="Q15" s="1477"/>
      <c r="R15" s="1477"/>
      <c r="S15" s="1477"/>
      <c r="T15" s="1480">
        <f t="shared" ref="T15:X15" si="0">SUM(T16:T65)</f>
        <v>0</v>
      </c>
      <c r="U15" s="1480">
        <f t="shared" si="0"/>
        <v>69010</v>
      </c>
      <c r="V15" s="1480"/>
      <c r="W15" s="1478">
        <f t="shared" si="0"/>
        <v>0</v>
      </c>
      <c r="X15" s="1478">
        <f t="shared" si="0"/>
        <v>123800</v>
      </c>
      <c r="Y15" s="1478"/>
      <c r="Z15" s="1481">
        <v>0</v>
      </c>
      <c r="AA15" s="1456"/>
    </row>
    <row r="16" spans="1:27">
      <c r="B16" s="1982">
        <v>0.1</v>
      </c>
      <c r="C16" s="1667" t="s">
        <v>735</v>
      </c>
      <c r="D16" s="2772">
        <v>9063.3000000000011</v>
      </c>
      <c r="E16" s="1669">
        <v>9289.9</v>
      </c>
      <c r="F16" s="1426">
        <f>SUM(D16:E16)</f>
        <v>18353.2</v>
      </c>
      <c r="H16" s="1460" t="s">
        <v>1358</v>
      </c>
      <c r="I16" s="2205">
        <v>59435</v>
      </c>
      <c r="J16" s="1470" t="s">
        <v>71</v>
      </c>
      <c r="K16" s="1460" t="s">
        <v>991</v>
      </c>
      <c r="L16" s="1467">
        <v>110880</v>
      </c>
      <c r="M16" s="1467">
        <v>92400</v>
      </c>
      <c r="N16" s="1461">
        <v>0.72276212072130441</v>
      </c>
      <c r="O16" s="1460">
        <v>5</v>
      </c>
      <c r="P16" s="1463" t="s">
        <v>1160</v>
      </c>
      <c r="Q16" s="1466"/>
      <c r="R16" s="1466">
        <v>1</v>
      </c>
      <c r="S16" s="1469"/>
      <c r="T16" s="1469">
        <f>Q16*I16</f>
        <v>0</v>
      </c>
      <c r="U16" s="1469">
        <f>R16*I16</f>
        <v>59435</v>
      </c>
      <c r="V16" s="1469"/>
      <c r="W16" s="1459">
        <f>Q16*M16</f>
        <v>0</v>
      </c>
      <c r="X16" s="1459">
        <f>R16*M16</f>
        <v>92400</v>
      </c>
      <c r="Y16" s="1459"/>
      <c r="Z16" s="1482">
        <v>0</v>
      </c>
      <c r="AA16" s="1456"/>
    </row>
    <row r="17" spans="2:27">
      <c r="B17" s="1982">
        <v>0.05</v>
      </c>
      <c r="C17" s="1667" t="s">
        <v>1206</v>
      </c>
      <c r="D17" s="2784">
        <v>4531.6500000000005</v>
      </c>
      <c r="E17" s="1668">
        <v>4644.95</v>
      </c>
      <c r="F17" s="1661">
        <f t="shared" ref="F17:F30" si="1">SUM(D17:E17)</f>
        <v>9176.6</v>
      </c>
      <c r="H17" s="1460" t="s">
        <v>1359</v>
      </c>
      <c r="I17" s="2205">
        <v>61</v>
      </c>
      <c r="J17" s="1470" t="s">
        <v>71</v>
      </c>
      <c r="K17" s="1460" t="s">
        <v>845</v>
      </c>
      <c r="L17" s="1467">
        <v>167</v>
      </c>
      <c r="M17" s="1467">
        <v>150</v>
      </c>
      <c r="N17" s="1461">
        <v>0.11526832955404384</v>
      </c>
      <c r="O17" s="1460">
        <v>5</v>
      </c>
      <c r="P17" s="1463" t="s">
        <v>1160</v>
      </c>
      <c r="Q17" s="1466"/>
      <c r="R17" s="1466">
        <v>75</v>
      </c>
      <c r="S17" s="1469"/>
      <c r="T17" s="1469">
        <f t="shared" ref="T17:T21" si="2">Q17*I17</f>
        <v>0</v>
      </c>
      <c r="U17" s="1469">
        <f t="shared" ref="U17:U21" si="3">R17*I17</f>
        <v>4575</v>
      </c>
      <c r="V17" s="1469"/>
      <c r="W17" s="1459">
        <f t="shared" ref="W17:W21" si="4">Q17*M17</f>
        <v>0</v>
      </c>
      <c r="X17" s="1459">
        <f t="shared" ref="X17:X21" si="5">R17*M17</f>
        <v>11250</v>
      </c>
      <c r="Y17" s="1459"/>
      <c r="Z17" s="1482">
        <v>0</v>
      </c>
      <c r="AA17" s="1456"/>
    </row>
    <row r="18" spans="2:27">
      <c r="B18" s="1982"/>
      <c r="C18" s="1667"/>
      <c r="D18" s="2784"/>
      <c r="E18" s="1668"/>
      <c r="F18" s="1661">
        <f t="shared" si="1"/>
        <v>0</v>
      </c>
      <c r="H18" s="1460" t="s">
        <v>1212</v>
      </c>
      <c r="I18" s="2205">
        <v>4</v>
      </c>
      <c r="J18" s="1470" t="s">
        <v>71</v>
      </c>
      <c r="K18" s="1460" t="s">
        <v>845</v>
      </c>
      <c r="L18" s="1467">
        <v>100</v>
      </c>
      <c r="M18" s="1467">
        <v>25</v>
      </c>
      <c r="N18" s="1461">
        <v>4.3191879926573803E-3</v>
      </c>
      <c r="O18" s="1460">
        <v>10</v>
      </c>
      <c r="P18" s="1463" t="s">
        <v>1160</v>
      </c>
      <c r="Q18" s="1466"/>
      <c r="R18" s="1466">
        <v>0</v>
      </c>
      <c r="S18" s="1469"/>
      <c r="T18" s="1469">
        <f t="shared" si="2"/>
        <v>0</v>
      </c>
      <c r="U18" s="1469">
        <f t="shared" si="3"/>
        <v>0</v>
      </c>
      <c r="V18" s="1469"/>
      <c r="W18" s="1459">
        <f t="shared" si="4"/>
        <v>0</v>
      </c>
      <c r="X18" s="1459">
        <f t="shared" si="5"/>
        <v>0</v>
      </c>
      <c r="Y18" s="1459"/>
      <c r="Z18" s="1482">
        <v>0</v>
      </c>
      <c r="AA18" s="1456"/>
    </row>
    <row r="19" spans="2:27">
      <c r="B19" s="1982"/>
      <c r="C19" s="1667"/>
      <c r="D19" s="2786"/>
      <c r="E19" s="1446"/>
      <c r="F19" s="1661">
        <f t="shared" si="1"/>
        <v>0</v>
      </c>
      <c r="H19" s="1460" t="s">
        <v>1213</v>
      </c>
      <c r="I19" s="2205">
        <v>11</v>
      </c>
      <c r="J19" s="1470" t="s">
        <v>71</v>
      </c>
      <c r="K19" s="1460" t="s">
        <v>845</v>
      </c>
      <c r="L19" s="1467">
        <v>100</v>
      </c>
      <c r="M19" s="1467">
        <v>50</v>
      </c>
      <c r="N19" s="1461">
        <v>1.1877766979807795E-2</v>
      </c>
      <c r="O19" s="1460">
        <v>10</v>
      </c>
      <c r="P19" s="1463" t="s">
        <v>1160</v>
      </c>
      <c r="Q19" s="1466"/>
      <c r="R19" s="1466">
        <v>0</v>
      </c>
      <c r="S19" s="1469"/>
      <c r="T19" s="1469">
        <f t="shared" si="2"/>
        <v>0</v>
      </c>
      <c r="U19" s="1469">
        <f t="shared" si="3"/>
        <v>0</v>
      </c>
      <c r="V19" s="1469"/>
      <c r="W19" s="1459">
        <f t="shared" si="4"/>
        <v>0</v>
      </c>
      <c r="X19" s="1459">
        <f t="shared" si="5"/>
        <v>0</v>
      </c>
      <c r="Y19" s="1459"/>
      <c r="Z19" s="1482">
        <v>0</v>
      </c>
      <c r="AA19" s="1456"/>
    </row>
    <row r="20" spans="2:27">
      <c r="B20" s="2204">
        <f>SUM(B16:B19)</f>
        <v>0.15000000000000002</v>
      </c>
      <c r="C20" s="1488"/>
      <c r="D20" s="2770"/>
      <c r="E20" s="1490"/>
      <c r="F20" s="1492"/>
      <c r="H20" s="1460" t="s">
        <v>1360</v>
      </c>
      <c r="I20" s="2205">
        <v>5000</v>
      </c>
      <c r="J20" s="1470" t="s">
        <v>71</v>
      </c>
      <c r="K20" s="1460" t="s">
        <v>991</v>
      </c>
      <c r="L20" s="1467">
        <v>50000</v>
      </c>
      <c r="M20" s="1467">
        <v>20150</v>
      </c>
      <c r="N20" s="1461">
        <v>0.13497462477054314</v>
      </c>
      <c r="O20" s="1460">
        <v>15</v>
      </c>
      <c r="P20" s="1463" t="s">
        <v>1160</v>
      </c>
      <c r="Q20" s="1466"/>
      <c r="R20" s="1466">
        <v>1</v>
      </c>
      <c r="S20" s="1469"/>
      <c r="T20" s="1469">
        <f t="shared" si="2"/>
        <v>0</v>
      </c>
      <c r="U20" s="1469">
        <f t="shared" si="3"/>
        <v>5000</v>
      </c>
      <c r="V20" s="1469"/>
      <c r="W20" s="1459">
        <f t="shared" si="4"/>
        <v>0</v>
      </c>
      <c r="X20" s="1459">
        <f t="shared" si="5"/>
        <v>20150</v>
      </c>
      <c r="Y20" s="1459"/>
      <c r="Z20" s="1482">
        <v>0</v>
      </c>
      <c r="AA20" s="1456"/>
    </row>
    <row r="21" spans="2:27">
      <c r="B21" s="1433" t="s">
        <v>296</v>
      </c>
      <c r="C21" s="1597" t="s">
        <v>44</v>
      </c>
      <c r="D21" s="2771">
        <f>SUM(D22:D25)</f>
        <v>0</v>
      </c>
      <c r="E21" s="1464">
        <f>SUM(E22:E25)</f>
        <v>0</v>
      </c>
      <c r="F21" s="1638">
        <f>D21+E21</f>
        <v>0</v>
      </c>
      <c r="H21" s="1460" t="s">
        <v>1361</v>
      </c>
      <c r="I21" s="2205">
        <v>1000</v>
      </c>
      <c r="J21" s="1470" t="s">
        <v>71</v>
      </c>
      <c r="K21" s="1460" t="s">
        <v>845</v>
      </c>
      <c r="L21" s="1467">
        <v>1E-3</v>
      </c>
      <c r="M21" s="1467">
        <v>1E-3</v>
      </c>
      <c r="N21" s="1461">
        <v>1.0797969981643452E-2</v>
      </c>
      <c r="O21" s="1460">
        <v>15</v>
      </c>
      <c r="P21" s="1463" t="s">
        <v>1160</v>
      </c>
      <c r="Q21" s="1466"/>
      <c r="R21" s="1466">
        <v>0</v>
      </c>
      <c r="S21" s="1469"/>
      <c r="T21" s="1469">
        <f t="shared" si="2"/>
        <v>0</v>
      </c>
      <c r="U21" s="1469">
        <f t="shared" si="3"/>
        <v>0</v>
      </c>
      <c r="V21" s="1469"/>
      <c r="W21" s="1459">
        <f t="shared" si="4"/>
        <v>0</v>
      </c>
      <c r="X21" s="1459">
        <f t="shared" si="5"/>
        <v>0</v>
      </c>
      <c r="Y21" s="1459"/>
      <c r="Z21" s="1482">
        <v>0</v>
      </c>
      <c r="AA21" s="1456"/>
    </row>
    <row r="22" spans="2:27">
      <c r="B22" s="1982">
        <f>(SUM(D22:E22)/2)/((80000+(80000*1.025))/2)</f>
        <v>0</v>
      </c>
      <c r="C22" s="1667"/>
      <c r="D22" s="2772"/>
      <c r="E22" s="1669"/>
      <c r="F22" s="1426">
        <f t="shared" si="1"/>
        <v>0</v>
      </c>
      <c r="H22" s="1460"/>
      <c r="I22" s="2205"/>
      <c r="J22" s="1470" t="s">
        <v>229</v>
      </c>
      <c r="K22" s="1460"/>
      <c r="L22" s="1467"/>
      <c r="M22" s="1467"/>
      <c r="N22" s="1461"/>
      <c r="O22" s="1460"/>
      <c r="P22" s="1463"/>
      <c r="Q22" s="1466"/>
      <c r="R22" s="1466"/>
      <c r="S22" s="1469"/>
      <c r="T22" s="1469"/>
      <c r="U22" s="1469"/>
      <c r="V22" s="1469"/>
      <c r="W22" s="1459"/>
      <c r="X22" s="1459"/>
      <c r="Y22" s="1459"/>
      <c r="Z22" s="1482"/>
      <c r="AA22" s="1456"/>
    </row>
    <row r="23" spans="2:27">
      <c r="B23" s="1982"/>
      <c r="C23" s="1667"/>
      <c r="D23" s="2773"/>
      <c r="E23" s="1444"/>
      <c r="F23" s="1661">
        <f t="shared" si="1"/>
        <v>0</v>
      </c>
      <c r="H23" s="1460"/>
      <c r="I23" s="2205"/>
      <c r="J23" s="1470" t="s">
        <v>229</v>
      </c>
      <c r="K23" s="1460"/>
      <c r="L23" s="1467"/>
      <c r="M23" s="1467"/>
      <c r="N23" s="1461"/>
      <c r="O23" s="1460"/>
      <c r="P23" s="1463"/>
      <c r="Q23" s="1466"/>
      <c r="R23" s="1466"/>
      <c r="S23" s="1469"/>
      <c r="T23" s="1469"/>
      <c r="U23" s="1469"/>
      <c r="V23" s="1469"/>
      <c r="W23" s="1459"/>
      <c r="X23" s="1459"/>
      <c r="Y23" s="1459"/>
      <c r="Z23" s="1482"/>
      <c r="AA23" s="1456"/>
    </row>
    <row r="24" spans="2:27">
      <c r="B24" s="1982"/>
      <c r="C24" s="1667"/>
      <c r="D24" s="2774"/>
      <c r="E24" s="1443"/>
      <c r="F24" s="1661">
        <f t="shared" si="1"/>
        <v>0</v>
      </c>
      <c r="H24" s="1460"/>
      <c r="I24" s="2205"/>
      <c r="J24" s="1470" t="s">
        <v>229</v>
      </c>
      <c r="K24" s="1460"/>
      <c r="L24" s="1467"/>
      <c r="M24" s="1467"/>
      <c r="N24" s="1461"/>
      <c r="O24" s="1460"/>
      <c r="P24" s="1463"/>
      <c r="Q24" s="1466"/>
      <c r="R24" s="1466"/>
      <c r="S24" s="1469"/>
      <c r="T24" s="1469"/>
      <c r="U24" s="1469"/>
      <c r="V24" s="1469"/>
      <c r="W24" s="1459"/>
      <c r="X24" s="1459"/>
      <c r="Y24" s="1459"/>
      <c r="Z24" s="1482"/>
      <c r="AA24" s="1456"/>
    </row>
    <row r="25" spans="2:27">
      <c r="B25" s="1982"/>
      <c r="C25" s="1667"/>
      <c r="D25" s="2775"/>
      <c r="E25" s="1444"/>
      <c r="F25" s="1661">
        <f t="shared" si="1"/>
        <v>0</v>
      </c>
      <c r="H25" s="1460"/>
      <c r="I25" s="2205"/>
      <c r="J25" s="1470" t="s">
        <v>229</v>
      </c>
      <c r="K25" s="1460"/>
      <c r="L25" s="1467"/>
      <c r="M25" s="1467"/>
      <c r="N25" s="1461"/>
      <c r="O25" s="1460"/>
      <c r="P25" s="1463"/>
      <c r="Q25" s="1466"/>
      <c r="R25" s="1466"/>
      <c r="S25" s="1469"/>
      <c r="T25" s="1469"/>
      <c r="U25" s="1469"/>
      <c r="V25" s="1469"/>
      <c r="W25" s="1459"/>
      <c r="X25" s="1459"/>
      <c r="Y25" s="1459"/>
      <c r="Z25" s="1482"/>
      <c r="AA25" s="1456"/>
    </row>
    <row r="26" spans="2:27">
      <c r="B26" s="2204">
        <f>SUM(B22:B25)</f>
        <v>0</v>
      </c>
      <c r="C26" s="1424"/>
      <c r="D26" s="2776"/>
      <c r="E26" s="1431"/>
      <c r="F26" s="1439"/>
      <c r="H26" s="1460"/>
      <c r="I26" s="2205"/>
      <c r="J26" s="1470" t="s">
        <v>229</v>
      </c>
      <c r="K26" s="1460"/>
      <c r="L26" s="1467"/>
      <c r="M26" s="1467"/>
      <c r="N26" s="1461"/>
      <c r="O26" s="1460"/>
      <c r="P26" s="1463"/>
      <c r="Q26" s="1466"/>
      <c r="R26" s="1466"/>
      <c r="S26" s="1469"/>
      <c r="T26" s="1469"/>
      <c r="U26" s="1469"/>
      <c r="V26" s="1469"/>
      <c r="W26" s="1459"/>
      <c r="X26" s="1459"/>
      <c r="Y26" s="1459"/>
      <c r="Z26" s="1482"/>
      <c r="AA26" s="1456"/>
    </row>
    <row r="27" spans="2:27">
      <c r="C27" s="1597" t="s">
        <v>1737</v>
      </c>
      <c r="D27" s="2771">
        <f>SUM(D29:D35)</f>
        <v>9067.8316500000019</v>
      </c>
      <c r="E27" s="1657">
        <f>SUM(E29:E31)+SUM(E33:E35)</f>
        <v>12513.495299999997</v>
      </c>
      <c r="F27" s="1638">
        <f>D27+E27</f>
        <v>21581.326949999999</v>
      </c>
      <c r="H27" s="1460"/>
      <c r="I27" s="2205"/>
      <c r="J27" s="1470" t="s">
        <v>229</v>
      </c>
      <c r="K27" s="1460"/>
      <c r="L27" s="1467"/>
      <c r="M27" s="1467"/>
      <c r="N27" s="1461"/>
      <c r="O27" s="1460"/>
      <c r="P27" s="1463"/>
      <c r="Q27" s="1466"/>
      <c r="R27" s="1466"/>
      <c r="S27" s="1469"/>
      <c r="T27" s="1469"/>
      <c r="U27" s="1469"/>
      <c r="V27" s="1469"/>
      <c r="W27" s="1459"/>
      <c r="X27" s="1459"/>
      <c r="Y27" s="1459"/>
      <c r="Z27" s="1482"/>
      <c r="AA27" s="1456"/>
    </row>
    <row r="28" spans="2:27">
      <c r="C28" s="1450" t="s">
        <v>1733</v>
      </c>
      <c r="D28" s="2777">
        <v>0.66700000000000004</v>
      </c>
      <c r="E28" s="1452">
        <v>0.68799999999999994</v>
      </c>
      <c r="F28" s="1485"/>
      <c r="H28" s="1460"/>
      <c r="I28" s="2205"/>
      <c r="J28" s="1470" t="s">
        <v>229</v>
      </c>
      <c r="K28" s="1460"/>
      <c r="L28" s="1467"/>
      <c r="M28" s="1467"/>
      <c r="N28" s="1461"/>
      <c r="O28" s="1460"/>
      <c r="P28" s="1463"/>
      <c r="Q28" s="1466"/>
      <c r="R28" s="1466"/>
      <c r="S28" s="1469"/>
      <c r="T28" s="1469"/>
      <c r="U28" s="1469"/>
      <c r="V28" s="1469"/>
      <c r="W28" s="1459"/>
      <c r="X28" s="1459"/>
      <c r="Y28" s="1459"/>
      <c r="Z28" s="1482"/>
      <c r="AA28" s="1456"/>
    </row>
    <row r="29" spans="2:27">
      <c r="C29" s="1667" t="s">
        <v>719</v>
      </c>
      <c r="D29" s="2778">
        <f>D15*D28</f>
        <v>9067.8316500000019</v>
      </c>
      <c r="E29" s="1641">
        <f>E15*E28</f>
        <v>9587.1767999999975</v>
      </c>
      <c r="F29" s="1661">
        <f t="shared" si="1"/>
        <v>18655.008450000001</v>
      </c>
      <c r="H29" s="1460"/>
      <c r="I29" s="2205"/>
      <c r="J29" s="1470" t="s">
        <v>229</v>
      </c>
      <c r="K29" s="1460"/>
      <c r="L29" s="1467"/>
      <c r="M29" s="1467"/>
      <c r="N29" s="1461"/>
      <c r="O29" s="1460"/>
      <c r="P29" s="1463"/>
      <c r="Q29" s="1466"/>
      <c r="R29" s="1466"/>
      <c r="S29" s="1469"/>
      <c r="T29" s="1469"/>
      <c r="U29" s="1469"/>
      <c r="V29" s="1469"/>
      <c r="W29" s="1459"/>
      <c r="X29" s="1459"/>
      <c r="Y29" s="1459"/>
      <c r="Z29" s="1482"/>
      <c r="AA29" s="1456"/>
    </row>
    <row r="30" spans="2:27">
      <c r="C30" s="1667" t="s">
        <v>720</v>
      </c>
      <c r="D30" s="2785">
        <f>D21*D28</f>
        <v>0</v>
      </c>
      <c r="E30" s="1641">
        <f>E21*E28</f>
        <v>0</v>
      </c>
      <c r="F30" s="1661">
        <f t="shared" si="1"/>
        <v>0</v>
      </c>
      <c r="H30" s="1460"/>
      <c r="I30" s="2205"/>
      <c r="J30" s="1470" t="s">
        <v>229</v>
      </c>
      <c r="K30" s="1460"/>
      <c r="L30" s="1467"/>
      <c r="M30" s="1467"/>
      <c r="N30" s="1461"/>
      <c r="O30" s="1460"/>
      <c r="P30" s="1463"/>
      <c r="Q30" s="1466"/>
      <c r="R30" s="1466"/>
      <c r="S30" s="1469"/>
      <c r="T30" s="1469"/>
      <c r="U30" s="1469"/>
      <c r="V30" s="1469"/>
      <c r="W30" s="1459"/>
      <c r="X30" s="1459"/>
      <c r="Y30" s="1459"/>
      <c r="Z30" s="1482"/>
      <c r="AA30" s="1456"/>
    </row>
    <row r="31" spans="2:27">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482"/>
      <c r="AA31" s="1456"/>
    </row>
    <row r="32" spans="2:27">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482"/>
      <c r="AA32" s="1456"/>
    </row>
    <row r="33" spans="1:27">
      <c r="C33" s="1667" t="s">
        <v>719</v>
      </c>
      <c r="D33" s="2778"/>
      <c r="E33" s="1641">
        <f>E15*E32</f>
        <v>2926.3184999999994</v>
      </c>
      <c r="F33" s="1661">
        <f>SUM(D33:E33)</f>
        <v>2926.3184999999994</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482"/>
      <c r="AA33" s="1456"/>
    </row>
    <row r="34" spans="1:27">
      <c r="A34" s="2143" t="s">
        <v>621</v>
      </c>
      <c r="C34" s="1667" t="s">
        <v>720</v>
      </c>
      <c r="D34" s="2785"/>
      <c r="E34" s="1641">
        <f>E21*E32</f>
        <v>0</v>
      </c>
      <c r="F34" s="1661">
        <f t="shared" ref="F34" si="6">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482"/>
      <c r="AA34" s="1456"/>
    </row>
    <row r="35" spans="1:27">
      <c r="A35" s="2143" t="s">
        <v>262</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482"/>
      <c r="AA35" s="1456"/>
    </row>
    <row r="36" spans="1:27">
      <c r="A36" s="2143"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482"/>
      <c r="AA36" s="1456"/>
    </row>
    <row r="37" spans="1:27">
      <c r="A37" s="2143">
        <v>18231029</v>
      </c>
      <c r="C37" s="1597" t="s">
        <v>46</v>
      </c>
      <c r="D37" s="2771">
        <f>SUM(D38:D41)</f>
        <v>0</v>
      </c>
      <c r="E37" s="1464">
        <f>SUM(E38:E41)</f>
        <v>0</v>
      </c>
      <c r="F37" s="1638">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482"/>
      <c r="AA37" s="1456"/>
    </row>
    <row r="38" spans="1:27">
      <c r="A38" s="2143" t="s">
        <v>28</v>
      </c>
      <c r="C38" s="1667"/>
      <c r="D38" s="2778"/>
      <c r="E38" s="1672"/>
      <c r="F38" s="1661">
        <f t="shared" ref="F38:F47" si="7">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482"/>
      <c r="AA38" s="1456"/>
    </row>
    <row r="39" spans="1:27">
      <c r="A39" s="1663"/>
      <c r="C39" s="1667"/>
      <c r="D39" s="2778"/>
      <c r="E39" s="1672"/>
      <c r="F39" s="1661">
        <f t="shared" si="7"/>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482"/>
      <c r="AA39" s="1456"/>
    </row>
    <row r="40" spans="1:27">
      <c r="A40" s="1663"/>
      <c r="C40" s="1667"/>
      <c r="D40" s="2778"/>
      <c r="E40" s="1672"/>
      <c r="F40" s="1661">
        <f t="shared" si="7"/>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482"/>
      <c r="AA40" s="1456"/>
    </row>
    <row r="41" spans="1:27">
      <c r="C41" s="1667"/>
      <c r="D41" s="2778"/>
      <c r="E41" s="1672"/>
      <c r="F41" s="1661">
        <f t="shared" si="7"/>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482"/>
      <c r="AA41" s="1456"/>
    </row>
    <row r="42" spans="1:27">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482"/>
      <c r="AA42" s="1456"/>
    </row>
    <row r="43" spans="1:27">
      <c r="C43" s="1597" t="s">
        <v>483</v>
      </c>
      <c r="D43" s="2771">
        <f>SUM(D44:D47)</f>
        <v>500</v>
      </c>
      <c r="E43" s="1464">
        <f>SUM(E44:E47)</f>
        <v>500</v>
      </c>
      <c r="F43" s="1638">
        <f>D43+E43</f>
        <v>1000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482"/>
      <c r="AA43" s="1456"/>
    </row>
    <row r="44" spans="1:27">
      <c r="C44" s="1667"/>
      <c r="D44" s="2778">
        <v>500</v>
      </c>
      <c r="E44" s="1672">
        <v>500</v>
      </c>
      <c r="F44" s="1661">
        <f t="shared" si="7"/>
        <v>1000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482"/>
      <c r="AA44" s="1456"/>
    </row>
    <row r="45" spans="1:27">
      <c r="C45" s="1667"/>
      <c r="D45" s="2778"/>
      <c r="E45" s="1672"/>
      <c r="F45" s="1661">
        <f t="shared" si="7"/>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482"/>
      <c r="AA45" s="1456"/>
    </row>
    <row r="46" spans="1:27">
      <c r="C46" s="1667"/>
      <c r="D46" s="2778"/>
      <c r="E46" s="1672"/>
      <c r="F46" s="1661">
        <f t="shared" si="7"/>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482"/>
      <c r="AA46" s="1456"/>
    </row>
    <row r="47" spans="1:27">
      <c r="C47" s="1667"/>
      <c r="D47" s="2778"/>
      <c r="E47" s="1672"/>
      <c r="F47" s="1661">
        <f t="shared" si="7"/>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482"/>
      <c r="AA47" s="1456"/>
    </row>
    <row r="48" spans="1:27">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482"/>
      <c r="AA48" s="1456"/>
    </row>
    <row r="49" spans="1:27">
      <c r="C49" s="1597" t="s">
        <v>47</v>
      </c>
      <c r="D49" s="2771">
        <f>SUM(D50:D53)</f>
        <v>0</v>
      </c>
      <c r="E49" s="1464">
        <f>SUM(E50:E53)</f>
        <v>55976.03</v>
      </c>
      <c r="F49" s="1638">
        <f>D49+E49</f>
        <v>55976.03</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482"/>
      <c r="AA49" s="1456"/>
    </row>
    <row r="50" spans="1:27">
      <c r="C50" s="1667"/>
      <c r="D50" s="2778"/>
      <c r="E50" s="1672">
        <v>55976.03</v>
      </c>
      <c r="F50" s="1661">
        <f t="shared" ref="F50:F65" si="8">SUM(D50:E50)</f>
        <v>55976.03</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482"/>
      <c r="AA50" s="1456"/>
    </row>
    <row r="51" spans="1:27">
      <c r="C51" s="1667"/>
      <c r="D51" s="2778"/>
      <c r="E51" s="1672"/>
      <c r="F51" s="1661">
        <f t="shared" si="8"/>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482"/>
      <c r="AA51" s="1456"/>
    </row>
    <row r="52" spans="1:27">
      <c r="C52" s="1667"/>
      <c r="D52" s="2778"/>
      <c r="E52" s="1672"/>
      <c r="F52" s="1661">
        <f t="shared" si="8"/>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482"/>
      <c r="AA52" s="1456"/>
    </row>
    <row r="53" spans="1:27">
      <c r="C53" s="1667"/>
      <c r="D53" s="2778"/>
      <c r="E53" s="1672"/>
      <c r="F53" s="1661">
        <f t="shared" si="8"/>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482"/>
      <c r="AA53" s="1456"/>
    </row>
    <row r="54" spans="1:27">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482"/>
      <c r="AA54" s="1456"/>
    </row>
    <row r="55" spans="1:27">
      <c r="C55" s="1597" t="s">
        <v>48</v>
      </c>
      <c r="D55" s="2771">
        <f>SUM(D56:D59)</f>
        <v>100</v>
      </c>
      <c r="E55" s="1464">
        <f>SUM(E56:E59)</f>
        <v>100</v>
      </c>
      <c r="F55" s="1638">
        <f>D55+E55</f>
        <v>200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482"/>
      <c r="AA55" s="1456"/>
    </row>
    <row r="56" spans="1:27">
      <c r="C56" s="1667"/>
      <c r="D56" s="2778">
        <v>100</v>
      </c>
      <c r="E56" s="1641">
        <v>100</v>
      </c>
      <c r="F56" s="1661">
        <f t="shared" si="8"/>
        <v>200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482"/>
      <c r="AA56" s="1456"/>
    </row>
    <row r="57" spans="1:27">
      <c r="C57" s="1667"/>
      <c r="D57" s="2778"/>
      <c r="E57" s="1641"/>
      <c r="F57" s="1661">
        <f t="shared" si="8"/>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482"/>
      <c r="AA57" s="1456"/>
    </row>
    <row r="58" spans="1:27">
      <c r="C58" s="1667"/>
      <c r="D58" s="2778"/>
      <c r="E58" s="1641"/>
      <c r="F58" s="1661">
        <f t="shared" si="8"/>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482"/>
      <c r="AA58" s="1456"/>
    </row>
    <row r="59" spans="1:27">
      <c r="C59" s="1667"/>
      <c r="D59" s="2778"/>
      <c r="E59" s="1641"/>
      <c r="F59" s="1661">
        <f t="shared" si="8"/>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482"/>
      <c r="AA59" s="1456"/>
    </row>
    <row r="60" spans="1:27">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482"/>
      <c r="AA60" s="1456"/>
    </row>
    <row r="61" spans="1:27">
      <c r="C61" s="1597" t="s">
        <v>49</v>
      </c>
      <c r="D61" s="2771">
        <f>SUM(D62:D65)</f>
        <v>120</v>
      </c>
      <c r="E61" s="1464">
        <f>SUM(E62:E65)</f>
        <v>120</v>
      </c>
      <c r="F61" s="1638">
        <f>D61+E61</f>
        <v>240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482"/>
      <c r="AA61" s="1456"/>
    </row>
    <row r="62" spans="1:27">
      <c r="C62" s="1667"/>
      <c r="D62" s="2778">
        <v>120</v>
      </c>
      <c r="E62" s="1672">
        <v>120</v>
      </c>
      <c r="F62" s="1661">
        <f t="shared" si="8"/>
        <v>240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482"/>
      <c r="AA62" s="1456"/>
    </row>
    <row r="63" spans="1:27">
      <c r="C63" s="1667"/>
      <c r="D63" s="2778"/>
      <c r="E63" s="1672"/>
      <c r="F63" s="1661">
        <f t="shared" si="8"/>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482"/>
      <c r="AA63" s="1456"/>
    </row>
    <row r="64" spans="1:27">
      <c r="A64" s="2143" t="s">
        <v>621</v>
      </c>
      <c r="C64" s="1667"/>
      <c r="D64" s="2778"/>
      <c r="E64" s="1672"/>
      <c r="F64" s="1437">
        <f t="shared" si="8"/>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482"/>
      <c r="AA64" s="1456"/>
    </row>
    <row r="65" spans="1:27">
      <c r="A65" s="2143" t="s">
        <v>262</v>
      </c>
      <c r="C65" s="1667"/>
      <c r="D65" s="2778"/>
      <c r="E65" s="1672"/>
      <c r="F65" s="1661">
        <f t="shared" si="8"/>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482"/>
      <c r="AA65" s="1456"/>
    </row>
    <row r="66" spans="1:27">
      <c r="A66" s="2143" t="s">
        <v>5</v>
      </c>
      <c r="C66" s="1488"/>
      <c r="D66" s="2779"/>
      <c r="E66" s="1490"/>
      <c r="F66" s="1493"/>
    </row>
    <row r="67" spans="1:27">
      <c r="A67" s="2143">
        <v>18231029</v>
      </c>
      <c r="C67" s="1597" t="s">
        <v>50</v>
      </c>
      <c r="D67" s="2771">
        <f>W15</f>
        <v>0</v>
      </c>
      <c r="E67" s="1464">
        <f>X15</f>
        <v>123800</v>
      </c>
      <c r="F67" s="1638">
        <f>D67+E67</f>
        <v>123800</v>
      </c>
    </row>
    <row r="68" spans="1:27">
      <c r="A68" s="2143" t="s">
        <v>28</v>
      </c>
      <c r="C68" s="1500" t="s">
        <v>297</v>
      </c>
      <c r="D68" s="2781"/>
      <c r="E68" s="1496"/>
      <c r="F68" s="1499"/>
    </row>
    <row r="69" spans="1:27">
      <c r="A69" s="1663"/>
      <c r="C69" s="1501"/>
      <c r="D69" s="2782"/>
      <c r="E69" s="1497"/>
      <c r="F69" s="1498"/>
    </row>
    <row r="70" spans="1:27">
      <c r="A70" s="1663"/>
      <c r="C70" s="1494" t="s">
        <v>51</v>
      </c>
      <c r="D70" s="2778">
        <v>0</v>
      </c>
      <c r="E70" s="1671">
        <v>0</v>
      </c>
      <c r="F70" s="1491">
        <v>0</v>
      </c>
    </row>
    <row r="72" spans="1:27">
      <c r="H72" s="3003" t="s">
        <v>1751</v>
      </c>
    </row>
    <row r="73" spans="1:27">
      <c r="H73" s="3562" t="s">
        <v>300</v>
      </c>
      <c r="I73" s="3562"/>
      <c r="J73" s="3562"/>
      <c r="K73" s="3562"/>
      <c r="L73" s="3562"/>
      <c r="M73" s="3562"/>
      <c r="N73" s="3562"/>
      <c r="O73" s="3562"/>
      <c r="P73" s="3562"/>
      <c r="Q73" s="1465"/>
      <c r="R73" s="1465"/>
      <c r="S73" s="1465"/>
      <c r="T73" s="1465"/>
      <c r="U73" s="1465"/>
      <c r="V73" s="1465"/>
      <c r="W73" s="3191" t="s">
        <v>300</v>
      </c>
      <c r="X73" s="1465"/>
      <c r="Y73" s="1465"/>
      <c r="Z73" s="3191" t="s">
        <v>300</v>
      </c>
      <c r="AA73" s="1465"/>
    </row>
    <row r="74" spans="1:27">
      <c r="H74" s="1456"/>
      <c r="I74" s="1457"/>
      <c r="J74" s="1457"/>
      <c r="K74" s="1456"/>
      <c r="L74" s="1456"/>
      <c r="M74" s="1456"/>
      <c r="N74" s="1456"/>
      <c r="O74" s="1456"/>
      <c r="P74" s="1456"/>
      <c r="Q74" s="1456"/>
      <c r="R74" s="1456"/>
      <c r="S74" s="1456"/>
      <c r="T74" s="1456"/>
      <c r="U74" s="1456"/>
      <c r="V74" s="1456"/>
      <c r="W74" s="1456"/>
      <c r="X74" s="1456"/>
      <c r="Y74" s="1456"/>
      <c r="Z74" s="1456"/>
      <c r="AA74" s="1456"/>
    </row>
    <row r="75" spans="1:27">
      <c r="H75" s="3563" t="s">
        <v>301</v>
      </c>
      <c r="I75" s="3563"/>
      <c r="J75" s="3563"/>
      <c r="K75" s="3563"/>
      <c r="L75" s="3563"/>
      <c r="M75" s="3563"/>
      <c r="N75" s="3563"/>
      <c r="O75" s="3563"/>
      <c r="P75" s="3563"/>
      <c r="Q75" s="3565" t="s">
        <v>40</v>
      </c>
      <c r="R75" s="3565"/>
      <c r="S75" s="3565"/>
      <c r="T75" s="3574" t="s">
        <v>41</v>
      </c>
      <c r="U75" s="3574"/>
      <c r="V75" s="3574"/>
      <c r="W75" s="3564" t="s">
        <v>52</v>
      </c>
      <c r="X75" s="3564"/>
      <c r="Y75" s="3564"/>
      <c r="Z75" s="3567" t="s">
        <v>1728</v>
      </c>
      <c r="AA75" s="1456"/>
    </row>
    <row r="76" spans="1:27">
      <c r="H76" s="1471" t="s">
        <v>302</v>
      </c>
      <c r="I76" s="1471" t="s">
        <v>228</v>
      </c>
      <c r="J76" s="1471" t="s">
        <v>303</v>
      </c>
      <c r="K76" s="1471" t="s">
        <v>304</v>
      </c>
      <c r="L76" s="1471" t="s">
        <v>53</v>
      </c>
      <c r="M76" s="1471" t="s">
        <v>54</v>
      </c>
      <c r="N76" s="1471" t="s">
        <v>305</v>
      </c>
      <c r="O76" s="1471" t="s">
        <v>55</v>
      </c>
      <c r="P76" s="1471" t="s">
        <v>56</v>
      </c>
      <c r="Q76" s="1472">
        <v>2016</v>
      </c>
      <c r="R76" s="1472">
        <v>2017</v>
      </c>
      <c r="S76" s="1472" t="s">
        <v>306</v>
      </c>
      <c r="T76" s="1473">
        <v>2016</v>
      </c>
      <c r="U76" s="1473">
        <v>2017</v>
      </c>
      <c r="V76" s="1473" t="s">
        <v>306</v>
      </c>
      <c r="W76" s="1474">
        <v>2016</v>
      </c>
      <c r="X76" s="1474">
        <v>2017</v>
      </c>
      <c r="Y76" s="1474" t="s">
        <v>306</v>
      </c>
      <c r="Z76" s="3567"/>
      <c r="AA76" s="1456"/>
    </row>
    <row r="77" spans="1:27">
      <c r="H77" s="1458" t="s">
        <v>307</v>
      </c>
      <c r="I77" s="1458" t="s">
        <v>307</v>
      </c>
      <c r="J77" s="1471"/>
      <c r="K77" s="1458" t="s">
        <v>307</v>
      </c>
      <c r="L77" s="1458" t="s">
        <v>307</v>
      </c>
      <c r="M77" s="1458" t="s">
        <v>307</v>
      </c>
      <c r="N77" s="1458" t="s">
        <v>307</v>
      </c>
      <c r="O77" s="1458" t="s">
        <v>307</v>
      </c>
      <c r="P77" s="1458" t="s">
        <v>307</v>
      </c>
      <c r="Q77" s="1458" t="s">
        <v>307</v>
      </c>
      <c r="R77" s="1458" t="s">
        <v>307</v>
      </c>
      <c r="S77" s="1472"/>
      <c r="T77" s="1473"/>
      <c r="U77" s="1473"/>
      <c r="V77" s="1473"/>
      <c r="W77" s="1474"/>
      <c r="X77" s="1474"/>
      <c r="Y77" s="1474"/>
      <c r="Z77" s="1458" t="s">
        <v>307</v>
      </c>
      <c r="AA77" s="1456"/>
    </row>
    <row r="78" spans="1:27">
      <c r="H78" s="1475" t="s">
        <v>308</v>
      </c>
      <c r="I78" s="1476"/>
      <c r="J78" s="1476"/>
      <c r="K78" s="1477"/>
      <c r="L78" s="1478">
        <f>SUMPRODUCT(L79:L228,S79:S228)</f>
        <v>171750.00400000002</v>
      </c>
      <c r="M78" s="1478">
        <f>SUM(M79:M228)</f>
        <v>225.00300000000001</v>
      </c>
      <c r="N78" s="1479" t="s">
        <v>229</v>
      </c>
      <c r="O78" s="1477">
        <v>9</v>
      </c>
      <c r="P78" s="1477"/>
      <c r="Q78" s="1477"/>
      <c r="R78" s="1477"/>
      <c r="S78" s="1477"/>
      <c r="T78" s="1480">
        <f t="shared" ref="T78:X78" si="9">SUM(T79:T128)</f>
        <v>23600</v>
      </c>
      <c r="U78" s="1480">
        <f t="shared" si="9"/>
        <v>27400</v>
      </c>
      <c r="V78" s="1480">
        <f t="shared" si="9"/>
        <v>51000</v>
      </c>
      <c r="W78" s="1478">
        <f t="shared" si="9"/>
        <v>22500.003000000001</v>
      </c>
      <c r="X78" s="1478">
        <f t="shared" si="9"/>
        <v>33750.002999999997</v>
      </c>
      <c r="Y78" s="1478">
        <f>SUM(Y79:Y128)</f>
        <v>56250.006000000001</v>
      </c>
      <c r="Z78" s="1481">
        <v>0</v>
      </c>
      <c r="AA78" s="1456"/>
    </row>
    <row r="79" spans="1:27">
      <c r="H79" s="1460" t="s">
        <v>1358</v>
      </c>
      <c r="I79" s="2205">
        <v>7500</v>
      </c>
      <c r="J79" s="1470" t="s">
        <v>71</v>
      </c>
      <c r="K79" s="1460" t="s">
        <v>991</v>
      </c>
      <c r="L79" s="1467">
        <v>1E-3</v>
      </c>
      <c r="M79" s="1467">
        <v>1E-3</v>
      </c>
      <c r="N79" s="1461">
        <v>0.27372262773722628</v>
      </c>
      <c r="O79" s="1460">
        <v>5</v>
      </c>
      <c r="P79" s="1463" t="s">
        <v>1160</v>
      </c>
      <c r="Q79" s="1466">
        <v>1</v>
      </c>
      <c r="R79" s="1466">
        <v>1</v>
      </c>
      <c r="S79" s="1469">
        <f>SUM(Q79:R79)</f>
        <v>2</v>
      </c>
      <c r="T79" s="1469">
        <f>Q79*I79</f>
        <v>7500</v>
      </c>
      <c r="U79" s="1469">
        <f>R79*I79</f>
        <v>7500</v>
      </c>
      <c r="V79" s="1469">
        <f>SUM(T79:U79)</f>
        <v>15000</v>
      </c>
      <c r="W79" s="1459">
        <f>Q79*M79</f>
        <v>1E-3</v>
      </c>
      <c r="X79" s="1459">
        <f>R79*M79</f>
        <v>1E-3</v>
      </c>
      <c r="Y79" s="1459">
        <f>SUM(W79:X79)</f>
        <v>2E-3</v>
      </c>
      <c r="Z79" s="1482">
        <v>0</v>
      </c>
      <c r="AA79" s="1456"/>
    </row>
    <row r="80" spans="1:27">
      <c r="H80" s="1460" t="s">
        <v>1359</v>
      </c>
      <c r="I80" s="2205">
        <v>61</v>
      </c>
      <c r="J80" s="1470" t="s">
        <v>71</v>
      </c>
      <c r="K80" s="1460" t="s">
        <v>845</v>
      </c>
      <c r="L80" s="1467">
        <v>167</v>
      </c>
      <c r="M80" s="1467">
        <v>150</v>
      </c>
      <c r="N80" s="1461">
        <v>0.33394160583941607</v>
      </c>
      <c r="O80" s="1460">
        <v>5</v>
      </c>
      <c r="P80" s="1463" t="s">
        <v>1160</v>
      </c>
      <c r="Q80" s="1466">
        <v>100</v>
      </c>
      <c r="R80" s="1466">
        <v>150</v>
      </c>
      <c r="S80" s="1469">
        <f t="shared" ref="S80:S85" si="10">SUM(Q80:R80)</f>
        <v>250</v>
      </c>
      <c r="T80" s="1469">
        <f t="shared" ref="T80:T85" si="11">Q80*I80</f>
        <v>6100</v>
      </c>
      <c r="U80" s="1469">
        <f t="shared" ref="U80:U85" si="12">R80*I80</f>
        <v>9150</v>
      </c>
      <c r="V80" s="1469">
        <f t="shared" ref="V80:V85" si="13">SUM(T80:U80)</f>
        <v>15250</v>
      </c>
      <c r="W80" s="1459">
        <f t="shared" ref="W80:W85" si="14">Q80*M80</f>
        <v>15000</v>
      </c>
      <c r="X80" s="1459">
        <f t="shared" ref="X80:X85" si="15">R80*M80</f>
        <v>22500</v>
      </c>
      <c r="Y80" s="1459">
        <f t="shared" ref="Y80:Y85" si="16">SUM(W80:X80)</f>
        <v>37500</v>
      </c>
      <c r="Z80" s="1482">
        <v>0</v>
      </c>
      <c r="AA80" s="1456"/>
    </row>
    <row r="81" spans="5:27">
      <c r="H81" s="1460" t="s">
        <v>1212</v>
      </c>
      <c r="I81" s="2205">
        <v>4</v>
      </c>
      <c r="J81" s="1470" t="s">
        <v>71</v>
      </c>
      <c r="K81" s="1460" t="s">
        <v>845</v>
      </c>
      <c r="L81" s="1467">
        <v>100</v>
      </c>
      <c r="M81" s="1467">
        <v>25</v>
      </c>
      <c r="N81" s="1461">
        <v>2.1897810218978103E-2</v>
      </c>
      <c r="O81" s="1460">
        <v>10</v>
      </c>
      <c r="P81" s="1463" t="s">
        <v>1160</v>
      </c>
      <c r="Q81" s="1466">
        <v>100</v>
      </c>
      <c r="R81" s="1466">
        <v>150</v>
      </c>
      <c r="S81" s="1469">
        <f t="shared" si="10"/>
        <v>250</v>
      </c>
      <c r="T81" s="1469">
        <f t="shared" si="11"/>
        <v>400</v>
      </c>
      <c r="U81" s="1469">
        <f t="shared" si="12"/>
        <v>600</v>
      </c>
      <c r="V81" s="1469">
        <f t="shared" si="13"/>
        <v>1000</v>
      </c>
      <c r="W81" s="1459">
        <f t="shared" si="14"/>
        <v>2500</v>
      </c>
      <c r="X81" s="1459">
        <f t="shared" si="15"/>
        <v>3750</v>
      </c>
      <c r="Y81" s="1459">
        <f t="shared" si="16"/>
        <v>6250</v>
      </c>
      <c r="Z81" s="1482">
        <v>0</v>
      </c>
      <c r="AA81" s="1456"/>
    </row>
    <row r="82" spans="5:27">
      <c r="H82" s="1460" t="s">
        <v>1213</v>
      </c>
      <c r="I82" s="2205">
        <v>11</v>
      </c>
      <c r="J82" s="1470" t="s">
        <v>71</v>
      </c>
      <c r="K82" s="1460" t="s">
        <v>845</v>
      </c>
      <c r="L82" s="1467">
        <v>100</v>
      </c>
      <c r="M82" s="1467">
        <v>50</v>
      </c>
      <c r="N82" s="1461">
        <v>6.0218978102189784E-2</v>
      </c>
      <c r="O82" s="1460">
        <v>10</v>
      </c>
      <c r="P82" s="1463" t="s">
        <v>1160</v>
      </c>
      <c r="Q82" s="1466">
        <v>100</v>
      </c>
      <c r="R82" s="1466">
        <v>150</v>
      </c>
      <c r="S82" s="1469">
        <f t="shared" si="10"/>
        <v>250</v>
      </c>
      <c r="T82" s="1469">
        <f t="shared" si="11"/>
        <v>1100</v>
      </c>
      <c r="U82" s="1469">
        <f t="shared" si="12"/>
        <v>1650</v>
      </c>
      <c r="V82" s="1469">
        <f t="shared" si="13"/>
        <v>2750</v>
      </c>
      <c r="W82" s="1459">
        <f t="shared" si="14"/>
        <v>5000</v>
      </c>
      <c r="X82" s="1459">
        <f t="shared" si="15"/>
        <v>7500</v>
      </c>
      <c r="Y82" s="1459">
        <f t="shared" si="16"/>
        <v>12500</v>
      </c>
      <c r="Z82" s="1482">
        <v>0</v>
      </c>
      <c r="AA82" s="1456"/>
    </row>
    <row r="83" spans="5:27">
      <c r="H83" s="1460" t="s">
        <v>1360</v>
      </c>
      <c r="I83" s="2205">
        <v>7500</v>
      </c>
      <c r="J83" s="1470" t="s">
        <v>71</v>
      </c>
      <c r="K83" s="1460" t="s">
        <v>991</v>
      </c>
      <c r="L83" s="1467">
        <v>40000</v>
      </c>
      <c r="M83" s="1467">
        <v>1E-3</v>
      </c>
      <c r="N83" s="1461">
        <v>0.27372262773722628</v>
      </c>
      <c r="O83" s="1460">
        <v>15</v>
      </c>
      <c r="P83" s="1463" t="s">
        <v>1160</v>
      </c>
      <c r="Q83" s="1466">
        <v>1</v>
      </c>
      <c r="R83" s="1466">
        <v>1</v>
      </c>
      <c r="S83" s="1469">
        <f t="shared" si="10"/>
        <v>2</v>
      </c>
      <c r="T83" s="1469">
        <f t="shared" si="11"/>
        <v>7500</v>
      </c>
      <c r="U83" s="1469">
        <f t="shared" si="12"/>
        <v>7500</v>
      </c>
      <c r="V83" s="1469">
        <f t="shared" si="13"/>
        <v>15000</v>
      </c>
      <c r="W83" s="1459">
        <f t="shared" si="14"/>
        <v>1E-3</v>
      </c>
      <c r="X83" s="1459">
        <f t="shared" si="15"/>
        <v>1E-3</v>
      </c>
      <c r="Y83" s="1459">
        <f t="shared" si="16"/>
        <v>2E-3</v>
      </c>
      <c r="Z83" s="1482">
        <v>0</v>
      </c>
      <c r="AA83" s="1456"/>
    </row>
    <row r="84" spans="5:27">
      <c r="E84" s="1652"/>
      <c r="H84" s="1460" t="s">
        <v>1361</v>
      </c>
      <c r="I84" s="2205">
        <v>1000</v>
      </c>
      <c r="J84" s="1470" t="s">
        <v>71</v>
      </c>
      <c r="K84" s="1460" t="s">
        <v>845</v>
      </c>
      <c r="L84" s="1467">
        <v>1E-3</v>
      </c>
      <c r="M84" s="1467">
        <v>1E-3</v>
      </c>
      <c r="N84" s="1461">
        <v>3.6496350364963501E-2</v>
      </c>
      <c r="O84" s="1460">
        <v>15</v>
      </c>
      <c r="P84" s="1463" t="s">
        <v>1160</v>
      </c>
      <c r="Q84" s="1466">
        <v>1</v>
      </c>
      <c r="R84" s="1466">
        <v>1</v>
      </c>
      <c r="S84" s="1469">
        <f t="shared" si="10"/>
        <v>2</v>
      </c>
      <c r="T84" s="1469">
        <f t="shared" si="11"/>
        <v>1000</v>
      </c>
      <c r="U84" s="1469">
        <f t="shared" si="12"/>
        <v>1000</v>
      </c>
      <c r="V84" s="1469">
        <f t="shared" si="13"/>
        <v>2000</v>
      </c>
      <c r="W84" s="1459">
        <f t="shared" si="14"/>
        <v>1E-3</v>
      </c>
      <c r="X84" s="1459">
        <f t="shared" si="15"/>
        <v>1E-3</v>
      </c>
      <c r="Y84" s="1459">
        <f t="shared" si="16"/>
        <v>2E-3</v>
      </c>
      <c r="Z84" s="1482">
        <v>0</v>
      </c>
      <c r="AA84" s="1456"/>
    </row>
    <row r="85" spans="5:27">
      <c r="E85" s="1652"/>
      <c r="H85" s="1460"/>
      <c r="I85" s="2205"/>
      <c r="J85" s="1470" t="s">
        <v>229</v>
      </c>
      <c r="K85" s="1460"/>
      <c r="L85" s="1467"/>
      <c r="M85" s="1467"/>
      <c r="N85" s="1461"/>
      <c r="O85" s="1460"/>
      <c r="P85" s="1463"/>
      <c r="Q85" s="1466"/>
      <c r="R85" s="1466"/>
      <c r="S85" s="1469">
        <f t="shared" si="10"/>
        <v>0</v>
      </c>
      <c r="T85" s="1469">
        <f t="shared" si="11"/>
        <v>0</v>
      </c>
      <c r="U85" s="1469">
        <f t="shared" si="12"/>
        <v>0</v>
      </c>
      <c r="V85" s="1469">
        <f t="shared" si="13"/>
        <v>0</v>
      </c>
      <c r="W85" s="1459">
        <f t="shared" si="14"/>
        <v>0</v>
      </c>
      <c r="X85" s="1459">
        <f t="shared" si="15"/>
        <v>0</v>
      </c>
      <c r="Y85" s="1459">
        <f t="shared" si="16"/>
        <v>0</v>
      </c>
      <c r="Z85" s="1482"/>
      <c r="AA85" s="1456"/>
    </row>
    <row r="86" spans="5:27">
      <c r="E86" s="1652"/>
    </row>
    <row r="87" spans="5:27">
      <c r="E87" s="1652"/>
    </row>
    <row r="88" spans="5:27">
      <c r="E88" s="1652"/>
    </row>
    <row r="89" spans="5:27">
      <c r="E89" s="1652"/>
    </row>
    <row r="90" spans="5:27">
      <c r="E90" s="1652"/>
    </row>
    <row r="91" spans="5:27">
      <c r="E91" s="1652"/>
    </row>
    <row r="92" spans="5:27">
      <c r="E92" s="1652"/>
    </row>
    <row r="93" spans="5:27">
      <c r="E93" s="1652"/>
    </row>
    <row r="94" spans="5:27">
      <c r="E94" s="1652"/>
    </row>
    <row r="95" spans="5:27">
      <c r="E95" s="1652"/>
    </row>
    <row r="96" spans="5:27">
      <c r="E96" s="1652"/>
    </row>
    <row r="97" spans="5:5">
      <c r="E97" s="1652"/>
    </row>
    <row r="98" spans="5:5">
      <c r="E98" s="1652"/>
    </row>
    <row r="99" spans="5:5">
      <c r="E99" s="1652"/>
    </row>
    <row r="100" spans="5:5">
      <c r="E100" s="1652"/>
    </row>
    <row r="101" spans="5:5">
      <c r="E101" s="1652"/>
    </row>
    <row r="102" spans="5:5">
      <c r="E102" s="1652"/>
    </row>
    <row r="103" spans="5:5">
      <c r="E103" s="1652"/>
    </row>
    <row r="104" spans="5:5">
      <c r="E104" s="1652"/>
    </row>
    <row r="105" spans="5:5">
      <c r="E105" s="1652"/>
    </row>
    <row r="106" spans="5:5">
      <c r="E106" s="1652"/>
    </row>
    <row r="107" spans="5:5">
      <c r="E107" s="1652"/>
    </row>
    <row r="108" spans="5:5">
      <c r="E108" s="1652"/>
    </row>
    <row r="109" spans="5:5">
      <c r="E109" s="1652"/>
    </row>
    <row r="110" spans="5:5">
      <c r="E110" s="1652"/>
    </row>
    <row r="111" spans="5:5">
      <c r="E111" s="1652"/>
    </row>
    <row r="112" spans="5:5">
      <c r="E112" s="1652"/>
    </row>
    <row r="113" spans="5:5">
      <c r="E113" s="1652"/>
    </row>
    <row r="114" spans="5:5">
      <c r="E114" s="1652"/>
    </row>
  </sheetData>
  <customSheetViews>
    <customSheetView guid="{D9EFFE19-D14B-4C6F-BDF4-FF696F73968D}" showGridLines="0">
      <pane xSplit="1" ySplit="1" topLeftCell="F2" activePane="bottomRight" state="frozen"/>
      <selection pane="bottomRight" activeCell="N28" sqref="N28"/>
      <pageMargins left="0.7" right="0.7" top="0.75" bottom="0.75" header="0.3" footer="0.3"/>
    </customSheetView>
    <customSheetView guid="{074EB09C-6289-46D7-9513-012B68BCA7BF}" showGridLines="0">
      <pane xSplit="1" ySplit="1" topLeftCell="B8" activePane="bottomRight" state="frozen"/>
      <selection pane="bottomRight" activeCell="T6" sqref="T6"/>
      <pageMargins left="0.7" right="0.7" top="0.75" bottom="0.75" header="0.3" footer="0.3"/>
    </customSheetView>
  </customSheetViews>
  <mergeCells count="15">
    <mergeCell ref="Z75:Z76"/>
    <mergeCell ref="H73:P73"/>
    <mergeCell ref="H75:P75"/>
    <mergeCell ref="Q75:S75"/>
    <mergeCell ref="T75:V75"/>
    <mergeCell ref="W75:Y75"/>
    <mergeCell ref="Z12:Z13"/>
    <mergeCell ref="S2:T2"/>
    <mergeCell ref="U2:W2"/>
    <mergeCell ref="X2:X3"/>
    <mergeCell ref="H10:P10"/>
    <mergeCell ref="H12:P12"/>
    <mergeCell ref="Q12:S12"/>
    <mergeCell ref="T12:V12"/>
    <mergeCell ref="W12:Y12"/>
  </mergeCells>
  <pageMargins left="0.45" right="0.2" top="0.75" bottom="0.75" header="0.3" footer="0.3"/>
  <pageSetup paperSize="3" scale="45" orientation="landscape" horizontalDpi="1200" verticalDpi="12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2" tint="-0.749992370372631"/>
  </sheetPr>
  <dimension ref="A1:AD165"/>
  <sheetViews>
    <sheetView showGridLines="0" workbookViewId="0">
      <pane xSplit="1" ySplit="1" topLeftCell="B2" activePane="bottomRight" state="frozen"/>
      <selection pane="topRight" activeCell="B1" sqref="B1"/>
      <selection pane="bottomLeft" activeCell="A2" sqref="A2"/>
      <selection pane="bottomRight" activeCell="C7" sqref="C7"/>
    </sheetView>
  </sheetViews>
  <sheetFormatPr defaultRowHeight="12.75"/>
  <cols>
    <col min="1" max="1" width="18" style="1652" customWidth="1"/>
    <col min="2" max="2" width="15.28515625" style="1652" customWidth="1"/>
    <col min="3" max="3" width="29.42578125" style="1652" customWidth="1"/>
    <col min="4" max="4" width="23.28515625" style="1652" customWidth="1"/>
    <col min="5" max="5" width="17.28515625" style="1663" customWidth="1"/>
    <col min="6" max="6" width="17.28515625" style="1652" customWidth="1"/>
    <col min="7" max="7" width="16.28515625" style="1652" customWidth="1"/>
    <col min="8" max="8" width="45.710937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5.5703125" style="1652" bestFit="1" customWidth="1"/>
    <col min="18" max="18" width="16.140625" style="1652" customWidth="1"/>
    <col min="19" max="19" width="16.7109375" style="1652" bestFit="1" customWidth="1"/>
    <col min="20" max="21" width="15.5703125" style="1652" bestFit="1" customWidth="1"/>
    <col min="22" max="22" width="16.42578125" style="1652" bestFit="1" customWidth="1"/>
    <col min="23" max="23" width="14.28515625" style="1652" customWidth="1"/>
    <col min="24" max="25" width="16" style="1652" customWidth="1"/>
    <col min="26" max="26" width="12.5703125" bestFit="1" customWidth="1"/>
    <col min="27" max="252" width="9.140625" style="1652"/>
    <col min="253" max="253" width="24" style="1652" bestFit="1" customWidth="1"/>
    <col min="254" max="254" width="45.7109375" style="1652" bestFit="1" customWidth="1"/>
    <col min="255" max="255" width="19.7109375" style="1652" bestFit="1" customWidth="1"/>
    <col min="256" max="256" width="11.42578125" style="1652" bestFit="1" customWidth="1"/>
    <col min="257" max="257" width="19.85546875" style="1652" bestFit="1" customWidth="1"/>
    <col min="258" max="258" width="13.42578125" style="1652" customWidth="1"/>
    <col min="259" max="259" width="15.28515625" style="1652" bestFit="1" customWidth="1"/>
    <col min="260" max="260" width="14.140625" style="1652" bestFit="1" customWidth="1"/>
    <col min="261" max="261" width="15.28515625" style="1652" customWidth="1"/>
    <col min="262" max="262" width="15.85546875" style="1652" customWidth="1"/>
    <col min="263" max="263" width="17" style="1652" bestFit="1" customWidth="1"/>
    <col min="264" max="264" width="12.7109375" style="1652" customWidth="1"/>
    <col min="265" max="265" width="13.7109375" style="1652" customWidth="1"/>
    <col min="266" max="266" width="13.85546875" style="1652" bestFit="1" customWidth="1"/>
    <col min="267" max="267" width="15.5703125" style="1652" bestFit="1" customWidth="1"/>
    <col min="268" max="268" width="16.140625" style="1652" customWidth="1"/>
    <col min="269" max="269" width="16.7109375" style="1652" bestFit="1" customWidth="1"/>
    <col min="270" max="271" width="15.5703125" style="1652" bestFit="1" customWidth="1"/>
    <col min="272" max="272" width="16.42578125" style="1652" bestFit="1" customWidth="1"/>
    <col min="273" max="273" width="14.28515625" style="1652" customWidth="1"/>
    <col min="274" max="274" width="12.85546875" style="1652" bestFit="1" customWidth="1"/>
    <col min="275" max="275" width="11.28515625" style="1652" bestFit="1" customWidth="1"/>
    <col min="276" max="276" width="12.5703125" style="1652" bestFit="1" customWidth="1"/>
    <col min="277" max="277" width="14" style="1652" bestFit="1" customWidth="1"/>
    <col min="278" max="278" width="6" style="1652" bestFit="1" customWidth="1"/>
    <col min="279" max="279" width="15" style="1652" customWidth="1"/>
    <col min="280" max="280" width="14.85546875" style="1652" bestFit="1" customWidth="1"/>
    <col min="281" max="281" width="16.140625" style="1652" bestFit="1" customWidth="1"/>
    <col min="282" max="508" width="9.140625" style="1652"/>
    <col min="509" max="509" width="24" style="1652" bestFit="1" customWidth="1"/>
    <col min="510" max="510" width="45.7109375" style="1652" bestFit="1" customWidth="1"/>
    <col min="511" max="511" width="19.7109375" style="1652" bestFit="1" customWidth="1"/>
    <col min="512" max="512" width="11.42578125" style="1652" bestFit="1" customWidth="1"/>
    <col min="513" max="513" width="19.85546875" style="1652" bestFit="1" customWidth="1"/>
    <col min="514" max="514" width="13.42578125" style="1652" customWidth="1"/>
    <col min="515" max="515" width="15.28515625" style="1652" bestFit="1" customWidth="1"/>
    <col min="516" max="516" width="14.140625" style="1652" bestFit="1" customWidth="1"/>
    <col min="517" max="517" width="15.28515625" style="1652" customWidth="1"/>
    <col min="518" max="518" width="15.85546875" style="1652" customWidth="1"/>
    <col min="519" max="519" width="17" style="1652" bestFit="1" customWidth="1"/>
    <col min="520" max="520" width="12.7109375" style="1652" customWidth="1"/>
    <col min="521" max="521" width="13.7109375" style="1652" customWidth="1"/>
    <col min="522" max="522" width="13.85546875" style="1652" bestFit="1" customWidth="1"/>
    <col min="523" max="523" width="15.5703125" style="1652" bestFit="1" customWidth="1"/>
    <col min="524" max="524" width="16.140625" style="1652" customWidth="1"/>
    <col min="525" max="525" width="16.7109375" style="1652" bestFit="1" customWidth="1"/>
    <col min="526" max="527" width="15.5703125" style="1652" bestFit="1" customWidth="1"/>
    <col min="528" max="528" width="16.42578125" style="1652" bestFit="1" customWidth="1"/>
    <col min="529" max="529" width="14.28515625" style="1652" customWidth="1"/>
    <col min="530" max="530" width="12.85546875" style="1652" bestFit="1" customWidth="1"/>
    <col min="531" max="531" width="11.28515625" style="1652" bestFit="1" customWidth="1"/>
    <col min="532" max="532" width="12.5703125" style="1652" bestFit="1" customWidth="1"/>
    <col min="533" max="533" width="14" style="1652" bestFit="1" customWidth="1"/>
    <col min="534" max="534" width="6" style="1652" bestFit="1" customWidth="1"/>
    <col min="535" max="535" width="15" style="1652" customWidth="1"/>
    <col min="536" max="536" width="14.85546875" style="1652" bestFit="1" customWidth="1"/>
    <col min="537" max="537" width="16.140625" style="1652" bestFit="1" customWidth="1"/>
    <col min="538" max="764" width="9.140625" style="1652"/>
    <col min="765" max="765" width="24" style="1652" bestFit="1" customWidth="1"/>
    <col min="766" max="766" width="45.7109375" style="1652" bestFit="1" customWidth="1"/>
    <col min="767" max="767" width="19.7109375" style="1652" bestFit="1" customWidth="1"/>
    <col min="768" max="768" width="11.42578125" style="1652" bestFit="1" customWidth="1"/>
    <col min="769" max="769" width="19.85546875" style="1652" bestFit="1" customWidth="1"/>
    <col min="770" max="770" width="13.42578125" style="1652" customWidth="1"/>
    <col min="771" max="771" width="15.28515625" style="1652" bestFit="1" customWidth="1"/>
    <col min="772" max="772" width="14.140625" style="1652" bestFit="1" customWidth="1"/>
    <col min="773" max="773" width="15.28515625" style="1652" customWidth="1"/>
    <col min="774" max="774" width="15.85546875" style="1652" customWidth="1"/>
    <col min="775" max="775" width="17" style="1652" bestFit="1" customWidth="1"/>
    <col min="776" max="776" width="12.7109375" style="1652" customWidth="1"/>
    <col min="777" max="777" width="13.7109375" style="1652" customWidth="1"/>
    <col min="778" max="778" width="13.85546875" style="1652" bestFit="1" customWidth="1"/>
    <col min="779" max="779" width="15.5703125" style="1652" bestFit="1" customWidth="1"/>
    <col min="780" max="780" width="16.140625" style="1652" customWidth="1"/>
    <col min="781" max="781" width="16.7109375" style="1652" bestFit="1" customWidth="1"/>
    <col min="782" max="783" width="15.5703125" style="1652" bestFit="1" customWidth="1"/>
    <col min="784" max="784" width="16.42578125" style="1652" bestFit="1" customWidth="1"/>
    <col min="785" max="785" width="14.28515625" style="1652" customWidth="1"/>
    <col min="786" max="786" width="12.85546875" style="1652" bestFit="1" customWidth="1"/>
    <col min="787" max="787" width="11.28515625" style="1652" bestFit="1" customWidth="1"/>
    <col min="788" max="788" width="12.5703125" style="1652" bestFit="1" customWidth="1"/>
    <col min="789" max="789" width="14" style="1652" bestFit="1" customWidth="1"/>
    <col min="790" max="790" width="6" style="1652" bestFit="1" customWidth="1"/>
    <col min="791" max="791" width="15" style="1652" customWidth="1"/>
    <col min="792" max="792" width="14.85546875" style="1652" bestFit="1" customWidth="1"/>
    <col min="793" max="793" width="16.140625" style="1652" bestFit="1" customWidth="1"/>
    <col min="794" max="1020" width="9.140625" style="1652"/>
    <col min="1021" max="1021" width="24" style="1652" bestFit="1" customWidth="1"/>
    <col min="1022" max="1022" width="45.7109375" style="1652" bestFit="1" customWidth="1"/>
    <col min="1023" max="1023" width="19.7109375" style="1652" bestFit="1" customWidth="1"/>
    <col min="1024" max="1024" width="11.42578125" style="1652" bestFit="1" customWidth="1"/>
    <col min="1025" max="1025" width="19.85546875" style="1652" bestFit="1" customWidth="1"/>
    <col min="1026" max="1026" width="13.42578125" style="1652" customWidth="1"/>
    <col min="1027" max="1027" width="15.28515625" style="1652" bestFit="1" customWidth="1"/>
    <col min="1028" max="1028" width="14.140625" style="1652" bestFit="1" customWidth="1"/>
    <col min="1029" max="1029" width="15.28515625" style="1652" customWidth="1"/>
    <col min="1030" max="1030" width="15.85546875" style="1652" customWidth="1"/>
    <col min="1031" max="1031" width="17" style="1652" bestFit="1" customWidth="1"/>
    <col min="1032" max="1032" width="12.7109375" style="1652" customWidth="1"/>
    <col min="1033" max="1033" width="13.7109375" style="1652" customWidth="1"/>
    <col min="1034" max="1034" width="13.85546875" style="1652" bestFit="1" customWidth="1"/>
    <col min="1035" max="1035" width="15.5703125" style="1652" bestFit="1" customWidth="1"/>
    <col min="1036" max="1036" width="16.140625" style="1652" customWidth="1"/>
    <col min="1037" max="1037" width="16.7109375" style="1652" bestFit="1" customWidth="1"/>
    <col min="1038" max="1039" width="15.5703125" style="1652" bestFit="1" customWidth="1"/>
    <col min="1040" max="1040" width="16.42578125" style="1652" bestFit="1" customWidth="1"/>
    <col min="1041" max="1041" width="14.28515625" style="1652" customWidth="1"/>
    <col min="1042" max="1042" width="12.85546875" style="1652" bestFit="1" customWidth="1"/>
    <col min="1043" max="1043" width="11.28515625" style="1652" bestFit="1" customWidth="1"/>
    <col min="1044" max="1044" width="12.5703125" style="1652" bestFit="1" customWidth="1"/>
    <col min="1045" max="1045" width="14" style="1652" bestFit="1" customWidth="1"/>
    <col min="1046" max="1046" width="6" style="1652" bestFit="1" customWidth="1"/>
    <col min="1047" max="1047" width="15" style="1652" customWidth="1"/>
    <col min="1048" max="1048" width="14.85546875" style="1652" bestFit="1" customWidth="1"/>
    <col min="1049" max="1049" width="16.140625" style="1652" bestFit="1" customWidth="1"/>
    <col min="1050" max="1276" width="9.140625" style="1652"/>
    <col min="1277" max="1277" width="24" style="1652" bestFit="1" customWidth="1"/>
    <col min="1278" max="1278" width="45.7109375" style="1652" bestFit="1" customWidth="1"/>
    <col min="1279" max="1279" width="19.7109375" style="1652" bestFit="1" customWidth="1"/>
    <col min="1280" max="1280" width="11.42578125" style="1652" bestFit="1" customWidth="1"/>
    <col min="1281" max="1281" width="19.85546875" style="1652" bestFit="1" customWidth="1"/>
    <col min="1282" max="1282" width="13.42578125" style="1652" customWidth="1"/>
    <col min="1283" max="1283" width="15.28515625" style="1652" bestFit="1" customWidth="1"/>
    <col min="1284" max="1284" width="14.140625" style="1652" bestFit="1" customWidth="1"/>
    <col min="1285" max="1285" width="15.28515625" style="1652" customWidth="1"/>
    <col min="1286" max="1286" width="15.85546875" style="1652" customWidth="1"/>
    <col min="1287" max="1287" width="17" style="1652" bestFit="1" customWidth="1"/>
    <col min="1288" max="1288" width="12.7109375" style="1652" customWidth="1"/>
    <col min="1289" max="1289" width="13.7109375" style="1652" customWidth="1"/>
    <col min="1290" max="1290" width="13.85546875" style="1652" bestFit="1" customWidth="1"/>
    <col min="1291" max="1291" width="15.5703125" style="1652" bestFit="1" customWidth="1"/>
    <col min="1292" max="1292" width="16.140625" style="1652" customWidth="1"/>
    <col min="1293" max="1293" width="16.7109375" style="1652" bestFit="1" customWidth="1"/>
    <col min="1294" max="1295" width="15.5703125" style="1652" bestFit="1" customWidth="1"/>
    <col min="1296" max="1296" width="16.42578125" style="1652" bestFit="1" customWidth="1"/>
    <col min="1297" max="1297" width="14.28515625" style="1652" customWidth="1"/>
    <col min="1298" max="1298" width="12.85546875" style="1652" bestFit="1" customWidth="1"/>
    <col min="1299" max="1299" width="11.28515625" style="1652" bestFit="1" customWidth="1"/>
    <col min="1300" max="1300" width="12.5703125" style="1652" bestFit="1" customWidth="1"/>
    <col min="1301" max="1301" width="14" style="1652" bestFit="1" customWidth="1"/>
    <col min="1302" max="1302" width="6" style="1652" bestFit="1" customWidth="1"/>
    <col min="1303" max="1303" width="15" style="1652" customWidth="1"/>
    <col min="1304" max="1304" width="14.85546875" style="1652" bestFit="1" customWidth="1"/>
    <col min="1305" max="1305" width="16.140625" style="1652" bestFit="1" customWidth="1"/>
    <col min="1306" max="1532" width="9.140625" style="1652"/>
    <col min="1533" max="1533" width="24" style="1652" bestFit="1" customWidth="1"/>
    <col min="1534" max="1534" width="45.7109375" style="1652" bestFit="1" customWidth="1"/>
    <col min="1535" max="1535" width="19.7109375" style="1652" bestFit="1" customWidth="1"/>
    <col min="1536" max="1536" width="11.42578125" style="1652" bestFit="1" customWidth="1"/>
    <col min="1537" max="1537" width="19.85546875" style="1652" bestFit="1" customWidth="1"/>
    <col min="1538" max="1538" width="13.42578125" style="1652" customWidth="1"/>
    <col min="1539" max="1539" width="15.28515625" style="1652" bestFit="1" customWidth="1"/>
    <col min="1540" max="1540" width="14.140625" style="1652" bestFit="1" customWidth="1"/>
    <col min="1541" max="1541" width="15.28515625" style="1652" customWidth="1"/>
    <col min="1542" max="1542" width="15.85546875" style="1652" customWidth="1"/>
    <col min="1543" max="1543" width="17" style="1652" bestFit="1" customWidth="1"/>
    <col min="1544" max="1544" width="12.7109375" style="1652" customWidth="1"/>
    <col min="1545" max="1545" width="13.7109375" style="1652" customWidth="1"/>
    <col min="1546" max="1546" width="13.85546875" style="1652" bestFit="1" customWidth="1"/>
    <col min="1547" max="1547" width="15.5703125" style="1652" bestFit="1" customWidth="1"/>
    <col min="1548" max="1548" width="16.140625" style="1652" customWidth="1"/>
    <col min="1549" max="1549" width="16.7109375" style="1652" bestFit="1" customWidth="1"/>
    <col min="1550" max="1551" width="15.5703125" style="1652" bestFit="1" customWidth="1"/>
    <col min="1552" max="1552" width="16.42578125" style="1652" bestFit="1" customWidth="1"/>
    <col min="1553" max="1553" width="14.28515625" style="1652" customWidth="1"/>
    <col min="1554" max="1554" width="12.85546875" style="1652" bestFit="1" customWidth="1"/>
    <col min="1555" max="1555" width="11.28515625" style="1652" bestFit="1" customWidth="1"/>
    <col min="1556" max="1556" width="12.5703125" style="1652" bestFit="1" customWidth="1"/>
    <col min="1557" max="1557" width="14" style="1652" bestFit="1" customWidth="1"/>
    <col min="1558" max="1558" width="6" style="1652" bestFit="1" customWidth="1"/>
    <col min="1559" max="1559" width="15" style="1652" customWidth="1"/>
    <col min="1560" max="1560" width="14.85546875" style="1652" bestFit="1" customWidth="1"/>
    <col min="1561" max="1561" width="16.140625" style="1652" bestFit="1" customWidth="1"/>
    <col min="1562" max="1788" width="9.140625" style="1652"/>
    <col min="1789" max="1789" width="24" style="1652" bestFit="1" customWidth="1"/>
    <col min="1790" max="1790" width="45.7109375" style="1652" bestFit="1" customWidth="1"/>
    <col min="1791" max="1791" width="19.7109375" style="1652" bestFit="1" customWidth="1"/>
    <col min="1792" max="1792" width="11.42578125" style="1652" bestFit="1" customWidth="1"/>
    <col min="1793" max="1793" width="19.85546875" style="1652" bestFit="1" customWidth="1"/>
    <col min="1794" max="1794" width="13.42578125" style="1652" customWidth="1"/>
    <col min="1795" max="1795" width="15.28515625" style="1652" bestFit="1" customWidth="1"/>
    <col min="1796" max="1796" width="14.140625" style="1652" bestFit="1" customWidth="1"/>
    <col min="1797" max="1797" width="15.28515625" style="1652" customWidth="1"/>
    <col min="1798" max="1798" width="15.85546875" style="1652" customWidth="1"/>
    <col min="1799" max="1799" width="17" style="1652" bestFit="1" customWidth="1"/>
    <col min="1800" max="1800" width="12.7109375" style="1652" customWidth="1"/>
    <col min="1801" max="1801" width="13.7109375" style="1652" customWidth="1"/>
    <col min="1802" max="1802" width="13.85546875" style="1652" bestFit="1" customWidth="1"/>
    <col min="1803" max="1803" width="15.5703125" style="1652" bestFit="1" customWidth="1"/>
    <col min="1804" max="1804" width="16.140625" style="1652" customWidth="1"/>
    <col min="1805" max="1805" width="16.7109375" style="1652" bestFit="1" customWidth="1"/>
    <col min="1806" max="1807" width="15.5703125" style="1652" bestFit="1" customWidth="1"/>
    <col min="1808" max="1808" width="16.42578125" style="1652" bestFit="1" customWidth="1"/>
    <col min="1809" max="1809" width="14.28515625" style="1652" customWidth="1"/>
    <col min="1810" max="1810" width="12.85546875" style="1652" bestFit="1" customWidth="1"/>
    <col min="1811" max="1811" width="11.28515625" style="1652" bestFit="1" customWidth="1"/>
    <col min="1812" max="1812" width="12.5703125" style="1652" bestFit="1" customWidth="1"/>
    <col min="1813" max="1813" width="14" style="1652" bestFit="1" customWidth="1"/>
    <col min="1814" max="1814" width="6" style="1652" bestFit="1" customWidth="1"/>
    <col min="1815" max="1815" width="15" style="1652" customWidth="1"/>
    <col min="1816" max="1816" width="14.85546875" style="1652" bestFit="1" customWidth="1"/>
    <col min="1817" max="1817" width="16.140625" style="1652" bestFit="1" customWidth="1"/>
    <col min="1818" max="2044" width="9.140625" style="1652"/>
    <col min="2045" max="2045" width="24" style="1652" bestFit="1" customWidth="1"/>
    <col min="2046" max="2046" width="45.7109375" style="1652" bestFit="1" customWidth="1"/>
    <col min="2047" max="2047" width="19.7109375" style="1652" bestFit="1" customWidth="1"/>
    <col min="2048" max="2048" width="11.42578125" style="1652" bestFit="1" customWidth="1"/>
    <col min="2049" max="2049" width="19.85546875" style="1652" bestFit="1" customWidth="1"/>
    <col min="2050" max="2050" width="13.42578125" style="1652" customWidth="1"/>
    <col min="2051" max="2051" width="15.28515625" style="1652" bestFit="1" customWidth="1"/>
    <col min="2052" max="2052" width="14.140625" style="1652" bestFit="1" customWidth="1"/>
    <col min="2053" max="2053" width="15.28515625" style="1652" customWidth="1"/>
    <col min="2054" max="2054" width="15.85546875" style="1652" customWidth="1"/>
    <col min="2055" max="2055" width="17" style="1652" bestFit="1" customWidth="1"/>
    <col min="2056" max="2056" width="12.7109375" style="1652" customWidth="1"/>
    <col min="2057" max="2057" width="13.7109375" style="1652" customWidth="1"/>
    <col min="2058" max="2058" width="13.85546875" style="1652" bestFit="1" customWidth="1"/>
    <col min="2059" max="2059" width="15.5703125" style="1652" bestFit="1" customWidth="1"/>
    <col min="2060" max="2060" width="16.140625" style="1652" customWidth="1"/>
    <col min="2061" max="2061" width="16.7109375" style="1652" bestFit="1" customWidth="1"/>
    <col min="2062" max="2063" width="15.5703125" style="1652" bestFit="1" customWidth="1"/>
    <col min="2064" max="2064" width="16.42578125" style="1652" bestFit="1" customWidth="1"/>
    <col min="2065" max="2065" width="14.28515625" style="1652" customWidth="1"/>
    <col min="2066" max="2066" width="12.85546875" style="1652" bestFit="1" customWidth="1"/>
    <col min="2067" max="2067" width="11.28515625" style="1652" bestFit="1" customWidth="1"/>
    <col min="2068" max="2068" width="12.5703125" style="1652" bestFit="1" customWidth="1"/>
    <col min="2069" max="2069" width="14" style="1652" bestFit="1" customWidth="1"/>
    <col min="2070" max="2070" width="6" style="1652" bestFit="1" customWidth="1"/>
    <col min="2071" max="2071" width="15" style="1652" customWidth="1"/>
    <col min="2072" max="2072" width="14.85546875" style="1652" bestFit="1" customWidth="1"/>
    <col min="2073" max="2073" width="16.140625" style="1652" bestFit="1" customWidth="1"/>
    <col min="2074" max="2300" width="9.140625" style="1652"/>
    <col min="2301" max="2301" width="24" style="1652" bestFit="1" customWidth="1"/>
    <col min="2302" max="2302" width="45.7109375" style="1652" bestFit="1" customWidth="1"/>
    <col min="2303" max="2303" width="19.7109375" style="1652" bestFit="1" customWidth="1"/>
    <col min="2304" max="2304" width="11.42578125" style="1652" bestFit="1" customWidth="1"/>
    <col min="2305" max="2305" width="19.85546875" style="1652" bestFit="1" customWidth="1"/>
    <col min="2306" max="2306" width="13.42578125" style="1652" customWidth="1"/>
    <col min="2307" max="2307" width="15.28515625" style="1652" bestFit="1" customWidth="1"/>
    <col min="2308" max="2308" width="14.140625" style="1652" bestFit="1" customWidth="1"/>
    <col min="2309" max="2309" width="15.28515625" style="1652" customWidth="1"/>
    <col min="2310" max="2310" width="15.85546875" style="1652" customWidth="1"/>
    <col min="2311" max="2311" width="17" style="1652" bestFit="1" customWidth="1"/>
    <col min="2312" max="2312" width="12.7109375" style="1652" customWidth="1"/>
    <col min="2313" max="2313" width="13.7109375" style="1652" customWidth="1"/>
    <col min="2314" max="2314" width="13.85546875" style="1652" bestFit="1" customWidth="1"/>
    <col min="2315" max="2315" width="15.5703125" style="1652" bestFit="1" customWidth="1"/>
    <col min="2316" max="2316" width="16.140625" style="1652" customWidth="1"/>
    <col min="2317" max="2317" width="16.7109375" style="1652" bestFit="1" customWidth="1"/>
    <col min="2318" max="2319" width="15.5703125" style="1652" bestFit="1" customWidth="1"/>
    <col min="2320" max="2320" width="16.42578125" style="1652" bestFit="1" customWidth="1"/>
    <col min="2321" max="2321" width="14.28515625" style="1652" customWidth="1"/>
    <col min="2322" max="2322" width="12.85546875" style="1652" bestFit="1" customWidth="1"/>
    <col min="2323" max="2323" width="11.28515625" style="1652" bestFit="1" customWidth="1"/>
    <col min="2324" max="2324" width="12.5703125" style="1652" bestFit="1" customWidth="1"/>
    <col min="2325" max="2325" width="14" style="1652" bestFit="1" customWidth="1"/>
    <col min="2326" max="2326" width="6" style="1652" bestFit="1" customWidth="1"/>
    <col min="2327" max="2327" width="15" style="1652" customWidth="1"/>
    <col min="2328" max="2328" width="14.85546875" style="1652" bestFit="1" customWidth="1"/>
    <col min="2329" max="2329" width="16.140625" style="1652" bestFit="1" customWidth="1"/>
    <col min="2330" max="2556" width="9.140625" style="1652"/>
    <col min="2557" max="2557" width="24" style="1652" bestFit="1" customWidth="1"/>
    <col min="2558" max="2558" width="45.7109375" style="1652" bestFit="1" customWidth="1"/>
    <col min="2559" max="2559" width="19.7109375" style="1652" bestFit="1" customWidth="1"/>
    <col min="2560" max="2560" width="11.42578125" style="1652" bestFit="1" customWidth="1"/>
    <col min="2561" max="2561" width="19.85546875" style="1652" bestFit="1" customWidth="1"/>
    <col min="2562" max="2562" width="13.42578125" style="1652" customWidth="1"/>
    <col min="2563" max="2563" width="15.28515625" style="1652" bestFit="1" customWidth="1"/>
    <col min="2564" max="2564" width="14.140625" style="1652" bestFit="1" customWidth="1"/>
    <col min="2565" max="2565" width="15.28515625" style="1652" customWidth="1"/>
    <col min="2566" max="2566" width="15.85546875" style="1652" customWidth="1"/>
    <col min="2567" max="2567" width="17" style="1652" bestFit="1" customWidth="1"/>
    <col min="2568" max="2568" width="12.7109375" style="1652" customWidth="1"/>
    <col min="2569" max="2569" width="13.7109375" style="1652" customWidth="1"/>
    <col min="2570" max="2570" width="13.85546875" style="1652" bestFit="1" customWidth="1"/>
    <col min="2571" max="2571" width="15.5703125" style="1652" bestFit="1" customWidth="1"/>
    <col min="2572" max="2572" width="16.140625" style="1652" customWidth="1"/>
    <col min="2573" max="2573" width="16.7109375" style="1652" bestFit="1" customWidth="1"/>
    <col min="2574" max="2575" width="15.5703125" style="1652" bestFit="1" customWidth="1"/>
    <col min="2576" max="2576" width="16.42578125" style="1652" bestFit="1" customWidth="1"/>
    <col min="2577" max="2577" width="14.28515625" style="1652" customWidth="1"/>
    <col min="2578" max="2578" width="12.85546875" style="1652" bestFit="1" customWidth="1"/>
    <col min="2579" max="2579" width="11.28515625" style="1652" bestFit="1" customWidth="1"/>
    <col min="2580" max="2580" width="12.5703125" style="1652" bestFit="1" customWidth="1"/>
    <col min="2581" max="2581" width="14" style="1652" bestFit="1" customWidth="1"/>
    <col min="2582" max="2582" width="6" style="1652" bestFit="1" customWidth="1"/>
    <col min="2583" max="2583" width="15" style="1652" customWidth="1"/>
    <col min="2584" max="2584" width="14.85546875" style="1652" bestFit="1" customWidth="1"/>
    <col min="2585" max="2585" width="16.140625" style="1652" bestFit="1" customWidth="1"/>
    <col min="2586" max="2812" width="9.140625" style="1652"/>
    <col min="2813" max="2813" width="24" style="1652" bestFit="1" customWidth="1"/>
    <col min="2814" max="2814" width="45.7109375" style="1652" bestFit="1" customWidth="1"/>
    <col min="2815" max="2815" width="19.7109375" style="1652" bestFit="1" customWidth="1"/>
    <col min="2816" max="2816" width="11.42578125" style="1652" bestFit="1" customWidth="1"/>
    <col min="2817" max="2817" width="19.85546875" style="1652" bestFit="1" customWidth="1"/>
    <col min="2818" max="2818" width="13.42578125" style="1652" customWidth="1"/>
    <col min="2819" max="2819" width="15.28515625" style="1652" bestFit="1" customWidth="1"/>
    <col min="2820" max="2820" width="14.140625" style="1652" bestFit="1" customWidth="1"/>
    <col min="2821" max="2821" width="15.28515625" style="1652" customWidth="1"/>
    <col min="2822" max="2822" width="15.85546875" style="1652" customWidth="1"/>
    <col min="2823" max="2823" width="17" style="1652" bestFit="1" customWidth="1"/>
    <col min="2824" max="2824" width="12.7109375" style="1652" customWidth="1"/>
    <col min="2825" max="2825" width="13.7109375" style="1652" customWidth="1"/>
    <col min="2826" max="2826" width="13.85546875" style="1652" bestFit="1" customWidth="1"/>
    <col min="2827" max="2827" width="15.5703125" style="1652" bestFit="1" customWidth="1"/>
    <col min="2828" max="2828" width="16.140625" style="1652" customWidth="1"/>
    <col min="2829" max="2829" width="16.7109375" style="1652" bestFit="1" customWidth="1"/>
    <col min="2830" max="2831" width="15.5703125" style="1652" bestFit="1" customWidth="1"/>
    <col min="2832" max="2832" width="16.42578125" style="1652" bestFit="1" customWidth="1"/>
    <col min="2833" max="2833" width="14.28515625" style="1652" customWidth="1"/>
    <col min="2834" max="2834" width="12.85546875" style="1652" bestFit="1" customWidth="1"/>
    <col min="2835" max="2835" width="11.28515625" style="1652" bestFit="1" customWidth="1"/>
    <col min="2836" max="2836" width="12.5703125" style="1652" bestFit="1" customWidth="1"/>
    <col min="2837" max="2837" width="14" style="1652" bestFit="1" customWidth="1"/>
    <col min="2838" max="2838" width="6" style="1652" bestFit="1" customWidth="1"/>
    <col min="2839" max="2839" width="15" style="1652" customWidth="1"/>
    <col min="2840" max="2840" width="14.85546875" style="1652" bestFit="1" customWidth="1"/>
    <col min="2841" max="2841" width="16.140625" style="1652" bestFit="1" customWidth="1"/>
    <col min="2842" max="3068" width="9.140625" style="1652"/>
    <col min="3069" max="3069" width="24" style="1652" bestFit="1" customWidth="1"/>
    <col min="3070" max="3070" width="45.7109375" style="1652" bestFit="1" customWidth="1"/>
    <col min="3071" max="3071" width="19.7109375" style="1652" bestFit="1" customWidth="1"/>
    <col min="3072" max="3072" width="11.42578125" style="1652" bestFit="1" customWidth="1"/>
    <col min="3073" max="3073" width="19.85546875" style="1652" bestFit="1" customWidth="1"/>
    <col min="3074" max="3074" width="13.42578125" style="1652" customWidth="1"/>
    <col min="3075" max="3075" width="15.28515625" style="1652" bestFit="1" customWidth="1"/>
    <col min="3076" max="3076" width="14.140625" style="1652" bestFit="1" customWidth="1"/>
    <col min="3077" max="3077" width="15.28515625" style="1652" customWidth="1"/>
    <col min="3078" max="3078" width="15.85546875" style="1652" customWidth="1"/>
    <col min="3079" max="3079" width="17" style="1652" bestFit="1" customWidth="1"/>
    <col min="3080" max="3080" width="12.7109375" style="1652" customWidth="1"/>
    <col min="3081" max="3081" width="13.7109375" style="1652" customWidth="1"/>
    <col min="3082" max="3082" width="13.85546875" style="1652" bestFit="1" customWidth="1"/>
    <col min="3083" max="3083" width="15.5703125" style="1652" bestFit="1" customWidth="1"/>
    <col min="3084" max="3084" width="16.140625" style="1652" customWidth="1"/>
    <col min="3085" max="3085" width="16.7109375" style="1652" bestFit="1" customWidth="1"/>
    <col min="3086" max="3087" width="15.5703125" style="1652" bestFit="1" customWidth="1"/>
    <col min="3088" max="3088" width="16.42578125" style="1652" bestFit="1" customWidth="1"/>
    <col min="3089" max="3089" width="14.28515625" style="1652" customWidth="1"/>
    <col min="3090" max="3090" width="12.85546875" style="1652" bestFit="1" customWidth="1"/>
    <col min="3091" max="3091" width="11.28515625" style="1652" bestFit="1" customWidth="1"/>
    <col min="3092" max="3092" width="12.5703125" style="1652" bestFit="1" customWidth="1"/>
    <col min="3093" max="3093" width="14" style="1652" bestFit="1" customWidth="1"/>
    <col min="3094" max="3094" width="6" style="1652" bestFit="1" customWidth="1"/>
    <col min="3095" max="3095" width="15" style="1652" customWidth="1"/>
    <col min="3096" max="3096" width="14.85546875" style="1652" bestFit="1" customWidth="1"/>
    <col min="3097" max="3097" width="16.140625" style="1652" bestFit="1" customWidth="1"/>
    <col min="3098" max="3324" width="9.140625" style="1652"/>
    <col min="3325" max="3325" width="24" style="1652" bestFit="1" customWidth="1"/>
    <col min="3326" max="3326" width="45.7109375" style="1652" bestFit="1" customWidth="1"/>
    <col min="3327" max="3327" width="19.7109375" style="1652" bestFit="1" customWidth="1"/>
    <col min="3328" max="3328" width="11.42578125" style="1652" bestFit="1" customWidth="1"/>
    <col min="3329" max="3329" width="19.85546875" style="1652" bestFit="1" customWidth="1"/>
    <col min="3330" max="3330" width="13.42578125" style="1652" customWidth="1"/>
    <col min="3331" max="3331" width="15.28515625" style="1652" bestFit="1" customWidth="1"/>
    <col min="3332" max="3332" width="14.140625" style="1652" bestFit="1" customWidth="1"/>
    <col min="3333" max="3333" width="15.28515625" style="1652" customWidth="1"/>
    <col min="3334" max="3334" width="15.85546875" style="1652" customWidth="1"/>
    <col min="3335" max="3335" width="17" style="1652" bestFit="1" customWidth="1"/>
    <col min="3336" max="3336" width="12.7109375" style="1652" customWidth="1"/>
    <col min="3337" max="3337" width="13.7109375" style="1652" customWidth="1"/>
    <col min="3338" max="3338" width="13.85546875" style="1652" bestFit="1" customWidth="1"/>
    <col min="3339" max="3339" width="15.5703125" style="1652" bestFit="1" customWidth="1"/>
    <col min="3340" max="3340" width="16.140625" style="1652" customWidth="1"/>
    <col min="3341" max="3341" width="16.7109375" style="1652" bestFit="1" customWidth="1"/>
    <col min="3342" max="3343" width="15.5703125" style="1652" bestFit="1" customWidth="1"/>
    <col min="3344" max="3344" width="16.42578125" style="1652" bestFit="1" customWidth="1"/>
    <col min="3345" max="3345" width="14.28515625" style="1652" customWidth="1"/>
    <col min="3346" max="3346" width="12.85546875" style="1652" bestFit="1" customWidth="1"/>
    <col min="3347" max="3347" width="11.28515625" style="1652" bestFit="1" customWidth="1"/>
    <col min="3348" max="3348" width="12.5703125" style="1652" bestFit="1" customWidth="1"/>
    <col min="3349" max="3349" width="14" style="1652" bestFit="1" customWidth="1"/>
    <col min="3350" max="3350" width="6" style="1652" bestFit="1" customWidth="1"/>
    <col min="3351" max="3351" width="15" style="1652" customWidth="1"/>
    <col min="3352" max="3352" width="14.85546875" style="1652" bestFit="1" customWidth="1"/>
    <col min="3353" max="3353" width="16.140625" style="1652" bestFit="1" customWidth="1"/>
    <col min="3354" max="3580" width="9.140625" style="1652"/>
    <col min="3581" max="3581" width="24" style="1652" bestFit="1" customWidth="1"/>
    <col min="3582" max="3582" width="45.7109375" style="1652" bestFit="1" customWidth="1"/>
    <col min="3583" max="3583" width="19.7109375" style="1652" bestFit="1" customWidth="1"/>
    <col min="3584" max="3584" width="11.42578125" style="1652" bestFit="1" customWidth="1"/>
    <col min="3585" max="3585" width="19.85546875" style="1652" bestFit="1" customWidth="1"/>
    <col min="3586" max="3586" width="13.42578125" style="1652" customWidth="1"/>
    <col min="3587" max="3587" width="15.28515625" style="1652" bestFit="1" customWidth="1"/>
    <col min="3588" max="3588" width="14.140625" style="1652" bestFit="1" customWidth="1"/>
    <col min="3589" max="3589" width="15.28515625" style="1652" customWidth="1"/>
    <col min="3590" max="3590" width="15.85546875" style="1652" customWidth="1"/>
    <col min="3591" max="3591" width="17" style="1652" bestFit="1" customWidth="1"/>
    <col min="3592" max="3592" width="12.7109375" style="1652" customWidth="1"/>
    <col min="3593" max="3593" width="13.7109375" style="1652" customWidth="1"/>
    <col min="3594" max="3594" width="13.85546875" style="1652" bestFit="1" customWidth="1"/>
    <col min="3595" max="3595" width="15.5703125" style="1652" bestFit="1" customWidth="1"/>
    <col min="3596" max="3596" width="16.140625" style="1652" customWidth="1"/>
    <col min="3597" max="3597" width="16.7109375" style="1652" bestFit="1" customWidth="1"/>
    <col min="3598" max="3599" width="15.5703125" style="1652" bestFit="1" customWidth="1"/>
    <col min="3600" max="3600" width="16.42578125" style="1652" bestFit="1" customWidth="1"/>
    <col min="3601" max="3601" width="14.28515625" style="1652" customWidth="1"/>
    <col min="3602" max="3602" width="12.85546875" style="1652" bestFit="1" customWidth="1"/>
    <col min="3603" max="3603" width="11.28515625" style="1652" bestFit="1" customWidth="1"/>
    <col min="3604" max="3604" width="12.5703125" style="1652" bestFit="1" customWidth="1"/>
    <col min="3605" max="3605" width="14" style="1652" bestFit="1" customWidth="1"/>
    <col min="3606" max="3606" width="6" style="1652" bestFit="1" customWidth="1"/>
    <col min="3607" max="3607" width="15" style="1652" customWidth="1"/>
    <col min="3608" max="3608" width="14.85546875" style="1652" bestFit="1" customWidth="1"/>
    <col min="3609" max="3609" width="16.140625" style="1652" bestFit="1" customWidth="1"/>
    <col min="3610" max="3836" width="9.140625" style="1652"/>
    <col min="3837" max="3837" width="24" style="1652" bestFit="1" customWidth="1"/>
    <col min="3838" max="3838" width="45.7109375" style="1652" bestFit="1" customWidth="1"/>
    <col min="3839" max="3839" width="19.7109375" style="1652" bestFit="1" customWidth="1"/>
    <col min="3840" max="3840" width="11.42578125" style="1652" bestFit="1" customWidth="1"/>
    <col min="3841" max="3841" width="19.85546875" style="1652" bestFit="1" customWidth="1"/>
    <col min="3842" max="3842" width="13.42578125" style="1652" customWidth="1"/>
    <col min="3843" max="3843" width="15.28515625" style="1652" bestFit="1" customWidth="1"/>
    <col min="3844" max="3844" width="14.140625" style="1652" bestFit="1" customWidth="1"/>
    <col min="3845" max="3845" width="15.28515625" style="1652" customWidth="1"/>
    <col min="3846" max="3846" width="15.85546875" style="1652" customWidth="1"/>
    <col min="3847" max="3847" width="17" style="1652" bestFit="1" customWidth="1"/>
    <col min="3848" max="3848" width="12.7109375" style="1652" customWidth="1"/>
    <col min="3849" max="3849" width="13.7109375" style="1652" customWidth="1"/>
    <col min="3850" max="3850" width="13.85546875" style="1652" bestFit="1" customWidth="1"/>
    <col min="3851" max="3851" width="15.5703125" style="1652" bestFit="1" customWidth="1"/>
    <col min="3852" max="3852" width="16.140625" style="1652" customWidth="1"/>
    <col min="3853" max="3853" width="16.7109375" style="1652" bestFit="1" customWidth="1"/>
    <col min="3854" max="3855" width="15.5703125" style="1652" bestFit="1" customWidth="1"/>
    <col min="3856" max="3856" width="16.42578125" style="1652" bestFit="1" customWidth="1"/>
    <col min="3857" max="3857" width="14.28515625" style="1652" customWidth="1"/>
    <col min="3858" max="3858" width="12.85546875" style="1652" bestFit="1" customWidth="1"/>
    <col min="3859" max="3859" width="11.28515625" style="1652" bestFit="1" customWidth="1"/>
    <col min="3860" max="3860" width="12.5703125" style="1652" bestFit="1" customWidth="1"/>
    <col min="3861" max="3861" width="14" style="1652" bestFit="1" customWidth="1"/>
    <col min="3862" max="3862" width="6" style="1652" bestFit="1" customWidth="1"/>
    <col min="3863" max="3863" width="15" style="1652" customWidth="1"/>
    <col min="3864" max="3864" width="14.85546875" style="1652" bestFit="1" customWidth="1"/>
    <col min="3865" max="3865" width="16.140625" style="1652" bestFit="1" customWidth="1"/>
    <col min="3866" max="4092" width="9.140625" style="1652"/>
    <col min="4093" max="4093" width="24" style="1652" bestFit="1" customWidth="1"/>
    <col min="4094" max="4094" width="45.7109375" style="1652" bestFit="1" customWidth="1"/>
    <col min="4095" max="4095" width="19.7109375" style="1652" bestFit="1" customWidth="1"/>
    <col min="4096" max="4096" width="11.42578125" style="1652" bestFit="1" customWidth="1"/>
    <col min="4097" max="4097" width="19.85546875" style="1652" bestFit="1" customWidth="1"/>
    <col min="4098" max="4098" width="13.42578125" style="1652" customWidth="1"/>
    <col min="4099" max="4099" width="15.28515625" style="1652" bestFit="1" customWidth="1"/>
    <col min="4100" max="4100" width="14.140625" style="1652" bestFit="1" customWidth="1"/>
    <col min="4101" max="4101" width="15.28515625" style="1652" customWidth="1"/>
    <col min="4102" max="4102" width="15.85546875" style="1652" customWidth="1"/>
    <col min="4103" max="4103" width="17" style="1652" bestFit="1" customWidth="1"/>
    <col min="4104" max="4104" width="12.7109375" style="1652" customWidth="1"/>
    <col min="4105" max="4105" width="13.7109375" style="1652" customWidth="1"/>
    <col min="4106" max="4106" width="13.85546875" style="1652" bestFit="1" customWidth="1"/>
    <col min="4107" max="4107" width="15.5703125" style="1652" bestFit="1" customWidth="1"/>
    <col min="4108" max="4108" width="16.140625" style="1652" customWidth="1"/>
    <col min="4109" max="4109" width="16.7109375" style="1652" bestFit="1" customWidth="1"/>
    <col min="4110" max="4111" width="15.5703125" style="1652" bestFit="1" customWidth="1"/>
    <col min="4112" max="4112" width="16.42578125" style="1652" bestFit="1" customWidth="1"/>
    <col min="4113" max="4113" width="14.28515625" style="1652" customWidth="1"/>
    <col min="4114" max="4114" width="12.85546875" style="1652" bestFit="1" customWidth="1"/>
    <col min="4115" max="4115" width="11.28515625" style="1652" bestFit="1" customWidth="1"/>
    <col min="4116" max="4116" width="12.5703125" style="1652" bestFit="1" customWidth="1"/>
    <col min="4117" max="4117" width="14" style="1652" bestFit="1" customWidth="1"/>
    <col min="4118" max="4118" width="6" style="1652" bestFit="1" customWidth="1"/>
    <col min="4119" max="4119" width="15" style="1652" customWidth="1"/>
    <col min="4120" max="4120" width="14.85546875" style="1652" bestFit="1" customWidth="1"/>
    <col min="4121" max="4121" width="16.140625" style="1652" bestFit="1" customWidth="1"/>
    <col min="4122" max="4348" width="9.140625" style="1652"/>
    <col min="4349" max="4349" width="24" style="1652" bestFit="1" customWidth="1"/>
    <col min="4350" max="4350" width="45.7109375" style="1652" bestFit="1" customWidth="1"/>
    <col min="4351" max="4351" width="19.7109375" style="1652" bestFit="1" customWidth="1"/>
    <col min="4352" max="4352" width="11.42578125" style="1652" bestFit="1" customWidth="1"/>
    <col min="4353" max="4353" width="19.85546875" style="1652" bestFit="1" customWidth="1"/>
    <col min="4354" max="4354" width="13.42578125" style="1652" customWidth="1"/>
    <col min="4355" max="4355" width="15.28515625" style="1652" bestFit="1" customWidth="1"/>
    <col min="4356" max="4356" width="14.140625" style="1652" bestFit="1" customWidth="1"/>
    <col min="4357" max="4357" width="15.28515625" style="1652" customWidth="1"/>
    <col min="4358" max="4358" width="15.85546875" style="1652" customWidth="1"/>
    <col min="4359" max="4359" width="17" style="1652" bestFit="1" customWidth="1"/>
    <col min="4360" max="4360" width="12.7109375" style="1652" customWidth="1"/>
    <col min="4361" max="4361" width="13.7109375" style="1652" customWidth="1"/>
    <col min="4362" max="4362" width="13.85546875" style="1652" bestFit="1" customWidth="1"/>
    <col min="4363" max="4363" width="15.5703125" style="1652" bestFit="1" customWidth="1"/>
    <col min="4364" max="4364" width="16.140625" style="1652" customWidth="1"/>
    <col min="4365" max="4365" width="16.7109375" style="1652" bestFit="1" customWidth="1"/>
    <col min="4366" max="4367" width="15.5703125" style="1652" bestFit="1" customWidth="1"/>
    <col min="4368" max="4368" width="16.42578125" style="1652" bestFit="1" customWidth="1"/>
    <col min="4369" max="4369" width="14.28515625" style="1652" customWidth="1"/>
    <col min="4370" max="4370" width="12.85546875" style="1652" bestFit="1" customWidth="1"/>
    <col min="4371" max="4371" width="11.28515625" style="1652" bestFit="1" customWidth="1"/>
    <col min="4372" max="4372" width="12.5703125" style="1652" bestFit="1" customWidth="1"/>
    <col min="4373" max="4373" width="14" style="1652" bestFit="1" customWidth="1"/>
    <col min="4374" max="4374" width="6" style="1652" bestFit="1" customWidth="1"/>
    <col min="4375" max="4375" width="15" style="1652" customWidth="1"/>
    <col min="4376" max="4376" width="14.85546875" style="1652" bestFit="1" customWidth="1"/>
    <col min="4377" max="4377" width="16.140625" style="1652" bestFit="1" customWidth="1"/>
    <col min="4378" max="4604" width="9.140625" style="1652"/>
    <col min="4605" max="4605" width="24" style="1652" bestFit="1" customWidth="1"/>
    <col min="4606" max="4606" width="45.7109375" style="1652" bestFit="1" customWidth="1"/>
    <col min="4607" max="4607" width="19.7109375" style="1652" bestFit="1" customWidth="1"/>
    <col min="4608" max="4608" width="11.42578125" style="1652" bestFit="1" customWidth="1"/>
    <col min="4609" max="4609" width="19.85546875" style="1652" bestFit="1" customWidth="1"/>
    <col min="4610" max="4610" width="13.42578125" style="1652" customWidth="1"/>
    <col min="4611" max="4611" width="15.28515625" style="1652" bestFit="1" customWidth="1"/>
    <col min="4612" max="4612" width="14.140625" style="1652" bestFit="1" customWidth="1"/>
    <col min="4613" max="4613" width="15.28515625" style="1652" customWidth="1"/>
    <col min="4614" max="4614" width="15.85546875" style="1652" customWidth="1"/>
    <col min="4615" max="4615" width="17" style="1652" bestFit="1" customWidth="1"/>
    <col min="4616" max="4616" width="12.7109375" style="1652" customWidth="1"/>
    <col min="4617" max="4617" width="13.7109375" style="1652" customWidth="1"/>
    <col min="4618" max="4618" width="13.85546875" style="1652" bestFit="1" customWidth="1"/>
    <col min="4619" max="4619" width="15.5703125" style="1652" bestFit="1" customWidth="1"/>
    <col min="4620" max="4620" width="16.140625" style="1652" customWidth="1"/>
    <col min="4621" max="4621" width="16.7109375" style="1652" bestFit="1" customWidth="1"/>
    <col min="4622" max="4623" width="15.5703125" style="1652" bestFit="1" customWidth="1"/>
    <col min="4624" max="4624" width="16.42578125" style="1652" bestFit="1" customWidth="1"/>
    <col min="4625" max="4625" width="14.28515625" style="1652" customWidth="1"/>
    <col min="4626" max="4626" width="12.85546875" style="1652" bestFit="1" customWidth="1"/>
    <col min="4627" max="4627" width="11.28515625" style="1652" bestFit="1" customWidth="1"/>
    <col min="4628" max="4628" width="12.5703125" style="1652" bestFit="1" customWidth="1"/>
    <col min="4629" max="4629" width="14" style="1652" bestFit="1" customWidth="1"/>
    <col min="4630" max="4630" width="6" style="1652" bestFit="1" customWidth="1"/>
    <col min="4631" max="4631" width="15" style="1652" customWidth="1"/>
    <col min="4632" max="4632" width="14.85546875" style="1652" bestFit="1" customWidth="1"/>
    <col min="4633" max="4633" width="16.140625" style="1652" bestFit="1" customWidth="1"/>
    <col min="4634" max="4860" width="9.140625" style="1652"/>
    <col min="4861" max="4861" width="24" style="1652" bestFit="1" customWidth="1"/>
    <col min="4862" max="4862" width="45.7109375" style="1652" bestFit="1" customWidth="1"/>
    <col min="4863" max="4863" width="19.7109375" style="1652" bestFit="1" customWidth="1"/>
    <col min="4864" max="4864" width="11.42578125" style="1652" bestFit="1" customWidth="1"/>
    <col min="4865" max="4865" width="19.85546875" style="1652" bestFit="1" customWidth="1"/>
    <col min="4866" max="4866" width="13.42578125" style="1652" customWidth="1"/>
    <col min="4867" max="4867" width="15.28515625" style="1652" bestFit="1" customWidth="1"/>
    <col min="4868" max="4868" width="14.140625" style="1652" bestFit="1" customWidth="1"/>
    <col min="4869" max="4869" width="15.28515625" style="1652" customWidth="1"/>
    <col min="4870" max="4870" width="15.85546875" style="1652" customWidth="1"/>
    <col min="4871" max="4871" width="17" style="1652" bestFit="1" customWidth="1"/>
    <col min="4872" max="4872" width="12.7109375" style="1652" customWidth="1"/>
    <col min="4873" max="4873" width="13.7109375" style="1652" customWidth="1"/>
    <col min="4874" max="4874" width="13.85546875" style="1652" bestFit="1" customWidth="1"/>
    <col min="4875" max="4875" width="15.5703125" style="1652" bestFit="1" customWidth="1"/>
    <col min="4876" max="4876" width="16.140625" style="1652" customWidth="1"/>
    <col min="4877" max="4877" width="16.7109375" style="1652" bestFit="1" customWidth="1"/>
    <col min="4878" max="4879" width="15.5703125" style="1652" bestFit="1" customWidth="1"/>
    <col min="4880" max="4880" width="16.42578125" style="1652" bestFit="1" customWidth="1"/>
    <col min="4881" max="4881" width="14.28515625" style="1652" customWidth="1"/>
    <col min="4882" max="4882" width="12.85546875" style="1652" bestFit="1" customWidth="1"/>
    <col min="4883" max="4883" width="11.28515625" style="1652" bestFit="1" customWidth="1"/>
    <col min="4884" max="4884" width="12.5703125" style="1652" bestFit="1" customWidth="1"/>
    <col min="4885" max="4885" width="14" style="1652" bestFit="1" customWidth="1"/>
    <col min="4886" max="4886" width="6" style="1652" bestFit="1" customWidth="1"/>
    <col min="4887" max="4887" width="15" style="1652" customWidth="1"/>
    <col min="4888" max="4888" width="14.85546875" style="1652" bestFit="1" customWidth="1"/>
    <col min="4889" max="4889" width="16.140625" style="1652" bestFit="1" customWidth="1"/>
    <col min="4890" max="5116" width="9.140625" style="1652"/>
    <col min="5117" max="5117" width="24" style="1652" bestFit="1" customWidth="1"/>
    <col min="5118" max="5118" width="45.7109375" style="1652" bestFit="1" customWidth="1"/>
    <col min="5119" max="5119" width="19.7109375" style="1652" bestFit="1" customWidth="1"/>
    <col min="5120" max="5120" width="11.42578125" style="1652" bestFit="1" customWidth="1"/>
    <col min="5121" max="5121" width="19.85546875" style="1652" bestFit="1" customWidth="1"/>
    <col min="5122" max="5122" width="13.42578125" style="1652" customWidth="1"/>
    <col min="5123" max="5123" width="15.28515625" style="1652" bestFit="1" customWidth="1"/>
    <col min="5124" max="5124" width="14.140625" style="1652" bestFit="1" customWidth="1"/>
    <col min="5125" max="5125" width="15.28515625" style="1652" customWidth="1"/>
    <col min="5126" max="5126" width="15.85546875" style="1652" customWidth="1"/>
    <col min="5127" max="5127" width="17" style="1652" bestFit="1" customWidth="1"/>
    <col min="5128" max="5128" width="12.7109375" style="1652" customWidth="1"/>
    <col min="5129" max="5129" width="13.7109375" style="1652" customWidth="1"/>
    <col min="5130" max="5130" width="13.85546875" style="1652" bestFit="1" customWidth="1"/>
    <col min="5131" max="5131" width="15.5703125" style="1652" bestFit="1" customWidth="1"/>
    <col min="5132" max="5132" width="16.140625" style="1652" customWidth="1"/>
    <col min="5133" max="5133" width="16.7109375" style="1652" bestFit="1" customWidth="1"/>
    <col min="5134" max="5135" width="15.5703125" style="1652" bestFit="1" customWidth="1"/>
    <col min="5136" max="5136" width="16.42578125" style="1652" bestFit="1" customWidth="1"/>
    <col min="5137" max="5137" width="14.28515625" style="1652" customWidth="1"/>
    <col min="5138" max="5138" width="12.85546875" style="1652" bestFit="1" customWidth="1"/>
    <col min="5139" max="5139" width="11.28515625" style="1652" bestFit="1" customWidth="1"/>
    <col min="5140" max="5140" width="12.5703125" style="1652" bestFit="1" customWidth="1"/>
    <col min="5141" max="5141" width="14" style="1652" bestFit="1" customWidth="1"/>
    <col min="5142" max="5142" width="6" style="1652" bestFit="1" customWidth="1"/>
    <col min="5143" max="5143" width="15" style="1652" customWidth="1"/>
    <col min="5144" max="5144" width="14.85546875" style="1652" bestFit="1" customWidth="1"/>
    <col min="5145" max="5145" width="16.140625" style="1652" bestFit="1" customWidth="1"/>
    <col min="5146" max="5372" width="9.140625" style="1652"/>
    <col min="5373" max="5373" width="24" style="1652" bestFit="1" customWidth="1"/>
    <col min="5374" max="5374" width="45.7109375" style="1652" bestFit="1" customWidth="1"/>
    <col min="5375" max="5375" width="19.7109375" style="1652" bestFit="1" customWidth="1"/>
    <col min="5376" max="5376" width="11.42578125" style="1652" bestFit="1" customWidth="1"/>
    <col min="5377" max="5377" width="19.85546875" style="1652" bestFit="1" customWidth="1"/>
    <col min="5378" max="5378" width="13.42578125" style="1652" customWidth="1"/>
    <col min="5379" max="5379" width="15.28515625" style="1652" bestFit="1" customWidth="1"/>
    <col min="5380" max="5380" width="14.140625" style="1652" bestFit="1" customWidth="1"/>
    <col min="5381" max="5381" width="15.28515625" style="1652" customWidth="1"/>
    <col min="5382" max="5382" width="15.85546875" style="1652" customWidth="1"/>
    <col min="5383" max="5383" width="17" style="1652" bestFit="1" customWidth="1"/>
    <col min="5384" max="5384" width="12.7109375" style="1652" customWidth="1"/>
    <col min="5385" max="5385" width="13.7109375" style="1652" customWidth="1"/>
    <col min="5386" max="5386" width="13.85546875" style="1652" bestFit="1" customWidth="1"/>
    <col min="5387" max="5387" width="15.5703125" style="1652" bestFit="1" customWidth="1"/>
    <col min="5388" max="5388" width="16.140625" style="1652" customWidth="1"/>
    <col min="5389" max="5389" width="16.7109375" style="1652" bestFit="1" customWidth="1"/>
    <col min="5390" max="5391" width="15.5703125" style="1652" bestFit="1" customWidth="1"/>
    <col min="5392" max="5392" width="16.42578125" style="1652" bestFit="1" customWidth="1"/>
    <col min="5393" max="5393" width="14.28515625" style="1652" customWidth="1"/>
    <col min="5394" max="5394" width="12.85546875" style="1652" bestFit="1" customWidth="1"/>
    <col min="5395" max="5395" width="11.28515625" style="1652" bestFit="1" customWidth="1"/>
    <col min="5396" max="5396" width="12.5703125" style="1652" bestFit="1" customWidth="1"/>
    <col min="5397" max="5397" width="14" style="1652" bestFit="1" customWidth="1"/>
    <col min="5398" max="5398" width="6" style="1652" bestFit="1" customWidth="1"/>
    <col min="5399" max="5399" width="15" style="1652" customWidth="1"/>
    <col min="5400" max="5400" width="14.85546875" style="1652" bestFit="1" customWidth="1"/>
    <col min="5401" max="5401" width="16.140625" style="1652" bestFit="1" customWidth="1"/>
    <col min="5402" max="5628" width="9.140625" style="1652"/>
    <col min="5629" max="5629" width="24" style="1652" bestFit="1" customWidth="1"/>
    <col min="5630" max="5630" width="45.7109375" style="1652" bestFit="1" customWidth="1"/>
    <col min="5631" max="5631" width="19.7109375" style="1652" bestFit="1" customWidth="1"/>
    <col min="5632" max="5632" width="11.42578125" style="1652" bestFit="1" customWidth="1"/>
    <col min="5633" max="5633" width="19.85546875" style="1652" bestFit="1" customWidth="1"/>
    <col min="5634" max="5634" width="13.42578125" style="1652" customWidth="1"/>
    <col min="5635" max="5635" width="15.28515625" style="1652" bestFit="1" customWidth="1"/>
    <col min="5636" max="5636" width="14.140625" style="1652" bestFit="1" customWidth="1"/>
    <col min="5637" max="5637" width="15.28515625" style="1652" customWidth="1"/>
    <col min="5638" max="5638" width="15.85546875" style="1652" customWidth="1"/>
    <col min="5639" max="5639" width="17" style="1652" bestFit="1" customWidth="1"/>
    <col min="5640" max="5640" width="12.7109375" style="1652" customWidth="1"/>
    <col min="5641" max="5641" width="13.7109375" style="1652" customWidth="1"/>
    <col min="5642" max="5642" width="13.85546875" style="1652" bestFit="1" customWidth="1"/>
    <col min="5643" max="5643" width="15.5703125" style="1652" bestFit="1" customWidth="1"/>
    <col min="5644" max="5644" width="16.140625" style="1652" customWidth="1"/>
    <col min="5645" max="5645" width="16.7109375" style="1652" bestFit="1" customWidth="1"/>
    <col min="5646" max="5647" width="15.5703125" style="1652" bestFit="1" customWidth="1"/>
    <col min="5648" max="5648" width="16.42578125" style="1652" bestFit="1" customWidth="1"/>
    <col min="5649" max="5649" width="14.28515625" style="1652" customWidth="1"/>
    <col min="5650" max="5650" width="12.85546875" style="1652" bestFit="1" customWidth="1"/>
    <col min="5651" max="5651" width="11.28515625" style="1652" bestFit="1" customWidth="1"/>
    <col min="5652" max="5652" width="12.5703125" style="1652" bestFit="1" customWidth="1"/>
    <col min="5653" max="5653" width="14" style="1652" bestFit="1" customWidth="1"/>
    <col min="5654" max="5654" width="6" style="1652" bestFit="1" customWidth="1"/>
    <col min="5655" max="5655" width="15" style="1652" customWidth="1"/>
    <col min="5656" max="5656" width="14.85546875" style="1652" bestFit="1" customWidth="1"/>
    <col min="5657" max="5657" width="16.140625" style="1652" bestFit="1" customWidth="1"/>
    <col min="5658" max="5884" width="9.140625" style="1652"/>
    <col min="5885" max="5885" width="24" style="1652" bestFit="1" customWidth="1"/>
    <col min="5886" max="5886" width="45.7109375" style="1652" bestFit="1" customWidth="1"/>
    <col min="5887" max="5887" width="19.7109375" style="1652" bestFit="1" customWidth="1"/>
    <col min="5888" max="5888" width="11.42578125" style="1652" bestFit="1" customWidth="1"/>
    <col min="5889" max="5889" width="19.85546875" style="1652" bestFit="1" customWidth="1"/>
    <col min="5890" max="5890" width="13.42578125" style="1652" customWidth="1"/>
    <col min="5891" max="5891" width="15.28515625" style="1652" bestFit="1" customWidth="1"/>
    <col min="5892" max="5892" width="14.140625" style="1652" bestFit="1" customWidth="1"/>
    <col min="5893" max="5893" width="15.28515625" style="1652" customWidth="1"/>
    <col min="5894" max="5894" width="15.85546875" style="1652" customWidth="1"/>
    <col min="5895" max="5895" width="17" style="1652" bestFit="1" customWidth="1"/>
    <col min="5896" max="5896" width="12.7109375" style="1652" customWidth="1"/>
    <col min="5897" max="5897" width="13.7109375" style="1652" customWidth="1"/>
    <col min="5898" max="5898" width="13.85546875" style="1652" bestFit="1" customWidth="1"/>
    <col min="5899" max="5899" width="15.5703125" style="1652" bestFit="1" customWidth="1"/>
    <col min="5900" max="5900" width="16.140625" style="1652" customWidth="1"/>
    <col min="5901" max="5901" width="16.7109375" style="1652" bestFit="1" customWidth="1"/>
    <col min="5902" max="5903" width="15.5703125" style="1652" bestFit="1" customWidth="1"/>
    <col min="5904" max="5904" width="16.42578125" style="1652" bestFit="1" customWidth="1"/>
    <col min="5905" max="5905" width="14.28515625" style="1652" customWidth="1"/>
    <col min="5906" max="5906" width="12.85546875" style="1652" bestFit="1" customWidth="1"/>
    <col min="5907" max="5907" width="11.28515625" style="1652" bestFit="1" customWidth="1"/>
    <col min="5908" max="5908" width="12.5703125" style="1652" bestFit="1" customWidth="1"/>
    <col min="5909" max="5909" width="14" style="1652" bestFit="1" customWidth="1"/>
    <col min="5910" max="5910" width="6" style="1652" bestFit="1" customWidth="1"/>
    <col min="5911" max="5911" width="15" style="1652" customWidth="1"/>
    <col min="5912" max="5912" width="14.85546875" style="1652" bestFit="1" customWidth="1"/>
    <col min="5913" max="5913" width="16.140625" style="1652" bestFit="1" customWidth="1"/>
    <col min="5914" max="6140" width="9.140625" style="1652"/>
    <col min="6141" max="6141" width="24" style="1652" bestFit="1" customWidth="1"/>
    <col min="6142" max="6142" width="45.7109375" style="1652" bestFit="1" customWidth="1"/>
    <col min="6143" max="6143" width="19.7109375" style="1652" bestFit="1" customWidth="1"/>
    <col min="6144" max="6144" width="11.42578125" style="1652" bestFit="1" customWidth="1"/>
    <col min="6145" max="6145" width="19.85546875" style="1652" bestFit="1" customWidth="1"/>
    <col min="6146" max="6146" width="13.42578125" style="1652" customWidth="1"/>
    <col min="6147" max="6147" width="15.28515625" style="1652" bestFit="1" customWidth="1"/>
    <col min="6148" max="6148" width="14.140625" style="1652" bestFit="1" customWidth="1"/>
    <col min="6149" max="6149" width="15.28515625" style="1652" customWidth="1"/>
    <col min="6150" max="6150" width="15.85546875" style="1652" customWidth="1"/>
    <col min="6151" max="6151" width="17" style="1652" bestFit="1" customWidth="1"/>
    <col min="6152" max="6152" width="12.7109375" style="1652" customWidth="1"/>
    <col min="6153" max="6153" width="13.7109375" style="1652" customWidth="1"/>
    <col min="6154" max="6154" width="13.85546875" style="1652" bestFit="1" customWidth="1"/>
    <col min="6155" max="6155" width="15.5703125" style="1652" bestFit="1" customWidth="1"/>
    <col min="6156" max="6156" width="16.140625" style="1652" customWidth="1"/>
    <col min="6157" max="6157" width="16.7109375" style="1652" bestFit="1" customWidth="1"/>
    <col min="6158" max="6159" width="15.5703125" style="1652" bestFit="1" customWidth="1"/>
    <col min="6160" max="6160" width="16.42578125" style="1652" bestFit="1" customWidth="1"/>
    <col min="6161" max="6161" width="14.28515625" style="1652" customWidth="1"/>
    <col min="6162" max="6162" width="12.85546875" style="1652" bestFit="1" customWidth="1"/>
    <col min="6163" max="6163" width="11.28515625" style="1652" bestFit="1" customWidth="1"/>
    <col min="6164" max="6164" width="12.5703125" style="1652" bestFit="1" customWidth="1"/>
    <col min="6165" max="6165" width="14" style="1652" bestFit="1" customWidth="1"/>
    <col min="6166" max="6166" width="6" style="1652" bestFit="1" customWidth="1"/>
    <col min="6167" max="6167" width="15" style="1652" customWidth="1"/>
    <col min="6168" max="6168" width="14.85546875" style="1652" bestFit="1" customWidth="1"/>
    <col min="6169" max="6169" width="16.140625" style="1652" bestFit="1" customWidth="1"/>
    <col min="6170" max="6396" width="9.140625" style="1652"/>
    <col min="6397" max="6397" width="24" style="1652" bestFit="1" customWidth="1"/>
    <col min="6398" max="6398" width="45.7109375" style="1652" bestFit="1" customWidth="1"/>
    <col min="6399" max="6399" width="19.7109375" style="1652" bestFit="1" customWidth="1"/>
    <col min="6400" max="6400" width="11.42578125" style="1652" bestFit="1" customWidth="1"/>
    <col min="6401" max="6401" width="19.85546875" style="1652" bestFit="1" customWidth="1"/>
    <col min="6402" max="6402" width="13.42578125" style="1652" customWidth="1"/>
    <col min="6403" max="6403" width="15.28515625" style="1652" bestFit="1" customWidth="1"/>
    <col min="6404" max="6404" width="14.140625" style="1652" bestFit="1" customWidth="1"/>
    <col min="6405" max="6405" width="15.28515625" style="1652" customWidth="1"/>
    <col min="6406" max="6406" width="15.85546875" style="1652" customWidth="1"/>
    <col min="6407" max="6407" width="17" style="1652" bestFit="1" customWidth="1"/>
    <col min="6408" max="6408" width="12.7109375" style="1652" customWidth="1"/>
    <col min="6409" max="6409" width="13.7109375" style="1652" customWidth="1"/>
    <col min="6410" max="6410" width="13.85546875" style="1652" bestFit="1" customWidth="1"/>
    <col min="6411" max="6411" width="15.5703125" style="1652" bestFit="1" customWidth="1"/>
    <col min="6412" max="6412" width="16.140625" style="1652" customWidth="1"/>
    <col min="6413" max="6413" width="16.7109375" style="1652" bestFit="1" customWidth="1"/>
    <col min="6414" max="6415" width="15.5703125" style="1652" bestFit="1" customWidth="1"/>
    <col min="6416" max="6416" width="16.42578125" style="1652" bestFit="1" customWidth="1"/>
    <col min="6417" max="6417" width="14.28515625" style="1652" customWidth="1"/>
    <col min="6418" max="6418" width="12.85546875" style="1652" bestFit="1" customWidth="1"/>
    <col min="6419" max="6419" width="11.28515625" style="1652" bestFit="1" customWidth="1"/>
    <col min="6420" max="6420" width="12.5703125" style="1652" bestFit="1" customWidth="1"/>
    <col min="6421" max="6421" width="14" style="1652" bestFit="1" customWidth="1"/>
    <col min="6422" max="6422" width="6" style="1652" bestFit="1" customWidth="1"/>
    <col min="6423" max="6423" width="15" style="1652" customWidth="1"/>
    <col min="6424" max="6424" width="14.85546875" style="1652" bestFit="1" customWidth="1"/>
    <col min="6425" max="6425" width="16.140625" style="1652" bestFit="1" customWidth="1"/>
    <col min="6426" max="6652" width="9.140625" style="1652"/>
    <col min="6653" max="6653" width="24" style="1652" bestFit="1" customWidth="1"/>
    <col min="6654" max="6654" width="45.7109375" style="1652" bestFit="1" customWidth="1"/>
    <col min="6655" max="6655" width="19.7109375" style="1652" bestFit="1" customWidth="1"/>
    <col min="6656" max="6656" width="11.42578125" style="1652" bestFit="1" customWidth="1"/>
    <col min="6657" max="6657" width="19.85546875" style="1652" bestFit="1" customWidth="1"/>
    <col min="6658" max="6658" width="13.42578125" style="1652" customWidth="1"/>
    <col min="6659" max="6659" width="15.28515625" style="1652" bestFit="1" customWidth="1"/>
    <col min="6660" max="6660" width="14.140625" style="1652" bestFit="1" customWidth="1"/>
    <col min="6661" max="6661" width="15.28515625" style="1652" customWidth="1"/>
    <col min="6662" max="6662" width="15.85546875" style="1652" customWidth="1"/>
    <col min="6663" max="6663" width="17" style="1652" bestFit="1" customWidth="1"/>
    <col min="6664" max="6664" width="12.7109375" style="1652" customWidth="1"/>
    <col min="6665" max="6665" width="13.7109375" style="1652" customWidth="1"/>
    <col min="6666" max="6666" width="13.85546875" style="1652" bestFit="1" customWidth="1"/>
    <col min="6667" max="6667" width="15.5703125" style="1652" bestFit="1" customWidth="1"/>
    <col min="6668" max="6668" width="16.140625" style="1652" customWidth="1"/>
    <col min="6669" max="6669" width="16.7109375" style="1652" bestFit="1" customWidth="1"/>
    <col min="6670" max="6671" width="15.5703125" style="1652" bestFit="1" customWidth="1"/>
    <col min="6672" max="6672" width="16.42578125" style="1652" bestFit="1" customWidth="1"/>
    <col min="6673" max="6673" width="14.28515625" style="1652" customWidth="1"/>
    <col min="6674" max="6674" width="12.85546875" style="1652" bestFit="1" customWidth="1"/>
    <col min="6675" max="6675" width="11.28515625" style="1652" bestFit="1" customWidth="1"/>
    <col min="6676" max="6676" width="12.5703125" style="1652" bestFit="1" customWidth="1"/>
    <col min="6677" max="6677" width="14" style="1652" bestFit="1" customWidth="1"/>
    <col min="6678" max="6678" width="6" style="1652" bestFit="1" customWidth="1"/>
    <col min="6679" max="6679" width="15" style="1652" customWidth="1"/>
    <col min="6680" max="6680" width="14.85546875" style="1652" bestFit="1" customWidth="1"/>
    <col min="6681" max="6681" width="16.140625" style="1652" bestFit="1" customWidth="1"/>
    <col min="6682" max="6908" width="9.140625" style="1652"/>
    <col min="6909" max="6909" width="24" style="1652" bestFit="1" customWidth="1"/>
    <col min="6910" max="6910" width="45.7109375" style="1652" bestFit="1" customWidth="1"/>
    <col min="6911" max="6911" width="19.7109375" style="1652" bestFit="1" customWidth="1"/>
    <col min="6912" max="6912" width="11.42578125" style="1652" bestFit="1" customWidth="1"/>
    <col min="6913" max="6913" width="19.85546875" style="1652" bestFit="1" customWidth="1"/>
    <col min="6914" max="6914" width="13.42578125" style="1652" customWidth="1"/>
    <col min="6915" max="6915" width="15.28515625" style="1652" bestFit="1" customWidth="1"/>
    <col min="6916" max="6916" width="14.140625" style="1652" bestFit="1" customWidth="1"/>
    <col min="6917" max="6917" width="15.28515625" style="1652" customWidth="1"/>
    <col min="6918" max="6918" width="15.85546875" style="1652" customWidth="1"/>
    <col min="6919" max="6919" width="17" style="1652" bestFit="1" customWidth="1"/>
    <col min="6920" max="6920" width="12.7109375" style="1652" customWidth="1"/>
    <col min="6921" max="6921" width="13.7109375" style="1652" customWidth="1"/>
    <col min="6922" max="6922" width="13.85546875" style="1652" bestFit="1" customWidth="1"/>
    <col min="6923" max="6923" width="15.5703125" style="1652" bestFit="1" customWidth="1"/>
    <col min="6924" max="6924" width="16.140625" style="1652" customWidth="1"/>
    <col min="6925" max="6925" width="16.7109375" style="1652" bestFit="1" customWidth="1"/>
    <col min="6926" max="6927" width="15.5703125" style="1652" bestFit="1" customWidth="1"/>
    <col min="6928" max="6928" width="16.42578125" style="1652" bestFit="1" customWidth="1"/>
    <col min="6929" max="6929" width="14.28515625" style="1652" customWidth="1"/>
    <col min="6930" max="6930" width="12.85546875" style="1652" bestFit="1" customWidth="1"/>
    <col min="6931" max="6931" width="11.28515625" style="1652" bestFit="1" customWidth="1"/>
    <col min="6932" max="6932" width="12.5703125" style="1652" bestFit="1" customWidth="1"/>
    <col min="6933" max="6933" width="14" style="1652" bestFit="1" customWidth="1"/>
    <col min="6934" max="6934" width="6" style="1652" bestFit="1" customWidth="1"/>
    <col min="6935" max="6935" width="15" style="1652" customWidth="1"/>
    <col min="6936" max="6936" width="14.85546875" style="1652" bestFit="1" customWidth="1"/>
    <col min="6937" max="6937" width="16.140625" style="1652" bestFit="1" customWidth="1"/>
    <col min="6938" max="7164" width="9.140625" style="1652"/>
    <col min="7165" max="7165" width="24" style="1652" bestFit="1" customWidth="1"/>
    <col min="7166" max="7166" width="45.7109375" style="1652" bestFit="1" customWidth="1"/>
    <col min="7167" max="7167" width="19.7109375" style="1652" bestFit="1" customWidth="1"/>
    <col min="7168" max="7168" width="11.42578125" style="1652" bestFit="1" customWidth="1"/>
    <col min="7169" max="7169" width="19.85546875" style="1652" bestFit="1" customWidth="1"/>
    <col min="7170" max="7170" width="13.42578125" style="1652" customWidth="1"/>
    <col min="7171" max="7171" width="15.28515625" style="1652" bestFit="1" customWidth="1"/>
    <col min="7172" max="7172" width="14.140625" style="1652" bestFit="1" customWidth="1"/>
    <col min="7173" max="7173" width="15.28515625" style="1652" customWidth="1"/>
    <col min="7174" max="7174" width="15.85546875" style="1652" customWidth="1"/>
    <col min="7175" max="7175" width="17" style="1652" bestFit="1" customWidth="1"/>
    <col min="7176" max="7176" width="12.7109375" style="1652" customWidth="1"/>
    <col min="7177" max="7177" width="13.7109375" style="1652" customWidth="1"/>
    <col min="7178" max="7178" width="13.85546875" style="1652" bestFit="1" customWidth="1"/>
    <col min="7179" max="7179" width="15.5703125" style="1652" bestFit="1" customWidth="1"/>
    <col min="7180" max="7180" width="16.140625" style="1652" customWidth="1"/>
    <col min="7181" max="7181" width="16.7109375" style="1652" bestFit="1" customWidth="1"/>
    <col min="7182" max="7183" width="15.5703125" style="1652" bestFit="1" customWidth="1"/>
    <col min="7184" max="7184" width="16.42578125" style="1652" bestFit="1" customWidth="1"/>
    <col min="7185" max="7185" width="14.28515625" style="1652" customWidth="1"/>
    <col min="7186" max="7186" width="12.85546875" style="1652" bestFit="1" customWidth="1"/>
    <col min="7187" max="7187" width="11.28515625" style="1652" bestFit="1" customWidth="1"/>
    <col min="7188" max="7188" width="12.5703125" style="1652" bestFit="1" customWidth="1"/>
    <col min="7189" max="7189" width="14" style="1652" bestFit="1" customWidth="1"/>
    <col min="7190" max="7190" width="6" style="1652" bestFit="1" customWidth="1"/>
    <col min="7191" max="7191" width="15" style="1652" customWidth="1"/>
    <col min="7192" max="7192" width="14.85546875" style="1652" bestFit="1" customWidth="1"/>
    <col min="7193" max="7193" width="16.140625" style="1652" bestFit="1" customWidth="1"/>
    <col min="7194" max="7420" width="9.140625" style="1652"/>
    <col min="7421" max="7421" width="24" style="1652" bestFit="1" customWidth="1"/>
    <col min="7422" max="7422" width="45.7109375" style="1652" bestFit="1" customWidth="1"/>
    <col min="7423" max="7423" width="19.7109375" style="1652" bestFit="1" customWidth="1"/>
    <col min="7424" max="7424" width="11.42578125" style="1652" bestFit="1" customWidth="1"/>
    <col min="7425" max="7425" width="19.85546875" style="1652" bestFit="1" customWidth="1"/>
    <col min="7426" max="7426" width="13.42578125" style="1652" customWidth="1"/>
    <col min="7427" max="7427" width="15.28515625" style="1652" bestFit="1" customWidth="1"/>
    <col min="7428" max="7428" width="14.140625" style="1652" bestFit="1" customWidth="1"/>
    <col min="7429" max="7429" width="15.28515625" style="1652" customWidth="1"/>
    <col min="7430" max="7430" width="15.85546875" style="1652" customWidth="1"/>
    <col min="7431" max="7431" width="17" style="1652" bestFit="1" customWidth="1"/>
    <col min="7432" max="7432" width="12.7109375" style="1652" customWidth="1"/>
    <col min="7433" max="7433" width="13.7109375" style="1652" customWidth="1"/>
    <col min="7434" max="7434" width="13.85546875" style="1652" bestFit="1" customWidth="1"/>
    <col min="7435" max="7435" width="15.5703125" style="1652" bestFit="1" customWidth="1"/>
    <col min="7436" max="7436" width="16.140625" style="1652" customWidth="1"/>
    <col min="7437" max="7437" width="16.7109375" style="1652" bestFit="1" customWidth="1"/>
    <col min="7438" max="7439" width="15.5703125" style="1652" bestFit="1" customWidth="1"/>
    <col min="7440" max="7440" width="16.42578125" style="1652" bestFit="1" customWidth="1"/>
    <col min="7441" max="7441" width="14.28515625" style="1652" customWidth="1"/>
    <col min="7442" max="7442" width="12.85546875" style="1652" bestFit="1" customWidth="1"/>
    <col min="7443" max="7443" width="11.28515625" style="1652" bestFit="1" customWidth="1"/>
    <col min="7444" max="7444" width="12.5703125" style="1652" bestFit="1" customWidth="1"/>
    <col min="7445" max="7445" width="14" style="1652" bestFit="1" customWidth="1"/>
    <col min="7446" max="7446" width="6" style="1652" bestFit="1" customWidth="1"/>
    <col min="7447" max="7447" width="15" style="1652" customWidth="1"/>
    <col min="7448" max="7448" width="14.85546875" style="1652" bestFit="1" customWidth="1"/>
    <col min="7449" max="7449" width="16.140625" style="1652" bestFit="1" customWidth="1"/>
    <col min="7450" max="7676" width="9.140625" style="1652"/>
    <col min="7677" max="7677" width="24" style="1652" bestFit="1" customWidth="1"/>
    <col min="7678" max="7678" width="45.7109375" style="1652" bestFit="1" customWidth="1"/>
    <col min="7679" max="7679" width="19.7109375" style="1652" bestFit="1" customWidth="1"/>
    <col min="7680" max="7680" width="11.42578125" style="1652" bestFit="1" customWidth="1"/>
    <col min="7681" max="7681" width="19.85546875" style="1652" bestFit="1" customWidth="1"/>
    <col min="7682" max="7682" width="13.42578125" style="1652" customWidth="1"/>
    <col min="7683" max="7683" width="15.28515625" style="1652" bestFit="1" customWidth="1"/>
    <col min="7684" max="7684" width="14.140625" style="1652" bestFit="1" customWidth="1"/>
    <col min="7685" max="7685" width="15.28515625" style="1652" customWidth="1"/>
    <col min="7686" max="7686" width="15.85546875" style="1652" customWidth="1"/>
    <col min="7687" max="7687" width="17" style="1652" bestFit="1" customWidth="1"/>
    <col min="7688" max="7688" width="12.7109375" style="1652" customWidth="1"/>
    <col min="7689" max="7689" width="13.7109375" style="1652" customWidth="1"/>
    <col min="7690" max="7690" width="13.85546875" style="1652" bestFit="1" customWidth="1"/>
    <col min="7691" max="7691" width="15.5703125" style="1652" bestFit="1" customWidth="1"/>
    <col min="7692" max="7692" width="16.140625" style="1652" customWidth="1"/>
    <col min="7693" max="7693" width="16.7109375" style="1652" bestFit="1" customWidth="1"/>
    <col min="7694" max="7695" width="15.5703125" style="1652" bestFit="1" customWidth="1"/>
    <col min="7696" max="7696" width="16.42578125" style="1652" bestFit="1" customWidth="1"/>
    <col min="7697" max="7697" width="14.28515625" style="1652" customWidth="1"/>
    <col min="7698" max="7698" width="12.85546875" style="1652" bestFit="1" customWidth="1"/>
    <col min="7699" max="7699" width="11.28515625" style="1652" bestFit="1" customWidth="1"/>
    <col min="7700" max="7700" width="12.5703125" style="1652" bestFit="1" customWidth="1"/>
    <col min="7701" max="7701" width="14" style="1652" bestFit="1" customWidth="1"/>
    <col min="7702" max="7702" width="6" style="1652" bestFit="1" customWidth="1"/>
    <col min="7703" max="7703" width="15" style="1652" customWidth="1"/>
    <col min="7704" max="7704" width="14.85546875" style="1652" bestFit="1" customWidth="1"/>
    <col min="7705" max="7705" width="16.140625" style="1652" bestFit="1" customWidth="1"/>
    <col min="7706" max="7932" width="9.140625" style="1652"/>
    <col min="7933" max="7933" width="24" style="1652" bestFit="1" customWidth="1"/>
    <col min="7934" max="7934" width="45.7109375" style="1652" bestFit="1" customWidth="1"/>
    <col min="7935" max="7935" width="19.7109375" style="1652" bestFit="1" customWidth="1"/>
    <col min="7936" max="7936" width="11.42578125" style="1652" bestFit="1" customWidth="1"/>
    <col min="7937" max="7937" width="19.85546875" style="1652" bestFit="1" customWidth="1"/>
    <col min="7938" max="7938" width="13.42578125" style="1652" customWidth="1"/>
    <col min="7939" max="7939" width="15.28515625" style="1652" bestFit="1" customWidth="1"/>
    <col min="7940" max="7940" width="14.140625" style="1652" bestFit="1" customWidth="1"/>
    <col min="7941" max="7941" width="15.28515625" style="1652" customWidth="1"/>
    <col min="7942" max="7942" width="15.85546875" style="1652" customWidth="1"/>
    <col min="7943" max="7943" width="17" style="1652" bestFit="1" customWidth="1"/>
    <col min="7944" max="7944" width="12.7109375" style="1652" customWidth="1"/>
    <col min="7945" max="7945" width="13.7109375" style="1652" customWidth="1"/>
    <col min="7946" max="7946" width="13.85546875" style="1652" bestFit="1" customWidth="1"/>
    <col min="7947" max="7947" width="15.5703125" style="1652" bestFit="1" customWidth="1"/>
    <col min="7948" max="7948" width="16.140625" style="1652" customWidth="1"/>
    <col min="7949" max="7949" width="16.7109375" style="1652" bestFit="1" customWidth="1"/>
    <col min="7950" max="7951" width="15.5703125" style="1652" bestFit="1" customWidth="1"/>
    <col min="7952" max="7952" width="16.42578125" style="1652" bestFit="1" customWidth="1"/>
    <col min="7953" max="7953" width="14.28515625" style="1652" customWidth="1"/>
    <col min="7954" max="7954" width="12.85546875" style="1652" bestFit="1" customWidth="1"/>
    <col min="7955" max="7955" width="11.28515625" style="1652" bestFit="1" customWidth="1"/>
    <col min="7956" max="7956" width="12.5703125" style="1652" bestFit="1" customWidth="1"/>
    <col min="7957" max="7957" width="14" style="1652" bestFit="1" customWidth="1"/>
    <col min="7958" max="7958" width="6" style="1652" bestFit="1" customWidth="1"/>
    <col min="7959" max="7959" width="15" style="1652" customWidth="1"/>
    <col min="7960" max="7960" width="14.85546875" style="1652" bestFit="1" customWidth="1"/>
    <col min="7961" max="7961" width="16.140625" style="1652" bestFit="1" customWidth="1"/>
    <col min="7962" max="8188" width="9.140625" style="1652"/>
    <col min="8189" max="8189" width="24" style="1652" bestFit="1" customWidth="1"/>
    <col min="8190" max="8190" width="45.7109375" style="1652" bestFit="1" customWidth="1"/>
    <col min="8191" max="8191" width="19.7109375" style="1652" bestFit="1" customWidth="1"/>
    <col min="8192" max="8192" width="11.42578125" style="1652" bestFit="1" customWidth="1"/>
    <col min="8193" max="8193" width="19.85546875" style="1652" bestFit="1" customWidth="1"/>
    <col min="8194" max="8194" width="13.42578125" style="1652" customWidth="1"/>
    <col min="8195" max="8195" width="15.28515625" style="1652" bestFit="1" customWidth="1"/>
    <col min="8196" max="8196" width="14.140625" style="1652" bestFit="1" customWidth="1"/>
    <col min="8197" max="8197" width="15.28515625" style="1652" customWidth="1"/>
    <col min="8198" max="8198" width="15.85546875" style="1652" customWidth="1"/>
    <col min="8199" max="8199" width="17" style="1652" bestFit="1" customWidth="1"/>
    <col min="8200" max="8200" width="12.7109375" style="1652" customWidth="1"/>
    <col min="8201" max="8201" width="13.7109375" style="1652" customWidth="1"/>
    <col min="8202" max="8202" width="13.85546875" style="1652" bestFit="1" customWidth="1"/>
    <col min="8203" max="8203" width="15.5703125" style="1652" bestFit="1" customWidth="1"/>
    <col min="8204" max="8204" width="16.140625" style="1652" customWidth="1"/>
    <col min="8205" max="8205" width="16.7109375" style="1652" bestFit="1" customWidth="1"/>
    <col min="8206" max="8207" width="15.5703125" style="1652" bestFit="1" customWidth="1"/>
    <col min="8208" max="8208" width="16.42578125" style="1652" bestFit="1" customWidth="1"/>
    <col min="8209" max="8209" width="14.28515625" style="1652" customWidth="1"/>
    <col min="8210" max="8210" width="12.85546875" style="1652" bestFit="1" customWidth="1"/>
    <col min="8211" max="8211" width="11.28515625" style="1652" bestFit="1" customWidth="1"/>
    <col min="8212" max="8212" width="12.5703125" style="1652" bestFit="1" customWidth="1"/>
    <col min="8213" max="8213" width="14" style="1652" bestFit="1" customWidth="1"/>
    <col min="8214" max="8214" width="6" style="1652" bestFit="1" customWidth="1"/>
    <col min="8215" max="8215" width="15" style="1652" customWidth="1"/>
    <col min="8216" max="8216" width="14.85546875" style="1652" bestFit="1" customWidth="1"/>
    <col min="8217" max="8217" width="16.140625" style="1652" bestFit="1" customWidth="1"/>
    <col min="8218" max="8444" width="9.140625" style="1652"/>
    <col min="8445" max="8445" width="24" style="1652" bestFit="1" customWidth="1"/>
    <col min="8446" max="8446" width="45.7109375" style="1652" bestFit="1" customWidth="1"/>
    <col min="8447" max="8447" width="19.7109375" style="1652" bestFit="1" customWidth="1"/>
    <col min="8448" max="8448" width="11.42578125" style="1652" bestFit="1" customWidth="1"/>
    <col min="8449" max="8449" width="19.85546875" style="1652" bestFit="1" customWidth="1"/>
    <col min="8450" max="8450" width="13.42578125" style="1652" customWidth="1"/>
    <col min="8451" max="8451" width="15.28515625" style="1652" bestFit="1" customWidth="1"/>
    <col min="8452" max="8452" width="14.140625" style="1652" bestFit="1" customWidth="1"/>
    <col min="8453" max="8453" width="15.28515625" style="1652" customWidth="1"/>
    <col min="8454" max="8454" width="15.85546875" style="1652" customWidth="1"/>
    <col min="8455" max="8455" width="17" style="1652" bestFit="1" customWidth="1"/>
    <col min="8456" max="8456" width="12.7109375" style="1652" customWidth="1"/>
    <col min="8457" max="8457" width="13.7109375" style="1652" customWidth="1"/>
    <col min="8458" max="8458" width="13.85546875" style="1652" bestFit="1" customWidth="1"/>
    <col min="8459" max="8459" width="15.5703125" style="1652" bestFit="1" customWidth="1"/>
    <col min="8460" max="8460" width="16.140625" style="1652" customWidth="1"/>
    <col min="8461" max="8461" width="16.7109375" style="1652" bestFit="1" customWidth="1"/>
    <col min="8462" max="8463" width="15.5703125" style="1652" bestFit="1" customWidth="1"/>
    <col min="8464" max="8464" width="16.42578125" style="1652" bestFit="1" customWidth="1"/>
    <col min="8465" max="8465" width="14.28515625" style="1652" customWidth="1"/>
    <col min="8466" max="8466" width="12.85546875" style="1652" bestFit="1" customWidth="1"/>
    <col min="8467" max="8467" width="11.28515625" style="1652" bestFit="1" customWidth="1"/>
    <col min="8468" max="8468" width="12.5703125" style="1652" bestFit="1" customWidth="1"/>
    <col min="8469" max="8469" width="14" style="1652" bestFit="1" customWidth="1"/>
    <col min="8470" max="8470" width="6" style="1652" bestFit="1" customWidth="1"/>
    <col min="8471" max="8471" width="15" style="1652" customWidth="1"/>
    <col min="8472" max="8472" width="14.85546875" style="1652" bestFit="1" customWidth="1"/>
    <col min="8473" max="8473" width="16.140625" style="1652" bestFit="1" customWidth="1"/>
    <col min="8474" max="8700" width="9.140625" style="1652"/>
    <col min="8701" max="8701" width="24" style="1652" bestFit="1" customWidth="1"/>
    <col min="8702" max="8702" width="45.7109375" style="1652" bestFit="1" customWidth="1"/>
    <col min="8703" max="8703" width="19.7109375" style="1652" bestFit="1" customWidth="1"/>
    <col min="8704" max="8704" width="11.42578125" style="1652" bestFit="1" customWidth="1"/>
    <col min="8705" max="8705" width="19.85546875" style="1652" bestFit="1" customWidth="1"/>
    <col min="8706" max="8706" width="13.42578125" style="1652" customWidth="1"/>
    <col min="8707" max="8707" width="15.28515625" style="1652" bestFit="1" customWidth="1"/>
    <col min="8708" max="8708" width="14.140625" style="1652" bestFit="1" customWidth="1"/>
    <col min="8709" max="8709" width="15.28515625" style="1652" customWidth="1"/>
    <col min="8710" max="8710" width="15.85546875" style="1652" customWidth="1"/>
    <col min="8711" max="8711" width="17" style="1652" bestFit="1" customWidth="1"/>
    <col min="8712" max="8712" width="12.7109375" style="1652" customWidth="1"/>
    <col min="8713" max="8713" width="13.7109375" style="1652" customWidth="1"/>
    <col min="8714" max="8714" width="13.85546875" style="1652" bestFit="1" customWidth="1"/>
    <col min="8715" max="8715" width="15.5703125" style="1652" bestFit="1" customWidth="1"/>
    <col min="8716" max="8716" width="16.140625" style="1652" customWidth="1"/>
    <col min="8717" max="8717" width="16.7109375" style="1652" bestFit="1" customWidth="1"/>
    <col min="8718" max="8719" width="15.5703125" style="1652" bestFit="1" customWidth="1"/>
    <col min="8720" max="8720" width="16.42578125" style="1652" bestFit="1" customWidth="1"/>
    <col min="8721" max="8721" width="14.28515625" style="1652" customWidth="1"/>
    <col min="8722" max="8722" width="12.85546875" style="1652" bestFit="1" customWidth="1"/>
    <col min="8723" max="8723" width="11.28515625" style="1652" bestFit="1" customWidth="1"/>
    <col min="8724" max="8724" width="12.5703125" style="1652" bestFit="1" customWidth="1"/>
    <col min="8725" max="8725" width="14" style="1652" bestFit="1" customWidth="1"/>
    <col min="8726" max="8726" width="6" style="1652" bestFit="1" customWidth="1"/>
    <col min="8727" max="8727" width="15" style="1652" customWidth="1"/>
    <col min="8728" max="8728" width="14.85546875" style="1652" bestFit="1" customWidth="1"/>
    <col min="8729" max="8729" width="16.140625" style="1652" bestFit="1" customWidth="1"/>
    <col min="8730" max="8956" width="9.140625" style="1652"/>
    <col min="8957" max="8957" width="24" style="1652" bestFit="1" customWidth="1"/>
    <col min="8958" max="8958" width="45.7109375" style="1652" bestFit="1" customWidth="1"/>
    <col min="8959" max="8959" width="19.7109375" style="1652" bestFit="1" customWidth="1"/>
    <col min="8960" max="8960" width="11.42578125" style="1652" bestFit="1" customWidth="1"/>
    <col min="8961" max="8961" width="19.85546875" style="1652" bestFit="1" customWidth="1"/>
    <col min="8962" max="8962" width="13.42578125" style="1652" customWidth="1"/>
    <col min="8963" max="8963" width="15.28515625" style="1652" bestFit="1" customWidth="1"/>
    <col min="8964" max="8964" width="14.140625" style="1652" bestFit="1" customWidth="1"/>
    <col min="8965" max="8965" width="15.28515625" style="1652" customWidth="1"/>
    <col min="8966" max="8966" width="15.85546875" style="1652" customWidth="1"/>
    <col min="8967" max="8967" width="17" style="1652" bestFit="1" customWidth="1"/>
    <col min="8968" max="8968" width="12.7109375" style="1652" customWidth="1"/>
    <col min="8969" max="8969" width="13.7109375" style="1652" customWidth="1"/>
    <col min="8970" max="8970" width="13.85546875" style="1652" bestFit="1" customWidth="1"/>
    <col min="8971" max="8971" width="15.5703125" style="1652" bestFit="1" customWidth="1"/>
    <col min="8972" max="8972" width="16.140625" style="1652" customWidth="1"/>
    <col min="8973" max="8973" width="16.7109375" style="1652" bestFit="1" customWidth="1"/>
    <col min="8974" max="8975" width="15.5703125" style="1652" bestFit="1" customWidth="1"/>
    <col min="8976" max="8976" width="16.42578125" style="1652" bestFit="1" customWidth="1"/>
    <col min="8977" max="8977" width="14.28515625" style="1652" customWidth="1"/>
    <col min="8978" max="8978" width="12.85546875" style="1652" bestFit="1" customWidth="1"/>
    <col min="8979" max="8979" width="11.28515625" style="1652" bestFit="1" customWidth="1"/>
    <col min="8980" max="8980" width="12.5703125" style="1652" bestFit="1" customWidth="1"/>
    <col min="8981" max="8981" width="14" style="1652" bestFit="1" customWidth="1"/>
    <col min="8982" max="8982" width="6" style="1652" bestFit="1" customWidth="1"/>
    <col min="8983" max="8983" width="15" style="1652" customWidth="1"/>
    <col min="8984" max="8984" width="14.85546875" style="1652" bestFit="1" customWidth="1"/>
    <col min="8985" max="8985" width="16.140625" style="1652" bestFit="1" customWidth="1"/>
    <col min="8986" max="9212" width="9.140625" style="1652"/>
    <col min="9213" max="9213" width="24" style="1652" bestFit="1" customWidth="1"/>
    <col min="9214" max="9214" width="45.7109375" style="1652" bestFit="1" customWidth="1"/>
    <col min="9215" max="9215" width="19.7109375" style="1652" bestFit="1" customWidth="1"/>
    <col min="9216" max="9216" width="11.42578125" style="1652" bestFit="1" customWidth="1"/>
    <col min="9217" max="9217" width="19.85546875" style="1652" bestFit="1" customWidth="1"/>
    <col min="9218" max="9218" width="13.42578125" style="1652" customWidth="1"/>
    <col min="9219" max="9219" width="15.28515625" style="1652" bestFit="1" customWidth="1"/>
    <col min="9220" max="9220" width="14.140625" style="1652" bestFit="1" customWidth="1"/>
    <col min="9221" max="9221" width="15.28515625" style="1652" customWidth="1"/>
    <col min="9222" max="9222" width="15.85546875" style="1652" customWidth="1"/>
    <col min="9223" max="9223" width="17" style="1652" bestFit="1" customWidth="1"/>
    <col min="9224" max="9224" width="12.7109375" style="1652" customWidth="1"/>
    <col min="9225" max="9225" width="13.7109375" style="1652" customWidth="1"/>
    <col min="9226" max="9226" width="13.85546875" style="1652" bestFit="1" customWidth="1"/>
    <col min="9227" max="9227" width="15.5703125" style="1652" bestFit="1" customWidth="1"/>
    <col min="9228" max="9228" width="16.140625" style="1652" customWidth="1"/>
    <col min="9229" max="9229" width="16.7109375" style="1652" bestFit="1" customWidth="1"/>
    <col min="9230" max="9231" width="15.5703125" style="1652" bestFit="1" customWidth="1"/>
    <col min="9232" max="9232" width="16.42578125" style="1652" bestFit="1" customWidth="1"/>
    <col min="9233" max="9233" width="14.28515625" style="1652" customWidth="1"/>
    <col min="9234" max="9234" width="12.85546875" style="1652" bestFit="1" customWidth="1"/>
    <col min="9235" max="9235" width="11.28515625" style="1652" bestFit="1" customWidth="1"/>
    <col min="9236" max="9236" width="12.5703125" style="1652" bestFit="1" customWidth="1"/>
    <col min="9237" max="9237" width="14" style="1652" bestFit="1" customWidth="1"/>
    <col min="9238" max="9238" width="6" style="1652" bestFit="1" customWidth="1"/>
    <col min="9239" max="9239" width="15" style="1652" customWidth="1"/>
    <col min="9240" max="9240" width="14.85546875" style="1652" bestFit="1" customWidth="1"/>
    <col min="9241" max="9241" width="16.140625" style="1652" bestFit="1" customWidth="1"/>
    <col min="9242" max="9468" width="9.140625" style="1652"/>
    <col min="9469" max="9469" width="24" style="1652" bestFit="1" customWidth="1"/>
    <col min="9470" max="9470" width="45.7109375" style="1652" bestFit="1" customWidth="1"/>
    <col min="9471" max="9471" width="19.7109375" style="1652" bestFit="1" customWidth="1"/>
    <col min="9472" max="9472" width="11.42578125" style="1652" bestFit="1" customWidth="1"/>
    <col min="9473" max="9473" width="19.85546875" style="1652" bestFit="1" customWidth="1"/>
    <col min="9474" max="9474" width="13.42578125" style="1652" customWidth="1"/>
    <col min="9475" max="9475" width="15.28515625" style="1652" bestFit="1" customWidth="1"/>
    <col min="9476" max="9476" width="14.140625" style="1652" bestFit="1" customWidth="1"/>
    <col min="9477" max="9477" width="15.28515625" style="1652" customWidth="1"/>
    <col min="9478" max="9478" width="15.85546875" style="1652" customWidth="1"/>
    <col min="9479" max="9479" width="17" style="1652" bestFit="1" customWidth="1"/>
    <col min="9480" max="9480" width="12.7109375" style="1652" customWidth="1"/>
    <col min="9481" max="9481" width="13.7109375" style="1652" customWidth="1"/>
    <col min="9482" max="9482" width="13.85546875" style="1652" bestFit="1" customWidth="1"/>
    <col min="9483" max="9483" width="15.5703125" style="1652" bestFit="1" customWidth="1"/>
    <col min="9484" max="9484" width="16.140625" style="1652" customWidth="1"/>
    <col min="9485" max="9485" width="16.7109375" style="1652" bestFit="1" customWidth="1"/>
    <col min="9486" max="9487" width="15.5703125" style="1652" bestFit="1" customWidth="1"/>
    <col min="9488" max="9488" width="16.42578125" style="1652" bestFit="1" customWidth="1"/>
    <col min="9489" max="9489" width="14.28515625" style="1652" customWidth="1"/>
    <col min="9490" max="9490" width="12.85546875" style="1652" bestFit="1" customWidth="1"/>
    <col min="9491" max="9491" width="11.28515625" style="1652" bestFit="1" customWidth="1"/>
    <col min="9492" max="9492" width="12.5703125" style="1652" bestFit="1" customWidth="1"/>
    <col min="9493" max="9493" width="14" style="1652" bestFit="1" customWidth="1"/>
    <col min="9494" max="9494" width="6" style="1652" bestFit="1" customWidth="1"/>
    <col min="9495" max="9495" width="15" style="1652" customWidth="1"/>
    <col min="9496" max="9496" width="14.85546875" style="1652" bestFit="1" customWidth="1"/>
    <col min="9497" max="9497" width="16.140625" style="1652" bestFit="1" customWidth="1"/>
    <col min="9498" max="9724" width="9.140625" style="1652"/>
    <col min="9725" max="9725" width="24" style="1652" bestFit="1" customWidth="1"/>
    <col min="9726" max="9726" width="45.7109375" style="1652" bestFit="1" customWidth="1"/>
    <col min="9727" max="9727" width="19.7109375" style="1652" bestFit="1" customWidth="1"/>
    <col min="9728" max="9728" width="11.42578125" style="1652" bestFit="1" customWidth="1"/>
    <col min="9729" max="9729" width="19.85546875" style="1652" bestFit="1" customWidth="1"/>
    <col min="9730" max="9730" width="13.42578125" style="1652" customWidth="1"/>
    <col min="9731" max="9731" width="15.28515625" style="1652" bestFit="1" customWidth="1"/>
    <col min="9732" max="9732" width="14.140625" style="1652" bestFit="1" customWidth="1"/>
    <col min="9733" max="9733" width="15.28515625" style="1652" customWidth="1"/>
    <col min="9734" max="9734" width="15.85546875" style="1652" customWidth="1"/>
    <col min="9735" max="9735" width="17" style="1652" bestFit="1" customWidth="1"/>
    <col min="9736" max="9736" width="12.7109375" style="1652" customWidth="1"/>
    <col min="9737" max="9737" width="13.7109375" style="1652" customWidth="1"/>
    <col min="9738" max="9738" width="13.85546875" style="1652" bestFit="1" customWidth="1"/>
    <col min="9739" max="9739" width="15.5703125" style="1652" bestFit="1" customWidth="1"/>
    <col min="9740" max="9740" width="16.140625" style="1652" customWidth="1"/>
    <col min="9741" max="9741" width="16.7109375" style="1652" bestFit="1" customWidth="1"/>
    <col min="9742" max="9743" width="15.5703125" style="1652" bestFit="1" customWidth="1"/>
    <col min="9744" max="9744" width="16.42578125" style="1652" bestFit="1" customWidth="1"/>
    <col min="9745" max="9745" width="14.28515625" style="1652" customWidth="1"/>
    <col min="9746" max="9746" width="12.85546875" style="1652" bestFit="1" customWidth="1"/>
    <col min="9747" max="9747" width="11.28515625" style="1652" bestFit="1" customWidth="1"/>
    <col min="9748" max="9748" width="12.5703125" style="1652" bestFit="1" customWidth="1"/>
    <col min="9749" max="9749" width="14" style="1652" bestFit="1" customWidth="1"/>
    <col min="9750" max="9750" width="6" style="1652" bestFit="1" customWidth="1"/>
    <col min="9751" max="9751" width="15" style="1652" customWidth="1"/>
    <col min="9752" max="9752" width="14.85546875" style="1652" bestFit="1" customWidth="1"/>
    <col min="9753" max="9753" width="16.140625" style="1652" bestFit="1" customWidth="1"/>
    <col min="9754" max="9980" width="9.140625" style="1652"/>
    <col min="9981" max="9981" width="24" style="1652" bestFit="1" customWidth="1"/>
    <col min="9982" max="9982" width="45.7109375" style="1652" bestFit="1" customWidth="1"/>
    <col min="9983" max="9983" width="19.7109375" style="1652" bestFit="1" customWidth="1"/>
    <col min="9984" max="9984" width="11.42578125" style="1652" bestFit="1" customWidth="1"/>
    <col min="9985" max="9985" width="19.85546875" style="1652" bestFit="1" customWidth="1"/>
    <col min="9986" max="9986" width="13.42578125" style="1652" customWidth="1"/>
    <col min="9987" max="9987" width="15.28515625" style="1652" bestFit="1" customWidth="1"/>
    <col min="9988" max="9988" width="14.140625" style="1652" bestFit="1" customWidth="1"/>
    <col min="9989" max="9989" width="15.28515625" style="1652" customWidth="1"/>
    <col min="9990" max="9990" width="15.85546875" style="1652" customWidth="1"/>
    <col min="9991" max="9991" width="17" style="1652" bestFit="1" customWidth="1"/>
    <col min="9992" max="9992" width="12.7109375" style="1652" customWidth="1"/>
    <col min="9993" max="9993" width="13.7109375" style="1652" customWidth="1"/>
    <col min="9994" max="9994" width="13.85546875" style="1652" bestFit="1" customWidth="1"/>
    <col min="9995" max="9995" width="15.5703125" style="1652" bestFit="1" customWidth="1"/>
    <col min="9996" max="9996" width="16.140625" style="1652" customWidth="1"/>
    <col min="9997" max="9997" width="16.7109375" style="1652" bestFit="1" customWidth="1"/>
    <col min="9998" max="9999" width="15.5703125" style="1652" bestFit="1" customWidth="1"/>
    <col min="10000" max="10000" width="16.42578125" style="1652" bestFit="1" customWidth="1"/>
    <col min="10001" max="10001" width="14.28515625" style="1652" customWidth="1"/>
    <col min="10002" max="10002" width="12.85546875" style="1652" bestFit="1" customWidth="1"/>
    <col min="10003" max="10003" width="11.28515625" style="1652" bestFit="1" customWidth="1"/>
    <col min="10004" max="10004" width="12.5703125" style="1652" bestFit="1" customWidth="1"/>
    <col min="10005" max="10005" width="14" style="1652" bestFit="1" customWidth="1"/>
    <col min="10006" max="10006" width="6" style="1652" bestFit="1" customWidth="1"/>
    <col min="10007" max="10007" width="15" style="1652" customWidth="1"/>
    <col min="10008" max="10008" width="14.85546875" style="1652" bestFit="1" customWidth="1"/>
    <col min="10009" max="10009" width="16.140625" style="1652" bestFit="1" customWidth="1"/>
    <col min="10010" max="10236" width="9.140625" style="1652"/>
    <col min="10237" max="10237" width="24" style="1652" bestFit="1" customWidth="1"/>
    <col min="10238" max="10238" width="45.7109375" style="1652" bestFit="1" customWidth="1"/>
    <col min="10239" max="10239" width="19.7109375" style="1652" bestFit="1" customWidth="1"/>
    <col min="10240" max="10240" width="11.42578125" style="1652" bestFit="1" customWidth="1"/>
    <col min="10241" max="10241" width="19.85546875" style="1652" bestFit="1" customWidth="1"/>
    <col min="10242" max="10242" width="13.42578125" style="1652" customWidth="1"/>
    <col min="10243" max="10243" width="15.28515625" style="1652" bestFit="1" customWidth="1"/>
    <col min="10244" max="10244" width="14.140625" style="1652" bestFit="1" customWidth="1"/>
    <col min="10245" max="10245" width="15.28515625" style="1652" customWidth="1"/>
    <col min="10246" max="10246" width="15.85546875" style="1652" customWidth="1"/>
    <col min="10247" max="10247" width="17" style="1652" bestFit="1" customWidth="1"/>
    <col min="10248" max="10248" width="12.7109375" style="1652" customWidth="1"/>
    <col min="10249" max="10249" width="13.7109375" style="1652" customWidth="1"/>
    <col min="10250" max="10250" width="13.85546875" style="1652" bestFit="1" customWidth="1"/>
    <col min="10251" max="10251" width="15.5703125" style="1652" bestFit="1" customWidth="1"/>
    <col min="10252" max="10252" width="16.140625" style="1652" customWidth="1"/>
    <col min="10253" max="10253" width="16.7109375" style="1652" bestFit="1" customWidth="1"/>
    <col min="10254" max="10255" width="15.5703125" style="1652" bestFit="1" customWidth="1"/>
    <col min="10256" max="10256" width="16.42578125" style="1652" bestFit="1" customWidth="1"/>
    <col min="10257" max="10257" width="14.28515625" style="1652" customWidth="1"/>
    <col min="10258" max="10258" width="12.85546875" style="1652" bestFit="1" customWidth="1"/>
    <col min="10259" max="10259" width="11.28515625" style="1652" bestFit="1" customWidth="1"/>
    <col min="10260" max="10260" width="12.5703125" style="1652" bestFit="1" customWidth="1"/>
    <col min="10261" max="10261" width="14" style="1652" bestFit="1" customWidth="1"/>
    <col min="10262" max="10262" width="6" style="1652" bestFit="1" customWidth="1"/>
    <col min="10263" max="10263" width="15" style="1652" customWidth="1"/>
    <col min="10264" max="10264" width="14.85546875" style="1652" bestFit="1" customWidth="1"/>
    <col min="10265" max="10265" width="16.140625" style="1652" bestFit="1" customWidth="1"/>
    <col min="10266" max="10492" width="9.140625" style="1652"/>
    <col min="10493" max="10493" width="24" style="1652" bestFit="1" customWidth="1"/>
    <col min="10494" max="10494" width="45.7109375" style="1652" bestFit="1" customWidth="1"/>
    <col min="10495" max="10495" width="19.7109375" style="1652" bestFit="1" customWidth="1"/>
    <col min="10496" max="10496" width="11.42578125" style="1652" bestFit="1" customWidth="1"/>
    <col min="10497" max="10497" width="19.85546875" style="1652" bestFit="1" customWidth="1"/>
    <col min="10498" max="10498" width="13.42578125" style="1652" customWidth="1"/>
    <col min="10499" max="10499" width="15.28515625" style="1652" bestFit="1" customWidth="1"/>
    <col min="10500" max="10500" width="14.140625" style="1652" bestFit="1" customWidth="1"/>
    <col min="10501" max="10501" width="15.28515625" style="1652" customWidth="1"/>
    <col min="10502" max="10502" width="15.85546875" style="1652" customWidth="1"/>
    <col min="10503" max="10503" width="17" style="1652" bestFit="1" customWidth="1"/>
    <col min="10504" max="10504" width="12.7109375" style="1652" customWidth="1"/>
    <col min="10505" max="10505" width="13.7109375" style="1652" customWidth="1"/>
    <col min="10506" max="10506" width="13.85546875" style="1652" bestFit="1" customWidth="1"/>
    <col min="10507" max="10507" width="15.5703125" style="1652" bestFit="1" customWidth="1"/>
    <col min="10508" max="10508" width="16.140625" style="1652" customWidth="1"/>
    <col min="10509" max="10509" width="16.7109375" style="1652" bestFit="1" customWidth="1"/>
    <col min="10510" max="10511" width="15.5703125" style="1652" bestFit="1" customWidth="1"/>
    <col min="10512" max="10512" width="16.42578125" style="1652" bestFit="1" customWidth="1"/>
    <col min="10513" max="10513" width="14.28515625" style="1652" customWidth="1"/>
    <col min="10514" max="10514" width="12.85546875" style="1652" bestFit="1" customWidth="1"/>
    <col min="10515" max="10515" width="11.28515625" style="1652" bestFit="1" customWidth="1"/>
    <col min="10516" max="10516" width="12.5703125" style="1652" bestFit="1" customWidth="1"/>
    <col min="10517" max="10517" width="14" style="1652" bestFit="1" customWidth="1"/>
    <col min="10518" max="10518" width="6" style="1652" bestFit="1" customWidth="1"/>
    <col min="10519" max="10519" width="15" style="1652" customWidth="1"/>
    <col min="10520" max="10520" width="14.85546875" style="1652" bestFit="1" customWidth="1"/>
    <col min="10521" max="10521" width="16.140625" style="1652" bestFit="1" customWidth="1"/>
    <col min="10522" max="10748" width="9.140625" style="1652"/>
    <col min="10749" max="10749" width="24" style="1652" bestFit="1" customWidth="1"/>
    <col min="10750" max="10750" width="45.7109375" style="1652" bestFit="1" customWidth="1"/>
    <col min="10751" max="10751" width="19.7109375" style="1652" bestFit="1" customWidth="1"/>
    <col min="10752" max="10752" width="11.42578125" style="1652" bestFit="1" customWidth="1"/>
    <col min="10753" max="10753" width="19.85546875" style="1652" bestFit="1" customWidth="1"/>
    <col min="10754" max="10754" width="13.42578125" style="1652" customWidth="1"/>
    <col min="10755" max="10755" width="15.28515625" style="1652" bestFit="1" customWidth="1"/>
    <col min="10756" max="10756" width="14.140625" style="1652" bestFit="1" customWidth="1"/>
    <col min="10757" max="10757" width="15.28515625" style="1652" customWidth="1"/>
    <col min="10758" max="10758" width="15.85546875" style="1652" customWidth="1"/>
    <col min="10759" max="10759" width="17" style="1652" bestFit="1" customWidth="1"/>
    <col min="10760" max="10760" width="12.7109375" style="1652" customWidth="1"/>
    <col min="10761" max="10761" width="13.7109375" style="1652" customWidth="1"/>
    <col min="10762" max="10762" width="13.85546875" style="1652" bestFit="1" customWidth="1"/>
    <col min="10763" max="10763" width="15.5703125" style="1652" bestFit="1" customWidth="1"/>
    <col min="10764" max="10764" width="16.140625" style="1652" customWidth="1"/>
    <col min="10765" max="10765" width="16.7109375" style="1652" bestFit="1" customWidth="1"/>
    <col min="10766" max="10767" width="15.5703125" style="1652" bestFit="1" customWidth="1"/>
    <col min="10768" max="10768" width="16.42578125" style="1652" bestFit="1" customWidth="1"/>
    <col min="10769" max="10769" width="14.28515625" style="1652" customWidth="1"/>
    <col min="10770" max="10770" width="12.85546875" style="1652" bestFit="1" customWidth="1"/>
    <col min="10771" max="10771" width="11.28515625" style="1652" bestFit="1" customWidth="1"/>
    <col min="10772" max="10772" width="12.5703125" style="1652" bestFit="1" customWidth="1"/>
    <col min="10773" max="10773" width="14" style="1652" bestFit="1" customWidth="1"/>
    <col min="10774" max="10774" width="6" style="1652" bestFit="1" customWidth="1"/>
    <col min="10775" max="10775" width="15" style="1652" customWidth="1"/>
    <col min="10776" max="10776" width="14.85546875" style="1652" bestFit="1" customWidth="1"/>
    <col min="10777" max="10777" width="16.140625" style="1652" bestFit="1" customWidth="1"/>
    <col min="10778" max="11004" width="9.140625" style="1652"/>
    <col min="11005" max="11005" width="24" style="1652" bestFit="1" customWidth="1"/>
    <col min="11006" max="11006" width="45.7109375" style="1652" bestFit="1" customWidth="1"/>
    <col min="11007" max="11007" width="19.7109375" style="1652" bestFit="1" customWidth="1"/>
    <col min="11008" max="11008" width="11.42578125" style="1652" bestFit="1" customWidth="1"/>
    <col min="11009" max="11009" width="19.85546875" style="1652" bestFit="1" customWidth="1"/>
    <col min="11010" max="11010" width="13.42578125" style="1652" customWidth="1"/>
    <col min="11011" max="11011" width="15.28515625" style="1652" bestFit="1" customWidth="1"/>
    <col min="11012" max="11012" width="14.140625" style="1652" bestFit="1" customWidth="1"/>
    <col min="11013" max="11013" width="15.28515625" style="1652" customWidth="1"/>
    <col min="11014" max="11014" width="15.85546875" style="1652" customWidth="1"/>
    <col min="11015" max="11015" width="17" style="1652" bestFit="1" customWidth="1"/>
    <col min="11016" max="11016" width="12.7109375" style="1652" customWidth="1"/>
    <col min="11017" max="11017" width="13.7109375" style="1652" customWidth="1"/>
    <col min="11018" max="11018" width="13.85546875" style="1652" bestFit="1" customWidth="1"/>
    <col min="11019" max="11019" width="15.5703125" style="1652" bestFit="1" customWidth="1"/>
    <col min="11020" max="11020" width="16.140625" style="1652" customWidth="1"/>
    <col min="11021" max="11021" width="16.7109375" style="1652" bestFit="1" customWidth="1"/>
    <col min="11022" max="11023" width="15.5703125" style="1652" bestFit="1" customWidth="1"/>
    <col min="11024" max="11024" width="16.42578125" style="1652" bestFit="1" customWidth="1"/>
    <col min="11025" max="11025" width="14.28515625" style="1652" customWidth="1"/>
    <col min="11026" max="11026" width="12.85546875" style="1652" bestFit="1" customWidth="1"/>
    <col min="11027" max="11027" width="11.28515625" style="1652" bestFit="1" customWidth="1"/>
    <col min="11028" max="11028" width="12.5703125" style="1652" bestFit="1" customWidth="1"/>
    <col min="11029" max="11029" width="14" style="1652" bestFit="1" customWidth="1"/>
    <col min="11030" max="11030" width="6" style="1652" bestFit="1" customWidth="1"/>
    <col min="11031" max="11031" width="15" style="1652" customWidth="1"/>
    <col min="11032" max="11032" width="14.85546875" style="1652" bestFit="1" customWidth="1"/>
    <col min="11033" max="11033" width="16.140625" style="1652" bestFit="1" customWidth="1"/>
    <col min="11034" max="11260" width="9.140625" style="1652"/>
    <col min="11261" max="11261" width="24" style="1652" bestFit="1" customWidth="1"/>
    <col min="11262" max="11262" width="45.7109375" style="1652" bestFit="1" customWidth="1"/>
    <col min="11263" max="11263" width="19.7109375" style="1652" bestFit="1" customWidth="1"/>
    <col min="11264" max="11264" width="11.42578125" style="1652" bestFit="1" customWidth="1"/>
    <col min="11265" max="11265" width="19.85546875" style="1652" bestFit="1" customWidth="1"/>
    <col min="11266" max="11266" width="13.42578125" style="1652" customWidth="1"/>
    <col min="11267" max="11267" width="15.28515625" style="1652" bestFit="1" customWidth="1"/>
    <col min="11268" max="11268" width="14.140625" style="1652" bestFit="1" customWidth="1"/>
    <col min="11269" max="11269" width="15.28515625" style="1652" customWidth="1"/>
    <col min="11270" max="11270" width="15.85546875" style="1652" customWidth="1"/>
    <col min="11271" max="11271" width="17" style="1652" bestFit="1" customWidth="1"/>
    <col min="11272" max="11272" width="12.7109375" style="1652" customWidth="1"/>
    <col min="11273" max="11273" width="13.7109375" style="1652" customWidth="1"/>
    <col min="11274" max="11274" width="13.85546875" style="1652" bestFit="1" customWidth="1"/>
    <col min="11275" max="11275" width="15.5703125" style="1652" bestFit="1" customWidth="1"/>
    <col min="11276" max="11276" width="16.140625" style="1652" customWidth="1"/>
    <col min="11277" max="11277" width="16.7109375" style="1652" bestFit="1" customWidth="1"/>
    <col min="11278" max="11279" width="15.5703125" style="1652" bestFit="1" customWidth="1"/>
    <col min="11280" max="11280" width="16.42578125" style="1652" bestFit="1" customWidth="1"/>
    <col min="11281" max="11281" width="14.28515625" style="1652" customWidth="1"/>
    <col min="11282" max="11282" width="12.85546875" style="1652" bestFit="1" customWidth="1"/>
    <col min="11283" max="11283" width="11.28515625" style="1652" bestFit="1" customWidth="1"/>
    <col min="11284" max="11284" width="12.5703125" style="1652" bestFit="1" customWidth="1"/>
    <col min="11285" max="11285" width="14" style="1652" bestFit="1" customWidth="1"/>
    <col min="11286" max="11286" width="6" style="1652" bestFit="1" customWidth="1"/>
    <col min="11287" max="11287" width="15" style="1652" customWidth="1"/>
    <col min="11288" max="11288" width="14.85546875" style="1652" bestFit="1" customWidth="1"/>
    <col min="11289" max="11289" width="16.140625" style="1652" bestFit="1" customWidth="1"/>
    <col min="11290" max="11516" width="9.140625" style="1652"/>
    <col min="11517" max="11517" width="24" style="1652" bestFit="1" customWidth="1"/>
    <col min="11518" max="11518" width="45.7109375" style="1652" bestFit="1" customWidth="1"/>
    <col min="11519" max="11519" width="19.7109375" style="1652" bestFit="1" customWidth="1"/>
    <col min="11520" max="11520" width="11.42578125" style="1652" bestFit="1" customWidth="1"/>
    <col min="11521" max="11521" width="19.85546875" style="1652" bestFit="1" customWidth="1"/>
    <col min="11522" max="11522" width="13.42578125" style="1652" customWidth="1"/>
    <col min="11523" max="11523" width="15.28515625" style="1652" bestFit="1" customWidth="1"/>
    <col min="11524" max="11524" width="14.140625" style="1652" bestFit="1" customWidth="1"/>
    <col min="11525" max="11525" width="15.28515625" style="1652" customWidth="1"/>
    <col min="11526" max="11526" width="15.85546875" style="1652" customWidth="1"/>
    <col min="11527" max="11527" width="17" style="1652" bestFit="1" customWidth="1"/>
    <col min="11528" max="11528" width="12.7109375" style="1652" customWidth="1"/>
    <col min="11529" max="11529" width="13.7109375" style="1652" customWidth="1"/>
    <col min="11530" max="11530" width="13.85546875" style="1652" bestFit="1" customWidth="1"/>
    <col min="11531" max="11531" width="15.5703125" style="1652" bestFit="1" customWidth="1"/>
    <col min="11532" max="11532" width="16.140625" style="1652" customWidth="1"/>
    <col min="11533" max="11533" width="16.7109375" style="1652" bestFit="1" customWidth="1"/>
    <col min="11534" max="11535" width="15.5703125" style="1652" bestFit="1" customWidth="1"/>
    <col min="11536" max="11536" width="16.42578125" style="1652" bestFit="1" customWidth="1"/>
    <col min="11537" max="11537" width="14.28515625" style="1652" customWidth="1"/>
    <col min="11538" max="11538" width="12.85546875" style="1652" bestFit="1" customWidth="1"/>
    <col min="11539" max="11539" width="11.28515625" style="1652" bestFit="1" customWidth="1"/>
    <col min="11540" max="11540" width="12.5703125" style="1652" bestFit="1" customWidth="1"/>
    <col min="11541" max="11541" width="14" style="1652" bestFit="1" customWidth="1"/>
    <col min="11542" max="11542" width="6" style="1652" bestFit="1" customWidth="1"/>
    <col min="11543" max="11543" width="15" style="1652" customWidth="1"/>
    <col min="11544" max="11544" width="14.85546875" style="1652" bestFit="1" customWidth="1"/>
    <col min="11545" max="11545" width="16.140625" style="1652" bestFit="1" customWidth="1"/>
    <col min="11546" max="11772" width="9.140625" style="1652"/>
    <col min="11773" max="11773" width="24" style="1652" bestFit="1" customWidth="1"/>
    <col min="11774" max="11774" width="45.7109375" style="1652" bestFit="1" customWidth="1"/>
    <col min="11775" max="11775" width="19.7109375" style="1652" bestFit="1" customWidth="1"/>
    <col min="11776" max="11776" width="11.42578125" style="1652" bestFit="1" customWidth="1"/>
    <col min="11777" max="11777" width="19.85546875" style="1652" bestFit="1" customWidth="1"/>
    <col min="11778" max="11778" width="13.42578125" style="1652" customWidth="1"/>
    <col min="11779" max="11779" width="15.28515625" style="1652" bestFit="1" customWidth="1"/>
    <col min="11780" max="11780" width="14.140625" style="1652" bestFit="1" customWidth="1"/>
    <col min="11781" max="11781" width="15.28515625" style="1652" customWidth="1"/>
    <col min="11782" max="11782" width="15.85546875" style="1652" customWidth="1"/>
    <col min="11783" max="11783" width="17" style="1652" bestFit="1" customWidth="1"/>
    <col min="11784" max="11784" width="12.7109375" style="1652" customWidth="1"/>
    <col min="11785" max="11785" width="13.7109375" style="1652" customWidth="1"/>
    <col min="11786" max="11786" width="13.85546875" style="1652" bestFit="1" customWidth="1"/>
    <col min="11787" max="11787" width="15.5703125" style="1652" bestFit="1" customWidth="1"/>
    <col min="11788" max="11788" width="16.140625" style="1652" customWidth="1"/>
    <col min="11789" max="11789" width="16.7109375" style="1652" bestFit="1" customWidth="1"/>
    <col min="11790" max="11791" width="15.5703125" style="1652" bestFit="1" customWidth="1"/>
    <col min="11792" max="11792" width="16.42578125" style="1652" bestFit="1" customWidth="1"/>
    <col min="11793" max="11793" width="14.28515625" style="1652" customWidth="1"/>
    <col min="11794" max="11794" width="12.85546875" style="1652" bestFit="1" customWidth="1"/>
    <col min="11795" max="11795" width="11.28515625" style="1652" bestFit="1" customWidth="1"/>
    <col min="11796" max="11796" width="12.5703125" style="1652" bestFit="1" customWidth="1"/>
    <col min="11797" max="11797" width="14" style="1652" bestFit="1" customWidth="1"/>
    <col min="11798" max="11798" width="6" style="1652" bestFit="1" customWidth="1"/>
    <col min="11799" max="11799" width="15" style="1652" customWidth="1"/>
    <col min="11800" max="11800" width="14.85546875" style="1652" bestFit="1" customWidth="1"/>
    <col min="11801" max="11801" width="16.140625" style="1652" bestFit="1" customWidth="1"/>
    <col min="11802" max="12028" width="9.140625" style="1652"/>
    <col min="12029" max="12029" width="24" style="1652" bestFit="1" customWidth="1"/>
    <col min="12030" max="12030" width="45.7109375" style="1652" bestFit="1" customWidth="1"/>
    <col min="12031" max="12031" width="19.7109375" style="1652" bestFit="1" customWidth="1"/>
    <col min="12032" max="12032" width="11.42578125" style="1652" bestFit="1" customWidth="1"/>
    <col min="12033" max="12033" width="19.85546875" style="1652" bestFit="1" customWidth="1"/>
    <col min="12034" max="12034" width="13.42578125" style="1652" customWidth="1"/>
    <col min="12035" max="12035" width="15.28515625" style="1652" bestFit="1" customWidth="1"/>
    <col min="12036" max="12036" width="14.140625" style="1652" bestFit="1" customWidth="1"/>
    <col min="12037" max="12037" width="15.28515625" style="1652" customWidth="1"/>
    <col min="12038" max="12038" width="15.85546875" style="1652" customWidth="1"/>
    <col min="12039" max="12039" width="17" style="1652" bestFit="1" customWidth="1"/>
    <col min="12040" max="12040" width="12.7109375" style="1652" customWidth="1"/>
    <col min="12041" max="12041" width="13.7109375" style="1652" customWidth="1"/>
    <col min="12042" max="12042" width="13.85546875" style="1652" bestFit="1" customWidth="1"/>
    <col min="12043" max="12043" width="15.5703125" style="1652" bestFit="1" customWidth="1"/>
    <col min="12044" max="12044" width="16.140625" style="1652" customWidth="1"/>
    <col min="12045" max="12045" width="16.7109375" style="1652" bestFit="1" customWidth="1"/>
    <col min="12046" max="12047" width="15.5703125" style="1652" bestFit="1" customWidth="1"/>
    <col min="12048" max="12048" width="16.42578125" style="1652" bestFit="1" customWidth="1"/>
    <col min="12049" max="12049" width="14.28515625" style="1652" customWidth="1"/>
    <col min="12050" max="12050" width="12.85546875" style="1652" bestFit="1" customWidth="1"/>
    <col min="12051" max="12051" width="11.28515625" style="1652" bestFit="1" customWidth="1"/>
    <col min="12052" max="12052" width="12.5703125" style="1652" bestFit="1" customWidth="1"/>
    <col min="12053" max="12053" width="14" style="1652" bestFit="1" customWidth="1"/>
    <col min="12054" max="12054" width="6" style="1652" bestFit="1" customWidth="1"/>
    <col min="12055" max="12055" width="15" style="1652" customWidth="1"/>
    <col min="12056" max="12056" width="14.85546875" style="1652" bestFit="1" customWidth="1"/>
    <col min="12057" max="12057" width="16.140625" style="1652" bestFit="1" customWidth="1"/>
    <col min="12058" max="12284" width="9.140625" style="1652"/>
    <col min="12285" max="12285" width="24" style="1652" bestFit="1" customWidth="1"/>
    <col min="12286" max="12286" width="45.7109375" style="1652" bestFit="1" customWidth="1"/>
    <col min="12287" max="12287" width="19.7109375" style="1652" bestFit="1" customWidth="1"/>
    <col min="12288" max="12288" width="11.42578125" style="1652" bestFit="1" customWidth="1"/>
    <col min="12289" max="12289" width="19.85546875" style="1652" bestFit="1" customWidth="1"/>
    <col min="12290" max="12290" width="13.42578125" style="1652" customWidth="1"/>
    <col min="12291" max="12291" width="15.28515625" style="1652" bestFit="1" customWidth="1"/>
    <col min="12292" max="12292" width="14.140625" style="1652" bestFit="1" customWidth="1"/>
    <col min="12293" max="12293" width="15.28515625" style="1652" customWidth="1"/>
    <col min="12294" max="12294" width="15.85546875" style="1652" customWidth="1"/>
    <col min="12295" max="12295" width="17" style="1652" bestFit="1" customWidth="1"/>
    <col min="12296" max="12296" width="12.7109375" style="1652" customWidth="1"/>
    <col min="12297" max="12297" width="13.7109375" style="1652" customWidth="1"/>
    <col min="12298" max="12298" width="13.85546875" style="1652" bestFit="1" customWidth="1"/>
    <col min="12299" max="12299" width="15.5703125" style="1652" bestFit="1" customWidth="1"/>
    <col min="12300" max="12300" width="16.140625" style="1652" customWidth="1"/>
    <col min="12301" max="12301" width="16.7109375" style="1652" bestFit="1" customWidth="1"/>
    <col min="12302" max="12303" width="15.5703125" style="1652" bestFit="1" customWidth="1"/>
    <col min="12304" max="12304" width="16.42578125" style="1652" bestFit="1" customWidth="1"/>
    <col min="12305" max="12305" width="14.28515625" style="1652" customWidth="1"/>
    <col min="12306" max="12306" width="12.85546875" style="1652" bestFit="1" customWidth="1"/>
    <col min="12307" max="12307" width="11.28515625" style="1652" bestFit="1" customWidth="1"/>
    <col min="12308" max="12308" width="12.5703125" style="1652" bestFit="1" customWidth="1"/>
    <col min="12309" max="12309" width="14" style="1652" bestFit="1" customWidth="1"/>
    <col min="12310" max="12310" width="6" style="1652" bestFit="1" customWidth="1"/>
    <col min="12311" max="12311" width="15" style="1652" customWidth="1"/>
    <col min="12312" max="12312" width="14.85546875" style="1652" bestFit="1" customWidth="1"/>
    <col min="12313" max="12313" width="16.140625" style="1652" bestFit="1" customWidth="1"/>
    <col min="12314" max="12540" width="9.140625" style="1652"/>
    <col min="12541" max="12541" width="24" style="1652" bestFit="1" customWidth="1"/>
    <col min="12542" max="12542" width="45.7109375" style="1652" bestFit="1" customWidth="1"/>
    <col min="12543" max="12543" width="19.7109375" style="1652" bestFit="1" customWidth="1"/>
    <col min="12544" max="12544" width="11.42578125" style="1652" bestFit="1" customWidth="1"/>
    <col min="12545" max="12545" width="19.85546875" style="1652" bestFit="1" customWidth="1"/>
    <col min="12546" max="12546" width="13.42578125" style="1652" customWidth="1"/>
    <col min="12547" max="12547" width="15.28515625" style="1652" bestFit="1" customWidth="1"/>
    <col min="12548" max="12548" width="14.140625" style="1652" bestFit="1" customWidth="1"/>
    <col min="12549" max="12549" width="15.28515625" style="1652" customWidth="1"/>
    <col min="12550" max="12550" width="15.85546875" style="1652" customWidth="1"/>
    <col min="12551" max="12551" width="17" style="1652" bestFit="1" customWidth="1"/>
    <col min="12552" max="12552" width="12.7109375" style="1652" customWidth="1"/>
    <col min="12553" max="12553" width="13.7109375" style="1652" customWidth="1"/>
    <col min="12554" max="12554" width="13.85546875" style="1652" bestFit="1" customWidth="1"/>
    <col min="12555" max="12555" width="15.5703125" style="1652" bestFit="1" customWidth="1"/>
    <col min="12556" max="12556" width="16.140625" style="1652" customWidth="1"/>
    <col min="12557" max="12557" width="16.7109375" style="1652" bestFit="1" customWidth="1"/>
    <col min="12558" max="12559" width="15.5703125" style="1652" bestFit="1" customWidth="1"/>
    <col min="12560" max="12560" width="16.42578125" style="1652" bestFit="1" customWidth="1"/>
    <col min="12561" max="12561" width="14.28515625" style="1652" customWidth="1"/>
    <col min="12562" max="12562" width="12.85546875" style="1652" bestFit="1" customWidth="1"/>
    <col min="12563" max="12563" width="11.28515625" style="1652" bestFit="1" customWidth="1"/>
    <col min="12564" max="12564" width="12.5703125" style="1652" bestFit="1" customWidth="1"/>
    <col min="12565" max="12565" width="14" style="1652" bestFit="1" customWidth="1"/>
    <col min="12566" max="12566" width="6" style="1652" bestFit="1" customWidth="1"/>
    <col min="12567" max="12567" width="15" style="1652" customWidth="1"/>
    <col min="12568" max="12568" width="14.85546875" style="1652" bestFit="1" customWidth="1"/>
    <col min="12569" max="12569" width="16.140625" style="1652" bestFit="1" customWidth="1"/>
    <col min="12570" max="12796" width="9.140625" style="1652"/>
    <col min="12797" max="12797" width="24" style="1652" bestFit="1" customWidth="1"/>
    <col min="12798" max="12798" width="45.7109375" style="1652" bestFit="1" customWidth="1"/>
    <col min="12799" max="12799" width="19.7109375" style="1652" bestFit="1" customWidth="1"/>
    <col min="12800" max="12800" width="11.42578125" style="1652" bestFit="1" customWidth="1"/>
    <col min="12801" max="12801" width="19.85546875" style="1652" bestFit="1" customWidth="1"/>
    <col min="12802" max="12802" width="13.42578125" style="1652" customWidth="1"/>
    <col min="12803" max="12803" width="15.28515625" style="1652" bestFit="1" customWidth="1"/>
    <col min="12804" max="12804" width="14.140625" style="1652" bestFit="1" customWidth="1"/>
    <col min="12805" max="12805" width="15.28515625" style="1652" customWidth="1"/>
    <col min="12806" max="12806" width="15.85546875" style="1652" customWidth="1"/>
    <col min="12807" max="12807" width="17" style="1652" bestFit="1" customWidth="1"/>
    <col min="12808" max="12808" width="12.7109375" style="1652" customWidth="1"/>
    <col min="12809" max="12809" width="13.7109375" style="1652" customWidth="1"/>
    <col min="12810" max="12810" width="13.85546875" style="1652" bestFit="1" customWidth="1"/>
    <col min="12811" max="12811" width="15.5703125" style="1652" bestFit="1" customWidth="1"/>
    <col min="12812" max="12812" width="16.140625" style="1652" customWidth="1"/>
    <col min="12813" max="12813" width="16.7109375" style="1652" bestFit="1" customWidth="1"/>
    <col min="12814" max="12815" width="15.5703125" style="1652" bestFit="1" customWidth="1"/>
    <col min="12816" max="12816" width="16.42578125" style="1652" bestFit="1" customWidth="1"/>
    <col min="12817" max="12817" width="14.28515625" style="1652" customWidth="1"/>
    <col min="12818" max="12818" width="12.85546875" style="1652" bestFit="1" customWidth="1"/>
    <col min="12819" max="12819" width="11.28515625" style="1652" bestFit="1" customWidth="1"/>
    <col min="12820" max="12820" width="12.5703125" style="1652" bestFit="1" customWidth="1"/>
    <col min="12821" max="12821" width="14" style="1652" bestFit="1" customWidth="1"/>
    <col min="12822" max="12822" width="6" style="1652" bestFit="1" customWidth="1"/>
    <col min="12823" max="12823" width="15" style="1652" customWidth="1"/>
    <col min="12824" max="12824" width="14.85546875" style="1652" bestFit="1" customWidth="1"/>
    <col min="12825" max="12825" width="16.140625" style="1652" bestFit="1" customWidth="1"/>
    <col min="12826" max="13052" width="9.140625" style="1652"/>
    <col min="13053" max="13053" width="24" style="1652" bestFit="1" customWidth="1"/>
    <col min="13054" max="13054" width="45.7109375" style="1652" bestFit="1" customWidth="1"/>
    <col min="13055" max="13055" width="19.7109375" style="1652" bestFit="1" customWidth="1"/>
    <col min="13056" max="13056" width="11.42578125" style="1652" bestFit="1" customWidth="1"/>
    <col min="13057" max="13057" width="19.85546875" style="1652" bestFit="1" customWidth="1"/>
    <col min="13058" max="13058" width="13.42578125" style="1652" customWidth="1"/>
    <col min="13059" max="13059" width="15.28515625" style="1652" bestFit="1" customWidth="1"/>
    <col min="13060" max="13060" width="14.140625" style="1652" bestFit="1" customWidth="1"/>
    <col min="13061" max="13061" width="15.28515625" style="1652" customWidth="1"/>
    <col min="13062" max="13062" width="15.85546875" style="1652" customWidth="1"/>
    <col min="13063" max="13063" width="17" style="1652" bestFit="1" customWidth="1"/>
    <col min="13064" max="13064" width="12.7109375" style="1652" customWidth="1"/>
    <col min="13065" max="13065" width="13.7109375" style="1652" customWidth="1"/>
    <col min="13066" max="13066" width="13.85546875" style="1652" bestFit="1" customWidth="1"/>
    <col min="13067" max="13067" width="15.5703125" style="1652" bestFit="1" customWidth="1"/>
    <col min="13068" max="13068" width="16.140625" style="1652" customWidth="1"/>
    <col min="13069" max="13069" width="16.7109375" style="1652" bestFit="1" customWidth="1"/>
    <col min="13070" max="13071" width="15.5703125" style="1652" bestFit="1" customWidth="1"/>
    <col min="13072" max="13072" width="16.42578125" style="1652" bestFit="1" customWidth="1"/>
    <col min="13073" max="13073" width="14.28515625" style="1652" customWidth="1"/>
    <col min="13074" max="13074" width="12.85546875" style="1652" bestFit="1" customWidth="1"/>
    <col min="13075" max="13075" width="11.28515625" style="1652" bestFit="1" customWidth="1"/>
    <col min="13076" max="13076" width="12.5703125" style="1652" bestFit="1" customWidth="1"/>
    <col min="13077" max="13077" width="14" style="1652" bestFit="1" customWidth="1"/>
    <col min="13078" max="13078" width="6" style="1652" bestFit="1" customWidth="1"/>
    <col min="13079" max="13079" width="15" style="1652" customWidth="1"/>
    <col min="13080" max="13080" width="14.85546875" style="1652" bestFit="1" customWidth="1"/>
    <col min="13081" max="13081" width="16.140625" style="1652" bestFit="1" customWidth="1"/>
    <col min="13082" max="13308" width="9.140625" style="1652"/>
    <col min="13309" max="13309" width="24" style="1652" bestFit="1" customWidth="1"/>
    <col min="13310" max="13310" width="45.7109375" style="1652" bestFit="1" customWidth="1"/>
    <col min="13311" max="13311" width="19.7109375" style="1652" bestFit="1" customWidth="1"/>
    <col min="13312" max="13312" width="11.42578125" style="1652" bestFit="1" customWidth="1"/>
    <col min="13313" max="13313" width="19.85546875" style="1652" bestFit="1" customWidth="1"/>
    <col min="13314" max="13314" width="13.42578125" style="1652" customWidth="1"/>
    <col min="13315" max="13315" width="15.28515625" style="1652" bestFit="1" customWidth="1"/>
    <col min="13316" max="13316" width="14.140625" style="1652" bestFit="1" customWidth="1"/>
    <col min="13317" max="13317" width="15.28515625" style="1652" customWidth="1"/>
    <col min="13318" max="13318" width="15.85546875" style="1652" customWidth="1"/>
    <col min="13319" max="13319" width="17" style="1652" bestFit="1" customWidth="1"/>
    <col min="13320" max="13320" width="12.7109375" style="1652" customWidth="1"/>
    <col min="13321" max="13321" width="13.7109375" style="1652" customWidth="1"/>
    <col min="13322" max="13322" width="13.85546875" style="1652" bestFit="1" customWidth="1"/>
    <col min="13323" max="13323" width="15.5703125" style="1652" bestFit="1" customWidth="1"/>
    <col min="13324" max="13324" width="16.140625" style="1652" customWidth="1"/>
    <col min="13325" max="13325" width="16.7109375" style="1652" bestFit="1" customWidth="1"/>
    <col min="13326" max="13327" width="15.5703125" style="1652" bestFit="1" customWidth="1"/>
    <col min="13328" max="13328" width="16.42578125" style="1652" bestFit="1" customWidth="1"/>
    <col min="13329" max="13329" width="14.28515625" style="1652" customWidth="1"/>
    <col min="13330" max="13330" width="12.85546875" style="1652" bestFit="1" customWidth="1"/>
    <col min="13331" max="13331" width="11.28515625" style="1652" bestFit="1" customWidth="1"/>
    <col min="13332" max="13332" width="12.5703125" style="1652" bestFit="1" customWidth="1"/>
    <col min="13333" max="13333" width="14" style="1652" bestFit="1" customWidth="1"/>
    <col min="13334" max="13334" width="6" style="1652" bestFit="1" customWidth="1"/>
    <col min="13335" max="13335" width="15" style="1652" customWidth="1"/>
    <col min="13336" max="13336" width="14.85546875" style="1652" bestFit="1" customWidth="1"/>
    <col min="13337" max="13337" width="16.140625" style="1652" bestFit="1" customWidth="1"/>
    <col min="13338" max="13564" width="9.140625" style="1652"/>
    <col min="13565" max="13565" width="24" style="1652" bestFit="1" customWidth="1"/>
    <col min="13566" max="13566" width="45.7109375" style="1652" bestFit="1" customWidth="1"/>
    <col min="13567" max="13567" width="19.7109375" style="1652" bestFit="1" customWidth="1"/>
    <col min="13568" max="13568" width="11.42578125" style="1652" bestFit="1" customWidth="1"/>
    <col min="13569" max="13569" width="19.85546875" style="1652" bestFit="1" customWidth="1"/>
    <col min="13570" max="13570" width="13.42578125" style="1652" customWidth="1"/>
    <col min="13571" max="13571" width="15.28515625" style="1652" bestFit="1" customWidth="1"/>
    <col min="13572" max="13572" width="14.140625" style="1652" bestFit="1" customWidth="1"/>
    <col min="13573" max="13573" width="15.28515625" style="1652" customWidth="1"/>
    <col min="13574" max="13574" width="15.85546875" style="1652" customWidth="1"/>
    <col min="13575" max="13575" width="17" style="1652" bestFit="1" customWidth="1"/>
    <col min="13576" max="13576" width="12.7109375" style="1652" customWidth="1"/>
    <col min="13577" max="13577" width="13.7109375" style="1652" customWidth="1"/>
    <col min="13578" max="13578" width="13.85546875" style="1652" bestFit="1" customWidth="1"/>
    <col min="13579" max="13579" width="15.5703125" style="1652" bestFit="1" customWidth="1"/>
    <col min="13580" max="13580" width="16.140625" style="1652" customWidth="1"/>
    <col min="13581" max="13581" width="16.7109375" style="1652" bestFit="1" customWidth="1"/>
    <col min="13582" max="13583" width="15.5703125" style="1652" bestFit="1" customWidth="1"/>
    <col min="13584" max="13584" width="16.42578125" style="1652" bestFit="1" customWidth="1"/>
    <col min="13585" max="13585" width="14.28515625" style="1652" customWidth="1"/>
    <col min="13586" max="13586" width="12.85546875" style="1652" bestFit="1" customWidth="1"/>
    <col min="13587" max="13587" width="11.28515625" style="1652" bestFit="1" customWidth="1"/>
    <col min="13588" max="13588" width="12.5703125" style="1652" bestFit="1" customWidth="1"/>
    <col min="13589" max="13589" width="14" style="1652" bestFit="1" customWidth="1"/>
    <col min="13590" max="13590" width="6" style="1652" bestFit="1" customWidth="1"/>
    <col min="13591" max="13591" width="15" style="1652" customWidth="1"/>
    <col min="13592" max="13592" width="14.85546875" style="1652" bestFit="1" customWidth="1"/>
    <col min="13593" max="13593" width="16.140625" style="1652" bestFit="1" customWidth="1"/>
    <col min="13594" max="13820" width="9.140625" style="1652"/>
    <col min="13821" max="13821" width="24" style="1652" bestFit="1" customWidth="1"/>
    <col min="13822" max="13822" width="45.7109375" style="1652" bestFit="1" customWidth="1"/>
    <col min="13823" max="13823" width="19.7109375" style="1652" bestFit="1" customWidth="1"/>
    <col min="13824" max="13824" width="11.42578125" style="1652" bestFit="1" customWidth="1"/>
    <col min="13825" max="13825" width="19.85546875" style="1652" bestFit="1" customWidth="1"/>
    <col min="13826" max="13826" width="13.42578125" style="1652" customWidth="1"/>
    <col min="13827" max="13827" width="15.28515625" style="1652" bestFit="1" customWidth="1"/>
    <col min="13828" max="13828" width="14.140625" style="1652" bestFit="1" customWidth="1"/>
    <col min="13829" max="13829" width="15.28515625" style="1652" customWidth="1"/>
    <col min="13830" max="13830" width="15.85546875" style="1652" customWidth="1"/>
    <col min="13831" max="13831" width="17" style="1652" bestFit="1" customWidth="1"/>
    <col min="13832" max="13832" width="12.7109375" style="1652" customWidth="1"/>
    <col min="13833" max="13833" width="13.7109375" style="1652" customWidth="1"/>
    <col min="13834" max="13834" width="13.85546875" style="1652" bestFit="1" customWidth="1"/>
    <col min="13835" max="13835" width="15.5703125" style="1652" bestFit="1" customWidth="1"/>
    <col min="13836" max="13836" width="16.140625" style="1652" customWidth="1"/>
    <col min="13837" max="13837" width="16.7109375" style="1652" bestFit="1" customWidth="1"/>
    <col min="13838" max="13839" width="15.5703125" style="1652" bestFit="1" customWidth="1"/>
    <col min="13840" max="13840" width="16.42578125" style="1652" bestFit="1" customWidth="1"/>
    <col min="13841" max="13841" width="14.28515625" style="1652" customWidth="1"/>
    <col min="13842" max="13842" width="12.85546875" style="1652" bestFit="1" customWidth="1"/>
    <col min="13843" max="13843" width="11.28515625" style="1652" bestFit="1" customWidth="1"/>
    <col min="13844" max="13844" width="12.5703125" style="1652" bestFit="1" customWidth="1"/>
    <col min="13845" max="13845" width="14" style="1652" bestFit="1" customWidth="1"/>
    <col min="13846" max="13846" width="6" style="1652" bestFit="1" customWidth="1"/>
    <col min="13847" max="13847" width="15" style="1652" customWidth="1"/>
    <col min="13848" max="13848" width="14.85546875" style="1652" bestFit="1" customWidth="1"/>
    <col min="13849" max="13849" width="16.140625" style="1652" bestFit="1" customWidth="1"/>
    <col min="13850" max="14076" width="9.140625" style="1652"/>
    <col min="14077" max="14077" width="24" style="1652" bestFit="1" customWidth="1"/>
    <col min="14078" max="14078" width="45.7109375" style="1652" bestFit="1" customWidth="1"/>
    <col min="14079" max="14079" width="19.7109375" style="1652" bestFit="1" customWidth="1"/>
    <col min="14080" max="14080" width="11.42578125" style="1652" bestFit="1" customWidth="1"/>
    <col min="14081" max="14081" width="19.85546875" style="1652" bestFit="1" customWidth="1"/>
    <col min="14082" max="14082" width="13.42578125" style="1652" customWidth="1"/>
    <col min="14083" max="14083" width="15.28515625" style="1652" bestFit="1" customWidth="1"/>
    <col min="14084" max="14084" width="14.140625" style="1652" bestFit="1" customWidth="1"/>
    <col min="14085" max="14085" width="15.28515625" style="1652" customWidth="1"/>
    <col min="14086" max="14086" width="15.85546875" style="1652" customWidth="1"/>
    <col min="14087" max="14087" width="17" style="1652" bestFit="1" customWidth="1"/>
    <col min="14088" max="14088" width="12.7109375" style="1652" customWidth="1"/>
    <col min="14089" max="14089" width="13.7109375" style="1652" customWidth="1"/>
    <col min="14090" max="14090" width="13.85546875" style="1652" bestFit="1" customWidth="1"/>
    <col min="14091" max="14091" width="15.5703125" style="1652" bestFit="1" customWidth="1"/>
    <col min="14092" max="14092" width="16.140625" style="1652" customWidth="1"/>
    <col min="14093" max="14093" width="16.7109375" style="1652" bestFit="1" customWidth="1"/>
    <col min="14094" max="14095" width="15.5703125" style="1652" bestFit="1" customWidth="1"/>
    <col min="14096" max="14096" width="16.42578125" style="1652" bestFit="1" customWidth="1"/>
    <col min="14097" max="14097" width="14.28515625" style="1652" customWidth="1"/>
    <col min="14098" max="14098" width="12.85546875" style="1652" bestFit="1" customWidth="1"/>
    <col min="14099" max="14099" width="11.28515625" style="1652" bestFit="1" customWidth="1"/>
    <col min="14100" max="14100" width="12.5703125" style="1652" bestFit="1" customWidth="1"/>
    <col min="14101" max="14101" width="14" style="1652" bestFit="1" customWidth="1"/>
    <col min="14102" max="14102" width="6" style="1652" bestFit="1" customWidth="1"/>
    <col min="14103" max="14103" width="15" style="1652" customWidth="1"/>
    <col min="14104" max="14104" width="14.85546875" style="1652" bestFit="1" customWidth="1"/>
    <col min="14105" max="14105" width="16.140625" style="1652" bestFit="1" customWidth="1"/>
    <col min="14106" max="14332" width="9.140625" style="1652"/>
    <col min="14333" max="14333" width="24" style="1652" bestFit="1" customWidth="1"/>
    <col min="14334" max="14334" width="45.7109375" style="1652" bestFit="1" customWidth="1"/>
    <col min="14335" max="14335" width="19.7109375" style="1652" bestFit="1" customWidth="1"/>
    <col min="14336" max="14336" width="11.42578125" style="1652" bestFit="1" customWidth="1"/>
    <col min="14337" max="14337" width="19.85546875" style="1652" bestFit="1" customWidth="1"/>
    <col min="14338" max="14338" width="13.42578125" style="1652" customWidth="1"/>
    <col min="14339" max="14339" width="15.28515625" style="1652" bestFit="1" customWidth="1"/>
    <col min="14340" max="14340" width="14.140625" style="1652" bestFit="1" customWidth="1"/>
    <col min="14341" max="14341" width="15.28515625" style="1652" customWidth="1"/>
    <col min="14342" max="14342" width="15.85546875" style="1652" customWidth="1"/>
    <col min="14343" max="14343" width="17" style="1652" bestFit="1" customWidth="1"/>
    <col min="14344" max="14344" width="12.7109375" style="1652" customWidth="1"/>
    <col min="14345" max="14345" width="13.7109375" style="1652" customWidth="1"/>
    <col min="14346" max="14346" width="13.85546875" style="1652" bestFit="1" customWidth="1"/>
    <col min="14347" max="14347" width="15.5703125" style="1652" bestFit="1" customWidth="1"/>
    <col min="14348" max="14348" width="16.140625" style="1652" customWidth="1"/>
    <col min="14349" max="14349" width="16.7109375" style="1652" bestFit="1" customWidth="1"/>
    <col min="14350" max="14351" width="15.5703125" style="1652" bestFit="1" customWidth="1"/>
    <col min="14352" max="14352" width="16.42578125" style="1652" bestFit="1" customWidth="1"/>
    <col min="14353" max="14353" width="14.28515625" style="1652" customWidth="1"/>
    <col min="14354" max="14354" width="12.85546875" style="1652" bestFit="1" customWidth="1"/>
    <col min="14355" max="14355" width="11.28515625" style="1652" bestFit="1" customWidth="1"/>
    <col min="14356" max="14356" width="12.5703125" style="1652" bestFit="1" customWidth="1"/>
    <col min="14357" max="14357" width="14" style="1652" bestFit="1" customWidth="1"/>
    <col min="14358" max="14358" width="6" style="1652" bestFit="1" customWidth="1"/>
    <col min="14359" max="14359" width="15" style="1652" customWidth="1"/>
    <col min="14360" max="14360" width="14.85546875" style="1652" bestFit="1" customWidth="1"/>
    <col min="14361" max="14361" width="16.140625" style="1652" bestFit="1" customWidth="1"/>
    <col min="14362" max="14588" width="9.140625" style="1652"/>
    <col min="14589" max="14589" width="24" style="1652" bestFit="1" customWidth="1"/>
    <col min="14590" max="14590" width="45.7109375" style="1652" bestFit="1" customWidth="1"/>
    <col min="14591" max="14591" width="19.7109375" style="1652" bestFit="1" customWidth="1"/>
    <col min="14592" max="14592" width="11.42578125" style="1652" bestFit="1" customWidth="1"/>
    <col min="14593" max="14593" width="19.85546875" style="1652" bestFit="1" customWidth="1"/>
    <col min="14594" max="14594" width="13.42578125" style="1652" customWidth="1"/>
    <col min="14595" max="14595" width="15.28515625" style="1652" bestFit="1" customWidth="1"/>
    <col min="14596" max="14596" width="14.140625" style="1652" bestFit="1" customWidth="1"/>
    <col min="14597" max="14597" width="15.28515625" style="1652" customWidth="1"/>
    <col min="14598" max="14598" width="15.85546875" style="1652" customWidth="1"/>
    <col min="14599" max="14599" width="17" style="1652" bestFit="1" customWidth="1"/>
    <col min="14600" max="14600" width="12.7109375" style="1652" customWidth="1"/>
    <col min="14601" max="14601" width="13.7109375" style="1652" customWidth="1"/>
    <col min="14602" max="14602" width="13.85546875" style="1652" bestFit="1" customWidth="1"/>
    <col min="14603" max="14603" width="15.5703125" style="1652" bestFit="1" customWidth="1"/>
    <col min="14604" max="14604" width="16.140625" style="1652" customWidth="1"/>
    <col min="14605" max="14605" width="16.7109375" style="1652" bestFit="1" customWidth="1"/>
    <col min="14606" max="14607" width="15.5703125" style="1652" bestFit="1" customWidth="1"/>
    <col min="14608" max="14608" width="16.42578125" style="1652" bestFit="1" customWidth="1"/>
    <col min="14609" max="14609" width="14.28515625" style="1652" customWidth="1"/>
    <col min="14610" max="14610" width="12.85546875" style="1652" bestFit="1" customWidth="1"/>
    <col min="14611" max="14611" width="11.28515625" style="1652" bestFit="1" customWidth="1"/>
    <col min="14612" max="14612" width="12.5703125" style="1652" bestFit="1" customWidth="1"/>
    <col min="14613" max="14613" width="14" style="1652" bestFit="1" customWidth="1"/>
    <col min="14614" max="14614" width="6" style="1652" bestFit="1" customWidth="1"/>
    <col min="14615" max="14615" width="15" style="1652" customWidth="1"/>
    <col min="14616" max="14616" width="14.85546875" style="1652" bestFit="1" customWidth="1"/>
    <col min="14617" max="14617" width="16.140625" style="1652" bestFit="1" customWidth="1"/>
    <col min="14618" max="14844" width="9.140625" style="1652"/>
    <col min="14845" max="14845" width="24" style="1652" bestFit="1" customWidth="1"/>
    <col min="14846" max="14846" width="45.7109375" style="1652" bestFit="1" customWidth="1"/>
    <col min="14847" max="14847" width="19.7109375" style="1652" bestFit="1" customWidth="1"/>
    <col min="14848" max="14848" width="11.42578125" style="1652" bestFit="1" customWidth="1"/>
    <col min="14849" max="14849" width="19.85546875" style="1652" bestFit="1" customWidth="1"/>
    <col min="14850" max="14850" width="13.42578125" style="1652" customWidth="1"/>
    <col min="14851" max="14851" width="15.28515625" style="1652" bestFit="1" customWidth="1"/>
    <col min="14852" max="14852" width="14.140625" style="1652" bestFit="1" customWidth="1"/>
    <col min="14853" max="14853" width="15.28515625" style="1652" customWidth="1"/>
    <col min="14854" max="14854" width="15.85546875" style="1652" customWidth="1"/>
    <col min="14855" max="14855" width="17" style="1652" bestFit="1" customWidth="1"/>
    <col min="14856" max="14856" width="12.7109375" style="1652" customWidth="1"/>
    <col min="14857" max="14857" width="13.7109375" style="1652" customWidth="1"/>
    <col min="14858" max="14858" width="13.85546875" style="1652" bestFit="1" customWidth="1"/>
    <col min="14859" max="14859" width="15.5703125" style="1652" bestFit="1" customWidth="1"/>
    <col min="14860" max="14860" width="16.140625" style="1652" customWidth="1"/>
    <col min="14861" max="14861" width="16.7109375" style="1652" bestFit="1" customWidth="1"/>
    <col min="14862" max="14863" width="15.5703125" style="1652" bestFit="1" customWidth="1"/>
    <col min="14864" max="14864" width="16.42578125" style="1652" bestFit="1" customWidth="1"/>
    <col min="14865" max="14865" width="14.28515625" style="1652" customWidth="1"/>
    <col min="14866" max="14866" width="12.85546875" style="1652" bestFit="1" customWidth="1"/>
    <col min="14867" max="14867" width="11.28515625" style="1652" bestFit="1" customWidth="1"/>
    <col min="14868" max="14868" width="12.5703125" style="1652" bestFit="1" customWidth="1"/>
    <col min="14869" max="14869" width="14" style="1652" bestFit="1" customWidth="1"/>
    <col min="14870" max="14870" width="6" style="1652" bestFit="1" customWidth="1"/>
    <col min="14871" max="14871" width="15" style="1652" customWidth="1"/>
    <col min="14872" max="14872" width="14.85546875" style="1652" bestFit="1" customWidth="1"/>
    <col min="14873" max="14873" width="16.140625" style="1652" bestFit="1" customWidth="1"/>
    <col min="14874" max="15100" width="9.140625" style="1652"/>
    <col min="15101" max="15101" width="24" style="1652" bestFit="1" customWidth="1"/>
    <col min="15102" max="15102" width="45.7109375" style="1652" bestFit="1" customWidth="1"/>
    <col min="15103" max="15103" width="19.7109375" style="1652" bestFit="1" customWidth="1"/>
    <col min="15104" max="15104" width="11.42578125" style="1652" bestFit="1" customWidth="1"/>
    <col min="15105" max="15105" width="19.85546875" style="1652" bestFit="1" customWidth="1"/>
    <col min="15106" max="15106" width="13.42578125" style="1652" customWidth="1"/>
    <col min="15107" max="15107" width="15.28515625" style="1652" bestFit="1" customWidth="1"/>
    <col min="15108" max="15108" width="14.140625" style="1652" bestFit="1" customWidth="1"/>
    <col min="15109" max="15109" width="15.28515625" style="1652" customWidth="1"/>
    <col min="15110" max="15110" width="15.85546875" style="1652" customWidth="1"/>
    <col min="15111" max="15111" width="17" style="1652" bestFit="1" customWidth="1"/>
    <col min="15112" max="15112" width="12.7109375" style="1652" customWidth="1"/>
    <col min="15113" max="15113" width="13.7109375" style="1652" customWidth="1"/>
    <col min="15114" max="15114" width="13.85546875" style="1652" bestFit="1" customWidth="1"/>
    <col min="15115" max="15115" width="15.5703125" style="1652" bestFit="1" customWidth="1"/>
    <col min="15116" max="15116" width="16.140625" style="1652" customWidth="1"/>
    <col min="15117" max="15117" width="16.7109375" style="1652" bestFit="1" customWidth="1"/>
    <col min="15118" max="15119" width="15.5703125" style="1652" bestFit="1" customWidth="1"/>
    <col min="15120" max="15120" width="16.42578125" style="1652" bestFit="1" customWidth="1"/>
    <col min="15121" max="15121" width="14.28515625" style="1652" customWidth="1"/>
    <col min="15122" max="15122" width="12.85546875" style="1652" bestFit="1" customWidth="1"/>
    <col min="15123" max="15123" width="11.28515625" style="1652" bestFit="1" customWidth="1"/>
    <col min="15124" max="15124" width="12.5703125" style="1652" bestFit="1" customWidth="1"/>
    <col min="15125" max="15125" width="14" style="1652" bestFit="1" customWidth="1"/>
    <col min="15126" max="15126" width="6" style="1652" bestFit="1" customWidth="1"/>
    <col min="15127" max="15127" width="15" style="1652" customWidth="1"/>
    <col min="15128" max="15128" width="14.85546875" style="1652" bestFit="1" customWidth="1"/>
    <col min="15129" max="15129" width="16.140625" style="1652" bestFit="1" customWidth="1"/>
    <col min="15130" max="15356" width="9.140625" style="1652"/>
    <col min="15357" max="15357" width="24" style="1652" bestFit="1" customWidth="1"/>
    <col min="15358" max="15358" width="45.7109375" style="1652" bestFit="1" customWidth="1"/>
    <col min="15359" max="15359" width="19.7109375" style="1652" bestFit="1" customWidth="1"/>
    <col min="15360" max="15360" width="11.42578125" style="1652" bestFit="1" customWidth="1"/>
    <col min="15361" max="15361" width="19.85546875" style="1652" bestFit="1" customWidth="1"/>
    <col min="15362" max="15362" width="13.42578125" style="1652" customWidth="1"/>
    <col min="15363" max="15363" width="15.28515625" style="1652" bestFit="1" customWidth="1"/>
    <col min="15364" max="15364" width="14.140625" style="1652" bestFit="1" customWidth="1"/>
    <col min="15365" max="15365" width="15.28515625" style="1652" customWidth="1"/>
    <col min="15366" max="15366" width="15.85546875" style="1652" customWidth="1"/>
    <col min="15367" max="15367" width="17" style="1652" bestFit="1" customWidth="1"/>
    <col min="15368" max="15368" width="12.7109375" style="1652" customWidth="1"/>
    <col min="15369" max="15369" width="13.7109375" style="1652" customWidth="1"/>
    <col min="15370" max="15370" width="13.85546875" style="1652" bestFit="1" customWidth="1"/>
    <col min="15371" max="15371" width="15.5703125" style="1652" bestFit="1" customWidth="1"/>
    <col min="15372" max="15372" width="16.140625" style="1652" customWidth="1"/>
    <col min="15373" max="15373" width="16.7109375" style="1652" bestFit="1" customWidth="1"/>
    <col min="15374" max="15375" width="15.5703125" style="1652" bestFit="1" customWidth="1"/>
    <col min="15376" max="15376" width="16.42578125" style="1652" bestFit="1" customWidth="1"/>
    <col min="15377" max="15377" width="14.28515625" style="1652" customWidth="1"/>
    <col min="15378" max="15378" width="12.85546875" style="1652" bestFit="1" customWidth="1"/>
    <col min="15379" max="15379" width="11.28515625" style="1652" bestFit="1" customWidth="1"/>
    <col min="15380" max="15380" width="12.5703125" style="1652" bestFit="1" customWidth="1"/>
    <col min="15381" max="15381" width="14" style="1652" bestFit="1" customWidth="1"/>
    <col min="15382" max="15382" width="6" style="1652" bestFit="1" customWidth="1"/>
    <col min="15383" max="15383" width="15" style="1652" customWidth="1"/>
    <col min="15384" max="15384" width="14.85546875" style="1652" bestFit="1" customWidth="1"/>
    <col min="15385" max="15385" width="16.140625" style="1652" bestFit="1" customWidth="1"/>
    <col min="15386" max="15612" width="9.140625" style="1652"/>
    <col min="15613" max="15613" width="24" style="1652" bestFit="1" customWidth="1"/>
    <col min="15614" max="15614" width="45.7109375" style="1652" bestFit="1" customWidth="1"/>
    <col min="15615" max="15615" width="19.7109375" style="1652" bestFit="1" customWidth="1"/>
    <col min="15616" max="15616" width="11.42578125" style="1652" bestFit="1" customWidth="1"/>
    <col min="15617" max="15617" width="19.85546875" style="1652" bestFit="1" customWidth="1"/>
    <col min="15618" max="15618" width="13.42578125" style="1652" customWidth="1"/>
    <col min="15619" max="15619" width="15.28515625" style="1652" bestFit="1" customWidth="1"/>
    <col min="15620" max="15620" width="14.140625" style="1652" bestFit="1" customWidth="1"/>
    <col min="15621" max="15621" width="15.28515625" style="1652" customWidth="1"/>
    <col min="15622" max="15622" width="15.85546875" style="1652" customWidth="1"/>
    <col min="15623" max="15623" width="17" style="1652" bestFit="1" customWidth="1"/>
    <col min="15624" max="15624" width="12.7109375" style="1652" customWidth="1"/>
    <col min="15625" max="15625" width="13.7109375" style="1652" customWidth="1"/>
    <col min="15626" max="15626" width="13.85546875" style="1652" bestFit="1" customWidth="1"/>
    <col min="15627" max="15627" width="15.5703125" style="1652" bestFit="1" customWidth="1"/>
    <col min="15628" max="15628" width="16.140625" style="1652" customWidth="1"/>
    <col min="15629" max="15629" width="16.7109375" style="1652" bestFit="1" customWidth="1"/>
    <col min="15630" max="15631" width="15.5703125" style="1652" bestFit="1" customWidth="1"/>
    <col min="15632" max="15632" width="16.42578125" style="1652" bestFit="1" customWidth="1"/>
    <col min="15633" max="15633" width="14.28515625" style="1652" customWidth="1"/>
    <col min="15634" max="15634" width="12.85546875" style="1652" bestFit="1" customWidth="1"/>
    <col min="15635" max="15635" width="11.28515625" style="1652" bestFit="1" customWidth="1"/>
    <col min="15636" max="15636" width="12.5703125" style="1652" bestFit="1" customWidth="1"/>
    <col min="15637" max="15637" width="14" style="1652" bestFit="1" customWidth="1"/>
    <col min="15638" max="15638" width="6" style="1652" bestFit="1" customWidth="1"/>
    <col min="15639" max="15639" width="15" style="1652" customWidth="1"/>
    <col min="15640" max="15640" width="14.85546875" style="1652" bestFit="1" customWidth="1"/>
    <col min="15641" max="15641" width="16.140625" style="1652" bestFit="1" customWidth="1"/>
    <col min="15642" max="15868" width="9.140625" style="1652"/>
    <col min="15869" max="15869" width="24" style="1652" bestFit="1" customWidth="1"/>
    <col min="15870" max="15870" width="45.7109375" style="1652" bestFit="1" customWidth="1"/>
    <col min="15871" max="15871" width="19.7109375" style="1652" bestFit="1" customWidth="1"/>
    <col min="15872" max="15872" width="11.42578125" style="1652" bestFit="1" customWidth="1"/>
    <col min="15873" max="15873" width="19.85546875" style="1652" bestFit="1" customWidth="1"/>
    <col min="15874" max="15874" width="13.42578125" style="1652" customWidth="1"/>
    <col min="15875" max="15875" width="15.28515625" style="1652" bestFit="1" customWidth="1"/>
    <col min="15876" max="15876" width="14.140625" style="1652" bestFit="1" customWidth="1"/>
    <col min="15877" max="15877" width="15.28515625" style="1652" customWidth="1"/>
    <col min="15878" max="15878" width="15.85546875" style="1652" customWidth="1"/>
    <col min="15879" max="15879" width="17" style="1652" bestFit="1" customWidth="1"/>
    <col min="15880" max="15880" width="12.7109375" style="1652" customWidth="1"/>
    <col min="15881" max="15881" width="13.7109375" style="1652" customWidth="1"/>
    <col min="15882" max="15882" width="13.85546875" style="1652" bestFit="1" customWidth="1"/>
    <col min="15883" max="15883" width="15.5703125" style="1652" bestFit="1" customWidth="1"/>
    <col min="15884" max="15884" width="16.140625" style="1652" customWidth="1"/>
    <col min="15885" max="15885" width="16.7109375" style="1652" bestFit="1" customWidth="1"/>
    <col min="15886" max="15887" width="15.5703125" style="1652" bestFit="1" customWidth="1"/>
    <col min="15888" max="15888" width="16.42578125" style="1652" bestFit="1" customWidth="1"/>
    <col min="15889" max="15889" width="14.28515625" style="1652" customWidth="1"/>
    <col min="15890" max="15890" width="12.85546875" style="1652" bestFit="1" customWidth="1"/>
    <col min="15891" max="15891" width="11.28515625" style="1652" bestFit="1" customWidth="1"/>
    <col min="15892" max="15892" width="12.5703125" style="1652" bestFit="1" customWidth="1"/>
    <col min="15893" max="15893" width="14" style="1652" bestFit="1" customWidth="1"/>
    <col min="15894" max="15894" width="6" style="1652" bestFit="1" customWidth="1"/>
    <col min="15895" max="15895" width="15" style="1652" customWidth="1"/>
    <col min="15896" max="15896" width="14.85546875" style="1652" bestFit="1" customWidth="1"/>
    <col min="15897" max="15897" width="16.140625" style="1652" bestFit="1" customWidth="1"/>
    <col min="15898" max="16124" width="9.140625" style="1652"/>
    <col min="16125" max="16125" width="24" style="1652" bestFit="1" customWidth="1"/>
    <col min="16126" max="16126" width="45.7109375" style="1652" bestFit="1" customWidth="1"/>
    <col min="16127" max="16127" width="19.7109375" style="1652" bestFit="1" customWidth="1"/>
    <col min="16128" max="16128" width="11.42578125" style="1652" bestFit="1" customWidth="1"/>
    <col min="16129" max="16129" width="19.85546875" style="1652" bestFit="1" customWidth="1"/>
    <col min="16130" max="16130" width="13.42578125" style="1652" customWidth="1"/>
    <col min="16131" max="16131" width="15.28515625" style="1652" bestFit="1" customWidth="1"/>
    <col min="16132" max="16132" width="14.140625" style="1652" bestFit="1" customWidth="1"/>
    <col min="16133" max="16133" width="15.28515625" style="1652" customWidth="1"/>
    <col min="16134" max="16134" width="15.85546875" style="1652" customWidth="1"/>
    <col min="16135" max="16135" width="17" style="1652" bestFit="1" customWidth="1"/>
    <col min="16136" max="16136" width="12.7109375" style="1652" customWidth="1"/>
    <col min="16137" max="16137" width="13.7109375" style="1652" customWidth="1"/>
    <col min="16138" max="16138" width="13.85546875" style="1652" bestFit="1" customWidth="1"/>
    <col min="16139" max="16139" width="15.5703125" style="1652" bestFit="1" customWidth="1"/>
    <col min="16140" max="16140" width="16.140625" style="1652" customWidth="1"/>
    <col min="16141" max="16141" width="16.7109375" style="1652" bestFit="1" customWidth="1"/>
    <col min="16142" max="16143" width="15.5703125" style="1652" bestFit="1" customWidth="1"/>
    <col min="16144" max="16144" width="16.42578125" style="1652" bestFit="1" customWidth="1"/>
    <col min="16145" max="16145" width="14.28515625" style="1652" customWidth="1"/>
    <col min="16146" max="16146" width="12.85546875" style="1652" bestFit="1" customWidth="1"/>
    <col min="16147" max="16147" width="11.28515625" style="1652" bestFit="1" customWidth="1"/>
    <col min="16148" max="16148" width="12.5703125" style="1652" bestFit="1" customWidth="1"/>
    <col min="16149" max="16149" width="14" style="1652" bestFit="1" customWidth="1"/>
    <col min="16150" max="16150" width="6" style="1652" bestFit="1" customWidth="1"/>
    <col min="16151" max="16151" width="15" style="1652" customWidth="1"/>
    <col min="16152" max="16152" width="14.85546875" style="1652" bestFit="1" customWidth="1"/>
    <col min="16153" max="16153" width="16.140625" style="1652" bestFit="1" customWidth="1"/>
    <col min="16154" max="16384" width="9.140625" style="1652"/>
  </cols>
  <sheetData>
    <row r="1" spans="1:30" ht="54" customHeight="1" thickBot="1">
      <c r="C1" s="1401" t="s">
        <v>582</v>
      </c>
      <c r="D1" s="1361" t="s">
        <v>267</v>
      </c>
      <c r="E1" s="1401" t="s">
        <v>5</v>
      </c>
      <c r="F1" s="1401">
        <v>18230522</v>
      </c>
      <c r="G1" s="1401" t="s">
        <v>4</v>
      </c>
      <c r="J1" s="1361"/>
      <c r="K1" s="1361"/>
      <c r="L1" s="1361"/>
      <c r="M1" s="1401" t="s">
        <v>582</v>
      </c>
      <c r="N1" s="1361" t="s">
        <v>267</v>
      </c>
      <c r="O1" s="1401" t="s">
        <v>5</v>
      </c>
      <c r="P1" s="1401">
        <v>18230629</v>
      </c>
      <c r="Q1" s="1401" t="s">
        <v>4</v>
      </c>
      <c r="V1" s="1401" t="s">
        <v>67</v>
      </c>
      <c r="W1" s="1361" t="s">
        <v>267</v>
      </c>
      <c r="X1" s="1401" t="s">
        <v>5</v>
      </c>
      <c r="Y1" s="1401">
        <v>18230629</v>
      </c>
      <c r="Z1" s="1401" t="s">
        <v>4</v>
      </c>
    </row>
    <row r="2" spans="1:30" ht="16.5" thickBot="1">
      <c r="C2" s="1190"/>
      <c r="D2" s="1177"/>
      <c r="I2" s="1178" t="s">
        <v>627</v>
      </c>
      <c r="S2" s="3575"/>
      <c r="T2" s="3575"/>
      <c r="U2" s="3576" t="s">
        <v>33</v>
      </c>
      <c r="V2" s="3577"/>
      <c r="W2" s="3578"/>
      <c r="X2" s="3579" t="s">
        <v>34</v>
      </c>
      <c r="Z2" s="1652"/>
    </row>
    <row r="3" spans="1:30" ht="27.75" thickBot="1">
      <c r="A3" s="1400" t="s">
        <v>582</v>
      </c>
      <c r="B3" s="1400"/>
      <c r="C3" s="2080" t="s">
        <v>591</v>
      </c>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c r="Z3" s="1652"/>
    </row>
    <row r="4" spans="1:30" ht="16.5" thickBot="1">
      <c r="A4" s="2071" t="s">
        <v>267</v>
      </c>
      <c r="B4" s="1400"/>
      <c r="C4" s="1190"/>
      <c r="H4" s="2946" t="s">
        <v>1726</v>
      </c>
      <c r="I4" s="2959">
        <f>D15</f>
        <v>55594.8</v>
      </c>
      <c r="J4" s="2960">
        <f>D21</f>
        <v>8000.04</v>
      </c>
      <c r="K4" s="2960">
        <f>D27</f>
        <v>42417.758280000009</v>
      </c>
      <c r="L4" s="2960">
        <f>D37</f>
        <v>18827.400000000001</v>
      </c>
      <c r="M4" s="2960">
        <f>D43</f>
        <v>4000</v>
      </c>
      <c r="N4" s="2960">
        <f>D49</f>
        <v>422538</v>
      </c>
      <c r="O4" s="2960">
        <f>D55</f>
        <v>1000</v>
      </c>
      <c r="P4" s="2960">
        <f>D61</f>
        <v>2000</v>
      </c>
      <c r="Q4" s="2960">
        <f>D67</f>
        <v>422521</v>
      </c>
      <c r="R4" s="2960">
        <f>D68</f>
        <v>0</v>
      </c>
      <c r="S4" s="2961">
        <f>SUM(I4:R4)</f>
        <v>976898.99827999994</v>
      </c>
      <c r="T4" s="2962">
        <f>T15</f>
        <v>17346930</v>
      </c>
      <c r="U4" s="2954">
        <f>Q4/S4</f>
        <v>0.43251247134444959</v>
      </c>
      <c r="V4" s="2954">
        <f>(L4+(J4*1.63))/S4</f>
        <v>3.2621043993399726E-2</v>
      </c>
      <c r="W4" s="2954">
        <f>N4/S4</f>
        <v>0.43252987334816745</v>
      </c>
      <c r="X4" s="2953">
        <f>S4/T4</f>
        <v>5.6315382507452327E-2</v>
      </c>
      <c r="Z4" s="1652"/>
    </row>
    <row r="5" spans="1:30" ht="16.5" thickBot="1">
      <c r="A5" s="1400" t="s">
        <v>5</v>
      </c>
      <c r="C5" s="1177"/>
      <c r="H5" s="3205" t="s">
        <v>1753</v>
      </c>
      <c r="I5" s="2617">
        <v>0</v>
      </c>
      <c r="J5" s="2618">
        <v>0</v>
      </c>
      <c r="K5" s="2618">
        <v>0</v>
      </c>
      <c r="L5" s="2618">
        <v>0</v>
      </c>
      <c r="M5" s="2618">
        <v>0</v>
      </c>
      <c r="N5" s="2618">
        <v>0</v>
      </c>
      <c r="O5" s="2618">
        <v>0</v>
      </c>
      <c r="P5" s="2618">
        <v>0</v>
      </c>
      <c r="Q5" s="2618">
        <v>0</v>
      </c>
      <c r="R5" s="2618">
        <v>0</v>
      </c>
      <c r="S5" s="2619">
        <v>0</v>
      </c>
      <c r="T5" s="2620">
        <v>0</v>
      </c>
      <c r="U5" s="1187" t="e">
        <f>Q5/S5</f>
        <v>#DIV/0!</v>
      </c>
      <c r="V5" s="1187" t="e">
        <f>(L5+(J5*1.63))/S5</f>
        <v>#DIV/0!</v>
      </c>
      <c r="W5" s="1187" t="e">
        <f>N5/S5</f>
        <v>#DIV/0!</v>
      </c>
      <c r="X5" s="1155" t="e">
        <f>S5/T5</f>
        <v>#DIV/0!</v>
      </c>
      <c r="Z5" s="1652"/>
    </row>
    <row r="6" spans="1:30" ht="16.5" thickBot="1">
      <c r="A6" s="1400">
        <v>18230522</v>
      </c>
      <c r="B6" s="1400"/>
      <c r="C6" s="1190"/>
      <c r="H6" s="3206" t="s">
        <v>1754</v>
      </c>
      <c r="I6" s="2621">
        <f>E15</f>
        <v>46650</v>
      </c>
      <c r="J6" s="2622">
        <f>E21</f>
        <v>7775</v>
      </c>
      <c r="K6" s="2623">
        <f>E27</f>
        <v>48873.649999999994</v>
      </c>
      <c r="L6" s="2622">
        <f>E37</f>
        <v>22950</v>
      </c>
      <c r="M6" s="2622">
        <f>E43</f>
        <v>4000</v>
      </c>
      <c r="N6" s="2622">
        <f>E49</f>
        <v>422521</v>
      </c>
      <c r="O6" s="2622">
        <f>E55</f>
        <v>2000</v>
      </c>
      <c r="P6" s="2622">
        <f>E61</f>
        <v>1000</v>
      </c>
      <c r="Q6" s="2622">
        <f>E67</f>
        <v>422521</v>
      </c>
      <c r="R6" s="2622">
        <f>E68</f>
        <v>0</v>
      </c>
      <c r="S6" s="2624">
        <f>SUM(I6:R6)</f>
        <v>978290.65</v>
      </c>
      <c r="T6" s="2625">
        <f>U15</f>
        <v>5322641</v>
      </c>
      <c r="U6" s="2631">
        <f>Q6/S6</f>
        <v>0.43189720764478329</v>
      </c>
      <c r="V6" s="2631">
        <f>(L6+(J6*1.63))/S6</f>
        <v>3.6413769261721962E-2</v>
      </c>
      <c r="W6" s="2631">
        <f>N6/S6</f>
        <v>0.43189720764478329</v>
      </c>
      <c r="X6" s="2626">
        <f>S6/T6</f>
        <v>0.18379797735748099</v>
      </c>
      <c r="Z6" s="1652"/>
    </row>
    <row r="7" spans="1:30" ht="15.75">
      <c r="A7" s="1400" t="s">
        <v>4</v>
      </c>
      <c r="B7" s="2071"/>
      <c r="C7" s="1190"/>
      <c r="G7" s="2606"/>
      <c r="H7" s="2607"/>
      <c r="I7" s="2607"/>
      <c r="J7" s="2607"/>
      <c r="K7" s="2607"/>
      <c r="L7" s="2607"/>
      <c r="M7" s="2607"/>
      <c r="N7" s="2607"/>
      <c r="O7" s="2607"/>
      <c r="P7" s="2607"/>
      <c r="Q7" s="2607"/>
      <c r="R7" s="2607"/>
      <c r="S7" s="2608"/>
      <c r="T7" s="2630"/>
      <c r="U7" s="2630"/>
      <c r="V7" s="2630"/>
      <c r="W7" s="2610"/>
      <c r="Z7" s="1652"/>
    </row>
    <row r="8" spans="1:30" ht="15.75">
      <c r="B8" s="1400"/>
      <c r="C8" s="1190"/>
      <c r="Z8" s="1652"/>
    </row>
    <row r="9" spans="1:30" ht="20.25" customHeight="1">
      <c r="A9" s="2071"/>
      <c r="B9" s="2071"/>
      <c r="C9" s="1190"/>
      <c r="I9" s="3003" t="s">
        <v>1730</v>
      </c>
      <c r="Q9" s="3003" t="s">
        <v>1729</v>
      </c>
      <c r="T9" s="3003" t="s">
        <v>1729</v>
      </c>
      <c r="W9" s="3003" t="s">
        <v>1729</v>
      </c>
      <c r="Z9" s="1652"/>
    </row>
    <row r="10" spans="1:30">
      <c r="A10" s="2071"/>
      <c r="B10" s="2071"/>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c r="Z10" s="2208"/>
      <c r="AA10" s="1775"/>
      <c r="AB10" s="1775"/>
      <c r="AC10" s="1775"/>
      <c r="AD10" s="1775"/>
    </row>
    <row r="11" spans="1:30">
      <c r="H11" s="1456"/>
      <c r="I11" s="1457"/>
      <c r="J11" s="1457"/>
      <c r="K11" s="1456"/>
      <c r="L11" s="1456"/>
      <c r="M11" s="1456"/>
      <c r="N11" s="1456"/>
      <c r="O11" s="1456"/>
      <c r="P11" s="1456"/>
      <c r="Q11" s="1456"/>
      <c r="R11" s="1456"/>
      <c r="S11" s="1456"/>
      <c r="T11" s="1456"/>
      <c r="U11" s="1456"/>
      <c r="V11" s="1456"/>
      <c r="W11" s="1456"/>
      <c r="X11" s="1456"/>
      <c r="Y11" s="1456"/>
      <c r="Z11" s="1776"/>
      <c r="AA11" s="1776"/>
      <c r="AB11" s="1776"/>
      <c r="AC11" s="1776"/>
      <c r="AD11" s="1776"/>
    </row>
    <row r="12" spans="1:30">
      <c r="C12" s="1434" t="s">
        <v>298</v>
      </c>
      <c r="D12" s="2766">
        <f>D15+D21+D27+D37+D43+D49+D55+D61+D67</f>
        <v>976898.99827999994</v>
      </c>
      <c r="E12" s="1484">
        <f>E15+E21+E27+E37+E43+E49+E55+E61+E67</f>
        <v>978290.65</v>
      </c>
      <c r="F12" s="1638">
        <f>D12+E12</f>
        <v>1955189.6482799998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2257" t="s">
        <v>1033</v>
      </c>
      <c r="AA12" s="1776"/>
      <c r="AB12" s="1776"/>
      <c r="AC12" s="3603"/>
      <c r="AD12" s="3603"/>
    </row>
    <row r="13" spans="1:30">
      <c r="C13" s="1483"/>
      <c r="D13" s="2767"/>
      <c r="E13" s="1336"/>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2257" t="s">
        <v>1045</v>
      </c>
      <c r="AA13" s="1776"/>
      <c r="AB13" s="1776"/>
      <c r="AC13" s="3604"/>
      <c r="AD13" s="3604"/>
    </row>
    <row r="14" spans="1:30"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2258" t="s">
        <v>307</v>
      </c>
      <c r="AA14" s="1776"/>
      <c r="AB14" s="1776"/>
      <c r="AC14" s="1777"/>
      <c r="AD14" s="1777"/>
    </row>
    <row r="15" spans="1:30">
      <c r="B15" s="1433" t="s">
        <v>296</v>
      </c>
      <c r="C15" s="1597" t="s">
        <v>43</v>
      </c>
      <c r="D15" s="2771">
        <f>SUM(D16:D19)</f>
        <v>55594.8</v>
      </c>
      <c r="E15" s="1464">
        <f>SUM(E16:E19)</f>
        <v>46650</v>
      </c>
      <c r="F15" s="1638">
        <f>D15+E15</f>
        <v>102244.8</v>
      </c>
      <c r="H15" s="1475" t="s">
        <v>308</v>
      </c>
      <c r="I15" s="1476"/>
      <c r="J15" s="1476"/>
      <c r="K15" s="1477"/>
      <c r="L15" s="1478">
        <f>SUMPRODUCT(L16:L19,S16:S19)</f>
        <v>422521</v>
      </c>
      <c r="M15" s="1478">
        <f>SUM(M16:M19)</f>
        <v>17</v>
      </c>
      <c r="N15" s="1479" t="s">
        <v>229</v>
      </c>
      <c r="O15" s="1477">
        <v>2</v>
      </c>
      <c r="P15" s="1477"/>
      <c r="Q15" s="1477"/>
      <c r="R15" s="1477"/>
      <c r="S15" s="1477"/>
      <c r="T15" s="1480">
        <f t="shared" ref="T15:Y15" si="0">SUM(T16:T65)</f>
        <v>17346930</v>
      </c>
      <c r="U15" s="1480">
        <f t="shared" si="0"/>
        <v>5322641</v>
      </c>
      <c r="V15" s="1480">
        <f t="shared" si="0"/>
        <v>22669571</v>
      </c>
      <c r="W15" s="1478">
        <f t="shared" si="0"/>
        <v>422521</v>
      </c>
      <c r="X15" s="1478">
        <f t="shared" si="0"/>
        <v>422521</v>
      </c>
      <c r="Y15" s="1478">
        <f t="shared" si="0"/>
        <v>845042</v>
      </c>
      <c r="Z15" s="2259"/>
      <c r="AA15" s="1776"/>
      <c r="AB15" s="1776"/>
      <c r="AC15" s="1782"/>
      <c r="AD15" s="1782"/>
    </row>
    <row r="16" spans="1:30">
      <c r="B16" s="1982">
        <v>0.6</v>
      </c>
      <c r="C16" s="1667" t="s">
        <v>735</v>
      </c>
      <c r="D16" s="2772">
        <v>55594.8</v>
      </c>
      <c r="E16" s="1669">
        <v>46650</v>
      </c>
      <c r="F16" s="1426">
        <f>SUM(D16:E16)</f>
        <v>102244.8</v>
      </c>
      <c r="H16" s="1460" t="s">
        <v>1819</v>
      </c>
      <c r="I16" s="1466">
        <v>248</v>
      </c>
      <c r="J16" s="1470" t="s">
        <v>110</v>
      </c>
      <c r="K16" s="1460" t="s">
        <v>893</v>
      </c>
      <c r="L16" s="1467">
        <v>5</v>
      </c>
      <c r="M16" s="1467">
        <v>5</v>
      </c>
      <c r="N16" s="1461">
        <v>0.24637466672836464</v>
      </c>
      <c r="O16" s="1460">
        <v>2</v>
      </c>
      <c r="P16" s="1463" t="s">
        <v>880</v>
      </c>
      <c r="Q16" s="1466">
        <v>22521</v>
      </c>
      <c r="R16" s="1466">
        <v>0</v>
      </c>
      <c r="S16" s="1469">
        <f t="shared" ref="S16:S23" si="1">SUM(Q16:R16)</f>
        <v>22521</v>
      </c>
      <c r="T16" s="1469">
        <f t="shared" ref="T16:T19" si="2">Q16*I16</f>
        <v>5585208</v>
      </c>
      <c r="U16" s="1469">
        <f t="shared" ref="U16:U19" si="3">R16*I16</f>
        <v>0</v>
      </c>
      <c r="V16" s="1469">
        <f t="shared" ref="V16:V19" si="4">SUM(T16:U16)</f>
        <v>5585208</v>
      </c>
      <c r="W16" s="1459">
        <f t="shared" ref="W16:W19" si="5">Q16*M16</f>
        <v>112605</v>
      </c>
      <c r="X16" s="1459">
        <f t="shared" ref="X16:X19" si="6">R16*M16</f>
        <v>0</v>
      </c>
      <c r="Y16" s="1459">
        <f t="shared" ref="Y16:Y19" si="7">SUM(W16:X16)</f>
        <v>112605</v>
      </c>
      <c r="Z16" s="2260">
        <v>0</v>
      </c>
      <c r="AA16" s="1776"/>
      <c r="AB16" s="1776"/>
      <c r="AC16" s="1783"/>
      <c r="AD16" s="1783"/>
    </row>
    <row r="17" spans="2:30">
      <c r="B17" s="1982"/>
      <c r="C17" s="1667"/>
      <c r="D17" s="2784"/>
      <c r="E17" s="1668"/>
      <c r="F17" s="1661">
        <f t="shared" ref="F17:F30" si="8">SUM(D17:E17)</f>
        <v>0</v>
      </c>
      <c r="H17" s="1460" t="s">
        <v>1820</v>
      </c>
      <c r="I17" s="1466">
        <v>172</v>
      </c>
      <c r="J17" s="1470" t="s">
        <v>110</v>
      </c>
      <c r="K17" s="1460" t="s">
        <v>893</v>
      </c>
      <c r="L17" s="1467">
        <v>4</v>
      </c>
      <c r="M17" s="1467">
        <v>4</v>
      </c>
      <c r="N17" s="1461">
        <v>0.16143419740938195</v>
      </c>
      <c r="O17" s="1460">
        <v>2</v>
      </c>
      <c r="P17" s="1463" t="s">
        <v>880</v>
      </c>
      <c r="Q17" s="1466">
        <v>21277</v>
      </c>
      <c r="R17" s="1466">
        <v>0</v>
      </c>
      <c r="S17" s="1469">
        <f t="shared" si="1"/>
        <v>21277</v>
      </c>
      <c r="T17" s="1469">
        <f t="shared" si="2"/>
        <v>3659644</v>
      </c>
      <c r="U17" s="1469">
        <f t="shared" si="3"/>
        <v>0</v>
      </c>
      <c r="V17" s="1469">
        <f t="shared" si="4"/>
        <v>3659644</v>
      </c>
      <c r="W17" s="1459">
        <f t="shared" si="5"/>
        <v>85108</v>
      </c>
      <c r="X17" s="1459">
        <f t="shared" si="6"/>
        <v>0</v>
      </c>
      <c r="Y17" s="1459">
        <f t="shared" si="7"/>
        <v>85108</v>
      </c>
      <c r="Z17" s="2260">
        <v>0</v>
      </c>
      <c r="AA17" s="1776"/>
      <c r="AB17" s="1776"/>
      <c r="AC17" s="1783"/>
      <c r="AD17" s="1783"/>
    </row>
    <row r="18" spans="2:30">
      <c r="B18" s="1982"/>
      <c r="C18" s="1667"/>
      <c r="D18" s="2784"/>
      <c r="E18" s="1668"/>
      <c r="F18" s="1661">
        <f t="shared" si="8"/>
        <v>0</v>
      </c>
      <c r="H18" s="1460" t="s">
        <v>1349</v>
      </c>
      <c r="I18" s="1466">
        <v>113</v>
      </c>
      <c r="J18" s="1470" t="s">
        <v>110</v>
      </c>
      <c r="K18" s="1460" t="s">
        <v>893</v>
      </c>
      <c r="L18" s="1467">
        <v>4</v>
      </c>
      <c r="M18" s="1467">
        <v>4</v>
      </c>
      <c r="N18" s="1461">
        <v>0.13935102697796972</v>
      </c>
      <c r="O18" s="1460">
        <v>2</v>
      </c>
      <c r="P18" s="1463" t="s">
        <v>880</v>
      </c>
      <c r="Q18" s="1466">
        <v>27956</v>
      </c>
      <c r="R18" s="1466">
        <v>0</v>
      </c>
      <c r="S18" s="1469">
        <f t="shared" si="1"/>
        <v>27956</v>
      </c>
      <c r="T18" s="1469">
        <f t="shared" si="2"/>
        <v>3159028</v>
      </c>
      <c r="U18" s="1469">
        <f t="shared" si="3"/>
        <v>0</v>
      </c>
      <c r="V18" s="1469">
        <f t="shared" si="4"/>
        <v>3159028</v>
      </c>
      <c r="W18" s="1459">
        <f t="shared" si="5"/>
        <v>111824</v>
      </c>
      <c r="X18" s="1459">
        <f t="shared" si="6"/>
        <v>0</v>
      </c>
      <c r="Y18" s="1459">
        <f t="shared" si="7"/>
        <v>111824</v>
      </c>
      <c r="Z18" s="2260">
        <v>0</v>
      </c>
      <c r="AA18" s="1776"/>
      <c r="AB18" s="1776"/>
      <c r="AC18" s="1783"/>
      <c r="AD18" s="1783"/>
    </row>
    <row r="19" spans="2:30">
      <c r="B19" s="1982"/>
      <c r="C19" s="1667"/>
      <c r="D19" s="2786"/>
      <c r="E19" s="1446"/>
      <c r="F19" s="1661">
        <f t="shared" si="8"/>
        <v>0</v>
      </c>
      <c r="H19" s="1460" t="s">
        <v>1350</v>
      </c>
      <c r="I19" s="1466">
        <v>175</v>
      </c>
      <c r="J19" s="1470" t="s">
        <v>110</v>
      </c>
      <c r="K19" s="1460" t="s">
        <v>893</v>
      </c>
      <c r="L19" s="1467">
        <v>4</v>
      </c>
      <c r="M19" s="1467">
        <v>4</v>
      </c>
      <c r="N19" s="1461">
        <v>0.21804779631692192</v>
      </c>
      <c r="O19" s="1460">
        <v>2</v>
      </c>
      <c r="P19" s="1463" t="s">
        <v>880</v>
      </c>
      <c r="Q19" s="1466">
        <v>28246</v>
      </c>
      <c r="R19" s="1466">
        <v>0</v>
      </c>
      <c r="S19" s="1469">
        <f t="shared" si="1"/>
        <v>28246</v>
      </c>
      <c r="T19" s="1469">
        <f t="shared" si="2"/>
        <v>4943050</v>
      </c>
      <c r="U19" s="1469">
        <f t="shared" si="3"/>
        <v>0</v>
      </c>
      <c r="V19" s="1469">
        <f t="shared" si="4"/>
        <v>4943050</v>
      </c>
      <c r="W19" s="1459">
        <f t="shared" si="5"/>
        <v>112984</v>
      </c>
      <c r="X19" s="1459">
        <f t="shared" si="6"/>
        <v>0</v>
      </c>
      <c r="Y19" s="1459">
        <f t="shared" si="7"/>
        <v>112984</v>
      </c>
      <c r="Z19" s="2260">
        <v>0</v>
      </c>
      <c r="AA19" s="1776"/>
      <c r="AB19" s="1776"/>
      <c r="AC19" s="1783"/>
      <c r="AD19" s="1783"/>
    </row>
    <row r="20" spans="2:30">
      <c r="B20" s="1449">
        <f>SUM(B16:B19)</f>
        <v>0.6</v>
      </c>
      <c r="C20" s="1488"/>
      <c r="D20" s="2770"/>
      <c r="E20" s="1490"/>
      <c r="F20" s="1492"/>
      <c r="H20" s="1460" t="s">
        <v>1821</v>
      </c>
      <c r="I20" s="1466">
        <v>35</v>
      </c>
      <c r="J20" s="1470" t="s">
        <v>110</v>
      </c>
      <c r="K20" s="1460" t="s">
        <v>893</v>
      </c>
      <c r="L20" s="1467">
        <v>5</v>
      </c>
      <c r="M20" s="1467">
        <v>5</v>
      </c>
      <c r="N20" s="1461">
        <v>3.4770618288277266E-2</v>
      </c>
      <c r="O20" s="1460">
        <v>2</v>
      </c>
      <c r="P20" s="1463" t="s">
        <v>880</v>
      </c>
      <c r="Q20" s="1466">
        <v>0</v>
      </c>
      <c r="R20" s="1466">
        <v>22521</v>
      </c>
      <c r="S20" s="1469">
        <f t="shared" si="1"/>
        <v>22521</v>
      </c>
      <c r="T20" s="1469">
        <f t="shared" ref="T20:T23" si="9">Q20*I20</f>
        <v>0</v>
      </c>
      <c r="U20" s="1469">
        <f t="shared" ref="U20:U23" si="10">R20*I20</f>
        <v>788235</v>
      </c>
      <c r="V20" s="1469">
        <f t="shared" ref="V20:V23" si="11">SUM(T20:U20)</f>
        <v>788235</v>
      </c>
      <c r="W20" s="1459">
        <f t="shared" ref="W20:W23" si="12">Q20*M20</f>
        <v>0</v>
      </c>
      <c r="X20" s="1459">
        <f t="shared" ref="X20:X23" si="13">R20*M20</f>
        <v>112605</v>
      </c>
      <c r="Y20" s="1459">
        <f t="shared" ref="Y20:Y23" si="14">SUM(W20:X20)</f>
        <v>112605</v>
      </c>
      <c r="Z20" s="2260">
        <v>0</v>
      </c>
      <c r="AA20" s="1776"/>
      <c r="AB20" s="1776"/>
      <c r="AC20" s="1783"/>
      <c r="AD20" s="1783"/>
    </row>
    <row r="21" spans="2:30">
      <c r="B21" s="1433" t="s">
        <v>296</v>
      </c>
      <c r="C21" s="1597" t="s">
        <v>44</v>
      </c>
      <c r="D21" s="2771">
        <f>SUM(D22:D25)</f>
        <v>8000.04</v>
      </c>
      <c r="E21" s="1464">
        <f>SUM(E22:E25)</f>
        <v>7775</v>
      </c>
      <c r="F21" s="1638">
        <f>D21+E21</f>
        <v>15775.04</v>
      </c>
      <c r="H21" s="1460" t="s">
        <v>1822</v>
      </c>
      <c r="I21" s="1466">
        <v>36</v>
      </c>
      <c r="J21" s="1470" t="s">
        <v>110</v>
      </c>
      <c r="K21" s="1460" t="s">
        <v>893</v>
      </c>
      <c r="L21" s="1467">
        <v>4</v>
      </c>
      <c r="M21" s="1467">
        <v>4</v>
      </c>
      <c r="N21" s="1461">
        <v>3.3788552946149707E-2</v>
      </c>
      <c r="O21" s="1460">
        <v>2</v>
      </c>
      <c r="P21" s="1463" t="s">
        <v>880</v>
      </c>
      <c r="Q21" s="1466">
        <v>0</v>
      </c>
      <c r="R21" s="1466">
        <v>21277</v>
      </c>
      <c r="S21" s="1469">
        <f t="shared" si="1"/>
        <v>21277</v>
      </c>
      <c r="T21" s="1469">
        <f t="shared" si="9"/>
        <v>0</v>
      </c>
      <c r="U21" s="1469">
        <f t="shared" si="10"/>
        <v>765972</v>
      </c>
      <c r="V21" s="1469">
        <f t="shared" si="11"/>
        <v>765972</v>
      </c>
      <c r="W21" s="1459">
        <f t="shared" si="12"/>
        <v>0</v>
      </c>
      <c r="X21" s="1459">
        <f t="shared" si="13"/>
        <v>85108</v>
      </c>
      <c r="Y21" s="1459">
        <f t="shared" si="14"/>
        <v>85108</v>
      </c>
      <c r="Z21" s="2260">
        <v>0</v>
      </c>
      <c r="AA21" s="1776"/>
      <c r="AB21" s="1776"/>
      <c r="AC21" s="1783"/>
      <c r="AD21" s="1783"/>
    </row>
    <row r="22" spans="2:30">
      <c r="B22" s="1982">
        <f>(SUM(D22:E22)/2)/((80000+(80000*1.025))/2)</f>
        <v>4.8688395061728396E-2</v>
      </c>
      <c r="C22" s="1667" t="s">
        <v>895</v>
      </c>
      <c r="D22" s="2772">
        <v>4000.02</v>
      </c>
      <c r="E22" s="1669">
        <v>3887.5</v>
      </c>
      <c r="F22" s="1426">
        <f t="shared" si="8"/>
        <v>7887.52</v>
      </c>
      <c r="H22" s="1460" t="s">
        <v>1823</v>
      </c>
      <c r="I22" s="1466">
        <v>57</v>
      </c>
      <c r="J22" s="1470" t="s">
        <v>110</v>
      </c>
      <c r="K22" s="1460" t="s">
        <v>893</v>
      </c>
      <c r="L22" s="1467">
        <v>4</v>
      </c>
      <c r="M22" s="1467">
        <v>4</v>
      </c>
      <c r="N22" s="1461">
        <v>7.0292110953489154E-2</v>
      </c>
      <c r="O22" s="1460">
        <v>2</v>
      </c>
      <c r="P22" s="1463" t="s">
        <v>880</v>
      </c>
      <c r="Q22" s="1466">
        <v>0</v>
      </c>
      <c r="R22" s="1466">
        <v>27956</v>
      </c>
      <c r="S22" s="1469">
        <f t="shared" si="1"/>
        <v>27956</v>
      </c>
      <c r="T22" s="1469">
        <f t="shared" si="9"/>
        <v>0</v>
      </c>
      <c r="U22" s="1469">
        <f t="shared" si="10"/>
        <v>1593492</v>
      </c>
      <c r="V22" s="1469">
        <f t="shared" si="11"/>
        <v>1593492</v>
      </c>
      <c r="W22" s="1459">
        <f t="shared" si="12"/>
        <v>0</v>
      </c>
      <c r="X22" s="1459">
        <f t="shared" si="13"/>
        <v>111824</v>
      </c>
      <c r="Y22" s="1459">
        <f t="shared" si="14"/>
        <v>111824</v>
      </c>
      <c r="Z22" s="2260">
        <v>0</v>
      </c>
      <c r="AA22" s="1776"/>
      <c r="AB22" s="1776"/>
      <c r="AC22" s="1783"/>
      <c r="AD22" s="1783"/>
    </row>
    <row r="23" spans="2:30">
      <c r="B23" s="1982">
        <f>(SUM(D23:E23)/2)/((80000+(80000*1.025))/2)</f>
        <v>4.8688395061728396E-2</v>
      </c>
      <c r="C23" s="1667" t="s">
        <v>1106</v>
      </c>
      <c r="D23" s="2791">
        <v>4000.02</v>
      </c>
      <c r="E23" s="1562">
        <v>3887.5</v>
      </c>
      <c r="F23" s="1661">
        <f t="shared" si="8"/>
        <v>7887.52</v>
      </c>
      <c r="H23" s="1460" t="s">
        <v>1810</v>
      </c>
      <c r="I23" s="1466">
        <v>77</v>
      </c>
      <c r="J23" s="1470" t="s">
        <v>110</v>
      </c>
      <c r="K23" s="1460" t="s">
        <v>893</v>
      </c>
      <c r="L23" s="1467">
        <v>4</v>
      </c>
      <c r="M23" s="1467">
        <v>4</v>
      </c>
      <c r="N23" s="1461">
        <v>9.5941030379445652E-2</v>
      </c>
      <c r="O23" s="1460">
        <v>2</v>
      </c>
      <c r="P23" s="1463" t="s">
        <v>880</v>
      </c>
      <c r="Q23" s="1466">
        <v>0</v>
      </c>
      <c r="R23" s="1466">
        <v>28246</v>
      </c>
      <c r="S23" s="1469">
        <f t="shared" si="1"/>
        <v>28246</v>
      </c>
      <c r="T23" s="1469">
        <f t="shared" si="9"/>
        <v>0</v>
      </c>
      <c r="U23" s="1469">
        <f t="shared" si="10"/>
        <v>2174942</v>
      </c>
      <c r="V23" s="1469">
        <f t="shared" si="11"/>
        <v>2174942</v>
      </c>
      <c r="W23" s="1459">
        <f t="shared" si="12"/>
        <v>0</v>
      </c>
      <c r="X23" s="1459">
        <f t="shared" si="13"/>
        <v>112984</v>
      </c>
      <c r="Y23" s="1459">
        <f t="shared" si="14"/>
        <v>112984</v>
      </c>
      <c r="Z23" s="2260">
        <v>0</v>
      </c>
      <c r="AA23" s="1776"/>
      <c r="AB23" s="1776"/>
      <c r="AC23" s="1783"/>
      <c r="AD23" s="1783"/>
    </row>
    <row r="24" spans="2:30">
      <c r="B24" s="1982"/>
      <c r="C24" s="1667"/>
      <c r="D24" s="2774"/>
      <c r="E24" s="1443"/>
      <c r="F24" s="1661">
        <f t="shared" si="8"/>
        <v>0</v>
      </c>
      <c r="H24" s="1460"/>
      <c r="I24" s="1466"/>
      <c r="J24" s="1470" t="s">
        <v>229</v>
      </c>
      <c r="K24" s="1460"/>
      <c r="L24" s="1467"/>
      <c r="M24" s="1467"/>
      <c r="N24" s="1461"/>
      <c r="O24" s="1460"/>
      <c r="P24" s="1463"/>
      <c r="Q24" s="1466"/>
      <c r="R24" s="1466"/>
      <c r="S24" s="1469"/>
      <c r="T24" s="1469" t="s">
        <v>229</v>
      </c>
      <c r="U24" s="1469" t="s">
        <v>229</v>
      </c>
      <c r="V24" s="1469" t="s">
        <v>229</v>
      </c>
      <c r="W24" s="1459" t="s">
        <v>229</v>
      </c>
      <c r="X24" s="1459" t="s">
        <v>229</v>
      </c>
      <c r="Y24" s="1459" t="s">
        <v>229</v>
      </c>
      <c r="Z24" s="2260">
        <v>0</v>
      </c>
      <c r="AA24" s="1776"/>
      <c r="AB24" s="1776"/>
      <c r="AC24" s="1783"/>
      <c r="AD24" s="1783"/>
    </row>
    <row r="25" spans="2:30">
      <c r="B25" s="1982"/>
      <c r="C25" s="1667"/>
      <c r="D25" s="2775"/>
      <c r="E25" s="1444"/>
      <c r="F25" s="1661">
        <f t="shared" si="8"/>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2260">
        <v>0</v>
      </c>
      <c r="AA25" s="1776"/>
      <c r="AB25" s="1776"/>
      <c r="AC25" s="1783"/>
      <c r="AD25" s="1783"/>
    </row>
    <row r="26" spans="2:30">
      <c r="B26" s="1449">
        <f>SUM(B22:B25)</f>
        <v>9.7376790123456791E-2</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2260">
        <v>0</v>
      </c>
      <c r="AA26" s="1776"/>
      <c r="AB26" s="1776"/>
      <c r="AC26" s="1783"/>
      <c r="AD26" s="1783"/>
    </row>
    <row r="27" spans="2:30">
      <c r="C27" s="1597" t="s">
        <v>1737</v>
      </c>
      <c r="D27" s="2771">
        <f>SUM(D29:D35)</f>
        <v>42417.758280000009</v>
      </c>
      <c r="E27" s="1657">
        <f>SUM(E29:E31)+SUM(E33:E35)</f>
        <v>48873.649999999994</v>
      </c>
      <c r="F27" s="1638">
        <f>D27+E27</f>
        <v>91291.408280000003</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2260">
        <v>0</v>
      </c>
      <c r="AA27" s="1776"/>
      <c r="AB27" s="1776"/>
      <c r="AC27" s="1783"/>
      <c r="AD27" s="1783"/>
    </row>
    <row r="28" spans="2:30">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2260">
        <v>0</v>
      </c>
      <c r="AA28" s="1776"/>
      <c r="AB28" s="1776"/>
      <c r="AC28" s="1783"/>
      <c r="AD28" s="1783"/>
    </row>
    <row r="29" spans="2:30">
      <c r="C29" s="1667" t="s">
        <v>719</v>
      </c>
      <c r="D29" s="2778">
        <f>D15*D28</f>
        <v>37081.731600000006</v>
      </c>
      <c r="E29" s="1641">
        <f>E15*E28</f>
        <v>32095.199999999997</v>
      </c>
      <c r="F29" s="1661">
        <f t="shared" si="8"/>
        <v>69176.931600000011</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2260">
        <v>0</v>
      </c>
      <c r="AA29" s="1776"/>
      <c r="AB29" s="1776"/>
      <c r="AC29" s="1783"/>
      <c r="AD29" s="1783"/>
    </row>
    <row r="30" spans="2:30">
      <c r="C30" s="1667" t="s">
        <v>720</v>
      </c>
      <c r="D30" s="2785">
        <f>D21*D28</f>
        <v>5336.0266799999999</v>
      </c>
      <c r="E30" s="1641">
        <f>E21*E28</f>
        <v>5349.2</v>
      </c>
      <c r="F30" s="1661">
        <f t="shared" si="8"/>
        <v>10685.22668</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2260">
        <v>0</v>
      </c>
      <c r="AA30" s="1776"/>
      <c r="AB30" s="1776"/>
      <c r="AC30" s="1783"/>
      <c r="AD30" s="1783"/>
    </row>
    <row r="31" spans="2:30">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2260">
        <v>0</v>
      </c>
      <c r="AA31" s="1776"/>
      <c r="AB31" s="1776"/>
      <c r="AC31" s="1783"/>
      <c r="AD31" s="1783"/>
    </row>
    <row r="32" spans="2:30">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2260">
        <v>0</v>
      </c>
      <c r="AA32" s="1776"/>
      <c r="AB32" s="1776"/>
      <c r="AC32" s="1783"/>
      <c r="AD32" s="1783"/>
    </row>
    <row r="33" spans="1:30">
      <c r="C33" s="1667" t="s">
        <v>719</v>
      </c>
      <c r="D33" s="2778"/>
      <c r="E33" s="1641">
        <f>E15*E32</f>
        <v>9796.5</v>
      </c>
      <c r="F33" s="1661">
        <f>SUM(D33:E33)</f>
        <v>9796.5</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2260">
        <v>0</v>
      </c>
      <c r="AA33" s="1776"/>
      <c r="AB33" s="1776"/>
      <c r="AC33" s="1783"/>
      <c r="AD33" s="1783"/>
    </row>
    <row r="34" spans="1:30">
      <c r="A34" s="1400" t="s">
        <v>582</v>
      </c>
      <c r="C34" s="1667" t="s">
        <v>720</v>
      </c>
      <c r="D34" s="2785"/>
      <c r="E34" s="1641">
        <f>E21*E32</f>
        <v>1632.75</v>
      </c>
      <c r="F34" s="1661">
        <f t="shared" ref="F34" si="15">SUM(D34:E34)</f>
        <v>1632.75</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2260">
        <v>0</v>
      </c>
      <c r="AA34" s="1776"/>
      <c r="AB34" s="1776"/>
      <c r="AC34" s="1783"/>
      <c r="AD34" s="1783"/>
    </row>
    <row r="35" spans="1:30">
      <c r="A35" s="2071" t="s">
        <v>267</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2260">
        <v>0</v>
      </c>
      <c r="AA35" s="1776"/>
      <c r="AB35" s="1776"/>
      <c r="AC35" s="1783"/>
      <c r="AD35" s="1783"/>
    </row>
    <row r="36" spans="1:30">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2260">
        <v>0</v>
      </c>
      <c r="AA36" s="1776"/>
      <c r="AB36" s="1776"/>
      <c r="AC36" s="1783"/>
      <c r="AD36" s="1783"/>
    </row>
    <row r="37" spans="1:30">
      <c r="A37" s="1400">
        <v>18230522</v>
      </c>
      <c r="C37" s="1597" t="s">
        <v>46</v>
      </c>
      <c r="D37" s="2771">
        <f>SUM(D38:D41)</f>
        <v>18827.400000000001</v>
      </c>
      <c r="E37" s="1464">
        <f>SUM(E38:E41)</f>
        <v>22950</v>
      </c>
      <c r="F37" s="1638">
        <f>D37+E37</f>
        <v>41777.4</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2260">
        <v>0</v>
      </c>
      <c r="AA37" s="1776"/>
      <c r="AB37" s="1776"/>
      <c r="AC37" s="1783"/>
      <c r="AD37" s="1783"/>
    </row>
    <row r="38" spans="1:30">
      <c r="A38" s="1400" t="s">
        <v>4</v>
      </c>
      <c r="C38" s="1667" t="s">
        <v>888</v>
      </c>
      <c r="D38" s="2778">
        <v>18827.400000000001</v>
      </c>
      <c r="E38" s="1672">
        <v>22950</v>
      </c>
      <c r="F38" s="1661">
        <f t="shared" ref="F38:F47" si="16">SUM(D38:E38)</f>
        <v>41777.4</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2260">
        <v>0</v>
      </c>
      <c r="AA38" s="1776"/>
      <c r="AB38" s="1776"/>
      <c r="AC38" s="1783"/>
      <c r="AD38" s="1783"/>
    </row>
    <row r="39" spans="1:30">
      <c r="C39" s="1667"/>
      <c r="D39" s="2778"/>
      <c r="E39" s="1672"/>
      <c r="F39" s="1661">
        <f t="shared" si="16"/>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2260">
        <v>0</v>
      </c>
      <c r="AA39" s="1776"/>
      <c r="AB39" s="1776"/>
      <c r="AC39" s="1783"/>
      <c r="AD39" s="1783"/>
    </row>
    <row r="40" spans="1:30">
      <c r="C40" s="1667"/>
      <c r="D40" s="2778"/>
      <c r="E40" s="1672"/>
      <c r="F40" s="1661">
        <f t="shared" si="16"/>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2260">
        <v>0</v>
      </c>
      <c r="AA40" s="1776"/>
      <c r="AB40" s="1776"/>
      <c r="AC40" s="1783"/>
      <c r="AD40" s="1783"/>
    </row>
    <row r="41" spans="1:30">
      <c r="C41" s="1667"/>
      <c r="D41" s="2778"/>
      <c r="E41" s="1672"/>
      <c r="F41" s="1661">
        <f t="shared" si="16"/>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2260">
        <v>0</v>
      </c>
      <c r="AA41" s="1776"/>
      <c r="AB41" s="1776"/>
      <c r="AC41" s="1783"/>
      <c r="AD41" s="1783"/>
    </row>
    <row r="42" spans="1:30">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2260">
        <v>0</v>
      </c>
      <c r="AA42" s="1776"/>
      <c r="AB42" s="1776"/>
      <c r="AC42" s="1783"/>
      <c r="AD42" s="1783"/>
    </row>
    <row r="43" spans="1:30">
      <c r="C43" s="1597" t="s">
        <v>483</v>
      </c>
      <c r="D43" s="2771">
        <f>SUM(D44:D47)</f>
        <v>4000</v>
      </c>
      <c r="E43" s="1464">
        <f>SUM(E44:E47)</f>
        <v>4000</v>
      </c>
      <c r="F43" s="1638">
        <f>D43+E43</f>
        <v>8000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2260">
        <v>0</v>
      </c>
      <c r="AA43" s="1776"/>
      <c r="AB43" s="1776"/>
      <c r="AC43" s="1783"/>
      <c r="AD43" s="1783"/>
    </row>
    <row r="44" spans="1:30">
      <c r="C44" s="2255" t="s">
        <v>1351</v>
      </c>
      <c r="D44" s="2826">
        <v>2000</v>
      </c>
      <c r="E44" s="1672">
        <v>2000</v>
      </c>
      <c r="F44" s="1661">
        <f t="shared" si="16"/>
        <v>4000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2260">
        <v>0</v>
      </c>
      <c r="AA44" s="1776"/>
      <c r="AB44" s="1776"/>
      <c r="AC44" s="1783"/>
      <c r="AD44" s="1783"/>
    </row>
    <row r="45" spans="1:30">
      <c r="C45" s="2255" t="s">
        <v>1352</v>
      </c>
      <c r="D45" s="2826">
        <v>2000</v>
      </c>
      <c r="E45" s="1672">
        <v>2000</v>
      </c>
      <c r="F45" s="1661">
        <f t="shared" si="16"/>
        <v>4000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2260">
        <v>0</v>
      </c>
      <c r="AA45" s="1776"/>
      <c r="AB45" s="1776"/>
      <c r="AC45" s="1783"/>
      <c r="AD45" s="1783"/>
    </row>
    <row r="46" spans="1:30">
      <c r="C46" s="1667"/>
      <c r="D46" s="2778"/>
      <c r="E46" s="1672"/>
      <c r="F46" s="1661">
        <f t="shared" si="16"/>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2260">
        <v>0</v>
      </c>
      <c r="AA46" s="1776"/>
      <c r="AB46" s="1776"/>
      <c r="AC46" s="1783"/>
      <c r="AD46" s="1783"/>
    </row>
    <row r="47" spans="1:30">
      <c r="C47" s="1667"/>
      <c r="D47" s="2778"/>
      <c r="E47" s="1672"/>
      <c r="F47" s="1661">
        <f t="shared" si="16"/>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2260">
        <v>0</v>
      </c>
      <c r="AA47" s="1776"/>
      <c r="AB47" s="1776"/>
      <c r="AC47" s="1783"/>
      <c r="AD47" s="1783"/>
    </row>
    <row r="48" spans="1:30">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2260">
        <v>0</v>
      </c>
      <c r="AA48" s="1776"/>
      <c r="AB48" s="1776"/>
      <c r="AC48" s="1783"/>
      <c r="AD48" s="1783"/>
    </row>
    <row r="49" spans="1:30">
      <c r="C49" s="1597" t="s">
        <v>47</v>
      </c>
      <c r="D49" s="2771">
        <f>SUM(D50:D53)</f>
        <v>422538</v>
      </c>
      <c r="E49" s="1464">
        <f>SUM(E50:E53)</f>
        <v>422521</v>
      </c>
      <c r="F49" s="1638">
        <f>D49+E49</f>
        <v>845059</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2260">
        <v>0</v>
      </c>
      <c r="AA49" s="1776"/>
      <c r="AB49" s="1776"/>
      <c r="AC49" s="1783"/>
      <c r="AD49" s="1783"/>
    </row>
    <row r="50" spans="1:30">
      <c r="C50" s="2255" t="s">
        <v>891</v>
      </c>
      <c r="D50" s="2826">
        <v>422538</v>
      </c>
      <c r="E50" s="1672">
        <v>422521</v>
      </c>
      <c r="F50" s="1661">
        <f t="shared" ref="F50:F65" si="17">SUM(D50:E50)</f>
        <v>845059</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2260">
        <v>0</v>
      </c>
      <c r="AA50" s="1776"/>
      <c r="AB50" s="1776"/>
      <c r="AC50" s="1783"/>
      <c r="AD50" s="1783"/>
    </row>
    <row r="51" spans="1:30">
      <c r="C51" s="1667"/>
      <c r="D51" s="2778"/>
      <c r="E51" s="1672"/>
      <c r="F51" s="1661">
        <f t="shared" si="17"/>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2260">
        <v>0</v>
      </c>
      <c r="AA51" s="1776"/>
      <c r="AB51" s="1776"/>
      <c r="AC51" s="1783"/>
      <c r="AD51" s="1783"/>
    </row>
    <row r="52" spans="1:30">
      <c r="C52" s="1667"/>
      <c r="D52" s="2778"/>
      <c r="E52" s="1672"/>
      <c r="F52" s="1661">
        <f t="shared" si="17"/>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2260">
        <v>0</v>
      </c>
      <c r="AA52" s="1776"/>
      <c r="AB52" s="1776"/>
      <c r="AC52" s="1783"/>
      <c r="AD52" s="1783"/>
    </row>
    <row r="53" spans="1:30">
      <c r="C53" s="1667"/>
      <c r="D53" s="2778"/>
      <c r="E53" s="1672"/>
      <c r="F53" s="1661">
        <f t="shared" si="17"/>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2260">
        <v>0</v>
      </c>
      <c r="AA53" s="1776"/>
      <c r="AB53" s="1776"/>
      <c r="AC53" s="1783"/>
      <c r="AD53" s="1783"/>
    </row>
    <row r="54" spans="1:30">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2260">
        <v>0</v>
      </c>
      <c r="AA54" s="1776"/>
      <c r="AB54" s="1776"/>
      <c r="AC54" s="1783"/>
      <c r="AD54" s="1783"/>
    </row>
    <row r="55" spans="1:30">
      <c r="C55" s="1597" t="s">
        <v>48</v>
      </c>
      <c r="D55" s="2771">
        <f>SUM(D56:D59)</f>
        <v>1000</v>
      </c>
      <c r="E55" s="1464">
        <f>SUM(E56:E59)</f>
        <v>2000</v>
      </c>
      <c r="F55" s="1638">
        <f>D55+E55</f>
        <v>3000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2260">
        <v>0</v>
      </c>
      <c r="AA55" s="1776"/>
      <c r="AB55" s="1776"/>
      <c r="AC55" s="1783"/>
      <c r="AD55" s="1783"/>
    </row>
    <row r="56" spans="1:30">
      <c r="C56" s="1667"/>
      <c r="D56" s="2778">
        <v>1000</v>
      </c>
      <c r="E56" s="1641">
        <v>2000</v>
      </c>
      <c r="F56" s="1661">
        <f t="shared" si="17"/>
        <v>3000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2260">
        <v>0</v>
      </c>
      <c r="AA56" s="1776"/>
      <c r="AB56" s="1776"/>
      <c r="AC56" s="1783"/>
      <c r="AD56" s="1783"/>
    </row>
    <row r="57" spans="1:30">
      <c r="C57" s="1667"/>
      <c r="D57" s="2778"/>
      <c r="E57" s="1641"/>
      <c r="F57" s="1661">
        <f t="shared" si="17"/>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2260">
        <v>0</v>
      </c>
      <c r="AA57" s="1776"/>
      <c r="AB57" s="1776"/>
      <c r="AC57" s="1783"/>
      <c r="AD57" s="1783"/>
    </row>
    <row r="58" spans="1:30">
      <c r="C58" s="1667"/>
      <c r="D58" s="2778"/>
      <c r="E58" s="1641"/>
      <c r="F58" s="1661">
        <f t="shared" si="17"/>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2260">
        <v>0</v>
      </c>
      <c r="AA58" s="1776"/>
      <c r="AB58" s="1776"/>
      <c r="AC58" s="1783"/>
      <c r="AD58" s="1783"/>
    </row>
    <row r="59" spans="1:30">
      <c r="C59" s="1667"/>
      <c r="D59" s="2778"/>
      <c r="E59" s="1641"/>
      <c r="F59" s="1661">
        <f t="shared" si="17"/>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2260">
        <v>0</v>
      </c>
      <c r="AA59" s="1776"/>
      <c r="AB59" s="1776"/>
      <c r="AC59" s="1783"/>
      <c r="AD59" s="1783"/>
    </row>
    <row r="60" spans="1:30">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2260">
        <v>0</v>
      </c>
      <c r="AA60" s="1776"/>
      <c r="AB60" s="1776"/>
      <c r="AC60" s="1783"/>
      <c r="AD60" s="1783"/>
    </row>
    <row r="61" spans="1:30">
      <c r="C61" s="1597" t="s">
        <v>49</v>
      </c>
      <c r="D61" s="2771">
        <f>SUM(D62:D65)</f>
        <v>2000</v>
      </c>
      <c r="E61" s="1464">
        <f>SUM(E62:E65)</f>
        <v>1000</v>
      </c>
      <c r="F61" s="1638">
        <f>D61+E61</f>
        <v>3000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2260">
        <v>0</v>
      </c>
      <c r="AA61" s="1776"/>
      <c r="AB61" s="1776"/>
      <c r="AC61" s="1783"/>
      <c r="AD61" s="1783"/>
    </row>
    <row r="62" spans="1:30">
      <c r="C62" s="1667"/>
      <c r="D62" s="2778">
        <v>2000</v>
      </c>
      <c r="E62" s="1672">
        <v>1000</v>
      </c>
      <c r="F62" s="1661">
        <f t="shared" si="17"/>
        <v>3000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2260">
        <v>0</v>
      </c>
      <c r="AA62" s="1776"/>
      <c r="AB62" s="1776"/>
      <c r="AC62" s="1783"/>
      <c r="AD62" s="1783"/>
    </row>
    <row r="63" spans="1:30">
      <c r="A63" s="1718" t="s">
        <v>581</v>
      </c>
      <c r="C63" s="1667"/>
      <c r="D63" s="2778"/>
      <c r="E63" s="1672"/>
      <c r="F63" s="1661">
        <f t="shared" si="17"/>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2260">
        <v>0</v>
      </c>
      <c r="AA63" s="1776"/>
      <c r="AB63" s="1776"/>
      <c r="AC63" s="1783"/>
      <c r="AD63" s="1783"/>
    </row>
    <row r="64" spans="1:30">
      <c r="A64" s="1400" t="s">
        <v>67</v>
      </c>
      <c r="C64" s="1667"/>
      <c r="D64" s="2778"/>
      <c r="E64" s="1672"/>
      <c r="F64" s="1437">
        <f t="shared" si="17"/>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2260">
        <v>0</v>
      </c>
      <c r="AA64" s="1776"/>
      <c r="AB64" s="1776"/>
      <c r="AC64" s="1783"/>
      <c r="AD64" s="1783"/>
    </row>
    <row r="65" spans="1:30">
      <c r="A65" s="2071" t="s">
        <v>267</v>
      </c>
      <c r="C65" s="1667"/>
      <c r="D65" s="2778"/>
      <c r="E65" s="1672"/>
      <c r="F65" s="1661">
        <f t="shared" si="17"/>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2260">
        <v>0</v>
      </c>
      <c r="AA65" s="1776"/>
      <c r="AB65" s="1776"/>
      <c r="AC65" s="1783"/>
      <c r="AD65" s="1783"/>
    </row>
    <row r="66" spans="1:30">
      <c r="A66" s="1400" t="s">
        <v>5</v>
      </c>
      <c r="C66" s="1488"/>
      <c r="D66" s="2779"/>
      <c r="E66" s="1490"/>
      <c r="F66" s="1493"/>
      <c r="Z66" s="2261"/>
    </row>
    <row r="67" spans="1:30">
      <c r="A67" s="1400" t="s">
        <v>574</v>
      </c>
      <c r="C67" s="1597" t="s">
        <v>50</v>
      </c>
      <c r="D67" s="2771">
        <f>W15</f>
        <v>422521</v>
      </c>
      <c r="E67" s="1464">
        <f>X15</f>
        <v>422521</v>
      </c>
      <c r="F67" s="1638">
        <f>D67+E67</f>
        <v>845042</v>
      </c>
      <c r="Z67" s="2261"/>
    </row>
    <row r="68" spans="1:30">
      <c r="A68" s="1400" t="s">
        <v>4</v>
      </c>
      <c r="C68" s="1500" t="s">
        <v>297</v>
      </c>
      <c r="D68" s="2781"/>
      <c r="E68" s="1496"/>
      <c r="F68" s="1499"/>
      <c r="Z68" s="2261"/>
    </row>
    <row r="69" spans="1:30">
      <c r="C69" s="1501"/>
      <c r="D69" s="2782"/>
      <c r="E69" s="1497"/>
      <c r="F69" s="1498"/>
      <c r="Z69" s="2261"/>
    </row>
    <row r="70" spans="1:30">
      <c r="C70" s="1494" t="s">
        <v>51</v>
      </c>
      <c r="D70" s="2778">
        <v>0</v>
      </c>
      <c r="E70" s="1671">
        <v>0</v>
      </c>
      <c r="F70" s="1491">
        <v>0</v>
      </c>
      <c r="Z70" s="2261"/>
    </row>
    <row r="71" spans="1:30">
      <c r="Z71" s="2261"/>
    </row>
    <row r="72" spans="1:30">
      <c r="Z72" s="2261"/>
    </row>
    <row r="73" spans="1:30">
      <c r="Z73" s="2261"/>
    </row>
    <row r="74" spans="1:30">
      <c r="Z74" s="2261"/>
    </row>
    <row r="75" spans="1:30">
      <c r="Z75" s="2261"/>
    </row>
    <row r="76" spans="1:30">
      <c r="Z76" s="2261"/>
    </row>
    <row r="77" spans="1:30">
      <c r="Z77" s="2261"/>
    </row>
    <row r="78" spans="1:30">
      <c r="Z78" s="2261"/>
    </row>
    <row r="79" spans="1:30">
      <c r="Z79" s="2261"/>
    </row>
    <row r="80" spans="1:30">
      <c r="Z80" s="2261"/>
    </row>
    <row r="81" spans="26:26">
      <c r="Z81" s="2261"/>
    </row>
    <row r="82" spans="26:26">
      <c r="Z82" s="2261"/>
    </row>
    <row r="83" spans="26:26">
      <c r="Z83" s="2261"/>
    </row>
    <row r="84" spans="26:26">
      <c r="Z84" s="2261"/>
    </row>
    <row r="85" spans="26:26">
      <c r="Z85" s="2261"/>
    </row>
    <row r="86" spans="26:26">
      <c r="Z86" s="2261"/>
    </row>
    <row r="87" spans="26:26">
      <c r="Z87" s="2261"/>
    </row>
    <row r="88" spans="26:26">
      <c r="Z88" s="2261"/>
    </row>
    <row r="89" spans="26:26">
      <c r="Z89" s="2261"/>
    </row>
    <row r="90" spans="26:26">
      <c r="Z90" s="2261"/>
    </row>
    <row r="91" spans="26:26">
      <c r="Z91" s="2261"/>
    </row>
    <row r="92" spans="26:26">
      <c r="Z92" s="2261"/>
    </row>
    <row r="93" spans="26:26">
      <c r="Z93" s="2261"/>
    </row>
    <row r="94" spans="26:26">
      <c r="Z94" s="2261"/>
    </row>
    <row r="95" spans="26:26">
      <c r="Z95" s="2261"/>
    </row>
    <row r="96" spans="26:26">
      <c r="Z96" s="2261"/>
    </row>
    <row r="97" spans="26:26">
      <c r="Z97" s="2261"/>
    </row>
    <row r="98" spans="26:26">
      <c r="Z98" s="2261"/>
    </row>
    <row r="99" spans="26:26">
      <c r="Z99" s="2261"/>
    </row>
    <row r="100" spans="26:26">
      <c r="Z100" s="2261"/>
    </row>
    <row r="101" spans="26:26">
      <c r="Z101" s="2261"/>
    </row>
    <row r="102" spans="26:26">
      <c r="Z102" s="2261"/>
    </row>
    <row r="103" spans="26:26">
      <c r="Z103" s="2261"/>
    </row>
    <row r="104" spans="26:26">
      <c r="Z104" s="2261"/>
    </row>
    <row r="105" spans="26:26">
      <c r="Z105" s="2261"/>
    </row>
    <row r="106" spans="26:26">
      <c r="Z106" s="2261"/>
    </row>
    <row r="107" spans="26:26">
      <c r="Z107" s="2261"/>
    </row>
    <row r="108" spans="26:26">
      <c r="Z108" s="2261"/>
    </row>
    <row r="109" spans="26:26">
      <c r="Z109" s="2261"/>
    </row>
    <row r="110" spans="26:26">
      <c r="Z110" s="2261"/>
    </row>
    <row r="111" spans="26:26">
      <c r="Z111" s="2261"/>
    </row>
    <row r="112" spans="26:26">
      <c r="Z112" s="2261"/>
    </row>
    <row r="113" spans="26:26">
      <c r="Z113" s="2261"/>
    </row>
    <row r="114" spans="26:26">
      <c r="Z114" s="2261"/>
    </row>
    <row r="115" spans="26:26">
      <c r="Z115" s="2261"/>
    </row>
    <row r="116" spans="26:26">
      <c r="Z116" s="2261"/>
    </row>
    <row r="117" spans="26:26">
      <c r="Z117" s="2261"/>
    </row>
    <row r="118" spans="26:26">
      <c r="Z118" s="2261"/>
    </row>
    <row r="119" spans="26:26">
      <c r="Z119" s="2261"/>
    </row>
    <row r="120" spans="26:26">
      <c r="Z120" s="2261"/>
    </row>
    <row r="121" spans="26:26">
      <c r="Z121" s="2261"/>
    </row>
    <row r="122" spans="26:26">
      <c r="Z122" s="2261"/>
    </row>
    <row r="123" spans="26:26">
      <c r="Z123" s="2261"/>
    </row>
    <row r="124" spans="26:26">
      <c r="Z124" s="2261"/>
    </row>
    <row r="125" spans="26:26">
      <c r="Z125" s="2261"/>
    </row>
    <row r="126" spans="26:26">
      <c r="Z126" s="2261"/>
    </row>
    <row r="127" spans="26:26">
      <c r="Z127" s="2261"/>
    </row>
    <row r="128" spans="26:26">
      <c r="Z128" s="2261"/>
    </row>
    <row r="129" spans="26:26">
      <c r="Z129" s="2261"/>
    </row>
    <row r="130" spans="26:26">
      <c r="Z130" s="2261"/>
    </row>
    <row r="131" spans="26:26">
      <c r="Z131" s="2261"/>
    </row>
    <row r="132" spans="26:26">
      <c r="Z132" s="2261"/>
    </row>
    <row r="133" spans="26:26">
      <c r="Z133" s="2261"/>
    </row>
    <row r="134" spans="26:26">
      <c r="Z134" s="2261"/>
    </row>
    <row r="135" spans="26:26">
      <c r="Z135" s="2261"/>
    </row>
    <row r="136" spans="26:26">
      <c r="Z136" s="2261"/>
    </row>
    <row r="137" spans="26:26">
      <c r="Z137" s="2261"/>
    </row>
    <row r="138" spans="26:26">
      <c r="Z138" s="2261"/>
    </row>
    <row r="139" spans="26:26">
      <c r="Z139" s="2261"/>
    </row>
    <row r="140" spans="26:26">
      <c r="Z140" s="2261"/>
    </row>
    <row r="141" spans="26:26">
      <c r="Z141" s="2261"/>
    </row>
    <row r="142" spans="26:26">
      <c r="Z142" s="2261"/>
    </row>
    <row r="143" spans="26:26">
      <c r="Z143" s="2261"/>
    </row>
    <row r="144" spans="26:26">
      <c r="Z144" s="2261"/>
    </row>
    <row r="145" spans="26:26">
      <c r="Z145" s="2261"/>
    </row>
    <row r="146" spans="26:26">
      <c r="Z146" s="2261"/>
    </row>
    <row r="147" spans="26:26">
      <c r="Z147" s="2261"/>
    </row>
    <row r="148" spans="26:26">
      <c r="Z148" s="2261"/>
    </row>
    <row r="149" spans="26:26">
      <c r="Z149" s="2261"/>
    </row>
    <row r="150" spans="26:26">
      <c r="Z150" s="2261"/>
    </row>
    <row r="151" spans="26:26">
      <c r="Z151" s="2261"/>
    </row>
    <row r="152" spans="26:26">
      <c r="Z152" s="2261"/>
    </row>
    <row r="153" spans="26:26">
      <c r="Z153" s="2261"/>
    </row>
    <row r="154" spans="26:26">
      <c r="Z154" s="2261"/>
    </row>
    <row r="155" spans="26:26">
      <c r="Z155" s="2261"/>
    </row>
    <row r="156" spans="26:26">
      <c r="Z156" s="2261"/>
    </row>
    <row r="157" spans="26:26">
      <c r="Z157" s="2261"/>
    </row>
    <row r="158" spans="26:26">
      <c r="Z158" s="2261"/>
    </row>
    <row r="159" spans="26:26">
      <c r="Z159" s="2261"/>
    </row>
    <row r="160" spans="26:26">
      <c r="Z160" s="2261"/>
    </row>
    <row r="161" spans="26:26">
      <c r="Z161" s="2261"/>
    </row>
    <row r="162" spans="26:26">
      <c r="Z162" s="2261"/>
    </row>
    <row r="163" spans="26:26">
      <c r="Z163" s="2261"/>
    </row>
    <row r="164" spans="26:26">
      <c r="Z164" s="2261"/>
    </row>
    <row r="165" spans="26:26">
      <c r="Z165" s="2261"/>
    </row>
  </sheetData>
  <customSheetViews>
    <customSheetView guid="{D9EFFE19-D14B-4C6F-BDF4-FF696F73968D}" showGridLines="0">
      <pane xSplit="1" ySplit="1" topLeftCell="B2" activePane="bottomRight" state="frozen"/>
      <selection pane="bottomRight" activeCell="AA1" sqref="AA1:AA1048576"/>
      <pageMargins left="0.2" right="0.23" top="0.37" bottom="0.31" header="0.3" footer="0.3"/>
      <pageSetup paperSize="17" scale="48" orientation="landscape" r:id="rId1"/>
    </customSheetView>
    <customSheetView guid="{074EB09C-6289-46D7-9513-012B68BCA7BF}" showGridLines="0">
      <pane xSplit="1" ySplit="1" topLeftCell="Q2" activePane="bottomRight" state="frozen"/>
      <selection pane="bottomRight" activeCell="Z6" sqref="Z6"/>
      <pageMargins left="0.2" right="0.23" top="0.37" bottom="0.31" header="0.3" footer="0.3"/>
      <pageSetup paperSize="17" scale="48" orientation="landscape" r:id="rId2"/>
    </customSheetView>
  </customSheetViews>
  <mergeCells count="10">
    <mergeCell ref="H10:P10"/>
    <mergeCell ref="H12:P12"/>
    <mergeCell ref="Q12:S12"/>
    <mergeCell ref="T12:V12"/>
    <mergeCell ref="W12:Y12"/>
    <mergeCell ref="AC12:AD12"/>
    <mergeCell ref="AC13:AD13"/>
    <mergeCell ref="S2:T2"/>
    <mergeCell ref="U2:W2"/>
    <mergeCell ref="X2:X3"/>
  </mergeCells>
  <pageMargins left="0.2" right="0.23" top="0.37" bottom="0.31" header="0.3" footer="0.3"/>
  <pageSetup paperSize="3" scale="45" orientation="landscape" r:id="rId3"/>
  <drawing r:id="rId4"/>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2" tint="-0.749992370372631"/>
  </sheetPr>
  <dimension ref="A1:FE70"/>
  <sheetViews>
    <sheetView showGridLines="0" workbookViewId="0">
      <pane xSplit="1" ySplit="1" topLeftCell="B2" activePane="bottomRight" state="frozen"/>
      <selection pane="topRight" activeCell="B1" sqref="B1"/>
      <selection pane="bottomLeft" activeCell="A2" sqref="A2"/>
      <selection pane="bottomRight" activeCell="G10" sqref="G10"/>
    </sheetView>
  </sheetViews>
  <sheetFormatPr defaultRowHeight="12.75"/>
  <cols>
    <col min="1" max="1" width="17.85546875" style="849" customWidth="1"/>
    <col min="2" max="2" width="15.28515625" style="1413" customWidth="1"/>
    <col min="3" max="3" width="29.42578125" customWidth="1"/>
    <col min="4" max="4" width="23.28515625" customWidth="1"/>
    <col min="5" max="5" width="13.28515625" style="9" customWidth="1"/>
    <col min="6" max="6" width="13.2851562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1" width="15.5703125" bestFit="1" customWidth="1"/>
    <col min="22" max="22" width="16.42578125" bestFit="1" customWidth="1"/>
    <col min="23" max="23" width="14.28515625" customWidth="1"/>
    <col min="24" max="24" width="12.85546875" bestFit="1" customWidth="1"/>
    <col min="25" max="25" width="11.28515625" bestFit="1" customWidth="1"/>
    <col min="26" max="26" width="12.5703125" style="1569" bestFit="1" customWidth="1"/>
    <col min="27" max="27" width="14" style="1569" bestFit="1" customWidth="1"/>
    <col min="28" max="28" width="6" style="1569" bestFit="1" customWidth="1"/>
    <col min="29" max="29" width="15" style="1569" customWidth="1"/>
    <col min="30" max="30" width="14.85546875" style="1569" bestFit="1" customWidth="1"/>
    <col min="31" max="31" width="16.140625" style="1569" bestFit="1" customWidth="1"/>
    <col min="32" max="161" width="9.140625" style="1569"/>
    <col min="259" max="259" width="24" bestFit="1" customWidth="1"/>
    <col min="260" max="260" width="45.7109375" bestFit="1" customWidth="1"/>
    <col min="261" max="261" width="19.7109375" bestFit="1" customWidth="1"/>
    <col min="262" max="262" width="11.42578125" bestFit="1" customWidth="1"/>
    <col min="263" max="263" width="19.85546875" bestFit="1" customWidth="1"/>
    <col min="264" max="264" width="13.42578125" customWidth="1"/>
    <col min="265" max="265" width="15.28515625" bestFit="1" customWidth="1"/>
    <col min="266" max="266" width="14.140625" bestFit="1" customWidth="1"/>
    <col min="267" max="267" width="15.28515625" customWidth="1"/>
    <col min="268" max="268" width="15.85546875" customWidth="1"/>
    <col min="269" max="269" width="17" bestFit="1" customWidth="1"/>
    <col min="270" max="270" width="12.7109375" customWidth="1"/>
    <col min="271" max="271" width="13.7109375" customWidth="1"/>
    <col min="272" max="272" width="13.85546875" bestFit="1" customWidth="1"/>
    <col min="273" max="273" width="15.5703125" bestFit="1" customWidth="1"/>
    <col min="274" max="274" width="16.140625" customWidth="1"/>
    <col min="275" max="275" width="16.7109375" bestFit="1" customWidth="1"/>
    <col min="276" max="277" width="15.5703125" bestFit="1" customWidth="1"/>
    <col min="278" max="278" width="16.42578125" bestFit="1" customWidth="1"/>
    <col min="279" max="279" width="14.28515625" customWidth="1"/>
    <col min="280" max="280" width="12.85546875" bestFit="1" customWidth="1"/>
    <col min="281" max="281" width="11.28515625" bestFit="1" customWidth="1"/>
    <col min="282" max="282" width="12.5703125" bestFit="1" customWidth="1"/>
    <col min="283" max="283" width="14" bestFit="1" customWidth="1"/>
    <col min="284" max="284" width="6" bestFit="1" customWidth="1"/>
    <col min="285" max="285" width="15" customWidth="1"/>
    <col min="286" max="286" width="14.85546875" bestFit="1" customWidth="1"/>
    <col min="287" max="287" width="16.140625" bestFit="1" customWidth="1"/>
    <col min="515" max="515" width="24" bestFit="1" customWidth="1"/>
    <col min="516" max="516" width="45.7109375" bestFit="1" customWidth="1"/>
    <col min="517" max="517" width="19.7109375" bestFit="1" customWidth="1"/>
    <col min="518" max="518" width="11.42578125" bestFit="1" customWidth="1"/>
    <col min="519" max="519" width="19.85546875" bestFit="1" customWidth="1"/>
    <col min="520" max="520" width="13.42578125" customWidth="1"/>
    <col min="521" max="521" width="15.28515625" bestFit="1" customWidth="1"/>
    <col min="522" max="522" width="14.140625" bestFit="1" customWidth="1"/>
    <col min="523" max="523" width="15.28515625" customWidth="1"/>
    <col min="524" max="524" width="15.85546875" customWidth="1"/>
    <col min="525" max="525" width="17" bestFit="1" customWidth="1"/>
    <col min="526" max="526" width="12.7109375" customWidth="1"/>
    <col min="527" max="527" width="13.7109375" customWidth="1"/>
    <col min="528" max="528" width="13.85546875" bestFit="1" customWidth="1"/>
    <col min="529" max="529" width="15.5703125" bestFit="1" customWidth="1"/>
    <col min="530" max="530" width="16.140625" customWidth="1"/>
    <col min="531" max="531" width="16.7109375" bestFit="1" customWidth="1"/>
    <col min="532" max="533" width="15.5703125" bestFit="1" customWidth="1"/>
    <col min="534" max="534" width="16.42578125" bestFit="1" customWidth="1"/>
    <col min="535" max="535" width="14.28515625" customWidth="1"/>
    <col min="536" max="536" width="12.85546875" bestFit="1" customWidth="1"/>
    <col min="537" max="537" width="11.28515625" bestFit="1" customWidth="1"/>
    <col min="538" max="538" width="12.5703125" bestFit="1" customWidth="1"/>
    <col min="539" max="539" width="14" bestFit="1" customWidth="1"/>
    <col min="540" max="540" width="6" bestFit="1" customWidth="1"/>
    <col min="541" max="541" width="15" customWidth="1"/>
    <col min="542" max="542" width="14.85546875" bestFit="1" customWidth="1"/>
    <col min="543" max="543" width="16.140625" bestFit="1" customWidth="1"/>
    <col min="771" max="771" width="24" bestFit="1" customWidth="1"/>
    <col min="772" max="772" width="45.7109375" bestFit="1" customWidth="1"/>
    <col min="773" max="773" width="19.7109375" bestFit="1" customWidth="1"/>
    <col min="774" max="774" width="11.42578125" bestFit="1" customWidth="1"/>
    <col min="775" max="775" width="19.85546875" bestFit="1" customWidth="1"/>
    <col min="776" max="776" width="13.42578125" customWidth="1"/>
    <col min="777" max="777" width="15.28515625" bestFit="1" customWidth="1"/>
    <col min="778" max="778" width="14.140625" bestFit="1" customWidth="1"/>
    <col min="779" max="779" width="15.28515625" customWidth="1"/>
    <col min="780" max="780" width="15.85546875" customWidth="1"/>
    <col min="781" max="781" width="17" bestFit="1" customWidth="1"/>
    <col min="782" max="782" width="12.7109375" customWidth="1"/>
    <col min="783" max="783" width="13.7109375" customWidth="1"/>
    <col min="784" max="784" width="13.85546875" bestFit="1" customWidth="1"/>
    <col min="785" max="785" width="15.5703125" bestFit="1" customWidth="1"/>
    <col min="786" max="786" width="16.140625" customWidth="1"/>
    <col min="787" max="787" width="16.7109375" bestFit="1" customWidth="1"/>
    <col min="788" max="789" width="15.5703125" bestFit="1" customWidth="1"/>
    <col min="790" max="790" width="16.42578125" bestFit="1" customWidth="1"/>
    <col min="791" max="791" width="14.28515625" customWidth="1"/>
    <col min="792" max="792" width="12.85546875" bestFit="1" customWidth="1"/>
    <col min="793" max="793" width="11.28515625" bestFit="1" customWidth="1"/>
    <col min="794" max="794" width="12.5703125" bestFit="1" customWidth="1"/>
    <col min="795" max="795" width="14" bestFit="1" customWidth="1"/>
    <col min="796" max="796" width="6" bestFit="1" customWidth="1"/>
    <col min="797" max="797" width="15" customWidth="1"/>
    <col min="798" max="798" width="14.85546875" bestFit="1" customWidth="1"/>
    <col min="799" max="799" width="16.140625" bestFit="1" customWidth="1"/>
    <col min="1027" max="1027" width="24" bestFit="1" customWidth="1"/>
    <col min="1028" max="1028" width="45.7109375" bestFit="1" customWidth="1"/>
    <col min="1029" max="1029" width="19.7109375" bestFit="1" customWidth="1"/>
    <col min="1030" max="1030" width="11.42578125" bestFit="1" customWidth="1"/>
    <col min="1031" max="1031" width="19.85546875" bestFit="1" customWidth="1"/>
    <col min="1032" max="1032" width="13.42578125" customWidth="1"/>
    <col min="1033" max="1033" width="15.28515625" bestFit="1" customWidth="1"/>
    <col min="1034" max="1034" width="14.140625" bestFit="1" customWidth="1"/>
    <col min="1035" max="1035" width="15.28515625" customWidth="1"/>
    <col min="1036" max="1036" width="15.85546875" customWidth="1"/>
    <col min="1037" max="1037" width="17" bestFit="1" customWidth="1"/>
    <col min="1038" max="1038" width="12.7109375" customWidth="1"/>
    <col min="1039" max="1039" width="13.7109375" customWidth="1"/>
    <col min="1040" max="1040" width="13.85546875" bestFit="1" customWidth="1"/>
    <col min="1041" max="1041" width="15.5703125" bestFit="1" customWidth="1"/>
    <col min="1042" max="1042" width="16.140625" customWidth="1"/>
    <col min="1043" max="1043" width="16.7109375" bestFit="1" customWidth="1"/>
    <col min="1044" max="1045" width="15.5703125" bestFit="1" customWidth="1"/>
    <col min="1046" max="1046" width="16.42578125" bestFit="1" customWidth="1"/>
    <col min="1047" max="1047" width="14.28515625" customWidth="1"/>
    <col min="1048" max="1048" width="12.85546875" bestFit="1" customWidth="1"/>
    <col min="1049" max="1049" width="11.28515625" bestFit="1" customWidth="1"/>
    <col min="1050" max="1050" width="12.5703125" bestFit="1" customWidth="1"/>
    <col min="1051" max="1051" width="14" bestFit="1" customWidth="1"/>
    <col min="1052" max="1052" width="6" bestFit="1" customWidth="1"/>
    <col min="1053" max="1053" width="15" customWidth="1"/>
    <col min="1054" max="1054" width="14.85546875" bestFit="1" customWidth="1"/>
    <col min="1055" max="1055" width="16.140625" bestFit="1" customWidth="1"/>
    <col min="1283" max="1283" width="24" bestFit="1" customWidth="1"/>
    <col min="1284" max="1284" width="45.7109375" bestFit="1" customWidth="1"/>
    <col min="1285" max="1285" width="19.7109375" bestFit="1" customWidth="1"/>
    <col min="1286" max="1286" width="11.42578125" bestFit="1" customWidth="1"/>
    <col min="1287" max="1287" width="19.85546875" bestFit="1" customWidth="1"/>
    <col min="1288" max="1288" width="13.42578125" customWidth="1"/>
    <col min="1289" max="1289" width="15.28515625" bestFit="1" customWidth="1"/>
    <col min="1290" max="1290" width="14.140625" bestFit="1" customWidth="1"/>
    <col min="1291" max="1291" width="15.28515625" customWidth="1"/>
    <col min="1292" max="1292" width="15.85546875" customWidth="1"/>
    <col min="1293" max="1293" width="17" bestFit="1" customWidth="1"/>
    <col min="1294" max="1294" width="12.7109375" customWidth="1"/>
    <col min="1295" max="1295" width="13.7109375" customWidth="1"/>
    <col min="1296" max="1296" width="13.85546875" bestFit="1" customWidth="1"/>
    <col min="1297" max="1297" width="15.5703125" bestFit="1" customWidth="1"/>
    <col min="1298" max="1298" width="16.140625" customWidth="1"/>
    <col min="1299" max="1299" width="16.7109375" bestFit="1" customWidth="1"/>
    <col min="1300" max="1301" width="15.5703125" bestFit="1" customWidth="1"/>
    <col min="1302" max="1302" width="16.42578125" bestFit="1" customWidth="1"/>
    <col min="1303" max="1303" width="14.28515625" customWidth="1"/>
    <col min="1304" max="1304" width="12.85546875" bestFit="1" customWidth="1"/>
    <col min="1305" max="1305" width="11.28515625" bestFit="1" customWidth="1"/>
    <col min="1306" max="1306" width="12.5703125" bestFit="1" customWidth="1"/>
    <col min="1307" max="1307" width="14" bestFit="1" customWidth="1"/>
    <col min="1308" max="1308" width="6" bestFit="1" customWidth="1"/>
    <col min="1309" max="1309" width="15" customWidth="1"/>
    <col min="1310" max="1310" width="14.85546875" bestFit="1" customWidth="1"/>
    <col min="1311" max="1311" width="16.140625" bestFit="1" customWidth="1"/>
    <col min="1539" max="1539" width="24" bestFit="1" customWidth="1"/>
    <col min="1540" max="1540" width="45.7109375" bestFit="1" customWidth="1"/>
    <col min="1541" max="1541" width="19.7109375" bestFit="1" customWidth="1"/>
    <col min="1542" max="1542" width="11.42578125" bestFit="1" customWidth="1"/>
    <col min="1543" max="1543" width="19.85546875" bestFit="1" customWidth="1"/>
    <col min="1544" max="1544" width="13.42578125" customWidth="1"/>
    <col min="1545" max="1545" width="15.28515625" bestFit="1" customWidth="1"/>
    <col min="1546" max="1546" width="14.140625" bestFit="1" customWidth="1"/>
    <col min="1547" max="1547" width="15.28515625" customWidth="1"/>
    <col min="1548" max="1548" width="15.85546875" customWidth="1"/>
    <col min="1549" max="1549" width="17" bestFit="1" customWidth="1"/>
    <col min="1550" max="1550" width="12.7109375" customWidth="1"/>
    <col min="1551" max="1551" width="13.7109375" customWidth="1"/>
    <col min="1552" max="1552" width="13.85546875" bestFit="1" customWidth="1"/>
    <col min="1553" max="1553" width="15.5703125" bestFit="1" customWidth="1"/>
    <col min="1554" max="1554" width="16.140625" customWidth="1"/>
    <col min="1555" max="1555" width="16.7109375" bestFit="1" customWidth="1"/>
    <col min="1556" max="1557" width="15.5703125" bestFit="1" customWidth="1"/>
    <col min="1558" max="1558" width="16.42578125" bestFit="1" customWidth="1"/>
    <col min="1559" max="1559" width="14.28515625" customWidth="1"/>
    <col min="1560" max="1560" width="12.85546875" bestFit="1" customWidth="1"/>
    <col min="1561" max="1561" width="11.28515625" bestFit="1" customWidth="1"/>
    <col min="1562" max="1562" width="12.5703125" bestFit="1" customWidth="1"/>
    <col min="1563" max="1563" width="14" bestFit="1" customWidth="1"/>
    <col min="1564" max="1564" width="6" bestFit="1" customWidth="1"/>
    <col min="1565" max="1565" width="15" customWidth="1"/>
    <col min="1566" max="1566" width="14.85546875" bestFit="1" customWidth="1"/>
    <col min="1567" max="1567" width="16.140625" bestFit="1" customWidth="1"/>
    <col min="1795" max="1795" width="24" bestFit="1" customWidth="1"/>
    <col min="1796" max="1796" width="45.7109375" bestFit="1" customWidth="1"/>
    <col min="1797" max="1797" width="19.7109375" bestFit="1" customWidth="1"/>
    <col min="1798" max="1798" width="11.42578125" bestFit="1" customWidth="1"/>
    <col min="1799" max="1799" width="19.85546875" bestFit="1" customWidth="1"/>
    <col min="1800" max="1800" width="13.42578125" customWidth="1"/>
    <col min="1801" max="1801" width="15.28515625" bestFit="1" customWidth="1"/>
    <col min="1802" max="1802" width="14.140625" bestFit="1" customWidth="1"/>
    <col min="1803" max="1803" width="15.28515625" customWidth="1"/>
    <col min="1804" max="1804" width="15.85546875" customWidth="1"/>
    <col min="1805" max="1805" width="17" bestFit="1" customWidth="1"/>
    <col min="1806" max="1806" width="12.7109375" customWidth="1"/>
    <col min="1807" max="1807" width="13.7109375" customWidth="1"/>
    <col min="1808" max="1808" width="13.85546875" bestFit="1" customWidth="1"/>
    <col min="1809" max="1809" width="15.5703125" bestFit="1" customWidth="1"/>
    <col min="1810" max="1810" width="16.140625" customWidth="1"/>
    <col min="1811" max="1811" width="16.7109375" bestFit="1" customWidth="1"/>
    <col min="1812" max="1813" width="15.5703125" bestFit="1" customWidth="1"/>
    <col min="1814" max="1814" width="16.42578125" bestFit="1" customWidth="1"/>
    <col min="1815" max="1815" width="14.28515625" customWidth="1"/>
    <col min="1816" max="1816" width="12.85546875" bestFit="1" customWidth="1"/>
    <col min="1817" max="1817" width="11.28515625" bestFit="1" customWidth="1"/>
    <col min="1818" max="1818" width="12.5703125" bestFit="1" customWidth="1"/>
    <col min="1819" max="1819" width="14" bestFit="1" customWidth="1"/>
    <col min="1820" max="1820" width="6" bestFit="1" customWidth="1"/>
    <col min="1821" max="1821" width="15" customWidth="1"/>
    <col min="1822" max="1822" width="14.85546875" bestFit="1" customWidth="1"/>
    <col min="1823" max="1823" width="16.140625" bestFit="1" customWidth="1"/>
    <col min="2051" max="2051" width="24" bestFit="1" customWidth="1"/>
    <col min="2052" max="2052" width="45.7109375" bestFit="1" customWidth="1"/>
    <col min="2053" max="2053" width="19.7109375" bestFit="1" customWidth="1"/>
    <col min="2054" max="2054" width="11.42578125" bestFit="1" customWidth="1"/>
    <col min="2055" max="2055" width="19.85546875" bestFit="1" customWidth="1"/>
    <col min="2056" max="2056" width="13.42578125" customWidth="1"/>
    <col min="2057" max="2057" width="15.28515625" bestFit="1" customWidth="1"/>
    <col min="2058" max="2058" width="14.140625" bestFit="1" customWidth="1"/>
    <col min="2059" max="2059" width="15.28515625" customWidth="1"/>
    <col min="2060" max="2060" width="15.85546875" customWidth="1"/>
    <col min="2061" max="2061" width="17" bestFit="1" customWidth="1"/>
    <col min="2062" max="2062" width="12.7109375" customWidth="1"/>
    <col min="2063" max="2063" width="13.7109375" customWidth="1"/>
    <col min="2064" max="2064" width="13.85546875" bestFit="1" customWidth="1"/>
    <col min="2065" max="2065" width="15.5703125" bestFit="1" customWidth="1"/>
    <col min="2066" max="2066" width="16.140625" customWidth="1"/>
    <col min="2067" max="2067" width="16.7109375" bestFit="1" customWidth="1"/>
    <col min="2068" max="2069" width="15.5703125" bestFit="1" customWidth="1"/>
    <col min="2070" max="2070" width="16.42578125" bestFit="1" customWidth="1"/>
    <col min="2071" max="2071" width="14.28515625" customWidth="1"/>
    <col min="2072" max="2072" width="12.85546875" bestFit="1" customWidth="1"/>
    <col min="2073" max="2073" width="11.28515625" bestFit="1" customWidth="1"/>
    <col min="2074" max="2074" width="12.5703125" bestFit="1" customWidth="1"/>
    <col min="2075" max="2075" width="14" bestFit="1" customWidth="1"/>
    <col min="2076" max="2076" width="6" bestFit="1" customWidth="1"/>
    <col min="2077" max="2077" width="15" customWidth="1"/>
    <col min="2078" max="2078" width="14.85546875" bestFit="1" customWidth="1"/>
    <col min="2079" max="2079" width="16.140625" bestFit="1" customWidth="1"/>
    <col min="2307" max="2307" width="24" bestFit="1" customWidth="1"/>
    <col min="2308" max="2308" width="45.7109375" bestFit="1" customWidth="1"/>
    <col min="2309" max="2309" width="19.7109375" bestFit="1" customWidth="1"/>
    <col min="2310" max="2310" width="11.42578125" bestFit="1" customWidth="1"/>
    <col min="2311" max="2311" width="19.85546875" bestFit="1" customWidth="1"/>
    <col min="2312" max="2312" width="13.42578125" customWidth="1"/>
    <col min="2313" max="2313" width="15.28515625" bestFit="1" customWidth="1"/>
    <col min="2314" max="2314" width="14.140625" bestFit="1" customWidth="1"/>
    <col min="2315" max="2315" width="15.28515625" customWidth="1"/>
    <col min="2316" max="2316" width="15.85546875" customWidth="1"/>
    <col min="2317" max="2317" width="17" bestFit="1" customWidth="1"/>
    <col min="2318" max="2318" width="12.7109375" customWidth="1"/>
    <col min="2319" max="2319" width="13.7109375" customWidth="1"/>
    <col min="2320" max="2320" width="13.85546875" bestFit="1" customWidth="1"/>
    <col min="2321" max="2321" width="15.5703125" bestFit="1" customWidth="1"/>
    <col min="2322" max="2322" width="16.140625" customWidth="1"/>
    <col min="2323" max="2323" width="16.7109375" bestFit="1" customWidth="1"/>
    <col min="2324" max="2325" width="15.5703125" bestFit="1" customWidth="1"/>
    <col min="2326" max="2326" width="16.42578125" bestFit="1" customWidth="1"/>
    <col min="2327" max="2327" width="14.28515625" customWidth="1"/>
    <col min="2328" max="2328" width="12.85546875" bestFit="1" customWidth="1"/>
    <col min="2329" max="2329" width="11.28515625" bestFit="1" customWidth="1"/>
    <col min="2330" max="2330" width="12.5703125" bestFit="1" customWidth="1"/>
    <col min="2331" max="2331" width="14" bestFit="1" customWidth="1"/>
    <col min="2332" max="2332" width="6" bestFit="1" customWidth="1"/>
    <col min="2333" max="2333" width="15" customWidth="1"/>
    <col min="2334" max="2334" width="14.85546875" bestFit="1" customWidth="1"/>
    <col min="2335" max="2335" width="16.140625" bestFit="1" customWidth="1"/>
    <col min="2563" max="2563" width="24" bestFit="1" customWidth="1"/>
    <col min="2564" max="2564" width="45.7109375" bestFit="1" customWidth="1"/>
    <col min="2565" max="2565" width="19.7109375" bestFit="1" customWidth="1"/>
    <col min="2566" max="2566" width="11.42578125" bestFit="1" customWidth="1"/>
    <col min="2567" max="2567" width="19.85546875" bestFit="1" customWidth="1"/>
    <col min="2568" max="2568" width="13.42578125" customWidth="1"/>
    <col min="2569" max="2569" width="15.28515625" bestFit="1" customWidth="1"/>
    <col min="2570" max="2570" width="14.140625" bestFit="1" customWidth="1"/>
    <col min="2571" max="2571" width="15.28515625" customWidth="1"/>
    <col min="2572" max="2572" width="15.85546875" customWidth="1"/>
    <col min="2573" max="2573" width="17" bestFit="1" customWidth="1"/>
    <col min="2574" max="2574" width="12.7109375" customWidth="1"/>
    <col min="2575" max="2575" width="13.7109375" customWidth="1"/>
    <col min="2576" max="2576" width="13.85546875" bestFit="1" customWidth="1"/>
    <col min="2577" max="2577" width="15.5703125" bestFit="1" customWidth="1"/>
    <col min="2578" max="2578" width="16.140625" customWidth="1"/>
    <col min="2579" max="2579" width="16.7109375" bestFit="1" customWidth="1"/>
    <col min="2580" max="2581" width="15.5703125" bestFit="1" customWidth="1"/>
    <col min="2582" max="2582" width="16.42578125" bestFit="1" customWidth="1"/>
    <col min="2583" max="2583" width="14.28515625" customWidth="1"/>
    <col min="2584" max="2584" width="12.85546875" bestFit="1" customWidth="1"/>
    <col min="2585" max="2585" width="11.28515625" bestFit="1" customWidth="1"/>
    <col min="2586" max="2586" width="12.5703125" bestFit="1" customWidth="1"/>
    <col min="2587" max="2587" width="14" bestFit="1" customWidth="1"/>
    <col min="2588" max="2588" width="6" bestFit="1" customWidth="1"/>
    <col min="2589" max="2589" width="15" customWidth="1"/>
    <col min="2590" max="2590" width="14.85546875" bestFit="1" customWidth="1"/>
    <col min="2591" max="2591" width="16.140625" bestFit="1" customWidth="1"/>
    <col min="2819" max="2819" width="24" bestFit="1" customWidth="1"/>
    <col min="2820" max="2820" width="45.7109375" bestFit="1" customWidth="1"/>
    <col min="2821" max="2821" width="19.7109375" bestFit="1" customWidth="1"/>
    <col min="2822" max="2822" width="11.42578125" bestFit="1" customWidth="1"/>
    <col min="2823" max="2823" width="19.85546875" bestFit="1" customWidth="1"/>
    <col min="2824" max="2824" width="13.42578125" customWidth="1"/>
    <col min="2825" max="2825" width="15.28515625" bestFit="1" customWidth="1"/>
    <col min="2826" max="2826" width="14.140625" bestFit="1" customWidth="1"/>
    <col min="2827" max="2827" width="15.28515625" customWidth="1"/>
    <col min="2828" max="2828" width="15.85546875" customWidth="1"/>
    <col min="2829" max="2829" width="17" bestFit="1" customWidth="1"/>
    <col min="2830" max="2830" width="12.7109375" customWidth="1"/>
    <col min="2831" max="2831" width="13.7109375" customWidth="1"/>
    <col min="2832" max="2832" width="13.85546875" bestFit="1" customWidth="1"/>
    <col min="2833" max="2833" width="15.5703125" bestFit="1" customWidth="1"/>
    <col min="2834" max="2834" width="16.140625" customWidth="1"/>
    <col min="2835" max="2835" width="16.7109375" bestFit="1" customWidth="1"/>
    <col min="2836" max="2837" width="15.5703125" bestFit="1" customWidth="1"/>
    <col min="2838" max="2838" width="16.42578125" bestFit="1" customWidth="1"/>
    <col min="2839" max="2839" width="14.28515625" customWidth="1"/>
    <col min="2840" max="2840" width="12.85546875" bestFit="1" customWidth="1"/>
    <col min="2841" max="2841" width="11.28515625" bestFit="1" customWidth="1"/>
    <col min="2842" max="2842" width="12.5703125" bestFit="1" customWidth="1"/>
    <col min="2843" max="2843" width="14" bestFit="1" customWidth="1"/>
    <col min="2844" max="2844" width="6" bestFit="1" customWidth="1"/>
    <col min="2845" max="2845" width="15" customWidth="1"/>
    <col min="2846" max="2846" width="14.85546875" bestFit="1" customWidth="1"/>
    <col min="2847" max="2847" width="16.140625" bestFit="1" customWidth="1"/>
    <col min="3075" max="3075" width="24" bestFit="1" customWidth="1"/>
    <col min="3076" max="3076" width="45.7109375" bestFit="1" customWidth="1"/>
    <col min="3077" max="3077" width="19.7109375" bestFit="1" customWidth="1"/>
    <col min="3078" max="3078" width="11.42578125" bestFit="1" customWidth="1"/>
    <col min="3079" max="3079" width="19.85546875" bestFit="1" customWidth="1"/>
    <col min="3080" max="3080" width="13.42578125" customWidth="1"/>
    <col min="3081" max="3081" width="15.28515625" bestFit="1" customWidth="1"/>
    <col min="3082" max="3082" width="14.140625" bestFit="1" customWidth="1"/>
    <col min="3083" max="3083" width="15.28515625" customWidth="1"/>
    <col min="3084" max="3084" width="15.85546875" customWidth="1"/>
    <col min="3085" max="3085" width="17" bestFit="1" customWidth="1"/>
    <col min="3086" max="3086" width="12.7109375" customWidth="1"/>
    <col min="3087" max="3087" width="13.7109375" customWidth="1"/>
    <col min="3088" max="3088" width="13.85546875" bestFit="1" customWidth="1"/>
    <col min="3089" max="3089" width="15.5703125" bestFit="1" customWidth="1"/>
    <col min="3090" max="3090" width="16.140625" customWidth="1"/>
    <col min="3091" max="3091" width="16.7109375" bestFit="1" customWidth="1"/>
    <col min="3092" max="3093" width="15.5703125" bestFit="1" customWidth="1"/>
    <col min="3094" max="3094" width="16.42578125" bestFit="1" customWidth="1"/>
    <col min="3095" max="3095" width="14.28515625" customWidth="1"/>
    <col min="3096" max="3096" width="12.85546875" bestFit="1" customWidth="1"/>
    <col min="3097" max="3097" width="11.28515625" bestFit="1" customWidth="1"/>
    <col min="3098" max="3098" width="12.5703125" bestFit="1" customWidth="1"/>
    <col min="3099" max="3099" width="14" bestFit="1" customWidth="1"/>
    <col min="3100" max="3100" width="6" bestFit="1" customWidth="1"/>
    <col min="3101" max="3101" width="15" customWidth="1"/>
    <col min="3102" max="3102" width="14.85546875" bestFit="1" customWidth="1"/>
    <col min="3103" max="3103" width="16.140625" bestFit="1" customWidth="1"/>
    <col min="3331" max="3331" width="24" bestFit="1" customWidth="1"/>
    <col min="3332" max="3332" width="45.7109375" bestFit="1" customWidth="1"/>
    <col min="3333" max="3333" width="19.7109375" bestFit="1" customWidth="1"/>
    <col min="3334" max="3334" width="11.42578125" bestFit="1" customWidth="1"/>
    <col min="3335" max="3335" width="19.85546875" bestFit="1" customWidth="1"/>
    <col min="3336" max="3336" width="13.42578125" customWidth="1"/>
    <col min="3337" max="3337" width="15.28515625" bestFit="1" customWidth="1"/>
    <col min="3338" max="3338" width="14.140625" bestFit="1" customWidth="1"/>
    <col min="3339" max="3339" width="15.28515625" customWidth="1"/>
    <col min="3340" max="3340" width="15.85546875" customWidth="1"/>
    <col min="3341" max="3341" width="17" bestFit="1" customWidth="1"/>
    <col min="3342" max="3342" width="12.7109375" customWidth="1"/>
    <col min="3343" max="3343" width="13.7109375" customWidth="1"/>
    <col min="3344" max="3344" width="13.85546875" bestFit="1" customWidth="1"/>
    <col min="3345" max="3345" width="15.5703125" bestFit="1" customWidth="1"/>
    <col min="3346" max="3346" width="16.140625" customWidth="1"/>
    <col min="3347" max="3347" width="16.7109375" bestFit="1" customWidth="1"/>
    <col min="3348" max="3349" width="15.5703125" bestFit="1" customWidth="1"/>
    <col min="3350" max="3350" width="16.42578125" bestFit="1" customWidth="1"/>
    <col min="3351" max="3351" width="14.28515625" customWidth="1"/>
    <col min="3352" max="3352" width="12.85546875" bestFit="1" customWidth="1"/>
    <col min="3353" max="3353" width="11.28515625" bestFit="1" customWidth="1"/>
    <col min="3354" max="3354" width="12.5703125" bestFit="1" customWidth="1"/>
    <col min="3355" max="3355" width="14" bestFit="1" customWidth="1"/>
    <col min="3356" max="3356" width="6" bestFit="1" customWidth="1"/>
    <col min="3357" max="3357" width="15" customWidth="1"/>
    <col min="3358" max="3358" width="14.85546875" bestFit="1" customWidth="1"/>
    <col min="3359" max="3359" width="16.140625" bestFit="1" customWidth="1"/>
    <col min="3587" max="3587" width="24" bestFit="1" customWidth="1"/>
    <col min="3588" max="3588" width="45.7109375" bestFit="1" customWidth="1"/>
    <col min="3589" max="3589" width="19.7109375" bestFit="1" customWidth="1"/>
    <col min="3590" max="3590" width="11.42578125" bestFit="1" customWidth="1"/>
    <col min="3591" max="3591" width="19.85546875" bestFit="1" customWidth="1"/>
    <col min="3592" max="3592" width="13.42578125" customWidth="1"/>
    <col min="3593" max="3593" width="15.28515625" bestFit="1" customWidth="1"/>
    <col min="3594" max="3594" width="14.140625" bestFit="1" customWidth="1"/>
    <col min="3595" max="3595" width="15.28515625" customWidth="1"/>
    <col min="3596" max="3596" width="15.85546875" customWidth="1"/>
    <col min="3597" max="3597" width="17" bestFit="1" customWidth="1"/>
    <col min="3598" max="3598" width="12.7109375" customWidth="1"/>
    <col min="3599" max="3599" width="13.7109375" customWidth="1"/>
    <col min="3600" max="3600" width="13.85546875" bestFit="1" customWidth="1"/>
    <col min="3601" max="3601" width="15.5703125" bestFit="1" customWidth="1"/>
    <col min="3602" max="3602" width="16.140625" customWidth="1"/>
    <col min="3603" max="3603" width="16.7109375" bestFit="1" customWidth="1"/>
    <col min="3604" max="3605" width="15.5703125" bestFit="1" customWidth="1"/>
    <col min="3606" max="3606" width="16.42578125" bestFit="1" customWidth="1"/>
    <col min="3607" max="3607" width="14.28515625" customWidth="1"/>
    <col min="3608" max="3608" width="12.85546875" bestFit="1" customWidth="1"/>
    <col min="3609" max="3609" width="11.28515625" bestFit="1" customWidth="1"/>
    <col min="3610" max="3610" width="12.5703125" bestFit="1" customWidth="1"/>
    <col min="3611" max="3611" width="14" bestFit="1" customWidth="1"/>
    <col min="3612" max="3612" width="6" bestFit="1" customWidth="1"/>
    <col min="3613" max="3613" width="15" customWidth="1"/>
    <col min="3614" max="3614" width="14.85546875" bestFit="1" customWidth="1"/>
    <col min="3615" max="3615" width="16.140625" bestFit="1" customWidth="1"/>
    <col min="3843" max="3843" width="24" bestFit="1" customWidth="1"/>
    <col min="3844" max="3844" width="45.7109375" bestFit="1" customWidth="1"/>
    <col min="3845" max="3845" width="19.7109375" bestFit="1" customWidth="1"/>
    <col min="3846" max="3846" width="11.42578125" bestFit="1" customWidth="1"/>
    <col min="3847" max="3847" width="19.85546875" bestFit="1" customWidth="1"/>
    <col min="3848" max="3848" width="13.42578125" customWidth="1"/>
    <col min="3849" max="3849" width="15.28515625" bestFit="1" customWidth="1"/>
    <col min="3850" max="3850" width="14.140625" bestFit="1" customWidth="1"/>
    <col min="3851" max="3851" width="15.28515625" customWidth="1"/>
    <col min="3852" max="3852" width="15.85546875" customWidth="1"/>
    <col min="3853" max="3853" width="17" bestFit="1" customWidth="1"/>
    <col min="3854" max="3854" width="12.7109375" customWidth="1"/>
    <col min="3855" max="3855" width="13.7109375" customWidth="1"/>
    <col min="3856" max="3856" width="13.85546875" bestFit="1" customWidth="1"/>
    <col min="3857" max="3857" width="15.5703125" bestFit="1" customWidth="1"/>
    <col min="3858" max="3858" width="16.140625" customWidth="1"/>
    <col min="3859" max="3859" width="16.7109375" bestFit="1" customWidth="1"/>
    <col min="3860" max="3861" width="15.5703125" bestFit="1" customWidth="1"/>
    <col min="3862" max="3862" width="16.42578125" bestFit="1" customWidth="1"/>
    <col min="3863" max="3863" width="14.28515625" customWidth="1"/>
    <col min="3864" max="3864" width="12.85546875" bestFit="1" customWidth="1"/>
    <col min="3865" max="3865" width="11.28515625" bestFit="1" customWidth="1"/>
    <col min="3866" max="3866" width="12.5703125" bestFit="1" customWidth="1"/>
    <col min="3867" max="3867" width="14" bestFit="1" customWidth="1"/>
    <col min="3868" max="3868" width="6" bestFit="1" customWidth="1"/>
    <col min="3869" max="3869" width="15" customWidth="1"/>
    <col min="3870" max="3870" width="14.85546875" bestFit="1" customWidth="1"/>
    <col min="3871" max="3871" width="16.140625" bestFit="1" customWidth="1"/>
    <col min="4099" max="4099" width="24" bestFit="1" customWidth="1"/>
    <col min="4100" max="4100" width="45.7109375" bestFit="1" customWidth="1"/>
    <col min="4101" max="4101" width="19.7109375" bestFit="1" customWidth="1"/>
    <col min="4102" max="4102" width="11.42578125" bestFit="1" customWidth="1"/>
    <col min="4103" max="4103" width="19.85546875" bestFit="1" customWidth="1"/>
    <col min="4104" max="4104" width="13.42578125" customWidth="1"/>
    <col min="4105" max="4105" width="15.28515625" bestFit="1" customWidth="1"/>
    <col min="4106" max="4106" width="14.140625" bestFit="1" customWidth="1"/>
    <col min="4107" max="4107" width="15.28515625" customWidth="1"/>
    <col min="4108" max="4108" width="15.85546875" customWidth="1"/>
    <col min="4109" max="4109" width="17" bestFit="1" customWidth="1"/>
    <col min="4110" max="4110" width="12.7109375" customWidth="1"/>
    <col min="4111" max="4111" width="13.7109375" customWidth="1"/>
    <col min="4112" max="4112" width="13.85546875" bestFit="1" customWidth="1"/>
    <col min="4113" max="4113" width="15.5703125" bestFit="1" customWidth="1"/>
    <col min="4114" max="4114" width="16.140625" customWidth="1"/>
    <col min="4115" max="4115" width="16.7109375" bestFit="1" customWidth="1"/>
    <col min="4116" max="4117" width="15.5703125" bestFit="1" customWidth="1"/>
    <col min="4118" max="4118" width="16.42578125" bestFit="1" customWidth="1"/>
    <col min="4119" max="4119" width="14.28515625" customWidth="1"/>
    <col min="4120" max="4120" width="12.85546875" bestFit="1" customWidth="1"/>
    <col min="4121" max="4121" width="11.28515625" bestFit="1" customWidth="1"/>
    <col min="4122" max="4122" width="12.5703125" bestFit="1" customWidth="1"/>
    <col min="4123" max="4123" width="14" bestFit="1" customWidth="1"/>
    <col min="4124" max="4124" width="6" bestFit="1" customWidth="1"/>
    <col min="4125" max="4125" width="15" customWidth="1"/>
    <col min="4126" max="4126" width="14.85546875" bestFit="1" customWidth="1"/>
    <col min="4127" max="4127" width="16.140625" bestFit="1" customWidth="1"/>
    <col min="4355" max="4355" width="24" bestFit="1" customWidth="1"/>
    <col min="4356" max="4356" width="45.7109375" bestFit="1" customWidth="1"/>
    <col min="4357" max="4357" width="19.7109375" bestFit="1" customWidth="1"/>
    <col min="4358" max="4358" width="11.42578125" bestFit="1" customWidth="1"/>
    <col min="4359" max="4359" width="19.85546875" bestFit="1" customWidth="1"/>
    <col min="4360" max="4360" width="13.42578125" customWidth="1"/>
    <col min="4361" max="4361" width="15.28515625" bestFit="1" customWidth="1"/>
    <col min="4362" max="4362" width="14.140625" bestFit="1" customWidth="1"/>
    <col min="4363" max="4363" width="15.28515625" customWidth="1"/>
    <col min="4364" max="4364" width="15.85546875" customWidth="1"/>
    <col min="4365" max="4365" width="17" bestFit="1" customWidth="1"/>
    <col min="4366" max="4366" width="12.7109375" customWidth="1"/>
    <col min="4367" max="4367" width="13.7109375" customWidth="1"/>
    <col min="4368" max="4368" width="13.85546875" bestFit="1" customWidth="1"/>
    <col min="4369" max="4369" width="15.5703125" bestFit="1" customWidth="1"/>
    <col min="4370" max="4370" width="16.140625" customWidth="1"/>
    <col min="4371" max="4371" width="16.7109375" bestFit="1" customWidth="1"/>
    <col min="4372" max="4373" width="15.5703125" bestFit="1" customWidth="1"/>
    <col min="4374" max="4374" width="16.42578125" bestFit="1" customWidth="1"/>
    <col min="4375" max="4375" width="14.28515625" customWidth="1"/>
    <col min="4376" max="4376" width="12.85546875" bestFit="1" customWidth="1"/>
    <col min="4377" max="4377" width="11.28515625" bestFit="1" customWidth="1"/>
    <col min="4378" max="4378" width="12.5703125" bestFit="1" customWidth="1"/>
    <col min="4379" max="4379" width="14" bestFit="1" customWidth="1"/>
    <col min="4380" max="4380" width="6" bestFit="1" customWidth="1"/>
    <col min="4381" max="4381" width="15" customWidth="1"/>
    <col min="4382" max="4382" width="14.85546875" bestFit="1" customWidth="1"/>
    <col min="4383" max="4383" width="16.140625" bestFit="1" customWidth="1"/>
    <col min="4611" max="4611" width="24" bestFit="1" customWidth="1"/>
    <col min="4612" max="4612" width="45.7109375" bestFit="1" customWidth="1"/>
    <col min="4613" max="4613" width="19.7109375" bestFit="1" customWidth="1"/>
    <col min="4614" max="4614" width="11.42578125" bestFit="1" customWidth="1"/>
    <col min="4615" max="4615" width="19.85546875" bestFit="1" customWidth="1"/>
    <col min="4616" max="4616" width="13.42578125" customWidth="1"/>
    <col min="4617" max="4617" width="15.28515625" bestFit="1" customWidth="1"/>
    <col min="4618" max="4618" width="14.140625" bestFit="1" customWidth="1"/>
    <col min="4619" max="4619" width="15.28515625" customWidth="1"/>
    <col min="4620" max="4620" width="15.85546875" customWidth="1"/>
    <col min="4621" max="4621" width="17" bestFit="1" customWidth="1"/>
    <col min="4622" max="4622" width="12.7109375" customWidth="1"/>
    <col min="4623" max="4623" width="13.7109375" customWidth="1"/>
    <col min="4624" max="4624" width="13.85546875" bestFit="1" customWidth="1"/>
    <col min="4625" max="4625" width="15.5703125" bestFit="1" customWidth="1"/>
    <col min="4626" max="4626" width="16.140625" customWidth="1"/>
    <col min="4627" max="4627" width="16.7109375" bestFit="1" customWidth="1"/>
    <col min="4628" max="4629" width="15.5703125" bestFit="1" customWidth="1"/>
    <col min="4630" max="4630" width="16.42578125" bestFit="1" customWidth="1"/>
    <col min="4631" max="4631" width="14.28515625" customWidth="1"/>
    <col min="4632" max="4632" width="12.85546875" bestFit="1" customWidth="1"/>
    <col min="4633" max="4633" width="11.28515625" bestFit="1" customWidth="1"/>
    <col min="4634" max="4634" width="12.5703125" bestFit="1" customWidth="1"/>
    <col min="4635" max="4635" width="14" bestFit="1" customWidth="1"/>
    <col min="4636" max="4636" width="6" bestFit="1" customWidth="1"/>
    <col min="4637" max="4637" width="15" customWidth="1"/>
    <col min="4638" max="4638" width="14.85546875" bestFit="1" customWidth="1"/>
    <col min="4639" max="4639" width="16.140625" bestFit="1" customWidth="1"/>
    <col min="4867" max="4867" width="24" bestFit="1" customWidth="1"/>
    <col min="4868" max="4868" width="45.7109375" bestFit="1" customWidth="1"/>
    <col min="4869" max="4869" width="19.7109375" bestFit="1" customWidth="1"/>
    <col min="4870" max="4870" width="11.42578125" bestFit="1" customWidth="1"/>
    <col min="4871" max="4871" width="19.85546875" bestFit="1" customWidth="1"/>
    <col min="4872" max="4872" width="13.42578125" customWidth="1"/>
    <col min="4873" max="4873" width="15.28515625" bestFit="1" customWidth="1"/>
    <col min="4874" max="4874" width="14.140625" bestFit="1" customWidth="1"/>
    <col min="4875" max="4875" width="15.28515625" customWidth="1"/>
    <col min="4876" max="4876" width="15.85546875" customWidth="1"/>
    <col min="4877" max="4877" width="17" bestFit="1" customWidth="1"/>
    <col min="4878" max="4878" width="12.7109375" customWidth="1"/>
    <col min="4879" max="4879" width="13.7109375" customWidth="1"/>
    <col min="4880" max="4880" width="13.85546875" bestFit="1" customWidth="1"/>
    <col min="4881" max="4881" width="15.5703125" bestFit="1" customWidth="1"/>
    <col min="4882" max="4882" width="16.140625" customWidth="1"/>
    <col min="4883" max="4883" width="16.7109375" bestFit="1" customWidth="1"/>
    <col min="4884" max="4885" width="15.5703125" bestFit="1" customWidth="1"/>
    <col min="4886" max="4886" width="16.42578125" bestFit="1" customWidth="1"/>
    <col min="4887" max="4887" width="14.28515625" customWidth="1"/>
    <col min="4888" max="4888" width="12.85546875" bestFit="1" customWidth="1"/>
    <col min="4889" max="4889" width="11.28515625" bestFit="1" customWidth="1"/>
    <col min="4890" max="4890" width="12.5703125" bestFit="1" customWidth="1"/>
    <col min="4891" max="4891" width="14" bestFit="1" customWidth="1"/>
    <col min="4892" max="4892" width="6" bestFit="1" customWidth="1"/>
    <col min="4893" max="4893" width="15" customWidth="1"/>
    <col min="4894" max="4894" width="14.85546875" bestFit="1" customWidth="1"/>
    <col min="4895" max="4895" width="16.140625" bestFit="1" customWidth="1"/>
    <col min="5123" max="5123" width="24" bestFit="1" customWidth="1"/>
    <col min="5124" max="5124" width="45.7109375" bestFit="1" customWidth="1"/>
    <col min="5125" max="5125" width="19.7109375" bestFit="1" customWidth="1"/>
    <col min="5126" max="5126" width="11.42578125" bestFit="1" customWidth="1"/>
    <col min="5127" max="5127" width="19.85546875" bestFit="1" customWidth="1"/>
    <col min="5128" max="5128" width="13.42578125" customWidth="1"/>
    <col min="5129" max="5129" width="15.28515625" bestFit="1" customWidth="1"/>
    <col min="5130" max="5130" width="14.140625" bestFit="1" customWidth="1"/>
    <col min="5131" max="5131" width="15.28515625" customWidth="1"/>
    <col min="5132" max="5132" width="15.85546875" customWidth="1"/>
    <col min="5133" max="5133" width="17" bestFit="1" customWidth="1"/>
    <col min="5134" max="5134" width="12.7109375" customWidth="1"/>
    <col min="5135" max="5135" width="13.7109375" customWidth="1"/>
    <col min="5136" max="5136" width="13.85546875" bestFit="1" customWidth="1"/>
    <col min="5137" max="5137" width="15.5703125" bestFit="1" customWidth="1"/>
    <col min="5138" max="5138" width="16.140625" customWidth="1"/>
    <col min="5139" max="5139" width="16.7109375" bestFit="1" customWidth="1"/>
    <col min="5140" max="5141" width="15.5703125" bestFit="1" customWidth="1"/>
    <col min="5142" max="5142" width="16.42578125" bestFit="1" customWidth="1"/>
    <col min="5143" max="5143" width="14.28515625" customWidth="1"/>
    <col min="5144" max="5144" width="12.85546875" bestFit="1" customWidth="1"/>
    <col min="5145" max="5145" width="11.28515625" bestFit="1" customWidth="1"/>
    <col min="5146" max="5146" width="12.5703125" bestFit="1" customWidth="1"/>
    <col min="5147" max="5147" width="14" bestFit="1" customWidth="1"/>
    <col min="5148" max="5148" width="6" bestFit="1" customWidth="1"/>
    <col min="5149" max="5149" width="15" customWidth="1"/>
    <col min="5150" max="5150" width="14.85546875" bestFit="1" customWidth="1"/>
    <col min="5151" max="5151" width="16.140625" bestFit="1" customWidth="1"/>
    <col min="5379" max="5379" width="24" bestFit="1" customWidth="1"/>
    <col min="5380" max="5380" width="45.7109375" bestFit="1" customWidth="1"/>
    <col min="5381" max="5381" width="19.7109375" bestFit="1" customWidth="1"/>
    <col min="5382" max="5382" width="11.42578125" bestFit="1" customWidth="1"/>
    <col min="5383" max="5383" width="19.85546875" bestFit="1" customWidth="1"/>
    <col min="5384" max="5384" width="13.42578125" customWidth="1"/>
    <col min="5385" max="5385" width="15.28515625" bestFit="1" customWidth="1"/>
    <col min="5386" max="5386" width="14.140625" bestFit="1" customWidth="1"/>
    <col min="5387" max="5387" width="15.28515625" customWidth="1"/>
    <col min="5388" max="5388" width="15.85546875" customWidth="1"/>
    <col min="5389" max="5389" width="17" bestFit="1" customWidth="1"/>
    <col min="5390" max="5390" width="12.7109375" customWidth="1"/>
    <col min="5391" max="5391" width="13.7109375" customWidth="1"/>
    <col min="5392" max="5392" width="13.85546875" bestFit="1" customWidth="1"/>
    <col min="5393" max="5393" width="15.5703125" bestFit="1" customWidth="1"/>
    <col min="5394" max="5394" width="16.140625" customWidth="1"/>
    <col min="5395" max="5395" width="16.7109375" bestFit="1" customWidth="1"/>
    <col min="5396" max="5397" width="15.5703125" bestFit="1" customWidth="1"/>
    <col min="5398" max="5398" width="16.42578125" bestFit="1" customWidth="1"/>
    <col min="5399" max="5399" width="14.28515625" customWidth="1"/>
    <col min="5400" max="5400" width="12.85546875" bestFit="1" customWidth="1"/>
    <col min="5401" max="5401" width="11.28515625" bestFit="1" customWidth="1"/>
    <col min="5402" max="5402" width="12.5703125" bestFit="1" customWidth="1"/>
    <col min="5403" max="5403" width="14" bestFit="1" customWidth="1"/>
    <col min="5404" max="5404" width="6" bestFit="1" customWidth="1"/>
    <col min="5405" max="5405" width="15" customWidth="1"/>
    <col min="5406" max="5406" width="14.85546875" bestFit="1" customWidth="1"/>
    <col min="5407" max="5407" width="16.140625" bestFit="1" customWidth="1"/>
    <col min="5635" max="5635" width="24" bestFit="1" customWidth="1"/>
    <col min="5636" max="5636" width="45.7109375" bestFit="1" customWidth="1"/>
    <col min="5637" max="5637" width="19.7109375" bestFit="1" customWidth="1"/>
    <col min="5638" max="5638" width="11.42578125" bestFit="1" customWidth="1"/>
    <col min="5639" max="5639" width="19.85546875" bestFit="1" customWidth="1"/>
    <col min="5640" max="5640" width="13.42578125" customWidth="1"/>
    <col min="5641" max="5641" width="15.28515625" bestFit="1" customWidth="1"/>
    <col min="5642" max="5642" width="14.140625" bestFit="1" customWidth="1"/>
    <col min="5643" max="5643" width="15.28515625" customWidth="1"/>
    <col min="5644" max="5644" width="15.85546875" customWidth="1"/>
    <col min="5645" max="5645" width="17" bestFit="1" customWidth="1"/>
    <col min="5646" max="5646" width="12.7109375" customWidth="1"/>
    <col min="5647" max="5647" width="13.7109375" customWidth="1"/>
    <col min="5648" max="5648" width="13.85546875" bestFit="1" customWidth="1"/>
    <col min="5649" max="5649" width="15.5703125" bestFit="1" customWidth="1"/>
    <col min="5650" max="5650" width="16.140625" customWidth="1"/>
    <col min="5651" max="5651" width="16.7109375" bestFit="1" customWidth="1"/>
    <col min="5652" max="5653" width="15.5703125" bestFit="1" customWidth="1"/>
    <col min="5654" max="5654" width="16.42578125" bestFit="1" customWidth="1"/>
    <col min="5655" max="5655" width="14.28515625" customWidth="1"/>
    <col min="5656" max="5656" width="12.85546875" bestFit="1" customWidth="1"/>
    <col min="5657" max="5657" width="11.28515625" bestFit="1" customWidth="1"/>
    <col min="5658" max="5658" width="12.5703125" bestFit="1" customWidth="1"/>
    <col min="5659" max="5659" width="14" bestFit="1" customWidth="1"/>
    <col min="5660" max="5660" width="6" bestFit="1" customWidth="1"/>
    <col min="5661" max="5661" width="15" customWidth="1"/>
    <col min="5662" max="5662" width="14.85546875" bestFit="1" customWidth="1"/>
    <col min="5663" max="5663" width="16.140625" bestFit="1" customWidth="1"/>
    <col min="5891" max="5891" width="24" bestFit="1" customWidth="1"/>
    <col min="5892" max="5892" width="45.7109375" bestFit="1" customWidth="1"/>
    <col min="5893" max="5893" width="19.7109375" bestFit="1" customWidth="1"/>
    <col min="5894" max="5894" width="11.42578125" bestFit="1" customWidth="1"/>
    <col min="5895" max="5895" width="19.85546875" bestFit="1" customWidth="1"/>
    <col min="5896" max="5896" width="13.42578125" customWidth="1"/>
    <col min="5897" max="5897" width="15.28515625" bestFit="1" customWidth="1"/>
    <col min="5898" max="5898" width="14.140625" bestFit="1" customWidth="1"/>
    <col min="5899" max="5899" width="15.28515625" customWidth="1"/>
    <col min="5900" max="5900" width="15.85546875" customWidth="1"/>
    <col min="5901" max="5901" width="17" bestFit="1" customWidth="1"/>
    <col min="5902" max="5902" width="12.7109375" customWidth="1"/>
    <col min="5903" max="5903" width="13.7109375" customWidth="1"/>
    <col min="5904" max="5904" width="13.85546875" bestFit="1" customWidth="1"/>
    <col min="5905" max="5905" width="15.5703125" bestFit="1" customWidth="1"/>
    <col min="5906" max="5906" width="16.140625" customWidth="1"/>
    <col min="5907" max="5907" width="16.7109375" bestFit="1" customWidth="1"/>
    <col min="5908" max="5909" width="15.5703125" bestFit="1" customWidth="1"/>
    <col min="5910" max="5910" width="16.42578125" bestFit="1" customWidth="1"/>
    <col min="5911" max="5911" width="14.28515625" customWidth="1"/>
    <col min="5912" max="5912" width="12.85546875" bestFit="1" customWidth="1"/>
    <col min="5913" max="5913" width="11.28515625" bestFit="1" customWidth="1"/>
    <col min="5914" max="5914" width="12.5703125" bestFit="1" customWidth="1"/>
    <col min="5915" max="5915" width="14" bestFit="1" customWidth="1"/>
    <col min="5916" max="5916" width="6" bestFit="1" customWidth="1"/>
    <col min="5917" max="5917" width="15" customWidth="1"/>
    <col min="5918" max="5918" width="14.85546875" bestFit="1" customWidth="1"/>
    <col min="5919" max="5919" width="16.140625" bestFit="1" customWidth="1"/>
    <col min="6147" max="6147" width="24" bestFit="1" customWidth="1"/>
    <col min="6148" max="6148" width="45.7109375" bestFit="1" customWidth="1"/>
    <col min="6149" max="6149" width="19.7109375" bestFit="1" customWidth="1"/>
    <col min="6150" max="6150" width="11.42578125" bestFit="1" customWidth="1"/>
    <col min="6151" max="6151" width="19.85546875" bestFit="1" customWidth="1"/>
    <col min="6152" max="6152" width="13.42578125" customWidth="1"/>
    <col min="6153" max="6153" width="15.28515625" bestFit="1" customWidth="1"/>
    <col min="6154" max="6154" width="14.140625" bestFit="1" customWidth="1"/>
    <col min="6155" max="6155" width="15.28515625" customWidth="1"/>
    <col min="6156" max="6156" width="15.85546875" customWidth="1"/>
    <col min="6157" max="6157" width="17" bestFit="1" customWidth="1"/>
    <col min="6158" max="6158" width="12.7109375" customWidth="1"/>
    <col min="6159" max="6159" width="13.7109375" customWidth="1"/>
    <col min="6160" max="6160" width="13.85546875" bestFit="1" customWidth="1"/>
    <col min="6161" max="6161" width="15.5703125" bestFit="1" customWidth="1"/>
    <col min="6162" max="6162" width="16.140625" customWidth="1"/>
    <col min="6163" max="6163" width="16.7109375" bestFit="1" customWidth="1"/>
    <col min="6164" max="6165" width="15.5703125" bestFit="1" customWidth="1"/>
    <col min="6166" max="6166" width="16.42578125" bestFit="1" customWidth="1"/>
    <col min="6167" max="6167" width="14.28515625" customWidth="1"/>
    <col min="6168" max="6168" width="12.85546875" bestFit="1" customWidth="1"/>
    <col min="6169" max="6169" width="11.28515625" bestFit="1" customWidth="1"/>
    <col min="6170" max="6170" width="12.5703125" bestFit="1" customWidth="1"/>
    <col min="6171" max="6171" width="14" bestFit="1" customWidth="1"/>
    <col min="6172" max="6172" width="6" bestFit="1" customWidth="1"/>
    <col min="6173" max="6173" width="15" customWidth="1"/>
    <col min="6174" max="6174" width="14.85546875" bestFit="1" customWidth="1"/>
    <col min="6175" max="6175" width="16.140625" bestFit="1" customWidth="1"/>
    <col min="6403" max="6403" width="24" bestFit="1" customWidth="1"/>
    <col min="6404" max="6404" width="45.7109375" bestFit="1" customWidth="1"/>
    <col min="6405" max="6405" width="19.7109375" bestFit="1" customWidth="1"/>
    <col min="6406" max="6406" width="11.42578125" bestFit="1" customWidth="1"/>
    <col min="6407" max="6407" width="19.85546875" bestFit="1" customWidth="1"/>
    <col min="6408" max="6408" width="13.42578125" customWidth="1"/>
    <col min="6409" max="6409" width="15.28515625" bestFit="1" customWidth="1"/>
    <col min="6410" max="6410" width="14.140625" bestFit="1" customWidth="1"/>
    <col min="6411" max="6411" width="15.28515625" customWidth="1"/>
    <col min="6412" max="6412" width="15.85546875" customWidth="1"/>
    <col min="6413" max="6413" width="17" bestFit="1" customWidth="1"/>
    <col min="6414" max="6414" width="12.7109375" customWidth="1"/>
    <col min="6415" max="6415" width="13.7109375" customWidth="1"/>
    <col min="6416" max="6416" width="13.85546875" bestFit="1" customWidth="1"/>
    <col min="6417" max="6417" width="15.5703125" bestFit="1" customWidth="1"/>
    <col min="6418" max="6418" width="16.140625" customWidth="1"/>
    <col min="6419" max="6419" width="16.7109375" bestFit="1" customWidth="1"/>
    <col min="6420" max="6421" width="15.5703125" bestFit="1" customWidth="1"/>
    <col min="6422" max="6422" width="16.42578125" bestFit="1" customWidth="1"/>
    <col min="6423" max="6423" width="14.28515625" customWidth="1"/>
    <col min="6424" max="6424" width="12.85546875" bestFit="1" customWidth="1"/>
    <col min="6425" max="6425" width="11.28515625" bestFit="1" customWidth="1"/>
    <col min="6426" max="6426" width="12.5703125" bestFit="1" customWidth="1"/>
    <col min="6427" max="6427" width="14" bestFit="1" customWidth="1"/>
    <col min="6428" max="6428" width="6" bestFit="1" customWidth="1"/>
    <col min="6429" max="6429" width="15" customWidth="1"/>
    <col min="6430" max="6430" width="14.85546875" bestFit="1" customWidth="1"/>
    <col min="6431" max="6431" width="16.140625" bestFit="1" customWidth="1"/>
    <col min="6659" max="6659" width="24" bestFit="1" customWidth="1"/>
    <col min="6660" max="6660" width="45.7109375" bestFit="1" customWidth="1"/>
    <col min="6661" max="6661" width="19.7109375" bestFit="1" customWidth="1"/>
    <col min="6662" max="6662" width="11.42578125" bestFit="1" customWidth="1"/>
    <col min="6663" max="6663" width="19.85546875" bestFit="1" customWidth="1"/>
    <col min="6664" max="6664" width="13.42578125" customWidth="1"/>
    <col min="6665" max="6665" width="15.28515625" bestFit="1" customWidth="1"/>
    <col min="6666" max="6666" width="14.140625" bestFit="1" customWidth="1"/>
    <col min="6667" max="6667" width="15.28515625" customWidth="1"/>
    <col min="6668" max="6668" width="15.85546875" customWidth="1"/>
    <col min="6669" max="6669" width="17" bestFit="1" customWidth="1"/>
    <col min="6670" max="6670" width="12.7109375" customWidth="1"/>
    <col min="6671" max="6671" width="13.7109375" customWidth="1"/>
    <col min="6672" max="6672" width="13.85546875" bestFit="1" customWidth="1"/>
    <col min="6673" max="6673" width="15.5703125" bestFit="1" customWidth="1"/>
    <col min="6674" max="6674" width="16.140625" customWidth="1"/>
    <col min="6675" max="6675" width="16.7109375" bestFit="1" customWidth="1"/>
    <col min="6676" max="6677" width="15.5703125" bestFit="1" customWidth="1"/>
    <col min="6678" max="6678" width="16.42578125" bestFit="1" customWidth="1"/>
    <col min="6679" max="6679" width="14.28515625" customWidth="1"/>
    <col min="6680" max="6680" width="12.85546875" bestFit="1" customWidth="1"/>
    <col min="6681" max="6681" width="11.28515625" bestFit="1" customWidth="1"/>
    <col min="6682" max="6682" width="12.5703125" bestFit="1" customWidth="1"/>
    <col min="6683" max="6683" width="14" bestFit="1" customWidth="1"/>
    <col min="6684" max="6684" width="6" bestFit="1" customWidth="1"/>
    <col min="6685" max="6685" width="15" customWidth="1"/>
    <col min="6686" max="6686" width="14.85546875" bestFit="1" customWidth="1"/>
    <col min="6687" max="6687" width="16.140625" bestFit="1" customWidth="1"/>
    <col min="6915" max="6915" width="24" bestFit="1" customWidth="1"/>
    <col min="6916" max="6916" width="45.7109375" bestFit="1" customWidth="1"/>
    <col min="6917" max="6917" width="19.7109375" bestFit="1" customWidth="1"/>
    <col min="6918" max="6918" width="11.42578125" bestFit="1" customWidth="1"/>
    <col min="6919" max="6919" width="19.85546875" bestFit="1" customWidth="1"/>
    <col min="6920" max="6920" width="13.42578125" customWidth="1"/>
    <col min="6921" max="6921" width="15.28515625" bestFit="1" customWidth="1"/>
    <col min="6922" max="6922" width="14.140625" bestFit="1" customWidth="1"/>
    <col min="6923" max="6923" width="15.28515625" customWidth="1"/>
    <col min="6924" max="6924" width="15.85546875" customWidth="1"/>
    <col min="6925" max="6925" width="17" bestFit="1" customWidth="1"/>
    <col min="6926" max="6926" width="12.7109375" customWidth="1"/>
    <col min="6927" max="6927" width="13.7109375" customWidth="1"/>
    <col min="6928" max="6928" width="13.85546875" bestFit="1" customWidth="1"/>
    <col min="6929" max="6929" width="15.5703125" bestFit="1" customWidth="1"/>
    <col min="6930" max="6930" width="16.140625" customWidth="1"/>
    <col min="6931" max="6931" width="16.7109375" bestFit="1" customWidth="1"/>
    <col min="6932" max="6933" width="15.5703125" bestFit="1" customWidth="1"/>
    <col min="6934" max="6934" width="16.42578125" bestFit="1" customWidth="1"/>
    <col min="6935" max="6935" width="14.28515625" customWidth="1"/>
    <col min="6936" max="6936" width="12.85546875" bestFit="1" customWidth="1"/>
    <col min="6937" max="6937" width="11.28515625" bestFit="1" customWidth="1"/>
    <col min="6938" max="6938" width="12.5703125" bestFit="1" customWidth="1"/>
    <col min="6939" max="6939" width="14" bestFit="1" customWidth="1"/>
    <col min="6940" max="6940" width="6" bestFit="1" customWidth="1"/>
    <col min="6941" max="6941" width="15" customWidth="1"/>
    <col min="6942" max="6942" width="14.85546875" bestFit="1" customWidth="1"/>
    <col min="6943" max="6943" width="16.140625" bestFit="1" customWidth="1"/>
    <col min="7171" max="7171" width="24" bestFit="1" customWidth="1"/>
    <col min="7172" max="7172" width="45.7109375" bestFit="1" customWidth="1"/>
    <col min="7173" max="7173" width="19.7109375" bestFit="1" customWidth="1"/>
    <col min="7174" max="7174" width="11.42578125" bestFit="1" customWidth="1"/>
    <col min="7175" max="7175" width="19.85546875" bestFit="1" customWidth="1"/>
    <col min="7176" max="7176" width="13.42578125" customWidth="1"/>
    <col min="7177" max="7177" width="15.28515625" bestFit="1" customWidth="1"/>
    <col min="7178" max="7178" width="14.140625" bestFit="1" customWidth="1"/>
    <col min="7179" max="7179" width="15.28515625" customWidth="1"/>
    <col min="7180" max="7180" width="15.85546875" customWidth="1"/>
    <col min="7181" max="7181" width="17" bestFit="1" customWidth="1"/>
    <col min="7182" max="7182" width="12.7109375" customWidth="1"/>
    <col min="7183" max="7183" width="13.7109375" customWidth="1"/>
    <col min="7184" max="7184" width="13.85546875" bestFit="1" customWidth="1"/>
    <col min="7185" max="7185" width="15.5703125" bestFit="1" customWidth="1"/>
    <col min="7186" max="7186" width="16.140625" customWidth="1"/>
    <col min="7187" max="7187" width="16.7109375" bestFit="1" customWidth="1"/>
    <col min="7188" max="7189" width="15.5703125" bestFit="1" customWidth="1"/>
    <col min="7190" max="7190" width="16.42578125" bestFit="1" customWidth="1"/>
    <col min="7191" max="7191" width="14.28515625" customWidth="1"/>
    <col min="7192" max="7192" width="12.85546875" bestFit="1" customWidth="1"/>
    <col min="7193" max="7193" width="11.28515625" bestFit="1" customWidth="1"/>
    <col min="7194" max="7194" width="12.5703125" bestFit="1" customWidth="1"/>
    <col min="7195" max="7195" width="14" bestFit="1" customWidth="1"/>
    <col min="7196" max="7196" width="6" bestFit="1" customWidth="1"/>
    <col min="7197" max="7197" width="15" customWidth="1"/>
    <col min="7198" max="7198" width="14.85546875" bestFit="1" customWidth="1"/>
    <col min="7199" max="7199" width="16.140625" bestFit="1" customWidth="1"/>
    <col min="7427" max="7427" width="24" bestFit="1" customWidth="1"/>
    <col min="7428" max="7428" width="45.7109375" bestFit="1" customWidth="1"/>
    <col min="7429" max="7429" width="19.7109375" bestFit="1" customWidth="1"/>
    <col min="7430" max="7430" width="11.42578125" bestFit="1" customWidth="1"/>
    <col min="7431" max="7431" width="19.85546875" bestFit="1" customWidth="1"/>
    <col min="7432" max="7432" width="13.42578125" customWidth="1"/>
    <col min="7433" max="7433" width="15.28515625" bestFit="1" customWidth="1"/>
    <col min="7434" max="7434" width="14.140625" bestFit="1" customWidth="1"/>
    <col min="7435" max="7435" width="15.28515625" customWidth="1"/>
    <col min="7436" max="7436" width="15.85546875" customWidth="1"/>
    <col min="7437" max="7437" width="17" bestFit="1" customWidth="1"/>
    <col min="7438" max="7438" width="12.7109375" customWidth="1"/>
    <col min="7439" max="7439" width="13.7109375" customWidth="1"/>
    <col min="7440" max="7440" width="13.85546875" bestFit="1" customWidth="1"/>
    <col min="7441" max="7441" width="15.5703125" bestFit="1" customWidth="1"/>
    <col min="7442" max="7442" width="16.140625" customWidth="1"/>
    <col min="7443" max="7443" width="16.7109375" bestFit="1" customWidth="1"/>
    <col min="7444" max="7445" width="15.5703125" bestFit="1" customWidth="1"/>
    <col min="7446" max="7446" width="16.42578125" bestFit="1" customWidth="1"/>
    <col min="7447" max="7447" width="14.28515625" customWidth="1"/>
    <col min="7448" max="7448" width="12.85546875" bestFit="1" customWidth="1"/>
    <col min="7449" max="7449" width="11.28515625" bestFit="1" customWidth="1"/>
    <col min="7450" max="7450" width="12.5703125" bestFit="1" customWidth="1"/>
    <col min="7451" max="7451" width="14" bestFit="1" customWidth="1"/>
    <col min="7452" max="7452" width="6" bestFit="1" customWidth="1"/>
    <col min="7453" max="7453" width="15" customWidth="1"/>
    <col min="7454" max="7454" width="14.85546875" bestFit="1" customWidth="1"/>
    <col min="7455" max="7455" width="16.140625" bestFit="1" customWidth="1"/>
    <col min="7683" max="7683" width="24" bestFit="1" customWidth="1"/>
    <col min="7684" max="7684" width="45.7109375" bestFit="1" customWidth="1"/>
    <col min="7685" max="7685" width="19.7109375" bestFit="1" customWidth="1"/>
    <col min="7686" max="7686" width="11.42578125" bestFit="1" customWidth="1"/>
    <col min="7687" max="7687" width="19.85546875" bestFit="1" customWidth="1"/>
    <col min="7688" max="7688" width="13.42578125" customWidth="1"/>
    <col min="7689" max="7689" width="15.28515625" bestFit="1" customWidth="1"/>
    <col min="7690" max="7690" width="14.140625" bestFit="1" customWidth="1"/>
    <col min="7691" max="7691" width="15.28515625" customWidth="1"/>
    <col min="7692" max="7692" width="15.85546875" customWidth="1"/>
    <col min="7693" max="7693" width="17" bestFit="1" customWidth="1"/>
    <col min="7694" max="7694" width="12.7109375" customWidth="1"/>
    <col min="7695" max="7695" width="13.7109375" customWidth="1"/>
    <col min="7696" max="7696" width="13.85546875" bestFit="1" customWidth="1"/>
    <col min="7697" max="7697" width="15.5703125" bestFit="1" customWidth="1"/>
    <col min="7698" max="7698" width="16.140625" customWidth="1"/>
    <col min="7699" max="7699" width="16.7109375" bestFit="1" customWidth="1"/>
    <col min="7700" max="7701" width="15.5703125" bestFit="1" customWidth="1"/>
    <col min="7702" max="7702" width="16.42578125" bestFit="1" customWidth="1"/>
    <col min="7703" max="7703" width="14.28515625" customWidth="1"/>
    <col min="7704" max="7704" width="12.85546875" bestFit="1" customWidth="1"/>
    <col min="7705" max="7705" width="11.28515625" bestFit="1" customWidth="1"/>
    <col min="7706" max="7706" width="12.5703125" bestFit="1" customWidth="1"/>
    <col min="7707" max="7707" width="14" bestFit="1" customWidth="1"/>
    <col min="7708" max="7708" width="6" bestFit="1" customWidth="1"/>
    <col min="7709" max="7709" width="15" customWidth="1"/>
    <col min="7710" max="7710" width="14.85546875" bestFit="1" customWidth="1"/>
    <col min="7711" max="7711" width="16.140625" bestFit="1" customWidth="1"/>
    <col min="7939" max="7939" width="24" bestFit="1" customWidth="1"/>
    <col min="7940" max="7940" width="45.7109375" bestFit="1" customWidth="1"/>
    <col min="7941" max="7941" width="19.7109375" bestFit="1" customWidth="1"/>
    <col min="7942" max="7942" width="11.42578125" bestFit="1" customWidth="1"/>
    <col min="7943" max="7943" width="19.85546875" bestFit="1" customWidth="1"/>
    <col min="7944" max="7944" width="13.42578125" customWidth="1"/>
    <col min="7945" max="7945" width="15.28515625" bestFit="1" customWidth="1"/>
    <col min="7946" max="7946" width="14.140625" bestFit="1" customWidth="1"/>
    <col min="7947" max="7947" width="15.28515625" customWidth="1"/>
    <col min="7948" max="7948" width="15.85546875" customWidth="1"/>
    <col min="7949" max="7949" width="17" bestFit="1" customWidth="1"/>
    <col min="7950" max="7950" width="12.7109375" customWidth="1"/>
    <col min="7951" max="7951" width="13.7109375" customWidth="1"/>
    <col min="7952" max="7952" width="13.85546875" bestFit="1" customWidth="1"/>
    <col min="7953" max="7953" width="15.5703125" bestFit="1" customWidth="1"/>
    <col min="7954" max="7954" width="16.140625" customWidth="1"/>
    <col min="7955" max="7955" width="16.7109375" bestFit="1" customWidth="1"/>
    <col min="7956" max="7957" width="15.5703125" bestFit="1" customWidth="1"/>
    <col min="7958" max="7958" width="16.42578125" bestFit="1" customWidth="1"/>
    <col min="7959" max="7959" width="14.28515625" customWidth="1"/>
    <col min="7960" max="7960" width="12.85546875" bestFit="1" customWidth="1"/>
    <col min="7961" max="7961" width="11.28515625" bestFit="1" customWidth="1"/>
    <col min="7962" max="7962" width="12.5703125" bestFit="1" customWidth="1"/>
    <col min="7963" max="7963" width="14" bestFit="1" customWidth="1"/>
    <col min="7964" max="7964" width="6" bestFit="1" customWidth="1"/>
    <col min="7965" max="7965" width="15" customWidth="1"/>
    <col min="7966" max="7966" width="14.85546875" bestFit="1" customWidth="1"/>
    <col min="7967" max="7967" width="16.140625" bestFit="1" customWidth="1"/>
    <col min="8195" max="8195" width="24" bestFit="1" customWidth="1"/>
    <col min="8196" max="8196" width="45.7109375" bestFit="1" customWidth="1"/>
    <col min="8197" max="8197" width="19.7109375" bestFit="1" customWidth="1"/>
    <col min="8198" max="8198" width="11.42578125" bestFit="1" customWidth="1"/>
    <col min="8199" max="8199" width="19.85546875" bestFit="1" customWidth="1"/>
    <col min="8200" max="8200" width="13.42578125" customWidth="1"/>
    <col min="8201" max="8201" width="15.28515625" bestFit="1" customWidth="1"/>
    <col min="8202" max="8202" width="14.140625" bestFit="1" customWidth="1"/>
    <col min="8203" max="8203" width="15.28515625" customWidth="1"/>
    <col min="8204" max="8204" width="15.85546875" customWidth="1"/>
    <col min="8205" max="8205" width="17" bestFit="1" customWidth="1"/>
    <col min="8206" max="8206" width="12.7109375" customWidth="1"/>
    <col min="8207" max="8207" width="13.7109375" customWidth="1"/>
    <col min="8208" max="8208" width="13.85546875" bestFit="1" customWidth="1"/>
    <col min="8209" max="8209" width="15.5703125" bestFit="1" customWidth="1"/>
    <col min="8210" max="8210" width="16.140625" customWidth="1"/>
    <col min="8211" max="8211" width="16.7109375" bestFit="1" customWidth="1"/>
    <col min="8212" max="8213" width="15.5703125" bestFit="1" customWidth="1"/>
    <col min="8214" max="8214" width="16.42578125" bestFit="1" customWidth="1"/>
    <col min="8215" max="8215" width="14.28515625" customWidth="1"/>
    <col min="8216" max="8216" width="12.85546875" bestFit="1" customWidth="1"/>
    <col min="8217" max="8217" width="11.28515625" bestFit="1" customWidth="1"/>
    <col min="8218" max="8218" width="12.5703125" bestFit="1" customWidth="1"/>
    <col min="8219" max="8219" width="14" bestFit="1" customWidth="1"/>
    <col min="8220" max="8220" width="6" bestFit="1" customWidth="1"/>
    <col min="8221" max="8221" width="15" customWidth="1"/>
    <col min="8222" max="8222" width="14.85546875" bestFit="1" customWidth="1"/>
    <col min="8223" max="8223" width="16.140625" bestFit="1" customWidth="1"/>
    <col min="8451" max="8451" width="24" bestFit="1" customWidth="1"/>
    <col min="8452" max="8452" width="45.7109375" bestFit="1" customWidth="1"/>
    <col min="8453" max="8453" width="19.7109375" bestFit="1" customWidth="1"/>
    <col min="8454" max="8454" width="11.42578125" bestFit="1" customWidth="1"/>
    <col min="8455" max="8455" width="19.85546875" bestFit="1" customWidth="1"/>
    <col min="8456" max="8456" width="13.42578125" customWidth="1"/>
    <col min="8457" max="8457" width="15.28515625" bestFit="1" customWidth="1"/>
    <col min="8458" max="8458" width="14.140625" bestFit="1" customWidth="1"/>
    <col min="8459" max="8459" width="15.28515625" customWidth="1"/>
    <col min="8460" max="8460" width="15.85546875" customWidth="1"/>
    <col min="8461" max="8461" width="17" bestFit="1" customWidth="1"/>
    <col min="8462" max="8462" width="12.7109375" customWidth="1"/>
    <col min="8463" max="8463" width="13.7109375" customWidth="1"/>
    <col min="8464" max="8464" width="13.85546875" bestFit="1" customWidth="1"/>
    <col min="8465" max="8465" width="15.5703125" bestFit="1" customWidth="1"/>
    <col min="8466" max="8466" width="16.140625" customWidth="1"/>
    <col min="8467" max="8467" width="16.7109375" bestFit="1" customWidth="1"/>
    <col min="8468" max="8469" width="15.5703125" bestFit="1" customWidth="1"/>
    <col min="8470" max="8470" width="16.42578125" bestFit="1" customWidth="1"/>
    <col min="8471" max="8471" width="14.28515625" customWidth="1"/>
    <col min="8472" max="8472" width="12.85546875" bestFit="1" customWidth="1"/>
    <col min="8473" max="8473" width="11.28515625" bestFit="1" customWidth="1"/>
    <col min="8474" max="8474" width="12.5703125" bestFit="1" customWidth="1"/>
    <col min="8475" max="8475" width="14" bestFit="1" customWidth="1"/>
    <col min="8476" max="8476" width="6" bestFit="1" customWidth="1"/>
    <col min="8477" max="8477" width="15" customWidth="1"/>
    <col min="8478" max="8478" width="14.85546875" bestFit="1" customWidth="1"/>
    <col min="8479" max="8479" width="16.140625" bestFit="1" customWidth="1"/>
    <col min="8707" max="8707" width="24" bestFit="1" customWidth="1"/>
    <col min="8708" max="8708" width="45.7109375" bestFit="1" customWidth="1"/>
    <col min="8709" max="8709" width="19.7109375" bestFit="1" customWidth="1"/>
    <col min="8710" max="8710" width="11.42578125" bestFit="1" customWidth="1"/>
    <col min="8711" max="8711" width="19.85546875" bestFit="1" customWidth="1"/>
    <col min="8712" max="8712" width="13.42578125" customWidth="1"/>
    <col min="8713" max="8713" width="15.28515625" bestFit="1" customWidth="1"/>
    <col min="8714" max="8714" width="14.140625" bestFit="1" customWidth="1"/>
    <col min="8715" max="8715" width="15.28515625" customWidth="1"/>
    <col min="8716" max="8716" width="15.85546875" customWidth="1"/>
    <col min="8717" max="8717" width="17" bestFit="1" customWidth="1"/>
    <col min="8718" max="8718" width="12.7109375" customWidth="1"/>
    <col min="8719" max="8719" width="13.7109375" customWidth="1"/>
    <col min="8720" max="8720" width="13.85546875" bestFit="1" customWidth="1"/>
    <col min="8721" max="8721" width="15.5703125" bestFit="1" customWidth="1"/>
    <col min="8722" max="8722" width="16.140625" customWidth="1"/>
    <col min="8723" max="8723" width="16.7109375" bestFit="1" customWidth="1"/>
    <col min="8724" max="8725" width="15.5703125" bestFit="1" customWidth="1"/>
    <col min="8726" max="8726" width="16.42578125" bestFit="1" customWidth="1"/>
    <col min="8727" max="8727" width="14.28515625" customWidth="1"/>
    <col min="8728" max="8728" width="12.85546875" bestFit="1" customWidth="1"/>
    <col min="8729" max="8729" width="11.28515625" bestFit="1" customWidth="1"/>
    <col min="8730" max="8730" width="12.5703125" bestFit="1" customWidth="1"/>
    <col min="8731" max="8731" width="14" bestFit="1" customWidth="1"/>
    <col min="8732" max="8732" width="6" bestFit="1" customWidth="1"/>
    <col min="8733" max="8733" width="15" customWidth="1"/>
    <col min="8734" max="8734" width="14.85546875" bestFit="1" customWidth="1"/>
    <col min="8735" max="8735" width="16.140625" bestFit="1" customWidth="1"/>
    <col min="8963" max="8963" width="24" bestFit="1" customWidth="1"/>
    <col min="8964" max="8964" width="45.7109375" bestFit="1" customWidth="1"/>
    <col min="8965" max="8965" width="19.7109375" bestFit="1" customWidth="1"/>
    <col min="8966" max="8966" width="11.42578125" bestFit="1" customWidth="1"/>
    <col min="8967" max="8967" width="19.85546875" bestFit="1" customWidth="1"/>
    <col min="8968" max="8968" width="13.42578125" customWidth="1"/>
    <col min="8969" max="8969" width="15.28515625" bestFit="1" customWidth="1"/>
    <col min="8970" max="8970" width="14.140625" bestFit="1" customWidth="1"/>
    <col min="8971" max="8971" width="15.28515625" customWidth="1"/>
    <col min="8972" max="8972" width="15.85546875" customWidth="1"/>
    <col min="8973" max="8973" width="17" bestFit="1" customWidth="1"/>
    <col min="8974" max="8974" width="12.7109375" customWidth="1"/>
    <col min="8975" max="8975" width="13.7109375" customWidth="1"/>
    <col min="8976" max="8976" width="13.85546875" bestFit="1" customWidth="1"/>
    <col min="8977" max="8977" width="15.5703125" bestFit="1" customWidth="1"/>
    <col min="8978" max="8978" width="16.140625" customWidth="1"/>
    <col min="8979" max="8979" width="16.7109375" bestFit="1" customWidth="1"/>
    <col min="8980" max="8981" width="15.5703125" bestFit="1" customWidth="1"/>
    <col min="8982" max="8982" width="16.42578125" bestFit="1" customWidth="1"/>
    <col min="8983" max="8983" width="14.28515625" customWidth="1"/>
    <col min="8984" max="8984" width="12.85546875" bestFit="1" customWidth="1"/>
    <col min="8985" max="8985" width="11.28515625" bestFit="1" customWidth="1"/>
    <col min="8986" max="8986" width="12.5703125" bestFit="1" customWidth="1"/>
    <col min="8987" max="8987" width="14" bestFit="1" customWidth="1"/>
    <col min="8988" max="8988" width="6" bestFit="1" customWidth="1"/>
    <col min="8989" max="8989" width="15" customWidth="1"/>
    <col min="8990" max="8990" width="14.85546875" bestFit="1" customWidth="1"/>
    <col min="8991" max="8991" width="16.140625" bestFit="1" customWidth="1"/>
    <col min="9219" max="9219" width="24" bestFit="1" customWidth="1"/>
    <col min="9220" max="9220" width="45.7109375" bestFit="1" customWidth="1"/>
    <col min="9221" max="9221" width="19.7109375" bestFit="1" customWidth="1"/>
    <col min="9222" max="9222" width="11.42578125" bestFit="1" customWidth="1"/>
    <col min="9223" max="9223" width="19.85546875" bestFit="1" customWidth="1"/>
    <col min="9224" max="9224" width="13.42578125" customWidth="1"/>
    <col min="9225" max="9225" width="15.28515625" bestFit="1" customWidth="1"/>
    <col min="9226" max="9226" width="14.140625" bestFit="1" customWidth="1"/>
    <col min="9227" max="9227" width="15.28515625" customWidth="1"/>
    <col min="9228" max="9228" width="15.85546875" customWidth="1"/>
    <col min="9229" max="9229" width="17" bestFit="1" customWidth="1"/>
    <col min="9230" max="9230" width="12.7109375" customWidth="1"/>
    <col min="9231" max="9231" width="13.7109375" customWidth="1"/>
    <col min="9232" max="9232" width="13.85546875" bestFit="1" customWidth="1"/>
    <col min="9233" max="9233" width="15.5703125" bestFit="1" customWidth="1"/>
    <col min="9234" max="9234" width="16.140625" customWidth="1"/>
    <col min="9235" max="9235" width="16.7109375" bestFit="1" customWidth="1"/>
    <col min="9236" max="9237" width="15.5703125" bestFit="1" customWidth="1"/>
    <col min="9238" max="9238" width="16.42578125" bestFit="1" customWidth="1"/>
    <col min="9239" max="9239" width="14.28515625" customWidth="1"/>
    <col min="9240" max="9240" width="12.85546875" bestFit="1" customWidth="1"/>
    <col min="9241" max="9241" width="11.28515625" bestFit="1" customWidth="1"/>
    <col min="9242" max="9242" width="12.5703125" bestFit="1" customWidth="1"/>
    <col min="9243" max="9243" width="14" bestFit="1" customWidth="1"/>
    <col min="9244" max="9244" width="6" bestFit="1" customWidth="1"/>
    <col min="9245" max="9245" width="15" customWidth="1"/>
    <col min="9246" max="9246" width="14.85546875" bestFit="1" customWidth="1"/>
    <col min="9247" max="9247" width="16.140625" bestFit="1" customWidth="1"/>
    <col min="9475" max="9475" width="24" bestFit="1" customWidth="1"/>
    <col min="9476" max="9476" width="45.7109375" bestFit="1" customWidth="1"/>
    <col min="9477" max="9477" width="19.7109375" bestFit="1" customWidth="1"/>
    <col min="9478" max="9478" width="11.42578125" bestFit="1" customWidth="1"/>
    <col min="9479" max="9479" width="19.85546875" bestFit="1" customWidth="1"/>
    <col min="9480" max="9480" width="13.42578125" customWidth="1"/>
    <col min="9481" max="9481" width="15.28515625" bestFit="1" customWidth="1"/>
    <col min="9482" max="9482" width="14.140625" bestFit="1" customWidth="1"/>
    <col min="9483" max="9483" width="15.28515625" customWidth="1"/>
    <col min="9484" max="9484" width="15.85546875" customWidth="1"/>
    <col min="9485" max="9485" width="17" bestFit="1" customWidth="1"/>
    <col min="9486" max="9486" width="12.7109375" customWidth="1"/>
    <col min="9487" max="9487" width="13.7109375" customWidth="1"/>
    <col min="9488" max="9488" width="13.85546875" bestFit="1" customWidth="1"/>
    <col min="9489" max="9489" width="15.5703125" bestFit="1" customWidth="1"/>
    <col min="9490" max="9490" width="16.140625" customWidth="1"/>
    <col min="9491" max="9491" width="16.7109375" bestFit="1" customWidth="1"/>
    <col min="9492" max="9493" width="15.5703125" bestFit="1" customWidth="1"/>
    <col min="9494" max="9494" width="16.42578125" bestFit="1" customWidth="1"/>
    <col min="9495" max="9495" width="14.28515625" customWidth="1"/>
    <col min="9496" max="9496" width="12.85546875" bestFit="1" customWidth="1"/>
    <col min="9497" max="9497" width="11.28515625" bestFit="1" customWidth="1"/>
    <col min="9498" max="9498" width="12.5703125" bestFit="1" customWidth="1"/>
    <col min="9499" max="9499" width="14" bestFit="1" customWidth="1"/>
    <col min="9500" max="9500" width="6" bestFit="1" customWidth="1"/>
    <col min="9501" max="9501" width="15" customWidth="1"/>
    <col min="9502" max="9502" width="14.85546875" bestFit="1" customWidth="1"/>
    <col min="9503" max="9503" width="16.140625" bestFit="1" customWidth="1"/>
    <col min="9731" max="9731" width="24" bestFit="1" customWidth="1"/>
    <col min="9732" max="9732" width="45.7109375" bestFit="1" customWidth="1"/>
    <col min="9733" max="9733" width="19.7109375" bestFit="1" customWidth="1"/>
    <col min="9734" max="9734" width="11.42578125" bestFit="1" customWidth="1"/>
    <col min="9735" max="9735" width="19.85546875" bestFit="1" customWidth="1"/>
    <col min="9736" max="9736" width="13.42578125" customWidth="1"/>
    <col min="9737" max="9737" width="15.28515625" bestFit="1" customWidth="1"/>
    <col min="9738" max="9738" width="14.140625" bestFit="1" customWidth="1"/>
    <col min="9739" max="9739" width="15.28515625" customWidth="1"/>
    <col min="9740" max="9740" width="15.85546875" customWidth="1"/>
    <col min="9741" max="9741" width="17" bestFit="1" customWidth="1"/>
    <col min="9742" max="9742" width="12.7109375" customWidth="1"/>
    <col min="9743" max="9743" width="13.7109375" customWidth="1"/>
    <col min="9744" max="9744" width="13.85546875" bestFit="1" customWidth="1"/>
    <col min="9745" max="9745" width="15.5703125" bestFit="1" customWidth="1"/>
    <col min="9746" max="9746" width="16.140625" customWidth="1"/>
    <col min="9747" max="9747" width="16.7109375" bestFit="1" customWidth="1"/>
    <col min="9748" max="9749" width="15.5703125" bestFit="1" customWidth="1"/>
    <col min="9750" max="9750" width="16.42578125" bestFit="1" customWidth="1"/>
    <col min="9751" max="9751" width="14.28515625" customWidth="1"/>
    <col min="9752" max="9752" width="12.85546875" bestFit="1" customWidth="1"/>
    <col min="9753" max="9753" width="11.28515625" bestFit="1" customWidth="1"/>
    <col min="9754" max="9754" width="12.5703125" bestFit="1" customWidth="1"/>
    <col min="9755" max="9755" width="14" bestFit="1" customWidth="1"/>
    <col min="9756" max="9756" width="6" bestFit="1" customWidth="1"/>
    <col min="9757" max="9757" width="15" customWidth="1"/>
    <col min="9758" max="9758" width="14.85546875" bestFit="1" customWidth="1"/>
    <col min="9759" max="9759" width="16.140625" bestFit="1" customWidth="1"/>
    <col min="9987" max="9987" width="24" bestFit="1" customWidth="1"/>
    <col min="9988" max="9988" width="45.7109375" bestFit="1" customWidth="1"/>
    <col min="9989" max="9989" width="19.7109375" bestFit="1" customWidth="1"/>
    <col min="9990" max="9990" width="11.42578125" bestFit="1" customWidth="1"/>
    <col min="9991" max="9991" width="19.85546875" bestFit="1" customWidth="1"/>
    <col min="9992" max="9992" width="13.42578125" customWidth="1"/>
    <col min="9993" max="9993" width="15.28515625" bestFit="1" customWidth="1"/>
    <col min="9994" max="9994" width="14.140625" bestFit="1" customWidth="1"/>
    <col min="9995" max="9995" width="15.28515625" customWidth="1"/>
    <col min="9996" max="9996" width="15.85546875" customWidth="1"/>
    <col min="9997" max="9997" width="17" bestFit="1" customWidth="1"/>
    <col min="9998" max="9998" width="12.7109375" customWidth="1"/>
    <col min="9999" max="9999" width="13.7109375" customWidth="1"/>
    <col min="10000" max="10000" width="13.85546875" bestFit="1" customWidth="1"/>
    <col min="10001" max="10001" width="15.5703125" bestFit="1" customWidth="1"/>
    <col min="10002" max="10002" width="16.140625" customWidth="1"/>
    <col min="10003" max="10003" width="16.7109375" bestFit="1" customWidth="1"/>
    <col min="10004" max="10005" width="15.5703125" bestFit="1" customWidth="1"/>
    <col min="10006" max="10006" width="16.42578125" bestFit="1" customWidth="1"/>
    <col min="10007" max="10007" width="14.28515625" customWidth="1"/>
    <col min="10008" max="10008" width="12.85546875" bestFit="1" customWidth="1"/>
    <col min="10009" max="10009" width="11.28515625" bestFit="1" customWidth="1"/>
    <col min="10010" max="10010" width="12.5703125" bestFit="1" customWidth="1"/>
    <col min="10011" max="10011" width="14" bestFit="1" customWidth="1"/>
    <col min="10012" max="10012" width="6" bestFit="1" customWidth="1"/>
    <col min="10013" max="10013" width="15" customWidth="1"/>
    <col min="10014" max="10014" width="14.85546875" bestFit="1" customWidth="1"/>
    <col min="10015" max="10015" width="16.140625" bestFit="1" customWidth="1"/>
    <col min="10243" max="10243" width="24" bestFit="1" customWidth="1"/>
    <col min="10244" max="10244" width="45.7109375" bestFit="1" customWidth="1"/>
    <col min="10245" max="10245" width="19.7109375" bestFit="1" customWidth="1"/>
    <col min="10246" max="10246" width="11.42578125" bestFit="1" customWidth="1"/>
    <col min="10247" max="10247" width="19.85546875" bestFit="1" customWidth="1"/>
    <col min="10248" max="10248" width="13.42578125" customWidth="1"/>
    <col min="10249" max="10249" width="15.28515625" bestFit="1" customWidth="1"/>
    <col min="10250" max="10250" width="14.140625" bestFit="1" customWidth="1"/>
    <col min="10251" max="10251" width="15.28515625" customWidth="1"/>
    <col min="10252" max="10252" width="15.85546875" customWidth="1"/>
    <col min="10253" max="10253" width="17" bestFit="1" customWidth="1"/>
    <col min="10254" max="10254" width="12.7109375" customWidth="1"/>
    <col min="10255" max="10255" width="13.7109375" customWidth="1"/>
    <col min="10256" max="10256" width="13.85546875" bestFit="1" customWidth="1"/>
    <col min="10257" max="10257" width="15.5703125" bestFit="1" customWidth="1"/>
    <col min="10258" max="10258" width="16.140625" customWidth="1"/>
    <col min="10259" max="10259" width="16.7109375" bestFit="1" customWidth="1"/>
    <col min="10260" max="10261" width="15.5703125" bestFit="1" customWidth="1"/>
    <col min="10262" max="10262" width="16.42578125" bestFit="1" customWidth="1"/>
    <col min="10263" max="10263" width="14.28515625" customWidth="1"/>
    <col min="10264" max="10264" width="12.85546875" bestFit="1" customWidth="1"/>
    <col min="10265" max="10265" width="11.28515625" bestFit="1" customWidth="1"/>
    <col min="10266" max="10266" width="12.5703125" bestFit="1" customWidth="1"/>
    <col min="10267" max="10267" width="14" bestFit="1" customWidth="1"/>
    <col min="10268" max="10268" width="6" bestFit="1" customWidth="1"/>
    <col min="10269" max="10269" width="15" customWidth="1"/>
    <col min="10270" max="10270" width="14.85546875" bestFit="1" customWidth="1"/>
    <col min="10271" max="10271" width="16.140625" bestFit="1" customWidth="1"/>
    <col min="10499" max="10499" width="24" bestFit="1" customWidth="1"/>
    <col min="10500" max="10500" width="45.7109375" bestFit="1" customWidth="1"/>
    <col min="10501" max="10501" width="19.7109375" bestFit="1" customWidth="1"/>
    <col min="10502" max="10502" width="11.42578125" bestFit="1" customWidth="1"/>
    <col min="10503" max="10503" width="19.85546875" bestFit="1" customWidth="1"/>
    <col min="10504" max="10504" width="13.42578125" customWidth="1"/>
    <col min="10505" max="10505" width="15.28515625" bestFit="1" customWidth="1"/>
    <col min="10506" max="10506" width="14.140625" bestFit="1" customWidth="1"/>
    <col min="10507" max="10507" width="15.28515625" customWidth="1"/>
    <col min="10508" max="10508" width="15.85546875" customWidth="1"/>
    <col min="10509" max="10509" width="17" bestFit="1" customWidth="1"/>
    <col min="10510" max="10510" width="12.7109375" customWidth="1"/>
    <col min="10511" max="10511" width="13.7109375" customWidth="1"/>
    <col min="10512" max="10512" width="13.85546875" bestFit="1" customWidth="1"/>
    <col min="10513" max="10513" width="15.5703125" bestFit="1" customWidth="1"/>
    <col min="10514" max="10514" width="16.140625" customWidth="1"/>
    <col min="10515" max="10515" width="16.7109375" bestFit="1" customWidth="1"/>
    <col min="10516" max="10517" width="15.5703125" bestFit="1" customWidth="1"/>
    <col min="10518" max="10518" width="16.42578125" bestFit="1" customWidth="1"/>
    <col min="10519" max="10519" width="14.28515625" customWidth="1"/>
    <col min="10520" max="10520" width="12.85546875" bestFit="1" customWidth="1"/>
    <col min="10521" max="10521" width="11.28515625" bestFit="1" customWidth="1"/>
    <col min="10522" max="10522" width="12.5703125" bestFit="1" customWidth="1"/>
    <col min="10523" max="10523" width="14" bestFit="1" customWidth="1"/>
    <col min="10524" max="10524" width="6" bestFit="1" customWidth="1"/>
    <col min="10525" max="10525" width="15" customWidth="1"/>
    <col min="10526" max="10526" width="14.85546875" bestFit="1" customWidth="1"/>
    <col min="10527" max="10527" width="16.140625" bestFit="1" customWidth="1"/>
    <col min="10755" max="10755" width="24" bestFit="1" customWidth="1"/>
    <col min="10756" max="10756" width="45.7109375" bestFit="1" customWidth="1"/>
    <col min="10757" max="10757" width="19.7109375" bestFit="1" customWidth="1"/>
    <col min="10758" max="10758" width="11.42578125" bestFit="1" customWidth="1"/>
    <col min="10759" max="10759" width="19.85546875" bestFit="1" customWidth="1"/>
    <col min="10760" max="10760" width="13.42578125" customWidth="1"/>
    <col min="10761" max="10761" width="15.28515625" bestFit="1" customWidth="1"/>
    <col min="10762" max="10762" width="14.140625" bestFit="1" customWidth="1"/>
    <col min="10763" max="10763" width="15.28515625" customWidth="1"/>
    <col min="10764" max="10764" width="15.85546875" customWidth="1"/>
    <col min="10765" max="10765" width="17" bestFit="1" customWidth="1"/>
    <col min="10766" max="10766" width="12.7109375" customWidth="1"/>
    <col min="10767" max="10767" width="13.7109375" customWidth="1"/>
    <col min="10768" max="10768" width="13.85546875" bestFit="1" customWidth="1"/>
    <col min="10769" max="10769" width="15.5703125" bestFit="1" customWidth="1"/>
    <col min="10770" max="10770" width="16.140625" customWidth="1"/>
    <col min="10771" max="10771" width="16.7109375" bestFit="1" customWidth="1"/>
    <col min="10772" max="10773" width="15.5703125" bestFit="1" customWidth="1"/>
    <col min="10774" max="10774" width="16.42578125" bestFit="1" customWidth="1"/>
    <col min="10775" max="10775" width="14.28515625" customWidth="1"/>
    <col min="10776" max="10776" width="12.85546875" bestFit="1" customWidth="1"/>
    <col min="10777" max="10777" width="11.28515625" bestFit="1" customWidth="1"/>
    <col min="10778" max="10778" width="12.5703125" bestFit="1" customWidth="1"/>
    <col min="10779" max="10779" width="14" bestFit="1" customWidth="1"/>
    <col min="10780" max="10780" width="6" bestFit="1" customWidth="1"/>
    <col min="10781" max="10781" width="15" customWidth="1"/>
    <col min="10782" max="10782" width="14.85546875" bestFit="1" customWidth="1"/>
    <col min="10783" max="10783" width="16.140625" bestFit="1" customWidth="1"/>
    <col min="11011" max="11011" width="24" bestFit="1" customWidth="1"/>
    <col min="11012" max="11012" width="45.7109375" bestFit="1" customWidth="1"/>
    <col min="11013" max="11013" width="19.7109375" bestFit="1" customWidth="1"/>
    <col min="11014" max="11014" width="11.42578125" bestFit="1" customWidth="1"/>
    <col min="11015" max="11015" width="19.85546875" bestFit="1" customWidth="1"/>
    <col min="11016" max="11016" width="13.42578125" customWidth="1"/>
    <col min="11017" max="11017" width="15.28515625" bestFit="1" customWidth="1"/>
    <col min="11018" max="11018" width="14.140625" bestFit="1" customWidth="1"/>
    <col min="11019" max="11019" width="15.28515625" customWidth="1"/>
    <col min="11020" max="11020" width="15.85546875" customWidth="1"/>
    <col min="11021" max="11021" width="17" bestFit="1" customWidth="1"/>
    <col min="11022" max="11022" width="12.7109375" customWidth="1"/>
    <col min="11023" max="11023" width="13.7109375" customWidth="1"/>
    <col min="11024" max="11024" width="13.85546875" bestFit="1" customWidth="1"/>
    <col min="11025" max="11025" width="15.5703125" bestFit="1" customWidth="1"/>
    <col min="11026" max="11026" width="16.140625" customWidth="1"/>
    <col min="11027" max="11027" width="16.7109375" bestFit="1" customWidth="1"/>
    <col min="11028" max="11029" width="15.5703125" bestFit="1" customWidth="1"/>
    <col min="11030" max="11030" width="16.42578125" bestFit="1" customWidth="1"/>
    <col min="11031" max="11031" width="14.28515625" customWidth="1"/>
    <col min="11032" max="11032" width="12.85546875" bestFit="1" customWidth="1"/>
    <col min="11033" max="11033" width="11.28515625" bestFit="1" customWidth="1"/>
    <col min="11034" max="11034" width="12.5703125" bestFit="1" customWidth="1"/>
    <col min="11035" max="11035" width="14" bestFit="1" customWidth="1"/>
    <col min="11036" max="11036" width="6" bestFit="1" customWidth="1"/>
    <col min="11037" max="11037" width="15" customWidth="1"/>
    <col min="11038" max="11038" width="14.85546875" bestFit="1" customWidth="1"/>
    <col min="11039" max="11039" width="16.140625" bestFit="1" customWidth="1"/>
    <col min="11267" max="11267" width="24" bestFit="1" customWidth="1"/>
    <col min="11268" max="11268" width="45.7109375" bestFit="1" customWidth="1"/>
    <col min="11269" max="11269" width="19.7109375" bestFit="1" customWidth="1"/>
    <col min="11270" max="11270" width="11.42578125" bestFit="1" customWidth="1"/>
    <col min="11271" max="11271" width="19.85546875" bestFit="1" customWidth="1"/>
    <col min="11272" max="11272" width="13.42578125" customWidth="1"/>
    <col min="11273" max="11273" width="15.28515625" bestFit="1" customWidth="1"/>
    <col min="11274" max="11274" width="14.140625" bestFit="1" customWidth="1"/>
    <col min="11275" max="11275" width="15.28515625" customWidth="1"/>
    <col min="11276" max="11276" width="15.85546875" customWidth="1"/>
    <col min="11277" max="11277" width="17" bestFit="1" customWidth="1"/>
    <col min="11278" max="11278" width="12.7109375" customWidth="1"/>
    <col min="11279" max="11279" width="13.7109375" customWidth="1"/>
    <col min="11280" max="11280" width="13.85546875" bestFit="1" customWidth="1"/>
    <col min="11281" max="11281" width="15.5703125" bestFit="1" customWidth="1"/>
    <col min="11282" max="11282" width="16.140625" customWidth="1"/>
    <col min="11283" max="11283" width="16.7109375" bestFit="1" customWidth="1"/>
    <col min="11284" max="11285" width="15.5703125" bestFit="1" customWidth="1"/>
    <col min="11286" max="11286" width="16.42578125" bestFit="1" customWidth="1"/>
    <col min="11287" max="11287" width="14.28515625" customWidth="1"/>
    <col min="11288" max="11288" width="12.85546875" bestFit="1" customWidth="1"/>
    <col min="11289" max="11289" width="11.28515625" bestFit="1" customWidth="1"/>
    <col min="11290" max="11290" width="12.5703125" bestFit="1" customWidth="1"/>
    <col min="11291" max="11291" width="14" bestFit="1" customWidth="1"/>
    <col min="11292" max="11292" width="6" bestFit="1" customWidth="1"/>
    <col min="11293" max="11293" width="15" customWidth="1"/>
    <col min="11294" max="11294" width="14.85546875" bestFit="1" customWidth="1"/>
    <col min="11295" max="11295" width="16.140625" bestFit="1" customWidth="1"/>
    <col min="11523" max="11523" width="24" bestFit="1" customWidth="1"/>
    <col min="11524" max="11524" width="45.7109375" bestFit="1" customWidth="1"/>
    <col min="11525" max="11525" width="19.7109375" bestFit="1" customWidth="1"/>
    <col min="11526" max="11526" width="11.42578125" bestFit="1" customWidth="1"/>
    <col min="11527" max="11527" width="19.85546875" bestFit="1" customWidth="1"/>
    <col min="11528" max="11528" width="13.42578125" customWidth="1"/>
    <col min="11529" max="11529" width="15.28515625" bestFit="1" customWidth="1"/>
    <col min="11530" max="11530" width="14.140625" bestFit="1" customWidth="1"/>
    <col min="11531" max="11531" width="15.28515625" customWidth="1"/>
    <col min="11532" max="11532" width="15.85546875" customWidth="1"/>
    <col min="11533" max="11533" width="17" bestFit="1" customWidth="1"/>
    <col min="11534" max="11534" width="12.7109375" customWidth="1"/>
    <col min="11535" max="11535" width="13.7109375" customWidth="1"/>
    <col min="11536" max="11536" width="13.85546875" bestFit="1" customWidth="1"/>
    <col min="11537" max="11537" width="15.5703125" bestFit="1" customWidth="1"/>
    <col min="11538" max="11538" width="16.140625" customWidth="1"/>
    <col min="11539" max="11539" width="16.7109375" bestFit="1" customWidth="1"/>
    <col min="11540" max="11541" width="15.5703125" bestFit="1" customWidth="1"/>
    <col min="11542" max="11542" width="16.42578125" bestFit="1" customWidth="1"/>
    <col min="11543" max="11543" width="14.28515625" customWidth="1"/>
    <col min="11544" max="11544" width="12.85546875" bestFit="1" customWidth="1"/>
    <col min="11545" max="11545" width="11.28515625" bestFit="1" customWidth="1"/>
    <col min="11546" max="11546" width="12.5703125" bestFit="1" customWidth="1"/>
    <col min="11547" max="11547" width="14" bestFit="1" customWidth="1"/>
    <col min="11548" max="11548" width="6" bestFit="1" customWidth="1"/>
    <col min="11549" max="11549" width="15" customWidth="1"/>
    <col min="11550" max="11550" width="14.85546875" bestFit="1" customWidth="1"/>
    <col min="11551" max="11551" width="16.140625" bestFit="1" customWidth="1"/>
    <col min="11779" max="11779" width="24" bestFit="1" customWidth="1"/>
    <col min="11780" max="11780" width="45.7109375" bestFit="1" customWidth="1"/>
    <col min="11781" max="11781" width="19.7109375" bestFit="1" customWidth="1"/>
    <col min="11782" max="11782" width="11.42578125" bestFit="1" customWidth="1"/>
    <col min="11783" max="11783" width="19.85546875" bestFit="1" customWidth="1"/>
    <col min="11784" max="11784" width="13.42578125" customWidth="1"/>
    <col min="11785" max="11785" width="15.28515625" bestFit="1" customWidth="1"/>
    <col min="11786" max="11786" width="14.140625" bestFit="1" customWidth="1"/>
    <col min="11787" max="11787" width="15.28515625" customWidth="1"/>
    <col min="11788" max="11788" width="15.85546875" customWidth="1"/>
    <col min="11789" max="11789" width="17" bestFit="1" customWidth="1"/>
    <col min="11790" max="11790" width="12.7109375" customWidth="1"/>
    <col min="11791" max="11791" width="13.7109375" customWidth="1"/>
    <col min="11792" max="11792" width="13.85546875" bestFit="1" customWidth="1"/>
    <col min="11793" max="11793" width="15.5703125" bestFit="1" customWidth="1"/>
    <col min="11794" max="11794" width="16.140625" customWidth="1"/>
    <col min="11795" max="11795" width="16.7109375" bestFit="1" customWidth="1"/>
    <col min="11796" max="11797" width="15.5703125" bestFit="1" customWidth="1"/>
    <col min="11798" max="11798" width="16.42578125" bestFit="1" customWidth="1"/>
    <col min="11799" max="11799" width="14.28515625" customWidth="1"/>
    <col min="11800" max="11800" width="12.85546875" bestFit="1" customWidth="1"/>
    <col min="11801" max="11801" width="11.28515625" bestFit="1" customWidth="1"/>
    <col min="11802" max="11802" width="12.5703125" bestFit="1" customWidth="1"/>
    <col min="11803" max="11803" width="14" bestFit="1" customWidth="1"/>
    <col min="11804" max="11804" width="6" bestFit="1" customWidth="1"/>
    <col min="11805" max="11805" width="15" customWidth="1"/>
    <col min="11806" max="11806" width="14.85546875" bestFit="1" customWidth="1"/>
    <col min="11807" max="11807" width="16.140625" bestFit="1" customWidth="1"/>
    <col min="12035" max="12035" width="24" bestFit="1" customWidth="1"/>
    <col min="12036" max="12036" width="45.7109375" bestFit="1" customWidth="1"/>
    <col min="12037" max="12037" width="19.7109375" bestFit="1" customWidth="1"/>
    <col min="12038" max="12038" width="11.42578125" bestFit="1" customWidth="1"/>
    <col min="12039" max="12039" width="19.85546875" bestFit="1" customWidth="1"/>
    <col min="12040" max="12040" width="13.42578125" customWidth="1"/>
    <col min="12041" max="12041" width="15.28515625" bestFit="1" customWidth="1"/>
    <col min="12042" max="12042" width="14.140625" bestFit="1" customWidth="1"/>
    <col min="12043" max="12043" width="15.28515625" customWidth="1"/>
    <col min="12044" max="12044" width="15.85546875" customWidth="1"/>
    <col min="12045" max="12045" width="17" bestFit="1" customWidth="1"/>
    <col min="12046" max="12046" width="12.7109375" customWidth="1"/>
    <col min="12047" max="12047" width="13.7109375" customWidth="1"/>
    <col min="12048" max="12048" width="13.85546875" bestFit="1" customWidth="1"/>
    <col min="12049" max="12049" width="15.5703125" bestFit="1" customWidth="1"/>
    <col min="12050" max="12050" width="16.140625" customWidth="1"/>
    <col min="12051" max="12051" width="16.7109375" bestFit="1" customWidth="1"/>
    <col min="12052" max="12053" width="15.5703125" bestFit="1" customWidth="1"/>
    <col min="12054" max="12054" width="16.42578125" bestFit="1" customWidth="1"/>
    <col min="12055" max="12055" width="14.28515625" customWidth="1"/>
    <col min="12056" max="12056" width="12.85546875" bestFit="1" customWidth="1"/>
    <col min="12057" max="12057" width="11.28515625" bestFit="1" customWidth="1"/>
    <col min="12058" max="12058" width="12.5703125" bestFit="1" customWidth="1"/>
    <col min="12059" max="12059" width="14" bestFit="1" customWidth="1"/>
    <col min="12060" max="12060" width="6" bestFit="1" customWidth="1"/>
    <col min="12061" max="12061" width="15" customWidth="1"/>
    <col min="12062" max="12062" width="14.85546875" bestFit="1" customWidth="1"/>
    <col min="12063" max="12063" width="16.140625" bestFit="1" customWidth="1"/>
    <col min="12291" max="12291" width="24" bestFit="1" customWidth="1"/>
    <col min="12292" max="12292" width="45.7109375" bestFit="1" customWidth="1"/>
    <col min="12293" max="12293" width="19.7109375" bestFit="1" customWidth="1"/>
    <col min="12294" max="12294" width="11.42578125" bestFit="1" customWidth="1"/>
    <col min="12295" max="12295" width="19.85546875" bestFit="1" customWidth="1"/>
    <col min="12296" max="12296" width="13.42578125" customWidth="1"/>
    <col min="12297" max="12297" width="15.28515625" bestFit="1" customWidth="1"/>
    <col min="12298" max="12298" width="14.140625" bestFit="1" customWidth="1"/>
    <col min="12299" max="12299" width="15.28515625" customWidth="1"/>
    <col min="12300" max="12300" width="15.85546875" customWidth="1"/>
    <col min="12301" max="12301" width="17" bestFit="1" customWidth="1"/>
    <col min="12302" max="12302" width="12.7109375" customWidth="1"/>
    <col min="12303" max="12303" width="13.7109375" customWidth="1"/>
    <col min="12304" max="12304" width="13.85546875" bestFit="1" customWidth="1"/>
    <col min="12305" max="12305" width="15.5703125" bestFit="1" customWidth="1"/>
    <col min="12306" max="12306" width="16.140625" customWidth="1"/>
    <col min="12307" max="12307" width="16.7109375" bestFit="1" customWidth="1"/>
    <col min="12308" max="12309" width="15.5703125" bestFit="1" customWidth="1"/>
    <col min="12310" max="12310" width="16.42578125" bestFit="1" customWidth="1"/>
    <col min="12311" max="12311" width="14.28515625" customWidth="1"/>
    <col min="12312" max="12312" width="12.85546875" bestFit="1" customWidth="1"/>
    <col min="12313" max="12313" width="11.28515625" bestFit="1" customWidth="1"/>
    <col min="12314" max="12314" width="12.5703125" bestFit="1" customWidth="1"/>
    <col min="12315" max="12315" width="14" bestFit="1" customWidth="1"/>
    <col min="12316" max="12316" width="6" bestFit="1" customWidth="1"/>
    <col min="12317" max="12317" width="15" customWidth="1"/>
    <col min="12318" max="12318" width="14.85546875" bestFit="1" customWidth="1"/>
    <col min="12319" max="12319" width="16.140625" bestFit="1" customWidth="1"/>
    <col min="12547" max="12547" width="24" bestFit="1" customWidth="1"/>
    <col min="12548" max="12548" width="45.7109375" bestFit="1" customWidth="1"/>
    <col min="12549" max="12549" width="19.7109375" bestFit="1" customWidth="1"/>
    <col min="12550" max="12550" width="11.42578125" bestFit="1" customWidth="1"/>
    <col min="12551" max="12551" width="19.85546875" bestFit="1" customWidth="1"/>
    <col min="12552" max="12552" width="13.42578125" customWidth="1"/>
    <col min="12553" max="12553" width="15.28515625" bestFit="1" customWidth="1"/>
    <col min="12554" max="12554" width="14.140625" bestFit="1" customWidth="1"/>
    <col min="12555" max="12555" width="15.28515625" customWidth="1"/>
    <col min="12556" max="12556" width="15.85546875" customWidth="1"/>
    <col min="12557" max="12557" width="17" bestFit="1" customWidth="1"/>
    <col min="12558" max="12558" width="12.7109375" customWidth="1"/>
    <col min="12559" max="12559" width="13.7109375" customWidth="1"/>
    <col min="12560" max="12560" width="13.85546875" bestFit="1" customWidth="1"/>
    <col min="12561" max="12561" width="15.5703125" bestFit="1" customWidth="1"/>
    <col min="12562" max="12562" width="16.140625" customWidth="1"/>
    <col min="12563" max="12563" width="16.7109375" bestFit="1" customWidth="1"/>
    <col min="12564" max="12565" width="15.5703125" bestFit="1" customWidth="1"/>
    <col min="12566" max="12566" width="16.42578125" bestFit="1" customWidth="1"/>
    <col min="12567" max="12567" width="14.28515625" customWidth="1"/>
    <col min="12568" max="12568" width="12.85546875" bestFit="1" customWidth="1"/>
    <col min="12569" max="12569" width="11.28515625" bestFit="1" customWidth="1"/>
    <col min="12570" max="12570" width="12.5703125" bestFit="1" customWidth="1"/>
    <col min="12571" max="12571" width="14" bestFit="1" customWidth="1"/>
    <col min="12572" max="12572" width="6" bestFit="1" customWidth="1"/>
    <col min="12573" max="12573" width="15" customWidth="1"/>
    <col min="12574" max="12574" width="14.85546875" bestFit="1" customWidth="1"/>
    <col min="12575" max="12575" width="16.140625" bestFit="1" customWidth="1"/>
    <col min="12803" max="12803" width="24" bestFit="1" customWidth="1"/>
    <col min="12804" max="12804" width="45.7109375" bestFit="1" customWidth="1"/>
    <col min="12805" max="12805" width="19.7109375" bestFit="1" customWidth="1"/>
    <col min="12806" max="12806" width="11.42578125" bestFit="1" customWidth="1"/>
    <col min="12807" max="12807" width="19.85546875" bestFit="1" customWidth="1"/>
    <col min="12808" max="12808" width="13.42578125" customWidth="1"/>
    <col min="12809" max="12809" width="15.28515625" bestFit="1" customWidth="1"/>
    <col min="12810" max="12810" width="14.140625" bestFit="1" customWidth="1"/>
    <col min="12811" max="12811" width="15.28515625" customWidth="1"/>
    <col min="12812" max="12812" width="15.85546875" customWidth="1"/>
    <col min="12813" max="12813" width="17" bestFit="1" customWidth="1"/>
    <col min="12814" max="12814" width="12.7109375" customWidth="1"/>
    <col min="12815" max="12815" width="13.7109375" customWidth="1"/>
    <col min="12816" max="12816" width="13.85546875" bestFit="1" customWidth="1"/>
    <col min="12817" max="12817" width="15.5703125" bestFit="1" customWidth="1"/>
    <col min="12818" max="12818" width="16.140625" customWidth="1"/>
    <col min="12819" max="12819" width="16.7109375" bestFit="1" customWidth="1"/>
    <col min="12820" max="12821" width="15.5703125" bestFit="1" customWidth="1"/>
    <col min="12822" max="12822" width="16.42578125" bestFit="1" customWidth="1"/>
    <col min="12823" max="12823" width="14.28515625" customWidth="1"/>
    <col min="12824" max="12824" width="12.85546875" bestFit="1" customWidth="1"/>
    <col min="12825" max="12825" width="11.28515625" bestFit="1" customWidth="1"/>
    <col min="12826" max="12826" width="12.5703125" bestFit="1" customWidth="1"/>
    <col min="12827" max="12827" width="14" bestFit="1" customWidth="1"/>
    <col min="12828" max="12828" width="6" bestFit="1" customWidth="1"/>
    <col min="12829" max="12829" width="15" customWidth="1"/>
    <col min="12830" max="12830" width="14.85546875" bestFit="1" customWidth="1"/>
    <col min="12831" max="12831" width="16.140625" bestFit="1" customWidth="1"/>
    <col min="13059" max="13059" width="24" bestFit="1" customWidth="1"/>
    <col min="13060" max="13060" width="45.7109375" bestFit="1" customWidth="1"/>
    <col min="13061" max="13061" width="19.7109375" bestFit="1" customWidth="1"/>
    <col min="13062" max="13062" width="11.42578125" bestFit="1" customWidth="1"/>
    <col min="13063" max="13063" width="19.85546875" bestFit="1" customWidth="1"/>
    <col min="13064" max="13064" width="13.42578125" customWidth="1"/>
    <col min="13065" max="13065" width="15.28515625" bestFit="1" customWidth="1"/>
    <col min="13066" max="13066" width="14.140625" bestFit="1" customWidth="1"/>
    <col min="13067" max="13067" width="15.28515625" customWidth="1"/>
    <col min="13068" max="13068" width="15.85546875" customWidth="1"/>
    <col min="13069" max="13069" width="17" bestFit="1" customWidth="1"/>
    <col min="13070" max="13070" width="12.7109375" customWidth="1"/>
    <col min="13071" max="13071" width="13.7109375" customWidth="1"/>
    <col min="13072" max="13072" width="13.85546875" bestFit="1" customWidth="1"/>
    <col min="13073" max="13073" width="15.5703125" bestFit="1" customWidth="1"/>
    <col min="13074" max="13074" width="16.140625" customWidth="1"/>
    <col min="13075" max="13075" width="16.7109375" bestFit="1" customWidth="1"/>
    <col min="13076" max="13077" width="15.5703125" bestFit="1" customWidth="1"/>
    <col min="13078" max="13078" width="16.42578125" bestFit="1" customWidth="1"/>
    <col min="13079" max="13079" width="14.28515625" customWidth="1"/>
    <col min="13080" max="13080" width="12.85546875" bestFit="1" customWidth="1"/>
    <col min="13081" max="13081" width="11.28515625" bestFit="1" customWidth="1"/>
    <col min="13082" max="13082" width="12.5703125" bestFit="1" customWidth="1"/>
    <col min="13083" max="13083" width="14" bestFit="1" customWidth="1"/>
    <col min="13084" max="13084" width="6" bestFit="1" customWidth="1"/>
    <col min="13085" max="13085" width="15" customWidth="1"/>
    <col min="13086" max="13086" width="14.85546875" bestFit="1" customWidth="1"/>
    <col min="13087" max="13087" width="16.140625" bestFit="1" customWidth="1"/>
    <col min="13315" max="13315" width="24" bestFit="1" customWidth="1"/>
    <col min="13316" max="13316" width="45.7109375" bestFit="1" customWidth="1"/>
    <col min="13317" max="13317" width="19.7109375" bestFit="1" customWidth="1"/>
    <col min="13318" max="13318" width="11.42578125" bestFit="1" customWidth="1"/>
    <col min="13319" max="13319" width="19.85546875" bestFit="1" customWidth="1"/>
    <col min="13320" max="13320" width="13.42578125" customWidth="1"/>
    <col min="13321" max="13321" width="15.28515625" bestFit="1" customWidth="1"/>
    <col min="13322" max="13322" width="14.140625" bestFit="1" customWidth="1"/>
    <col min="13323" max="13323" width="15.28515625" customWidth="1"/>
    <col min="13324" max="13324" width="15.85546875" customWidth="1"/>
    <col min="13325" max="13325" width="17" bestFit="1" customWidth="1"/>
    <col min="13326" max="13326" width="12.7109375" customWidth="1"/>
    <col min="13327" max="13327" width="13.7109375" customWidth="1"/>
    <col min="13328" max="13328" width="13.85546875" bestFit="1" customWidth="1"/>
    <col min="13329" max="13329" width="15.5703125" bestFit="1" customWidth="1"/>
    <col min="13330" max="13330" width="16.140625" customWidth="1"/>
    <col min="13331" max="13331" width="16.7109375" bestFit="1" customWidth="1"/>
    <col min="13332" max="13333" width="15.5703125" bestFit="1" customWidth="1"/>
    <col min="13334" max="13334" width="16.42578125" bestFit="1" customWidth="1"/>
    <col min="13335" max="13335" width="14.28515625" customWidth="1"/>
    <col min="13336" max="13336" width="12.85546875" bestFit="1" customWidth="1"/>
    <col min="13337" max="13337" width="11.28515625" bestFit="1" customWidth="1"/>
    <col min="13338" max="13338" width="12.5703125" bestFit="1" customWidth="1"/>
    <col min="13339" max="13339" width="14" bestFit="1" customWidth="1"/>
    <col min="13340" max="13340" width="6" bestFit="1" customWidth="1"/>
    <col min="13341" max="13341" width="15" customWidth="1"/>
    <col min="13342" max="13342" width="14.85546875" bestFit="1" customWidth="1"/>
    <col min="13343" max="13343" width="16.140625" bestFit="1" customWidth="1"/>
    <col min="13571" max="13571" width="24" bestFit="1" customWidth="1"/>
    <col min="13572" max="13572" width="45.7109375" bestFit="1" customWidth="1"/>
    <col min="13573" max="13573" width="19.7109375" bestFit="1" customWidth="1"/>
    <col min="13574" max="13574" width="11.42578125" bestFit="1" customWidth="1"/>
    <col min="13575" max="13575" width="19.85546875" bestFit="1" customWidth="1"/>
    <col min="13576" max="13576" width="13.42578125" customWidth="1"/>
    <col min="13577" max="13577" width="15.28515625" bestFit="1" customWidth="1"/>
    <col min="13578" max="13578" width="14.140625" bestFit="1" customWidth="1"/>
    <col min="13579" max="13579" width="15.28515625" customWidth="1"/>
    <col min="13580" max="13580" width="15.85546875" customWidth="1"/>
    <col min="13581" max="13581" width="17" bestFit="1" customWidth="1"/>
    <col min="13582" max="13582" width="12.7109375" customWidth="1"/>
    <col min="13583" max="13583" width="13.7109375" customWidth="1"/>
    <col min="13584" max="13584" width="13.85546875" bestFit="1" customWidth="1"/>
    <col min="13585" max="13585" width="15.5703125" bestFit="1" customWidth="1"/>
    <col min="13586" max="13586" width="16.140625" customWidth="1"/>
    <col min="13587" max="13587" width="16.7109375" bestFit="1" customWidth="1"/>
    <col min="13588" max="13589" width="15.5703125" bestFit="1" customWidth="1"/>
    <col min="13590" max="13590" width="16.42578125" bestFit="1" customWidth="1"/>
    <col min="13591" max="13591" width="14.28515625" customWidth="1"/>
    <col min="13592" max="13592" width="12.85546875" bestFit="1" customWidth="1"/>
    <col min="13593" max="13593" width="11.28515625" bestFit="1" customWidth="1"/>
    <col min="13594" max="13594" width="12.5703125" bestFit="1" customWidth="1"/>
    <col min="13595" max="13595" width="14" bestFit="1" customWidth="1"/>
    <col min="13596" max="13596" width="6" bestFit="1" customWidth="1"/>
    <col min="13597" max="13597" width="15" customWidth="1"/>
    <col min="13598" max="13598" width="14.85546875" bestFit="1" customWidth="1"/>
    <col min="13599" max="13599" width="16.140625" bestFit="1" customWidth="1"/>
    <col min="13827" max="13827" width="24" bestFit="1" customWidth="1"/>
    <col min="13828" max="13828" width="45.7109375" bestFit="1" customWidth="1"/>
    <col min="13829" max="13829" width="19.7109375" bestFit="1" customWidth="1"/>
    <col min="13830" max="13830" width="11.42578125" bestFit="1" customWidth="1"/>
    <col min="13831" max="13831" width="19.85546875" bestFit="1" customWidth="1"/>
    <col min="13832" max="13832" width="13.42578125" customWidth="1"/>
    <col min="13833" max="13833" width="15.28515625" bestFit="1" customWidth="1"/>
    <col min="13834" max="13834" width="14.140625" bestFit="1" customWidth="1"/>
    <col min="13835" max="13835" width="15.28515625" customWidth="1"/>
    <col min="13836" max="13836" width="15.85546875" customWidth="1"/>
    <col min="13837" max="13837" width="17" bestFit="1" customWidth="1"/>
    <col min="13838" max="13838" width="12.7109375" customWidth="1"/>
    <col min="13839" max="13839" width="13.7109375" customWidth="1"/>
    <col min="13840" max="13840" width="13.85546875" bestFit="1" customWidth="1"/>
    <col min="13841" max="13841" width="15.5703125" bestFit="1" customWidth="1"/>
    <col min="13842" max="13842" width="16.140625" customWidth="1"/>
    <col min="13843" max="13843" width="16.7109375" bestFit="1" customWidth="1"/>
    <col min="13844" max="13845" width="15.5703125" bestFit="1" customWidth="1"/>
    <col min="13846" max="13846" width="16.42578125" bestFit="1" customWidth="1"/>
    <col min="13847" max="13847" width="14.28515625" customWidth="1"/>
    <col min="13848" max="13848" width="12.85546875" bestFit="1" customWidth="1"/>
    <col min="13849" max="13849" width="11.28515625" bestFit="1" customWidth="1"/>
    <col min="13850" max="13850" width="12.5703125" bestFit="1" customWidth="1"/>
    <col min="13851" max="13851" width="14" bestFit="1" customWidth="1"/>
    <col min="13852" max="13852" width="6" bestFit="1" customWidth="1"/>
    <col min="13853" max="13853" width="15" customWidth="1"/>
    <col min="13854" max="13854" width="14.85546875" bestFit="1" customWidth="1"/>
    <col min="13855" max="13855" width="16.140625" bestFit="1" customWidth="1"/>
    <col min="14083" max="14083" width="24" bestFit="1" customWidth="1"/>
    <col min="14084" max="14084" width="45.7109375" bestFit="1" customWidth="1"/>
    <col min="14085" max="14085" width="19.7109375" bestFit="1" customWidth="1"/>
    <col min="14086" max="14086" width="11.42578125" bestFit="1" customWidth="1"/>
    <col min="14087" max="14087" width="19.85546875" bestFit="1" customWidth="1"/>
    <col min="14088" max="14088" width="13.42578125" customWidth="1"/>
    <col min="14089" max="14089" width="15.28515625" bestFit="1" customWidth="1"/>
    <col min="14090" max="14090" width="14.140625" bestFit="1" customWidth="1"/>
    <col min="14091" max="14091" width="15.28515625" customWidth="1"/>
    <col min="14092" max="14092" width="15.85546875" customWidth="1"/>
    <col min="14093" max="14093" width="17" bestFit="1" customWidth="1"/>
    <col min="14094" max="14094" width="12.7109375" customWidth="1"/>
    <col min="14095" max="14095" width="13.7109375" customWidth="1"/>
    <col min="14096" max="14096" width="13.85546875" bestFit="1" customWidth="1"/>
    <col min="14097" max="14097" width="15.5703125" bestFit="1" customWidth="1"/>
    <col min="14098" max="14098" width="16.140625" customWidth="1"/>
    <col min="14099" max="14099" width="16.7109375" bestFit="1" customWidth="1"/>
    <col min="14100" max="14101" width="15.5703125" bestFit="1" customWidth="1"/>
    <col min="14102" max="14102" width="16.42578125" bestFit="1" customWidth="1"/>
    <col min="14103" max="14103" width="14.28515625" customWidth="1"/>
    <col min="14104" max="14104" width="12.85546875" bestFit="1" customWidth="1"/>
    <col min="14105" max="14105" width="11.28515625" bestFit="1" customWidth="1"/>
    <col min="14106" max="14106" width="12.5703125" bestFit="1" customWidth="1"/>
    <col min="14107" max="14107" width="14" bestFit="1" customWidth="1"/>
    <col min="14108" max="14108" width="6" bestFit="1" customWidth="1"/>
    <col min="14109" max="14109" width="15" customWidth="1"/>
    <col min="14110" max="14110" width="14.85546875" bestFit="1" customWidth="1"/>
    <col min="14111" max="14111" width="16.140625" bestFit="1" customWidth="1"/>
    <col min="14339" max="14339" width="24" bestFit="1" customWidth="1"/>
    <col min="14340" max="14340" width="45.7109375" bestFit="1" customWidth="1"/>
    <col min="14341" max="14341" width="19.7109375" bestFit="1" customWidth="1"/>
    <col min="14342" max="14342" width="11.42578125" bestFit="1" customWidth="1"/>
    <col min="14343" max="14343" width="19.85546875" bestFit="1" customWidth="1"/>
    <col min="14344" max="14344" width="13.42578125" customWidth="1"/>
    <col min="14345" max="14345" width="15.28515625" bestFit="1" customWidth="1"/>
    <col min="14346" max="14346" width="14.140625" bestFit="1" customWidth="1"/>
    <col min="14347" max="14347" width="15.28515625" customWidth="1"/>
    <col min="14348" max="14348" width="15.85546875" customWidth="1"/>
    <col min="14349" max="14349" width="17" bestFit="1" customWidth="1"/>
    <col min="14350" max="14350" width="12.7109375" customWidth="1"/>
    <col min="14351" max="14351" width="13.7109375" customWidth="1"/>
    <col min="14352" max="14352" width="13.85546875" bestFit="1" customWidth="1"/>
    <col min="14353" max="14353" width="15.5703125" bestFit="1" customWidth="1"/>
    <col min="14354" max="14354" width="16.140625" customWidth="1"/>
    <col min="14355" max="14355" width="16.7109375" bestFit="1" customWidth="1"/>
    <col min="14356" max="14357" width="15.5703125" bestFit="1" customWidth="1"/>
    <col min="14358" max="14358" width="16.42578125" bestFit="1" customWidth="1"/>
    <col min="14359" max="14359" width="14.28515625" customWidth="1"/>
    <col min="14360" max="14360" width="12.85546875" bestFit="1" customWidth="1"/>
    <col min="14361" max="14361" width="11.28515625" bestFit="1" customWidth="1"/>
    <col min="14362" max="14362" width="12.5703125" bestFit="1" customWidth="1"/>
    <col min="14363" max="14363" width="14" bestFit="1" customWidth="1"/>
    <col min="14364" max="14364" width="6" bestFit="1" customWidth="1"/>
    <col min="14365" max="14365" width="15" customWidth="1"/>
    <col min="14366" max="14366" width="14.85546875" bestFit="1" customWidth="1"/>
    <col min="14367" max="14367" width="16.140625" bestFit="1" customWidth="1"/>
    <col min="14595" max="14595" width="24" bestFit="1" customWidth="1"/>
    <col min="14596" max="14596" width="45.7109375" bestFit="1" customWidth="1"/>
    <col min="14597" max="14597" width="19.7109375" bestFit="1" customWidth="1"/>
    <col min="14598" max="14598" width="11.42578125" bestFit="1" customWidth="1"/>
    <col min="14599" max="14599" width="19.85546875" bestFit="1" customWidth="1"/>
    <col min="14600" max="14600" width="13.42578125" customWidth="1"/>
    <col min="14601" max="14601" width="15.28515625" bestFit="1" customWidth="1"/>
    <col min="14602" max="14602" width="14.140625" bestFit="1" customWidth="1"/>
    <col min="14603" max="14603" width="15.28515625" customWidth="1"/>
    <col min="14604" max="14604" width="15.85546875" customWidth="1"/>
    <col min="14605" max="14605" width="17" bestFit="1" customWidth="1"/>
    <col min="14606" max="14606" width="12.7109375" customWidth="1"/>
    <col min="14607" max="14607" width="13.7109375" customWidth="1"/>
    <col min="14608" max="14608" width="13.85546875" bestFit="1" customWidth="1"/>
    <col min="14609" max="14609" width="15.5703125" bestFit="1" customWidth="1"/>
    <col min="14610" max="14610" width="16.140625" customWidth="1"/>
    <col min="14611" max="14611" width="16.7109375" bestFit="1" customWidth="1"/>
    <col min="14612" max="14613" width="15.5703125" bestFit="1" customWidth="1"/>
    <col min="14614" max="14614" width="16.42578125" bestFit="1" customWidth="1"/>
    <col min="14615" max="14615" width="14.28515625" customWidth="1"/>
    <col min="14616" max="14616" width="12.85546875" bestFit="1" customWidth="1"/>
    <col min="14617" max="14617" width="11.28515625" bestFit="1" customWidth="1"/>
    <col min="14618" max="14618" width="12.5703125" bestFit="1" customWidth="1"/>
    <col min="14619" max="14619" width="14" bestFit="1" customWidth="1"/>
    <col min="14620" max="14620" width="6" bestFit="1" customWidth="1"/>
    <col min="14621" max="14621" width="15" customWidth="1"/>
    <col min="14622" max="14622" width="14.85546875" bestFit="1" customWidth="1"/>
    <col min="14623" max="14623" width="16.140625" bestFit="1" customWidth="1"/>
    <col min="14851" max="14851" width="24" bestFit="1" customWidth="1"/>
    <col min="14852" max="14852" width="45.7109375" bestFit="1" customWidth="1"/>
    <col min="14853" max="14853" width="19.7109375" bestFit="1" customWidth="1"/>
    <col min="14854" max="14854" width="11.42578125" bestFit="1" customWidth="1"/>
    <col min="14855" max="14855" width="19.85546875" bestFit="1" customWidth="1"/>
    <col min="14856" max="14856" width="13.42578125" customWidth="1"/>
    <col min="14857" max="14857" width="15.28515625" bestFit="1" customWidth="1"/>
    <col min="14858" max="14858" width="14.140625" bestFit="1" customWidth="1"/>
    <col min="14859" max="14859" width="15.28515625" customWidth="1"/>
    <col min="14860" max="14860" width="15.85546875" customWidth="1"/>
    <col min="14861" max="14861" width="17" bestFit="1" customWidth="1"/>
    <col min="14862" max="14862" width="12.7109375" customWidth="1"/>
    <col min="14863" max="14863" width="13.7109375" customWidth="1"/>
    <col min="14864" max="14864" width="13.85546875" bestFit="1" customWidth="1"/>
    <col min="14865" max="14865" width="15.5703125" bestFit="1" customWidth="1"/>
    <col min="14866" max="14866" width="16.140625" customWidth="1"/>
    <col min="14867" max="14867" width="16.7109375" bestFit="1" customWidth="1"/>
    <col min="14868" max="14869" width="15.5703125" bestFit="1" customWidth="1"/>
    <col min="14870" max="14870" width="16.42578125" bestFit="1" customWidth="1"/>
    <col min="14871" max="14871" width="14.28515625" customWidth="1"/>
    <col min="14872" max="14872" width="12.85546875" bestFit="1" customWidth="1"/>
    <col min="14873" max="14873" width="11.28515625" bestFit="1" customWidth="1"/>
    <col min="14874" max="14874" width="12.5703125" bestFit="1" customWidth="1"/>
    <col min="14875" max="14875" width="14" bestFit="1" customWidth="1"/>
    <col min="14876" max="14876" width="6" bestFit="1" customWidth="1"/>
    <col min="14877" max="14877" width="15" customWidth="1"/>
    <col min="14878" max="14878" width="14.85546875" bestFit="1" customWidth="1"/>
    <col min="14879" max="14879" width="16.140625" bestFit="1" customWidth="1"/>
    <col min="15107" max="15107" width="24" bestFit="1" customWidth="1"/>
    <col min="15108" max="15108" width="45.7109375" bestFit="1" customWidth="1"/>
    <col min="15109" max="15109" width="19.7109375" bestFit="1" customWidth="1"/>
    <col min="15110" max="15110" width="11.42578125" bestFit="1" customWidth="1"/>
    <col min="15111" max="15111" width="19.85546875" bestFit="1" customWidth="1"/>
    <col min="15112" max="15112" width="13.42578125" customWidth="1"/>
    <col min="15113" max="15113" width="15.28515625" bestFit="1" customWidth="1"/>
    <col min="15114" max="15114" width="14.140625" bestFit="1" customWidth="1"/>
    <col min="15115" max="15115" width="15.28515625" customWidth="1"/>
    <col min="15116" max="15116" width="15.85546875" customWidth="1"/>
    <col min="15117" max="15117" width="17" bestFit="1" customWidth="1"/>
    <col min="15118" max="15118" width="12.7109375" customWidth="1"/>
    <col min="15119" max="15119" width="13.7109375" customWidth="1"/>
    <col min="15120" max="15120" width="13.85546875" bestFit="1" customWidth="1"/>
    <col min="15121" max="15121" width="15.5703125" bestFit="1" customWidth="1"/>
    <col min="15122" max="15122" width="16.140625" customWidth="1"/>
    <col min="15123" max="15123" width="16.7109375" bestFit="1" customWidth="1"/>
    <col min="15124" max="15125" width="15.5703125" bestFit="1" customWidth="1"/>
    <col min="15126" max="15126" width="16.42578125" bestFit="1" customWidth="1"/>
    <col min="15127" max="15127" width="14.28515625" customWidth="1"/>
    <col min="15128" max="15128" width="12.85546875" bestFit="1" customWidth="1"/>
    <col min="15129" max="15129" width="11.28515625" bestFit="1" customWidth="1"/>
    <col min="15130" max="15130" width="12.5703125" bestFit="1" customWidth="1"/>
    <col min="15131" max="15131" width="14" bestFit="1" customWidth="1"/>
    <col min="15132" max="15132" width="6" bestFit="1" customWidth="1"/>
    <col min="15133" max="15133" width="15" customWidth="1"/>
    <col min="15134" max="15134" width="14.85546875" bestFit="1" customWidth="1"/>
    <col min="15135" max="15135" width="16.140625" bestFit="1" customWidth="1"/>
    <col min="15363" max="15363" width="24" bestFit="1" customWidth="1"/>
    <col min="15364" max="15364" width="45.7109375" bestFit="1" customWidth="1"/>
    <col min="15365" max="15365" width="19.7109375" bestFit="1" customWidth="1"/>
    <col min="15366" max="15366" width="11.42578125" bestFit="1" customWidth="1"/>
    <col min="15367" max="15367" width="19.85546875" bestFit="1" customWidth="1"/>
    <col min="15368" max="15368" width="13.42578125" customWidth="1"/>
    <col min="15369" max="15369" width="15.28515625" bestFit="1" customWidth="1"/>
    <col min="15370" max="15370" width="14.140625" bestFit="1" customWidth="1"/>
    <col min="15371" max="15371" width="15.28515625" customWidth="1"/>
    <col min="15372" max="15372" width="15.85546875" customWidth="1"/>
    <col min="15373" max="15373" width="17" bestFit="1" customWidth="1"/>
    <col min="15374" max="15374" width="12.7109375" customWidth="1"/>
    <col min="15375" max="15375" width="13.7109375" customWidth="1"/>
    <col min="15376" max="15376" width="13.85546875" bestFit="1" customWidth="1"/>
    <col min="15377" max="15377" width="15.5703125" bestFit="1" customWidth="1"/>
    <col min="15378" max="15378" width="16.140625" customWidth="1"/>
    <col min="15379" max="15379" width="16.7109375" bestFit="1" customWidth="1"/>
    <col min="15380" max="15381" width="15.5703125" bestFit="1" customWidth="1"/>
    <col min="15382" max="15382" width="16.42578125" bestFit="1" customWidth="1"/>
    <col min="15383" max="15383" width="14.28515625" customWidth="1"/>
    <col min="15384" max="15384" width="12.85546875" bestFit="1" customWidth="1"/>
    <col min="15385" max="15385" width="11.28515625" bestFit="1" customWidth="1"/>
    <col min="15386" max="15386" width="12.5703125" bestFit="1" customWidth="1"/>
    <col min="15387" max="15387" width="14" bestFit="1" customWidth="1"/>
    <col min="15388" max="15388" width="6" bestFit="1" customWidth="1"/>
    <col min="15389" max="15389" width="15" customWidth="1"/>
    <col min="15390" max="15390" width="14.85546875" bestFit="1" customWidth="1"/>
    <col min="15391" max="15391" width="16.140625" bestFit="1" customWidth="1"/>
    <col min="15619" max="15619" width="24" bestFit="1" customWidth="1"/>
    <col min="15620" max="15620" width="45.7109375" bestFit="1" customWidth="1"/>
    <col min="15621" max="15621" width="19.7109375" bestFit="1" customWidth="1"/>
    <col min="15622" max="15622" width="11.42578125" bestFit="1" customWidth="1"/>
    <col min="15623" max="15623" width="19.85546875" bestFit="1" customWidth="1"/>
    <col min="15624" max="15624" width="13.42578125" customWidth="1"/>
    <col min="15625" max="15625" width="15.28515625" bestFit="1" customWidth="1"/>
    <col min="15626" max="15626" width="14.140625" bestFit="1" customWidth="1"/>
    <col min="15627" max="15627" width="15.28515625" customWidth="1"/>
    <col min="15628" max="15628" width="15.85546875" customWidth="1"/>
    <col min="15629" max="15629" width="17" bestFit="1" customWidth="1"/>
    <col min="15630" max="15630" width="12.7109375" customWidth="1"/>
    <col min="15631" max="15631" width="13.7109375" customWidth="1"/>
    <col min="15632" max="15632" width="13.85546875" bestFit="1" customWidth="1"/>
    <col min="15633" max="15633" width="15.5703125" bestFit="1" customWidth="1"/>
    <col min="15634" max="15634" width="16.140625" customWidth="1"/>
    <col min="15635" max="15635" width="16.7109375" bestFit="1" customWidth="1"/>
    <col min="15636" max="15637" width="15.5703125" bestFit="1" customWidth="1"/>
    <col min="15638" max="15638" width="16.42578125" bestFit="1" customWidth="1"/>
    <col min="15639" max="15639" width="14.28515625" customWidth="1"/>
    <col min="15640" max="15640" width="12.85546875" bestFit="1" customWidth="1"/>
    <col min="15641" max="15641" width="11.28515625" bestFit="1" customWidth="1"/>
    <col min="15642" max="15642" width="12.5703125" bestFit="1" customWidth="1"/>
    <col min="15643" max="15643" width="14" bestFit="1" customWidth="1"/>
    <col min="15644" max="15644" width="6" bestFit="1" customWidth="1"/>
    <col min="15645" max="15645" width="15" customWidth="1"/>
    <col min="15646" max="15646" width="14.85546875" bestFit="1" customWidth="1"/>
    <col min="15647" max="15647" width="16.140625" bestFit="1" customWidth="1"/>
    <col min="15875" max="15875" width="24" bestFit="1" customWidth="1"/>
    <col min="15876" max="15876" width="45.7109375" bestFit="1" customWidth="1"/>
    <col min="15877" max="15877" width="19.7109375" bestFit="1" customWidth="1"/>
    <col min="15878" max="15878" width="11.42578125" bestFit="1" customWidth="1"/>
    <col min="15879" max="15879" width="19.85546875" bestFit="1" customWidth="1"/>
    <col min="15880" max="15880" width="13.42578125" customWidth="1"/>
    <col min="15881" max="15881" width="15.28515625" bestFit="1" customWidth="1"/>
    <col min="15882" max="15882" width="14.140625" bestFit="1" customWidth="1"/>
    <col min="15883" max="15883" width="15.28515625" customWidth="1"/>
    <col min="15884" max="15884" width="15.85546875" customWidth="1"/>
    <col min="15885" max="15885" width="17" bestFit="1" customWidth="1"/>
    <col min="15886" max="15886" width="12.7109375" customWidth="1"/>
    <col min="15887" max="15887" width="13.7109375" customWidth="1"/>
    <col min="15888" max="15888" width="13.85546875" bestFit="1" customWidth="1"/>
    <col min="15889" max="15889" width="15.5703125" bestFit="1" customWidth="1"/>
    <col min="15890" max="15890" width="16.140625" customWidth="1"/>
    <col min="15891" max="15891" width="16.7109375" bestFit="1" customWidth="1"/>
    <col min="15892" max="15893" width="15.5703125" bestFit="1" customWidth="1"/>
    <col min="15894" max="15894" width="16.42578125" bestFit="1" customWidth="1"/>
    <col min="15895" max="15895" width="14.28515625" customWidth="1"/>
    <col min="15896" max="15896" width="12.85546875" bestFit="1" customWidth="1"/>
    <col min="15897" max="15897" width="11.28515625" bestFit="1" customWidth="1"/>
    <col min="15898" max="15898" width="12.5703125" bestFit="1" customWidth="1"/>
    <col min="15899" max="15899" width="14" bestFit="1" customWidth="1"/>
    <col min="15900" max="15900" width="6" bestFit="1" customWidth="1"/>
    <col min="15901" max="15901" width="15" customWidth="1"/>
    <col min="15902" max="15902" width="14.85546875" bestFit="1" customWidth="1"/>
    <col min="15903" max="15903" width="16.140625" bestFit="1" customWidth="1"/>
    <col min="16131" max="16131" width="24" bestFit="1" customWidth="1"/>
    <col min="16132" max="16132" width="45.7109375" bestFit="1" customWidth="1"/>
    <col min="16133" max="16133" width="19.7109375" bestFit="1" customWidth="1"/>
    <col min="16134" max="16134" width="11.42578125" bestFit="1" customWidth="1"/>
    <col min="16135" max="16135" width="19.85546875" bestFit="1" customWidth="1"/>
    <col min="16136" max="16136" width="13.42578125" customWidth="1"/>
    <col min="16137" max="16137" width="15.28515625" bestFit="1" customWidth="1"/>
    <col min="16138" max="16138" width="14.140625" bestFit="1" customWidth="1"/>
    <col min="16139" max="16139" width="15.28515625" customWidth="1"/>
    <col min="16140" max="16140" width="15.85546875" customWidth="1"/>
    <col min="16141" max="16141" width="17" bestFit="1" customWidth="1"/>
    <col min="16142" max="16142" width="12.7109375" customWidth="1"/>
    <col min="16143" max="16143" width="13.7109375" customWidth="1"/>
    <col min="16144" max="16144" width="13.85546875" bestFit="1" customWidth="1"/>
    <col min="16145" max="16145" width="15.5703125" bestFit="1" customWidth="1"/>
    <col min="16146" max="16146" width="16.140625" customWidth="1"/>
    <col min="16147" max="16147" width="16.7109375" bestFit="1" customWidth="1"/>
    <col min="16148" max="16149" width="15.5703125" bestFit="1" customWidth="1"/>
    <col min="16150" max="16150" width="16.42578125" bestFit="1" customWidth="1"/>
    <col min="16151" max="16151" width="14.28515625" customWidth="1"/>
    <col min="16152" max="16152" width="12.85546875" bestFit="1" customWidth="1"/>
    <col min="16153" max="16153" width="11.28515625" bestFit="1" customWidth="1"/>
    <col min="16154" max="16154" width="12.5703125" bestFit="1" customWidth="1"/>
    <col min="16155" max="16155" width="14" bestFit="1" customWidth="1"/>
    <col min="16156" max="16156" width="6" bestFit="1" customWidth="1"/>
    <col min="16157" max="16157" width="15" customWidth="1"/>
    <col min="16158" max="16158" width="14.85546875" bestFit="1" customWidth="1"/>
    <col min="16159" max="16159" width="16.140625" bestFit="1" customWidth="1"/>
  </cols>
  <sheetData>
    <row r="1" spans="1:36" ht="53.25" customHeight="1" thickBot="1">
      <c r="C1" s="1401" t="s">
        <v>587</v>
      </c>
      <c r="D1" s="1361" t="s">
        <v>267</v>
      </c>
      <c r="E1" s="1401" t="s">
        <v>5</v>
      </c>
      <c r="F1" s="1401">
        <v>18230629</v>
      </c>
      <c r="G1" s="1401" t="s">
        <v>4</v>
      </c>
      <c r="J1" s="1361"/>
      <c r="K1" s="1361"/>
      <c r="L1" s="1361"/>
      <c r="M1" s="1401" t="s">
        <v>587</v>
      </c>
      <c r="N1" s="1361" t="s">
        <v>267</v>
      </c>
      <c r="O1" s="1401" t="s">
        <v>5</v>
      </c>
      <c r="P1" s="1401">
        <v>18230629</v>
      </c>
      <c r="Q1" s="1401" t="s">
        <v>4</v>
      </c>
      <c r="V1" s="1401" t="s">
        <v>67</v>
      </c>
      <c r="W1" s="1361" t="s">
        <v>267</v>
      </c>
      <c r="X1" s="1401" t="s">
        <v>5</v>
      </c>
      <c r="Y1" s="1401">
        <v>18230629</v>
      </c>
      <c r="Z1" s="3523"/>
    </row>
    <row r="2" spans="1:36" ht="16.5" thickBot="1">
      <c r="C2" s="44"/>
      <c r="D2" s="45"/>
      <c r="G2" s="1652"/>
      <c r="I2" s="1178" t="s">
        <v>627</v>
      </c>
      <c r="S2" s="3575"/>
      <c r="T2" s="3575"/>
      <c r="U2" s="3576" t="s">
        <v>33</v>
      </c>
      <c r="V2" s="3577"/>
      <c r="W2" s="3578"/>
      <c r="X2" s="3579" t="s">
        <v>34</v>
      </c>
    </row>
    <row r="3" spans="1:36" ht="27.75" thickBot="1">
      <c r="A3" s="1400" t="s">
        <v>587</v>
      </c>
      <c r="B3" s="1400"/>
      <c r="C3" s="2080" t="s">
        <v>597</v>
      </c>
      <c r="G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36" ht="16.5" thickBot="1">
      <c r="A4" s="1357" t="s">
        <v>267</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36" ht="16.5" thickBot="1">
      <c r="A5" s="1400" t="s">
        <v>5</v>
      </c>
      <c r="B5" s="1400"/>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36" ht="16.5" thickBot="1">
      <c r="A6" s="1400">
        <v>18230629</v>
      </c>
      <c r="B6" s="1400"/>
      <c r="C6" s="1190"/>
      <c r="D6" s="1413"/>
      <c r="E6" s="1414"/>
      <c r="F6" s="1413"/>
      <c r="G6" s="1652"/>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742">
        <f>U15</f>
        <v>0</v>
      </c>
      <c r="U6" s="2631" t="e">
        <f>Q6/S6</f>
        <v>#DIV/0!</v>
      </c>
      <c r="V6" s="2631" t="e">
        <f>(L6+(J6*1.63))/S6</f>
        <v>#DIV/0!</v>
      </c>
      <c r="W6" s="2631" t="e">
        <f>N6/S6</f>
        <v>#DIV/0!</v>
      </c>
      <c r="X6" s="2626" t="e">
        <f>S6/T6</f>
        <v>#DIV/0!</v>
      </c>
    </row>
    <row r="7" spans="1:36" ht="15.75">
      <c r="A7" s="1400" t="s">
        <v>4</v>
      </c>
      <c r="B7" s="1357"/>
      <c r="C7" s="1190"/>
      <c r="D7" s="1413"/>
      <c r="E7" s="1414"/>
      <c r="F7" s="1413"/>
      <c r="G7" s="2606"/>
      <c r="H7" s="2607"/>
      <c r="I7" s="2607"/>
      <c r="J7" s="2607"/>
      <c r="K7" s="2607"/>
      <c r="L7" s="2607"/>
      <c r="M7" s="2607"/>
      <c r="N7" s="2607"/>
      <c r="O7" s="2607"/>
      <c r="P7" s="2607"/>
      <c r="Q7" s="2607"/>
      <c r="R7" s="2607"/>
      <c r="S7" s="2608"/>
      <c r="T7" s="2630"/>
      <c r="U7" s="2630"/>
      <c r="V7" s="2630"/>
      <c r="W7" s="2610"/>
    </row>
    <row r="8" spans="1:36" ht="15.75">
      <c r="B8" s="1400"/>
      <c r="C8" s="1190"/>
      <c r="D8" s="1413"/>
      <c r="E8" s="1414"/>
      <c r="F8" s="1413"/>
    </row>
    <row r="9" spans="1:36" ht="20.25" customHeight="1">
      <c r="A9" s="1357"/>
      <c r="B9" s="1357"/>
      <c r="C9" s="1190"/>
      <c r="D9" s="1413"/>
      <c r="E9" s="1414"/>
      <c r="F9" s="1413"/>
      <c r="I9" s="3003" t="s">
        <v>1730</v>
      </c>
      <c r="J9" s="1652"/>
      <c r="K9" s="1652"/>
      <c r="L9" s="1652"/>
      <c r="M9" s="1652"/>
      <c r="N9" s="1652"/>
      <c r="O9" s="1652"/>
      <c r="P9" s="1652"/>
      <c r="Q9" s="3003" t="s">
        <v>1729</v>
      </c>
      <c r="R9" s="1652"/>
      <c r="S9" s="1652"/>
      <c r="T9" s="3003" t="s">
        <v>1729</v>
      </c>
      <c r="U9" s="1652"/>
      <c r="V9" s="1652"/>
      <c r="W9" s="3003" t="s">
        <v>1729</v>
      </c>
    </row>
    <row r="10" spans="1:36">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c r="Z10" s="3524"/>
      <c r="AA10" s="3524"/>
      <c r="AB10" s="3524"/>
      <c r="AC10" s="3524"/>
      <c r="AD10" s="3524"/>
      <c r="AE10" s="3524"/>
      <c r="AF10" s="3524"/>
      <c r="AG10" s="1775"/>
      <c r="AH10" s="1775"/>
      <c r="AI10" s="1775"/>
      <c r="AJ10" s="1775"/>
    </row>
    <row r="11" spans="1:36">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c r="Z11" s="3525"/>
      <c r="AA11" s="3525"/>
      <c r="AB11" s="3525"/>
      <c r="AC11" s="3525"/>
      <c r="AD11" s="3525"/>
      <c r="AE11" s="3525"/>
      <c r="AF11" s="3525"/>
      <c r="AG11" s="3525"/>
      <c r="AH11" s="3525"/>
      <c r="AI11" s="3525"/>
      <c r="AJ11" s="3525"/>
    </row>
    <row r="12" spans="1:36">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c r="Z12" s="3519"/>
      <c r="AA12" s="3519"/>
      <c r="AB12" s="3519"/>
      <c r="AC12" s="3519"/>
      <c r="AD12" s="3519"/>
      <c r="AE12" s="3519"/>
      <c r="AF12" s="3519"/>
      <c r="AG12" s="3525"/>
      <c r="AH12" s="3525"/>
      <c r="AI12" s="3521"/>
      <c r="AJ12" s="3521"/>
    </row>
    <row r="13" spans="1:36">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c r="Z13" s="1777"/>
      <c r="AA13" s="1777"/>
      <c r="AB13" s="1777"/>
      <c r="AC13" s="1777"/>
      <c r="AD13" s="1777"/>
      <c r="AE13" s="1777"/>
      <c r="AF13" s="1777"/>
      <c r="AG13" s="3525"/>
      <c r="AH13" s="3525"/>
      <c r="AI13" s="3522"/>
      <c r="AJ13" s="3522"/>
    </row>
    <row r="14" spans="1:36" ht="15.75">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c r="Z14" s="1778"/>
      <c r="AA14" s="1777"/>
      <c r="AB14" s="1777"/>
      <c r="AC14" s="1777"/>
      <c r="AD14" s="1777"/>
      <c r="AE14" s="1777"/>
      <c r="AF14" s="1777"/>
      <c r="AG14" s="3525"/>
      <c r="AH14" s="3525"/>
      <c r="AI14" s="1777"/>
      <c r="AJ14" s="1777"/>
    </row>
    <row r="15" spans="1:36">
      <c r="B15" s="1433" t="s">
        <v>296</v>
      </c>
      <c r="C15" s="1451" t="s">
        <v>43</v>
      </c>
      <c r="D15" s="2771">
        <f>SUM(D16:D19)</f>
        <v>0</v>
      </c>
      <c r="E15" s="1464">
        <f>SUM(E16:E19)</f>
        <v>0</v>
      </c>
      <c r="F15" s="1462">
        <f>D15+E15</f>
        <v>0</v>
      </c>
      <c r="H15" s="1475" t="s">
        <v>308</v>
      </c>
      <c r="I15" s="1476"/>
      <c r="J15" s="1476"/>
      <c r="K15" s="1477"/>
      <c r="L15" s="1478">
        <v>0</v>
      </c>
      <c r="M15" s="1478">
        <v>0</v>
      </c>
      <c r="N15" s="1479" t="s">
        <v>229</v>
      </c>
      <c r="O15" s="1477" t="s">
        <v>309</v>
      </c>
      <c r="P15" s="1477"/>
      <c r="Q15" s="1477"/>
      <c r="R15" s="1477"/>
      <c r="S15" s="1477"/>
      <c r="T15" s="1480">
        <v>0</v>
      </c>
      <c r="U15" s="1480">
        <v>0</v>
      </c>
      <c r="V15" s="1480">
        <v>0</v>
      </c>
      <c r="W15" s="1478">
        <v>0</v>
      </c>
      <c r="X15" s="1478">
        <v>0</v>
      </c>
      <c r="Y15" s="1478">
        <v>0</v>
      </c>
      <c r="Z15" s="1780"/>
      <c r="AA15" s="1781"/>
      <c r="AB15" s="1781"/>
      <c r="AC15" s="1779"/>
      <c r="AD15" s="1779"/>
      <c r="AE15" s="1779"/>
      <c r="AF15" s="1779"/>
      <c r="AG15" s="3525"/>
      <c r="AH15" s="3525"/>
      <c r="AI15" s="1782"/>
      <c r="AJ15" s="1782"/>
    </row>
    <row r="16" spans="1:36">
      <c r="B16" s="1432"/>
      <c r="C16" s="1667"/>
      <c r="D16" s="2772"/>
      <c r="E16" s="1448"/>
      <c r="F16" s="1426">
        <f>SUM(D16:E16)</f>
        <v>0</v>
      </c>
      <c r="H16" s="1460"/>
      <c r="I16" s="1466"/>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c r="Z16" s="1785"/>
      <c r="AA16" s="1786"/>
      <c r="AB16" s="1786"/>
      <c r="AC16" s="1784"/>
      <c r="AD16" s="1784"/>
      <c r="AE16" s="1784"/>
      <c r="AF16" s="1784"/>
      <c r="AG16" s="3525"/>
      <c r="AH16" s="3525"/>
      <c r="AI16" s="1783"/>
      <c r="AJ16" s="1783"/>
    </row>
    <row r="17" spans="2:36">
      <c r="B17" s="1432"/>
      <c r="C17" s="1423"/>
      <c r="D17" s="2784"/>
      <c r="E17" s="1447"/>
      <c r="F17" s="1438">
        <f t="shared" ref="F17:F30" si="0">SUM(D17:E17)</f>
        <v>0</v>
      </c>
      <c r="H17" s="1460"/>
      <c r="I17" s="1466"/>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c r="Z17" s="1785"/>
      <c r="AA17" s="1786"/>
      <c r="AB17" s="1786"/>
      <c r="AC17" s="1784"/>
      <c r="AD17" s="1784"/>
      <c r="AE17" s="1784"/>
      <c r="AF17" s="1784"/>
      <c r="AG17" s="3525"/>
      <c r="AH17" s="3525"/>
      <c r="AI17" s="1783"/>
      <c r="AJ17" s="1783"/>
    </row>
    <row r="18" spans="2:36">
      <c r="B18" s="1432"/>
      <c r="C18" s="1423"/>
      <c r="D18" s="2784"/>
      <c r="E18" s="1447"/>
      <c r="F18" s="1438">
        <f t="shared" si="0"/>
        <v>0</v>
      </c>
      <c r="H18" s="1460"/>
      <c r="I18" s="1466"/>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c r="Z18" s="1785"/>
      <c r="AA18" s="1786"/>
      <c r="AB18" s="1786"/>
      <c r="AC18" s="1784"/>
      <c r="AD18" s="1784"/>
      <c r="AE18" s="1784"/>
      <c r="AF18" s="1784"/>
      <c r="AG18" s="3525"/>
      <c r="AH18" s="3525"/>
      <c r="AI18" s="1783"/>
      <c r="AJ18" s="1783"/>
    </row>
    <row r="19" spans="2:36">
      <c r="B19" s="1432"/>
      <c r="C19" s="1423"/>
      <c r="D19" s="2786"/>
      <c r="E19" s="1446"/>
      <c r="F19" s="1438">
        <f t="shared" si="0"/>
        <v>0</v>
      </c>
      <c r="H19" s="1460"/>
      <c r="I19" s="1466"/>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c r="Z19" s="1785"/>
      <c r="AA19" s="1786"/>
      <c r="AB19" s="1786"/>
      <c r="AC19" s="1784"/>
      <c r="AD19" s="1784"/>
      <c r="AE19" s="1784"/>
      <c r="AF19" s="1784"/>
      <c r="AG19" s="3525"/>
      <c r="AH19" s="3525"/>
      <c r="AI19" s="1783"/>
      <c r="AJ19" s="1783"/>
    </row>
    <row r="20" spans="2:36">
      <c r="B20" s="1449">
        <f>SUM(B16:B19)</f>
        <v>0</v>
      </c>
      <c r="C20" s="1488"/>
      <c r="D20" s="2770"/>
      <c r="E20" s="1490"/>
      <c r="F20" s="1492"/>
      <c r="H20" s="1460"/>
      <c r="I20" s="1466"/>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c r="Z20" s="1785"/>
      <c r="AA20" s="1786"/>
      <c r="AB20" s="1786"/>
      <c r="AC20" s="1784"/>
      <c r="AD20" s="1784"/>
      <c r="AE20" s="1784"/>
      <c r="AF20" s="1784"/>
      <c r="AG20" s="3525"/>
      <c r="AH20" s="3525"/>
      <c r="AI20" s="1783"/>
      <c r="AJ20" s="1783"/>
    </row>
    <row r="21" spans="2:36">
      <c r="B21" s="1433" t="s">
        <v>296</v>
      </c>
      <c r="C21" s="1451" t="s">
        <v>44</v>
      </c>
      <c r="D21" s="2771">
        <f>SUM(D22:D25)</f>
        <v>0</v>
      </c>
      <c r="E21" s="1464">
        <f>SUM(E22:E25)</f>
        <v>0</v>
      </c>
      <c r="F21" s="1462">
        <f>D21+E21</f>
        <v>0</v>
      </c>
      <c r="H21" s="1460"/>
      <c r="I21" s="1466"/>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c r="Z21" s="1785"/>
      <c r="AA21" s="1786"/>
      <c r="AB21" s="1786"/>
      <c r="AC21" s="1784"/>
      <c r="AD21" s="1784"/>
      <c r="AE21" s="1784"/>
      <c r="AF21" s="1784"/>
      <c r="AG21" s="3525"/>
      <c r="AH21" s="3525"/>
      <c r="AI21" s="1783"/>
      <c r="AJ21" s="1783"/>
    </row>
    <row r="22" spans="2:36">
      <c r="B22" s="1982"/>
      <c r="C22" s="1423"/>
      <c r="D22" s="2772"/>
      <c r="E22" s="1448"/>
      <c r="F22" s="1426">
        <f t="shared" si="0"/>
        <v>0</v>
      </c>
      <c r="H22" s="1460"/>
      <c r="I22" s="1466"/>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c r="Z22" s="1785"/>
      <c r="AA22" s="1786"/>
      <c r="AB22" s="1786"/>
      <c r="AC22" s="1784"/>
      <c r="AD22" s="1784"/>
      <c r="AE22" s="1784"/>
      <c r="AF22" s="1784"/>
      <c r="AG22" s="3525"/>
      <c r="AH22" s="3525"/>
      <c r="AI22" s="1783"/>
      <c r="AJ22" s="1783"/>
    </row>
    <row r="23" spans="2:36">
      <c r="B23" s="1982"/>
      <c r="C23" s="1423"/>
      <c r="D23" s="2773"/>
      <c r="E23" s="1444"/>
      <c r="F23" s="1438">
        <f t="shared" si="0"/>
        <v>0</v>
      </c>
      <c r="H23" s="1460"/>
      <c r="I23" s="1466"/>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c r="Z23" s="1785"/>
      <c r="AA23" s="1786"/>
      <c r="AB23" s="1786"/>
      <c r="AC23" s="1784"/>
      <c r="AD23" s="1784"/>
      <c r="AE23" s="1784"/>
      <c r="AF23" s="1784"/>
      <c r="AG23" s="3525"/>
      <c r="AH23" s="3525"/>
      <c r="AI23" s="1783"/>
      <c r="AJ23" s="1783"/>
    </row>
    <row r="24" spans="2:36">
      <c r="B24" s="1982"/>
      <c r="C24" s="1423"/>
      <c r="D24" s="2774"/>
      <c r="E24" s="1443"/>
      <c r="F24" s="1438">
        <f t="shared" si="0"/>
        <v>0</v>
      </c>
      <c r="H24" s="1460"/>
      <c r="I24" s="1466"/>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c r="Z24" s="1785"/>
      <c r="AA24" s="1786"/>
      <c r="AB24" s="1786"/>
      <c r="AC24" s="1784"/>
      <c r="AD24" s="1784"/>
      <c r="AE24" s="1784"/>
      <c r="AF24" s="1784"/>
      <c r="AG24" s="3525"/>
      <c r="AH24" s="3525"/>
      <c r="AI24" s="1783"/>
      <c r="AJ24" s="1783"/>
    </row>
    <row r="25" spans="2:36">
      <c r="B25" s="1982"/>
      <c r="C25" s="1423"/>
      <c r="D25" s="2775"/>
      <c r="E25" s="1444"/>
      <c r="F25" s="1438">
        <f t="shared" si="0"/>
        <v>0</v>
      </c>
      <c r="H25" s="1460"/>
      <c r="I25" s="1466"/>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c r="Z25" s="1785"/>
      <c r="AA25" s="1786"/>
      <c r="AB25" s="1786"/>
      <c r="AC25" s="1784"/>
      <c r="AD25" s="1784"/>
      <c r="AE25" s="1784"/>
      <c r="AF25" s="1784"/>
      <c r="AG25" s="3525"/>
      <c r="AH25" s="3525"/>
      <c r="AI25" s="1783"/>
      <c r="AJ25" s="1783"/>
    </row>
    <row r="26" spans="2:36">
      <c r="B26" s="1449">
        <f>SUM(B22:B25)</f>
        <v>0</v>
      </c>
      <c r="C26" s="1424"/>
      <c r="D26" s="2776"/>
      <c r="E26" s="1431"/>
      <c r="F26" s="1439"/>
      <c r="H26" s="1460"/>
      <c r="I26" s="1466"/>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c r="Z26" s="1785"/>
      <c r="AA26" s="1786"/>
      <c r="AB26" s="1786"/>
      <c r="AC26" s="1784"/>
      <c r="AD26" s="1784"/>
      <c r="AE26" s="1784"/>
      <c r="AF26" s="1784"/>
      <c r="AG26" s="3525"/>
      <c r="AH26" s="3525"/>
      <c r="AI26" s="1783"/>
      <c r="AJ26" s="1783"/>
    </row>
    <row r="27" spans="2:36">
      <c r="C27" s="1597" t="s">
        <v>1737</v>
      </c>
      <c r="D27" s="2771">
        <f>SUM(D29:D35)</f>
        <v>0</v>
      </c>
      <c r="E27" s="1657">
        <f>SUM(E29:E31)+SUM(E33:E35)</f>
        <v>0</v>
      </c>
      <c r="F27" s="1462">
        <f>D27+E27</f>
        <v>0</v>
      </c>
      <c r="H27" s="1460"/>
      <c r="I27" s="1466"/>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c r="Z27" s="1785"/>
      <c r="AA27" s="1786"/>
      <c r="AB27" s="1786"/>
      <c r="AC27" s="1784"/>
      <c r="AD27" s="1784"/>
      <c r="AE27" s="1784"/>
      <c r="AF27" s="1784"/>
      <c r="AG27" s="3525"/>
      <c r="AH27" s="3525"/>
      <c r="AI27" s="1783"/>
      <c r="AJ27" s="1783"/>
    </row>
    <row r="28" spans="2:36">
      <c r="C28" s="1450" t="s">
        <v>1733</v>
      </c>
      <c r="D28" s="2777">
        <v>0.66700000000000004</v>
      </c>
      <c r="E28" s="1452">
        <v>0.68799999999999994</v>
      </c>
      <c r="F28" s="1485"/>
      <c r="H28" s="1460"/>
      <c r="I28" s="1466"/>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c r="Z28" s="1785"/>
      <c r="AA28" s="1786"/>
      <c r="AB28" s="1786"/>
      <c r="AC28" s="1784"/>
      <c r="AD28" s="1784"/>
      <c r="AE28" s="1784"/>
      <c r="AF28" s="1784"/>
      <c r="AG28" s="3525"/>
      <c r="AH28" s="3525"/>
      <c r="AI28" s="1783"/>
      <c r="AJ28" s="1783"/>
    </row>
    <row r="29" spans="2:36">
      <c r="C29" s="1667" t="s">
        <v>719</v>
      </c>
      <c r="D29" s="2778">
        <f>D15*D28</f>
        <v>0</v>
      </c>
      <c r="E29" s="1504">
        <f>E15*E28</f>
        <v>0</v>
      </c>
      <c r="F29" s="1438">
        <f t="shared" si="0"/>
        <v>0</v>
      </c>
      <c r="H29" s="1460"/>
      <c r="I29" s="1466"/>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c r="Z29" s="1785"/>
      <c r="AA29" s="1786"/>
      <c r="AB29" s="1786"/>
      <c r="AC29" s="1784"/>
      <c r="AD29" s="1784"/>
      <c r="AE29" s="1784"/>
      <c r="AF29" s="1784"/>
      <c r="AG29" s="3525"/>
      <c r="AH29" s="3525"/>
      <c r="AI29" s="1783"/>
      <c r="AJ29" s="1783"/>
    </row>
    <row r="30" spans="2:36">
      <c r="C30" s="1667" t="s">
        <v>720</v>
      </c>
      <c r="D30" s="2785">
        <f>D21*D28</f>
        <v>0</v>
      </c>
      <c r="E30" s="1504">
        <f>E21*E28</f>
        <v>0</v>
      </c>
      <c r="F30" s="1438">
        <f t="shared" si="0"/>
        <v>0</v>
      </c>
      <c r="H30" s="1460"/>
      <c r="I30" s="1466"/>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c r="Z30" s="1785"/>
      <c r="AA30" s="1786"/>
      <c r="AB30" s="1786"/>
      <c r="AC30" s="1784"/>
      <c r="AD30" s="1784"/>
      <c r="AE30" s="1784"/>
      <c r="AF30" s="1784"/>
      <c r="AG30" s="3525"/>
      <c r="AH30" s="3525"/>
      <c r="AI30" s="1783"/>
      <c r="AJ30" s="1783"/>
    </row>
    <row r="31" spans="2:36">
      <c r="C31" s="1667"/>
      <c r="D31" s="2774"/>
      <c r="E31" s="1443"/>
      <c r="F31" s="1436"/>
      <c r="H31" s="1460"/>
      <c r="I31" s="1466"/>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c r="Z31" s="1785"/>
      <c r="AA31" s="1786"/>
      <c r="AB31" s="1786"/>
      <c r="AC31" s="1784"/>
      <c r="AD31" s="1784"/>
      <c r="AE31" s="1784"/>
      <c r="AF31" s="1784"/>
      <c r="AG31" s="3525"/>
      <c r="AH31" s="3525"/>
      <c r="AI31" s="1783"/>
      <c r="AJ31" s="1783"/>
    </row>
    <row r="32" spans="2:36">
      <c r="C32" s="1450" t="s">
        <v>1734</v>
      </c>
      <c r="D32" s="2777"/>
      <c r="E32" s="1452">
        <v>0.21</v>
      </c>
      <c r="F32" s="1485"/>
      <c r="H32" s="1460"/>
      <c r="I32" s="1466"/>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c r="Z32" s="1785"/>
      <c r="AA32" s="1786"/>
      <c r="AB32" s="1786"/>
      <c r="AC32" s="1784"/>
      <c r="AD32" s="1784"/>
      <c r="AE32" s="1784"/>
      <c r="AF32" s="1784"/>
      <c r="AG32" s="3525"/>
      <c r="AH32" s="3525"/>
      <c r="AI32" s="1783"/>
      <c r="AJ32" s="1783"/>
    </row>
    <row r="33" spans="1:36">
      <c r="C33" s="1667" t="s">
        <v>719</v>
      </c>
      <c r="D33" s="2778"/>
      <c r="E33" s="1641">
        <f>E15*E32</f>
        <v>0</v>
      </c>
      <c r="F33" s="1661">
        <f>SUM(D33:E33)</f>
        <v>0</v>
      </c>
      <c r="H33" s="1460"/>
      <c r="I33" s="1466"/>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c r="Z33" s="1785"/>
      <c r="AA33" s="1786"/>
      <c r="AB33" s="1786"/>
      <c r="AC33" s="1784"/>
      <c r="AD33" s="1784"/>
      <c r="AE33" s="1784"/>
      <c r="AF33" s="1784"/>
      <c r="AG33" s="3525"/>
      <c r="AH33" s="3525"/>
      <c r="AI33" s="1783"/>
      <c r="AJ33" s="1783"/>
    </row>
    <row r="34" spans="1:36">
      <c r="A34" s="1400" t="s">
        <v>587</v>
      </c>
      <c r="C34" s="1667" t="s">
        <v>720</v>
      </c>
      <c r="D34" s="2785"/>
      <c r="E34" s="1641">
        <f>E21*E32</f>
        <v>0</v>
      </c>
      <c r="F34" s="1661">
        <f t="shared" ref="F34" si="1">SUM(D34:E34)</f>
        <v>0</v>
      </c>
      <c r="H34" s="1460"/>
      <c r="I34" s="1466"/>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c r="Z34" s="1785"/>
      <c r="AA34" s="1786"/>
      <c r="AB34" s="1786"/>
      <c r="AC34" s="1784"/>
      <c r="AD34" s="1784"/>
      <c r="AE34" s="1784"/>
      <c r="AF34" s="1784"/>
      <c r="AG34" s="3525"/>
      <c r="AH34" s="3525"/>
      <c r="AI34" s="1783"/>
      <c r="AJ34" s="1783"/>
    </row>
    <row r="35" spans="1:36">
      <c r="A35" s="1357" t="s">
        <v>267</v>
      </c>
      <c r="C35" s="1445"/>
      <c r="D35" s="2775"/>
      <c r="E35" s="1444"/>
      <c r="F35" s="1437"/>
      <c r="H35" s="1460"/>
      <c r="I35" s="1466"/>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c r="Z35" s="1785"/>
      <c r="AA35" s="1786"/>
      <c r="AB35" s="1786"/>
      <c r="AC35" s="1784"/>
      <c r="AD35" s="1784"/>
      <c r="AE35" s="1784"/>
      <c r="AF35" s="1784"/>
      <c r="AG35" s="3525"/>
      <c r="AH35" s="3525"/>
      <c r="AI35" s="1783"/>
      <c r="AJ35" s="1783"/>
    </row>
    <row r="36" spans="1:36">
      <c r="A36" s="1400" t="s">
        <v>5</v>
      </c>
      <c r="C36" s="1488"/>
      <c r="D36" s="2779"/>
      <c r="E36" s="1490"/>
      <c r="F36" s="1493"/>
      <c r="H36" s="1460"/>
      <c r="I36" s="1466"/>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c r="Z36" s="1785"/>
      <c r="AA36" s="1786"/>
      <c r="AB36" s="1786"/>
      <c r="AC36" s="1784"/>
      <c r="AD36" s="1784"/>
      <c r="AE36" s="1784"/>
      <c r="AF36" s="1784"/>
      <c r="AG36" s="3525"/>
      <c r="AH36" s="3525"/>
      <c r="AI36" s="1783"/>
      <c r="AJ36" s="1783"/>
    </row>
    <row r="37" spans="1:36">
      <c r="A37" s="1400">
        <v>18230629</v>
      </c>
      <c r="C37" s="1451" t="s">
        <v>46</v>
      </c>
      <c r="D37" s="2771">
        <f>SUM(D38:D41)</f>
        <v>0</v>
      </c>
      <c r="E37" s="1464">
        <f>SUM(E38:E41)</f>
        <v>0</v>
      </c>
      <c r="F37" s="1462">
        <f>D37+E37</f>
        <v>0</v>
      </c>
      <c r="H37" s="1460"/>
      <c r="I37" s="1466"/>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c r="Z37" s="1785"/>
      <c r="AA37" s="1786"/>
      <c r="AB37" s="1786"/>
      <c r="AC37" s="1784"/>
      <c r="AD37" s="1784"/>
      <c r="AE37" s="1784"/>
      <c r="AF37" s="1784"/>
      <c r="AG37" s="3525"/>
      <c r="AH37" s="3525"/>
      <c r="AI37" s="1783"/>
      <c r="AJ37" s="1783"/>
    </row>
    <row r="38" spans="1:36">
      <c r="A38" s="1400" t="s">
        <v>4</v>
      </c>
      <c r="C38" s="1423"/>
      <c r="D38" s="2778"/>
      <c r="E38" s="1520"/>
      <c r="F38" s="1438">
        <f t="shared" ref="F38:F47" si="2">SUM(D38:E38)</f>
        <v>0</v>
      </c>
      <c r="H38" s="1460"/>
      <c r="I38" s="1466"/>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c r="Z38" s="1785"/>
      <c r="AA38" s="1786"/>
      <c r="AB38" s="1786"/>
      <c r="AC38" s="1784"/>
      <c r="AD38" s="1784"/>
      <c r="AE38" s="1784"/>
      <c r="AF38" s="1784"/>
      <c r="AG38" s="3525"/>
      <c r="AH38" s="3525"/>
      <c r="AI38" s="1783"/>
      <c r="AJ38" s="1783"/>
    </row>
    <row r="39" spans="1:36">
      <c r="C39" s="1423"/>
      <c r="D39" s="2778"/>
      <c r="E39" s="1520"/>
      <c r="F39" s="1438">
        <f t="shared" si="2"/>
        <v>0</v>
      </c>
      <c r="H39" s="1460"/>
      <c r="I39" s="1466"/>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c r="Z39" s="1785"/>
      <c r="AA39" s="1786"/>
      <c r="AB39" s="1786"/>
      <c r="AC39" s="1784"/>
      <c r="AD39" s="1784"/>
      <c r="AE39" s="1784"/>
      <c r="AF39" s="1784"/>
      <c r="AG39" s="3525"/>
      <c r="AH39" s="3525"/>
      <c r="AI39" s="1783"/>
      <c r="AJ39" s="1783"/>
    </row>
    <row r="40" spans="1:36">
      <c r="C40" s="1423"/>
      <c r="D40" s="2778"/>
      <c r="E40" s="1520"/>
      <c r="F40" s="1438">
        <f t="shared" si="2"/>
        <v>0</v>
      </c>
      <c r="H40" s="1460"/>
      <c r="I40" s="1466"/>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c r="Z40" s="1785"/>
      <c r="AA40" s="1786"/>
      <c r="AB40" s="1786"/>
      <c r="AC40" s="1784"/>
      <c r="AD40" s="1784"/>
      <c r="AE40" s="1784"/>
      <c r="AF40" s="1784"/>
      <c r="AG40" s="3525"/>
      <c r="AH40" s="3525"/>
      <c r="AI40" s="1783"/>
      <c r="AJ40" s="1783"/>
    </row>
    <row r="41" spans="1:36">
      <c r="C41" s="1423"/>
      <c r="D41" s="2778"/>
      <c r="E41" s="1520"/>
      <c r="F41" s="1438">
        <f t="shared" si="2"/>
        <v>0</v>
      </c>
      <c r="H41" s="1460"/>
      <c r="I41" s="1466"/>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c r="Z41" s="1785"/>
      <c r="AA41" s="1786"/>
      <c r="AB41" s="1786"/>
      <c r="AC41" s="1784"/>
      <c r="AD41" s="1784"/>
      <c r="AE41" s="1784"/>
      <c r="AF41" s="1784"/>
      <c r="AG41" s="3525"/>
      <c r="AH41" s="3525"/>
      <c r="AI41" s="1783"/>
      <c r="AJ41" s="1783"/>
    </row>
    <row r="42" spans="1:36">
      <c r="C42" s="1488"/>
      <c r="D42" s="2779"/>
      <c r="E42" s="1490"/>
      <c r="F42" s="1493"/>
      <c r="H42" s="1460"/>
      <c r="I42" s="1466"/>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c r="Z42" s="1785"/>
      <c r="AA42" s="1786"/>
      <c r="AB42" s="1786"/>
      <c r="AC42" s="1784"/>
      <c r="AD42" s="1784"/>
      <c r="AE42" s="1784"/>
      <c r="AF42" s="1784"/>
      <c r="AG42" s="3525"/>
      <c r="AH42" s="3525"/>
      <c r="AI42" s="1783"/>
      <c r="AJ42" s="1783"/>
    </row>
    <row r="43" spans="1:36">
      <c r="C43" s="1597" t="s">
        <v>483</v>
      </c>
      <c r="D43" s="2771">
        <f>SUM(D44:D47)</f>
        <v>0</v>
      </c>
      <c r="E43" s="1464">
        <f>SUM(E44:E47)</f>
        <v>0</v>
      </c>
      <c r="F43" s="1462">
        <f>D43+E43</f>
        <v>0</v>
      </c>
      <c r="H43" s="1460"/>
      <c r="I43" s="1466"/>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c r="Z43" s="1785"/>
      <c r="AA43" s="1786"/>
      <c r="AB43" s="1786"/>
      <c r="AC43" s="1784"/>
      <c r="AD43" s="1784"/>
      <c r="AE43" s="1784"/>
      <c r="AF43" s="1784"/>
      <c r="AG43" s="3525"/>
      <c r="AH43" s="3525"/>
      <c r="AI43" s="1783"/>
      <c r="AJ43" s="1783"/>
    </row>
    <row r="44" spans="1:36">
      <c r="C44" s="1423"/>
      <c r="D44" s="2778"/>
      <c r="E44" s="1520"/>
      <c r="F44" s="1438">
        <f t="shared" si="2"/>
        <v>0</v>
      </c>
      <c r="H44" s="1460"/>
      <c r="I44" s="1466"/>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c r="Z44" s="1785"/>
      <c r="AA44" s="1786"/>
      <c r="AB44" s="1786"/>
      <c r="AC44" s="1784"/>
      <c r="AD44" s="1784"/>
      <c r="AE44" s="1784"/>
      <c r="AF44" s="1784"/>
      <c r="AG44" s="3525"/>
      <c r="AH44" s="3525"/>
      <c r="AI44" s="1783"/>
      <c r="AJ44" s="1783"/>
    </row>
    <row r="45" spans="1:36">
      <c r="C45" s="1423"/>
      <c r="D45" s="2778"/>
      <c r="E45" s="1520"/>
      <c r="F45" s="1438">
        <f t="shared" si="2"/>
        <v>0</v>
      </c>
      <c r="H45" s="1460"/>
      <c r="I45" s="1466"/>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c r="Z45" s="1785"/>
      <c r="AA45" s="1786"/>
      <c r="AB45" s="1786"/>
      <c r="AC45" s="1784"/>
      <c r="AD45" s="1784"/>
      <c r="AE45" s="1784"/>
      <c r="AF45" s="1784"/>
      <c r="AG45" s="3525"/>
      <c r="AH45" s="3525"/>
      <c r="AI45" s="1783"/>
      <c r="AJ45" s="1783"/>
    </row>
    <row r="46" spans="1:36">
      <c r="C46" s="1423"/>
      <c r="D46" s="2778"/>
      <c r="E46" s="1520"/>
      <c r="F46" s="1438">
        <f t="shared" si="2"/>
        <v>0</v>
      </c>
      <c r="H46" s="1460"/>
      <c r="I46" s="1466"/>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c r="Z46" s="1785"/>
      <c r="AA46" s="1786"/>
      <c r="AB46" s="1786"/>
      <c r="AC46" s="1784"/>
      <c r="AD46" s="1784"/>
      <c r="AE46" s="1784"/>
      <c r="AF46" s="1784"/>
      <c r="AG46" s="3525"/>
      <c r="AH46" s="3525"/>
      <c r="AI46" s="1783"/>
      <c r="AJ46" s="1783"/>
    </row>
    <row r="47" spans="1:36">
      <c r="C47" s="1423"/>
      <c r="D47" s="2778"/>
      <c r="E47" s="1520"/>
      <c r="F47" s="1438">
        <f t="shared" si="2"/>
        <v>0</v>
      </c>
      <c r="H47" s="1460"/>
      <c r="I47" s="1466"/>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c r="Z47" s="1785"/>
      <c r="AA47" s="1786"/>
      <c r="AB47" s="1786"/>
      <c r="AC47" s="1784"/>
      <c r="AD47" s="1784"/>
      <c r="AE47" s="1784"/>
      <c r="AF47" s="1784"/>
      <c r="AG47" s="3525"/>
      <c r="AH47" s="3525"/>
      <c r="AI47" s="1783"/>
      <c r="AJ47" s="1783"/>
    </row>
    <row r="48" spans="1:36">
      <c r="C48" s="1488"/>
      <c r="D48" s="2779"/>
      <c r="E48" s="1490"/>
      <c r="F48" s="1493"/>
      <c r="H48" s="1460"/>
      <c r="I48" s="1466"/>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c r="Z48" s="1785"/>
      <c r="AA48" s="1786"/>
      <c r="AB48" s="1786"/>
      <c r="AC48" s="1784"/>
      <c r="AD48" s="1784"/>
      <c r="AE48" s="1784"/>
      <c r="AF48" s="1784"/>
      <c r="AG48" s="3525"/>
      <c r="AH48" s="3525"/>
      <c r="AI48" s="1783"/>
      <c r="AJ48" s="1783"/>
    </row>
    <row r="49" spans="1:36">
      <c r="C49" s="1451" t="s">
        <v>47</v>
      </c>
      <c r="D49" s="2771">
        <f>SUM(D50:D53)</f>
        <v>0</v>
      </c>
      <c r="E49" s="1464">
        <f>SUM(E50:E53)</f>
        <v>0</v>
      </c>
      <c r="F49" s="1462">
        <f>D49+E49</f>
        <v>0</v>
      </c>
      <c r="H49" s="1460"/>
      <c r="I49" s="1466"/>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c r="Z49" s="1785"/>
      <c r="AA49" s="1786"/>
      <c r="AB49" s="1786"/>
      <c r="AC49" s="1784"/>
      <c r="AD49" s="1784"/>
      <c r="AE49" s="1784"/>
      <c r="AF49" s="1784"/>
      <c r="AG49" s="3525"/>
      <c r="AH49" s="3525"/>
      <c r="AI49" s="1783"/>
      <c r="AJ49" s="1783"/>
    </row>
    <row r="50" spans="1:36">
      <c r="C50" s="1667"/>
      <c r="D50" s="2778"/>
      <c r="E50" s="1520"/>
      <c r="F50" s="1438">
        <f t="shared" ref="F50:F65" si="3">SUM(D50:E50)</f>
        <v>0</v>
      </c>
      <c r="H50" s="1460"/>
      <c r="I50" s="1466"/>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c r="Z50" s="1785"/>
      <c r="AA50" s="1786"/>
      <c r="AB50" s="1786"/>
      <c r="AC50" s="1784"/>
      <c r="AD50" s="1784"/>
      <c r="AE50" s="1784"/>
      <c r="AF50" s="1784"/>
      <c r="AG50" s="3525"/>
      <c r="AH50" s="3525"/>
      <c r="AI50" s="1783"/>
      <c r="AJ50" s="1783"/>
    </row>
    <row r="51" spans="1:36">
      <c r="C51" s="1423"/>
      <c r="D51" s="2778"/>
      <c r="E51" s="1520"/>
      <c r="F51" s="1438">
        <f t="shared" si="3"/>
        <v>0</v>
      </c>
      <c r="H51" s="1460"/>
      <c r="I51" s="1466"/>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c r="Z51" s="1785"/>
      <c r="AA51" s="1786"/>
      <c r="AB51" s="1786"/>
      <c r="AC51" s="1784"/>
      <c r="AD51" s="1784"/>
      <c r="AE51" s="1784"/>
      <c r="AF51" s="1784"/>
      <c r="AG51" s="3525"/>
      <c r="AH51" s="3525"/>
      <c r="AI51" s="1783"/>
      <c r="AJ51" s="1783"/>
    </row>
    <row r="52" spans="1:36">
      <c r="C52" s="1423"/>
      <c r="D52" s="2778"/>
      <c r="E52" s="1520"/>
      <c r="F52" s="1438">
        <f t="shared" si="3"/>
        <v>0</v>
      </c>
      <c r="H52" s="1460"/>
      <c r="I52" s="1466"/>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c r="Z52" s="1785"/>
      <c r="AA52" s="1786"/>
      <c r="AB52" s="1786"/>
      <c r="AC52" s="1784"/>
      <c r="AD52" s="1784"/>
      <c r="AE52" s="1784"/>
      <c r="AF52" s="1784"/>
      <c r="AG52" s="3525"/>
      <c r="AH52" s="3525"/>
      <c r="AI52" s="1783"/>
      <c r="AJ52" s="1783"/>
    </row>
    <row r="53" spans="1:36">
      <c r="C53" s="1423"/>
      <c r="D53" s="2778"/>
      <c r="E53" s="1520"/>
      <c r="F53" s="1438">
        <f t="shared" si="3"/>
        <v>0</v>
      </c>
      <c r="H53" s="1460"/>
      <c r="I53" s="1466"/>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c r="Z53" s="1785"/>
      <c r="AA53" s="1786"/>
      <c r="AB53" s="1786"/>
      <c r="AC53" s="1784"/>
      <c r="AD53" s="1784"/>
      <c r="AE53" s="1784"/>
      <c r="AF53" s="1784"/>
      <c r="AG53" s="3525"/>
      <c r="AH53" s="3525"/>
      <c r="AI53" s="1783"/>
      <c r="AJ53" s="1783"/>
    </row>
    <row r="54" spans="1:36">
      <c r="C54" s="1488"/>
      <c r="D54" s="2779"/>
      <c r="E54" s="1490"/>
      <c r="F54" s="1493"/>
      <c r="H54" s="1460"/>
      <c r="I54" s="1466"/>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c r="Z54" s="1785"/>
      <c r="AA54" s="1786"/>
      <c r="AB54" s="1786"/>
      <c r="AC54" s="1784"/>
      <c r="AD54" s="1784"/>
      <c r="AE54" s="1784"/>
      <c r="AF54" s="1784"/>
      <c r="AG54" s="3525"/>
      <c r="AH54" s="3525"/>
      <c r="AI54" s="1783"/>
      <c r="AJ54" s="1783"/>
    </row>
    <row r="55" spans="1:36">
      <c r="C55" s="1451" t="s">
        <v>48</v>
      </c>
      <c r="D55" s="2771">
        <f>SUM(D56:D59)</f>
        <v>0</v>
      </c>
      <c r="E55" s="1464">
        <f>SUM(E56:E59)</f>
        <v>0</v>
      </c>
      <c r="F55" s="1462">
        <f>D55+E55</f>
        <v>0</v>
      </c>
      <c r="H55" s="1460"/>
      <c r="I55" s="1466"/>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c r="Z55" s="1785"/>
      <c r="AA55" s="1786"/>
      <c r="AB55" s="1786"/>
      <c r="AC55" s="1784"/>
      <c r="AD55" s="1784"/>
      <c r="AE55" s="1784"/>
      <c r="AF55" s="1784"/>
      <c r="AG55" s="3525"/>
      <c r="AH55" s="3525"/>
      <c r="AI55" s="1783"/>
      <c r="AJ55" s="1783"/>
    </row>
    <row r="56" spans="1:36">
      <c r="C56" s="1423"/>
      <c r="D56" s="2778"/>
      <c r="E56" s="1504"/>
      <c r="F56" s="1438">
        <f t="shared" si="3"/>
        <v>0</v>
      </c>
      <c r="H56" s="1460"/>
      <c r="I56" s="1466"/>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c r="Z56" s="1785"/>
      <c r="AA56" s="1786"/>
      <c r="AB56" s="1786"/>
      <c r="AC56" s="1784"/>
      <c r="AD56" s="1784"/>
      <c r="AE56" s="1784"/>
      <c r="AF56" s="1784"/>
      <c r="AG56" s="3525"/>
      <c r="AH56" s="3525"/>
      <c r="AI56" s="1783"/>
      <c r="AJ56" s="1783"/>
    </row>
    <row r="57" spans="1:36">
      <c r="C57" s="1423"/>
      <c r="D57" s="2778"/>
      <c r="E57" s="1504"/>
      <c r="F57" s="1438">
        <f t="shared" si="3"/>
        <v>0</v>
      </c>
      <c r="H57" s="1460"/>
      <c r="I57" s="1466"/>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c r="Z57" s="1785"/>
      <c r="AA57" s="1786"/>
      <c r="AB57" s="1786"/>
      <c r="AC57" s="1784"/>
      <c r="AD57" s="1784"/>
      <c r="AE57" s="1784"/>
      <c r="AF57" s="1784"/>
      <c r="AG57" s="3525"/>
      <c r="AH57" s="3525"/>
      <c r="AI57" s="1783"/>
      <c r="AJ57" s="1783"/>
    </row>
    <row r="58" spans="1:36">
      <c r="C58" s="1423"/>
      <c r="D58" s="2778"/>
      <c r="E58" s="1504"/>
      <c r="F58" s="1438">
        <f t="shared" si="3"/>
        <v>0</v>
      </c>
      <c r="H58" s="1460"/>
      <c r="I58" s="1466"/>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c r="Z58" s="1785"/>
      <c r="AA58" s="1786"/>
      <c r="AB58" s="1786"/>
      <c r="AC58" s="1784"/>
      <c r="AD58" s="1784"/>
      <c r="AE58" s="1784"/>
      <c r="AF58" s="1784"/>
      <c r="AG58" s="3525"/>
      <c r="AH58" s="3525"/>
      <c r="AI58" s="1783"/>
      <c r="AJ58" s="1783"/>
    </row>
    <row r="59" spans="1:36">
      <c r="C59" s="1423"/>
      <c r="D59" s="2778"/>
      <c r="E59" s="1504"/>
      <c r="F59" s="1438">
        <f t="shared" si="3"/>
        <v>0</v>
      </c>
      <c r="H59" s="1460"/>
      <c r="I59" s="1466"/>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c r="Z59" s="1785"/>
      <c r="AA59" s="1786"/>
      <c r="AB59" s="1786"/>
      <c r="AC59" s="1784"/>
      <c r="AD59" s="1784"/>
      <c r="AE59" s="1784"/>
      <c r="AF59" s="1784"/>
      <c r="AG59" s="3525"/>
      <c r="AH59" s="3525"/>
      <c r="AI59" s="1783"/>
      <c r="AJ59" s="1783"/>
    </row>
    <row r="60" spans="1:36">
      <c r="C60" s="1488"/>
      <c r="D60" s="2779"/>
      <c r="E60" s="1490"/>
      <c r="F60" s="1493"/>
      <c r="H60" s="1460"/>
      <c r="I60" s="1466"/>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c r="Z60" s="1785"/>
      <c r="AA60" s="1786"/>
      <c r="AB60" s="1786"/>
      <c r="AC60" s="1784"/>
      <c r="AD60" s="1784"/>
      <c r="AE60" s="1784"/>
      <c r="AF60" s="1784"/>
      <c r="AG60" s="3525"/>
      <c r="AH60" s="3525"/>
      <c r="AI60" s="1783"/>
      <c r="AJ60" s="1783"/>
    </row>
    <row r="61" spans="1:36">
      <c r="C61" s="1451" t="s">
        <v>49</v>
      </c>
      <c r="D61" s="2771">
        <f>SUM(D62:D65)</f>
        <v>0</v>
      </c>
      <c r="E61" s="1464">
        <f>SUM(E62:E65)</f>
        <v>0</v>
      </c>
      <c r="F61" s="1462">
        <f>D61+E61</f>
        <v>0</v>
      </c>
      <c r="H61" s="1460"/>
      <c r="I61" s="1466"/>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c r="Z61" s="1785"/>
      <c r="AA61" s="1786"/>
      <c r="AB61" s="1786"/>
      <c r="AC61" s="1784"/>
      <c r="AD61" s="1784"/>
      <c r="AE61" s="1784"/>
      <c r="AF61" s="1784"/>
      <c r="AG61" s="3525"/>
      <c r="AH61" s="3525"/>
      <c r="AI61" s="1783"/>
      <c r="AJ61" s="1783"/>
    </row>
    <row r="62" spans="1:36">
      <c r="C62" s="1423"/>
      <c r="D62" s="2778"/>
      <c r="E62" s="1520"/>
      <c r="F62" s="1438">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c r="Z62" s="1785"/>
      <c r="AA62" s="1786"/>
      <c r="AB62" s="1786"/>
      <c r="AC62" s="1784"/>
      <c r="AD62" s="1784"/>
      <c r="AE62" s="1784"/>
      <c r="AF62" s="1784"/>
      <c r="AG62" s="3525"/>
      <c r="AH62" s="3525"/>
      <c r="AI62" s="1783"/>
      <c r="AJ62" s="1783"/>
    </row>
    <row r="63" spans="1:36">
      <c r="C63" s="1423"/>
      <c r="D63" s="2778"/>
      <c r="E63" s="1520"/>
      <c r="F63" s="1438">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c r="Z63" s="1785"/>
      <c r="AA63" s="1786"/>
      <c r="AB63" s="1786"/>
      <c r="AC63" s="1784"/>
      <c r="AD63" s="1784"/>
      <c r="AE63" s="1784"/>
      <c r="AF63" s="1784"/>
      <c r="AG63" s="3525"/>
      <c r="AH63" s="3525"/>
      <c r="AI63" s="1783"/>
      <c r="AJ63" s="1783"/>
    </row>
    <row r="64" spans="1:36">
      <c r="A64" s="1400" t="s">
        <v>67</v>
      </c>
      <c r="C64" s="1423"/>
      <c r="D64" s="2778"/>
      <c r="E64" s="1520"/>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c r="Z64" s="1785"/>
      <c r="AA64" s="1786"/>
      <c r="AB64" s="1786"/>
      <c r="AC64" s="1784"/>
      <c r="AD64" s="1784"/>
      <c r="AE64" s="1784"/>
      <c r="AF64" s="1784"/>
      <c r="AG64" s="3525"/>
      <c r="AH64" s="3525"/>
      <c r="AI64" s="1783"/>
      <c r="AJ64" s="1783"/>
    </row>
    <row r="65" spans="1:36">
      <c r="A65" s="1357" t="s">
        <v>267</v>
      </c>
      <c r="C65" s="1423"/>
      <c r="D65" s="2778"/>
      <c r="E65" s="1520"/>
      <c r="F65" s="1438">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c r="Z65" s="1785"/>
      <c r="AA65" s="1786"/>
      <c r="AB65" s="1786"/>
      <c r="AC65" s="1784"/>
      <c r="AD65" s="1784"/>
      <c r="AE65" s="1784"/>
      <c r="AF65" s="1784"/>
      <c r="AG65" s="3525"/>
      <c r="AH65" s="3525"/>
      <c r="AI65" s="1783"/>
      <c r="AJ65" s="1783"/>
    </row>
    <row r="66" spans="1:36">
      <c r="A66" s="1400" t="s">
        <v>5</v>
      </c>
      <c r="C66" s="1488"/>
      <c r="D66" s="2779"/>
      <c r="E66" s="1490"/>
      <c r="F66" s="1493"/>
    </row>
    <row r="67" spans="1:36">
      <c r="A67" s="1400">
        <v>18230629</v>
      </c>
      <c r="C67" s="1451" t="s">
        <v>50</v>
      </c>
      <c r="D67" s="2771">
        <f>W15</f>
        <v>0</v>
      </c>
      <c r="E67" s="1464">
        <f>X15*1.15</f>
        <v>0</v>
      </c>
      <c r="F67" s="1462">
        <f>D67+E67</f>
        <v>0</v>
      </c>
    </row>
    <row r="68" spans="1:36">
      <c r="A68" s="1400" t="s">
        <v>4</v>
      </c>
      <c r="C68" s="1500" t="s">
        <v>297</v>
      </c>
      <c r="D68" s="2781"/>
      <c r="E68" s="1496"/>
      <c r="F68" s="1499"/>
    </row>
    <row r="69" spans="1:36">
      <c r="C69" s="1501"/>
      <c r="D69" s="2782"/>
      <c r="E69" s="1497"/>
      <c r="F69" s="1498"/>
    </row>
    <row r="70" spans="1:36">
      <c r="C70" s="1494" t="s">
        <v>51</v>
      </c>
      <c r="D70" s="2778">
        <v>0</v>
      </c>
      <c r="E70" s="1503">
        <v>0</v>
      </c>
      <c r="F70" s="1491">
        <v>0</v>
      </c>
    </row>
  </sheetData>
  <customSheetViews>
    <customSheetView guid="{D9EFFE19-D14B-4C6F-BDF4-FF696F73968D}" showGridLines="0">
      <pane xSplit="1" ySplit="1" topLeftCell="D2" activePane="bottomRight" state="frozen"/>
      <selection pane="bottomRight" activeCell="E31" sqref="E31"/>
      <pageMargins left="0.2" right="0.23" top="0.37" bottom="0.31" header="0.3" footer="0.3"/>
      <pageSetup paperSize="3" scale="53" orientation="landscape" r:id="rId1"/>
    </customSheetView>
    <customSheetView guid="{074EB09C-6289-46D7-9513-012B68BCA7BF}" showGridLines="0">
      <pane xSplit="1" ySplit="1" topLeftCell="B2" activePane="bottomRight" state="frozen"/>
      <selection pane="bottomRight" activeCell="E29" sqref="E29"/>
      <pageMargins left="0.2" right="0.23" top="0.37" bottom="0.31" header="0.3" footer="0.3"/>
      <pageSetup paperSize="3" scale="53" orientation="landscape" r:id="rId2"/>
    </customSheetView>
  </customSheetViews>
  <mergeCells count="8">
    <mergeCell ref="H12:P12"/>
    <mergeCell ref="Q12:S12"/>
    <mergeCell ref="T12:V12"/>
    <mergeCell ref="W12:Y12"/>
    <mergeCell ref="S2:T2"/>
    <mergeCell ref="U2:W2"/>
    <mergeCell ref="X2:X3"/>
    <mergeCell ref="H10:P10"/>
  </mergeCells>
  <pageMargins left="0.45" right="0.23" top="0.37" bottom="0.31" header="0.3" footer="0.3"/>
  <pageSetup paperSize="3" scale="50" orientation="landscape" r:id="rId3"/>
  <drawing r:id="rId4"/>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tabColor theme="8" tint="-0.249977111117893"/>
    <pageSetUpPr fitToPage="1"/>
  </sheetPr>
  <dimension ref="A1:Y70"/>
  <sheetViews>
    <sheetView showGridLines="0" workbookViewId="0">
      <pane xSplit="1" ySplit="1" topLeftCell="B5" activePane="bottomRight" state="frozen"/>
      <selection pane="topRight" activeCell="B1" sqref="B1"/>
      <selection pane="bottomLeft" activeCell="A2" sqref="A2"/>
      <selection pane="bottomRight" activeCell="G13" sqref="G13"/>
    </sheetView>
  </sheetViews>
  <sheetFormatPr defaultRowHeight="12.75"/>
  <cols>
    <col min="1" max="1" width="17.140625" style="1652" customWidth="1"/>
    <col min="2" max="2" width="15" style="1652" customWidth="1"/>
    <col min="3" max="3" width="32.28515625" style="1652" customWidth="1"/>
    <col min="4" max="4" width="21.7109375" style="1652" bestFit="1" customWidth="1"/>
    <col min="5" max="5" width="14.85546875" style="1663" customWidth="1"/>
    <col min="6" max="6" width="14.85546875" style="1652" customWidth="1"/>
    <col min="7" max="7" width="16.28515625" style="1652" customWidth="1"/>
    <col min="8" max="8" width="40.28515625" style="1652" customWidth="1"/>
    <col min="9" max="9" width="15.28515625" style="1652" bestFit="1" customWidth="1"/>
    <col min="10" max="10" width="14.140625" style="1652" bestFit="1" customWidth="1"/>
    <col min="11" max="11" width="15.28515625" style="1652" customWidth="1"/>
    <col min="12" max="12" width="15.85546875" style="1652" customWidth="1"/>
    <col min="13" max="13" width="17" style="1652" bestFit="1" customWidth="1"/>
    <col min="14" max="14" width="12.7109375" style="1652" customWidth="1"/>
    <col min="15" max="15" width="13.7109375" style="1652" customWidth="1"/>
    <col min="16" max="16" width="13.85546875" style="1652" bestFit="1" customWidth="1"/>
    <col min="17" max="17" width="15.5703125" style="1652" bestFit="1" customWidth="1"/>
    <col min="18" max="18" width="16.140625" style="1652" customWidth="1"/>
    <col min="19" max="19" width="16.7109375" style="1652" bestFit="1" customWidth="1"/>
    <col min="20" max="20" width="15.5703125" style="1652" bestFit="1" customWidth="1"/>
    <col min="21" max="21" width="20.5703125" style="1652" bestFit="1" customWidth="1"/>
    <col min="22" max="22" width="16.42578125" style="1652" bestFit="1" customWidth="1"/>
    <col min="23" max="23" width="14.28515625" style="1652" customWidth="1"/>
    <col min="24" max="24" width="12.85546875" style="1652" bestFit="1" customWidth="1"/>
    <col min="25" max="25" width="14.7109375" style="1652" customWidth="1"/>
    <col min="26" max="247" width="9.140625" style="1652"/>
    <col min="248" max="248" width="24" style="1652" bestFit="1" customWidth="1"/>
    <col min="249" max="249" width="43.85546875" style="1652" customWidth="1"/>
    <col min="250" max="250" width="19.7109375" style="1652" bestFit="1" customWidth="1"/>
    <col min="251" max="251" width="11.42578125" style="1652" bestFit="1" customWidth="1"/>
    <col min="252" max="252" width="14.85546875" style="1652" bestFit="1" customWidth="1"/>
    <col min="253" max="253" width="13.42578125" style="1652" customWidth="1"/>
    <col min="254" max="254" width="15.28515625" style="1652" bestFit="1" customWidth="1"/>
    <col min="255" max="255" width="14.140625" style="1652" bestFit="1" customWidth="1"/>
    <col min="256" max="256" width="15.28515625" style="1652" customWidth="1"/>
    <col min="257" max="257" width="15.85546875" style="1652" customWidth="1"/>
    <col min="258" max="258" width="17" style="1652" bestFit="1" customWidth="1"/>
    <col min="259" max="259" width="12.7109375" style="1652" customWidth="1"/>
    <col min="260" max="260" width="13.7109375" style="1652" customWidth="1"/>
    <col min="261" max="261" width="13.85546875" style="1652" bestFit="1" customWidth="1"/>
    <col min="262" max="262" width="15.5703125" style="1652" bestFit="1" customWidth="1"/>
    <col min="263" max="263" width="16.140625" style="1652" customWidth="1"/>
    <col min="264" max="264" width="16.7109375" style="1652" bestFit="1" customWidth="1"/>
    <col min="265" max="265" width="15.5703125" style="1652" bestFit="1" customWidth="1"/>
    <col min="266" max="266" width="20.5703125" style="1652" bestFit="1" customWidth="1"/>
    <col min="267" max="267" width="16.42578125" style="1652" bestFit="1" customWidth="1"/>
    <col min="268" max="268" width="14.28515625" style="1652" customWidth="1"/>
    <col min="269" max="269" width="12.85546875" style="1652" bestFit="1" customWidth="1"/>
    <col min="270" max="270" width="11.28515625" style="1652" bestFit="1" customWidth="1"/>
    <col min="271" max="271" width="12.5703125" style="1652" bestFit="1" customWidth="1"/>
    <col min="272" max="272" width="14" style="1652" bestFit="1" customWidth="1"/>
    <col min="273" max="273" width="6" style="1652" bestFit="1" customWidth="1"/>
    <col min="274" max="274" width="15" style="1652" customWidth="1"/>
    <col min="275" max="275" width="14.85546875" style="1652" bestFit="1" customWidth="1"/>
    <col min="276" max="276" width="16.140625" style="1652" bestFit="1" customWidth="1"/>
    <col min="277" max="503" width="9.140625" style="1652"/>
    <col min="504" max="504" width="24" style="1652" bestFit="1" customWidth="1"/>
    <col min="505" max="505" width="43.85546875" style="1652" customWidth="1"/>
    <col min="506" max="506" width="19.7109375" style="1652" bestFit="1" customWidth="1"/>
    <col min="507" max="507" width="11.42578125" style="1652" bestFit="1" customWidth="1"/>
    <col min="508" max="508" width="14.85546875" style="1652" bestFit="1" customWidth="1"/>
    <col min="509" max="509" width="13.42578125" style="1652" customWidth="1"/>
    <col min="510" max="510" width="15.28515625" style="1652" bestFit="1" customWidth="1"/>
    <col min="511" max="511" width="14.140625" style="1652" bestFit="1" customWidth="1"/>
    <col min="512" max="512" width="15.28515625" style="1652" customWidth="1"/>
    <col min="513" max="513" width="15.85546875" style="1652" customWidth="1"/>
    <col min="514" max="514" width="17" style="1652" bestFit="1" customWidth="1"/>
    <col min="515" max="515" width="12.7109375" style="1652" customWidth="1"/>
    <col min="516" max="516" width="13.7109375" style="1652" customWidth="1"/>
    <col min="517" max="517" width="13.85546875" style="1652" bestFit="1" customWidth="1"/>
    <col min="518" max="518" width="15.5703125" style="1652" bestFit="1" customWidth="1"/>
    <col min="519" max="519" width="16.140625" style="1652" customWidth="1"/>
    <col min="520" max="520" width="16.7109375" style="1652" bestFit="1" customWidth="1"/>
    <col min="521" max="521" width="15.5703125" style="1652" bestFit="1" customWidth="1"/>
    <col min="522" max="522" width="20.5703125" style="1652" bestFit="1" customWidth="1"/>
    <col min="523" max="523" width="16.42578125" style="1652" bestFit="1" customWidth="1"/>
    <col min="524" max="524" width="14.28515625" style="1652" customWidth="1"/>
    <col min="525" max="525" width="12.85546875" style="1652" bestFit="1" customWidth="1"/>
    <col min="526" max="526" width="11.28515625" style="1652" bestFit="1" customWidth="1"/>
    <col min="527" max="527" width="12.5703125" style="1652" bestFit="1" customWidth="1"/>
    <col min="528" max="528" width="14" style="1652" bestFit="1" customWidth="1"/>
    <col min="529" max="529" width="6" style="1652" bestFit="1" customWidth="1"/>
    <col min="530" max="530" width="15" style="1652" customWidth="1"/>
    <col min="531" max="531" width="14.85546875" style="1652" bestFit="1" customWidth="1"/>
    <col min="532" max="532" width="16.140625" style="1652" bestFit="1" customWidth="1"/>
    <col min="533" max="759" width="9.140625" style="1652"/>
    <col min="760" max="760" width="24" style="1652" bestFit="1" customWidth="1"/>
    <col min="761" max="761" width="43.85546875" style="1652" customWidth="1"/>
    <col min="762" max="762" width="19.7109375" style="1652" bestFit="1" customWidth="1"/>
    <col min="763" max="763" width="11.42578125" style="1652" bestFit="1" customWidth="1"/>
    <col min="764" max="764" width="14.85546875" style="1652" bestFit="1" customWidth="1"/>
    <col min="765" max="765" width="13.42578125" style="1652" customWidth="1"/>
    <col min="766" max="766" width="15.28515625" style="1652" bestFit="1" customWidth="1"/>
    <col min="767" max="767" width="14.140625" style="1652" bestFit="1" customWidth="1"/>
    <col min="768" max="768" width="15.28515625" style="1652" customWidth="1"/>
    <col min="769" max="769" width="15.85546875" style="1652" customWidth="1"/>
    <col min="770" max="770" width="17" style="1652" bestFit="1" customWidth="1"/>
    <col min="771" max="771" width="12.7109375" style="1652" customWidth="1"/>
    <col min="772" max="772" width="13.7109375" style="1652" customWidth="1"/>
    <col min="773" max="773" width="13.85546875" style="1652" bestFit="1" customWidth="1"/>
    <col min="774" max="774" width="15.5703125" style="1652" bestFit="1" customWidth="1"/>
    <col min="775" max="775" width="16.140625" style="1652" customWidth="1"/>
    <col min="776" max="776" width="16.7109375" style="1652" bestFit="1" customWidth="1"/>
    <col min="777" max="777" width="15.5703125" style="1652" bestFit="1" customWidth="1"/>
    <col min="778" max="778" width="20.5703125" style="1652" bestFit="1" customWidth="1"/>
    <col min="779" max="779" width="16.42578125" style="1652" bestFit="1" customWidth="1"/>
    <col min="780" max="780" width="14.28515625" style="1652" customWidth="1"/>
    <col min="781" max="781" width="12.85546875" style="1652" bestFit="1" customWidth="1"/>
    <col min="782" max="782" width="11.28515625" style="1652" bestFit="1" customWidth="1"/>
    <col min="783" max="783" width="12.5703125" style="1652" bestFit="1" customWidth="1"/>
    <col min="784" max="784" width="14" style="1652" bestFit="1" customWidth="1"/>
    <col min="785" max="785" width="6" style="1652" bestFit="1" customWidth="1"/>
    <col min="786" max="786" width="15" style="1652" customWidth="1"/>
    <col min="787" max="787" width="14.85546875" style="1652" bestFit="1" customWidth="1"/>
    <col min="788" max="788" width="16.140625" style="1652" bestFit="1" customWidth="1"/>
    <col min="789" max="1015" width="9.140625" style="1652"/>
    <col min="1016" max="1016" width="24" style="1652" bestFit="1" customWidth="1"/>
    <col min="1017" max="1017" width="43.85546875" style="1652" customWidth="1"/>
    <col min="1018" max="1018" width="19.7109375" style="1652" bestFit="1" customWidth="1"/>
    <col min="1019" max="1019" width="11.42578125" style="1652" bestFit="1" customWidth="1"/>
    <col min="1020" max="1020" width="14.85546875" style="1652" bestFit="1" customWidth="1"/>
    <col min="1021" max="1021" width="13.42578125" style="1652" customWidth="1"/>
    <col min="1022" max="1022" width="15.28515625" style="1652" bestFit="1" customWidth="1"/>
    <col min="1023" max="1023" width="14.140625" style="1652" bestFit="1" customWidth="1"/>
    <col min="1024" max="1024" width="15.28515625" style="1652" customWidth="1"/>
    <col min="1025" max="1025" width="15.85546875" style="1652" customWidth="1"/>
    <col min="1026" max="1026" width="17" style="1652" bestFit="1" customWidth="1"/>
    <col min="1027" max="1027" width="12.7109375" style="1652" customWidth="1"/>
    <col min="1028" max="1028" width="13.7109375" style="1652" customWidth="1"/>
    <col min="1029" max="1029" width="13.85546875" style="1652" bestFit="1" customWidth="1"/>
    <col min="1030" max="1030" width="15.5703125" style="1652" bestFit="1" customWidth="1"/>
    <col min="1031" max="1031" width="16.140625" style="1652" customWidth="1"/>
    <col min="1032" max="1032" width="16.7109375" style="1652" bestFit="1" customWidth="1"/>
    <col min="1033" max="1033" width="15.5703125" style="1652" bestFit="1" customWidth="1"/>
    <col min="1034" max="1034" width="20.5703125" style="1652" bestFit="1" customWidth="1"/>
    <col min="1035" max="1035" width="16.42578125" style="1652" bestFit="1" customWidth="1"/>
    <col min="1036" max="1036" width="14.28515625" style="1652" customWidth="1"/>
    <col min="1037" max="1037" width="12.85546875" style="1652" bestFit="1" customWidth="1"/>
    <col min="1038" max="1038" width="11.28515625" style="1652" bestFit="1" customWidth="1"/>
    <col min="1039" max="1039" width="12.5703125" style="1652" bestFit="1" customWidth="1"/>
    <col min="1040" max="1040" width="14" style="1652" bestFit="1" customWidth="1"/>
    <col min="1041" max="1041" width="6" style="1652" bestFit="1" customWidth="1"/>
    <col min="1042" max="1042" width="15" style="1652" customWidth="1"/>
    <col min="1043" max="1043" width="14.85546875" style="1652" bestFit="1" customWidth="1"/>
    <col min="1044" max="1044" width="16.140625" style="1652" bestFit="1" customWidth="1"/>
    <col min="1045" max="1271" width="9.140625" style="1652"/>
    <col min="1272" max="1272" width="24" style="1652" bestFit="1" customWidth="1"/>
    <col min="1273" max="1273" width="43.85546875" style="1652" customWidth="1"/>
    <col min="1274" max="1274" width="19.7109375" style="1652" bestFit="1" customWidth="1"/>
    <col min="1275" max="1275" width="11.42578125" style="1652" bestFit="1" customWidth="1"/>
    <col min="1276" max="1276" width="14.85546875" style="1652" bestFit="1" customWidth="1"/>
    <col min="1277" max="1277" width="13.42578125" style="1652" customWidth="1"/>
    <col min="1278" max="1278" width="15.28515625" style="1652" bestFit="1" customWidth="1"/>
    <col min="1279" max="1279" width="14.140625" style="1652" bestFit="1" customWidth="1"/>
    <col min="1280" max="1280" width="15.28515625" style="1652" customWidth="1"/>
    <col min="1281" max="1281" width="15.85546875" style="1652" customWidth="1"/>
    <col min="1282" max="1282" width="17" style="1652" bestFit="1" customWidth="1"/>
    <col min="1283" max="1283" width="12.7109375" style="1652" customWidth="1"/>
    <col min="1284" max="1284" width="13.7109375" style="1652" customWidth="1"/>
    <col min="1285" max="1285" width="13.85546875" style="1652" bestFit="1" customWidth="1"/>
    <col min="1286" max="1286" width="15.5703125" style="1652" bestFit="1" customWidth="1"/>
    <col min="1287" max="1287" width="16.140625" style="1652" customWidth="1"/>
    <col min="1288" max="1288" width="16.7109375" style="1652" bestFit="1" customWidth="1"/>
    <col min="1289" max="1289" width="15.5703125" style="1652" bestFit="1" customWidth="1"/>
    <col min="1290" max="1290" width="20.5703125" style="1652" bestFit="1" customWidth="1"/>
    <col min="1291" max="1291" width="16.42578125" style="1652" bestFit="1" customWidth="1"/>
    <col min="1292" max="1292" width="14.28515625" style="1652" customWidth="1"/>
    <col min="1293" max="1293" width="12.85546875" style="1652" bestFit="1" customWidth="1"/>
    <col min="1294" max="1294" width="11.28515625" style="1652" bestFit="1" customWidth="1"/>
    <col min="1295" max="1295" width="12.5703125" style="1652" bestFit="1" customWidth="1"/>
    <col min="1296" max="1296" width="14" style="1652" bestFit="1" customWidth="1"/>
    <col min="1297" max="1297" width="6" style="1652" bestFit="1" customWidth="1"/>
    <col min="1298" max="1298" width="15" style="1652" customWidth="1"/>
    <col min="1299" max="1299" width="14.85546875" style="1652" bestFit="1" customWidth="1"/>
    <col min="1300" max="1300" width="16.140625" style="1652" bestFit="1" customWidth="1"/>
    <col min="1301" max="1527" width="9.140625" style="1652"/>
    <col min="1528" max="1528" width="24" style="1652" bestFit="1" customWidth="1"/>
    <col min="1529" max="1529" width="43.85546875" style="1652" customWidth="1"/>
    <col min="1530" max="1530" width="19.7109375" style="1652" bestFit="1" customWidth="1"/>
    <col min="1531" max="1531" width="11.42578125" style="1652" bestFit="1" customWidth="1"/>
    <col min="1532" max="1532" width="14.85546875" style="1652" bestFit="1" customWidth="1"/>
    <col min="1533" max="1533" width="13.42578125" style="1652" customWidth="1"/>
    <col min="1534" max="1534" width="15.28515625" style="1652" bestFit="1" customWidth="1"/>
    <col min="1535" max="1535" width="14.140625" style="1652" bestFit="1" customWidth="1"/>
    <col min="1536" max="1536" width="15.28515625" style="1652" customWidth="1"/>
    <col min="1537" max="1537" width="15.85546875" style="1652" customWidth="1"/>
    <col min="1538" max="1538" width="17" style="1652" bestFit="1" customWidth="1"/>
    <col min="1539" max="1539" width="12.7109375" style="1652" customWidth="1"/>
    <col min="1540" max="1540" width="13.7109375" style="1652" customWidth="1"/>
    <col min="1541" max="1541" width="13.85546875" style="1652" bestFit="1" customWidth="1"/>
    <col min="1542" max="1542" width="15.5703125" style="1652" bestFit="1" customWidth="1"/>
    <col min="1543" max="1543" width="16.140625" style="1652" customWidth="1"/>
    <col min="1544" max="1544" width="16.7109375" style="1652" bestFit="1" customWidth="1"/>
    <col min="1545" max="1545" width="15.5703125" style="1652" bestFit="1" customWidth="1"/>
    <col min="1546" max="1546" width="20.5703125" style="1652" bestFit="1" customWidth="1"/>
    <col min="1547" max="1547" width="16.42578125" style="1652" bestFit="1" customWidth="1"/>
    <col min="1548" max="1548" width="14.28515625" style="1652" customWidth="1"/>
    <col min="1549" max="1549" width="12.85546875" style="1652" bestFit="1" customWidth="1"/>
    <col min="1550" max="1550" width="11.28515625" style="1652" bestFit="1" customWidth="1"/>
    <col min="1551" max="1551" width="12.5703125" style="1652" bestFit="1" customWidth="1"/>
    <col min="1552" max="1552" width="14" style="1652" bestFit="1" customWidth="1"/>
    <col min="1553" max="1553" width="6" style="1652" bestFit="1" customWidth="1"/>
    <col min="1554" max="1554" width="15" style="1652" customWidth="1"/>
    <col min="1555" max="1555" width="14.85546875" style="1652" bestFit="1" customWidth="1"/>
    <col min="1556" max="1556" width="16.140625" style="1652" bestFit="1" customWidth="1"/>
    <col min="1557" max="1783" width="9.140625" style="1652"/>
    <col min="1784" max="1784" width="24" style="1652" bestFit="1" customWidth="1"/>
    <col min="1785" max="1785" width="43.85546875" style="1652" customWidth="1"/>
    <col min="1786" max="1786" width="19.7109375" style="1652" bestFit="1" customWidth="1"/>
    <col min="1787" max="1787" width="11.42578125" style="1652" bestFit="1" customWidth="1"/>
    <col min="1788" max="1788" width="14.85546875" style="1652" bestFit="1" customWidth="1"/>
    <col min="1789" max="1789" width="13.42578125" style="1652" customWidth="1"/>
    <col min="1790" max="1790" width="15.28515625" style="1652" bestFit="1" customWidth="1"/>
    <col min="1791" max="1791" width="14.140625" style="1652" bestFit="1" customWidth="1"/>
    <col min="1792" max="1792" width="15.28515625" style="1652" customWidth="1"/>
    <col min="1793" max="1793" width="15.85546875" style="1652" customWidth="1"/>
    <col min="1794" max="1794" width="17" style="1652" bestFit="1" customWidth="1"/>
    <col min="1795" max="1795" width="12.7109375" style="1652" customWidth="1"/>
    <col min="1796" max="1796" width="13.7109375" style="1652" customWidth="1"/>
    <col min="1797" max="1797" width="13.85546875" style="1652" bestFit="1" customWidth="1"/>
    <col min="1798" max="1798" width="15.5703125" style="1652" bestFit="1" customWidth="1"/>
    <col min="1799" max="1799" width="16.140625" style="1652" customWidth="1"/>
    <col min="1800" max="1800" width="16.7109375" style="1652" bestFit="1" customWidth="1"/>
    <col min="1801" max="1801" width="15.5703125" style="1652" bestFit="1" customWidth="1"/>
    <col min="1802" max="1802" width="20.5703125" style="1652" bestFit="1" customWidth="1"/>
    <col min="1803" max="1803" width="16.42578125" style="1652" bestFit="1" customWidth="1"/>
    <col min="1804" max="1804" width="14.28515625" style="1652" customWidth="1"/>
    <col min="1805" max="1805" width="12.85546875" style="1652" bestFit="1" customWidth="1"/>
    <col min="1806" max="1806" width="11.28515625" style="1652" bestFit="1" customWidth="1"/>
    <col min="1807" max="1807" width="12.5703125" style="1652" bestFit="1" customWidth="1"/>
    <col min="1808" max="1808" width="14" style="1652" bestFit="1" customWidth="1"/>
    <col min="1809" max="1809" width="6" style="1652" bestFit="1" customWidth="1"/>
    <col min="1810" max="1810" width="15" style="1652" customWidth="1"/>
    <col min="1811" max="1811" width="14.85546875" style="1652" bestFit="1" customWidth="1"/>
    <col min="1812" max="1812" width="16.140625" style="1652" bestFit="1" customWidth="1"/>
    <col min="1813" max="2039" width="9.140625" style="1652"/>
    <col min="2040" max="2040" width="24" style="1652" bestFit="1" customWidth="1"/>
    <col min="2041" max="2041" width="43.85546875" style="1652" customWidth="1"/>
    <col min="2042" max="2042" width="19.7109375" style="1652" bestFit="1" customWidth="1"/>
    <col min="2043" max="2043" width="11.42578125" style="1652" bestFit="1" customWidth="1"/>
    <col min="2044" max="2044" width="14.85546875" style="1652" bestFit="1" customWidth="1"/>
    <col min="2045" max="2045" width="13.42578125" style="1652" customWidth="1"/>
    <col min="2046" max="2046" width="15.28515625" style="1652" bestFit="1" customWidth="1"/>
    <col min="2047" max="2047" width="14.140625" style="1652" bestFit="1" customWidth="1"/>
    <col min="2048" max="2048" width="15.28515625" style="1652" customWidth="1"/>
    <col min="2049" max="2049" width="15.85546875" style="1652" customWidth="1"/>
    <col min="2050" max="2050" width="17" style="1652" bestFit="1" customWidth="1"/>
    <col min="2051" max="2051" width="12.7109375" style="1652" customWidth="1"/>
    <col min="2052" max="2052" width="13.7109375" style="1652" customWidth="1"/>
    <col min="2053" max="2053" width="13.85546875" style="1652" bestFit="1" customWidth="1"/>
    <col min="2054" max="2054" width="15.5703125" style="1652" bestFit="1" customWidth="1"/>
    <col min="2055" max="2055" width="16.140625" style="1652" customWidth="1"/>
    <col min="2056" max="2056" width="16.7109375" style="1652" bestFit="1" customWidth="1"/>
    <col min="2057" max="2057" width="15.5703125" style="1652" bestFit="1" customWidth="1"/>
    <col min="2058" max="2058" width="20.5703125" style="1652" bestFit="1" customWidth="1"/>
    <col min="2059" max="2059" width="16.42578125" style="1652" bestFit="1" customWidth="1"/>
    <col min="2060" max="2060" width="14.28515625" style="1652" customWidth="1"/>
    <col min="2061" max="2061" width="12.85546875" style="1652" bestFit="1" customWidth="1"/>
    <col min="2062" max="2062" width="11.28515625" style="1652" bestFit="1" customWidth="1"/>
    <col min="2063" max="2063" width="12.5703125" style="1652" bestFit="1" customWidth="1"/>
    <col min="2064" max="2064" width="14" style="1652" bestFit="1" customWidth="1"/>
    <col min="2065" max="2065" width="6" style="1652" bestFit="1" customWidth="1"/>
    <col min="2066" max="2066" width="15" style="1652" customWidth="1"/>
    <col min="2067" max="2067" width="14.85546875" style="1652" bestFit="1" customWidth="1"/>
    <col min="2068" max="2068" width="16.140625" style="1652" bestFit="1" customWidth="1"/>
    <col min="2069" max="2295" width="9.140625" style="1652"/>
    <col min="2296" max="2296" width="24" style="1652" bestFit="1" customWidth="1"/>
    <col min="2297" max="2297" width="43.85546875" style="1652" customWidth="1"/>
    <col min="2298" max="2298" width="19.7109375" style="1652" bestFit="1" customWidth="1"/>
    <col min="2299" max="2299" width="11.42578125" style="1652" bestFit="1" customWidth="1"/>
    <col min="2300" max="2300" width="14.85546875" style="1652" bestFit="1" customWidth="1"/>
    <col min="2301" max="2301" width="13.42578125" style="1652" customWidth="1"/>
    <col min="2302" max="2302" width="15.28515625" style="1652" bestFit="1" customWidth="1"/>
    <col min="2303" max="2303" width="14.140625" style="1652" bestFit="1" customWidth="1"/>
    <col min="2304" max="2304" width="15.28515625" style="1652" customWidth="1"/>
    <col min="2305" max="2305" width="15.85546875" style="1652" customWidth="1"/>
    <col min="2306" max="2306" width="17" style="1652" bestFit="1" customWidth="1"/>
    <col min="2307" max="2307" width="12.7109375" style="1652" customWidth="1"/>
    <col min="2308" max="2308" width="13.7109375" style="1652" customWidth="1"/>
    <col min="2309" max="2309" width="13.85546875" style="1652" bestFit="1" customWidth="1"/>
    <col min="2310" max="2310" width="15.5703125" style="1652" bestFit="1" customWidth="1"/>
    <col min="2311" max="2311" width="16.140625" style="1652" customWidth="1"/>
    <col min="2312" max="2312" width="16.7109375" style="1652" bestFit="1" customWidth="1"/>
    <col min="2313" max="2313" width="15.5703125" style="1652" bestFit="1" customWidth="1"/>
    <col min="2314" max="2314" width="20.5703125" style="1652" bestFit="1" customWidth="1"/>
    <col min="2315" max="2315" width="16.42578125" style="1652" bestFit="1" customWidth="1"/>
    <col min="2316" max="2316" width="14.28515625" style="1652" customWidth="1"/>
    <col min="2317" max="2317" width="12.85546875" style="1652" bestFit="1" customWidth="1"/>
    <col min="2318" max="2318" width="11.28515625" style="1652" bestFit="1" customWidth="1"/>
    <col min="2319" max="2319" width="12.5703125" style="1652" bestFit="1" customWidth="1"/>
    <col min="2320" max="2320" width="14" style="1652" bestFit="1" customWidth="1"/>
    <col min="2321" max="2321" width="6" style="1652" bestFit="1" customWidth="1"/>
    <col min="2322" max="2322" width="15" style="1652" customWidth="1"/>
    <col min="2323" max="2323" width="14.85546875" style="1652" bestFit="1" customWidth="1"/>
    <col min="2324" max="2324" width="16.140625" style="1652" bestFit="1" customWidth="1"/>
    <col min="2325" max="2551" width="9.140625" style="1652"/>
    <col min="2552" max="2552" width="24" style="1652" bestFit="1" customWidth="1"/>
    <col min="2553" max="2553" width="43.85546875" style="1652" customWidth="1"/>
    <col min="2554" max="2554" width="19.7109375" style="1652" bestFit="1" customWidth="1"/>
    <col min="2555" max="2555" width="11.42578125" style="1652" bestFit="1" customWidth="1"/>
    <col min="2556" max="2556" width="14.85546875" style="1652" bestFit="1" customWidth="1"/>
    <col min="2557" max="2557" width="13.42578125" style="1652" customWidth="1"/>
    <col min="2558" max="2558" width="15.28515625" style="1652" bestFit="1" customWidth="1"/>
    <col min="2559" max="2559" width="14.140625" style="1652" bestFit="1" customWidth="1"/>
    <col min="2560" max="2560" width="15.28515625" style="1652" customWidth="1"/>
    <col min="2561" max="2561" width="15.85546875" style="1652" customWidth="1"/>
    <col min="2562" max="2562" width="17" style="1652" bestFit="1" customWidth="1"/>
    <col min="2563" max="2563" width="12.7109375" style="1652" customWidth="1"/>
    <col min="2564" max="2564" width="13.7109375" style="1652" customWidth="1"/>
    <col min="2565" max="2565" width="13.85546875" style="1652" bestFit="1" customWidth="1"/>
    <col min="2566" max="2566" width="15.5703125" style="1652" bestFit="1" customWidth="1"/>
    <col min="2567" max="2567" width="16.140625" style="1652" customWidth="1"/>
    <col min="2568" max="2568" width="16.7109375" style="1652" bestFit="1" customWidth="1"/>
    <col min="2569" max="2569" width="15.5703125" style="1652" bestFit="1" customWidth="1"/>
    <col min="2570" max="2570" width="20.5703125" style="1652" bestFit="1" customWidth="1"/>
    <col min="2571" max="2571" width="16.42578125" style="1652" bestFit="1" customWidth="1"/>
    <col min="2572" max="2572" width="14.28515625" style="1652" customWidth="1"/>
    <col min="2573" max="2573" width="12.85546875" style="1652" bestFit="1" customWidth="1"/>
    <col min="2574" max="2574" width="11.28515625" style="1652" bestFit="1" customWidth="1"/>
    <col min="2575" max="2575" width="12.5703125" style="1652" bestFit="1" customWidth="1"/>
    <col min="2576" max="2576" width="14" style="1652" bestFit="1" customWidth="1"/>
    <col min="2577" max="2577" width="6" style="1652" bestFit="1" customWidth="1"/>
    <col min="2578" max="2578" width="15" style="1652" customWidth="1"/>
    <col min="2579" max="2579" width="14.85546875" style="1652" bestFit="1" customWidth="1"/>
    <col min="2580" max="2580" width="16.140625" style="1652" bestFit="1" customWidth="1"/>
    <col min="2581" max="2807" width="9.140625" style="1652"/>
    <col min="2808" max="2808" width="24" style="1652" bestFit="1" customWidth="1"/>
    <col min="2809" max="2809" width="43.85546875" style="1652" customWidth="1"/>
    <col min="2810" max="2810" width="19.7109375" style="1652" bestFit="1" customWidth="1"/>
    <col min="2811" max="2811" width="11.42578125" style="1652" bestFit="1" customWidth="1"/>
    <col min="2812" max="2812" width="14.85546875" style="1652" bestFit="1" customWidth="1"/>
    <col min="2813" max="2813" width="13.42578125" style="1652" customWidth="1"/>
    <col min="2814" max="2814" width="15.28515625" style="1652" bestFit="1" customWidth="1"/>
    <col min="2815" max="2815" width="14.140625" style="1652" bestFit="1" customWidth="1"/>
    <col min="2816" max="2816" width="15.28515625" style="1652" customWidth="1"/>
    <col min="2817" max="2817" width="15.85546875" style="1652" customWidth="1"/>
    <col min="2818" max="2818" width="17" style="1652" bestFit="1" customWidth="1"/>
    <col min="2819" max="2819" width="12.7109375" style="1652" customWidth="1"/>
    <col min="2820" max="2820" width="13.7109375" style="1652" customWidth="1"/>
    <col min="2821" max="2821" width="13.85546875" style="1652" bestFit="1" customWidth="1"/>
    <col min="2822" max="2822" width="15.5703125" style="1652" bestFit="1" customWidth="1"/>
    <col min="2823" max="2823" width="16.140625" style="1652" customWidth="1"/>
    <col min="2824" max="2824" width="16.7109375" style="1652" bestFit="1" customWidth="1"/>
    <col min="2825" max="2825" width="15.5703125" style="1652" bestFit="1" customWidth="1"/>
    <col min="2826" max="2826" width="20.5703125" style="1652" bestFit="1" customWidth="1"/>
    <col min="2827" max="2827" width="16.42578125" style="1652" bestFit="1" customWidth="1"/>
    <col min="2828" max="2828" width="14.28515625" style="1652" customWidth="1"/>
    <col min="2829" max="2829" width="12.85546875" style="1652" bestFit="1" customWidth="1"/>
    <col min="2830" max="2830" width="11.28515625" style="1652" bestFit="1" customWidth="1"/>
    <col min="2831" max="2831" width="12.5703125" style="1652" bestFit="1" customWidth="1"/>
    <col min="2832" max="2832" width="14" style="1652" bestFit="1" customWidth="1"/>
    <col min="2833" max="2833" width="6" style="1652" bestFit="1" customWidth="1"/>
    <col min="2834" max="2834" width="15" style="1652" customWidth="1"/>
    <col min="2835" max="2835" width="14.85546875" style="1652" bestFit="1" customWidth="1"/>
    <col min="2836" max="2836" width="16.140625" style="1652" bestFit="1" customWidth="1"/>
    <col min="2837" max="3063" width="9.140625" style="1652"/>
    <col min="3064" max="3064" width="24" style="1652" bestFit="1" customWidth="1"/>
    <col min="3065" max="3065" width="43.85546875" style="1652" customWidth="1"/>
    <col min="3066" max="3066" width="19.7109375" style="1652" bestFit="1" customWidth="1"/>
    <col min="3067" max="3067" width="11.42578125" style="1652" bestFit="1" customWidth="1"/>
    <col min="3068" max="3068" width="14.85546875" style="1652" bestFit="1" customWidth="1"/>
    <col min="3069" max="3069" width="13.42578125" style="1652" customWidth="1"/>
    <col min="3070" max="3070" width="15.28515625" style="1652" bestFit="1" customWidth="1"/>
    <col min="3071" max="3071" width="14.140625" style="1652" bestFit="1" customWidth="1"/>
    <col min="3072" max="3072" width="15.28515625" style="1652" customWidth="1"/>
    <col min="3073" max="3073" width="15.85546875" style="1652" customWidth="1"/>
    <col min="3074" max="3074" width="17" style="1652" bestFit="1" customWidth="1"/>
    <col min="3075" max="3075" width="12.7109375" style="1652" customWidth="1"/>
    <col min="3076" max="3076" width="13.7109375" style="1652" customWidth="1"/>
    <col min="3077" max="3077" width="13.85546875" style="1652" bestFit="1" customWidth="1"/>
    <col min="3078" max="3078" width="15.5703125" style="1652" bestFit="1" customWidth="1"/>
    <col min="3079" max="3079" width="16.140625" style="1652" customWidth="1"/>
    <col min="3080" max="3080" width="16.7109375" style="1652" bestFit="1" customWidth="1"/>
    <col min="3081" max="3081" width="15.5703125" style="1652" bestFit="1" customWidth="1"/>
    <col min="3082" max="3082" width="20.5703125" style="1652" bestFit="1" customWidth="1"/>
    <col min="3083" max="3083" width="16.42578125" style="1652" bestFit="1" customWidth="1"/>
    <col min="3084" max="3084" width="14.28515625" style="1652" customWidth="1"/>
    <col min="3085" max="3085" width="12.85546875" style="1652" bestFit="1" customWidth="1"/>
    <col min="3086" max="3086" width="11.28515625" style="1652" bestFit="1" customWidth="1"/>
    <col min="3087" max="3087" width="12.5703125" style="1652" bestFit="1" customWidth="1"/>
    <col min="3088" max="3088" width="14" style="1652" bestFit="1" customWidth="1"/>
    <col min="3089" max="3089" width="6" style="1652" bestFit="1" customWidth="1"/>
    <col min="3090" max="3090" width="15" style="1652" customWidth="1"/>
    <col min="3091" max="3091" width="14.85546875" style="1652" bestFit="1" customWidth="1"/>
    <col min="3092" max="3092" width="16.140625" style="1652" bestFit="1" customWidth="1"/>
    <col min="3093" max="3319" width="9.140625" style="1652"/>
    <col min="3320" max="3320" width="24" style="1652" bestFit="1" customWidth="1"/>
    <col min="3321" max="3321" width="43.85546875" style="1652" customWidth="1"/>
    <col min="3322" max="3322" width="19.7109375" style="1652" bestFit="1" customWidth="1"/>
    <col min="3323" max="3323" width="11.42578125" style="1652" bestFit="1" customWidth="1"/>
    <col min="3324" max="3324" width="14.85546875" style="1652" bestFit="1" customWidth="1"/>
    <col min="3325" max="3325" width="13.42578125" style="1652" customWidth="1"/>
    <col min="3326" max="3326" width="15.28515625" style="1652" bestFit="1" customWidth="1"/>
    <col min="3327" max="3327" width="14.140625" style="1652" bestFit="1" customWidth="1"/>
    <col min="3328" max="3328" width="15.28515625" style="1652" customWidth="1"/>
    <col min="3329" max="3329" width="15.85546875" style="1652" customWidth="1"/>
    <col min="3330" max="3330" width="17" style="1652" bestFit="1" customWidth="1"/>
    <col min="3331" max="3331" width="12.7109375" style="1652" customWidth="1"/>
    <col min="3332" max="3332" width="13.7109375" style="1652" customWidth="1"/>
    <col min="3333" max="3333" width="13.85546875" style="1652" bestFit="1" customWidth="1"/>
    <col min="3334" max="3334" width="15.5703125" style="1652" bestFit="1" customWidth="1"/>
    <col min="3335" max="3335" width="16.140625" style="1652" customWidth="1"/>
    <col min="3336" max="3336" width="16.7109375" style="1652" bestFit="1" customWidth="1"/>
    <col min="3337" max="3337" width="15.5703125" style="1652" bestFit="1" customWidth="1"/>
    <col min="3338" max="3338" width="20.5703125" style="1652" bestFit="1" customWidth="1"/>
    <col min="3339" max="3339" width="16.42578125" style="1652" bestFit="1" customWidth="1"/>
    <col min="3340" max="3340" width="14.28515625" style="1652" customWidth="1"/>
    <col min="3341" max="3341" width="12.85546875" style="1652" bestFit="1" customWidth="1"/>
    <col min="3342" max="3342" width="11.28515625" style="1652" bestFit="1" customWidth="1"/>
    <col min="3343" max="3343" width="12.5703125" style="1652" bestFit="1" customWidth="1"/>
    <col min="3344" max="3344" width="14" style="1652" bestFit="1" customWidth="1"/>
    <col min="3345" max="3345" width="6" style="1652" bestFit="1" customWidth="1"/>
    <col min="3346" max="3346" width="15" style="1652" customWidth="1"/>
    <col min="3347" max="3347" width="14.85546875" style="1652" bestFit="1" customWidth="1"/>
    <col min="3348" max="3348" width="16.140625" style="1652" bestFit="1" customWidth="1"/>
    <col min="3349" max="3575" width="9.140625" style="1652"/>
    <col min="3576" max="3576" width="24" style="1652" bestFit="1" customWidth="1"/>
    <col min="3577" max="3577" width="43.85546875" style="1652" customWidth="1"/>
    <col min="3578" max="3578" width="19.7109375" style="1652" bestFit="1" customWidth="1"/>
    <col min="3579" max="3579" width="11.42578125" style="1652" bestFit="1" customWidth="1"/>
    <col min="3580" max="3580" width="14.85546875" style="1652" bestFit="1" customWidth="1"/>
    <col min="3581" max="3581" width="13.42578125" style="1652" customWidth="1"/>
    <col min="3582" max="3582" width="15.28515625" style="1652" bestFit="1" customWidth="1"/>
    <col min="3583" max="3583" width="14.140625" style="1652" bestFit="1" customWidth="1"/>
    <col min="3584" max="3584" width="15.28515625" style="1652" customWidth="1"/>
    <col min="3585" max="3585" width="15.85546875" style="1652" customWidth="1"/>
    <col min="3586" max="3586" width="17" style="1652" bestFit="1" customWidth="1"/>
    <col min="3587" max="3587" width="12.7109375" style="1652" customWidth="1"/>
    <col min="3588" max="3588" width="13.7109375" style="1652" customWidth="1"/>
    <col min="3589" max="3589" width="13.85546875" style="1652" bestFit="1" customWidth="1"/>
    <col min="3590" max="3590" width="15.5703125" style="1652" bestFit="1" customWidth="1"/>
    <col min="3591" max="3591" width="16.140625" style="1652" customWidth="1"/>
    <col min="3592" max="3592" width="16.7109375" style="1652" bestFit="1" customWidth="1"/>
    <col min="3593" max="3593" width="15.5703125" style="1652" bestFit="1" customWidth="1"/>
    <col min="3594" max="3594" width="20.5703125" style="1652" bestFit="1" customWidth="1"/>
    <col min="3595" max="3595" width="16.42578125" style="1652" bestFit="1" customWidth="1"/>
    <col min="3596" max="3596" width="14.28515625" style="1652" customWidth="1"/>
    <col min="3597" max="3597" width="12.85546875" style="1652" bestFit="1" customWidth="1"/>
    <col min="3598" max="3598" width="11.28515625" style="1652" bestFit="1" customWidth="1"/>
    <col min="3599" max="3599" width="12.5703125" style="1652" bestFit="1" customWidth="1"/>
    <col min="3600" max="3600" width="14" style="1652" bestFit="1" customWidth="1"/>
    <col min="3601" max="3601" width="6" style="1652" bestFit="1" customWidth="1"/>
    <col min="3602" max="3602" width="15" style="1652" customWidth="1"/>
    <col min="3603" max="3603" width="14.85546875" style="1652" bestFit="1" customWidth="1"/>
    <col min="3604" max="3604" width="16.140625" style="1652" bestFit="1" customWidth="1"/>
    <col min="3605" max="3831" width="9.140625" style="1652"/>
    <col min="3832" max="3832" width="24" style="1652" bestFit="1" customWidth="1"/>
    <col min="3833" max="3833" width="43.85546875" style="1652" customWidth="1"/>
    <col min="3834" max="3834" width="19.7109375" style="1652" bestFit="1" customWidth="1"/>
    <col min="3835" max="3835" width="11.42578125" style="1652" bestFit="1" customWidth="1"/>
    <col min="3836" max="3836" width="14.85546875" style="1652" bestFit="1" customWidth="1"/>
    <col min="3837" max="3837" width="13.42578125" style="1652" customWidth="1"/>
    <col min="3838" max="3838" width="15.28515625" style="1652" bestFit="1" customWidth="1"/>
    <col min="3839" max="3839" width="14.140625" style="1652" bestFit="1" customWidth="1"/>
    <col min="3840" max="3840" width="15.28515625" style="1652" customWidth="1"/>
    <col min="3841" max="3841" width="15.85546875" style="1652" customWidth="1"/>
    <col min="3842" max="3842" width="17" style="1652" bestFit="1" customWidth="1"/>
    <col min="3843" max="3843" width="12.7109375" style="1652" customWidth="1"/>
    <col min="3844" max="3844" width="13.7109375" style="1652" customWidth="1"/>
    <col min="3845" max="3845" width="13.85546875" style="1652" bestFit="1" customWidth="1"/>
    <col min="3846" max="3846" width="15.5703125" style="1652" bestFit="1" customWidth="1"/>
    <col min="3847" max="3847" width="16.140625" style="1652" customWidth="1"/>
    <col min="3848" max="3848" width="16.7109375" style="1652" bestFit="1" customWidth="1"/>
    <col min="3849" max="3849" width="15.5703125" style="1652" bestFit="1" customWidth="1"/>
    <col min="3850" max="3850" width="20.5703125" style="1652" bestFit="1" customWidth="1"/>
    <col min="3851" max="3851" width="16.42578125" style="1652" bestFit="1" customWidth="1"/>
    <col min="3852" max="3852" width="14.28515625" style="1652" customWidth="1"/>
    <col min="3853" max="3853" width="12.85546875" style="1652" bestFit="1" customWidth="1"/>
    <col min="3854" max="3854" width="11.28515625" style="1652" bestFit="1" customWidth="1"/>
    <col min="3855" max="3855" width="12.5703125" style="1652" bestFit="1" customWidth="1"/>
    <col min="3856" max="3856" width="14" style="1652" bestFit="1" customWidth="1"/>
    <col min="3857" max="3857" width="6" style="1652" bestFit="1" customWidth="1"/>
    <col min="3858" max="3858" width="15" style="1652" customWidth="1"/>
    <col min="3859" max="3859" width="14.85546875" style="1652" bestFit="1" customWidth="1"/>
    <col min="3860" max="3860" width="16.140625" style="1652" bestFit="1" customWidth="1"/>
    <col min="3861" max="4087" width="9.140625" style="1652"/>
    <col min="4088" max="4088" width="24" style="1652" bestFit="1" customWidth="1"/>
    <col min="4089" max="4089" width="43.85546875" style="1652" customWidth="1"/>
    <col min="4090" max="4090" width="19.7109375" style="1652" bestFit="1" customWidth="1"/>
    <col min="4091" max="4091" width="11.42578125" style="1652" bestFit="1" customWidth="1"/>
    <col min="4092" max="4092" width="14.85546875" style="1652" bestFit="1" customWidth="1"/>
    <col min="4093" max="4093" width="13.42578125" style="1652" customWidth="1"/>
    <col min="4094" max="4094" width="15.28515625" style="1652" bestFit="1" customWidth="1"/>
    <col min="4095" max="4095" width="14.140625" style="1652" bestFit="1" customWidth="1"/>
    <col min="4096" max="4096" width="15.28515625" style="1652" customWidth="1"/>
    <col min="4097" max="4097" width="15.85546875" style="1652" customWidth="1"/>
    <col min="4098" max="4098" width="17" style="1652" bestFit="1" customWidth="1"/>
    <col min="4099" max="4099" width="12.7109375" style="1652" customWidth="1"/>
    <col min="4100" max="4100" width="13.7109375" style="1652" customWidth="1"/>
    <col min="4101" max="4101" width="13.85546875" style="1652" bestFit="1" customWidth="1"/>
    <col min="4102" max="4102" width="15.5703125" style="1652" bestFit="1" customWidth="1"/>
    <col min="4103" max="4103" width="16.140625" style="1652" customWidth="1"/>
    <col min="4104" max="4104" width="16.7109375" style="1652" bestFit="1" customWidth="1"/>
    <col min="4105" max="4105" width="15.5703125" style="1652" bestFit="1" customWidth="1"/>
    <col min="4106" max="4106" width="20.5703125" style="1652" bestFit="1" customWidth="1"/>
    <col min="4107" max="4107" width="16.42578125" style="1652" bestFit="1" customWidth="1"/>
    <col min="4108" max="4108" width="14.28515625" style="1652" customWidth="1"/>
    <col min="4109" max="4109" width="12.85546875" style="1652" bestFit="1" customWidth="1"/>
    <col min="4110" max="4110" width="11.28515625" style="1652" bestFit="1" customWidth="1"/>
    <col min="4111" max="4111" width="12.5703125" style="1652" bestFit="1" customWidth="1"/>
    <col min="4112" max="4112" width="14" style="1652" bestFit="1" customWidth="1"/>
    <col min="4113" max="4113" width="6" style="1652" bestFit="1" customWidth="1"/>
    <col min="4114" max="4114" width="15" style="1652" customWidth="1"/>
    <col min="4115" max="4115" width="14.85546875" style="1652" bestFit="1" customWidth="1"/>
    <col min="4116" max="4116" width="16.140625" style="1652" bestFit="1" customWidth="1"/>
    <col min="4117" max="4343" width="9.140625" style="1652"/>
    <col min="4344" max="4344" width="24" style="1652" bestFit="1" customWidth="1"/>
    <col min="4345" max="4345" width="43.85546875" style="1652" customWidth="1"/>
    <col min="4346" max="4346" width="19.7109375" style="1652" bestFit="1" customWidth="1"/>
    <col min="4347" max="4347" width="11.42578125" style="1652" bestFit="1" customWidth="1"/>
    <col min="4348" max="4348" width="14.85546875" style="1652" bestFit="1" customWidth="1"/>
    <col min="4349" max="4349" width="13.42578125" style="1652" customWidth="1"/>
    <col min="4350" max="4350" width="15.28515625" style="1652" bestFit="1" customWidth="1"/>
    <col min="4351" max="4351" width="14.140625" style="1652" bestFit="1" customWidth="1"/>
    <col min="4352" max="4352" width="15.28515625" style="1652" customWidth="1"/>
    <col min="4353" max="4353" width="15.85546875" style="1652" customWidth="1"/>
    <col min="4354" max="4354" width="17" style="1652" bestFit="1" customWidth="1"/>
    <col min="4355" max="4355" width="12.7109375" style="1652" customWidth="1"/>
    <col min="4356" max="4356" width="13.7109375" style="1652" customWidth="1"/>
    <col min="4357" max="4357" width="13.85546875" style="1652" bestFit="1" customWidth="1"/>
    <col min="4358" max="4358" width="15.5703125" style="1652" bestFit="1" customWidth="1"/>
    <col min="4359" max="4359" width="16.140625" style="1652" customWidth="1"/>
    <col min="4360" max="4360" width="16.7109375" style="1652" bestFit="1" customWidth="1"/>
    <col min="4361" max="4361" width="15.5703125" style="1652" bestFit="1" customWidth="1"/>
    <col min="4362" max="4362" width="20.5703125" style="1652" bestFit="1" customWidth="1"/>
    <col min="4363" max="4363" width="16.42578125" style="1652" bestFit="1" customWidth="1"/>
    <col min="4364" max="4364" width="14.28515625" style="1652" customWidth="1"/>
    <col min="4365" max="4365" width="12.85546875" style="1652" bestFit="1" customWidth="1"/>
    <col min="4366" max="4366" width="11.28515625" style="1652" bestFit="1" customWidth="1"/>
    <col min="4367" max="4367" width="12.5703125" style="1652" bestFit="1" customWidth="1"/>
    <col min="4368" max="4368" width="14" style="1652" bestFit="1" customWidth="1"/>
    <col min="4369" max="4369" width="6" style="1652" bestFit="1" customWidth="1"/>
    <col min="4370" max="4370" width="15" style="1652" customWidth="1"/>
    <col min="4371" max="4371" width="14.85546875" style="1652" bestFit="1" customWidth="1"/>
    <col min="4372" max="4372" width="16.140625" style="1652" bestFit="1" customWidth="1"/>
    <col min="4373" max="4599" width="9.140625" style="1652"/>
    <col min="4600" max="4600" width="24" style="1652" bestFit="1" customWidth="1"/>
    <col min="4601" max="4601" width="43.85546875" style="1652" customWidth="1"/>
    <col min="4602" max="4602" width="19.7109375" style="1652" bestFit="1" customWidth="1"/>
    <col min="4603" max="4603" width="11.42578125" style="1652" bestFit="1" customWidth="1"/>
    <col min="4604" max="4604" width="14.85546875" style="1652" bestFit="1" customWidth="1"/>
    <col min="4605" max="4605" width="13.42578125" style="1652" customWidth="1"/>
    <col min="4606" max="4606" width="15.28515625" style="1652" bestFit="1" customWidth="1"/>
    <col min="4607" max="4607" width="14.140625" style="1652" bestFit="1" customWidth="1"/>
    <col min="4608" max="4608" width="15.28515625" style="1652" customWidth="1"/>
    <col min="4609" max="4609" width="15.85546875" style="1652" customWidth="1"/>
    <col min="4610" max="4610" width="17" style="1652" bestFit="1" customWidth="1"/>
    <col min="4611" max="4611" width="12.7109375" style="1652" customWidth="1"/>
    <col min="4612" max="4612" width="13.7109375" style="1652" customWidth="1"/>
    <col min="4613" max="4613" width="13.85546875" style="1652" bestFit="1" customWidth="1"/>
    <col min="4614" max="4614" width="15.5703125" style="1652" bestFit="1" customWidth="1"/>
    <col min="4615" max="4615" width="16.140625" style="1652" customWidth="1"/>
    <col min="4616" max="4616" width="16.7109375" style="1652" bestFit="1" customWidth="1"/>
    <col min="4617" max="4617" width="15.5703125" style="1652" bestFit="1" customWidth="1"/>
    <col min="4618" max="4618" width="20.5703125" style="1652" bestFit="1" customWidth="1"/>
    <col min="4619" max="4619" width="16.42578125" style="1652" bestFit="1" customWidth="1"/>
    <col min="4620" max="4620" width="14.28515625" style="1652" customWidth="1"/>
    <col min="4621" max="4621" width="12.85546875" style="1652" bestFit="1" customWidth="1"/>
    <col min="4622" max="4622" width="11.28515625" style="1652" bestFit="1" customWidth="1"/>
    <col min="4623" max="4623" width="12.5703125" style="1652" bestFit="1" customWidth="1"/>
    <col min="4624" max="4624" width="14" style="1652" bestFit="1" customWidth="1"/>
    <col min="4625" max="4625" width="6" style="1652" bestFit="1" customWidth="1"/>
    <col min="4626" max="4626" width="15" style="1652" customWidth="1"/>
    <col min="4627" max="4627" width="14.85546875" style="1652" bestFit="1" customWidth="1"/>
    <col min="4628" max="4628" width="16.140625" style="1652" bestFit="1" customWidth="1"/>
    <col min="4629" max="4855" width="9.140625" style="1652"/>
    <col min="4856" max="4856" width="24" style="1652" bestFit="1" customWidth="1"/>
    <col min="4857" max="4857" width="43.85546875" style="1652" customWidth="1"/>
    <col min="4858" max="4858" width="19.7109375" style="1652" bestFit="1" customWidth="1"/>
    <col min="4859" max="4859" width="11.42578125" style="1652" bestFit="1" customWidth="1"/>
    <col min="4860" max="4860" width="14.85546875" style="1652" bestFit="1" customWidth="1"/>
    <col min="4861" max="4861" width="13.42578125" style="1652" customWidth="1"/>
    <col min="4862" max="4862" width="15.28515625" style="1652" bestFit="1" customWidth="1"/>
    <col min="4863" max="4863" width="14.140625" style="1652" bestFit="1" customWidth="1"/>
    <col min="4864" max="4864" width="15.28515625" style="1652" customWidth="1"/>
    <col min="4865" max="4865" width="15.85546875" style="1652" customWidth="1"/>
    <col min="4866" max="4866" width="17" style="1652" bestFit="1" customWidth="1"/>
    <col min="4867" max="4867" width="12.7109375" style="1652" customWidth="1"/>
    <col min="4868" max="4868" width="13.7109375" style="1652" customWidth="1"/>
    <col min="4869" max="4869" width="13.85546875" style="1652" bestFit="1" customWidth="1"/>
    <col min="4870" max="4870" width="15.5703125" style="1652" bestFit="1" customWidth="1"/>
    <col min="4871" max="4871" width="16.140625" style="1652" customWidth="1"/>
    <col min="4872" max="4872" width="16.7109375" style="1652" bestFit="1" customWidth="1"/>
    <col min="4873" max="4873" width="15.5703125" style="1652" bestFit="1" customWidth="1"/>
    <col min="4874" max="4874" width="20.5703125" style="1652" bestFit="1" customWidth="1"/>
    <col min="4875" max="4875" width="16.42578125" style="1652" bestFit="1" customWidth="1"/>
    <col min="4876" max="4876" width="14.28515625" style="1652" customWidth="1"/>
    <col min="4877" max="4877" width="12.85546875" style="1652" bestFit="1" customWidth="1"/>
    <col min="4878" max="4878" width="11.28515625" style="1652" bestFit="1" customWidth="1"/>
    <col min="4879" max="4879" width="12.5703125" style="1652" bestFit="1" customWidth="1"/>
    <col min="4880" max="4880" width="14" style="1652" bestFit="1" customWidth="1"/>
    <col min="4881" max="4881" width="6" style="1652" bestFit="1" customWidth="1"/>
    <col min="4882" max="4882" width="15" style="1652" customWidth="1"/>
    <col min="4883" max="4883" width="14.85546875" style="1652" bestFit="1" customWidth="1"/>
    <col min="4884" max="4884" width="16.140625" style="1652" bestFit="1" customWidth="1"/>
    <col min="4885" max="5111" width="9.140625" style="1652"/>
    <col min="5112" max="5112" width="24" style="1652" bestFit="1" customWidth="1"/>
    <col min="5113" max="5113" width="43.85546875" style="1652" customWidth="1"/>
    <col min="5114" max="5114" width="19.7109375" style="1652" bestFit="1" customWidth="1"/>
    <col min="5115" max="5115" width="11.42578125" style="1652" bestFit="1" customWidth="1"/>
    <col min="5116" max="5116" width="14.85546875" style="1652" bestFit="1" customWidth="1"/>
    <col min="5117" max="5117" width="13.42578125" style="1652" customWidth="1"/>
    <col min="5118" max="5118" width="15.28515625" style="1652" bestFit="1" customWidth="1"/>
    <col min="5119" max="5119" width="14.140625" style="1652" bestFit="1" customWidth="1"/>
    <col min="5120" max="5120" width="15.28515625" style="1652" customWidth="1"/>
    <col min="5121" max="5121" width="15.85546875" style="1652" customWidth="1"/>
    <col min="5122" max="5122" width="17" style="1652" bestFit="1" customWidth="1"/>
    <col min="5123" max="5123" width="12.7109375" style="1652" customWidth="1"/>
    <col min="5124" max="5124" width="13.7109375" style="1652" customWidth="1"/>
    <col min="5125" max="5125" width="13.85546875" style="1652" bestFit="1" customWidth="1"/>
    <col min="5126" max="5126" width="15.5703125" style="1652" bestFit="1" customWidth="1"/>
    <col min="5127" max="5127" width="16.140625" style="1652" customWidth="1"/>
    <col min="5128" max="5128" width="16.7109375" style="1652" bestFit="1" customWidth="1"/>
    <col min="5129" max="5129" width="15.5703125" style="1652" bestFit="1" customWidth="1"/>
    <col min="5130" max="5130" width="20.5703125" style="1652" bestFit="1" customWidth="1"/>
    <col min="5131" max="5131" width="16.42578125" style="1652" bestFit="1" customWidth="1"/>
    <col min="5132" max="5132" width="14.28515625" style="1652" customWidth="1"/>
    <col min="5133" max="5133" width="12.85546875" style="1652" bestFit="1" customWidth="1"/>
    <col min="5134" max="5134" width="11.28515625" style="1652" bestFit="1" customWidth="1"/>
    <col min="5135" max="5135" width="12.5703125" style="1652" bestFit="1" customWidth="1"/>
    <col min="5136" max="5136" width="14" style="1652" bestFit="1" customWidth="1"/>
    <col min="5137" max="5137" width="6" style="1652" bestFit="1" customWidth="1"/>
    <col min="5138" max="5138" width="15" style="1652" customWidth="1"/>
    <col min="5139" max="5139" width="14.85546875" style="1652" bestFit="1" customWidth="1"/>
    <col min="5140" max="5140" width="16.140625" style="1652" bestFit="1" customWidth="1"/>
    <col min="5141" max="5367" width="9.140625" style="1652"/>
    <col min="5368" max="5368" width="24" style="1652" bestFit="1" customWidth="1"/>
    <col min="5369" max="5369" width="43.85546875" style="1652" customWidth="1"/>
    <col min="5370" max="5370" width="19.7109375" style="1652" bestFit="1" customWidth="1"/>
    <col min="5371" max="5371" width="11.42578125" style="1652" bestFit="1" customWidth="1"/>
    <col min="5372" max="5372" width="14.85546875" style="1652" bestFit="1" customWidth="1"/>
    <col min="5373" max="5373" width="13.42578125" style="1652" customWidth="1"/>
    <col min="5374" max="5374" width="15.28515625" style="1652" bestFit="1" customWidth="1"/>
    <col min="5375" max="5375" width="14.140625" style="1652" bestFit="1" customWidth="1"/>
    <col min="5376" max="5376" width="15.28515625" style="1652" customWidth="1"/>
    <col min="5377" max="5377" width="15.85546875" style="1652" customWidth="1"/>
    <col min="5378" max="5378" width="17" style="1652" bestFit="1" customWidth="1"/>
    <col min="5379" max="5379" width="12.7109375" style="1652" customWidth="1"/>
    <col min="5380" max="5380" width="13.7109375" style="1652" customWidth="1"/>
    <col min="5381" max="5381" width="13.85546875" style="1652" bestFit="1" customWidth="1"/>
    <col min="5382" max="5382" width="15.5703125" style="1652" bestFit="1" customWidth="1"/>
    <col min="5383" max="5383" width="16.140625" style="1652" customWidth="1"/>
    <col min="5384" max="5384" width="16.7109375" style="1652" bestFit="1" customWidth="1"/>
    <col min="5385" max="5385" width="15.5703125" style="1652" bestFit="1" customWidth="1"/>
    <col min="5386" max="5386" width="20.5703125" style="1652" bestFit="1" customWidth="1"/>
    <col min="5387" max="5387" width="16.42578125" style="1652" bestFit="1" customWidth="1"/>
    <col min="5388" max="5388" width="14.28515625" style="1652" customWidth="1"/>
    <col min="5389" max="5389" width="12.85546875" style="1652" bestFit="1" customWidth="1"/>
    <col min="5390" max="5390" width="11.28515625" style="1652" bestFit="1" customWidth="1"/>
    <col min="5391" max="5391" width="12.5703125" style="1652" bestFit="1" customWidth="1"/>
    <col min="5392" max="5392" width="14" style="1652" bestFit="1" customWidth="1"/>
    <col min="5393" max="5393" width="6" style="1652" bestFit="1" customWidth="1"/>
    <col min="5394" max="5394" width="15" style="1652" customWidth="1"/>
    <col min="5395" max="5395" width="14.85546875" style="1652" bestFit="1" customWidth="1"/>
    <col min="5396" max="5396" width="16.140625" style="1652" bestFit="1" customWidth="1"/>
    <col min="5397" max="5623" width="9.140625" style="1652"/>
    <col min="5624" max="5624" width="24" style="1652" bestFit="1" customWidth="1"/>
    <col min="5625" max="5625" width="43.85546875" style="1652" customWidth="1"/>
    <col min="5626" max="5626" width="19.7109375" style="1652" bestFit="1" customWidth="1"/>
    <col min="5627" max="5627" width="11.42578125" style="1652" bestFit="1" customWidth="1"/>
    <col min="5628" max="5628" width="14.85546875" style="1652" bestFit="1" customWidth="1"/>
    <col min="5629" max="5629" width="13.42578125" style="1652" customWidth="1"/>
    <col min="5630" max="5630" width="15.28515625" style="1652" bestFit="1" customWidth="1"/>
    <col min="5631" max="5631" width="14.140625" style="1652" bestFit="1" customWidth="1"/>
    <col min="5632" max="5632" width="15.28515625" style="1652" customWidth="1"/>
    <col min="5633" max="5633" width="15.85546875" style="1652" customWidth="1"/>
    <col min="5634" max="5634" width="17" style="1652" bestFit="1" customWidth="1"/>
    <col min="5635" max="5635" width="12.7109375" style="1652" customWidth="1"/>
    <col min="5636" max="5636" width="13.7109375" style="1652" customWidth="1"/>
    <col min="5637" max="5637" width="13.85546875" style="1652" bestFit="1" customWidth="1"/>
    <col min="5638" max="5638" width="15.5703125" style="1652" bestFit="1" customWidth="1"/>
    <col min="5639" max="5639" width="16.140625" style="1652" customWidth="1"/>
    <col min="5640" max="5640" width="16.7109375" style="1652" bestFit="1" customWidth="1"/>
    <col min="5641" max="5641" width="15.5703125" style="1652" bestFit="1" customWidth="1"/>
    <col min="5642" max="5642" width="20.5703125" style="1652" bestFit="1" customWidth="1"/>
    <col min="5643" max="5643" width="16.42578125" style="1652" bestFit="1" customWidth="1"/>
    <col min="5644" max="5644" width="14.28515625" style="1652" customWidth="1"/>
    <col min="5645" max="5645" width="12.85546875" style="1652" bestFit="1" customWidth="1"/>
    <col min="5646" max="5646" width="11.28515625" style="1652" bestFit="1" customWidth="1"/>
    <col min="5647" max="5647" width="12.5703125" style="1652" bestFit="1" customWidth="1"/>
    <col min="5648" max="5648" width="14" style="1652" bestFit="1" customWidth="1"/>
    <col min="5649" max="5649" width="6" style="1652" bestFit="1" customWidth="1"/>
    <col min="5650" max="5650" width="15" style="1652" customWidth="1"/>
    <col min="5651" max="5651" width="14.85546875" style="1652" bestFit="1" customWidth="1"/>
    <col min="5652" max="5652" width="16.140625" style="1652" bestFit="1" customWidth="1"/>
    <col min="5653" max="5879" width="9.140625" style="1652"/>
    <col min="5880" max="5880" width="24" style="1652" bestFit="1" customWidth="1"/>
    <col min="5881" max="5881" width="43.85546875" style="1652" customWidth="1"/>
    <col min="5882" max="5882" width="19.7109375" style="1652" bestFit="1" customWidth="1"/>
    <col min="5883" max="5883" width="11.42578125" style="1652" bestFit="1" customWidth="1"/>
    <col min="5884" max="5884" width="14.85546875" style="1652" bestFit="1" customWidth="1"/>
    <col min="5885" max="5885" width="13.42578125" style="1652" customWidth="1"/>
    <col min="5886" max="5886" width="15.28515625" style="1652" bestFit="1" customWidth="1"/>
    <col min="5887" max="5887" width="14.140625" style="1652" bestFit="1" customWidth="1"/>
    <col min="5888" max="5888" width="15.28515625" style="1652" customWidth="1"/>
    <col min="5889" max="5889" width="15.85546875" style="1652" customWidth="1"/>
    <col min="5890" max="5890" width="17" style="1652" bestFit="1" customWidth="1"/>
    <col min="5891" max="5891" width="12.7109375" style="1652" customWidth="1"/>
    <col min="5892" max="5892" width="13.7109375" style="1652" customWidth="1"/>
    <col min="5893" max="5893" width="13.85546875" style="1652" bestFit="1" customWidth="1"/>
    <col min="5894" max="5894" width="15.5703125" style="1652" bestFit="1" customWidth="1"/>
    <col min="5895" max="5895" width="16.140625" style="1652" customWidth="1"/>
    <col min="5896" max="5896" width="16.7109375" style="1652" bestFit="1" customWidth="1"/>
    <col min="5897" max="5897" width="15.5703125" style="1652" bestFit="1" customWidth="1"/>
    <col min="5898" max="5898" width="20.5703125" style="1652" bestFit="1" customWidth="1"/>
    <col min="5899" max="5899" width="16.42578125" style="1652" bestFit="1" customWidth="1"/>
    <col min="5900" max="5900" width="14.28515625" style="1652" customWidth="1"/>
    <col min="5901" max="5901" width="12.85546875" style="1652" bestFit="1" customWidth="1"/>
    <col min="5902" max="5902" width="11.28515625" style="1652" bestFit="1" customWidth="1"/>
    <col min="5903" max="5903" width="12.5703125" style="1652" bestFit="1" customWidth="1"/>
    <col min="5904" max="5904" width="14" style="1652" bestFit="1" customWidth="1"/>
    <col min="5905" max="5905" width="6" style="1652" bestFit="1" customWidth="1"/>
    <col min="5906" max="5906" width="15" style="1652" customWidth="1"/>
    <col min="5907" max="5907" width="14.85546875" style="1652" bestFit="1" customWidth="1"/>
    <col min="5908" max="5908" width="16.140625" style="1652" bestFit="1" customWidth="1"/>
    <col min="5909" max="6135" width="9.140625" style="1652"/>
    <col min="6136" max="6136" width="24" style="1652" bestFit="1" customWidth="1"/>
    <col min="6137" max="6137" width="43.85546875" style="1652" customWidth="1"/>
    <col min="6138" max="6138" width="19.7109375" style="1652" bestFit="1" customWidth="1"/>
    <col min="6139" max="6139" width="11.42578125" style="1652" bestFit="1" customWidth="1"/>
    <col min="6140" max="6140" width="14.85546875" style="1652" bestFit="1" customWidth="1"/>
    <col min="6141" max="6141" width="13.42578125" style="1652" customWidth="1"/>
    <col min="6142" max="6142" width="15.28515625" style="1652" bestFit="1" customWidth="1"/>
    <col min="6143" max="6143" width="14.140625" style="1652" bestFit="1" customWidth="1"/>
    <col min="6144" max="6144" width="15.28515625" style="1652" customWidth="1"/>
    <col min="6145" max="6145" width="15.85546875" style="1652" customWidth="1"/>
    <col min="6146" max="6146" width="17" style="1652" bestFit="1" customWidth="1"/>
    <col min="6147" max="6147" width="12.7109375" style="1652" customWidth="1"/>
    <col min="6148" max="6148" width="13.7109375" style="1652" customWidth="1"/>
    <col min="6149" max="6149" width="13.85546875" style="1652" bestFit="1" customWidth="1"/>
    <col min="6150" max="6150" width="15.5703125" style="1652" bestFit="1" customWidth="1"/>
    <col min="6151" max="6151" width="16.140625" style="1652" customWidth="1"/>
    <col min="6152" max="6152" width="16.7109375" style="1652" bestFit="1" customWidth="1"/>
    <col min="6153" max="6153" width="15.5703125" style="1652" bestFit="1" customWidth="1"/>
    <col min="6154" max="6154" width="20.5703125" style="1652" bestFit="1" customWidth="1"/>
    <col min="6155" max="6155" width="16.42578125" style="1652" bestFit="1" customWidth="1"/>
    <col min="6156" max="6156" width="14.28515625" style="1652" customWidth="1"/>
    <col min="6157" max="6157" width="12.85546875" style="1652" bestFit="1" customWidth="1"/>
    <col min="6158" max="6158" width="11.28515625" style="1652" bestFit="1" customWidth="1"/>
    <col min="6159" max="6159" width="12.5703125" style="1652" bestFit="1" customWidth="1"/>
    <col min="6160" max="6160" width="14" style="1652" bestFit="1" customWidth="1"/>
    <col min="6161" max="6161" width="6" style="1652" bestFit="1" customWidth="1"/>
    <col min="6162" max="6162" width="15" style="1652" customWidth="1"/>
    <col min="6163" max="6163" width="14.85546875" style="1652" bestFit="1" customWidth="1"/>
    <col min="6164" max="6164" width="16.140625" style="1652" bestFit="1" customWidth="1"/>
    <col min="6165" max="6391" width="9.140625" style="1652"/>
    <col min="6392" max="6392" width="24" style="1652" bestFit="1" customWidth="1"/>
    <col min="6393" max="6393" width="43.85546875" style="1652" customWidth="1"/>
    <col min="6394" max="6394" width="19.7109375" style="1652" bestFit="1" customWidth="1"/>
    <col min="6395" max="6395" width="11.42578125" style="1652" bestFit="1" customWidth="1"/>
    <col min="6396" max="6396" width="14.85546875" style="1652" bestFit="1" customWidth="1"/>
    <col min="6397" max="6397" width="13.42578125" style="1652" customWidth="1"/>
    <col min="6398" max="6398" width="15.28515625" style="1652" bestFit="1" customWidth="1"/>
    <col min="6399" max="6399" width="14.140625" style="1652" bestFit="1" customWidth="1"/>
    <col min="6400" max="6400" width="15.28515625" style="1652" customWidth="1"/>
    <col min="6401" max="6401" width="15.85546875" style="1652" customWidth="1"/>
    <col min="6402" max="6402" width="17" style="1652" bestFit="1" customWidth="1"/>
    <col min="6403" max="6403" width="12.7109375" style="1652" customWidth="1"/>
    <col min="6404" max="6404" width="13.7109375" style="1652" customWidth="1"/>
    <col min="6405" max="6405" width="13.85546875" style="1652" bestFit="1" customWidth="1"/>
    <col min="6406" max="6406" width="15.5703125" style="1652" bestFit="1" customWidth="1"/>
    <col min="6407" max="6407" width="16.140625" style="1652" customWidth="1"/>
    <col min="6408" max="6408" width="16.7109375" style="1652" bestFit="1" customWidth="1"/>
    <col min="6409" max="6409" width="15.5703125" style="1652" bestFit="1" customWidth="1"/>
    <col min="6410" max="6410" width="20.5703125" style="1652" bestFit="1" customWidth="1"/>
    <col min="6411" max="6411" width="16.42578125" style="1652" bestFit="1" customWidth="1"/>
    <col min="6412" max="6412" width="14.28515625" style="1652" customWidth="1"/>
    <col min="6413" max="6413" width="12.85546875" style="1652" bestFit="1" customWidth="1"/>
    <col min="6414" max="6414" width="11.28515625" style="1652" bestFit="1" customWidth="1"/>
    <col min="6415" max="6415" width="12.5703125" style="1652" bestFit="1" customWidth="1"/>
    <col min="6416" max="6416" width="14" style="1652" bestFit="1" customWidth="1"/>
    <col min="6417" max="6417" width="6" style="1652" bestFit="1" customWidth="1"/>
    <col min="6418" max="6418" width="15" style="1652" customWidth="1"/>
    <col min="6419" max="6419" width="14.85546875" style="1652" bestFit="1" customWidth="1"/>
    <col min="6420" max="6420" width="16.140625" style="1652" bestFit="1" customWidth="1"/>
    <col min="6421" max="6647" width="9.140625" style="1652"/>
    <col min="6648" max="6648" width="24" style="1652" bestFit="1" customWidth="1"/>
    <col min="6649" max="6649" width="43.85546875" style="1652" customWidth="1"/>
    <col min="6650" max="6650" width="19.7109375" style="1652" bestFit="1" customWidth="1"/>
    <col min="6651" max="6651" width="11.42578125" style="1652" bestFit="1" customWidth="1"/>
    <col min="6652" max="6652" width="14.85546875" style="1652" bestFit="1" customWidth="1"/>
    <col min="6653" max="6653" width="13.42578125" style="1652" customWidth="1"/>
    <col min="6654" max="6654" width="15.28515625" style="1652" bestFit="1" customWidth="1"/>
    <col min="6655" max="6655" width="14.140625" style="1652" bestFit="1" customWidth="1"/>
    <col min="6656" max="6656" width="15.28515625" style="1652" customWidth="1"/>
    <col min="6657" max="6657" width="15.85546875" style="1652" customWidth="1"/>
    <col min="6658" max="6658" width="17" style="1652" bestFit="1" customWidth="1"/>
    <col min="6659" max="6659" width="12.7109375" style="1652" customWidth="1"/>
    <col min="6660" max="6660" width="13.7109375" style="1652" customWidth="1"/>
    <col min="6661" max="6661" width="13.85546875" style="1652" bestFit="1" customWidth="1"/>
    <col min="6662" max="6662" width="15.5703125" style="1652" bestFit="1" customWidth="1"/>
    <col min="6663" max="6663" width="16.140625" style="1652" customWidth="1"/>
    <col min="6664" max="6664" width="16.7109375" style="1652" bestFit="1" customWidth="1"/>
    <col min="6665" max="6665" width="15.5703125" style="1652" bestFit="1" customWidth="1"/>
    <col min="6666" max="6666" width="20.5703125" style="1652" bestFit="1" customWidth="1"/>
    <col min="6667" max="6667" width="16.42578125" style="1652" bestFit="1" customWidth="1"/>
    <col min="6668" max="6668" width="14.28515625" style="1652" customWidth="1"/>
    <col min="6669" max="6669" width="12.85546875" style="1652" bestFit="1" customWidth="1"/>
    <col min="6670" max="6670" width="11.28515625" style="1652" bestFit="1" customWidth="1"/>
    <col min="6671" max="6671" width="12.5703125" style="1652" bestFit="1" customWidth="1"/>
    <col min="6672" max="6672" width="14" style="1652" bestFit="1" customWidth="1"/>
    <col min="6673" max="6673" width="6" style="1652" bestFit="1" customWidth="1"/>
    <col min="6674" max="6674" width="15" style="1652" customWidth="1"/>
    <col min="6675" max="6675" width="14.85546875" style="1652" bestFit="1" customWidth="1"/>
    <col min="6676" max="6676" width="16.140625" style="1652" bestFit="1" customWidth="1"/>
    <col min="6677" max="6903" width="9.140625" style="1652"/>
    <col min="6904" max="6904" width="24" style="1652" bestFit="1" customWidth="1"/>
    <col min="6905" max="6905" width="43.85546875" style="1652" customWidth="1"/>
    <col min="6906" max="6906" width="19.7109375" style="1652" bestFit="1" customWidth="1"/>
    <col min="6907" max="6907" width="11.42578125" style="1652" bestFit="1" customWidth="1"/>
    <col min="6908" max="6908" width="14.85546875" style="1652" bestFit="1" customWidth="1"/>
    <col min="6909" max="6909" width="13.42578125" style="1652" customWidth="1"/>
    <col min="6910" max="6910" width="15.28515625" style="1652" bestFit="1" customWidth="1"/>
    <col min="6911" max="6911" width="14.140625" style="1652" bestFit="1" customWidth="1"/>
    <col min="6912" max="6912" width="15.28515625" style="1652" customWidth="1"/>
    <col min="6913" max="6913" width="15.85546875" style="1652" customWidth="1"/>
    <col min="6914" max="6914" width="17" style="1652" bestFit="1" customWidth="1"/>
    <col min="6915" max="6915" width="12.7109375" style="1652" customWidth="1"/>
    <col min="6916" max="6916" width="13.7109375" style="1652" customWidth="1"/>
    <col min="6917" max="6917" width="13.85546875" style="1652" bestFit="1" customWidth="1"/>
    <col min="6918" max="6918" width="15.5703125" style="1652" bestFit="1" customWidth="1"/>
    <col min="6919" max="6919" width="16.140625" style="1652" customWidth="1"/>
    <col min="6920" max="6920" width="16.7109375" style="1652" bestFit="1" customWidth="1"/>
    <col min="6921" max="6921" width="15.5703125" style="1652" bestFit="1" customWidth="1"/>
    <col min="6922" max="6922" width="20.5703125" style="1652" bestFit="1" customWidth="1"/>
    <col min="6923" max="6923" width="16.42578125" style="1652" bestFit="1" customWidth="1"/>
    <col min="6924" max="6924" width="14.28515625" style="1652" customWidth="1"/>
    <col min="6925" max="6925" width="12.85546875" style="1652" bestFit="1" customWidth="1"/>
    <col min="6926" max="6926" width="11.28515625" style="1652" bestFit="1" customWidth="1"/>
    <col min="6927" max="6927" width="12.5703125" style="1652" bestFit="1" customWidth="1"/>
    <col min="6928" max="6928" width="14" style="1652" bestFit="1" customWidth="1"/>
    <col min="6929" max="6929" width="6" style="1652" bestFit="1" customWidth="1"/>
    <col min="6930" max="6930" width="15" style="1652" customWidth="1"/>
    <col min="6931" max="6931" width="14.85546875" style="1652" bestFit="1" customWidth="1"/>
    <col min="6932" max="6932" width="16.140625" style="1652" bestFit="1" customWidth="1"/>
    <col min="6933" max="7159" width="9.140625" style="1652"/>
    <col min="7160" max="7160" width="24" style="1652" bestFit="1" customWidth="1"/>
    <col min="7161" max="7161" width="43.85546875" style="1652" customWidth="1"/>
    <col min="7162" max="7162" width="19.7109375" style="1652" bestFit="1" customWidth="1"/>
    <col min="7163" max="7163" width="11.42578125" style="1652" bestFit="1" customWidth="1"/>
    <col min="7164" max="7164" width="14.85546875" style="1652" bestFit="1" customWidth="1"/>
    <col min="7165" max="7165" width="13.42578125" style="1652" customWidth="1"/>
    <col min="7166" max="7166" width="15.28515625" style="1652" bestFit="1" customWidth="1"/>
    <col min="7167" max="7167" width="14.140625" style="1652" bestFit="1" customWidth="1"/>
    <col min="7168" max="7168" width="15.28515625" style="1652" customWidth="1"/>
    <col min="7169" max="7169" width="15.85546875" style="1652" customWidth="1"/>
    <col min="7170" max="7170" width="17" style="1652" bestFit="1" customWidth="1"/>
    <col min="7171" max="7171" width="12.7109375" style="1652" customWidth="1"/>
    <col min="7172" max="7172" width="13.7109375" style="1652" customWidth="1"/>
    <col min="7173" max="7173" width="13.85546875" style="1652" bestFit="1" customWidth="1"/>
    <col min="7174" max="7174" width="15.5703125" style="1652" bestFit="1" customWidth="1"/>
    <col min="7175" max="7175" width="16.140625" style="1652" customWidth="1"/>
    <col min="7176" max="7176" width="16.7109375" style="1652" bestFit="1" customWidth="1"/>
    <col min="7177" max="7177" width="15.5703125" style="1652" bestFit="1" customWidth="1"/>
    <col min="7178" max="7178" width="20.5703125" style="1652" bestFit="1" customWidth="1"/>
    <col min="7179" max="7179" width="16.42578125" style="1652" bestFit="1" customWidth="1"/>
    <col min="7180" max="7180" width="14.28515625" style="1652" customWidth="1"/>
    <col min="7181" max="7181" width="12.85546875" style="1652" bestFit="1" customWidth="1"/>
    <col min="7182" max="7182" width="11.28515625" style="1652" bestFit="1" customWidth="1"/>
    <col min="7183" max="7183" width="12.5703125" style="1652" bestFit="1" customWidth="1"/>
    <col min="7184" max="7184" width="14" style="1652" bestFit="1" customWidth="1"/>
    <col min="7185" max="7185" width="6" style="1652" bestFit="1" customWidth="1"/>
    <col min="7186" max="7186" width="15" style="1652" customWidth="1"/>
    <col min="7187" max="7187" width="14.85546875" style="1652" bestFit="1" customWidth="1"/>
    <col min="7188" max="7188" width="16.140625" style="1652" bestFit="1" customWidth="1"/>
    <col min="7189" max="7415" width="9.140625" style="1652"/>
    <col min="7416" max="7416" width="24" style="1652" bestFit="1" customWidth="1"/>
    <col min="7417" max="7417" width="43.85546875" style="1652" customWidth="1"/>
    <col min="7418" max="7418" width="19.7109375" style="1652" bestFit="1" customWidth="1"/>
    <col min="7419" max="7419" width="11.42578125" style="1652" bestFit="1" customWidth="1"/>
    <col min="7420" max="7420" width="14.85546875" style="1652" bestFit="1" customWidth="1"/>
    <col min="7421" max="7421" width="13.42578125" style="1652" customWidth="1"/>
    <col min="7422" max="7422" width="15.28515625" style="1652" bestFit="1" customWidth="1"/>
    <col min="7423" max="7423" width="14.140625" style="1652" bestFit="1" customWidth="1"/>
    <col min="7424" max="7424" width="15.28515625" style="1652" customWidth="1"/>
    <col min="7425" max="7425" width="15.85546875" style="1652" customWidth="1"/>
    <col min="7426" max="7426" width="17" style="1652" bestFit="1" customWidth="1"/>
    <col min="7427" max="7427" width="12.7109375" style="1652" customWidth="1"/>
    <col min="7428" max="7428" width="13.7109375" style="1652" customWidth="1"/>
    <col min="7429" max="7429" width="13.85546875" style="1652" bestFit="1" customWidth="1"/>
    <col min="7430" max="7430" width="15.5703125" style="1652" bestFit="1" customWidth="1"/>
    <col min="7431" max="7431" width="16.140625" style="1652" customWidth="1"/>
    <col min="7432" max="7432" width="16.7109375" style="1652" bestFit="1" customWidth="1"/>
    <col min="7433" max="7433" width="15.5703125" style="1652" bestFit="1" customWidth="1"/>
    <col min="7434" max="7434" width="20.5703125" style="1652" bestFit="1" customWidth="1"/>
    <col min="7435" max="7435" width="16.42578125" style="1652" bestFit="1" customWidth="1"/>
    <col min="7436" max="7436" width="14.28515625" style="1652" customWidth="1"/>
    <col min="7437" max="7437" width="12.85546875" style="1652" bestFit="1" customWidth="1"/>
    <col min="7438" max="7438" width="11.28515625" style="1652" bestFit="1" customWidth="1"/>
    <col min="7439" max="7439" width="12.5703125" style="1652" bestFit="1" customWidth="1"/>
    <col min="7440" max="7440" width="14" style="1652" bestFit="1" customWidth="1"/>
    <col min="7441" max="7441" width="6" style="1652" bestFit="1" customWidth="1"/>
    <col min="7442" max="7442" width="15" style="1652" customWidth="1"/>
    <col min="7443" max="7443" width="14.85546875" style="1652" bestFit="1" customWidth="1"/>
    <col min="7444" max="7444" width="16.140625" style="1652" bestFit="1" customWidth="1"/>
    <col min="7445" max="7671" width="9.140625" style="1652"/>
    <col min="7672" max="7672" width="24" style="1652" bestFit="1" customWidth="1"/>
    <col min="7673" max="7673" width="43.85546875" style="1652" customWidth="1"/>
    <col min="7674" max="7674" width="19.7109375" style="1652" bestFit="1" customWidth="1"/>
    <col min="7675" max="7675" width="11.42578125" style="1652" bestFit="1" customWidth="1"/>
    <col min="7676" max="7676" width="14.85546875" style="1652" bestFit="1" customWidth="1"/>
    <col min="7677" max="7677" width="13.42578125" style="1652" customWidth="1"/>
    <col min="7678" max="7678" width="15.28515625" style="1652" bestFit="1" customWidth="1"/>
    <col min="7679" max="7679" width="14.140625" style="1652" bestFit="1" customWidth="1"/>
    <col min="7680" max="7680" width="15.28515625" style="1652" customWidth="1"/>
    <col min="7681" max="7681" width="15.85546875" style="1652" customWidth="1"/>
    <col min="7682" max="7682" width="17" style="1652" bestFit="1" customWidth="1"/>
    <col min="7683" max="7683" width="12.7109375" style="1652" customWidth="1"/>
    <col min="7684" max="7684" width="13.7109375" style="1652" customWidth="1"/>
    <col min="7685" max="7685" width="13.85546875" style="1652" bestFit="1" customWidth="1"/>
    <col min="7686" max="7686" width="15.5703125" style="1652" bestFit="1" customWidth="1"/>
    <col min="7687" max="7687" width="16.140625" style="1652" customWidth="1"/>
    <col min="7688" max="7688" width="16.7109375" style="1652" bestFit="1" customWidth="1"/>
    <col min="7689" max="7689" width="15.5703125" style="1652" bestFit="1" customWidth="1"/>
    <col min="7690" max="7690" width="20.5703125" style="1652" bestFit="1" customWidth="1"/>
    <col min="7691" max="7691" width="16.42578125" style="1652" bestFit="1" customWidth="1"/>
    <col min="7692" max="7692" width="14.28515625" style="1652" customWidth="1"/>
    <col min="7693" max="7693" width="12.85546875" style="1652" bestFit="1" customWidth="1"/>
    <col min="7694" max="7694" width="11.28515625" style="1652" bestFit="1" customWidth="1"/>
    <col min="7695" max="7695" width="12.5703125" style="1652" bestFit="1" customWidth="1"/>
    <col min="7696" max="7696" width="14" style="1652" bestFit="1" customWidth="1"/>
    <col min="7697" max="7697" width="6" style="1652" bestFit="1" customWidth="1"/>
    <col min="7698" max="7698" width="15" style="1652" customWidth="1"/>
    <col min="7699" max="7699" width="14.85546875" style="1652" bestFit="1" customWidth="1"/>
    <col min="7700" max="7700" width="16.140625" style="1652" bestFit="1" customWidth="1"/>
    <col min="7701" max="7927" width="9.140625" style="1652"/>
    <col min="7928" max="7928" width="24" style="1652" bestFit="1" customWidth="1"/>
    <col min="7929" max="7929" width="43.85546875" style="1652" customWidth="1"/>
    <col min="7930" max="7930" width="19.7109375" style="1652" bestFit="1" customWidth="1"/>
    <col min="7931" max="7931" width="11.42578125" style="1652" bestFit="1" customWidth="1"/>
    <col min="7932" max="7932" width="14.85546875" style="1652" bestFit="1" customWidth="1"/>
    <col min="7933" max="7933" width="13.42578125" style="1652" customWidth="1"/>
    <col min="7934" max="7934" width="15.28515625" style="1652" bestFit="1" customWidth="1"/>
    <col min="7935" max="7935" width="14.140625" style="1652" bestFit="1" customWidth="1"/>
    <col min="7936" max="7936" width="15.28515625" style="1652" customWidth="1"/>
    <col min="7937" max="7937" width="15.85546875" style="1652" customWidth="1"/>
    <col min="7938" max="7938" width="17" style="1652" bestFit="1" customWidth="1"/>
    <col min="7939" max="7939" width="12.7109375" style="1652" customWidth="1"/>
    <col min="7940" max="7940" width="13.7109375" style="1652" customWidth="1"/>
    <col min="7941" max="7941" width="13.85546875" style="1652" bestFit="1" customWidth="1"/>
    <col min="7942" max="7942" width="15.5703125" style="1652" bestFit="1" customWidth="1"/>
    <col min="7943" max="7943" width="16.140625" style="1652" customWidth="1"/>
    <col min="7944" max="7944" width="16.7109375" style="1652" bestFit="1" customWidth="1"/>
    <col min="7945" max="7945" width="15.5703125" style="1652" bestFit="1" customWidth="1"/>
    <col min="7946" max="7946" width="20.5703125" style="1652" bestFit="1" customWidth="1"/>
    <col min="7947" max="7947" width="16.42578125" style="1652" bestFit="1" customWidth="1"/>
    <col min="7948" max="7948" width="14.28515625" style="1652" customWidth="1"/>
    <col min="7949" max="7949" width="12.85546875" style="1652" bestFit="1" customWidth="1"/>
    <col min="7950" max="7950" width="11.28515625" style="1652" bestFit="1" customWidth="1"/>
    <col min="7951" max="7951" width="12.5703125" style="1652" bestFit="1" customWidth="1"/>
    <col min="7952" max="7952" width="14" style="1652" bestFit="1" customWidth="1"/>
    <col min="7953" max="7953" width="6" style="1652" bestFit="1" customWidth="1"/>
    <col min="7954" max="7954" width="15" style="1652" customWidth="1"/>
    <col min="7955" max="7955" width="14.85546875" style="1652" bestFit="1" customWidth="1"/>
    <col min="7956" max="7956" width="16.140625" style="1652" bestFit="1" customWidth="1"/>
    <col min="7957" max="8183" width="9.140625" style="1652"/>
    <col min="8184" max="8184" width="24" style="1652" bestFit="1" customWidth="1"/>
    <col min="8185" max="8185" width="43.85546875" style="1652" customWidth="1"/>
    <col min="8186" max="8186" width="19.7109375" style="1652" bestFit="1" customWidth="1"/>
    <col min="8187" max="8187" width="11.42578125" style="1652" bestFit="1" customWidth="1"/>
    <col min="8188" max="8188" width="14.85546875" style="1652" bestFit="1" customWidth="1"/>
    <col min="8189" max="8189" width="13.42578125" style="1652" customWidth="1"/>
    <col min="8190" max="8190" width="15.28515625" style="1652" bestFit="1" customWidth="1"/>
    <col min="8191" max="8191" width="14.140625" style="1652" bestFit="1" customWidth="1"/>
    <col min="8192" max="8192" width="15.28515625" style="1652" customWidth="1"/>
    <col min="8193" max="8193" width="15.85546875" style="1652" customWidth="1"/>
    <col min="8194" max="8194" width="17" style="1652" bestFit="1" customWidth="1"/>
    <col min="8195" max="8195" width="12.7109375" style="1652" customWidth="1"/>
    <col min="8196" max="8196" width="13.7109375" style="1652" customWidth="1"/>
    <col min="8197" max="8197" width="13.85546875" style="1652" bestFit="1" customWidth="1"/>
    <col min="8198" max="8198" width="15.5703125" style="1652" bestFit="1" customWidth="1"/>
    <col min="8199" max="8199" width="16.140625" style="1652" customWidth="1"/>
    <col min="8200" max="8200" width="16.7109375" style="1652" bestFit="1" customWidth="1"/>
    <col min="8201" max="8201" width="15.5703125" style="1652" bestFit="1" customWidth="1"/>
    <col min="8202" max="8202" width="20.5703125" style="1652" bestFit="1" customWidth="1"/>
    <col min="8203" max="8203" width="16.42578125" style="1652" bestFit="1" customWidth="1"/>
    <col min="8204" max="8204" width="14.28515625" style="1652" customWidth="1"/>
    <col min="8205" max="8205" width="12.85546875" style="1652" bestFit="1" customWidth="1"/>
    <col min="8206" max="8206" width="11.28515625" style="1652" bestFit="1" customWidth="1"/>
    <col min="8207" max="8207" width="12.5703125" style="1652" bestFit="1" customWidth="1"/>
    <col min="8208" max="8208" width="14" style="1652" bestFit="1" customWidth="1"/>
    <col min="8209" max="8209" width="6" style="1652" bestFit="1" customWidth="1"/>
    <col min="8210" max="8210" width="15" style="1652" customWidth="1"/>
    <col min="8211" max="8211" width="14.85546875" style="1652" bestFit="1" customWidth="1"/>
    <col min="8212" max="8212" width="16.140625" style="1652" bestFit="1" customWidth="1"/>
    <col min="8213" max="8439" width="9.140625" style="1652"/>
    <col min="8440" max="8440" width="24" style="1652" bestFit="1" customWidth="1"/>
    <col min="8441" max="8441" width="43.85546875" style="1652" customWidth="1"/>
    <col min="8442" max="8442" width="19.7109375" style="1652" bestFit="1" customWidth="1"/>
    <col min="8443" max="8443" width="11.42578125" style="1652" bestFit="1" customWidth="1"/>
    <col min="8444" max="8444" width="14.85546875" style="1652" bestFit="1" customWidth="1"/>
    <col min="8445" max="8445" width="13.42578125" style="1652" customWidth="1"/>
    <col min="8446" max="8446" width="15.28515625" style="1652" bestFit="1" customWidth="1"/>
    <col min="8447" max="8447" width="14.140625" style="1652" bestFit="1" customWidth="1"/>
    <col min="8448" max="8448" width="15.28515625" style="1652" customWidth="1"/>
    <col min="8449" max="8449" width="15.85546875" style="1652" customWidth="1"/>
    <col min="8450" max="8450" width="17" style="1652" bestFit="1" customWidth="1"/>
    <col min="8451" max="8451" width="12.7109375" style="1652" customWidth="1"/>
    <col min="8452" max="8452" width="13.7109375" style="1652" customWidth="1"/>
    <col min="8453" max="8453" width="13.85546875" style="1652" bestFit="1" customWidth="1"/>
    <col min="8454" max="8454" width="15.5703125" style="1652" bestFit="1" customWidth="1"/>
    <col min="8455" max="8455" width="16.140625" style="1652" customWidth="1"/>
    <col min="8456" max="8456" width="16.7109375" style="1652" bestFit="1" customWidth="1"/>
    <col min="8457" max="8457" width="15.5703125" style="1652" bestFit="1" customWidth="1"/>
    <col min="8458" max="8458" width="20.5703125" style="1652" bestFit="1" customWidth="1"/>
    <col min="8459" max="8459" width="16.42578125" style="1652" bestFit="1" customWidth="1"/>
    <col min="8460" max="8460" width="14.28515625" style="1652" customWidth="1"/>
    <col min="8461" max="8461" width="12.85546875" style="1652" bestFit="1" customWidth="1"/>
    <col min="8462" max="8462" width="11.28515625" style="1652" bestFit="1" customWidth="1"/>
    <col min="8463" max="8463" width="12.5703125" style="1652" bestFit="1" customWidth="1"/>
    <col min="8464" max="8464" width="14" style="1652" bestFit="1" customWidth="1"/>
    <col min="8465" max="8465" width="6" style="1652" bestFit="1" customWidth="1"/>
    <col min="8466" max="8466" width="15" style="1652" customWidth="1"/>
    <col min="8467" max="8467" width="14.85546875" style="1652" bestFit="1" customWidth="1"/>
    <col min="8468" max="8468" width="16.140625" style="1652" bestFit="1" customWidth="1"/>
    <col min="8469" max="8695" width="9.140625" style="1652"/>
    <col min="8696" max="8696" width="24" style="1652" bestFit="1" customWidth="1"/>
    <col min="8697" max="8697" width="43.85546875" style="1652" customWidth="1"/>
    <col min="8698" max="8698" width="19.7109375" style="1652" bestFit="1" customWidth="1"/>
    <col min="8699" max="8699" width="11.42578125" style="1652" bestFit="1" customWidth="1"/>
    <col min="8700" max="8700" width="14.85546875" style="1652" bestFit="1" customWidth="1"/>
    <col min="8701" max="8701" width="13.42578125" style="1652" customWidth="1"/>
    <col min="8702" max="8702" width="15.28515625" style="1652" bestFit="1" customWidth="1"/>
    <col min="8703" max="8703" width="14.140625" style="1652" bestFit="1" customWidth="1"/>
    <col min="8704" max="8704" width="15.28515625" style="1652" customWidth="1"/>
    <col min="8705" max="8705" width="15.85546875" style="1652" customWidth="1"/>
    <col min="8706" max="8706" width="17" style="1652" bestFit="1" customWidth="1"/>
    <col min="8707" max="8707" width="12.7109375" style="1652" customWidth="1"/>
    <col min="8708" max="8708" width="13.7109375" style="1652" customWidth="1"/>
    <col min="8709" max="8709" width="13.85546875" style="1652" bestFit="1" customWidth="1"/>
    <col min="8710" max="8710" width="15.5703125" style="1652" bestFit="1" customWidth="1"/>
    <col min="8711" max="8711" width="16.140625" style="1652" customWidth="1"/>
    <col min="8712" max="8712" width="16.7109375" style="1652" bestFit="1" customWidth="1"/>
    <col min="8713" max="8713" width="15.5703125" style="1652" bestFit="1" customWidth="1"/>
    <col min="8714" max="8714" width="20.5703125" style="1652" bestFit="1" customWidth="1"/>
    <col min="8715" max="8715" width="16.42578125" style="1652" bestFit="1" customWidth="1"/>
    <col min="8716" max="8716" width="14.28515625" style="1652" customWidth="1"/>
    <col min="8717" max="8717" width="12.85546875" style="1652" bestFit="1" customWidth="1"/>
    <col min="8718" max="8718" width="11.28515625" style="1652" bestFit="1" customWidth="1"/>
    <col min="8719" max="8719" width="12.5703125" style="1652" bestFit="1" customWidth="1"/>
    <col min="8720" max="8720" width="14" style="1652" bestFit="1" customWidth="1"/>
    <col min="8721" max="8721" width="6" style="1652" bestFit="1" customWidth="1"/>
    <col min="8722" max="8722" width="15" style="1652" customWidth="1"/>
    <col min="8723" max="8723" width="14.85546875" style="1652" bestFit="1" customWidth="1"/>
    <col min="8724" max="8724" width="16.140625" style="1652" bestFit="1" customWidth="1"/>
    <col min="8725" max="8951" width="9.140625" style="1652"/>
    <col min="8952" max="8952" width="24" style="1652" bestFit="1" customWidth="1"/>
    <col min="8953" max="8953" width="43.85546875" style="1652" customWidth="1"/>
    <col min="8954" max="8954" width="19.7109375" style="1652" bestFit="1" customWidth="1"/>
    <col min="8955" max="8955" width="11.42578125" style="1652" bestFit="1" customWidth="1"/>
    <col min="8956" max="8956" width="14.85546875" style="1652" bestFit="1" customWidth="1"/>
    <col min="8957" max="8957" width="13.42578125" style="1652" customWidth="1"/>
    <col min="8958" max="8958" width="15.28515625" style="1652" bestFit="1" customWidth="1"/>
    <col min="8959" max="8959" width="14.140625" style="1652" bestFit="1" customWidth="1"/>
    <col min="8960" max="8960" width="15.28515625" style="1652" customWidth="1"/>
    <col min="8961" max="8961" width="15.85546875" style="1652" customWidth="1"/>
    <col min="8962" max="8962" width="17" style="1652" bestFit="1" customWidth="1"/>
    <col min="8963" max="8963" width="12.7109375" style="1652" customWidth="1"/>
    <col min="8964" max="8964" width="13.7109375" style="1652" customWidth="1"/>
    <col min="8965" max="8965" width="13.85546875" style="1652" bestFit="1" customWidth="1"/>
    <col min="8966" max="8966" width="15.5703125" style="1652" bestFit="1" customWidth="1"/>
    <col min="8967" max="8967" width="16.140625" style="1652" customWidth="1"/>
    <col min="8968" max="8968" width="16.7109375" style="1652" bestFit="1" customWidth="1"/>
    <col min="8969" max="8969" width="15.5703125" style="1652" bestFit="1" customWidth="1"/>
    <col min="8970" max="8970" width="20.5703125" style="1652" bestFit="1" customWidth="1"/>
    <col min="8971" max="8971" width="16.42578125" style="1652" bestFit="1" customWidth="1"/>
    <col min="8972" max="8972" width="14.28515625" style="1652" customWidth="1"/>
    <col min="8973" max="8973" width="12.85546875" style="1652" bestFit="1" customWidth="1"/>
    <col min="8974" max="8974" width="11.28515625" style="1652" bestFit="1" customWidth="1"/>
    <col min="8975" max="8975" width="12.5703125" style="1652" bestFit="1" customWidth="1"/>
    <col min="8976" max="8976" width="14" style="1652" bestFit="1" customWidth="1"/>
    <col min="8977" max="8977" width="6" style="1652" bestFit="1" customWidth="1"/>
    <col min="8978" max="8978" width="15" style="1652" customWidth="1"/>
    <col min="8979" max="8979" width="14.85546875" style="1652" bestFit="1" customWidth="1"/>
    <col min="8980" max="8980" width="16.140625" style="1652" bestFit="1" customWidth="1"/>
    <col min="8981" max="9207" width="9.140625" style="1652"/>
    <col min="9208" max="9208" width="24" style="1652" bestFit="1" customWidth="1"/>
    <col min="9209" max="9209" width="43.85546875" style="1652" customWidth="1"/>
    <col min="9210" max="9210" width="19.7109375" style="1652" bestFit="1" customWidth="1"/>
    <col min="9211" max="9211" width="11.42578125" style="1652" bestFit="1" customWidth="1"/>
    <col min="9212" max="9212" width="14.85546875" style="1652" bestFit="1" customWidth="1"/>
    <col min="9213" max="9213" width="13.42578125" style="1652" customWidth="1"/>
    <col min="9214" max="9214" width="15.28515625" style="1652" bestFit="1" customWidth="1"/>
    <col min="9215" max="9215" width="14.140625" style="1652" bestFit="1" customWidth="1"/>
    <col min="9216" max="9216" width="15.28515625" style="1652" customWidth="1"/>
    <col min="9217" max="9217" width="15.85546875" style="1652" customWidth="1"/>
    <col min="9218" max="9218" width="17" style="1652" bestFit="1" customWidth="1"/>
    <col min="9219" max="9219" width="12.7109375" style="1652" customWidth="1"/>
    <col min="9220" max="9220" width="13.7109375" style="1652" customWidth="1"/>
    <col min="9221" max="9221" width="13.85546875" style="1652" bestFit="1" customWidth="1"/>
    <col min="9222" max="9222" width="15.5703125" style="1652" bestFit="1" customWidth="1"/>
    <col min="9223" max="9223" width="16.140625" style="1652" customWidth="1"/>
    <col min="9224" max="9224" width="16.7109375" style="1652" bestFit="1" customWidth="1"/>
    <col min="9225" max="9225" width="15.5703125" style="1652" bestFit="1" customWidth="1"/>
    <col min="9226" max="9226" width="20.5703125" style="1652" bestFit="1" customWidth="1"/>
    <col min="9227" max="9227" width="16.42578125" style="1652" bestFit="1" customWidth="1"/>
    <col min="9228" max="9228" width="14.28515625" style="1652" customWidth="1"/>
    <col min="9229" max="9229" width="12.85546875" style="1652" bestFit="1" customWidth="1"/>
    <col min="9230" max="9230" width="11.28515625" style="1652" bestFit="1" customWidth="1"/>
    <col min="9231" max="9231" width="12.5703125" style="1652" bestFit="1" customWidth="1"/>
    <col min="9232" max="9232" width="14" style="1652" bestFit="1" customWidth="1"/>
    <col min="9233" max="9233" width="6" style="1652" bestFit="1" customWidth="1"/>
    <col min="9234" max="9234" width="15" style="1652" customWidth="1"/>
    <col min="9235" max="9235" width="14.85546875" style="1652" bestFit="1" customWidth="1"/>
    <col min="9236" max="9236" width="16.140625" style="1652" bestFit="1" customWidth="1"/>
    <col min="9237" max="9463" width="9.140625" style="1652"/>
    <col min="9464" max="9464" width="24" style="1652" bestFit="1" customWidth="1"/>
    <col min="9465" max="9465" width="43.85546875" style="1652" customWidth="1"/>
    <col min="9466" max="9466" width="19.7109375" style="1652" bestFit="1" customWidth="1"/>
    <col min="9467" max="9467" width="11.42578125" style="1652" bestFit="1" customWidth="1"/>
    <col min="9468" max="9468" width="14.85546875" style="1652" bestFit="1" customWidth="1"/>
    <col min="9469" max="9469" width="13.42578125" style="1652" customWidth="1"/>
    <col min="9470" max="9470" width="15.28515625" style="1652" bestFit="1" customWidth="1"/>
    <col min="9471" max="9471" width="14.140625" style="1652" bestFit="1" customWidth="1"/>
    <col min="9472" max="9472" width="15.28515625" style="1652" customWidth="1"/>
    <col min="9473" max="9473" width="15.85546875" style="1652" customWidth="1"/>
    <col min="9474" max="9474" width="17" style="1652" bestFit="1" customWidth="1"/>
    <col min="9475" max="9475" width="12.7109375" style="1652" customWidth="1"/>
    <col min="9476" max="9476" width="13.7109375" style="1652" customWidth="1"/>
    <col min="9477" max="9477" width="13.85546875" style="1652" bestFit="1" customWidth="1"/>
    <col min="9478" max="9478" width="15.5703125" style="1652" bestFit="1" customWidth="1"/>
    <col min="9479" max="9479" width="16.140625" style="1652" customWidth="1"/>
    <col min="9480" max="9480" width="16.7109375" style="1652" bestFit="1" customWidth="1"/>
    <col min="9481" max="9481" width="15.5703125" style="1652" bestFit="1" customWidth="1"/>
    <col min="9482" max="9482" width="20.5703125" style="1652" bestFit="1" customWidth="1"/>
    <col min="9483" max="9483" width="16.42578125" style="1652" bestFit="1" customWidth="1"/>
    <col min="9484" max="9484" width="14.28515625" style="1652" customWidth="1"/>
    <col min="9485" max="9485" width="12.85546875" style="1652" bestFit="1" customWidth="1"/>
    <col min="9486" max="9486" width="11.28515625" style="1652" bestFit="1" customWidth="1"/>
    <col min="9487" max="9487" width="12.5703125" style="1652" bestFit="1" customWidth="1"/>
    <col min="9488" max="9488" width="14" style="1652" bestFit="1" customWidth="1"/>
    <col min="9489" max="9489" width="6" style="1652" bestFit="1" customWidth="1"/>
    <col min="9490" max="9490" width="15" style="1652" customWidth="1"/>
    <col min="9491" max="9491" width="14.85546875" style="1652" bestFit="1" customWidth="1"/>
    <col min="9492" max="9492" width="16.140625" style="1652" bestFit="1" customWidth="1"/>
    <col min="9493" max="9719" width="9.140625" style="1652"/>
    <col min="9720" max="9720" width="24" style="1652" bestFit="1" customWidth="1"/>
    <col min="9721" max="9721" width="43.85546875" style="1652" customWidth="1"/>
    <col min="9722" max="9722" width="19.7109375" style="1652" bestFit="1" customWidth="1"/>
    <col min="9723" max="9723" width="11.42578125" style="1652" bestFit="1" customWidth="1"/>
    <col min="9724" max="9724" width="14.85546875" style="1652" bestFit="1" customWidth="1"/>
    <col min="9725" max="9725" width="13.42578125" style="1652" customWidth="1"/>
    <col min="9726" max="9726" width="15.28515625" style="1652" bestFit="1" customWidth="1"/>
    <col min="9727" max="9727" width="14.140625" style="1652" bestFit="1" customWidth="1"/>
    <col min="9728" max="9728" width="15.28515625" style="1652" customWidth="1"/>
    <col min="9729" max="9729" width="15.85546875" style="1652" customWidth="1"/>
    <col min="9730" max="9730" width="17" style="1652" bestFit="1" customWidth="1"/>
    <col min="9731" max="9731" width="12.7109375" style="1652" customWidth="1"/>
    <col min="9732" max="9732" width="13.7109375" style="1652" customWidth="1"/>
    <col min="9733" max="9733" width="13.85546875" style="1652" bestFit="1" customWidth="1"/>
    <col min="9734" max="9734" width="15.5703125" style="1652" bestFit="1" customWidth="1"/>
    <col min="9735" max="9735" width="16.140625" style="1652" customWidth="1"/>
    <col min="9736" max="9736" width="16.7109375" style="1652" bestFit="1" customWidth="1"/>
    <col min="9737" max="9737" width="15.5703125" style="1652" bestFit="1" customWidth="1"/>
    <col min="9738" max="9738" width="20.5703125" style="1652" bestFit="1" customWidth="1"/>
    <col min="9739" max="9739" width="16.42578125" style="1652" bestFit="1" customWidth="1"/>
    <col min="9740" max="9740" width="14.28515625" style="1652" customWidth="1"/>
    <col min="9741" max="9741" width="12.85546875" style="1652" bestFit="1" customWidth="1"/>
    <col min="9742" max="9742" width="11.28515625" style="1652" bestFit="1" customWidth="1"/>
    <col min="9743" max="9743" width="12.5703125" style="1652" bestFit="1" customWidth="1"/>
    <col min="9744" max="9744" width="14" style="1652" bestFit="1" customWidth="1"/>
    <col min="9745" max="9745" width="6" style="1652" bestFit="1" customWidth="1"/>
    <col min="9746" max="9746" width="15" style="1652" customWidth="1"/>
    <col min="9747" max="9747" width="14.85546875" style="1652" bestFit="1" customWidth="1"/>
    <col min="9748" max="9748" width="16.140625" style="1652" bestFit="1" customWidth="1"/>
    <col min="9749" max="9975" width="9.140625" style="1652"/>
    <col min="9976" max="9976" width="24" style="1652" bestFit="1" customWidth="1"/>
    <col min="9977" max="9977" width="43.85546875" style="1652" customWidth="1"/>
    <col min="9978" max="9978" width="19.7109375" style="1652" bestFit="1" customWidth="1"/>
    <col min="9979" max="9979" width="11.42578125" style="1652" bestFit="1" customWidth="1"/>
    <col min="9980" max="9980" width="14.85546875" style="1652" bestFit="1" customWidth="1"/>
    <col min="9981" max="9981" width="13.42578125" style="1652" customWidth="1"/>
    <col min="9982" max="9982" width="15.28515625" style="1652" bestFit="1" customWidth="1"/>
    <col min="9983" max="9983" width="14.140625" style="1652" bestFit="1" customWidth="1"/>
    <col min="9984" max="9984" width="15.28515625" style="1652" customWidth="1"/>
    <col min="9985" max="9985" width="15.85546875" style="1652" customWidth="1"/>
    <col min="9986" max="9986" width="17" style="1652" bestFit="1" customWidth="1"/>
    <col min="9987" max="9987" width="12.7109375" style="1652" customWidth="1"/>
    <col min="9988" max="9988" width="13.7109375" style="1652" customWidth="1"/>
    <col min="9989" max="9989" width="13.85546875" style="1652" bestFit="1" customWidth="1"/>
    <col min="9990" max="9990" width="15.5703125" style="1652" bestFit="1" customWidth="1"/>
    <col min="9991" max="9991" width="16.140625" style="1652" customWidth="1"/>
    <col min="9992" max="9992" width="16.7109375" style="1652" bestFit="1" customWidth="1"/>
    <col min="9993" max="9993" width="15.5703125" style="1652" bestFit="1" customWidth="1"/>
    <col min="9994" max="9994" width="20.5703125" style="1652" bestFit="1" customWidth="1"/>
    <col min="9995" max="9995" width="16.42578125" style="1652" bestFit="1" customWidth="1"/>
    <col min="9996" max="9996" width="14.28515625" style="1652" customWidth="1"/>
    <col min="9997" max="9997" width="12.85546875" style="1652" bestFit="1" customWidth="1"/>
    <col min="9998" max="9998" width="11.28515625" style="1652" bestFit="1" customWidth="1"/>
    <col min="9999" max="9999" width="12.5703125" style="1652" bestFit="1" customWidth="1"/>
    <col min="10000" max="10000" width="14" style="1652" bestFit="1" customWidth="1"/>
    <col min="10001" max="10001" width="6" style="1652" bestFit="1" customWidth="1"/>
    <col min="10002" max="10002" width="15" style="1652" customWidth="1"/>
    <col min="10003" max="10003" width="14.85546875" style="1652" bestFit="1" customWidth="1"/>
    <col min="10004" max="10004" width="16.140625" style="1652" bestFit="1" customWidth="1"/>
    <col min="10005" max="10231" width="9.140625" style="1652"/>
    <col min="10232" max="10232" width="24" style="1652" bestFit="1" customWidth="1"/>
    <col min="10233" max="10233" width="43.85546875" style="1652" customWidth="1"/>
    <col min="10234" max="10234" width="19.7109375" style="1652" bestFit="1" customWidth="1"/>
    <col min="10235" max="10235" width="11.42578125" style="1652" bestFit="1" customWidth="1"/>
    <col min="10236" max="10236" width="14.85546875" style="1652" bestFit="1" customWidth="1"/>
    <col min="10237" max="10237" width="13.42578125" style="1652" customWidth="1"/>
    <col min="10238" max="10238" width="15.28515625" style="1652" bestFit="1" customWidth="1"/>
    <col min="10239" max="10239" width="14.140625" style="1652" bestFit="1" customWidth="1"/>
    <col min="10240" max="10240" width="15.28515625" style="1652" customWidth="1"/>
    <col min="10241" max="10241" width="15.85546875" style="1652" customWidth="1"/>
    <col min="10242" max="10242" width="17" style="1652" bestFit="1" customWidth="1"/>
    <col min="10243" max="10243" width="12.7109375" style="1652" customWidth="1"/>
    <col min="10244" max="10244" width="13.7109375" style="1652" customWidth="1"/>
    <col min="10245" max="10245" width="13.85546875" style="1652" bestFit="1" customWidth="1"/>
    <col min="10246" max="10246" width="15.5703125" style="1652" bestFit="1" customWidth="1"/>
    <col min="10247" max="10247" width="16.140625" style="1652" customWidth="1"/>
    <col min="10248" max="10248" width="16.7109375" style="1652" bestFit="1" customWidth="1"/>
    <col min="10249" max="10249" width="15.5703125" style="1652" bestFit="1" customWidth="1"/>
    <col min="10250" max="10250" width="20.5703125" style="1652" bestFit="1" customWidth="1"/>
    <col min="10251" max="10251" width="16.42578125" style="1652" bestFit="1" customWidth="1"/>
    <col min="10252" max="10252" width="14.28515625" style="1652" customWidth="1"/>
    <col min="10253" max="10253" width="12.85546875" style="1652" bestFit="1" customWidth="1"/>
    <col min="10254" max="10254" width="11.28515625" style="1652" bestFit="1" customWidth="1"/>
    <col min="10255" max="10255" width="12.5703125" style="1652" bestFit="1" customWidth="1"/>
    <col min="10256" max="10256" width="14" style="1652" bestFit="1" customWidth="1"/>
    <col min="10257" max="10257" width="6" style="1652" bestFit="1" customWidth="1"/>
    <col min="10258" max="10258" width="15" style="1652" customWidth="1"/>
    <col min="10259" max="10259" width="14.85546875" style="1652" bestFit="1" customWidth="1"/>
    <col min="10260" max="10260" width="16.140625" style="1652" bestFit="1" customWidth="1"/>
    <col min="10261" max="10487" width="9.140625" style="1652"/>
    <col min="10488" max="10488" width="24" style="1652" bestFit="1" customWidth="1"/>
    <col min="10489" max="10489" width="43.85546875" style="1652" customWidth="1"/>
    <col min="10490" max="10490" width="19.7109375" style="1652" bestFit="1" customWidth="1"/>
    <col min="10491" max="10491" width="11.42578125" style="1652" bestFit="1" customWidth="1"/>
    <col min="10492" max="10492" width="14.85546875" style="1652" bestFit="1" customWidth="1"/>
    <col min="10493" max="10493" width="13.42578125" style="1652" customWidth="1"/>
    <col min="10494" max="10494" width="15.28515625" style="1652" bestFit="1" customWidth="1"/>
    <col min="10495" max="10495" width="14.140625" style="1652" bestFit="1" customWidth="1"/>
    <col min="10496" max="10496" width="15.28515625" style="1652" customWidth="1"/>
    <col min="10497" max="10497" width="15.85546875" style="1652" customWidth="1"/>
    <col min="10498" max="10498" width="17" style="1652" bestFit="1" customWidth="1"/>
    <col min="10499" max="10499" width="12.7109375" style="1652" customWidth="1"/>
    <col min="10500" max="10500" width="13.7109375" style="1652" customWidth="1"/>
    <col min="10501" max="10501" width="13.85546875" style="1652" bestFit="1" customWidth="1"/>
    <col min="10502" max="10502" width="15.5703125" style="1652" bestFit="1" customWidth="1"/>
    <col min="10503" max="10503" width="16.140625" style="1652" customWidth="1"/>
    <col min="10504" max="10504" width="16.7109375" style="1652" bestFit="1" customWidth="1"/>
    <col min="10505" max="10505" width="15.5703125" style="1652" bestFit="1" customWidth="1"/>
    <col min="10506" max="10506" width="20.5703125" style="1652" bestFit="1" customWidth="1"/>
    <col min="10507" max="10507" width="16.42578125" style="1652" bestFit="1" customWidth="1"/>
    <col min="10508" max="10508" width="14.28515625" style="1652" customWidth="1"/>
    <col min="10509" max="10509" width="12.85546875" style="1652" bestFit="1" customWidth="1"/>
    <col min="10510" max="10510" width="11.28515625" style="1652" bestFit="1" customWidth="1"/>
    <col min="10511" max="10511" width="12.5703125" style="1652" bestFit="1" customWidth="1"/>
    <col min="10512" max="10512" width="14" style="1652" bestFit="1" customWidth="1"/>
    <col min="10513" max="10513" width="6" style="1652" bestFit="1" customWidth="1"/>
    <col min="10514" max="10514" width="15" style="1652" customWidth="1"/>
    <col min="10515" max="10515" width="14.85546875" style="1652" bestFit="1" customWidth="1"/>
    <col min="10516" max="10516" width="16.140625" style="1652" bestFit="1" customWidth="1"/>
    <col min="10517" max="10743" width="9.140625" style="1652"/>
    <col min="10744" max="10744" width="24" style="1652" bestFit="1" customWidth="1"/>
    <col min="10745" max="10745" width="43.85546875" style="1652" customWidth="1"/>
    <col min="10746" max="10746" width="19.7109375" style="1652" bestFit="1" customWidth="1"/>
    <col min="10747" max="10747" width="11.42578125" style="1652" bestFit="1" customWidth="1"/>
    <col min="10748" max="10748" width="14.85546875" style="1652" bestFit="1" customWidth="1"/>
    <col min="10749" max="10749" width="13.42578125" style="1652" customWidth="1"/>
    <col min="10750" max="10750" width="15.28515625" style="1652" bestFit="1" customWidth="1"/>
    <col min="10751" max="10751" width="14.140625" style="1652" bestFit="1" customWidth="1"/>
    <col min="10752" max="10752" width="15.28515625" style="1652" customWidth="1"/>
    <col min="10753" max="10753" width="15.85546875" style="1652" customWidth="1"/>
    <col min="10754" max="10754" width="17" style="1652" bestFit="1" customWidth="1"/>
    <col min="10755" max="10755" width="12.7109375" style="1652" customWidth="1"/>
    <col min="10756" max="10756" width="13.7109375" style="1652" customWidth="1"/>
    <col min="10757" max="10757" width="13.85546875" style="1652" bestFit="1" customWidth="1"/>
    <col min="10758" max="10758" width="15.5703125" style="1652" bestFit="1" customWidth="1"/>
    <col min="10759" max="10759" width="16.140625" style="1652" customWidth="1"/>
    <col min="10760" max="10760" width="16.7109375" style="1652" bestFit="1" customWidth="1"/>
    <col min="10761" max="10761" width="15.5703125" style="1652" bestFit="1" customWidth="1"/>
    <col min="10762" max="10762" width="20.5703125" style="1652" bestFit="1" customWidth="1"/>
    <col min="10763" max="10763" width="16.42578125" style="1652" bestFit="1" customWidth="1"/>
    <col min="10764" max="10764" width="14.28515625" style="1652" customWidth="1"/>
    <col min="10765" max="10765" width="12.85546875" style="1652" bestFit="1" customWidth="1"/>
    <col min="10766" max="10766" width="11.28515625" style="1652" bestFit="1" customWidth="1"/>
    <col min="10767" max="10767" width="12.5703125" style="1652" bestFit="1" customWidth="1"/>
    <col min="10768" max="10768" width="14" style="1652" bestFit="1" customWidth="1"/>
    <col min="10769" max="10769" width="6" style="1652" bestFit="1" customWidth="1"/>
    <col min="10770" max="10770" width="15" style="1652" customWidth="1"/>
    <col min="10771" max="10771" width="14.85546875" style="1652" bestFit="1" customWidth="1"/>
    <col min="10772" max="10772" width="16.140625" style="1652" bestFit="1" customWidth="1"/>
    <col min="10773" max="10999" width="9.140625" style="1652"/>
    <col min="11000" max="11000" width="24" style="1652" bestFit="1" customWidth="1"/>
    <col min="11001" max="11001" width="43.85546875" style="1652" customWidth="1"/>
    <col min="11002" max="11002" width="19.7109375" style="1652" bestFit="1" customWidth="1"/>
    <col min="11003" max="11003" width="11.42578125" style="1652" bestFit="1" customWidth="1"/>
    <col min="11004" max="11004" width="14.85546875" style="1652" bestFit="1" customWidth="1"/>
    <col min="11005" max="11005" width="13.42578125" style="1652" customWidth="1"/>
    <col min="11006" max="11006" width="15.28515625" style="1652" bestFit="1" customWidth="1"/>
    <col min="11007" max="11007" width="14.140625" style="1652" bestFit="1" customWidth="1"/>
    <col min="11008" max="11008" width="15.28515625" style="1652" customWidth="1"/>
    <col min="11009" max="11009" width="15.85546875" style="1652" customWidth="1"/>
    <col min="11010" max="11010" width="17" style="1652" bestFit="1" customWidth="1"/>
    <col min="11011" max="11011" width="12.7109375" style="1652" customWidth="1"/>
    <col min="11012" max="11012" width="13.7109375" style="1652" customWidth="1"/>
    <col min="11013" max="11013" width="13.85546875" style="1652" bestFit="1" customWidth="1"/>
    <col min="11014" max="11014" width="15.5703125" style="1652" bestFit="1" customWidth="1"/>
    <col min="11015" max="11015" width="16.140625" style="1652" customWidth="1"/>
    <col min="11016" max="11016" width="16.7109375" style="1652" bestFit="1" customWidth="1"/>
    <col min="11017" max="11017" width="15.5703125" style="1652" bestFit="1" customWidth="1"/>
    <col min="11018" max="11018" width="20.5703125" style="1652" bestFit="1" customWidth="1"/>
    <col min="11019" max="11019" width="16.42578125" style="1652" bestFit="1" customWidth="1"/>
    <col min="11020" max="11020" width="14.28515625" style="1652" customWidth="1"/>
    <col min="11021" max="11021" width="12.85546875" style="1652" bestFit="1" customWidth="1"/>
    <col min="11022" max="11022" width="11.28515625" style="1652" bestFit="1" customWidth="1"/>
    <col min="11023" max="11023" width="12.5703125" style="1652" bestFit="1" customWidth="1"/>
    <col min="11024" max="11024" width="14" style="1652" bestFit="1" customWidth="1"/>
    <col min="11025" max="11025" width="6" style="1652" bestFit="1" customWidth="1"/>
    <col min="11026" max="11026" width="15" style="1652" customWidth="1"/>
    <col min="11027" max="11027" width="14.85546875" style="1652" bestFit="1" customWidth="1"/>
    <col min="11028" max="11028" width="16.140625" style="1652" bestFit="1" customWidth="1"/>
    <col min="11029" max="11255" width="9.140625" style="1652"/>
    <col min="11256" max="11256" width="24" style="1652" bestFit="1" customWidth="1"/>
    <col min="11257" max="11257" width="43.85546875" style="1652" customWidth="1"/>
    <col min="11258" max="11258" width="19.7109375" style="1652" bestFit="1" customWidth="1"/>
    <col min="11259" max="11259" width="11.42578125" style="1652" bestFit="1" customWidth="1"/>
    <col min="11260" max="11260" width="14.85546875" style="1652" bestFit="1" customWidth="1"/>
    <col min="11261" max="11261" width="13.42578125" style="1652" customWidth="1"/>
    <col min="11262" max="11262" width="15.28515625" style="1652" bestFit="1" customWidth="1"/>
    <col min="11263" max="11263" width="14.140625" style="1652" bestFit="1" customWidth="1"/>
    <col min="11264" max="11264" width="15.28515625" style="1652" customWidth="1"/>
    <col min="11265" max="11265" width="15.85546875" style="1652" customWidth="1"/>
    <col min="11266" max="11266" width="17" style="1652" bestFit="1" customWidth="1"/>
    <col min="11267" max="11267" width="12.7109375" style="1652" customWidth="1"/>
    <col min="11268" max="11268" width="13.7109375" style="1652" customWidth="1"/>
    <col min="11269" max="11269" width="13.85546875" style="1652" bestFit="1" customWidth="1"/>
    <col min="11270" max="11270" width="15.5703125" style="1652" bestFit="1" customWidth="1"/>
    <col min="11271" max="11271" width="16.140625" style="1652" customWidth="1"/>
    <col min="11272" max="11272" width="16.7109375" style="1652" bestFit="1" customWidth="1"/>
    <col min="11273" max="11273" width="15.5703125" style="1652" bestFit="1" customWidth="1"/>
    <col min="11274" max="11274" width="20.5703125" style="1652" bestFit="1" customWidth="1"/>
    <col min="11275" max="11275" width="16.42578125" style="1652" bestFit="1" customWidth="1"/>
    <col min="11276" max="11276" width="14.28515625" style="1652" customWidth="1"/>
    <col min="11277" max="11277" width="12.85546875" style="1652" bestFit="1" customWidth="1"/>
    <col min="11278" max="11278" width="11.28515625" style="1652" bestFit="1" customWidth="1"/>
    <col min="11279" max="11279" width="12.5703125" style="1652" bestFit="1" customWidth="1"/>
    <col min="11280" max="11280" width="14" style="1652" bestFit="1" customWidth="1"/>
    <col min="11281" max="11281" width="6" style="1652" bestFit="1" customWidth="1"/>
    <col min="11282" max="11282" width="15" style="1652" customWidth="1"/>
    <col min="11283" max="11283" width="14.85546875" style="1652" bestFit="1" customWidth="1"/>
    <col min="11284" max="11284" width="16.140625" style="1652" bestFit="1" customWidth="1"/>
    <col min="11285" max="11511" width="9.140625" style="1652"/>
    <col min="11512" max="11512" width="24" style="1652" bestFit="1" customWidth="1"/>
    <col min="11513" max="11513" width="43.85546875" style="1652" customWidth="1"/>
    <col min="11514" max="11514" width="19.7109375" style="1652" bestFit="1" customWidth="1"/>
    <col min="11515" max="11515" width="11.42578125" style="1652" bestFit="1" customWidth="1"/>
    <col min="11516" max="11516" width="14.85546875" style="1652" bestFit="1" customWidth="1"/>
    <col min="11517" max="11517" width="13.42578125" style="1652" customWidth="1"/>
    <col min="11518" max="11518" width="15.28515625" style="1652" bestFit="1" customWidth="1"/>
    <col min="11519" max="11519" width="14.140625" style="1652" bestFit="1" customWidth="1"/>
    <col min="11520" max="11520" width="15.28515625" style="1652" customWidth="1"/>
    <col min="11521" max="11521" width="15.85546875" style="1652" customWidth="1"/>
    <col min="11522" max="11522" width="17" style="1652" bestFit="1" customWidth="1"/>
    <col min="11523" max="11523" width="12.7109375" style="1652" customWidth="1"/>
    <col min="11524" max="11524" width="13.7109375" style="1652" customWidth="1"/>
    <col min="11525" max="11525" width="13.85546875" style="1652" bestFit="1" customWidth="1"/>
    <col min="11526" max="11526" width="15.5703125" style="1652" bestFit="1" customWidth="1"/>
    <col min="11527" max="11527" width="16.140625" style="1652" customWidth="1"/>
    <col min="11528" max="11528" width="16.7109375" style="1652" bestFit="1" customWidth="1"/>
    <col min="11529" max="11529" width="15.5703125" style="1652" bestFit="1" customWidth="1"/>
    <col min="11530" max="11530" width="20.5703125" style="1652" bestFit="1" customWidth="1"/>
    <col min="11531" max="11531" width="16.42578125" style="1652" bestFit="1" customWidth="1"/>
    <col min="11532" max="11532" width="14.28515625" style="1652" customWidth="1"/>
    <col min="11533" max="11533" width="12.85546875" style="1652" bestFit="1" customWidth="1"/>
    <col min="11534" max="11534" width="11.28515625" style="1652" bestFit="1" customWidth="1"/>
    <col min="11535" max="11535" width="12.5703125" style="1652" bestFit="1" customWidth="1"/>
    <col min="11536" max="11536" width="14" style="1652" bestFit="1" customWidth="1"/>
    <col min="11537" max="11537" width="6" style="1652" bestFit="1" customWidth="1"/>
    <col min="11538" max="11538" width="15" style="1652" customWidth="1"/>
    <col min="11539" max="11539" width="14.85546875" style="1652" bestFit="1" customWidth="1"/>
    <col min="11540" max="11540" width="16.140625" style="1652" bestFit="1" customWidth="1"/>
    <col min="11541" max="11767" width="9.140625" style="1652"/>
    <col min="11768" max="11768" width="24" style="1652" bestFit="1" customWidth="1"/>
    <col min="11769" max="11769" width="43.85546875" style="1652" customWidth="1"/>
    <col min="11770" max="11770" width="19.7109375" style="1652" bestFit="1" customWidth="1"/>
    <col min="11771" max="11771" width="11.42578125" style="1652" bestFit="1" customWidth="1"/>
    <col min="11772" max="11772" width="14.85546875" style="1652" bestFit="1" customWidth="1"/>
    <col min="11773" max="11773" width="13.42578125" style="1652" customWidth="1"/>
    <col min="11774" max="11774" width="15.28515625" style="1652" bestFit="1" customWidth="1"/>
    <col min="11775" max="11775" width="14.140625" style="1652" bestFit="1" customWidth="1"/>
    <col min="11776" max="11776" width="15.28515625" style="1652" customWidth="1"/>
    <col min="11777" max="11777" width="15.85546875" style="1652" customWidth="1"/>
    <col min="11778" max="11778" width="17" style="1652" bestFit="1" customWidth="1"/>
    <col min="11779" max="11779" width="12.7109375" style="1652" customWidth="1"/>
    <col min="11780" max="11780" width="13.7109375" style="1652" customWidth="1"/>
    <col min="11781" max="11781" width="13.85546875" style="1652" bestFit="1" customWidth="1"/>
    <col min="11782" max="11782" width="15.5703125" style="1652" bestFit="1" customWidth="1"/>
    <col min="11783" max="11783" width="16.140625" style="1652" customWidth="1"/>
    <col min="11784" max="11784" width="16.7109375" style="1652" bestFit="1" customWidth="1"/>
    <col min="11785" max="11785" width="15.5703125" style="1652" bestFit="1" customWidth="1"/>
    <col min="11786" max="11786" width="20.5703125" style="1652" bestFit="1" customWidth="1"/>
    <col min="11787" max="11787" width="16.42578125" style="1652" bestFit="1" customWidth="1"/>
    <col min="11788" max="11788" width="14.28515625" style="1652" customWidth="1"/>
    <col min="11789" max="11789" width="12.85546875" style="1652" bestFit="1" customWidth="1"/>
    <col min="11790" max="11790" width="11.28515625" style="1652" bestFit="1" customWidth="1"/>
    <col min="11791" max="11791" width="12.5703125" style="1652" bestFit="1" customWidth="1"/>
    <col min="11792" max="11792" width="14" style="1652" bestFit="1" customWidth="1"/>
    <col min="11793" max="11793" width="6" style="1652" bestFit="1" customWidth="1"/>
    <col min="11794" max="11794" width="15" style="1652" customWidth="1"/>
    <col min="11795" max="11795" width="14.85546875" style="1652" bestFit="1" customWidth="1"/>
    <col min="11796" max="11796" width="16.140625" style="1652" bestFit="1" customWidth="1"/>
    <col min="11797" max="12023" width="9.140625" style="1652"/>
    <col min="12024" max="12024" width="24" style="1652" bestFit="1" customWidth="1"/>
    <col min="12025" max="12025" width="43.85546875" style="1652" customWidth="1"/>
    <col min="12026" max="12026" width="19.7109375" style="1652" bestFit="1" customWidth="1"/>
    <col min="12027" max="12027" width="11.42578125" style="1652" bestFit="1" customWidth="1"/>
    <col min="12028" max="12028" width="14.85546875" style="1652" bestFit="1" customWidth="1"/>
    <col min="12029" max="12029" width="13.42578125" style="1652" customWidth="1"/>
    <col min="12030" max="12030" width="15.28515625" style="1652" bestFit="1" customWidth="1"/>
    <col min="12031" max="12031" width="14.140625" style="1652" bestFit="1" customWidth="1"/>
    <col min="12032" max="12032" width="15.28515625" style="1652" customWidth="1"/>
    <col min="12033" max="12033" width="15.85546875" style="1652" customWidth="1"/>
    <col min="12034" max="12034" width="17" style="1652" bestFit="1" customWidth="1"/>
    <col min="12035" max="12035" width="12.7109375" style="1652" customWidth="1"/>
    <col min="12036" max="12036" width="13.7109375" style="1652" customWidth="1"/>
    <col min="12037" max="12037" width="13.85546875" style="1652" bestFit="1" customWidth="1"/>
    <col min="12038" max="12038" width="15.5703125" style="1652" bestFit="1" customWidth="1"/>
    <col min="12039" max="12039" width="16.140625" style="1652" customWidth="1"/>
    <col min="12040" max="12040" width="16.7109375" style="1652" bestFit="1" customWidth="1"/>
    <col min="12041" max="12041" width="15.5703125" style="1652" bestFit="1" customWidth="1"/>
    <col min="12042" max="12042" width="20.5703125" style="1652" bestFit="1" customWidth="1"/>
    <col min="12043" max="12043" width="16.42578125" style="1652" bestFit="1" customWidth="1"/>
    <col min="12044" max="12044" width="14.28515625" style="1652" customWidth="1"/>
    <col min="12045" max="12045" width="12.85546875" style="1652" bestFit="1" customWidth="1"/>
    <col min="12046" max="12046" width="11.28515625" style="1652" bestFit="1" customWidth="1"/>
    <col min="12047" max="12047" width="12.5703125" style="1652" bestFit="1" customWidth="1"/>
    <col min="12048" max="12048" width="14" style="1652" bestFit="1" customWidth="1"/>
    <col min="12049" max="12049" width="6" style="1652" bestFit="1" customWidth="1"/>
    <col min="12050" max="12050" width="15" style="1652" customWidth="1"/>
    <col min="12051" max="12051" width="14.85546875" style="1652" bestFit="1" customWidth="1"/>
    <col min="12052" max="12052" width="16.140625" style="1652" bestFit="1" customWidth="1"/>
    <col min="12053" max="12279" width="9.140625" style="1652"/>
    <col min="12280" max="12280" width="24" style="1652" bestFit="1" customWidth="1"/>
    <col min="12281" max="12281" width="43.85546875" style="1652" customWidth="1"/>
    <col min="12282" max="12282" width="19.7109375" style="1652" bestFit="1" customWidth="1"/>
    <col min="12283" max="12283" width="11.42578125" style="1652" bestFit="1" customWidth="1"/>
    <col min="12284" max="12284" width="14.85546875" style="1652" bestFit="1" customWidth="1"/>
    <col min="12285" max="12285" width="13.42578125" style="1652" customWidth="1"/>
    <col min="12286" max="12286" width="15.28515625" style="1652" bestFit="1" customWidth="1"/>
    <col min="12287" max="12287" width="14.140625" style="1652" bestFit="1" customWidth="1"/>
    <col min="12288" max="12288" width="15.28515625" style="1652" customWidth="1"/>
    <col min="12289" max="12289" width="15.85546875" style="1652" customWidth="1"/>
    <col min="12290" max="12290" width="17" style="1652" bestFit="1" customWidth="1"/>
    <col min="12291" max="12291" width="12.7109375" style="1652" customWidth="1"/>
    <col min="12292" max="12292" width="13.7109375" style="1652" customWidth="1"/>
    <col min="12293" max="12293" width="13.85546875" style="1652" bestFit="1" customWidth="1"/>
    <col min="12294" max="12294" width="15.5703125" style="1652" bestFit="1" customWidth="1"/>
    <col min="12295" max="12295" width="16.140625" style="1652" customWidth="1"/>
    <col min="12296" max="12296" width="16.7109375" style="1652" bestFit="1" customWidth="1"/>
    <col min="12297" max="12297" width="15.5703125" style="1652" bestFit="1" customWidth="1"/>
    <col min="12298" max="12298" width="20.5703125" style="1652" bestFit="1" customWidth="1"/>
    <col min="12299" max="12299" width="16.42578125" style="1652" bestFit="1" customWidth="1"/>
    <col min="12300" max="12300" width="14.28515625" style="1652" customWidth="1"/>
    <col min="12301" max="12301" width="12.85546875" style="1652" bestFit="1" customWidth="1"/>
    <col min="12302" max="12302" width="11.28515625" style="1652" bestFit="1" customWidth="1"/>
    <col min="12303" max="12303" width="12.5703125" style="1652" bestFit="1" customWidth="1"/>
    <col min="12304" max="12304" width="14" style="1652" bestFit="1" customWidth="1"/>
    <col min="12305" max="12305" width="6" style="1652" bestFit="1" customWidth="1"/>
    <col min="12306" max="12306" width="15" style="1652" customWidth="1"/>
    <col min="12307" max="12307" width="14.85546875" style="1652" bestFit="1" customWidth="1"/>
    <col min="12308" max="12308" width="16.140625" style="1652" bestFit="1" customWidth="1"/>
    <col min="12309" max="12535" width="9.140625" style="1652"/>
    <col min="12536" max="12536" width="24" style="1652" bestFit="1" customWidth="1"/>
    <col min="12537" max="12537" width="43.85546875" style="1652" customWidth="1"/>
    <col min="12538" max="12538" width="19.7109375" style="1652" bestFit="1" customWidth="1"/>
    <col min="12539" max="12539" width="11.42578125" style="1652" bestFit="1" customWidth="1"/>
    <col min="12540" max="12540" width="14.85546875" style="1652" bestFit="1" customWidth="1"/>
    <col min="12541" max="12541" width="13.42578125" style="1652" customWidth="1"/>
    <col min="12542" max="12542" width="15.28515625" style="1652" bestFit="1" customWidth="1"/>
    <col min="12543" max="12543" width="14.140625" style="1652" bestFit="1" customWidth="1"/>
    <col min="12544" max="12544" width="15.28515625" style="1652" customWidth="1"/>
    <col min="12545" max="12545" width="15.85546875" style="1652" customWidth="1"/>
    <col min="12546" max="12546" width="17" style="1652" bestFit="1" customWidth="1"/>
    <col min="12547" max="12547" width="12.7109375" style="1652" customWidth="1"/>
    <col min="12548" max="12548" width="13.7109375" style="1652" customWidth="1"/>
    <col min="12549" max="12549" width="13.85546875" style="1652" bestFit="1" customWidth="1"/>
    <col min="12550" max="12550" width="15.5703125" style="1652" bestFit="1" customWidth="1"/>
    <col min="12551" max="12551" width="16.140625" style="1652" customWidth="1"/>
    <col min="12552" max="12552" width="16.7109375" style="1652" bestFit="1" customWidth="1"/>
    <col min="12553" max="12553" width="15.5703125" style="1652" bestFit="1" customWidth="1"/>
    <col min="12554" max="12554" width="20.5703125" style="1652" bestFit="1" customWidth="1"/>
    <col min="12555" max="12555" width="16.42578125" style="1652" bestFit="1" customWidth="1"/>
    <col min="12556" max="12556" width="14.28515625" style="1652" customWidth="1"/>
    <col min="12557" max="12557" width="12.85546875" style="1652" bestFit="1" customWidth="1"/>
    <col min="12558" max="12558" width="11.28515625" style="1652" bestFit="1" customWidth="1"/>
    <col min="12559" max="12559" width="12.5703125" style="1652" bestFit="1" customWidth="1"/>
    <col min="12560" max="12560" width="14" style="1652" bestFit="1" customWidth="1"/>
    <col min="12561" max="12561" width="6" style="1652" bestFit="1" customWidth="1"/>
    <col min="12562" max="12562" width="15" style="1652" customWidth="1"/>
    <col min="12563" max="12563" width="14.85546875" style="1652" bestFit="1" customWidth="1"/>
    <col min="12564" max="12564" width="16.140625" style="1652" bestFit="1" customWidth="1"/>
    <col min="12565" max="12791" width="9.140625" style="1652"/>
    <col min="12792" max="12792" width="24" style="1652" bestFit="1" customWidth="1"/>
    <col min="12793" max="12793" width="43.85546875" style="1652" customWidth="1"/>
    <col min="12794" max="12794" width="19.7109375" style="1652" bestFit="1" customWidth="1"/>
    <col min="12795" max="12795" width="11.42578125" style="1652" bestFit="1" customWidth="1"/>
    <col min="12796" max="12796" width="14.85546875" style="1652" bestFit="1" customWidth="1"/>
    <col min="12797" max="12797" width="13.42578125" style="1652" customWidth="1"/>
    <col min="12798" max="12798" width="15.28515625" style="1652" bestFit="1" customWidth="1"/>
    <col min="12799" max="12799" width="14.140625" style="1652" bestFit="1" customWidth="1"/>
    <col min="12800" max="12800" width="15.28515625" style="1652" customWidth="1"/>
    <col min="12801" max="12801" width="15.85546875" style="1652" customWidth="1"/>
    <col min="12802" max="12802" width="17" style="1652" bestFit="1" customWidth="1"/>
    <col min="12803" max="12803" width="12.7109375" style="1652" customWidth="1"/>
    <col min="12804" max="12804" width="13.7109375" style="1652" customWidth="1"/>
    <col min="12805" max="12805" width="13.85546875" style="1652" bestFit="1" customWidth="1"/>
    <col min="12806" max="12806" width="15.5703125" style="1652" bestFit="1" customWidth="1"/>
    <col min="12807" max="12807" width="16.140625" style="1652" customWidth="1"/>
    <col min="12808" max="12808" width="16.7109375" style="1652" bestFit="1" customWidth="1"/>
    <col min="12809" max="12809" width="15.5703125" style="1652" bestFit="1" customWidth="1"/>
    <col min="12810" max="12810" width="20.5703125" style="1652" bestFit="1" customWidth="1"/>
    <col min="12811" max="12811" width="16.42578125" style="1652" bestFit="1" customWidth="1"/>
    <col min="12812" max="12812" width="14.28515625" style="1652" customWidth="1"/>
    <col min="12813" max="12813" width="12.85546875" style="1652" bestFit="1" customWidth="1"/>
    <col min="12814" max="12814" width="11.28515625" style="1652" bestFit="1" customWidth="1"/>
    <col min="12815" max="12815" width="12.5703125" style="1652" bestFit="1" customWidth="1"/>
    <col min="12816" max="12816" width="14" style="1652" bestFit="1" customWidth="1"/>
    <col min="12817" max="12817" width="6" style="1652" bestFit="1" customWidth="1"/>
    <col min="12818" max="12818" width="15" style="1652" customWidth="1"/>
    <col min="12819" max="12819" width="14.85546875" style="1652" bestFit="1" customWidth="1"/>
    <col min="12820" max="12820" width="16.140625" style="1652" bestFit="1" customWidth="1"/>
    <col min="12821" max="13047" width="9.140625" style="1652"/>
    <col min="13048" max="13048" width="24" style="1652" bestFit="1" customWidth="1"/>
    <col min="13049" max="13049" width="43.85546875" style="1652" customWidth="1"/>
    <col min="13050" max="13050" width="19.7109375" style="1652" bestFit="1" customWidth="1"/>
    <col min="13051" max="13051" width="11.42578125" style="1652" bestFit="1" customWidth="1"/>
    <col min="13052" max="13052" width="14.85546875" style="1652" bestFit="1" customWidth="1"/>
    <col min="13053" max="13053" width="13.42578125" style="1652" customWidth="1"/>
    <col min="13054" max="13054" width="15.28515625" style="1652" bestFit="1" customWidth="1"/>
    <col min="13055" max="13055" width="14.140625" style="1652" bestFit="1" customWidth="1"/>
    <col min="13056" max="13056" width="15.28515625" style="1652" customWidth="1"/>
    <col min="13057" max="13057" width="15.85546875" style="1652" customWidth="1"/>
    <col min="13058" max="13058" width="17" style="1652" bestFit="1" customWidth="1"/>
    <col min="13059" max="13059" width="12.7109375" style="1652" customWidth="1"/>
    <col min="13060" max="13060" width="13.7109375" style="1652" customWidth="1"/>
    <col min="13061" max="13061" width="13.85546875" style="1652" bestFit="1" customWidth="1"/>
    <col min="13062" max="13062" width="15.5703125" style="1652" bestFit="1" customWidth="1"/>
    <col min="13063" max="13063" width="16.140625" style="1652" customWidth="1"/>
    <col min="13064" max="13064" width="16.7109375" style="1652" bestFit="1" customWidth="1"/>
    <col min="13065" max="13065" width="15.5703125" style="1652" bestFit="1" customWidth="1"/>
    <col min="13066" max="13066" width="20.5703125" style="1652" bestFit="1" customWidth="1"/>
    <col min="13067" max="13067" width="16.42578125" style="1652" bestFit="1" customWidth="1"/>
    <col min="13068" max="13068" width="14.28515625" style="1652" customWidth="1"/>
    <col min="13069" max="13069" width="12.85546875" style="1652" bestFit="1" customWidth="1"/>
    <col min="13070" max="13070" width="11.28515625" style="1652" bestFit="1" customWidth="1"/>
    <col min="13071" max="13071" width="12.5703125" style="1652" bestFit="1" customWidth="1"/>
    <col min="13072" max="13072" width="14" style="1652" bestFit="1" customWidth="1"/>
    <col min="13073" max="13073" width="6" style="1652" bestFit="1" customWidth="1"/>
    <col min="13074" max="13074" width="15" style="1652" customWidth="1"/>
    <col min="13075" max="13075" width="14.85546875" style="1652" bestFit="1" customWidth="1"/>
    <col min="13076" max="13076" width="16.140625" style="1652" bestFit="1" customWidth="1"/>
    <col min="13077" max="13303" width="9.140625" style="1652"/>
    <col min="13304" max="13304" width="24" style="1652" bestFit="1" customWidth="1"/>
    <col min="13305" max="13305" width="43.85546875" style="1652" customWidth="1"/>
    <col min="13306" max="13306" width="19.7109375" style="1652" bestFit="1" customWidth="1"/>
    <col min="13307" max="13307" width="11.42578125" style="1652" bestFit="1" customWidth="1"/>
    <col min="13308" max="13308" width="14.85546875" style="1652" bestFit="1" customWidth="1"/>
    <col min="13309" max="13309" width="13.42578125" style="1652" customWidth="1"/>
    <col min="13310" max="13310" width="15.28515625" style="1652" bestFit="1" customWidth="1"/>
    <col min="13311" max="13311" width="14.140625" style="1652" bestFit="1" customWidth="1"/>
    <col min="13312" max="13312" width="15.28515625" style="1652" customWidth="1"/>
    <col min="13313" max="13313" width="15.85546875" style="1652" customWidth="1"/>
    <col min="13314" max="13314" width="17" style="1652" bestFit="1" customWidth="1"/>
    <col min="13315" max="13315" width="12.7109375" style="1652" customWidth="1"/>
    <col min="13316" max="13316" width="13.7109375" style="1652" customWidth="1"/>
    <col min="13317" max="13317" width="13.85546875" style="1652" bestFit="1" customWidth="1"/>
    <col min="13318" max="13318" width="15.5703125" style="1652" bestFit="1" customWidth="1"/>
    <col min="13319" max="13319" width="16.140625" style="1652" customWidth="1"/>
    <col min="13320" max="13320" width="16.7109375" style="1652" bestFit="1" customWidth="1"/>
    <col min="13321" max="13321" width="15.5703125" style="1652" bestFit="1" customWidth="1"/>
    <col min="13322" max="13322" width="20.5703125" style="1652" bestFit="1" customWidth="1"/>
    <col min="13323" max="13323" width="16.42578125" style="1652" bestFit="1" customWidth="1"/>
    <col min="13324" max="13324" width="14.28515625" style="1652" customWidth="1"/>
    <col min="13325" max="13325" width="12.85546875" style="1652" bestFit="1" customWidth="1"/>
    <col min="13326" max="13326" width="11.28515625" style="1652" bestFit="1" customWidth="1"/>
    <col min="13327" max="13327" width="12.5703125" style="1652" bestFit="1" customWidth="1"/>
    <col min="13328" max="13328" width="14" style="1652" bestFit="1" customWidth="1"/>
    <col min="13329" max="13329" width="6" style="1652" bestFit="1" customWidth="1"/>
    <col min="13330" max="13330" width="15" style="1652" customWidth="1"/>
    <col min="13331" max="13331" width="14.85546875" style="1652" bestFit="1" customWidth="1"/>
    <col min="13332" max="13332" width="16.140625" style="1652" bestFit="1" customWidth="1"/>
    <col min="13333" max="13559" width="9.140625" style="1652"/>
    <col min="13560" max="13560" width="24" style="1652" bestFit="1" customWidth="1"/>
    <col min="13561" max="13561" width="43.85546875" style="1652" customWidth="1"/>
    <col min="13562" max="13562" width="19.7109375" style="1652" bestFit="1" customWidth="1"/>
    <col min="13563" max="13563" width="11.42578125" style="1652" bestFit="1" customWidth="1"/>
    <col min="13564" max="13564" width="14.85546875" style="1652" bestFit="1" customWidth="1"/>
    <col min="13565" max="13565" width="13.42578125" style="1652" customWidth="1"/>
    <col min="13566" max="13566" width="15.28515625" style="1652" bestFit="1" customWidth="1"/>
    <col min="13567" max="13567" width="14.140625" style="1652" bestFit="1" customWidth="1"/>
    <col min="13568" max="13568" width="15.28515625" style="1652" customWidth="1"/>
    <col min="13569" max="13569" width="15.85546875" style="1652" customWidth="1"/>
    <col min="13570" max="13570" width="17" style="1652" bestFit="1" customWidth="1"/>
    <col min="13571" max="13571" width="12.7109375" style="1652" customWidth="1"/>
    <col min="13572" max="13572" width="13.7109375" style="1652" customWidth="1"/>
    <col min="13573" max="13573" width="13.85546875" style="1652" bestFit="1" customWidth="1"/>
    <col min="13574" max="13574" width="15.5703125" style="1652" bestFit="1" customWidth="1"/>
    <col min="13575" max="13575" width="16.140625" style="1652" customWidth="1"/>
    <col min="13576" max="13576" width="16.7109375" style="1652" bestFit="1" customWidth="1"/>
    <col min="13577" max="13577" width="15.5703125" style="1652" bestFit="1" customWidth="1"/>
    <col min="13578" max="13578" width="20.5703125" style="1652" bestFit="1" customWidth="1"/>
    <col min="13579" max="13579" width="16.42578125" style="1652" bestFit="1" customWidth="1"/>
    <col min="13580" max="13580" width="14.28515625" style="1652" customWidth="1"/>
    <col min="13581" max="13581" width="12.85546875" style="1652" bestFit="1" customWidth="1"/>
    <col min="13582" max="13582" width="11.28515625" style="1652" bestFit="1" customWidth="1"/>
    <col min="13583" max="13583" width="12.5703125" style="1652" bestFit="1" customWidth="1"/>
    <col min="13584" max="13584" width="14" style="1652" bestFit="1" customWidth="1"/>
    <col min="13585" max="13585" width="6" style="1652" bestFit="1" customWidth="1"/>
    <col min="13586" max="13586" width="15" style="1652" customWidth="1"/>
    <col min="13587" max="13587" width="14.85546875" style="1652" bestFit="1" customWidth="1"/>
    <col min="13588" max="13588" width="16.140625" style="1652" bestFit="1" customWidth="1"/>
    <col min="13589" max="13815" width="9.140625" style="1652"/>
    <col min="13816" max="13816" width="24" style="1652" bestFit="1" customWidth="1"/>
    <col min="13817" max="13817" width="43.85546875" style="1652" customWidth="1"/>
    <col min="13818" max="13818" width="19.7109375" style="1652" bestFit="1" customWidth="1"/>
    <col min="13819" max="13819" width="11.42578125" style="1652" bestFit="1" customWidth="1"/>
    <col min="13820" max="13820" width="14.85546875" style="1652" bestFit="1" customWidth="1"/>
    <col min="13821" max="13821" width="13.42578125" style="1652" customWidth="1"/>
    <col min="13822" max="13822" width="15.28515625" style="1652" bestFit="1" customWidth="1"/>
    <col min="13823" max="13823" width="14.140625" style="1652" bestFit="1" customWidth="1"/>
    <col min="13824" max="13824" width="15.28515625" style="1652" customWidth="1"/>
    <col min="13825" max="13825" width="15.85546875" style="1652" customWidth="1"/>
    <col min="13826" max="13826" width="17" style="1652" bestFit="1" customWidth="1"/>
    <col min="13827" max="13827" width="12.7109375" style="1652" customWidth="1"/>
    <col min="13828" max="13828" width="13.7109375" style="1652" customWidth="1"/>
    <col min="13829" max="13829" width="13.85546875" style="1652" bestFit="1" customWidth="1"/>
    <col min="13830" max="13830" width="15.5703125" style="1652" bestFit="1" customWidth="1"/>
    <col min="13831" max="13831" width="16.140625" style="1652" customWidth="1"/>
    <col min="13832" max="13832" width="16.7109375" style="1652" bestFit="1" customWidth="1"/>
    <col min="13833" max="13833" width="15.5703125" style="1652" bestFit="1" customWidth="1"/>
    <col min="13834" max="13834" width="20.5703125" style="1652" bestFit="1" customWidth="1"/>
    <col min="13835" max="13835" width="16.42578125" style="1652" bestFit="1" customWidth="1"/>
    <col min="13836" max="13836" width="14.28515625" style="1652" customWidth="1"/>
    <col min="13837" max="13837" width="12.85546875" style="1652" bestFit="1" customWidth="1"/>
    <col min="13838" max="13838" width="11.28515625" style="1652" bestFit="1" customWidth="1"/>
    <col min="13839" max="13839" width="12.5703125" style="1652" bestFit="1" customWidth="1"/>
    <col min="13840" max="13840" width="14" style="1652" bestFit="1" customWidth="1"/>
    <col min="13841" max="13841" width="6" style="1652" bestFit="1" customWidth="1"/>
    <col min="13842" max="13842" width="15" style="1652" customWidth="1"/>
    <col min="13843" max="13843" width="14.85546875" style="1652" bestFit="1" customWidth="1"/>
    <col min="13844" max="13844" width="16.140625" style="1652" bestFit="1" customWidth="1"/>
    <col min="13845" max="14071" width="9.140625" style="1652"/>
    <col min="14072" max="14072" width="24" style="1652" bestFit="1" customWidth="1"/>
    <col min="14073" max="14073" width="43.85546875" style="1652" customWidth="1"/>
    <col min="14074" max="14074" width="19.7109375" style="1652" bestFit="1" customWidth="1"/>
    <col min="14075" max="14075" width="11.42578125" style="1652" bestFit="1" customWidth="1"/>
    <col min="14076" max="14076" width="14.85546875" style="1652" bestFit="1" customWidth="1"/>
    <col min="14077" max="14077" width="13.42578125" style="1652" customWidth="1"/>
    <col min="14078" max="14078" width="15.28515625" style="1652" bestFit="1" customWidth="1"/>
    <col min="14079" max="14079" width="14.140625" style="1652" bestFit="1" customWidth="1"/>
    <col min="14080" max="14080" width="15.28515625" style="1652" customWidth="1"/>
    <col min="14081" max="14081" width="15.85546875" style="1652" customWidth="1"/>
    <col min="14082" max="14082" width="17" style="1652" bestFit="1" customWidth="1"/>
    <col min="14083" max="14083" width="12.7109375" style="1652" customWidth="1"/>
    <col min="14084" max="14084" width="13.7109375" style="1652" customWidth="1"/>
    <col min="14085" max="14085" width="13.85546875" style="1652" bestFit="1" customWidth="1"/>
    <col min="14086" max="14086" width="15.5703125" style="1652" bestFit="1" customWidth="1"/>
    <col min="14087" max="14087" width="16.140625" style="1652" customWidth="1"/>
    <col min="14088" max="14088" width="16.7109375" style="1652" bestFit="1" customWidth="1"/>
    <col min="14089" max="14089" width="15.5703125" style="1652" bestFit="1" customWidth="1"/>
    <col min="14090" max="14090" width="20.5703125" style="1652" bestFit="1" customWidth="1"/>
    <col min="14091" max="14091" width="16.42578125" style="1652" bestFit="1" customWidth="1"/>
    <col min="14092" max="14092" width="14.28515625" style="1652" customWidth="1"/>
    <col min="14093" max="14093" width="12.85546875" style="1652" bestFit="1" customWidth="1"/>
    <col min="14094" max="14094" width="11.28515625" style="1652" bestFit="1" customWidth="1"/>
    <col min="14095" max="14095" width="12.5703125" style="1652" bestFit="1" customWidth="1"/>
    <col min="14096" max="14096" width="14" style="1652" bestFit="1" customWidth="1"/>
    <col min="14097" max="14097" width="6" style="1652" bestFit="1" customWidth="1"/>
    <col min="14098" max="14098" width="15" style="1652" customWidth="1"/>
    <col min="14099" max="14099" width="14.85546875" style="1652" bestFit="1" customWidth="1"/>
    <col min="14100" max="14100" width="16.140625" style="1652" bestFit="1" customWidth="1"/>
    <col min="14101" max="14327" width="9.140625" style="1652"/>
    <col min="14328" max="14328" width="24" style="1652" bestFit="1" customWidth="1"/>
    <col min="14329" max="14329" width="43.85546875" style="1652" customWidth="1"/>
    <col min="14330" max="14330" width="19.7109375" style="1652" bestFit="1" customWidth="1"/>
    <col min="14331" max="14331" width="11.42578125" style="1652" bestFit="1" customWidth="1"/>
    <col min="14332" max="14332" width="14.85546875" style="1652" bestFit="1" customWidth="1"/>
    <col min="14333" max="14333" width="13.42578125" style="1652" customWidth="1"/>
    <col min="14334" max="14334" width="15.28515625" style="1652" bestFit="1" customWidth="1"/>
    <col min="14335" max="14335" width="14.140625" style="1652" bestFit="1" customWidth="1"/>
    <col min="14336" max="14336" width="15.28515625" style="1652" customWidth="1"/>
    <col min="14337" max="14337" width="15.85546875" style="1652" customWidth="1"/>
    <col min="14338" max="14338" width="17" style="1652" bestFit="1" customWidth="1"/>
    <col min="14339" max="14339" width="12.7109375" style="1652" customWidth="1"/>
    <col min="14340" max="14340" width="13.7109375" style="1652" customWidth="1"/>
    <col min="14341" max="14341" width="13.85546875" style="1652" bestFit="1" customWidth="1"/>
    <col min="14342" max="14342" width="15.5703125" style="1652" bestFit="1" customWidth="1"/>
    <col min="14343" max="14343" width="16.140625" style="1652" customWidth="1"/>
    <col min="14344" max="14344" width="16.7109375" style="1652" bestFit="1" customWidth="1"/>
    <col min="14345" max="14345" width="15.5703125" style="1652" bestFit="1" customWidth="1"/>
    <col min="14346" max="14346" width="20.5703125" style="1652" bestFit="1" customWidth="1"/>
    <col min="14347" max="14347" width="16.42578125" style="1652" bestFit="1" customWidth="1"/>
    <col min="14348" max="14348" width="14.28515625" style="1652" customWidth="1"/>
    <col min="14349" max="14349" width="12.85546875" style="1652" bestFit="1" customWidth="1"/>
    <col min="14350" max="14350" width="11.28515625" style="1652" bestFit="1" customWidth="1"/>
    <col min="14351" max="14351" width="12.5703125" style="1652" bestFit="1" customWidth="1"/>
    <col min="14352" max="14352" width="14" style="1652" bestFit="1" customWidth="1"/>
    <col min="14353" max="14353" width="6" style="1652" bestFit="1" customWidth="1"/>
    <col min="14354" max="14354" width="15" style="1652" customWidth="1"/>
    <col min="14355" max="14355" width="14.85546875" style="1652" bestFit="1" customWidth="1"/>
    <col min="14356" max="14356" width="16.140625" style="1652" bestFit="1" customWidth="1"/>
    <col min="14357" max="14583" width="9.140625" style="1652"/>
    <col min="14584" max="14584" width="24" style="1652" bestFit="1" customWidth="1"/>
    <col min="14585" max="14585" width="43.85546875" style="1652" customWidth="1"/>
    <col min="14586" max="14586" width="19.7109375" style="1652" bestFit="1" customWidth="1"/>
    <col min="14587" max="14587" width="11.42578125" style="1652" bestFit="1" customWidth="1"/>
    <col min="14588" max="14588" width="14.85546875" style="1652" bestFit="1" customWidth="1"/>
    <col min="14589" max="14589" width="13.42578125" style="1652" customWidth="1"/>
    <col min="14590" max="14590" width="15.28515625" style="1652" bestFit="1" customWidth="1"/>
    <col min="14591" max="14591" width="14.140625" style="1652" bestFit="1" customWidth="1"/>
    <col min="14592" max="14592" width="15.28515625" style="1652" customWidth="1"/>
    <col min="14593" max="14593" width="15.85546875" style="1652" customWidth="1"/>
    <col min="14594" max="14594" width="17" style="1652" bestFit="1" customWidth="1"/>
    <col min="14595" max="14595" width="12.7109375" style="1652" customWidth="1"/>
    <col min="14596" max="14596" width="13.7109375" style="1652" customWidth="1"/>
    <col min="14597" max="14597" width="13.85546875" style="1652" bestFit="1" customWidth="1"/>
    <col min="14598" max="14598" width="15.5703125" style="1652" bestFit="1" customWidth="1"/>
    <col min="14599" max="14599" width="16.140625" style="1652" customWidth="1"/>
    <col min="14600" max="14600" width="16.7109375" style="1652" bestFit="1" customWidth="1"/>
    <col min="14601" max="14601" width="15.5703125" style="1652" bestFit="1" customWidth="1"/>
    <col min="14602" max="14602" width="20.5703125" style="1652" bestFit="1" customWidth="1"/>
    <col min="14603" max="14603" width="16.42578125" style="1652" bestFit="1" customWidth="1"/>
    <col min="14604" max="14604" width="14.28515625" style="1652" customWidth="1"/>
    <col min="14605" max="14605" width="12.85546875" style="1652" bestFit="1" customWidth="1"/>
    <col min="14606" max="14606" width="11.28515625" style="1652" bestFit="1" customWidth="1"/>
    <col min="14607" max="14607" width="12.5703125" style="1652" bestFit="1" customWidth="1"/>
    <col min="14608" max="14608" width="14" style="1652" bestFit="1" customWidth="1"/>
    <col min="14609" max="14609" width="6" style="1652" bestFit="1" customWidth="1"/>
    <col min="14610" max="14610" width="15" style="1652" customWidth="1"/>
    <col min="14611" max="14611" width="14.85546875" style="1652" bestFit="1" customWidth="1"/>
    <col min="14612" max="14612" width="16.140625" style="1652" bestFit="1" customWidth="1"/>
    <col min="14613" max="14839" width="9.140625" style="1652"/>
    <col min="14840" max="14840" width="24" style="1652" bestFit="1" customWidth="1"/>
    <col min="14841" max="14841" width="43.85546875" style="1652" customWidth="1"/>
    <col min="14842" max="14842" width="19.7109375" style="1652" bestFit="1" customWidth="1"/>
    <col min="14843" max="14843" width="11.42578125" style="1652" bestFit="1" customWidth="1"/>
    <col min="14844" max="14844" width="14.85546875" style="1652" bestFit="1" customWidth="1"/>
    <col min="14845" max="14845" width="13.42578125" style="1652" customWidth="1"/>
    <col min="14846" max="14846" width="15.28515625" style="1652" bestFit="1" customWidth="1"/>
    <col min="14847" max="14847" width="14.140625" style="1652" bestFit="1" customWidth="1"/>
    <col min="14848" max="14848" width="15.28515625" style="1652" customWidth="1"/>
    <col min="14849" max="14849" width="15.85546875" style="1652" customWidth="1"/>
    <col min="14850" max="14850" width="17" style="1652" bestFit="1" customWidth="1"/>
    <col min="14851" max="14851" width="12.7109375" style="1652" customWidth="1"/>
    <col min="14852" max="14852" width="13.7109375" style="1652" customWidth="1"/>
    <col min="14853" max="14853" width="13.85546875" style="1652" bestFit="1" customWidth="1"/>
    <col min="14854" max="14854" width="15.5703125" style="1652" bestFit="1" customWidth="1"/>
    <col min="14855" max="14855" width="16.140625" style="1652" customWidth="1"/>
    <col min="14856" max="14856" width="16.7109375" style="1652" bestFit="1" customWidth="1"/>
    <col min="14857" max="14857" width="15.5703125" style="1652" bestFit="1" customWidth="1"/>
    <col min="14858" max="14858" width="20.5703125" style="1652" bestFit="1" customWidth="1"/>
    <col min="14859" max="14859" width="16.42578125" style="1652" bestFit="1" customWidth="1"/>
    <col min="14860" max="14860" width="14.28515625" style="1652" customWidth="1"/>
    <col min="14861" max="14861" width="12.85546875" style="1652" bestFit="1" customWidth="1"/>
    <col min="14862" max="14862" width="11.28515625" style="1652" bestFit="1" customWidth="1"/>
    <col min="14863" max="14863" width="12.5703125" style="1652" bestFit="1" customWidth="1"/>
    <col min="14864" max="14864" width="14" style="1652" bestFit="1" customWidth="1"/>
    <col min="14865" max="14865" width="6" style="1652" bestFit="1" customWidth="1"/>
    <col min="14866" max="14866" width="15" style="1652" customWidth="1"/>
    <col min="14867" max="14867" width="14.85546875" style="1652" bestFit="1" customWidth="1"/>
    <col min="14868" max="14868" width="16.140625" style="1652" bestFit="1" customWidth="1"/>
    <col min="14869" max="15095" width="9.140625" style="1652"/>
    <col min="15096" max="15096" width="24" style="1652" bestFit="1" customWidth="1"/>
    <col min="15097" max="15097" width="43.85546875" style="1652" customWidth="1"/>
    <col min="15098" max="15098" width="19.7109375" style="1652" bestFit="1" customWidth="1"/>
    <col min="15099" max="15099" width="11.42578125" style="1652" bestFit="1" customWidth="1"/>
    <col min="15100" max="15100" width="14.85546875" style="1652" bestFit="1" customWidth="1"/>
    <col min="15101" max="15101" width="13.42578125" style="1652" customWidth="1"/>
    <col min="15102" max="15102" width="15.28515625" style="1652" bestFit="1" customWidth="1"/>
    <col min="15103" max="15103" width="14.140625" style="1652" bestFit="1" customWidth="1"/>
    <col min="15104" max="15104" width="15.28515625" style="1652" customWidth="1"/>
    <col min="15105" max="15105" width="15.85546875" style="1652" customWidth="1"/>
    <col min="15106" max="15106" width="17" style="1652" bestFit="1" customWidth="1"/>
    <col min="15107" max="15107" width="12.7109375" style="1652" customWidth="1"/>
    <col min="15108" max="15108" width="13.7109375" style="1652" customWidth="1"/>
    <col min="15109" max="15109" width="13.85546875" style="1652" bestFit="1" customWidth="1"/>
    <col min="15110" max="15110" width="15.5703125" style="1652" bestFit="1" customWidth="1"/>
    <col min="15111" max="15111" width="16.140625" style="1652" customWidth="1"/>
    <col min="15112" max="15112" width="16.7109375" style="1652" bestFit="1" customWidth="1"/>
    <col min="15113" max="15113" width="15.5703125" style="1652" bestFit="1" customWidth="1"/>
    <col min="15114" max="15114" width="20.5703125" style="1652" bestFit="1" customWidth="1"/>
    <col min="15115" max="15115" width="16.42578125" style="1652" bestFit="1" customWidth="1"/>
    <col min="15116" max="15116" width="14.28515625" style="1652" customWidth="1"/>
    <col min="15117" max="15117" width="12.85546875" style="1652" bestFit="1" customWidth="1"/>
    <col min="15118" max="15118" width="11.28515625" style="1652" bestFit="1" customWidth="1"/>
    <col min="15119" max="15119" width="12.5703125" style="1652" bestFit="1" customWidth="1"/>
    <col min="15120" max="15120" width="14" style="1652" bestFit="1" customWidth="1"/>
    <col min="15121" max="15121" width="6" style="1652" bestFit="1" customWidth="1"/>
    <col min="15122" max="15122" width="15" style="1652" customWidth="1"/>
    <col min="15123" max="15123" width="14.85546875" style="1652" bestFit="1" customWidth="1"/>
    <col min="15124" max="15124" width="16.140625" style="1652" bestFit="1" customWidth="1"/>
    <col min="15125" max="15351" width="9.140625" style="1652"/>
    <col min="15352" max="15352" width="24" style="1652" bestFit="1" customWidth="1"/>
    <col min="15353" max="15353" width="43.85546875" style="1652" customWidth="1"/>
    <col min="15354" max="15354" width="19.7109375" style="1652" bestFit="1" customWidth="1"/>
    <col min="15355" max="15355" width="11.42578125" style="1652" bestFit="1" customWidth="1"/>
    <col min="15356" max="15356" width="14.85546875" style="1652" bestFit="1" customWidth="1"/>
    <col min="15357" max="15357" width="13.42578125" style="1652" customWidth="1"/>
    <col min="15358" max="15358" width="15.28515625" style="1652" bestFit="1" customWidth="1"/>
    <col min="15359" max="15359" width="14.140625" style="1652" bestFit="1" customWidth="1"/>
    <col min="15360" max="15360" width="15.28515625" style="1652" customWidth="1"/>
    <col min="15361" max="15361" width="15.85546875" style="1652" customWidth="1"/>
    <col min="15362" max="15362" width="17" style="1652" bestFit="1" customWidth="1"/>
    <col min="15363" max="15363" width="12.7109375" style="1652" customWidth="1"/>
    <col min="15364" max="15364" width="13.7109375" style="1652" customWidth="1"/>
    <col min="15365" max="15365" width="13.85546875" style="1652" bestFit="1" customWidth="1"/>
    <col min="15366" max="15366" width="15.5703125" style="1652" bestFit="1" customWidth="1"/>
    <col min="15367" max="15367" width="16.140625" style="1652" customWidth="1"/>
    <col min="15368" max="15368" width="16.7109375" style="1652" bestFit="1" customWidth="1"/>
    <col min="15369" max="15369" width="15.5703125" style="1652" bestFit="1" customWidth="1"/>
    <col min="15370" max="15370" width="20.5703125" style="1652" bestFit="1" customWidth="1"/>
    <col min="15371" max="15371" width="16.42578125" style="1652" bestFit="1" customWidth="1"/>
    <col min="15372" max="15372" width="14.28515625" style="1652" customWidth="1"/>
    <col min="15373" max="15373" width="12.85546875" style="1652" bestFit="1" customWidth="1"/>
    <col min="15374" max="15374" width="11.28515625" style="1652" bestFit="1" customWidth="1"/>
    <col min="15375" max="15375" width="12.5703125" style="1652" bestFit="1" customWidth="1"/>
    <col min="15376" max="15376" width="14" style="1652" bestFit="1" customWidth="1"/>
    <col min="15377" max="15377" width="6" style="1652" bestFit="1" customWidth="1"/>
    <col min="15378" max="15378" width="15" style="1652" customWidth="1"/>
    <col min="15379" max="15379" width="14.85546875" style="1652" bestFit="1" customWidth="1"/>
    <col min="15380" max="15380" width="16.140625" style="1652" bestFit="1" customWidth="1"/>
    <col min="15381" max="15607" width="9.140625" style="1652"/>
    <col min="15608" max="15608" width="24" style="1652" bestFit="1" customWidth="1"/>
    <col min="15609" max="15609" width="43.85546875" style="1652" customWidth="1"/>
    <col min="15610" max="15610" width="19.7109375" style="1652" bestFit="1" customWidth="1"/>
    <col min="15611" max="15611" width="11.42578125" style="1652" bestFit="1" customWidth="1"/>
    <col min="15612" max="15612" width="14.85546875" style="1652" bestFit="1" customWidth="1"/>
    <col min="15613" max="15613" width="13.42578125" style="1652" customWidth="1"/>
    <col min="15614" max="15614" width="15.28515625" style="1652" bestFit="1" customWidth="1"/>
    <col min="15615" max="15615" width="14.140625" style="1652" bestFit="1" customWidth="1"/>
    <col min="15616" max="15616" width="15.28515625" style="1652" customWidth="1"/>
    <col min="15617" max="15617" width="15.85546875" style="1652" customWidth="1"/>
    <col min="15618" max="15618" width="17" style="1652" bestFit="1" customWidth="1"/>
    <col min="15619" max="15619" width="12.7109375" style="1652" customWidth="1"/>
    <col min="15620" max="15620" width="13.7109375" style="1652" customWidth="1"/>
    <col min="15621" max="15621" width="13.85546875" style="1652" bestFit="1" customWidth="1"/>
    <col min="15622" max="15622" width="15.5703125" style="1652" bestFit="1" customWidth="1"/>
    <col min="15623" max="15623" width="16.140625" style="1652" customWidth="1"/>
    <col min="15624" max="15624" width="16.7109375" style="1652" bestFit="1" customWidth="1"/>
    <col min="15625" max="15625" width="15.5703125" style="1652" bestFit="1" customWidth="1"/>
    <col min="15626" max="15626" width="20.5703125" style="1652" bestFit="1" customWidth="1"/>
    <col min="15627" max="15627" width="16.42578125" style="1652" bestFit="1" customWidth="1"/>
    <col min="15628" max="15628" width="14.28515625" style="1652" customWidth="1"/>
    <col min="15629" max="15629" width="12.85546875" style="1652" bestFit="1" customWidth="1"/>
    <col min="15630" max="15630" width="11.28515625" style="1652" bestFit="1" customWidth="1"/>
    <col min="15631" max="15631" width="12.5703125" style="1652" bestFit="1" customWidth="1"/>
    <col min="15632" max="15632" width="14" style="1652" bestFit="1" customWidth="1"/>
    <col min="15633" max="15633" width="6" style="1652" bestFit="1" customWidth="1"/>
    <col min="15634" max="15634" width="15" style="1652" customWidth="1"/>
    <col min="15635" max="15635" width="14.85546875" style="1652" bestFit="1" customWidth="1"/>
    <col min="15636" max="15636" width="16.140625" style="1652" bestFit="1" customWidth="1"/>
    <col min="15637" max="15863" width="9.140625" style="1652"/>
    <col min="15864" max="15864" width="24" style="1652" bestFit="1" customWidth="1"/>
    <col min="15865" max="15865" width="43.85546875" style="1652" customWidth="1"/>
    <col min="15866" max="15866" width="19.7109375" style="1652" bestFit="1" customWidth="1"/>
    <col min="15867" max="15867" width="11.42578125" style="1652" bestFit="1" customWidth="1"/>
    <col min="15868" max="15868" width="14.85546875" style="1652" bestFit="1" customWidth="1"/>
    <col min="15869" max="15869" width="13.42578125" style="1652" customWidth="1"/>
    <col min="15870" max="15870" width="15.28515625" style="1652" bestFit="1" customWidth="1"/>
    <col min="15871" max="15871" width="14.140625" style="1652" bestFit="1" customWidth="1"/>
    <col min="15872" max="15872" width="15.28515625" style="1652" customWidth="1"/>
    <col min="15873" max="15873" width="15.85546875" style="1652" customWidth="1"/>
    <col min="15874" max="15874" width="17" style="1652" bestFit="1" customWidth="1"/>
    <col min="15875" max="15875" width="12.7109375" style="1652" customWidth="1"/>
    <col min="15876" max="15876" width="13.7109375" style="1652" customWidth="1"/>
    <col min="15877" max="15877" width="13.85546875" style="1652" bestFit="1" customWidth="1"/>
    <col min="15878" max="15878" width="15.5703125" style="1652" bestFit="1" customWidth="1"/>
    <col min="15879" max="15879" width="16.140625" style="1652" customWidth="1"/>
    <col min="15880" max="15880" width="16.7109375" style="1652" bestFit="1" customWidth="1"/>
    <col min="15881" max="15881" width="15.5703125" style="1652" bestFit="1" customWidth="1"/>
    <col min="15882" max="15882" width="20.5703125" style="1652" bestFit="1" customWidth="1"/>
    <col min="15883" max="15883" width="16.42578125" style="1652" bestFit="1" customWidth="1"/>
    <col min="15884" max="15884" width="14.28515625" style="1652" customWidth="1"/>
    <col min="15885" max="15885" width="12.85546875" style="1652" bestFit="1" customWidth="1"/>
    <col min="15886" max="15886" width="11.28515625" style="1652" bestFit="1" customWidth="1"/>
    <col min="15887" max="15887" width="12.5703125" style="1652" bestFit="1" customWidth="1"/>
    <col min="15888" max="15888" width="14" style="1652" bestFit="1" customWidth="1"/>
    <col min="15889" max="15889" width="6" style="1652" bestFit="1" customWidth="1"/>
    <col min="15890" max="15890" width="15" style="1652" customWidth="1"/>
    <col min="15891" max="15891" width="14.85546875" style="1652" bestFit="1" customWidth="1"/>
    <col min="15892" max="15892" width="16.140625" style="1652" bestFit="1" customWidth="1"/>
    <col min="15893" max="16119" width="9.140625" style="1652"/>
    <col min="16120" max="16120" width="24" style="1652" bestFit="1" customWidth="1"/>
    <col min="16121" max="16121" width="43.85546875" style="1652" customWidth="1"/>
    <col min="16122" max="16122" width="19.7109375" style="1652" bestFit="1" customWidth="1"/>
    <col min="16123" max="16123" width="11.42578125" style="1652" bestFit="1" customWidth="1"/>
    <col min="16124" max="16124" width="14.85546875" style="1652" bestFit="1" customWidth="1"/>
    <col min="16125" max="16125" width="13.42578125" style="1652" customWidth="1"/>
    <col min="16126" max="16126" width="15.28515625" style="1652" bestFit="1" customWidth="1"/>
    <col min="16127" max="16127" width="14.140625" style="1652" bestFit="1" customWidth="1"/>
    <col min="16128" max="16128" width="15.28515625" style="1652" customWidth="1"/>
    <col min="16129" max="16129" width="15.85546875" style="1652" customWidth="1"/>
    <col min="16130" max="16130" width="17" style="1652" bestFit="1" customWidth="1"/>
    <col min="16131" max="16131" width="12.7109375" style="1652" customWidth="1"/>
    <col min="16132" max="16132" width="13.7109375" style="1652" customWidth="1"/>
    <col min="16133" max="16133" width="13.85546875" style="1652" bestFit="1" customWidth="1"/>
    <col min="16134" max="16134" width="15.5703125" style="1652" bestFit="1" customWidth="1"/>
    <col min="16135" max="16135" width="16.140625" style="1652" customWidth="1"/>
    <col min="16136" max="16136" width="16.7109375" style="1652" bestFit="1" customWidth="1"/>
    <col min="16137" max="16137" width="15.5703125" style="1652" bestFit="1" customWidth="1"/>
    <col min="16138" max="16138" width="20.5703125" style="1652" bestFit="1" customWidth="1"/>
    <col min="16139" max="16139" width="16.42578125" style="1652" bestFit="1" customWidth="1"/>
    <col min="16140" max="16140" width="14.28515625" style="1652" customWidth="1"/>
    <col min="16141" max="16141" width="12.85546875" style="1652" bestFit="1" customWidth="1"/>
    <col min="16142" max="16142" width="11.28515625" style="1652" bestFit="1" customWidth="1"/>
    <col min="16143" max="16143" width="12.5703125" style="1652" bestFit="1" customWidth="1"/>
    <col min="16144" max="16144" width="14" style="1652" bestFit="1" customWidth="1"/>
    <col min="16145" max="16145" width="6" style="1652" bestFit="1" customWidth="1"/>
    <col min="16146" max="16146" width="15" style="1652" customWidth="1"/>
    <col min="16147" max="16147" width="14.85546875" style="1652" bestFit="1" customWidth="1"/>
    <col min="16148" max="16148" width="16.140625" style="1652" bestFit="1" customWidth="1"/>
    <col min="16149" max="16384" width="9.140625" style="1652"/>
  </cols>
  <sheetData>
    <row r="1" spans="1:25" ht="54.75" customHeight="1" thickBot="1">
      <c r="C1" s="1380" t="s">
        <v>585</v>
      </c>
      <c r="D1" s="1361" t="s">
        <v>267</v>
      </c>
      <c r="E1" s="1361" t="s">
        <v>5</v>
      </c>
      <c r="F1" s="1380">
        <v>18230622</v>
      </c>
      <c r="G1" s="1361" t="s">
        <v>28</v>
      </c>
      <c r="J1" s="1190"/>
      <c r="M1" s="1380" t="s">
        <v>585</v>
      </c>
      <c r="N1" s="1361" t="s">
        <v>267</v>
      </c>
      <c r="O1" s="1361" t="s">
        <v>5</v>
      </c>
      <c r="P1" s="1361">
        <v>18230622</v>
      </c>
      <c r="Q1" s="1361" t="s">
        <v>28</v>
      </c>
      <c r="V1" s="1361" t="s">
        <v>266</v>
      </c>
      <c r="W1" s="1361" t="s">
        <v>267</v>
      </c>
      <c r="X1" s="1361" t="s">
        <v>5</v>
      </c>
      <c r="Y1" s="1361">
        <v>18230639</v>
      </c>
    </row>
    <row r="2" spans="1:25" ht="16.5" thickBot="1">
      <c r="C2" s="1190"/>
      <c r="D2" s="1177"/>
      <c r="I2" s="1178" t="s">
        <v>627</v>
      </c>
      <c r="S2" s="3575"/>
      <c r="T2" s="3575"/>
      <c r="U2" s="3576" t="s">
        <v>33</v>
      </c>
      <c r="V2" s="3577"/>
      <c r="W2" s="3578"/>
      <c r="X2" s="3579" t="s">
        <v>34</v>
      </c>
    </row>
    <row r="3" spans="1:25" ht="27.75" thickBot="1">
      <c r="A3" s="1392" t="s">
        <v>585</v>
      </c>
      <c r="B3" s="2071"/>
      <c r="C3" s="2080" t="s">
        <v>591</v>
      </c>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5" ht="16.5" thickBot="1">
      <c r="A4" s="2071" t="s">
        <v>267</v>
      </c>
      <c r="B4" s="2071"/>
      <c r="C4" s="1190"/>
      <c r="H4" s="2946" t="s">
        <v>1726</v>
      </c>
      <c r="I4" s="2959">
        <f>D15</f>
        <v>12045.54</v>
      </c>
      <c r="J4" s="2960">
        <f>D21</f>
        <v>1992</v>
      </c>
      <c r="K4" s="2960">
        <f>D27</f>
        <v>9363.0391800000016</v>
      </c>
      <c r="L4" s="2960">
        <f>D37</f>
        <v>0</v>
      </c>
      <c r="M4" s="2960">
        <f>D43</f>
        <v>2000</v>
      </c>
      <c r="N4" s="2960">
        <f>D49</f>
        <v>77000</v>
      </c>
      <c r="O4" s="2960">
        <f>D55</f>
        <v>500</v>
      </c>
      <c r="P4" s="2960">
        <f>D61</f>
        <v>649.41999999999996</v>
      </c>
      <c r="Q4" s="2960">
        <f>D67</f>
        <v>77479</v>
      </c>
      <c r="R4" s="2960">
        <f>D68</f>
        <v>0</v>
      </c>
      <c r="S4" s="2961">
        <f>SUM(I4:R4)</f>
        <v>181028.99917999998</v>
      </c>
      <c r="T4" s="2963">
        <f>T15</f>
        <v>430529</v>
      </c>
      <c r="U4" s="2954">
        <f>Q4/S4</f>
        <v>0.42799220208338784</v>
      </c>
      <c r="V4" s="2954">
        <f>(L4+(J4*1.63))/S4</f>
        <v>1.7936131861235646E-2</v>
      </c>
      <c r="W4" s="2954">
        <f>N4/S4</f>
        <v>0.42534621717395504</v>
      </c>
      <c r="X4" s="2953">
        <f>S4/T4</f>
        <v>0.42048038385335246</v>
      </c>
    </row>
    <row r="5" spans="1:25" ht="16.5" thickBot="1">
      <c r="A5" s="2071" t="s">
        <v>5</v>
      </c>
      <c r="C5" s="1177"/>
      <c r="H5" s="3205" t="s">
        <v>1753</v>
      </c>
      <c r="I5" s="2617">
        <v>0</v>
      </c>
      <c r="J5" s="2618">
        <v>0</v>
      </c>
      <c r="K5" s="2618">
        <v>0</v>
      </c>
      <c r="L5" s="2618">
        <v>0</v>
      </c>
      <c r="M5" s="2618">
        <v>0</v>
      </c>
      <c r="N5" s="2618">
        <v>0</v>
      </c>
      <c r="O5" s="2618">
        <v>0</v>
      </c>
      <c r="P5" s="2618">
        <v>0</v>
      </c>
      <c r="Q5" s="2618">
        <v>0</v>
      </c>
      <c r="R5" s="2618">
        <v>0</v>
      </c>
      <c r="S5" s="2619">
        <v>0</v>
      </c>
      <c r="T5" s="2640">
        <v>0</v>
      </c>
      <c r="U5" s="1187" t="e">
        <f>Q5/S5</f>
        <v>#DIV/0!</v>
      </c>
      <c r="V5" s="1187" t="e">
        <f>(L5+(J5*1.63))/S5</f>
        <v>#DIV/0!</v>
      </c>
      <c r="W5" s="1187" t="e">
        <f>N5/S5</f>
        <v>#DIV/0!</v>
      </c>
      <c r="X5" s="1155" t="e">
        <f>S5/T5</f>
        <v>#DIV/0!</v>
      </c>
    </row>
    <row r="6" spans="1:25" ht="16.5" thickBot="1">
      <c r="A6" s="1392">
        <v>18230622</v>
      </c>
      <c r="B6" s="2071"/>
      <c r="D6" s="1190"/>
      <c r="H6" s="3206" t="s">
        <v>1754</v>
      </c>
      <c r="I6" s="2627">
        <f>E15</f>
        <v>10107.5</v>
      </c>
      <c r="J6" s="2628">
        <f>E21</f>
        <v>2332.5</v>
      </c>
      <c r="K6" s="2629">
        <f>E27</f>
        <v>11171.119999999999</v>
      </c>
      <c r="L6" s="2628">
        <f>E37</f>
        <v>10050</v>
      </c>
      <c r="M6" s="2628">
        <f>E43</f>
        <v>1000</v>
      </c>
      <c r="N6" s="2628">
        <f>E49</f>
        <v>77479</v>
      </c>
      <c r="O6" s="2628">
        <f>E55</f>
        <v>500</v>
      </c>
      <c r="P6" s="2628">
        <f>E61</f>
        <v>250</v>
      </c>
      <c r="Q6" s="2628">
        <f>E67</f>
        <v>77479</v>
      </c>
      <c r="R6" s="2628">
        <f>E68</f>
        <v>0</v>
      </c>
      <c r="S6" s="2624">
        <f>SUM(I6:R6)</f>
        <v>190369.12</v>
      </c>
      <c r="T6" s="2641">
        <f>U15</f>
        <v>316885</v>
      </c>
      <c r="U6" s="2631">
        <f>Q6/S6</f>
        <v>0.40699352920263537</v>
      </c>
      <c r="V6" s="2631">
        <f>(L6+(J6*1.63))/S6</f>
        <v>7.276377072079758E-2</v>
      </c>
      <c r="W6" s="2631">
        <f>N6/S6</f>
        <v>0.40699352920263537</v>
      </c>
      <c r="X6" s="2626">
        <f>S6/T6</f>
        <v>0.6007514397967717</v>
      </c>
    </row>
    <row r="7" spans="1:25" ht="15.75">
      <c r="A7" s="2071" t="s">
        <v>28</v>
      </c>
      <c r="B7" s="2071"/>
      <c r="D7" s="1190"/>
      <c r="G7" s="2606"/>
      <c r="H7" s="2607"/>
      <c r="I7" s="2607"/>
      <c r="J7" s="2607"/>
      <c r="K7" s="2607"/>
      <c r="L7" s="2607"/>
      <c r="M7" s="2607"/>
      <c r="N7" s="2607"/>
      <c r="O7" s="2607"/>
      <c r="P7" s="2607"/>
      <c r="Q7" s="2607"/>
      <c r="R7" s="2607"/>
      <c r="S7" s="2608"/>
      <c r="T7" s="2630"/>
      <c r="U7" s="2630"/>
      <c r="V7" s="2630"/>
      <c r="W7" s="2610"/>
    </row>
    <row r="8" spans="1:25" ht="15.75">
      <c r="B8" s="2071"/>
      <c r="D8" s="1190"/>
    </row>
    <row r="9" spans="1:25" ht="20.25" customHeight="1">
      <c r="A9" s="2071"/>
      <c r="B9" s="2071"/>
      <c r="D9" s="1190"/>
      <c r="I9" s="3003" t="s">
        <v>1730</v>
      </c>
      <c r="Q9" s="3003" t="s">
        <v>1729</v>
      </c>
      <c r="T9" s="3003" t="s">
        <v>1729</v>
      </c>
      <c r="W9" s="3003" t="s">
        <v>1729</v>
      </c>
    </row>
    <row r="10" spans="1:25">
      <c r="A10" s="2071"/>
      <c r="B10" s="2071"/>
      <c r="C10" s="1454" t="s">
        <v>310</v>
      </c>
      <c r="D10" s="1454"/>
      <c r="E10" s="1454"/>
      <c r="F10" s="1454"/>
      <c r="H10" s="3562" t="s">
        <v>300</v>
      </c>
      <c r="I10" s="3562"/>
      <c r="J10" s="3562"/>
      <c r="K10" s="3562"/>
      <c r="L10" s="3562"/>
      <c r="M10" s="3562"/>
      <c r="N10" s="3562"/>
      <c r="O10" s="3562"/>
      <c r="P10" s="3562"/>
      <c r="Q10" s="1465"/>
      <c r="R10" s="1465"/>
      <c r="S10" s="1465"/>
      <c r="T10" s="1465"/>
      <c r="U10" s="1465"/>
      <c r="V10" s="1465"/>
      <c r="W10" s="2070" t="s">
        <v>300</v>
      </c>
      <c r="X10" s="1465"/>
      <c r="Y10" s="1465"/>
    </row>
    <row r="11" spans="1:25">
      <c r="A11" s="2071"/>
      <c r="B11" s="2071"/>
      <c r="H11" s="1456"/>
      <c r="I11" s="1457"/>
      <c r="J11" s="1457"/>
      <c r="K11" s="1456"/>
      <c r="L11" s="1456"/>
      <c r="M11" s="1456"/>
      <c r="N11" s="1456"/>
      <c r="O11" s="1456"/>
      <c r="P11" s="1456"/>
      <c r="Q11" s="1456"/>
      <c r="R11" s="1456"/>
      <c r="S11" s="1456"/>
      <c r="T11" s="1456"/>
      <c r="U11" s="1456"/>
      <c r="V11" s="1456"/>
      <c r="W11" s="1456"/>
      <c r="X11" s="1456"/>
      <c r="Y11" s="1456"/>
    </row>
    <row r="12" spans="1:25">
      <c r="A12" s="2071"/>
      <c r="B12" s="2071"/>
      <c r="C12" s="1434" t="s">
        <v>298</v>
      </c>
      <c r="D12" s="2766">
        <f>D15+D21+D27+D37+D43+D49+D55+D61+D67</f>
        <v>181028.99917999998</v>
      </c>
      <c r="E12" s="1484">
        <f>E15+E21+E27+E37+E43+E49+E55+E61+E67</f>
        <v>190369.12</v>
      </c>
      <c r="F12" s="1638">
        <f>D12+E12</f>
        <v>371398.11917999998</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B13" s="2071"/>
      <c r="C13" s="1483"/>
      <c r="D13" s="2767"/>
      <c r="E13" s="1336"/>
      <c r="H13" s="1471" t="s">
        <v>302</v>
      </c>
      <c r="I13" s="1471" t="s">
        <v>228</v>
      </c>
      <c r="J13" s="1471" t="s">
        <v>303</v>
      </c>
      <c r="K13" s="1471" t="s">
        <v>304</v>
      </c>
      <c r="L13" s="1471" t="s">
        <v>53</v>
      </c>
      <c r="M13" s="1471" t="s">
        <v>54</v>
      </c>
      <c r="N13" s="1471" t="s">
        <v>305</v>
      </c>
      <c r="O13" s="1471" t="s">
        <v>55</v>
      </c>
      <c r="P13" s="1471" t="s">
        <v>56</v>
      </c>
      <c r="Q13" s="3263">
        <v>2016</v>
      </c>
      <c r="R13" s="1472">
        <v>2017</v>
      </c>
      <c r="S13" s="1472" t="s">
        <v>306</v>
      </c>
      <c r="T13" s="1473">
        <v>2016</v>
      </c>
      <c r="U13" s="1473">
        <v>2017</v>
      </c>
      <c r="V13" s="1473" t="s">
        <v>306</v>
      </c>
      <c r="W13" s="1474">
        <v>2016</v>
      </c>
      <c r="X13" s="1474">
        <v>2017</v>
      </c>
      <c r="Y13" s="1474" t="s">
        <v>306</v>
      </c>
    </row>
    <row r="14" spans="1:25" ht="15.75">
      <c r="B14" s="2071"/>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3264" t="s">
        <v>307</v>
      </c>
      <c r="R14" s="1458" t="s">
        <v>307</v>
      </c>
      <c r="S14" s="1472"/>
      <c r="T14" s="1473"/>
      <c r="U14" s="1473"/>
      <c r="V14" s="1473"/>
      <c r="W14" s="1474"/>
      <c r="X14" s="1474"/>
      <c r="Y14" s="1474"/>
    </row>
    <row r="15" spans="1:25">
      <c r="B15" s="1433" t="s">
        <v>296</v>
      </c>
      <c r="C15" s="1597" t="s">
        <v>43</v>
      </c>
      <c r="D15" s="2771">
        <f>SUM(D16:D19)</f>
        <v>12045.54</v>
      </c>
      <c r="E15" s="1464">
        <f>SUM(E16:E19)</f>
        <v>10107.5</v>
      </c>
      <c r="F15" s="1638">
        <f>D15+E15</f>
        <v>22153.040000000001</v>
      </c>
      <c r="H15" s="1475" t="s">
        <v>308</v>
      </c>
      <c r="I15" s="1476"/>
      <c r="J15" s="1476"/>
      <c r="K15" s="1477"/>
      <c r="L15" s="1478">
        <f>SUMPRODUCT(L16:L165,S16:S165)</f>
        <v>154958</v>
      </c>
      <c r="M15" s="1478">
        <f>SUM(M16:M165)</f>
        <v>6</v>
      </c>
      <c r="N15" s="1479"/>
      <c r="O15" s="1477">
        <v>2</v>
      </c>
      <c r="P15" s="1477"/>
      <c r="Q15" s="3265"/>
      <c r="R15" s="1477"/>
      <c r="S15" s="1477"/>
      <c r="T15" s="2983">
        <v>430529</v>
      </c>
      <c r="U15" s="1480">
        <f t="shared" ref="U15:Y15" si="0">SUM(U16:U65)</f>
        <v>316885</v>
      </c>
      <c r="V15" s="1480">
        <f t="shared" si="0"/>
        <v>747417</v>
      </c>
      <c r="W15" s="2987">
        <v>77479</v>
      </c>
      <c r="X15" s="1478">
        <f t="shared" si="0"/>
        <v>77479</v>
      </c>
      <c r="Y15" s="1478">
        <f t="shared" si="0"/>
        <v>154958</v>
      </c>
    </row>
    <row r="16" spans="1:25">
      <c r="B16" s="1982">
        <v>0.13</v>
      </c>
      <c r="C16" s="1667" t="s">
        <v>735</v>
      </c>
      <c r="D16" s="2772">
        <v>12045.54</v>
      </c>
      <c r="E16" s="1669">
        <v>10107.5</v>
      </c>
      <c r="F16" s="1426">
        <f>SUM(D16:E16)</f>
        <v>22153.040000000001</v>
      </c>
      <c r="H16" s="1460" t="s">
        <v>2584</v>
      </c>
      <c r="I16" s="2205">
        <v>7</v>
      </c>
      <c r="J16" s="1470" t="s">
        <v>580</v>
      </c>
      <c r="K16" s="1460" t="s">
        <v>893</v>
      </c>
      <c r="L16" s="1467">
        <v>1</v>
      </c>
      <c r="M16" s="1467">
        <v>1</v>
      </c>
      <c r="N16" s="1461">
        <v>0.19927242465353873</v>
      </c>
      <c r="O16" s="1460">
        <v>2</v>
      </c>
      <c r="P16" s="1463" t="s">
        <v>846</v>
      </c>
      <c r="Q16" s="3266">
        <v>21277</v>
      </c>
      <c r="R16" s="1466">
        <v>0</v>
      </c>
      <c r="S16" s="1469">
        <f t="shared" ref="S16:S21" si="1">SUM(Q16:R16)</f>
        <v>21277</v>
      </c>
      <c r="T16" s="2991">
        <v>148939</v>
      </c>
      <c r="U16" s="1469">
        <f t="shared" ref="U16:U21" si="2">R16*I16</f>
        <v>0</v>
      </c>
      <c r="V16" s="1469">
        <f t="shared" ref="V16:V21" si="3">SUM(T16:U16)</f>
        <v>148939</v>
      </c>
      <c r="W16" s="2993">
        <v>21277</v>
      </c>
      <c r="X16" s="1459">
        <f t="shared" ref="X16:X21" si="4">R16*M16</f>
        <v>0</v>
      </c>
      <c r="Y16" s="1459">
        <f t="shared" ref="Y16:Y21" si="5">SUM(W16:X16)</f>
        <v>21277</v>
      </c>
    </row>
    <row r="17" spans="2:25">
      <c r="B17" s="1982"/>
      <c r="C17" s="1667"/>
      <c r="D17" s="2784"/>
      <c r="E17" s="1668"/>
      <c r="F17" s="1661">
        <f t="shared" ref="F17:F30" si="6">SUM(D17:E17)</f>
        <v>0</v>
      </c>
      <c r="H17" s="1460" t="s">
        <v>2585</v>
      </c>
      <c r="I17" s="2205">
        <v>3</v>
      </c>
      <c r="J17" s="1470" t="s">
        <v>580</v>
      </c>
      <c r="K17" s="1460" t="s">
        <v>893</v>
      </c>
      <c r="L17" s="1467">
        <v>1</v>
      </c>
      <c r="M17" s="1467">
        <v>1</v>
      </c>
      <c r="N17" s="1461">
        <v>0.11221090319421365</v>
      </c>
      <c r="O17" s="1460">
        <v>2</v>
      </c>
      <c r="P17" s="1463" t="s">
        <v>846</v>
      </c>
      <c r="Q17" s="3266">
        <v>27956</v>
      </c>
      <c r="R17" s="1466">
        <v>0</v>
      </c>
      <c r="S17" s="1469">
        <f t="shared" si="1"/>
        <v>27956</v>
      </c>
      <c r="T17" s="2991">
        <v>83868</v>
      </c>
      <c r="U17" s="1469">
        <f t="shared" si="2"/>
        <v>0</v>
      </c>
      <c r="V17" s="1469">
        <f t="shared" si="3"/>
        <v>83868</v>
      </c>
      <c r="W17" s="2993">
        <v>27956</v>
      </c>
      <c r="X17" s="1459">
        <f t="shared" si="4"/>
        <v>0</v>
      </c>
      <c r="Y17" s="1459">
        <f t="shared" si="5"/>
        <v>27956</v>
      </c>
    </row>
    <row r="18" spans="2:25">
      <c r="B18" s="1982"/>
      <c r="C18" s="1667"/>
      <c r="D18" s="2784"/>
      <c r="E18" s="1668"/>
      <c r="F18" s="1661">
        <f t="shared" si="6"/>
        <v>0</v>
      </c>
      <c r="H18" s="1460" t="s">
        <v>1350</v>
      </c>
      <c r="I18" s="2205">
        <v>7</v>
      </c>
      <c r="J18" s="1470" t="s">
        <v>580</v>
      </c>
      <c r="K18" s="1460" t="s">
        <v>893</v>
      </c>
      <c r="L18" s="1467">
        <v>1</v>
      </c>
      <c r="M18" s="1467">
        <v>1</v>
      </c>
      <c r="N18" s="1461">
        <v>0.26454147232992692</v>
      </c>
      <c r="O18" s="1460">
        <v>2</v>
      </c>
      <c r="P18" s="1463" t="s">
        <v>846</v>
      </c>
      <c r="Q18" s="3266">
        <v>28246</v>
      </c>
      <c r="R18" s="1466">
        <v>0</v>
      </c>
      <c r="S18" s="1469">
        <f t="shared" si="1"/>
        <v>28246</v>
      </c>
      <c r="T18" s="2991">
        <v>197722</v>
      </c>
      <c r="U18" s="1469">
        <f t="shared" si="2"/>
        <v>0</v>
      </c>
      <c r="V18" s="1469">
        <f t="shared" si="3"/>
        <v>197722</v>
      </c>
      <c r="W18" s="2993">
        <v>28246</v>
      </c>
      <c r="X18" s="1459">
        <f t="shared" si="4"/>
        <v>0</v>
      </c>
      <c r="Y18" s="1459">
        <f t="shared" si="5"/>
        <v>28246</v>
      </c>
    </row>
    <row r="19" spans="2:25">
      <c r="B19" s="1982"/>
      <c r="C19" s="1667"/>
      <c r="D19" s="2786"/>
      <c r="E19" s="1446"/>
      <c r="F19" s="1661">
        <f t="shared" si="6"/>
        <v>0</v>
      </c>
      <c r="H19" s="1460" t="s">
        <v>1808</v>
      </c>
      <c r="I19" s="2205">
        <v>3</v>
      </c>
      <c r="J19" s="1470" t="s">
        <v>580</v>
      </c>
      <c r="K19" s="1460" t="s">
        <v>893</v>
      </c>
      <c r="L19" s="1467">
        <v>1</v>
      </c>
      <c r="M19" s="1467">
        <v>1</v>
      </c>
      <c r="N19" s="1461">
        <v>8.540246770865946E-2</v>
      </c>
      <c r="O19" s="1460">
        <v>2</v>
      </c>
      <c r="P19" s="1463" t="s">
        <v>846</v>
      </c>
      <c r="Q19" s="3266">
        <v>0</v>
      </c>
      <c r="R19" s="1466">
        <v>21277</v>
      </c>
      <c r="S19" s="1469">
        <f t="shared" si="1"/>
        <v>21277</v>
      </c>
      <c r="T19" s="2991">
        <v>0</v>
      </c>
      <c r="U19" s="1469">
        <f t="shared" si="2"/>
        <v>63831</v>
      </c>
      <c r="V19" s="1469">
        <f t="shared" si="3"/>
        <v>63831</v>
      </c>
      <c r="W19" s="2993">
        <v>0</v>
      </c>
      <c r="X19" s="1459">
        <f t="shared" si="4"/>
        <v>21277</v>
      </c>
      <c r="Y19" s="1459">
        <f t="shared" si="5"/>
        <v>21277</v>
      </c>
    </row>
    <row r="20" spans="2:25">
      <c r="B20" s="1449">
        <f>SUM(B16:B19)</f>
        <v>0.13</v>
      </c>
      <c r="C20" s="1488"/>
      <c r="D20" s="2770"/>
      <c r="E20" s="1490"/>
      <c r="F20" s="1492"/>
      <c r="H20" s="1460" t="s">
        <v>1809</v>
      </c>
      <c r="I20" s="2205">
        <v>4</v>
      </c>
      <c r="J20" s="1470" t="s">
        <v>580</v>
      </c>
      <c r="K20" s="1460" t="s">
        <v>893</v>
      </c>
      <c r="L20" s="1467">
        <v>1</v>
      </c>
      <c r="M20" s="1467">
        <v>1</v>
      </c>
      <c r="N20" s="1461">
        <v>0.14961453759228485</v>
      </c>
      <c r="O20" s="1460">
        <v>2</v>
      </c>
      <c r="P20" s="1463" t="s">
        <v>846</v>
      </c>
      <c r="Q20" s="3266">
        <v>0</v>
      </c>
      <c r="R20" s="1466">
        <v>27956</v>
      </c>
      <c r="S20" s="1469">
        <f t="shared" si="1"/>
        <v>27956</v>
      </c>
      <c r="T20" s="2991">
        <v>1</v>
      </c>
      <c r="U20" s="1469">
        <f t="shared" si="2"/>
        <v>111824</v>
      </c>
      <c r="V20" s="1469">
        <f t="shared" si="3"/>
        <v>111825</v>
      </c>
      <c r="W20" s="2993">
        <v>0</v>
      </c>
      <c r="X20" s="1459">
        <f t="shared" si="4"/>
        <v>27956</v>
      </c>
      <c r="Y20" s="1459">
        <f t="shared" si="5"/>
        <v>27956</v>
      </c>
    </row>
    <row r="21" spans="2:25">
      <c r="B21" s="1433" t="s">
        <v>296</v>
      </c>
      <c r="C21" s="1597" t="s">
        <v>44</v>
      </c>
      <c r="D21" s="2771">
        <f>SUM(D22:D25)</f>
        <v>1992</v>
      </c>
      <c r="E21" s="1464">
        <f>SUM(E22:E25)</f>
        <v>2332.5</v>
      </c>
      <c r="F21" s="1638">
        <f>D21+E21</f>
        <v>4324.5</v>
      </c>
      <c r="H21" s="1460" t="s">
        <v>1810</v>
      </c>
      <c r="I21" s="2205">
        <v>5</v>
      </c>
      <c r="J21" s="1470" t="s">
        <v>580</v>
      </c>
      <c r="K21" s="1460" t="s">
        <v>893</v>
      </c>
      <c r="L21" s="1467">
        <v>1</v>
      </c>
      <c r="M21" s="1467">
        <v>1</v>
      </c>
      <c r="N21" s="1461">
        <v>0.18895819452137638</v>
      </c>
      <c r="O21" s="1460">
        <v>2</v>
      </c>
      <c r="P21" s="1463" t="s">
        <v>846</v>
      </c>
      <c r="Q21" s="3266">
        <v>0</v>
      </c>
      <c r="R21" s="1466">
        <v>28246</v>
      </c>
      <c r="S21" s="1469">
        <f t="shared" si="1"/>
        <v>28246</v>
      </c>
      <c r="T21" s="2991">
        <v>2</v>
      </c>
      <c r="U21" s="1469">
        <f t="shared" si="2"/>
        <v>141230</v>
      </c>
      <c r="V21" s="1469">
        <f t="shared" si="3"/>
        <v>141232</v>
      </c>
      <c r="W21" s="2993">
        <v>0</v>
      </c>
      <c r="X21" s="1459">
        <f t="shared" si="4"/>
        <v>28246</v>
      </c>
      <c r="Y21" s="1459">
        <f t="shared" si="5"/>
        <v>28246</v>
      </c>
    </row>
    <row r="22" spans="2:25">
      <c r="B22" s="1982">
        <f>(SUM(D22:E22)/2)/((80000+(80000*1.025))/2)</f>
        <v>1.3347222222222222E-2</v>
      </c>
      <c r="C22" s="1667" t="s">
        <v>895</v>
      </c>
      <c r="D22" s="2772">
        <v>996</v>
      </c>
      <c r="E22" s="1669">
        <v>1166.25</v>
      </c>
      <c r="F22" s="1426">
        <f t="shared" si="6"/>
        <v>2162.25</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f>(SUM(D23:E23)/2)/((80000+(80000*1.025))/2)</f>
        <v>1.3347222222222222E-2</v>
      </c>
      <c r="C23" s="1667" t="s">
        <v>8</v>
      </c>
      <c r="D23" s="2791">
        <v>996</v>
      </c>
      <c r="E23" s="1562">
        <v>1166.25</v>
      </c>
      <c r="F23" s="1661">
        <f t="shared" si="6"/>
        <v>2162.25</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667"/>
      <c r="D24" s="2774"/>
      <c r="E24" s="1443"/>
      <c r="F24" s="1661">
        <f t="shared" si="6"/>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667"/>
      <c r="D25" s="2775"/>
      <c r="E25" s="1444"/>
      <c r="F25" s="1661">
        <f t="shared" si="6"/>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2.6694444444444444E-2</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9363.0391800000016</v>
      </c>
      <c r="E27" s="1657">
        <f>SUM(E29:E31)+SUM(E33:E35)</f>
        <v>11171.119999999999</v>
      </c>
      <c r="F27" s="1638">
        <f>D27+E27</f>
        <v>20534.159180000002</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8034.3751800000009</v>
      </c>
      <c r="E29" s="1641">
        <f>E15*E28</f>
        <v>6953.9599999999991</v>
      </c>
      <c r="F29" s="1661">
        <f t="shared" si="6"/>
        <v>14988.33518</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1328.664</v>
      </c>
      <c r="E30" s="1641">
        <f>E21*E28</f>
        <v>1604.7599999999998</v>
      </c>
      <c r="F30" s="1661">
        <f t="shared" si="6"/>
        <v>2933.424</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2122.5749999999998</v>
      </c>
      <c r="F33" s="1661">
        <f>SUM(D33:E33)</f>
        <v>2122.5749999999998</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c r="A34" s="1392" t="s">
        <v>585</v>
      </c>
      <c r="C34" s="1667" t="s">
        <v>720</v>
      </c>
      <c r="D34" s="2785"/>
      <c r="E34" s="1641">
        <f>E21*E32</f>
        <v>489.82499999999999</v>
      </c>
      <c r="F34" s="1661">
        <f t="shared" ref="F34" si="7">SUM(D34:E34)</f>
        <v>489.82499999999999</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2071" t="s">
        <v>267</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2071"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2071">
        <v>18230622</v>
      </c>
      <c r="C37" s="1597" t="s">
        <v>46</v>
      </c>
      <c r="D37" s="2771">
        <f>SUM(D38:D41)</f>
        <v>0</v>
      </c>
      <c r="E37" s="1464">
        <f>SUM(E38:E41)</f>
        <v>10050</v>
      </c>
      <c r="F37" s="1638">
        <f>D37+E37</f>
        <v>10050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2071" t="s">
        <v>28</v>
      </c>
      <c r="C38" s="1667" t="s">
        <v>888</v>
      </c>
      <c r="D38" s="2778"/>
      <c r="E38" s="1672">
        <v>10050</v>
      </c>
      <c r="F38" s="1661">
        <f t="shared" ref="F38:F47" si="8">SUM(D38:E38)</f>
        <v>10050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667"/>
      <c r="D39" s="2778"/>
      <c r="E39" s="1672"/>
      <c r="F39" s="1661">
        <f t="shared" si="8"/>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667"/>
      <c r="D40" s="2778"/>
      <c r="E40" s="1672"/>
      <c r="F40" s="1661">
        <f t="shared" si="8"/>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667"/>
      <c r="D41" s="2778"/>
      <c r="E41" s="1672"/>
      <c r="F41" s="1661">
        <f t="shared" si="8"/>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2000</v>
      </c>
      <c r="E43" s="1464">
        <f>SUM(E44:E47)</f>
        <v>1000</v>
      </c>
      <c r="F43" s="1638">
        <f>D43+E43</f>
        <v>3000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667" t="s">
        <v>1395</v>
      </c>
      <c r="D44" s="2778">
        <v>1000</v>
      </c>
      <c r="E44" s="1672">
        <v>500</v>
      </c>
      <c r="F44" s="1661">
        <f t="shared" si="8"/>
        <v>1500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667" t="s">
        <v>889</v>
      </c>
      <c r="D45" s="2778">
        <v>1000</v>
      </c>
      <c r="E45" s="1672">
        <v>500</v>
      </c>
      <c r="F45" s="1661">
        <f t="shared" si="8"/>
        <v>1500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667"/>
      <c r="D46" s="2778"/>
      <c r="E46" s="1672"/>
      <c r="F46" s="1661">
        <f t="shared" si="8"/>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667"/>
      <c r="D47" s="2778"/>
      <c r="E47" s="1672"/>
      <c r="F47" s="1661">
        <f t="shared" si="8"/>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597" t="s">
        <v>47</v>
      </c>
      <c r="D49" s="2771">
        <f>SUM(D50:D53)</f>
        <v>77000</v>
      </c>
      <c r="E49" s="1464">
        <f>SUM(E50:E53)</f>
        <v>77479</v>
      </c>
      <c r="F49" s="1638">
        <f>D49+E49</f>
        <v>154479</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667" t="s">
        <v>891</v>
      </c>
      <c r="D50" s="2778">
        <v>77000</v>
      </c>
      <c r="E50" s="1672">
        <v>77479</v>
      </c>
      <c r="F50" s="1661">
        <f t="shared" ref="F50:F65" si="9">SUM(D50:E50)</f>
        <v>154479</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667"/>
      <c r="D51" s="2778"/>
      <c r="E51" s="1672"/>
      <c r="F51" s="1661">
        <f t="shared" si="9"/>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667"/>
      <c r="D52" s="2778"/>
      <c r="E52" s="1672"/>
      <c r="F52" s="1661">
        <f t="shared" si="9"/>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667"/>
      <c r="D53" s="2778"/>
      <c r="E53" s="1672"/>
      <c r="F53" s="1661">
        <f t="shared" si="9"/>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597" t="s">
        <v>48</v>
      </c>
      <c r="D55" s="2771">
        <f>SUM(D56:D59)</f>
        <v>500</v>
      </c>
      <c r="E55" s="1464">
        <f>SUM(E56:E59)</f>
        <v>500</v>
      </c>
      <c r="F55" s="1638">
        <f>D55+E55</f>
        <v>1000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667"/>
      <c r="D56" s="2778">
        <v>500</v>
      </c>
      <c r="E56" s="1641">
        <v>500</v>
      </c>
      <c r="F56" s="1661">
        <f t="shared" si="9"/>
        <v>1000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667"/>
      <c r="D57" s="2778"/>
      <c r="E57" s="1641"/>
      <c r="F57" s="1661">
        <f t="shared" si="9"/>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667"/>
      <c r="D58" s="2778"/>
      <c r="E58" s="1641"/>
      <c r="F58" s="1661">
        <f t="shared" si="9"/>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667"/>
      <c r="D59" s="2778"/>
      <c r="E59" s="1641"/>
      <c r="F59" s="1661">
        <f t="shared" si="9"/>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2205"/>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597" t="s">
        <v>49</v>
      </c>
      <c r="D61" s="2771">
        <f>SUM(D62:D65)</f>
        <v>649.41999999999996</v>
      </c>
      <c r="E61" s="1464">
        <f>SUM(E62:E65)</f>
        <v>250</v>
      </c>
      <c r="F61" s="1638">
        <f>D61+E61</f>
        <v>899.42</v>
      </c>
      <c r="H61" s="1460"/>
      <c r="I61" s="2205"/>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667"/>
      <c r="D62" s="2778">
        <v>649.41999999999996</v>
      </c>
      <c r="E62" s="1672">
        <v>250</v>
      </c>
      <c r="F62" s="1661">
        <f t="shared" si="9"/>
        <v>899.42</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667"/>
      <c r="D63" s="2778"/>
      <c r="E63" s="1672"/>
      <c r="F63" s="1661">
        <f t="shared" si="9"/>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c r="A64" s="1392" t="s">
        <v>585</v>
      </c>
      <c r="C64" s="1667"/>
      <c r="D64" s="2778"/>
      <c r="E64" s="1672"/>
      <c r="F64" s="1437">
        <f t="shared" si="9"/>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2071" t="s">
        <v>267</v>
      </c>
      <c r="C65" s="1667"/>
      <c r="D65" s="2778"/>
      <c r="E65" s="1672"/>
      <c r="F65" s="1661">
        <f t="shared" si="9"/>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2071" t="s">
        <v>5</v>
      </c>
      <c r="C66" s="1488"/>
      <c r="D66" s="2779"/>
      <c r="E66" s="1490"/>
      <c r="F66" s="1493"/>
    </row>
    <row r="67" spans="1:25">
      <c r="A67" s="2071">
        <v>18230639</v>
      </c>
      <c r="C67" s="1597" t="s">
        <v>50</v>
      </c>
      <c r="D67" s="2771">
        <f>W15</f>
        <v>77479</v>
      </c>
      <c r="E67" s="1464">
        <f>X15</f>
        <v>77479</v>
      </c>
      <c r="F67" s="1638">
        <f>D67+E67</f>
        <v>154958</v>
      </c>
    </row>
    <row r="68" spans="1:25">
      <c r="A68" s="2071" t="s">
        <v>28</v>
      </c>
      <c r="C68" s="1500" t="s">
        <v>297</v>
      </c>
      <c r="D68" s="2781"/>
      <c r="E68" s="1496"/>
      <c r="F68" s="1499"/>
    </row>
    <row r="69" spans="1:25">
      <c r="C69" s="1501"/>
      <c r="D69" s="2782"/>
      <c r="E69" s="1497"/>
      <c r="F69" s="1498"/>
    </row>
    <row r="70" spans="1:25">
      <c r="C70" s="1494" t="s">
        <v>51</v>
      </c>
      <c r="D70" s="2778">
        <v>0</v>
      </c>
      <c r="E70" s="1671">
        <v>0</v>
      </c>
      <c r="F70" s="1491">
        <v>0</v>
      </c>
    </row>
  </sheetData>
  <customSheetViews>
    <customSheetView guid="{D9EFFE19-D14B-4C6F-BDF4-FF696F73968D}" showGridLines="0" fitToPage="1">
      <pane xSplit="1" ySplit="1" topLeftCell="B2" activePane="bottomRight" state="frozen"/>
      <selection pane="bottomRight" activeCell="E63" sqref="E63"/>
      <pageMargins left="0.17" right="0.25" top="0.34" bottom="0.37" header="0.3" footer="0.3"/>
      <pageSetup paperSize="17" scale="50" orientation="landscape" r:id="rId1"/>
    </customSheetView>
    <customSheetView guid="{074EB09C-6289-46D7-9513-012B68BCA7BF}" showGridLines="0" fitToPage="1">
      <pane xSplit="1" ySplit="1" topLeftCell="B2" activePane="bottomRight" state="frozen"/>
      <selection pane="bottomRight" activeCell="H4" sqref="H4:H6"/>
      <pageMargins left="0.17" right="0.25" top="0.34" bottom="0.37" header="0.3" footer="0.3"/>
      <pageSetup paperSize="17" scale="50" orientation="landscape" r:id="rId2"/>
    </customSheetView>
  </customSheetViews>
  <mergeCells count="8">
    <mergeCell ref="S2:T2"/>
    <mergeCell ref="U2:W2"/>
    <mergeCell ref="X2:X3"/>
    <mergeCell ref="H10:P10"/>
    <mergeCell ref="H12:P12"/>
    <mergeCell ref="Q12:S12"/>
    <mergeCell ref="T12:V12"/>
    <mergeCell ref="W12:Y12"/>
  </mergeCells>
  <pageMargins left="0.17" right="0.25" top="0.34" bottom="0.37" header="0.3" footer="0.3"/>
  <pageSetup paperSize="3" scale="48" orientation="landscape" r:id="rId3"/>
  <drawing r:id="rId4"/>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8" tint="-0.249977111117893"/>
    <pageSetUpPr fitToPage="1"/>
  </sheetPr>
  <dimension ref="A1:Y70"/>
  <sheetViews>
    <sheetView showGridLines="0" workbookViewId="0">
      <pane xSplit="1" ySplit="1" topLeftCell="B2" activePane="bottomRight" state="frozen"/>
      <selection pane="topRight" activeCell="B1" sqref="B1"/>
      <selection pane="bottomLeft" activeCell="A2" sqref="A2"/>
      <selection pane="bottomRight" activeCell="G8" sqref="G8"/>
    </sheetView>
  </sheetViews>
  <sheetFormatPr defaultRowHeight="12.75"/>
  <cols>
    <col min="1" max="1" width="17.5703125" style="849" customWidth="1"/>
    <col min="2" max="2" width="15" style="1413" customWidth="1"/>
    <col min="3" max="3" width="24.140625" customWidth="1"/>
    <col min="4" max="4" width="21.7109375" bestFit="1" customWidth="1"/>
    <col min="5" max="5" width="14.85546875" style="9" customWidth="1"/>
    <col min="6" max="6" width="14.85546875" customWidth="1"/>
    <col min="7" max="7" width="16.28515625" customWidth="1"/>
    <col min="8" max="8" width="13.42578125" customWidth="1"/>
    <col min="9" max="9" width="15.28515625" bestFit="1" customWidth="1"/>
    <col min="10" max="10" width="14.140625" bestFit="1" customWidth="1"/>
    <col min="11" max="11" width="15.28515625" customWidth="1"/>
    <col min="12" max="12" width="15.85546875" customWidth="1"/>
    <col min="13" max="13" width="17" bestFit="1" customWidth="1"/>
    <col min="14" max="14" width="12.7109375" customWidth="1"/>
    <col min="15" max="15" width="13.7109375" customWidth="1"/>
    <col min="16" max="16" width="13.85546875" bestFit="1" customWidth="1"/>
    <col min="17" max="17" width="15.5703125" bestFit="1" customWidth="1"/>
    <col min="18" max="18" width="16.140625" customWidth="1"/>
    <col min="19" max="19" width="16.7109375" bestFit="1" customWidth="1"/>
    <col min="20" max="20" width="15.5703125" bestFit="1" customWidth="1"/>
    <col min="21" max="21" width="20.5703125" bestFit="1" customWidth="1"/>
    <col min="22" max="22" width="16.42578125" bestFit="1" customWidth="1"/>
    <col min="23" max="23" width="14.28515625" customWidth="1"/>
    <col min="24" max="24" width="12.85546875" bestFit="1" customWidth="1"/>
    <col min="25" max="25" width="11.28515625" bestFit="1" customWidth="1"/>
    <col min="248" max="248" width="24" bestFit="1" customWidth="1"/>
    <col min="249" max="249" width="43.85546875" customWidth="1"/>
    <col min="250" max="250" width="19.7109375" bestFit="1" customWidth="1"/>
    <col min="251" max="251" width="11.42578125" bestFit="1" customWidth="1"/>
    <col min="252" max="252" width="14.85546875" bestFit="1" customWidth="1"/>
    <col min="253" max="253" width="13.42578125" customWidth="1"/>
    <col min="254" max="254" width="15.28515625" bestFit="1" customWidth="1"/>
    <col min="255" max="255" width="14.140625" bestFit="1" customWidth="1"/>
    <col min="256" max="256" width="15.28515625" customWidth="1"/>
    <col min="257" max="257" width="15.85546875" customWidth="1"/>
    <col min="258" max="258" width="17" bestFit="1" customWidth="1"/>
    <col min="259" max="259" width="12.7109375" customWidth="1"/>
    <col min="260" max="260" width="13.7109375" customWidth="1"/>
    <col min="261" max="261" width="13.85546875" bestFit="1" customWidth="1"/>
    <col min="262" max="262" width="15.5703125" bestFit="1" customWidth="1"/>
    <col min="263" max="263" width="16.140625" customWidth="1"/>
    <col min="264" max="264" width="16.7109375" bestFit="1" customWidth="1"/>
    <col min="265" max="265" width="15.5703125" bestFit="1" customWidth="1"/>
    <col min="266" max="266" width="20.5703125" bestFit="1" customWidth="1"/>
    <col min="267" max="267" width="16.42578125" bestFit="1" customWidth="1"/>
    <col min="268" max="268" width="14.28515625" customWidth="1"/>
    <col min="269" max="269" width="12.85546875" bestFit="1" customWidth="1"/>
    <col min="270" max="270" width="11.28515625" bestFit="1" customWidth="1"/>
    <col min="271" max="271" width="12.5703125" bestFit="1" customWidth="1"/>
    <col min="272" max="272" width="14" bestFit="1" customWidth="1"/>
    <col min="273" max="273" width="6" bestFit="1" customWidth="1"/>
    <col min="274" max="274" width="15" customWidth="1"/>
    <col min="275" max="275" width="14.85546875" bestFit="1" customWidth="1"/>
    <col min="276" max="276" width="16.140625" bestFit="1" customWidth="1"/>
    <col min="504" max="504" width="24" bestFit="1" customWidth="1"/>
    <col min="505" max="505" width="43.85546875" customWidth="1"/>
    <col min="506" max="506" width="19.7109375" bestFit="1" customWidth="1"/>
    <col min="507" max="507" width="11.42578125" bestFit="1" customWidth="1"/>
    <col min="508" max="508" width="14.85546875" bestFit="1" customWidth="1"/>
    <col min="509" max="509" width="13.42578125" customWidth="1"/>
    <col min="510" max="510" width="15.28515625" bestFit="1" customWidth="1"/>
    <col min="511" max="511" width="14.140625" bestFit="1" customWidth="1"/>
    <col min="512" max="512" width="15.28515625" customWidth="1"/>
    <col min="513" max="513" width="15.85546875" customWidth="1"/>
    <col min="514" max="514" width="17" bestFit="1" customWidth="1"/>
    <col min="515" max="515" width="12.7109375" customWidth="1"/>
    <col min="516" max="516" width="13.7109375" customWidth="1"/>
    <col min="517" max="517" width="13.85546875" bestFit="1" customWidth="1"/>
    <col min="518" max="518" width="15.5703125" bestFit="1" customWidth="1"/>
    <col min="519" max="519" width="16.140625" customWidth="1"/>
    <col min="520" max="520" width="16.7109375" bestFit="1" customWidth="1"/>
    <col min="521" max="521" width="15.5703125" bestFit="1" customWidth="1"/>
    <col min="522" max="522" width="20.5703125" bestFit="1" customWidth="1"/>
    <col min="523" max="523" width="16.42578125" bestFit="1" customWidth="1"/>
    <col min="524" max="524" width="14.28515625" customWidth="1"/>
    <col min="525" max="525" width="12.85546875" bestFit="1" customWidth="1"/>
    <col min="526" max="526" width="11.28515625" bestFit="1" customWidth="1"/>
    <col min="527" max="527" width="12.5703125" bestFit="1" customWidth="1"/>
    <col min="528" max="528" width="14" bestFit="1" customWidth="1"/>
    <col min="529" max="529" width="6" bestFit="1" customWidth="1"/>
    <col min="530" max="530" width="15" customWidth="1"/>
    <col min="531" max="531" width="14.85546875" bestFit="1" customWidth="1"/>
    <col min="532" max="532" width="16.140625" bestFit="1" customWidth="1"/>
    <col min="760" max="760" width="24" bestFit="1" customWidth="1"/>
    <col min="761" max="761" width="43.85546875" customWidth="1"/>
    <col min="762" max="762" width="19.7109375" bestFit="1" customWidth="1"/>
    <col min="763" max="763" width="11.42578125" bestFit="1" customWidth="1"/>
    <col min="764" max="764" width="14.85546875" bestFit="1" customWidth="1"/>
    <col min="765" max="765" width="13.42578125" customWidth="1"/>
    <col min="766" max="766" width="15.28515625" bestFit="1" customWidth="1"/>
    <col min="767" max="767" width="14.140625" bestFit="1" customWidth="1"/>
    <col min="768" max="768" width="15.28515625" customWidth="1"/>
    <col min="769" max="769" width="15.85546875" customWidth="1"/>
    <col min="770" max="770" width="17" bestFit="1" customWidth="1"/>
    <col min="771" max="771" width="12.7109375" customWidth="1"/>
    <col min="772" max="772" width="13.7109375" customWidth="1"/>
    <col min="773" max="773" width="13.85546875" bestFit="1" customWidth="1"/>
    <col min="774" max="774" width="15.5703125" bestFit="1" customWidth="1"/>
    <col min="775" max="775" width="16.140625" customWidth="1"/>
    <col min="776" max="776" width="16.7109375" bestFit="1" customWidth="1"/>
    <col min="777" max="777" width="15.5703125" bestFit="1" customWidth="1"/>
    <col min="778" max="778" width="20.5703125" bestFit="1" customWidth="1"/>
    <col min="779" max="779" width="16.42578125" bestFit="1" customWidth="1"/>
    <col min="780" max="780" width="14.28515625" customWidth="1"/>
    <col min="781" max="781" width="12.85546875" bestFit="1" customWidth="1"/>
    <col min="782" max="782" width="11.28515625" bestFit="1" customWidth="1"/>
    <col min="783" max="783" width="12.5703125" bestFit="1" customWidth="1"/>
    <col min="784" max="784" width="14" bestFit="1" customWidth="1"/>
    <col min="785" max="785" width="6" bestFit="1" customWidth="1"/>
    <col min="786" max="786" width="15" customWidth="1"/>
    <col min="787" max="787" width="14.85546875" bestFit="1" customWidth="1"/>
    <col min="788" max="788" width="16.140625" bestFit="1" customWidth="1"/>
    <col min="1016" max="1016" width="24" bestFit="1" customWidth="1"/>
    <col min="1017" max="1017" width="43.85546875" customWidth="1"/>
    <col min="1018" max="1018" width="19.7109375" bestFit="1" customWidth="1"/>
    <col min="1019" max="1019" width="11.42578125" bestFit="1" customWidth="1"/>
    <col min="1020" max="1020" width="14.85546875" bestFit="1" customWidth="1"/>
    <col min="1021" max="1021" width="13.42578125" customWidth="1"/>
    <col min="1022" max="1022" width="15.28515625" bestFit="1" customWidth="1"/>
    <col min="1023" max="1023" width="14.140625" bestFit="1" customWidth="1"/>
    <col min="1024" max="1024" width="15.28515625" customWidth="1"/>
    <col min="1025" max="1025" width="15.85546875" customWidth="1"/>
    <col min="1026" max="1026" width="17" bestFit="1" customWidth="1"/>
    <col min="1027" max="1027" width="12.7109375" customWidth="1"/>
    <col min="1028" max="1028" width="13.7109375" customWidth="1"/>
    <col min="1029" max="1029" width="13.85546875" bestFit="1" customWidth="1"/>
    <col min="1030" max="1030" width="15.5703125" bestFit="1" customWidth="1"/>
    <col min="1031" max="1031" width="16.140625" customWidth="1"/>
    <col min="1032" max="1032" width="16.7109375" bestFit="1" customWidth="1"/>
    <col min="1033" max="1033" width="15.5703125" bestFit="1" customWidth="1"/>
    <col min="1034" max="1034" width="20.5703125" bestFit="1" customWidth="1"/>
    <col min="1035" max="1035" width="16.42578125" bestFit="1" customWidth="1"/>
    <col min="1036" max="1036" width="14.28515625" customWidth="1"/>
    <col min="1037" max="1037" width="12.85546875" bestFit="1" customWidth="1"/>
    <col min="1038" max="1038" width="11.28515625" bestFit="1" customWidth="1"/>
    <col min="1039" max="1039" width="12.5703125" bestFit="1" customWidth="1"/>
    <col min="1040" max="1040" width="14" bestFit="1" customWidth="1"/>
    <col min="1041" max="1041" width="6" bestFit="1" customWidth="1"/>
    <col min="1042" max="1042" width="15" customWidth="1"/>
    <col min="1043" max="1043" width="14.85546875" bestFit="1" customWidth="1"/>
    <col min="1044" max="1044" width="16.140625" bestFit="1" customWidth="1"/>
    <col min="1272" max="1272" width="24" bestFit="1" customWidth="1"/>
    <col min="1273" max="1273" width="43.85546875" customWidth="1"/>
    <col min="1274" max="1274" width="19.7109375" bestFit="1" customWidth="1"/>
    <col min="1275" max="1275" width="11.42578125" bestFit="1" customWidth="1"/>
    <col min="1276" max="1276" width="14.85546875" bestFit="1" customWidth="1"/>
    <col min="1277" max="1277" width="13.42578125" customWidth="1"/>
    <col min="1278" max="1278" width="15.28515625" bestFit="1" customWidth="1"/>
    <col min="1279" max="1279" width="14.140625" bestFit="1" customWidth="1"/>
    <col min="1280" max="1280" width="15.28515625" customWidth="1"/>
    <col min="1281" max="1281" width="15.85546875" customWidth="1"/>
    <col min="1282" max="1282" width="17" bestFit="1" customWidth="1"/>
    <col min="1283" max="1283" width="12.7109375" customWidth="1"/>
    <col min="1284" max="1284" width="13.7109375" customWidth="1"/>
    <col min="1285" max="1285" width="13.85546875" bestFit="1" customWidth="1"/>
    <col min="1286" max="1286" width="15.5703125" bestFit="1" customWidth="1"/>
    <col min="1287" max="1287" width="16.140625" customWidth="1"/>
    <col min="1288" max="1288" width="16.7109375" bestFit="1" customWidth="1"/>
    <col min="1289" max="1289" width="15.5703125" bestFit="1" customWidth="1"/>
    <col min="1290" max="1290" width="20.5703125" bestFit="1" customWidth="1"/>
    <col min="1291" max="1291" width="16.42578125" bestFit="1" customWidth="1"/>
    <col min="1292" max="1292" width="14.28515625" customWidth="1"/>
    <col min="1293" max="1293" width="12.85546875" bestFit="1" customWidth="1"/>
    <col min="1294" max="1294" width="11.28515625" bestFit="1" customWidth="1"/>
    <col min="1295" max="1295" width="12.5703125" bestFit="1" customWidth="1"/>
    <col min="1296" max="1296" width="14" bestFit="1" customWidth="1"/>
    <col min="1297" max="1297" width="6" bestFit="1" customWidth="1"/>
    <col min="1298" max="1298" width="15" customWidth="1"/>
    <col min="1299" max="1299" width="14.85546875" bestFit="1" customWidth="1"/>
    <col min="1300" max="1300" width="16.140625" bestFit="1" customWidth="1"/>
    <col min="1528" max="1528" width="24" bestFit="1" customWidth="1"/>
    <col min="1529" max="1529" width="43.85546875" customWidth="1"/>
    <col min="1530" max="1530" width="19.7109375" bestFit="1" customWidth="1"/>
    <col min="1531" max="1531" width="11.42578125" bestFit="1" customWidth="1"/>
    <col min="1532" max="1532" width="14.85546875" bestFit="1" customWidth="1"/>
    <col min="1533" max="1533" width="13.42578125" customWidth="1"/>
    <col min="1534" max="1534" width="15.28515625" bestFit="1" customWidth="1"/>
    <col min="1535" max="1535" width="14.140625" bestFit="1" customWidth="1"/>
    <col min="1536" max="1536" width="15.28515625" customWidth="1"/>
    <col min="1537" max="1537" width="15.85546875" customWidth="1"/>
    <col min="1538" max="1538" width="17" bestFit="1" customWidth="1"/>
    <col min="1539" max="1539" width="12.7109375" customWidth="1"/>
    <col min="1540" max="1540" width="13.7109375" customWidth="1"/>
    <col min="1541" max="1541" width="13.85546875" bestFit="1" customWidth="1"/>
    <col min="1542" max="1542" width="15.5703125" bestFit="1" customWidth="1"/>
    <col min="1543" max="1543" width="16.140625" customWidth="1"/>
    <col min="1544" max="1544" width="16.7109375" bestFit="1" customWidth="1"/>
    <col min="1545" max="1545" width="15.5703125" bestFit="1" customWidth="1"/>
    <col min="1546" max="1546" width="20.5703125" bestFit="1" customWidth="1"/>
    <col min="1547" max="1547" width="16.42578125" bestFit="1" customWidth="1"/>
    <col min="1548" max="1548" width="14.28515625" customWidth="1"/>
    <col min="1549" max="1549" width="12.85546875" bestFit="1" customWidth="1"/>
    <col min="1550" max="1550" width="11.28515625" bestFit="1" customWidth="1"/>
    <col min="1551" max="1551" width="12.5703125" bestFit="1" customWidth="1"/>
    <col min="1552" max="1552" width="14" bestFit="1" customWidth="1"/>
    <col min="1553" max="1553" width="6" bestFit="1" customWidth="1"/>
    <col min="1554" max="1554" width="15" customWidth="1"/>
    <col min="1555" max="1555" width="14.85546875" bestFit="1" customWidth="1"/>
    <col min="1556" max="1556" width="16.140625" bestFit="1" customWidth="1"/>
    <col min="1784" max="1784" width="24" bestFit="1" customWidth="1"/>
    <col min="1785" max="1785" width="43.85546875" customWidth="1"/>
    <col min="1786" max="1786" width="19.7109375" bestFit="1" customWidth="1"/>
    <col min="1787" max="1787" width="11.42578125" bestFit="1" customWidth="1"/>
    <col min="1788" max="1788" width="14.85546875" bestFit="1" customWidth="1"/>
    <col min="1789" max="1789" width="13.42578125" customWidth="1"/>
    <col min="1790" max="1790" width="15.28515625" bestFit="1" customWidth="1"/>
    <col min="1791" max="1791" width="14.140625" bestFit="1" customWidth="1"/>
    <col min="1792" max="1792" width="15.28515625" customWidth="1"/>
    <col min="1793" max="1793" width="15.85546875" customWidth="1"/>
    <col min="1794" max="1794" width="17" bestFit="1" customWidth="1"/>
    <col min="1795" max="1795" width="12.7109375" customWidth="1"/>
    <col min="1796" max="1796" width="13.7109375" customWidth="1"/>
    <col min="1797" max="1797" width="13.85546875" bestFit="1" customWidth="1"/>
    <col min="1798" max="1798" width="15.5703125" bestFit="1" customWidth="1"/>
    <col min="1799" max="1799" width="16.140625" customWidth="1"/>
    <col min="1800" max="1800" width="16.7109375" bestFit="1" customWidth="1"/>
    <col min="1801" max="1801" width="15.5703125" bestFit="1" customWidth="1"/>
    <col min="1802" max="1802" width="20.5703125" bestFit="1" customWidth="1"/>
    <col min="1803" max="1803" width="16.42578125" bestFit="1" customWidth="1"/>
    <col min="1804" max="1804" width="14.28515625" customWidth="1"/>
    <col min="1805" max="1805" width="12.85546875" bestFit="1" customWidth="1"/>
    <col min="1806" max="1806" width="11.28515625" bestFit="1" customWidth="1"/>
    <col min="1807" max="1807" width="12.5703125" bestFit="1" customWidth="1"/>
    <col min="1808" max="1808" width="14" bestFit="1" customWidth="1"/>
    <col min="1809" max="1809" width="6" bestFit="1" customWidth="1"/>
    <col min="1810" max="1810" width="15" customWidth="1"/>
    <col min="1811" max="1811" width="14.85546875" bestFit="1" customWidth="1"/>
    <col min="1812" max="1812" width="16.140625" bestFit="1" customWidth="1"/>
    <col min="2040" max="2040" width="24" bestFit="1" customWidth="1"/>
    <col min="2041" max="2041" width="43.85546875" customWidth="1"/>
    <col min="2042" max="2042" width="19.7109375" bestFit="1" customWidth="1"/>
    <col min="2043" max="2043" width="11.42578125" bestFit="1" customWidth="1"/>
    <col min="2044" max="2044" width="14.85546875" bestFit="1" customWidth="1"/>
    <col min="2045" max="2045" width="13.42578125" customWidth="1"/>
    <col min="2046" max="2046" width="15.28515625" bestFit="1" customWidth="1"/>
    <col min="2047" max="2047" width="14.140625" bestFit="1" customWidth="1"/>
    <col min="2048" max="2048" width="15.28515625" customWidth="1"/>
    <col min="2049" max="2049" width="15.85546875" customWidth="1"/>
    <col min="2050" max="2050" width="17" bestFit="1" customWidth="1"/>
    <col min="2051" max="2051" width="12.7109375" customWidth="1"/>
    <col min="2052" max="2052" width="13.7109375" customWidth="1"/>
    <col min="2053" max="2053" width="13.85546875" bestFit="1" customWidth="1"/>
    <col min="2054" max="2054" width="15.5703125" bestFit="1" customWidth="1"/>
    <col min="2055" max="2055" width="16.140625" customWidth="1"/>
    <col min="2056" max="2056" width="16.7109375" bestFit="1" customWidth="1"/>
    <col min="2057" max="2057" width="15.5703125" bestFit="1" customWidth="1"/>
    <col min="2058" max="2058" width="20.5703125" bestFit="1" customWidth="1"/>
    <col min="2059" max="2059" width="16.42578125" bestFit="1" customWidth="1"/>
    <col min="2060" max="2060" width="14.28515625" customWidth="1"/>
    <col min="2061" max="2061" width="12.85546875" bestFit="1" customWidth="1"/>
    <col min="2062" max="2062" width="11.28515625" bestFit="1" customWidth="1"/>
    <col min="2063" max="2063" width="12.5703125" bestFit="1" customWidth="1"/>
    <col min="2064" max="2064" width="14" bestFit="1" customWidth="1"/>
    <col min="2065" max="2065" width="6" bestFit="1" customWidth="1"/>
    <col min="2066" max="2066" width="15" customWidth="1"/>
    <col min="2067" max="2067" width="14.85546875" bestFit="1" customWidth="1"/>
    <col min="2068" max="2068" width="16.140625" bestFit="1" customWidth="1"/>
    <col min="2296" max="2296" width="24" bestFit="1" customWidth="1"/>
    <col min="2297" max="2297" width="43.85546875" customWidth="1"/>
    <col min="2298" max="2298" width="19.7109375" bestFit="1" customWidth="1"/>
    <col min="2299" max="2299" width="11.42578125" bestFit="1" customWidth="1"/>
    <col min="2300" max="2300" width="14.85546875" bestFit="1" customWidth="1"/>
    <col min="2301" max="2301" width="13.42578125" customWidth="1"/>
    <col min="2302" max="2302" width="15.28515625" bestFit="1" customWidth="1"/>
    <col min="2303" max="2303" width="14.140625" bestFit="1" customWidth="1"/>
    <col min="2304" max="2304" width="15.28515625" customWidth="1"/>
    <col min="2305" max="2305" width="15.85546875" customWidth="1"/>
    <col min="2306" max="2306" width="17" bestFit="1" customWidth="1"/>
    <col min="2307" max="2307" width="12.7109375" customWidth="1"/>
    <col min="2308" max="2308" width="13.7109375" customWidth="1"/>
    <col min="2309" max="2309" width="13.85546875" bestFit="1" customWidth="1"/>
    <col min="2310" max="2310" width="15.5703125" bestFit="1" customWidth="1"/>
    <col min="2311" max="2311" width="16.140625" customWidth="1"/>
    <col min="2312" max="2312" width="16.7109375" bestFit="1" customWidth="1"/>
    <col min="2313" max="2313" width="15.5703125" bestFit="1" customWidth="1"/>
    <col min="2314" max="2314" width="20.5703125" bestFit="1" customWidth="1"/>
    <col min="2315" max="2315" width="16.42578125" bestFit="1" customWidth="1"/>
    <col min="2316" max="2316" width="14.28515625" customWidth="1"/>
    <col min="2317" max="2317" width="12.85546875" bestFit="1" customWidth="1"/>
    <col min="2318" max="2318" width="11.28515625" bestFit="1" customWidth="1"/>
    <col min="2319" max="2319" width="12.5703125" bestFit="1" customWidth="1"/>
    <col min="2320" max="2320" width="14" bestFit="1" customWidth="1"/>
    <col min="2321" max="2321" width="6" bestFit="1" customWidth="1"/>
    <col min="2322" max="2322" width="15" customWidth="1"/>
    <col min="2323" max="2323" width="14.85546875" bestFit="1" customWidth="1"/>
    <col min="2324" max="2324" width="16.140625" bestFit="1" customWidth="1"/>
    <col min="2552" max="2552" width="24" bestFit="1" customWidth="1"/>
    <col min="2553" max="2553" width="43.85546875" customWidth="1"/>
    <col min="2554" max="2554" width="19.7109375" bestFit="1" customWidth="1"/>
    <col min="2555" max="2555" width="11.42578125" bestFit="1" customWidth="1"/>
    <col min="2556" max="2556" width="14.85546875" bestFit="1" customWidth="1"/>
    <col min="2557" max="2557" width="13.42578125" customWidth="1"/>
    <col min="2558" max="2558" width="15.28515625" bestFit="1" customWidth="1"/>
    <col min="2559" max="2559" width="14.140625" bestFit="1" customWidth="1"/>
    <col min="2560" max="2560" width="15.28515625" customWidth="1"/>
    <col min="2561" max="2561" width="15.85546875" customWidth="1"/>
    <col min="2562" max="2562" width="17" bestFit="1" customWidth="1"/>
    <col min="2563" max="2563" width="12.7109375" customWidth="1"/>
    <col min="2564" max="2564" width="13.7109375" customWidth="1"/>
    <col min="2565" max="2565" width="13.85546875" bestFit="1" customWidth="1"/>
    <col min="2566" max="2566" width="15.5703125" bestFit="1" customWidth="1"/>
    <col min="2567" max="2567" width="16.140625" customWidth="1"/>
    <col min="2568" max="2568" width="16.7109375" bestFit="1" customWidth="1"/>
    <col min="2569" max="2569" width="15.5703125" bestFit="1" customWidth="1"/>
    <col min="2570" max="2570" width="20.5703125" bestFit="1" customWidth="1"/>
    <col min="2571" max="2571" width="16.42578125" bestFit="1" customWidth="1"/>
    <col min="2572" max="2572" width="14.28515625" customWidth="1"/>
    <col min="2573" max="2573" width="12.85546875" bestFit="1" customWidth="1"/>
    <col min="2574" max="2574" width="11.28515625" bestFit="1" customWidth="1"/>
    <col min="2575" max="2575" width="12.5703125" bestFit="1" customWidth="1"/>
    <col min="2576" max="2576" width="14" bestFit="1" customWidth="1"/>
    <col min="2577" max="2577" width="6" bestFit="1" customWidth="1"/>
    <col min="2578" max="2578" width="15" customWidth="1"/>
    <col min="2579" max="2579" width="14.85546875" bestFit="1" customWidth="1"/>
    <col min="2580" max="2580" width="16.140625" bestFit="1" customWidth="1"/>
    <col min="2808" max="2808" width="24" bestFit="1" customWidth="1"/>
    <col min="2809" max="2809" width="43.85546875" customWidth="1"/>
    <col min="2810" max="2810" width="19.7109375" bestFit="1" customWidth="1"/>
    <col min="2811" max="2811" width="11.42578125" bestFit="1" customWidth="1"/>
    <col min="2812" max="2812" width="14.85546875" bestFit="1" customWidth="1"/>
    <col min="2813" max="2813" width="13.42578125" customWidth="1"/>
    <col min="2814" max="2814" width="15.28515625" bestFit="1" customWidth="1"/>
    <col min="2815" max="2815" width="14.140625" bestFit="1" customWidth="1"/>
    <col min="2816" max="2816" width="15.28515625" customWidth="1"/>
    <col min="2817" max="2817" width="15.85546875" customWidth="1"/>
    <col min="2818" max="2818" width="17" bestFit="1" customWidth="1"/>
    <col min="2819" max="2819" width="12.7109375" customWidth="1"/>
    <col min="2820" max="2820" width="13.7109375" customWidth="1"/>
    <col min="2821" max="2821" width="13.85546875" bestFit="1" customWidth="1"/>
    <col min="2822" max="2822" width="15.5703125" bestFit="1" customWidth="1"/>
    <col min="2823" max="2823" width="16.140625" customWidth="1"/>
    <col min="2824" max="2824" width="16.7109375" bestFit="1" customWidth="1"/>
    <col min="2825" max="2825" width="15.5703125" bestFit="1" customWidth="1"/>
    <col min="2826" max="2826" width="20.5703125" bestFit="1" customWidth="1"/>
    <col min="2827" max="2827" width="16.42578125" bestFit="1" customWidth="1"/>
    <col min="2828" max="2828" width="14.28515625" customWidth="1"/>
    <col min="2829" max="2829" width="12.85546875" bestFit="1" customWidth="1"/>
    <col min="2830" max="2830" width="11.28515625" bestFit="1" customWidth="1"/>
    <col min="2831" max="2831" width="12.5703125" bestFit="1" customWidth="1"/>
    <col min="2832" max="2832" width="14" bestFit="1" customWidth="1"/>
    <col min="2833" max="2833" width="6" bestFit="1" customWidth="1"/>
    <col min="2834" max="2834" width="15" customWidth="1"/>
    <col min="2835" max="2835" width="14.85546875" bestFit="1" customWidth="1"/>
    <col min="2836" max="2836" width="16.140625" bestFit="1" customWidth="1"/>
    <col min="3064" max="3064" width="24" bestFit="1" customWidth="1"/>
    <col min="3065" max="3065" width="43.85546875" customWidth="1"/>
    <col min="3066" max="3066" width="19.7109375" bestFit="1" customWidth="1"/>
    <col min="3067" max="3067" width="11.42578125" bestFit="1" customWidth="1"/>
    <col min="3068" max="3068" width="14.85546875" bestFit="1" customWidth="1"/>
    <col min="3069" max="3069" width="13.42578125" customWidth="1"/>
    <col min="3070" max="3070" width="15.28515625" bestFit="1" customWidth="1"/>
    <col min="3071" max="3071" width="14.140625" bestFit="1" customWidth="1"/>
    <col min="3072" max="3072" width="15.28515625" customWidth="1"/>
    <col min="3073" max="3073" width="15.85546875" customWidth="1"/>
    <col min="3074" max="3074" width="17" bestFit="1" customWidth="1"/>
    <col min="3075" max="3075" width="12.7109375" customWidth="1"/>
    <col min="3076" max="3076" width="13.7109375" customWidth="1"/>
    <col min="3077" max="3077" width="13.85546875" bestFit="1" customWidth="1"/>
    <col min="3078" max="3078" width="15.5703125" bestFit="1" customWidth="1"/>
    <col min="3079" max="3079" width="16.140625" customWidth="1"/>
    <col min="3080" max="3080" width="16.7109375" bestFit="1" customWidth="1"/>
    <col min="3081" max="3081" width="15.5703125" bestFit="1" customWidth="1"/>
    <col min="3082" max="3082" width="20.5703125" bestFit="1" customWidth="1"/>
    <col min="3083" max="3083" width="16.42578125" bestFit="1" customWidth="1"/>
    <col min="3084" max="3084" width="14.28515625" customWidth="1"/>
    <col min="3085" max="3085" width="12.85546875" bestFit="1" customWidth="1"/>
    <col min="3086" max="3086" width="11.28515625" bestFit="1" customWidth="1"/>
    <col min="3087" max="3087" width="12.5703125" bestFit="1" customWidth="1"/>
    <col min="3088" max="3088" width="14" bestFit="1" customWidth="1"/>
    <col min="3089" max="3089" width="6" bestFit="1" customWidth="1"/>
    <col min="3090" max="3090" width="15" customWidth="1"/>
    <col min="3091" max="3091" width="14.85546875" bestFit="1" customWidth="1"/>
    <col min="3092" max="3092" width="16.140625" bestFit="1" customWidth="1"/>
    <col min="3320" max="3320" width="24" bestFit="1" customWidth="1"/>
    <col min="3321" max="3321" width="43.85546875" customWidth="1"/>
    <col min="3322" max="3322" width="19.7109375" bestFit="1" customWidth="1"/>
    <col min="3323" max="3323" width="11.42578125" bestFit="1" customWidth="1"/>
    <col min="3324" max="3324" width="14.85546875" bestFit="1" customWidth="1"/>
    <col min="3325" max="3325" width="13.42578125" customWidth="1"/>
    <col min="3326" max="3326" width="15.28515625" bestFit="1" customWidth="1"/>
    <col min="3327" max="3327" width="14.140625" bestFit="1" customWidth="1"/>
    <col min="3328" max="3328" width="15.28515625" customWidth="1"/>
    <col min="3329" max="3329" width="15.85546875" customWidth="1"/>
    <col min="3330" max="3330" width="17" bestFit="1" customWidth="1"/>
    <col min="3331" max="3331" width="12.7109375" customWidth="1"/>
    <col min="3332" max="3332" width="13.7109375" customWidth="1"/>
    <col min="3333" max="3333" width="13.85546875" bestFit="1" customWidth="1"/>
    <col min="3334" max="3334" width="15.5703125" bestFit="1" customWidth="1"/>
    <col min="3335" max="3335" width="16.140625" customWidth="1"/>
    <col min="3336" max="3336" width="16.7109375" bestFit="1" customWidth="1"/>
    <col min="3337" max="3337" width="15.5703125" bestFit="1" customWidth="1"/>
    <col min="3338" max="3338" width="20.5703125" bestFit="1" customWidth="1"/>
    <col min="3339" max="3339" width="16.42578125" bestFit="1" customWidth="1"/>
    <col min="3340" max="3340" width="14.28515625" customWidth="1"/>
    <col min="3341" max="3341" width="12.85546875" bestFit="1" customWidth="1"/>
    <col min="3342" max="3342" width="11.28515625" bestFit="1" customWidth="1"/>
    <col min="3343" max="3343" width="12.5703125" bestFit="1" customWidth="1"/>
    <col min="3344" max="3344" width="14" bestFit="1" customWidth="1"/>
    <col min="3345" max="3345" width="6" bestFit="1" customWidth="1"/>
    <col min="3346" max="3346" width="15" customWidth="1"/>
    <col min="3347" max="3347" width="14.85546875" bestFit="1" customWidth="1"/>
    <col min="3348" max="3348" width="16.140625" bestFit="1" customWidth="1"/>
    <col min="3576" max="3576" width="24" bestFit="1" customWidth="1"/>
    <col min="3577" max="3577" width="43.85546875" customWidth="1"/>
    <col min="3578" max="3578" width="19.7109375" bestFit="1" customWidth="1"/>
    <col min="3579" max="3579" width="11.42578125" bestFit="1" customWidth="1"/>
    <col min="3580" max="3580" width="14.85546875" bestFit="1" customWidth="1"/>
    <col min="3581" max="3581" width="13.42578125" customWidth="1"/>
    <col min="3582" max="3582" width="15.28515625" bestFit="1" customWidth="1"/>
    <col min="3583" max="3583" width="14.140625" bestFit="1" customWidth="1"/>
    <col min="3584" max="3584" width="15.28515625" customWidth="1"/>
    <col min="3585" max="3585" width="15.85546875" customWidth="1"/>
    <col min="3586" max="3586" width="17" bestFit="1" customWidth="1"/>
    <col min="3587" max="3587" width="12.7109375" customWidth="1"/>
    <col min="3588" max="3588" width="13.7109375" customWidth="1"/>
    <col min="3589" max="3589" width="13.85546875" bestFit="1" customWidth="1"/>
    <col min="3590" max="3590" width="15.5703125" bestFit="1" customWidth="1"/>
    <col min="3591" max="3591" width="16.140625" customWidth="1"/>
    <col min="3592" max="3592" width="16.7109375" bestFit="1" customWidth="1"/>
    <col min="3593" max="3593" width="15.5703125" bestFit="1" customWidth="1"/>
    <col min="3594" max="3594" width="20.5703125" bestFit="1" customWidth="1"/>
    <col min="3595" max="3595" width="16.42578125" bestFit="1" customWidth="1"/>
    <col min="3596" max="3596" width="14.28515625" customWidth="1"/>
    <col min="3597" max="3597" width="12.85546875" bestFit="1" customWidth="1"/>
    <col min="3598" max="3598" width="11.28515625" bestFit="1" customWidth="1"/>
    <col min="3599" max="3599" width="12.5703125" bestFit="1" customWidth="1"/>
    <col min="3600" max="3600" width="14" bestFit="1" customWidth="1"/>
    <col min="3601" max="3601" width="6" bestFit="1" customWidth="1"/>
    <col min="3602" max="3602" width="15" customWidth="1"/>
    <col min="3603" max="3603" width="14.85546875" bestFit="1" customWidth="1"/>
    <col min="3604" max="3604" width="16.140625" bestFit="1" customWidth="1"/>
    <col min="3832" max="3832" width="24" bestFit="1" customWidth="1"/>
    <col min="3833" max="3833" width="43.85546875" customWidth="1"/>
    <col min="3834" max="3834" width="19.7109375" bestFit="1" customWidth="1"/>
    <col min="3835" max="3835" width="11.42578125" bestFit="1" customWidth="1"/>
    <col min="3836" max="3836" width="14.85546875" bestFit="1" customWidth="1"/>
    <col min="3837" max="3837" width="13.42578125" customWidth="1"/>
    <col min="3838" max="3838" width="15.28515625" bestFit="1" customWidth="1"/>
    <col min="3839" max="3839" width="14.140625" bestFit="1" customWidth="1"/>
    <col min="3840" max="3840" width="15.28515625" customWidth="1"/>
    <col min="3841" max="3841" width="15.85546875" customWidth="1"/>
    <col min="3842" max="3842" width="17" bestFit="1" customWidth="1"/>
    <col min="3843" max="3843" width="12.7109375" customWidth="1"/>
    <col min="3844" max="3844" width="13.7109375" customWidth="1"/>
    <col min="3845" max="3845" width="13.85546875" bestFit="1" customWidth="1"/>
    <col min="3846" max="3846" width="15.5703125" bestFit="1" customWidth="1"/>
    <col min="3847" max="3847" width="16.140625" customWidth="1"/>
    <col min="3848" max="3848" width="16.7109375" bestFit="1" customWidth="1"/>
    <col min="3849" max="3849" width="15.5703125" bestFit="1" customWidth="1"/>
    <col min="3850" max="3850" width="20.5703125" bestFit="1" customWidth="1"/>
    <col min="3851" max="3851" width="16.42578125" bestFit="1" customWidth="1"/>
    <col min="3852" max="3852" width="14.28515625" customWidth="1"/>
    <col min="3853" max="3853" width="12.85546875" bestFit="1" customWidth="1"/>
    <col min="3854" max="3854" width="11.28515625" bestFit="1" customWidth="1"/>
    <col min="3855" max="3855" width="12.5703125" bestFit="1" customWidth="1"/>
    <col min="3856" max="3856" width="14" bestFit="1" customWidth="1"/>
    <col min="3857" max="3857" width="6" bestFit="1" customWidth="1"/>
    <col min="3858" max="3858" width="15" customWidth="1"/>
    <col min="3859" max="3859" width="14.85546875" bestFit="1" customWidth="1"/>
    <col min="3860" max="3860" width="16.140625" bestFit="1" customWidth="1"/>
    <col min="4088" max="4088" width="24" bestFit="1" customWidth="1"/>
    <col min="4089" max="4089" width="43.85546875" customWidth="1"/>
    <col min="4090" max="4090" width="19.7109375" bestFit="1" customWidth="1"/>
    <col min="4091" max="4091" width="11.42578125" bestFit="1" customWidth="1"/>
    <col min="4092" max="4092" width="14.85546875" bestFit="1" customWidth="1"/>
    <col min="4093" max="4093" width="13.42578125" customWidth="1"/>
    <col min="4094" max="4094" width="15.28515625" bestFit="1" customWidth="1"/>
    <col min="4095" max="4095" width="14.140625" bestFit="1" customWidth="1"/>
    <col min="4096" max="4096" width="15.28515625" customWidth="1"/>
    <col min="4097" max="4097" width="15.85546875" customWidth="1"/>
    <col min="4098" max="4098" width="17" bestFit="1" customWidth="1"/>
    <col min="4099" max="4099" width="12.7109375" customWidth="1"/>
    <col min="4100" max="4100" width="13.7109375" customWidth="1"/>
    <col min="4101" max="4101" width="13.85546875" bestFit="1" customWidth="1"/>
    <col min="4102" max="4102" width="15.5703125" bestFit="1" customWidth="1"/>
    <col min="4103" max="4103" width="16.140625" customWidth="1"/>
    <col min="4104" max="4104" width="16.7109375" bestFit="1" customWidth="1"/>
    <col min="4105" max="4105" width="15.5703125" bestFit="1" customWidth="1"/>
    <col min="4106" max="4106" width="20.5703125" bestFit="1" customWidth="1"/>
    <col min="4107" max="4107" width="16.42578125" bestFit="1" customWidth="1"/>
    <col min="4108" max="4108" width="14.28515625" customWidth="1"/>
    <col min="4109" max="4109" width="12.85546875" bestFit="1" customWidth="1"/>
    <col min="4110" max="4110" width="11.28515625" bestFit="1" customWidth="1"/>
    <col min="4111" max="4111" width="12.5703125" bestFit="1" customWidth="1"/>
    <col min="4112" max="4112" width="14" bestFit="1" customWidth="1"/>
    <col min="4113" max="4113" width="6" bestFit="1" customWidth="1"/>
    <col min="4114" max="4114" width="15" customWidth="1"/>
    <col min="4115" max="4115" width="14.85546875" bestFit="1" customWidth="1"/>
    <col min="4116" max="4116" width="16.140625" bestFit="1" customWidth="1"/>
    <col min="4344" max="4344" width="24" bestFit="1" customWidth="1"/>
    <col min="4345" max="4345" width="43.85546875" customWidth="1"/>
    <col min="4346" max="4346" width="19.7109375" bestFit="1" customWidth="1"/>
    <col min="4347" max="4347" width="11.42578125" bestFit="1" customWidth="1"/>
    <col min="4348" max="4348" width="14.85546875" bestFit="1" customWidth="1"/>
    <col min="4349" max="4349" width="13.42578125" customWidth="1"/>
    <col min="4350" max="4350" width="15.28515625" bestFit="1" customWidth="1"/>
    <col min="4351" max="4351" width="14.140625" bestFit="1" customWidth="1"/>
    <col min="4352" max="4352" width="15.28515625" customWidth="1"/>
    <col min="4353" max="4353" width="15.85546875" customWidth="1"/>
    <col min="4354" max="4354" width="17" bestFit="1" customWidth="1"/>
    <col min="4355" max="4355" width="12.7109375" customWidth="1"/>
    <col min="4356" max="4356" width="13.7109375" customWidth="1"/>
    <col min="4357" max="4357" width="13.85546875" bestFit="1" customWidth="1"/>
    <col min="4358" max="4358" width="15.5703125" bestFit="1" customWidth="1"/>
    <col min="4359" max="4359" width="16.140625" customWidth="1"/>
    <col min="4360" max="4360" width="16.7109375" bestFit="1" customWidth="1"/>
    <col min="4361" max="4361" width="15.5703125" bestFit="1" customWidth="1"/>
    <col min="4362" max="4362" width="20.5703125" bestFit="1" customWidth="1"/>
    <col min="4363" max="4363" width="16.42578125" bestFit="1" customWidth="1"/>
    <col min="4364" max="4364" width="14.28515625" customWidth="1"/>
    <col min="4365" max="4365" width="12.85546875" bestFit="1" customWidth="1"/>
    <col min="4366" max="4366" width="11.28515625" bestFit="1" customWidth="1"/>
    <col min="4367" max="4367" width="12.5703125" bestFit="1" customWidth="1"/>
    <col min="4368" max="4368" width="14" bestFit="1" customWidth="1"/>
    <col min="4369" max="4369" width="6" bestFit="1" customWidth="1"/>
    <col min="4370" max="4370" width="15" customWidth="1"/>
    <col min="4371" max="4371" width="14.85546875" bestFit="1" customWidth="1"/>
    <col min="4372" max="4372" width="16.140625" bestFit="1" customWidth="1"/>
    <col min="4600" max="4600" width="24" bestFit="1" customWidth="1"/>
    <col min="4601" max="4601" width="43.85546875" customWidth="1"/>
    <col min="4602" max="4602" width="19.7109375" bestFit="1" customWidth="1"/>
    <col min="4603" max="4603" width="11.42578125" bestFit="1" customWidth="1"/>
    <col min="4604" max="4604" width="14.85546875" bestFit="1" customWidth="1"/>
    <col min="4605" max="4605" width="13.42578125" customWidth="1"/>
    <col min="4606" max="4606" width="15.28515625" bestFit="1" customWidth="1"/>
    <col min="4607" max="4607" width="14.140625" bestFit="1" customWidth="1"/>
    <col min="4608" max="4608" width="15.28515625" customWidth="1"/>
    <col min="4609" max="4609" width="15.85546875" customWidth="1"/>
    <col min="4610" max="4610" width="17" bestFit="1" customWidth="1"/>
    <col min="4611" max="4611" width="12.7109375" customWidth="1"/>
    <col min="4612" max="4612" width="13.7109375" customWidth="1"/>
    <col min="4613" max="4613" width="13.85546875" bestFit="1" customWidth="1"/>
    <col min="4614" max="4614" width="15.5703125" bestFit="1" customWidth="1"/>
    <col min="4615" max="4615" width="16.140625" customWidth="1"/>
    <col min="4616" max="4616" width="16.7109375" bestFit="1" customWidth="1"/>
    <col min="4617" max="4617" width="15.5703125" bestFit="1" customWidth="1"/>
    <col min="4618" max="4618" width="20.5703125" bestFit="1" customWidth="1"/>
    <col min="4619" max="4619" width="16.42578125" bestFit="1" customWidth="1"/>
    <col min="4620" max="4620" width="14.28515625" customWidth="1"/>
    <col min="4621" max="4621" width="12.85546875" bestFit="1" customWidth="1"/>
    <col min="4622" max="4622" width="11.28515625" bestFit="1" customWidth="1"/>
    <col min="4623" max="4623" width="12.5703125" bestFit="1" customWidth="1"/>
    <col min="4624" max="4624" width="14" bestFit="1" customWidth="1"/>
    <col min="4625" max="4625" width="6" bestFit="1" customWidth="1"/>
    <col min="4626" max="4626" width="15" customWidth="1"/>
    <col min="4627" max="4627" width="14.85546875" bestFit="1" customWidth="1"/>
    <col min="4628" max="4628" width="16.140625" bestFit="1" customWidth="1"/>
    <col min="4856" max="4856" width="24" bestFit="1" customWidth="1"/>
    <col min="4857" max="4857" width="43.85546875" customWidth="1"/>
    <col min="4858" max="4858" width="19.7109375" bestFit="1" customWidth="1"/>
    <col min="4859" max="4859" width="11.42578125" bestFit="1" customWidth="1"/>
    <col min="4860" max="4860" width="14.85546875" bestFit="1" customWidth="1"/>
    <col min="4861" max="4861" width="13.42578125" customWidth="1"/>
    <col min="4862" max="4862" width="15.28515625" bestFit="1" customWidth="1"/>
    <col min="4863" max="4863" width="14.140625" bestFit="1" customWidth="1"/>
    <col min="4864" max="4864" width="15.28515625" customWidth="1"/>
    <col min="4865" max="4865" width="15.85546875" customWidth="1"/>
    <col min="4866" max="4866" width="17" bestFit="1" customWidth="1"/>
    <col min="4867" max="4867" width="12.7109375" customWidth="1"/>
    <col min="4868" max="4868" width="13.7109375" customWidth="1"/>
    <col min="4869" max="4869" width="13.85546875" bestFit="1" customWidth="1"/>
    <col min="4870" max="4870" width="15.5703125" bestFit="1" customWidth="1"/>
    <col min="4871" max="4871" width="16.140625" customWidth="1"/>
    <col min="4872" max="4872" width="16.7109375" bestFit="1" customWidth="1"/>
    <col min="4873" max="4873" width="15.5703125" bestFit="1" customWidth="1"/>
    <col min="4874" max="4874" width="20.5703125" bestFit="1" customWidth="1"/>
    <col min="4875" max="4875" width="16.42578125" bestFit="1" customWidth="1"/>
    <col min="4876" max="4876" width="14.28515625" customWidth="1"/>
    <col min="4877" max="4877" width="12.85546875" bestFit="1" customWidth="1"/>
    <col min="4878" max="4878" width="11.28515625" bestFit="1" customWidth="1"/>
    <col min="4879" max="4879" width="12.5703125" bestFit="1" customWidth="1"/>
    <col min="4880" max="4880" width="14" bestFit="1" customWidth="1"/>
    <col min="4881" max="4881" width="6" bestFit="1" customWidth="1"/>
    <col min="4882" max="4882" width="15" customWidth="1"/>
    <col min="4883" max="4883" width="14.85546875" bestFit="1" customWidth="1"/>
    <col min="4884" max="4884" width="16.140625" bestFit="1" customWidth="1"/>
    <col min="5112" max="5112" width="24" bestFit="1" customWidth="1"/>
    <col min="5113" max="5113" width="43.85546875" customWidth="1"/>
    <col min="5114" max="5114" width="19.7109375" bestFit="1" customWidth="1"/>
    <col min="5115" max="5115" width="11.42578125" bestFit="1" customWidth="1"/>
    <col min="5116" max="5116" width="14.85546875" bestFit="1" customWidth="1"/>
    <col min="5117" max="5117" width="13.42578125" customWidth="1"/>
    <col min="5118" max="5118" width="15.28515625" bestFit="1" customWidth="1"/>
    <col min="5119" max="5119" width="14.140625" bestFit="1" customWidth="1"/>
    <col min="5120" max="5120" width="15.28515625" customWidth="1"/>
    <col min="5121" max="5121" width="15.85546875" customWidth="1"/>
    <col min="5122" max="5122" width="17" bestFit="1" customWidth="1"/>
    <col min="5123" max="5123" width="12.7109375" customWidth="1"/>
    <col min="5124" max="5124" width="13.7109375" customWidth="1"/>
    <col min="5125" max="5125" width="13.85546875" bestFit="1" customWidth="1"/>
    <col min="5126" max="5126" width="15.5703125" bestFit="1" customWidth="1"/>
    <col min="5127" max="5127" width="16.140625" customWidth="1"/>
    <col min="5128" max="5128" width="16.7109375" bestFit="1" customWidth="1"/>
    <col min="5129" max="5129" width="15.5703125" bestFit="1" customWidth="1"/>
    <col min="5130" max="5130" width="20.5703125" bestFit="1" customWidth="1"/>
    <col min="5131" max="5131" width="16.42578125" bestFit="1" customWidth="1"/>
    <col min="5132" max="5132" width="14.28515625" customWidth="1"/>
    <col min="5133" max="5133" width="12.85546875" bestFit="1" customWidth="1"/>
    <col min="5134" max="5134" width="11.28515625" bestFit="1" customWidth="1"/>
    <col min="5135" max="5135" width="12.5703125" bestFit="1" customWidth="1"/>
    <col min="5136" max="5136" width="14" bestFit="1" customWidth="1"/>
    <col min="5137" max="5137" width="6" bestFit="1" customWidth="1"/>
    <col min="5138" max="5138" width="15" customWidth="1"/>
    <col min="5139" max="5139" width="14.85546875" bestFit="1" customWidth="1"/>
    <col min="5140" max="5140" width="16.140625" bestFit="1" customWidth="1"/>
    <col min="5368" max="5368" width="24" bestFit="1" customWidth="1"/>
    <col min="5369" max="5369" width="43.85546875" customWidth="1"/>
    <col min="5370" max="5370" width="19.7109375" bestFit="1" customWidth="1"/>
    <col min="5371" max="5371" width="11.42578125" bestFit="1" customWidth="1"/>
    <col min="5372" max="5372" width="14.85546875" bestFit="1" customWidth="1"/>
    <col min="5373" max="5373" width="13.42578125" customWidth="1"/>
    <col min="5374" max="5374" width="15.28515625" bestFit="1" customWidth="1"/>
    <col min="5375" max="5375" width="14.140625" bestFit="1" customWidth="1"/>
    <col min="5376" max="5376" width="15.28515625" customWidth="1"/>
    <col min="5377" max="5377" width="15.85546875" customWidth="1"/>
    <col min="5378" max="5378" width="17" bestFit="1" customWidth="1"/>
    <col min="5379" max="5379" width="12.7109375" customWidth="1"/>
    <col min="5380" max="5380" width="13.7109375" customWidth="1"/>
    <col min="5381" max="5381" width="13.85546875" bestFit="1" customWidth="1"/>
    <col min="5382" max="5382" width="15.5703125" bestFit="1" customWidth="1"/>
    <col min="5383" max="5383" width="16.140625" customWidth="1"/>
    <col min="5384" max="5384" width="16.7109375" bestFit="1" customWidth="1"/>
    <col min="5385" max="5385" width="15.5703125" bestFit="1" customWidth="1"/>
    <col min="5386" max="5386" width="20.5703125" bestFit="1" customWidth="1"/>
    <col min="5387" max="5387" width="16.42578125" bestFit="1" customWidth="1"/>
    <col min="5388" max="5388" width="14.28515625" customWidth="1"/>
    <col min="5389" max="5389" width="12.85546875" bestFit="1" customWidth="1"/>
    <col min="5390" max="5390" width="11.28515625" bestFit="1" customWidth="1"/>
    <col min="5391" max="5391" width="12.5703125" bestFit="1" customWidth="1"/>
    <col min="5392" max="5392" width="14" bestFit="1" customWidth="1"/>
    <col min="5393" max="5393" width="6" bestFit="1" customWidth="1"/>
    <col min="5394" max="5394" width="15" customWidth="1"/>
    <col min="5395" max="5395" width="14.85546875" bestFit="1" customWidth="1"/>
    <col min="5396" max="5396" width="16.140625" bestFit="1" customWidth="1"/>
    <col min="5624" max="5624" width="24" bestFit="1" customWidth="1"/>
    <col min="5625" max="5625" width="43.85546875" customWidth="1"/>
    <col min="5626" max="5626" width="19.7109375" bestFit="1" customWidth="1"/>
    <col min="5627" max="5627" width="11.42578125" bestFit="1" customWidth="1"/>
    <col min="5628" max="5628" width="14.85546875" bestFit="1" customWidth="1"/>
    <col min="5629" max="5629" width="13.42578125" customWidth="1"/>
    <col min="5630" max="5630" width="15.28515625" bestFit="1" customWidth="1"/>
    <col min="5631" max="5631" width="14.140625" bestFit="1" customWidth="1"/>
    <col min="5632" max="5632" width="15.28515625" customWidth="1"/>
    <col min="5633" max="5633" width="15.85546875" customWidth="1"/>
    <col min="5634" max="5634" width="17" bestFit="1" customWidth="1"/>
    <col min="5635" max="5635" width="12.7109375" customWidth="1"/>
    <col min="5636" max="5636" width="13.7109375" customWidth="1"/>
    <col min="5637" max="5637" width="13.85546875" bestFit="1" customWidth="1"/>
    <col min="5638" max="5638" width="15.5703125" bestFit="1" customWidth="1"/>
    <col min="5639" max="5639" width="16.140625" customWidth="1"/>
    <col min="5640" max="5640" width="16.7109375" bestFit="1" customWidth="1"/>
    <col min="5641" max="5641" width="15.5703125" bestFit="1" customWidth="1"/>
    <col min="5642" max="5642" width="20.5703125" bestFit="1" customWidth="1"/>
    <col min="5643" max="5643" width="16.42578125" bestFit="1" customWidth="1"/>
    <col min="5644" max="5644" width="14.28515625" customWidth="1"/>
    <col min="5645" max="5645" width="12.85546875" bestFit="1" customWidth="1"/>
    <col min="5646" max="5646" width="11.28515625" bestFit="1" customWidth="1"/>
    <col min="5647" max="5647" width="12.5703125" bestFit="1" customWidth="1"/>
    <col min="5648" max="5648" width="14" bestFit="1" customWidth="1"/>
    <col min="5649" max="5649" width="6" bestFit="1" customWidth="1"/>
    <col min="5650" max="5650" width="15" customWidth="1"/>
    <col min="5651" max="5651" width="14.85546875" bestFit="1" customWidth="1"/>
    <col min="5652" max="5652" width="16.140625" bestFit="1" customWidth="1"/>
    <col min="5880" max="5880" width="24" bestFit="1" customWidth="1"/>
    <col min="5881" max="5881" width="43.85546875" customWidth="1"/>
    <col min="5882" max="5882" width="19.7109375" bestFit="1" customWidth="1"/>
    <col min="5883" max="5883" width="11.42578125" bestFit="1" customWidth="1"/>
    <col min="5884" max="5884" width="14.85546875" bestFit="1" customWidth="1"/>
    <col min="5885" max="5885" width="13.42578125" customWidth="1"/>
    <col min="5886" max="5886" width="15.28515625" bestFit="1" customWidth="1"/>
    <col min="5887" max="5887" width="14.140625" bestFit="1" customWidth="1"/>
    <col min="5888" max="5888" width="15.28515625" customWidth="1"/>
    <col min="5889" max="5889" width="15.85546875" customWidth="1"/>
    <col min="5890" max="5890" width="17" bestFit="1" customWidth="1"/>
    <col min="5891" max="5891" width="12.7109375" customWidth="1"/>
    <col min="5892" max="5892" width="13.7109375" customWidth="1"/>
    <col min="5893" max="5893" width="13.85546875" bestFit="1" customWidth="1"/>
    <col min="5894" max="5894" width="15.5703125" bestFit="1" customWidth="1"/>
    <col min="5895" max="5895" width="16.140625" customWidth="1"/>
    <col min="5896" max="5896" width="16.7109375" bestFit="1" customWidth="1"/>
    <col min="5897" max="5897" width="15.5703125" bestFit="1" customWidth="1"/>
    <col min="5898" max="5898" width="20.5703125" bestFit="1" customWidth="1"/>
    <col min="5899" max="5899" width="16.42578125" bestFit="1" customWidth="1"/>
    <col min="5900" max="5900" width="14.28515625" customWidth="1"/>
    <col min="5901" max="5901" width="12.85546875" bestFit="1" customWidth="1"/>
    <col min="5902" max="5902" width="11.28515625" bestFit="1" customWidth="1"/>
    <col min="5903" max="5903" width="12.5703125" bestFit="1" customWidth="1"/>
    <col min="5904" max="5904" width="14" bestFit="1" customWidth="1"/>
    <col min="5905" max="5905" width="6" bestFit="1" customWidth="1"/>
    <col min="5906" max="5906" width="15" customWidth="1"/>
    <col min="5907" max="5907" width="14.85546875" bestFit="1" customWidth="1"/>
    <col min="5908" max="5908" width="16.140625" bestFit="1" customWidth="1"/>
    <col min="6136" max="6136" width="24" bestFit="1" customWidth="1"/>
    <col min="6137" max="6137" width="43.85546875" customWidth="1"/>
    <col min="6138" max="6138" width="19.7109375" bestFit="1" customWidth="1"/>
    <col min="6139" max="6139" width="11.42578125" bestFit="1" customWidth="1"/>
    <col min="6140" max="6140" width="14.85546875" bestFit="1" customWidth="1"/>
    <col min="6141" max="6141" width="13.42578125" customWidth="1"/>
    <col min="6142" max="6142" width="15.28515625" bestFit="1" customWidth="1"/>
    <col min="6143" max="6143" width="14.140625" bestFit="1" customWidth="1"/>
    <col min="6144" max="6144" width="15.28515625" customWidth="1"/>
    <col min="6145" max="6145" width="15.85546875" customWidth="1"/>
    <col min="6146" max="6146" width="17" bestFit="1" customWidth="1"/>
    <col min="6147" max="6147" width="12.7109375" customWidth="1"/>
    <col min="6148" max="6148" width="13.7109375" customWidth="1"/>
    <col min="6149" max="6149" width="13.85546875" bestFit="1" customWidth="1"/>
    <col min="6150" max="6150" width="15.5703125" bestFit="1" customWidth="1"/>
    <col min="6151" max="6151" width="16.140625" customWidth="1"/>
    <col min="6152" max="6152" width="16.7109375" bestFit="1" customWidth="1"/>
    <col min="6153" max="6153" width="15.5703125" bestFit="1" customWidth="1"/>
    <col min="6154" max="6154" width="20.5703125" bestFit="1" customWidth="1"/>
    <col min="6155" max="6155" width="16.42578125" bestFit="1" customWidth="1"/>
    <col min="6156" max="6156" width="14.28515625" customWidth="1"/>
    <col min="6157" max="6157" width="12.85546875" bestFit="1" customWidth="1"/>
    <col min="6158" max="6158" width="11.28515625" bestFit="1" customWidth="1"/>
    <col min="6159" max="6159" width="12.5703125" bestFit="1" customWidth="1"/>
    <col min="6160" max="6160" width="14" bestFit="1" customWidth="1"/>
    <col min="6161" max="6161" width="6" bestFit="1" customWidth="1"/>
    <col min="6162" max="6162" width="15" customWidth="1"/>
    <col min="6163" max="6163" width="14.85546875" bestFit="1" customWidth="1"/>
    <col min="6164" max="6164" width="16.140625" bestFit="1" customWidth="1"/>
    <col min="6392" max="6392" width="24" bestFit="1" customWidth="1"/>
    <col min="6393" max="6393" width="43.85546875" customWidth="1"/>
    <col min="6394" max="6394" width="19.7109375" bestFit="1" customWidth="1"/>
    <col min="6395" max="6395" width="11.42578125" bestFit="1" customWidth="1"/>
    <col min="6396" max="6396" width="14.85546875" bestFit="1" customWidth="1"/>
    <col min="6397" max="6397" width="13.42578125" customWidth="1"/>
    <col min="6398" max="6398" width="15.28515625" bestFit="1" customWidth="1"/>
    <col min="6399" max="6399" width="14.140625" bestFit="1" customWidth="1"/>
    <col min="6400" max="6400" width="15.28515625" customWidth="1"/>
    <col min="6401" max="6401" width="15.85546875" customWidth="1"/>
    <col min="6402" max="6402" width="17" bestFit="1" customWidth="1"/>
    <col min="6403" max="6403" width="12.7109375" customWidth="1"/>
    <col min="6404" max="6404" width="13.7109375" customWidth="1"/>
    <col min="6405" max="6405" width="13.85546875" bestFit="1" customWidth="1"/>
    <col min="6406" max="6406" width="15.5703125" bestFit="1" customWidth="1"/>
    <col min="6407" max="6407" width="16.140625" customWidth="1"/>
    <col min="6408" max="6408" width="16.7109375" bestFit="1" customWidth="1"/>
    <col min="6409" max="6409" width="15.5703125" bestFit="1" customWidth="1"/>
    <col min="6410" max="6410" width="20.5703125" bestFit="1" customWidth="1"/>
    <col min="6411" max="6411" width="16.42578125" bestFit="1" customWidth="1"/>
    <col min="6412" max="6412" width="14.28515625" customWidth="1"/>
    <col min="6413" max="6413" width="12.85546875" bestFit="1" customWidth="1"/>
    <col min="6414" max="6414" width="11.28515625" bestFit="1" customWidth="1"/>
    <col min="6415" max="6415" width="12.5703125" bestFit="1" customWidth="1"/>
    <col min="6416" max="6416" width="14" bestFit="1" customWidth="1"/>
    <col min="6417" max="6417" width="6" bestFit="1" customWidth="1"/>
    <col min="6418" max="6418" width="15" customWidth="1"/>
    <col min="6419" max="6419" width="14.85546875" bestFit="1" customWidth="1"/>
    <col min="6420" max="6420" width="16.140625" bestFit="1" customWidth="1"/>
    <col min="6648" max="6648" width="24" bestFit="1" customWidth="1"/>
    <col min="6649" max="6649" width="43.85546875" customWidth="1"/>
    <col min="6650" max="6650" width="19.7109375" bestFit="1" customWidth="1"/>
    <col min="6651" max="6651" width="11.42578125" bestFit="1" customWidth="1"/>
    <col min="6652" max="6652" width="14.85546875" bestFit="1" customWidth="1"/>
    <col min="6653" max="6653" width="13.42578125" customWidth="1"/>
    <col min="6654" max="6654" width="15.28515625" bestFit="1" customWidth="1"/>
    <col min="6655" max="6655" width="14.140625" bestFit="1" customWidth="1"/>
    <col min="6656" max="6656" width="15.28515625" customWidth="1"/>
    <col min="6657" max="6657" width="15.85546875" customWidth="1"/>
    <col min="6658" max="6658" width="17" bestFit="1" customWidth="1"/>
    <col min="6659" max="6659" width="12.7109375" customWidth="1"/>
    <col min="6660" max="6660" width="13.7109375" customWidth="1"/>
    <col min="6661" max="6661" width="13.85546875" bestFit="1" customWidth="1"/>
    <col min="6662" max="6662" width="15.5703125" bestFit="1" customWidth="1"/>
    <col min="6663" max="6663" width="16.140625" customWidth="1"/>
    <col min="6664" max="6664" width="16.7109375" bestFit="1" customWidth="1"/>
    <col min="6665" max="6665" width="15.5703125" bestFit="1" customWidth="1"/>
    <col min="6666" max="6666" width="20.5703125" bestFit="1" customWidth="1"/>
    <col min="6667" max="6667" width="16.42578125" bestFit="1" customWidth="1"/>
    <col min="6668" max="6668" width="14.28515625" customWidth="1"/>
    <col min="6669" max="6669" width="12.85546875" bestFit="1" customWidth="1"/>
    <col min="6670" max="6670" width="11.28515625" bestFit="1" customWidth="1"/>
    <col min="6671" max="6671" width="12.5703125" bestFit="1" customWidth="1"/>
    <col min="6672" max="6672" width="14" bestFit="1" customWidth="1"/>
    <col min="6673" max="6673" width="6" bestFit="1" customWidth="1"/>
    <col min="6674" max="6674" width="15" customWidth="1"/>
    <col min="6675" max="6675" width="14.85546875" bestFit="1" customWidth="1"/>
    <col min="6676" max="6676" width="16.140625" bestFit="1" customWidth="1"/>
    <col min="6904" max="6904" width="24" bestFit="1" customWidth="1"/>
    <col min="6905" max="6905" width="43.85546875" customWidth="1"/>
    <col min="6906" max="6906" width="19.7109375" bestFit="1" customWidth="1"/>
    <col min="6907" max="6907" width="11.42578125" bestFit="1" customWidth="1"/>
    <col min="6908" max="6908" width="14.85546875" bestFit="1" customWidth="1"/>
    <col min="6909" max="6909" width="13.42578125" customWidth="1"/>
    <col min="6910" max="6910" width="15.28515625" bestFit="1" customWidth="1"/>
    <col min="6911" max="6911" width="14.140625" bestFit="1" customWidth="1"/>
    <col min="6912" max="6912" width="15.28515625" customWidth="1"/>
    <col min="6913" max="6913" width="15.85546875" customWidth="1"/>
    <col min="6914" max="6914" width="17" bestFit="1" customWidth="1"/>
    <col min="6915" max="6915" width="12.7109375" customWidth="1"/>
    <col min="6916" max="6916" width="13.7109375" customWidth="1"/>
    <col min="6917" max="6917" width="13.85546875" bestFit="1" customWidth="1"/>
    <col min="6918" max="6918" width="15.5703125" bestFit="1" customWidth="1"/>
    <col min="6919" max="6919" width="16.140625" customWidth="1"/>
    <col min="6920" max="6920" width="16.7109375" bestFit="1" customWidth="1"/>
    <col min="6921" max="6921" width="15.5703125" bestFit="1" customWidth="1"/>
    <col min="6922" max="6922" width="20.5703125" bestFit="1" customWidth="1"/>
    <col min="6923" max="6923" width="16.42578125" bestFit="1" customWidth="1"/>
    <col min="6924" max="6924" width="14.28515625" customWidth="1"/>
    <col min="6925" max="6925" width="12.85546875" bestFit="1" customWidth="1"/>
    <col min="6926" max="6926" width="11.28515625" bestFit="1" customWidth="1"/>
    <col min="6927" max="6927" width="12.5703125" bestFit="1" customWidth="1"/>
    <col min="6928" max="6928" width="14" bestFit="1" customWidth="1"/>
    <col min="6929" max="6929" width="6" bestFit="1" customWidth="1"/>
    <col min="6930" max="6930" width="15" customWidth="1"/>
    <col min="6931" max="6931" width="14.85546875" bestFit="1" customWidth="1"/>
    <col min="6932" max="6932" width="16.140625" bestFit="1" customWidth="1"/>
    <col min="7160" max="7160" width="24" bestFit="1" customWidth="1"/>
    <col min="7161" max="7161" width="43.85546875" customWidth="1"/>
    <col min="7162" max="7162" width="19.7109375" bestFit="1" customWidth="1"/>
    <col min="7163" max="7163" width="11.42578125" bestFit="1" customWidth="1"/>
    <col min="7164" max="7164" width="14.85546875" bestFit="1" customWidth="1"/>
    <col min="7165" max="7165" width="13.42578125" customWidth="1"/>
    <col min="7166" max="7166" width="15.28515625" bestFit="1" customWidth="1"/>
    <col min="7167" max="7167" width="14.140625" bestFit="1" customWidth="1"/>
    <col min="7168" max="7168" width="15.28515625" customWidth="1"/>
    <col min="7169" max="7169" width="15.85546875" customWidth="1"/>
    <col min="7170" max="7170" width="17" bestFit="1" customWidth="1"/>
    <col min="7171" max="7171" width="12.7109375" customWidth="1"/>
    <col min="7172" max="7172" width="13.7109375" customWidth="1"/>
    <col min="7173" max="7173" width="13.85546875" bestFit="1" customWidth="1"/>
    <col min="7174" max="7174" width="15.5703125" bestFit="1" customWidth="1"/>
    <col min="7175" max="7175" width="16.140625" customWidth="1"/>
    <col min="7176" max="7176" width="16.7109375" bestFit="1" customWidth="1"/>
    <col min="7177" max="7177" width="15.5703125" bestFit="1" customWidth="1"/>
    <col min="7178" max="7178" width="20.5703125" bestFit="1" customWidth="1"/>
    <col min="7179" max="7179" width="16.42578125" bestFit="1" customWidth="1"/>
    <col min="7180" max="7180" width="14.28515625" customWidth="1"/>
    <col min="7181" max="7181" width="12.85546875" bestFit="1" customWidth="1"/>
    <col min="7182" max="7182" width="11.28515625" bestFit="1" customWidth="1"/>
    <col min="7183" max="7183" width="12.5703125" bestFit="1" customWidth="1"/>
    <col min="7184" max="7184" width="14" bestFit="1" customWidth="1"/>
    <col min="7185" max="7185" width="6" bestFit="1" customWidth="1"/>
    <col min="7186" max="7186" width="15" customWidth="1"/>
    <col min="7187" max="7187" width="14.85546875" bestFit="1" customWidth="1"/>
    <col min="7188" max="7188" width="16.140625" bestFit="1" customWidth="1"/>
    <col min="7416" max="7416" width="24" bestFit="1" customWidth="1"/>
    <col min="7417" max="7417" width="43.85546875" customWidth="1"/>
    <col min="7418" max="7418" width="19.7109375" bestFit="1" customWidth="1"/>
    <col min="7419" max="7419" width="11.42578125" bestFit="1" customWidth="1"/>
    <col min="7420" max="7420" width="14.85546875" bestFit="1" customWidth="1"/>
    <col min="7421" max="7421" width="13.42578125" customWidth="1"/>
    <col min="7422" max="7422" width="15.28515625" bestFit="1" customWidth="1"/>
    <col min="7423" max="7423" width="14.140625" bestFit="1" customWidth="1"/>
    <col min="7424" max="7424" width="15.28515625" customWidth="1"/>
    <col min="7425" max="7425" width="15.85546875" customWidth="1"/>
    <col min="7426" max="7426" width="17" bestFit="1" customWidth="1"/>
    <col min="7427" max="7427" width="12.7109375" customWidth="1"/>
    <col min="7428" max="7428" width="13.7109375" customWidth="1"/>
    <col min="7429" max="7429" width="13.85546875" bestFit="1" customWidth="1"/>
    <col min="7430" max="7430" width="15.5703125" bestFit="1" customWidth="1"/>
    <col min="7431" max="7431" width="16.140625" customWidth="1"/>
    <col min="7432" max="7432" width="16.7109375" bestFit="1" customWidth="1"/>
    <col min="7433" max="7433" width="15.5703125" bestFit="1" customWidth="1"/>
    <col min="7434" max="7434" width="20.5703125" bestFit="1" customWidth="1"/>
    <col min="7435" max="7435" width="16.42578125" bestFit="1" customWidth="1"/>
    <col min="7436" max="7436" width="14.28515625" customWidth="1"/>
    <col min="7437" max="7437" width="12.85546875" bestFit="1" customWidth="1"/>
    <col min="7438" max="7438" width="11.28515625" bestFit="1" customWidth="1"/>
    <col min="7439" max="7439" width="12.5703125" bestFit="1" customWidth="1"/>
    <col min="7440" max="7440" width="14" bestFit="1" customWidth="1"/>
    <col min="7441" max="7441" width="6" bestFit="1" customWidth="1"/>
    <col min="7442" max="7442" width="15" customWidth="1"/>
    <col min="7443" max="7443" width="14.85546875" bestFit="1" customWidth="1"/>
    <col min="7444" max="7444" width="16.140625" bestFit="1" customWidth="1"/>
    <col min="7672" max="7672" width="24" bestFit="1" customWidth="1"/>
    <col min="7673" max="7673" width="43.85546875" customWidth="1"/>
    <col min="7674" max="7674" width="19.7109375" bestFit="1" customWidth="1"/>
    <col min="7675" max="7675" width="11.42578125" bestFit="1" customWidth="1"/>
    <col min="7676" max="7676" width="14.85546875" bestFit="1" customWidth="1"/>
    <col min="7677" max="7677" width="13.42578125" customWidth="1"/>
    <col min="7678" max="7678" width="15.28515625" bestFit="1" customWidth="1"/>
    <col min="7679" max="7679" width="14.140625" bestFit="1" customWidth="1"/>
    <col min="7680" max="7680" width="15.28515625" customWidth="1"/>
    <col min="7681" max="7681" width="15.85546875" customWidth="1"/>
    <col min="7682" max="7682" width="17" bestFit="1" customWidth="1"/>
    <col min="7683" max="7683" width="12.7109375" customWidth="1"/>
    <col min="7684" max="7684" width="13.7109375" customWidth="1"/>
    <col min="7685" max="7685" width="13.85546875" bestFit="1" customWidth="1"/>
    <col min="7686" max="7686" width="15.5703125" bestFit="1" customWidth="1"/>
    <col min="7687" max="7687" width="16.140625" customWidth="1"/>
    <col min="7688" max="7688" width="16.7109375" bestFit="1" customWidth="1"/>
    <col min="7689" max="7689" width="15.5703125" bestFit="1" customWidth="1"/>
    <col min="7690" max="7690" width="20.5703125" bestFit="1" customWidth="1"/>
    <col min="7691" max="7691" width="16.42578125" bestFit="1" customWidth="1"/>
    <col min="7692" max="7692" width="14.28515625" customWidth="1"/>
    <col min="7693" max="7693" width="12.85546875" bestFit="1" customWidth="1"/>
    <col min="7694" max="7694" width="11.28515625" bestFit="1" customWidth="1"/>
    <col min="7695" max="7695" width="12.5703125" bestFit="1" customWidth="1"/>
    <col min="7696" max="7696" width="14" bestFit="1" customWidth="1"/>
    <col min="7697" max="7697" width="6" bestFit="1" customWidth="1"/>
    <col min="7698" max="7698" width="15" customWidth="1"/>
    <col min="7699" max="7699" width="14.85546875" bestFit="1" customWidth="1"/>
    <col min="7700" max="7700" width="16.140625" bestFit="1" customWidth="1"/>
    <col min="7928" max="7928" width="24" bestFit="1" customWidth="1"/>
    <col min="7929" max="7929" width="43.85546875" customWidth="1"/>
    <col min="7930" max="7930" width="19.7109375" bestFit="1" customWidth="1"/>
    <col min="7931" max="7931" width="11.42578125" bestFit="1" customWidth="1"/>
    <col min="7932" max="7932" width="14.85546875" bestFit="1" customWidth="1"/>
    <col min="7933" max="7933" width="13.42578125" customWidth="1"/>
    <col min="7934" max="7934" width="15.28515625" bestFit="1" customWidth="1"/>
    <col min="7935" max="7935" width="14.140625" bestFit="1" customWidth="1"/>
    <col min="7936" max="7936" width="15.28515625" customWidth="1"/>
    <col min="7937" max="7937" width="15.85546875" customWidth="1"/>
    <col min="7938" max="7938" width="17" bestFit="1" customWidth="1"/>
    <col min="7939" max="7939" width="12.7109375" customWidth="1"/>
    <col min="7940" max="7940" width="13.7109375" customWidth="1"/>
    <col min="7941" max="7941" width="13.85546875" bestFit="1" customWidth="1"/>
    <col min="7942" max="7942" width="15.5703125" bestFit="1" customWidth="1"/>
    <col min="7943" max="7943" width="16.140625" customWidth="1"/>
    <col min="7944" max="7944" width="16.7109375" bestFit="1" customWidth="1"/>
    <col min="7945" max="7945" width="15.5703125" bestFit="1" customWidth="1"/>
    <col min="7946" max="7946" width="20.5703125" bestFit="1" customWidth="1"/>
    <col min="7947" max="7947" width="16.42578125" bestFit="1" customWidth="1"/>
    <col min="7948" max="7948" width="14.28515625" customWidth="1"/>
    <col min="7949" max="7949" width="12.85546875" bestFit="1" customWidth="1"/>
    <col min="7950" max="7950" width="11.28515625" bestFit="1" customWidth="1"/>
    <col min="7951" max="7951" width="12.5703125" bestFit="1" customWidth="1"/>
    <col min="7952" max="7952" width="14" bestFit="1" customWidth="1"/>
    <col min="7953" max="7953" width="6" bestFit="1" customWidth="1"/>
    <col min="7954" max="7954" width="15" customWidth="1"/>
    <col min="7955" max="7955" width="14.85546875" bestFit="1" customWidth="1"/>
    <col min="7956" max="7956" width="16.140625" bestFit="1" customWidth="1"/>
    <col min="8184" max="8184" width="24" bestFit="1" customWidth="1"/>
    <col min="8185" max="8185" width="43.85546875" customWidth="1"/>
    <col min="8186" max="8186" width="19.7109375" bestFit="1" customWidth="1"/>
    <col min="8187" max="8187" width="11.42578125" bestFit="1" customWidth="1"/>
    <col min="8188" max="8188" width="14.85546875" bestFit="1" customWidth="1"/>
    <col min="8189" max="8189" width="13.42578125" customWidth="1"/>
    <col min="8190" max="8190" width="15.28515625" bestFit="1" customWidth="1"/>
    <col min="8191" max="8191" width="14.140625" bestFit="1" customWidth="1"/>
    <col min="8192" max="8192" width="15.28515625" customWidth="1"/>
    <col min="8193" max="8193" width="15.85546875" customWidth="1"/>
    <col min="8194" max="8194" width="17" bestFit="1" customWidth="1"/>
    <col min="8195" max="8195" width="12.7109375" customWidth="1"/>
    <col min="8196" max="8196" width="13.7109375" customWidth="1"/>
    <col min="8197" max="8197" width="13.85546875" bestFit="1" customWidth="1"/>
    <col min="8198" max="8198" width="15.5703125" bestFit="1" customWidth="1"/>
    <col min="8199" max="8199" width="16.140625" customWidth="1"/>
    <col min="8200" max="8200" width="16.7109375" bestFit="1" customWidth="1"/>
    <col min="8201" max="8201" width="15.5703125" bestFit="1" customWidth="1"/>
    <col min="8202" max="8202" width="20.5703125" bestFit="1" customWidth="1"/>
    <col min="8203" max="8203" width="16.42578125" bestFit="1" customWidth="1"/>
    <col min="8204" max="8204" width="14.28515625" customWidth="1"/>
    <col min="8205" max="8205" width="12.85546875" bestFit="1" customWidth="1"/>
    <col min="8206" max="8206" width="11.28515625" bestFit="1" customWidth="1"/>
    <col min="8207" max="8207" width="12.5703125" bestFit="1" customWidth="1"/>
    <col min="8208" max="8208" width="14" bestFit="1" customWidth="1"/>
    <col min="8209" max="8209" width="6" bestFit="1" customWidth="1"/>
    <col min="8210" max="8210" width="15" customWidth="1"/>
    <col min="8211" max="8211" width="14.85546875" bestFit="1" customWidth="1"/>
    <col min="8212" max="8212" width="16.140625" bestFit="1" customWidth="1"/>
    <col min="8440" max="8440" width="24" bestFit="1" customWidth="1"/>
    <col min="8441" max="8441" width="43.85546875" customWidth="1"/>
    <col min="8442" max="8442" width="19.7109375" bestFit="1" customWidth="1"/>
    <col min="8443" max="8443" width="11.42578125" bestFit="1" customWidth="1"/>
    <col min="8444" max="8444" width="14.85546875" bestFit="1" customWidth="1"/>
    <col min="8445" max="8445" width="13.42578125" customWidth="1"/>
    <col min="8446" max="8446" width="15.28515625" bestFit="1" customWidth="1"/>
    <col min="8447" max="8447" width="14.140625" bestFit="1" customWidth="1"/>
    <col min="8448" max="8448" width="15.28515625" customWidth="1"/>
    <col min="8449" max="8449" width="15.85546875" customWidth="1"/>
    <col min="8450" max="8450" width="17" bestFit="1" customWidth="1"/>
    <col min="8451" max="8451" width="12.7109375" customWidth="1"/>
    <col min="8452" max="8452" width="13.7109375" customWidth="1"/>
    <col min="8453" max="8453" width="13.85546875" bestFit="1" customWidth="1"/>
    <col min="8454" max="8454" width="15.5703125" bestFit="1" customWidth="1"/>
    <col min="8455" max="8455" width="16.140625" customWidth="1"/>
    <col min="8456" max="8456" width="16.7109375" bestFit="1" customWidth="1"/>
    <col min="8457" max="8457" width="15.5703125" bestFit="1" customWidth="1"/>
    <col min="8458" max="8458" width="20.5703125" bestFit="1" customWidth="1"/>
    <col min="8459" max="8459" width="16.42578125" bestFit="1" customWidth="1"/>
    <col min="8460" max="8460" width="14.28515625" customWidth="1"/>
    <col min="8461" max="8461" width="12.85546875" bestFit="1" customWidth="1"/>
    <col min="8462" max="8462" width="11.28515625" bestFit="1" customWidth="1"/>
    <col min="8463" max="8463" width="12.5703125" bestFit="1" customWidth="1"/>
    <col min="8464" max="8464" width="14" bestFit="1" customWidth="1"/>
    <col min="8465" max="8465" width="6" bestFit="1" customWidth="1"/>
    <col min="8466" max="8466" width="15" customWidth="1"/>
    <col min="8467" max="8467" width="14.85546875" bestFit="1" customWidth="1"/>
    <col min="8468" max="8468" width="16.140625" bestFit="1" customWidth="1"/>
    <col min="8696" max="8696" width="24" bestFit="1" customWidth="1"/>
    <col min="8697" max="8697" width="43.85546875" customWidth="1"/>
    <col min="8698" max="8698" width="19.7109375" bestFit="1" customWidth="1"/>
    <col min="8699" max="8699" width="11.42578125" bestFit="1" customWidth="1"/>
    <col min="8700" max="8700" width="14.85546875" bestFit="1" customWidth="1"/>
    <col min="8701" max="8701" width="13.42578125" customWidth="1"/>
    <col min="8702" max="8702" width="15.28515625" bestFit="1" customWidth="1"/>
    <col min="8703" max="8703" width="14.140625" bestFit="1" customWidth="1"/>
    <col min="8704" max="8704" width="15.28515625" customWidth="1"/>
    <col min="8705" max="8705" width="15.85546875" customWidth="1"/>
    <col min="8706" max="8706" width="17" bestFit="1" customWidth="1"/>
    <col min="8707" max="8707" width="12.7109375" customWidth="1"/>
    <col min="8708" max="8708" width="13.7109375" customWidth="1"/>
    <col min="8709" max="8709" width="13.85546875" bestFit="1" customWidth="1"/>
    <col min="8710" max="8710" width="15.5703125" bestFit="1" customWidth="1"/>
    <col min="8711" max="8711" width="16.140625" customWidth="1"/>
    <col min="8712" max="8712" width="16.7109375" bestFit="1" customWidth="1"/>
    <col min="8713" max="8713" width="15.5703125" bestFit="1" customWidth="1"/>
    <col min="8714" max="8714" width="20.5703125" bestFit="1" customWidth="1"/>
    <col min="8715" max="8715" width="16.42578125" bestFit="1" customWidth="1"/>
    <col min="8716" max="8716" width="14.28515625" customWidth="1"/>
    <col min="8717" max="8717" width="12.85546875" bestFit="1" customWidth="1"/>
    <col min="8718" max="8718" width="11.28515625" bestFit="1" customWidth="1"/>
    <col min="8719" max="8719" width="12.5703125" bestFit="1" customWidth="1"/>
    <col min="8720" max="8720" width="14" bestFit="1" customWidth="1"/>
    <col min="8721" max="8721" width="6" bestFit="1" customWidth="1"/>
    <col min="8722" max="8722" width="15" customWidth="1"/>
    <col min="8723" max="8723" width="14.85546875" bestFit="1" customWidth="1"/>
    <col min="8724" max="8724" width="16.140625" bestFit="1" customWidth="1"/>
    <col min="8952" max="8952" width="24" bestFit="1" customWidth="1"/>
    <col min="8953" max="8953" width="43.85546875" customWidth="1"/>
    <col min="8954" max="8954" width="19.7109375" bestFit="1" customWidth="1"/>
    <col min="8955" max="8955" width="11.42578125" bestFit="1" customWidth="1"/>
    <col min="8956" max="8956" width="14.85546875" bestFit="1" customWidth="1"/>
    <col min="8957" max="8957" width="13.42578125" customWidth="1"/>
    <col min="8958" max="8958" width="15.28515625" bestFit="1" customWidth="1"/>
    <col min="8959" max="8959" width="14.140625" bestFit="1" customWidth="1"/>
    <col min="8960" max="8960" width="15.28515625" customWidth="1"/>
    <col min="8961" max="8961" width="15.85546875" customWidth="1"/>
    <col min="8962" max="8962" width="17" bestFit="1" customWidth="1"/>
    <col min="8963" max="8963" width="12.7109375" customWidth="1"/>
    <col min="8964" max="8964" width="13.7109375" customWidth="1"/>
    <col min="8965" max="8965" width="13.85546875" bestFit="1" customWidth="1"/>
    <col min="8966" max="8966" width="15.5703125" bestFit="1" customWidth="1"/>
    <col min="8967" max="8967" width="16.140625" customWidth="1"/>
    <col min="8968" max="8968" width="16.7109375" bestFit="1" customWidth="1"/>
    <col min="8969" max="8969" width="15.5703125" bestFit="1" customWidth="1"/>
    <col min="8970" max="8970" width="20.5703125" bestFit="1" customWidth="1"/>
    <col min="8971" max="8971" width="16.42578125" bestFit="1" customWidth="1"/>
    <col min="8972" max="8972" width="14.28515625" customWidth="1"/>
    <col min="8973" max="8973" width="12.85546875" bestFit="1" customWidth="1"/>
    <col min="8974" max="8974" width="11.28515625" bestFit="1" customWidth="1"/>
    <col min="8975" max="8975" width="12.5703125" bestFit="1" customWidth="1"/>
    <col min="8976" max="8976" width="14" bestFit="1" customWidth="1"/>
    <col min="8977" max="8977" width="6" bestFit="1" customWidth="1"/>
    <col min="8978" max="8978" width="15" customWidth="1"/>
    <col min="8979" max="8979" width="14.85546875" bestFit="1" customWidth="1"/>
    <col min="8980" max="8980" width="16.140625" bestFit="1" customWidth="1"/>
    <col min="9208" max="9208" width="24" bestFit="1" customWidth="1"/>
    <col min="9209" max="9209" width="43.85546875" customWidth="1"/>
    <col min="9210" max="9210" width="19.7109375" bestFit="1" customWidth="1"/>
    <col min="9211" max="9211" width="11.42578125" bestFit="1" customWidth="1"/>
    <col min="9212" max="9212" width="14.85546875" bestFit="1" customWidth="1"/>
    <col min="9213" max="9213" width="13.42578125" customWidth="1"/>
    <col min="9214" max="9214" width="15.28515625" bestFit="1" customWidth="1"/>
    <col min="9215" max="9215" width="14.140625" bestFit="1" customWidth="1"/>
    <col min="9216" max="9216" width="15.28515625" customWidth="1"/>
    <col min="9217" max="9217" width="15.85546875" customWidth="1"/>
    <col min="9218" max="9218" width="17" bestFit="1" customWidth="1"/>
    <col min="9219" max="9219" width="12.7109375" customWidth="1"/>
    <col min="9220" max="9220" width="13.7109375" customWidth="1"/>
    <col min="9221" max="9221" width="13.85546875" bestFit="1" customWidth="1"/>
    <col min="9222" max="9222" width="15.5703125" bestFit="1" customWidth="1"/>
    <col min="9223" max="9223" width="16.140625" customWidth="1"/>
    <col min="9224" max="9224" width="16.7109375" bestFit="1" customWidth="1"/>
    <col min="9225" max="9225" width="15.5703125" bestFit="1" customWidth="1"/>
    <col min="9226" max="9226" width="20.5703125" bestFit="1" customWidth="1"/>
    <col min="9227" max="9227" width="16.42578125" bestFit="1" customWidth="1"/>
    <col min="9228" max="9228" width="14.28515625" customWidth="1"/>
    <col min="9229" max="9229" width="12.85546875" bestFit="1" customWidth="1"/>
    <col min="9230" max="9230" width="11.28515625" bestFit="1" customWidth="1"/>
    <col min="9231" max="9231" width="12.5703125" bestFit="1" customWidth="1"/>
    <col min="9232" max="9232" width="14" bestFit="1" customWidth="1"/>
    <col min="9233" max="9233" width="6" bestFit="1" customWidth="1"/>
    <col min="9234" max="9234" width="15" customWidth="1"/>
    <col min="9235" max="9235" width="14.85546875" bestFit="1" customWidth="1"/>
    <col min="9236" max="9236" width="16.140625" bestFit="1" customWidth="1"/>
    <col min="9464" max="9464" width="24" bestFit="1" customWidth="1"/>
    <col min="9465" max="9465" width="43.85546875" customWidth="1"/>
    <col min="9466" max="9466" width="19.7109375" bestFit="1" customWidth="1"/>
    <col min="9467" max="9467" width="11.42578125" bestFit="1" customWidth="1"/>
    <col min="9468" max="9468" width="14.85546875" bestFit="1" customWidth="1"/>
    <col min="9469" max="9469" width="13.42578125" customWidth="1"/>
    <col min="9470" max="9470" width="15.28515625" bestFit="1" customWidth="1"/>
    <col min="9471" max="9471" width="14.140625" bestFit="1" customWidth="1"/>
    <col min="9472" max="9472" width="15.28515625" customWidth="1"/>
    <col min="9473" max="9473" width="15.85546875" customWidth="1"/>
    <col min="9474" max="9474" width="17" bestFit="1" customWidth="1"/>
    <col min="9475" max="9475" width="12.7109375" customWidth="1"/>
    <col min="9476" max="9476" width="13.7109375" customWidth="1"/>
    <col min="9477" max="9477" width="13.85546875" bestFit="1" customWidth="1"/>
    <col min="9478" max="9478" width="15.5703125" bestFit="1" customWidth="1"/>
    <col min="9479" max="9479" width="16.140625" customWidth="1"/>
    <col min="9480" max="9480" width="16.7109375" bestFit="1" customWidth="1"/>
    <col min="9481" max="9481" width="15.5703125" bestFit="1" customWidth="1"/>
    <col min="9482" max="9482" width="20.5703125" bestFit="1" customWidth="1"/>
    <col min="9483" max="9483" width="16.42578125" bestFit="1" customWidth="1"/>
    <col min="9484" max="9484" width="14.28515625" customWidth="1"/>
    <col min="9485" max="9485" width="12.85546875" bestFit="1" customWidth="1"/>
    <col min="9486" max="9486" width="11.28515625" bestFit="1" customWidth="1"/>
    <col min="9487" max="9487" width="12.5703125" bestFit="1" customWidth="1"/>
    <col min="9488" max="9488" width="14" bestFit="1" customWidth="1"/>
    <col min="9489" max="9489" width="6" bestFit="1" customWidth="1"/>
    <col min="9490" max="9490" width="15" customWidth="1"/>
    <col min="9491" max="9491" width="14.85546875" bestFit="1" customWidth="1"/>
    <col min="9492" max="9492" width="16.140625" bestFit="1" customWidth="1"/>
    <col min="9720" max="9720" width="24" bestFit="1" customWidth="1"/>
    <col min="9721" max="9721" width="43.85546875" customWidth="1"/>
    <col min="9722" max="9722" width="19.7109375" bestFit="1" customWidth="1"/>
    <col min="9723" max="9723" width="11.42578125" bestFit="1" customWidth="1"/>
    <col min="9724" max="9724" width="14.85546875" bestFit="1" customWidth="1"/>
    <col min="9725" max="9725" width="13.42578125" customWidth="1"/>
    <col min="9726" max="9726" width="15.28515625" bestFit="1" customWidth="1"/>
    <col min="9727" max="9727" width="14.140625" bestFit="1" customWidth="1"/>
    <col min="9728" max="9728" width="15.28515625" customWidth="1"/>
    <col min="9729" max="9729" width="15.85546875" customWidth="1"/>
    <col min="9730" max="9730" width="17" bestFit="1" customWidth="1"/>
    <col min="9731" max="9731" width="12.7109375" customWidth="1"/>
    <col min="9732" max="9732" width="13.7109375" customWidth="1"/>
    <col min="9733" max="9733" width="13.85546875" bestFit="1" customWidth="1"/>
    <col min="9734" max="9734" width="15.5703125" bestFit="1" customWidth="1"/>
    <col min="9735" max="9735" width="16.140625" customWidth="1"/>
    <col min="9736" max="9736" width="16.7109375" bestFit="1" customWidth="1"/>
    <col min="9737" max="9737" width="15.5703125" bestFit="1" customWidth="1"/>
    <col min="9738" max="9738" width="20.5703125" bestFit="1" customWidth="1"/>
    <col min="9739" max="9739" width="16.42578125" bestFit="1" customWidth="1"/>
    <col min="9740" max="9740" width="14.28515625" customWidth="1"/>
    <col min="9741" max="9741" width="12.85546875" bestFit="1" customWidth="1"/>
    <col min="9742" max="9742" width="11.28515625" bestFit="1" customWidth="1"/>
    <col min="9743" max="9743" width="12.5703125" bestFit="1" customWidth="1"/>
    <col min="9744" max="9744" width="14" bestFit="1" customWidth="1"/>
    <col min="9745" max="9745" width="6" bestFit="1" customWidth="1"/>
    <col min="9746" max="9746" width="15" customWidth="1"/>
    <col min="9747" max="9747" width="14.85546875" bestFit="1" customWidth="1"/>
    <col min="9748" max="9748" width="16.140625" bestFit="1" customWidth="1"/>
    <col min="9976" max="9976" width="24" bestFit="1" customWidth="1"/>
    <col min="9977" max="9977" width="43.85546875" customWidth="1"/>
    <col min="9978" max="9978" width="19.7109375" bestFit="1" customWidth="1"/>
    <col min="9979" max="9979" width="11.42578125" bestFit="1" customWidth="1"/>
    <col min="9980" max="9980" width="14.85546875" bestFit="1" customWidth="1"/>
    <col min="9981" max="9981" width="13.42578125" customWidth="1"/>
    <col min="9982" max="9982" width="15.28515625" bestFit="1" customWidth="1"/>
    <col min="9983" max="9983" width="14.140625" bestFit="1" customWidth="1"/>
    <col min="9984" max="9984" width="15.28515625" customWidth="1"/>
    <col min="9985" max="9985" width="15.85546875" customWidth="1"/>
    <col min="9986" max="9986" width="17" bestFit="1" customWidth="1"/>
    <col min="9987" max="9987" width="12.7109375" customWidth="1"/>
    <col min="9988" max="9988" width="13.7109375" customWidth="1"/>
    <col min="9989" max="9989" width="13.85546875" bestFit="1" customWidth="1"/>
    <col min="9990" max="9990" width="15.5703125" bestFit="1" customWidth="1"/>
    <col min="9991" max="9991" width="16.140625" customWidth="1"/>
    <col min="9992" max="9992" width="16.7109375" bestFit="1" customWidth="1"/>
    <col min="9993" max="9993" width="15.5703125" bestFit="1" customWidth="1"/>
    <col min="9994" max="9994" width="20.5703125" bestFit="1" customWidth="1"/>
    <col min="9995" max="9995" width="16.42578125" bestFit="1" customWidth="1"/>
    <col min="9996" max="9996" width="14.28515625" customWidth="1"/>
    <col min="9997" max="9997" width="12.85546875" bestFit="1" customWidth="1"/>
    <col min="9998" max="9998" width="11.28515625" bestFit="1" customWidth="1"/>
    <col min="9999" max="9999" width="12.5703125" bestFit="1" customWidth="1"/>
    <col min="10000" max="10000" width="14" bestFit="1" customWidth="1"/>
    <col min="10001" max="10001" width="6" bestFit="1" customWidth="1"/>
    <col min="10002" max="10002" width="15" customWidth="1"/>
    <col min="10003" max="10003" width="14.85546875" bestFit="1" customWidth="1"/>
    <col min="10004" max="10004" width="16.140625" bestFit="1" customWidth="1"/>
    <col min="10232" max="10232" width="24" bestFit="1" customWidth="1"/>
    <col min="10233" max="10233" width="43.85546875" customWidth="1"/>
    <col min="10234" max="10234" width="19.7109375" bestFit="1" customWidth="1"/>
    <col min="10235" max="10235" width="11.42578125" bestFit="1" customWidth="1"/>
    <col min="10236" max="10236" width="14.85546875" bestFit="1" customWidth="1"/>
    <col min="10237" max="10237" width="13.42578125" customWidth="1"/>
    <col min="10238" max="10238" width="15.28515625" bestFit="1" customWidth="1"/>
    <col min="10239" max="10239" width="14.140625" bestFit="1" customWidth="1"/>
    <col min="10240" max="10240" width="15.28515625" customWidth="1"/>
    <col min="10241" max="10241" width="15.85546875" customWidth="1"/>
    <col min="10242" max="10242" width="17" bestFit="1" customWidth="1"/>
    <col min="10243" max="10243" width="12.7109375" customWidth="1"/>
    <col min="10244" max="10244" width="13.7109375" customWidth="1"/>
    <col min="10245" max="10245" width="13.85546875" bestFit="1" customWidth="1"/>
    <col min="10246" max="10246" width="15.5703125" bestFit="1" customWidth="1"/>
    <col min="10247" max="10247" width="16.140625" customWidth="1"/>
    <col min="10248" max="10248" width="16.7109375" bestFit="1" customWidth="1"/>
    <col min="10249" max="10249" width="15.5703125" bestFit="1" customWidth="1"/>
    <col min="10250" max="10250" width="20.5703125" bestFit="1" customWidth="1"/>
    <col min="10251" max="10251" width="16.42578125" bestFit="1" customWidth="1"/>
    <col min="10252" max="10252" width="14.28515625" customWidth="1"/>
    <col min="10253" max="10253" width="12.85546875" bestFit="1" customWidth="1"/>
    <col min="10254" max="10254" width="11.28515625" bestFit="1" customWidth="1"/>
    <col min="10255" max="10255" width="12.5703125" bestFit="1" customWidth="1"/>
    <col min="10256" max="10256" width="14" bestFit="1" customWidth="1"/>
    <col min="10257" max="10257" width="6" bestFit="1" customWidth="1"/>
    <col min="10258" max="10258" width="15" customWidth="1"/>
    <col min="10259" max="10259" width="14.85546875" bestFit="1" customWidth="1"/>
    <col min="10260" max="10260" width="16.140625" bestFit="1" customWidth="1"/>
    <col min="10488" max="10488" width="24" bestFit="1" customWidth="1"/>
    <col min="10489" max="10489" width="43.85546875" customWidth="1"/>
    <col min="10490" max="10490" width="19.7109375" bestFit="1" customWidth="1"/>
    <col min="10491" max="10491" width="11.42578125" bestFit="1" customWidth="1"/>
    <col min="10492" max="10492" width="14.85546875" bestFit="1" customWidth="1"/>
    <col min="10493" max="10493" width="13.42578125" customWidth="1"/>
    <col min="10494" max="10494" width="15.28515625" bestFit="1" customWidth="1"/>
    <col min="10495" max="10495" width="14.140625" bestFit="1" customWidth="1"/>
    <col min="10496" max="10496" width="15.28515625" customWidth="1"/>
    <col min="10497" max="10497" width="15.85546875" customWidth="1"/>
    <col min="10498" max="10498" width="17" bestFit="1" customWidth="1"/>
    <col min="10499" max="10499" width="12.7109375" customWidth="1"/>
    <col min="10500" max="10500" width="13.7109375" customWidth="1"/>
    <col min="10501" max="10501" width="13.85546875" bestFit="1" customWidth="1"/>
    <col min="10502" max="10502" width="15.5703125" bestFit="1" customWidth="1"/>
    <col min="10503" max="10503" width="16.140625" customWidth="1"/>
    <col min="10504" max="10504" width="16.7109375" bestFit="1" customWidth="1"/>
    <col min="10505" max="10505" width="15.5703125" bestFit="1" customWidth="1"/>
    <col min="10506" max="10506" width="20.5703125" bestFit="1" customWidth="1"/>
    <col min="10507" max="10507" width="16.42578125" bestFit="1" customWidth="1"/>
    <col min="10508" max="10508" width="14.28515625" customWidth="1"/>
    <col min="10509" max="10509" width="12.85546875" bestFit="1" customWidth="1"/>
    <col min="10510" max="10510" width="11.28515625" bestFit="1" customWidth="1"/>
    <col min="10511" max="10511" width="12.5703125" bestFit="1" customWidth="1"/>
    <col min="10512" max="10512" width="14" bestFit="1" customWidth="1"/>
    <col min="10513" max="10513" width="6" bestFit="1" customWidth="1"/>
    <col min="10514" max="10514" width="15" customWidth="1"/>
    <col min="10515" max="10515" width="14.85546875" bestFit="1" customWidth="1"/>
    <col min="10516" max="10516" width="16.140625" bestFit="1" customWidth="1"/>
    <col min="10744" max="10744" width="24" bestFit="1" customWidth="1"/>
    <col min="10745" max="10745" width="43.85546875" customWidth="1"/>
    <col min="10746" max="10746" width="19.7109375" bestFit="1" customWidth="1"/>
    <col min="10747" max="10747" width="11.42578125" bestFit="1" customWidth="1"/>
    <col min="10748" max="10748" width="14.85546875" bestFit="1" customWidth="1"/>
    <col min="10749" max="10749" width="13.42578125" customWidth="1"/>
    <col min="10750" max="10750" width="15.28515625" bestFit="1" customWidth="1"/>
    <col min="10751" max="10751" width="14.140625" bestFit="1" customWidth="1"/>
    <col min="10752" max="10752" width="15.28515625" customWidth="1"/>
    <col min="10753" max="10753" width="15.85546875" customWidth="1"/>
    <col min="10754" max="10754" width="17" bestFit="1" customWidth="1"/>
    <col min="10755" max="10755" width="12.7109375" customWidth="1"/>
    <col min="10756" max="10756" width="13.7109375" customWidth="1"/>
    <col min="10757" max="10757" width="13.85546875" bestFit="1" customWidth="1"/>
    <col min="10758" max="10758" width="15.5703125" bestFit="1" customWidth="1"/>
    <col min="10759" max="10759" width="16.140625" customWidth="1"/>
    <col min="10760" max="10760" width="16.7109375" bestFit="1" customWidth="1"/>
    <col min="10761" max="10761" width="15.5703125" bestFit="1" customWidth="1"/>
    <col min="10762" max="10762" width="20.5703125" bestFit="1" customWidth="1"/>
    <col min="10763" max="10763" width="16.42578125" bestFit="1" customWidth="1"/>
    <col min="10764" max="10764" width="14.28515625" customWidth="1"/>
    <col min="10765" max="10765" width="12.85546875" bestFit="1" customWidth="1"/>
    <col min="10766" max="10766" width="11.28515625" bestFit="1" customWidth="1"/>
    <col min="10767" max="10767" width="12.5703125" bestFit="1" customWidth="1"/>
    <col min="10768" max="10768" width="14" bestFit="1" customWidth="1"/>
    <col min="10769" max="10769" width="6" bestFit="1" customWidth="1"/>
    <col min="10770" max="10770" width="15" customWidth="1"/>
    <col min="10771" max="10771" width="14.85546875" bestFit="1" customWidth="1"/>
    <col min="10772" max="10772" width="16.140625" bestFit="1" customWidth="1"/>
    <col min="11000" max="11000" width="24" bestFit="1" customWidth="1"/>
    <col min="11001" max="11001" width="43.85546875" customWidth="1"/>
    <col min="11002" max="11002" width="19.7109375" bestFit="1" customWidth="1"/>
    <col min="11003" max="11003" width="11.42578125" bestFit="1" customWidth="1"/>
    <col min="11004" max="11004" width="14.85546875" bestFit="1" customWidth="1"/>
    <col min="11005" max="11005" width="13.42578125" customWidth="1"/>
    <col min="11006" max="11006" width="15.28515625" bestFit="1" customWidth="1"/>
    <col min="11007" max="11007" width="14.140625" bestFit="1" customWidth="1"/>
    <col min="11008" max="11008" width="15.28515625" customWidth="1"/>
    <col min="11009" max="11009" width="15.85546875" customWidth="1"/>
    <col min="11010" max="11010" width="17" bestFit="1" customWidth="1"/>
    <col min="11011" max="11011" width="12.7109375" customWidth="1"/>
    <col min="11012" max="11012" width="13.7109375" customWidth="1"/>
    <col min="11013" max="11013" width="13.85546875" bestFit="1" customWidth="1"/>
    <col min="11014" max="11014" width="15.5703125" bestFit="1" customWidth="1"/>
    <col min="11015" max="11015" width="16.140625" customWidth="1"/>
    <col min="11016" max="11016" width="16.7109375" bestFit="1" customWidth="1"/>
    <col min="11017" max="11017" width="15.5703125" bestFit="1" customWidth="1"/>
    <col min="11018" max="11018" width="20.5703125" bestFit="1" customWidth="1"/>
    <col min="11019" max="11019" width="16.42578125" bestFit="1" customWidth="1"/>
    <col min="11020" max="11020" width="14.28515625" customWidth="1"/>
    <col min="11021" max="11021" width="12.85546875" bestFit="1" customWidth="1"/>
    <col min="11022" max="11022" width="11.28515625" bestFit="1" customWidth="1"/>
    <col min="11023" max="11023" width="12.5703125" bestFit="1" customWidth="1"/>
    <col min="11024" max="11024" width="14" bestFit="1" customWidth="1"/>
    <col min="11025" max="11025" width="6" bestFit="1" customWidth="1"/>
    <col min="11026" max="11026" width="15" customWidth="1"/>
    <col min="11027" max="11027" width="14.85546875" bestFit="1" customWidth="1"/>
    <col min="11028" max="11028" width="16.140625" bestFit="1" customWidth="1"/>
    <col min="11256" max="11256" width="24" bestFit="1" customWidth="1"/>
    <col min="11257" max="11257" width="43.85546875" customWidth="1"/>
    <col min="11258" max="11258" width="19.7109375" bestFit="1" customWidth="1"/>
    <col min="11259" max="11259" width="11.42578125" bestFit="1" customWidth="1"/>
    <col min="11260" max="11260" width="14.85546875" bestFit="1" customWidth="1"/>
    <col min="11261" max="11261" width="13.42578125" customWidth="1"/>
    <col min="11262" max="11262" width="15.28515625" bestFit="1" customWidth="1"/>
    <col min="11263" max="11263" width="14.140625" bestFit="1" customWidth="1"/>
    <col min="11264" max="11264" width="15.28515625" customWidth="1"/>
    <col min="11265" max="11265" width="15.85546875" customWidth="1"/>
    <col min="11266" max="11266" width="17" bestFit="1" customWidth="1"/>
    <col min="11267" max="11267" width="12.7109375" customWidth="1"/>
    <col min="11268" max="11268" width="13.7109375" customWidth="1"/>
    <col min="11269" max="11269" width="13.85546875" bestFit="1" customWidth="1"/>
    <col min="11270" max="11270" width="15.5703125" bestFit="1" customWidth="1"/>
    <col min="11271" max="11271" width="16.140625" customWidth="1"/>
    <col min="11272" max="11272" width="16.7109375" bestFit="1" customWidth="1"/>
    <col min="11273" max="11273" width="15.5703125" bestFit="1" customWidth="1"/>
    <col min="11274" max="11274" width="20.5703125" bestFit="1" customWidth="1"/>
    <col min="11275" max="11275" width="16.42578125" bestFit="1" customWidth="1"/>
    <col min="11276" max="11276" width="14.28515625" customWidth="1"/>
    <col min="11277" max="11277" width="12.85546875" bestFit="1" customWidth="1"/>
    <col min="11278" max="11278" width="11.28515625" bestFit="1" customWidth="1"/>
    <col min="11279" max="11279" width="12.5703125" bestFit="1" customWidth="1"/>
    <col min="11280" max="11280" width="14" bestFit="1" customWidth="1"/>
    <col min="11281" max="11281" width="6" bestFit="1" customWidth="1"/>
    <col min="11282" max="11282" width="15" customWidth="1"/>
    <col min="11283" max="11283" width="14.85546875" bestFit="1" customWidth="1"/>
    <col min="11284" max="11284" width="16.140625" bestFit="1" customWidth="1"/>
    <col min="11512" max="11512" width="24" bestFit="1" customWidth="1"/>
    <col min="11513" max="11513" width="43.85546875" customWidth="1"/>
    <col min="11514" max="11514" width="19.7109375" bestFit="1" customWidth="1"/>
    <col min="11515" max="11515" width="11.42578125" bestFit="1" customWidth="1"/>
    <col min="11516" max="11516" width="14.85546875" bestFit="1" customWidth="1"/>
    <col min="11517" max="11517" width="13.42578125" customWidth="1"/>
    <col min="11518" max="11518" width="15.28515625" bestFit="1" customWidth="1"/>
    <col min="11519" max="11519" width="14.140625" bestFit="1" customWidth="1"/>
    <col min="11520" max="11520" width="15.28515625" customWidth="1"/>
    <col min="11521" max="11521" width="15.85546875" customWidth="1"/>
    <col min="11522" max="11522" width="17" bestFit="1" customWidth="1"/>
    <col min="11523" max="11523" width="12.7109375" customWidth="1"/>
    <col min="11524" max="11524" width="13.7109375" customWidth="1"/>
    <col min="11525" max="11525" width="13.85546875" bestFit="1" customWidth="1"/>
    <col min="11526" max="11526" width="15.5703125" bestFit="1" customWidth="1"/>
    <col min="11527" max="11527" width="16.140625" customWidth="1"/>
    <col min="11528" max="11528" width="16.7109375" bestFit="1" customWidth="1"/>
    <col min="11529" max="11529" width="15.5703125" bestFit="1" customWidth="1"/>
    <col min="11530" max="11530" width="20.5703125" bestFit="1" customWidth="1"/>
    <col min="11531" max="11531" width="16.42578125" bestFit="1" customWidth="1"/>
    <col min="11532" max="11532" width="14.28515625" customWidth="1"/>
    <col min="11533" max="11533" width="12.85546875" bestFit="1" customWidth="1"/>
    <col min="11534" max="11534" width="11.28515625" bestFit="1" customWidth="1"/>
    <col min="11535" max="11535" width="12.5703125" bestFit="1" customWidth="1"/>
    <col min="11536" max="11536" width="14" bestFit="1" customWidth="1"/>
    <col min="11537" max="11537" width="6" bestFit="1" customWidth="1"/>
    <col min="11538" max="11538" width="15" customWidth="1"/>
    <col min="11539" max="11539" width="14.85546875" bestFit="1" customWidth="1"/>
    <col min="11540" max="11540" width="16.140625" bestFit="1" customWidth="1"/>
    <col min="11768" max="11768" width="24" bestFit="1" customWidth="1"/>
    <col min="11769" max="11769" width="43.85546875" customWidth="1"/>
    <col min="11770" max="11770" width="19.7109375" bestFit="1" customWidth="1"/>
    <col min="11771" max="11771" width="11.42578125" bestFit="1" customWidth="1"/>
    <col min="11772" max="11772" width="14.85546875" bestFit="1" customWidth="1"/>
    <col min="11773" max="11773" width="13.42578125" customWidth="1"/>
    <col min="11774" max="11774" width="15.28515625" bestFit="1" customWidth="1"/>
    <col min="11775" max="11775" width="14.140625" bestFit="1" customWidth="1"/>
    <col min="11776" max="11776" width="15.28515625" customWidth="1"/>
    <col min="11777" max="11777" width="15.85546875" customWidth="1"/>
    <col min="11778" max="11778" width="17" bestFit="1" customWidth="1"/>
    <col min="11779" max="11779" width="12.7109375" customWidth="1"/>
    <col min="11780" max="11780" width="13.7109375" customWidth="1"/>
    <col min="11781" max="11781" width="13.85546875" bestFit="1" customWidth="1"/>
    <col min="11782" max="11782" width="15.5703125" bestFit="1" customWidth="1"/>
    <col min="11783" max="11783" width="16.140625" customWidth="1"/>
    <col min="11784" max="11784" width="16.7109375" bestFit="1" customWidth="1"/>
    <col min="11785" max="11785" width="15.5703125" bestFit="1" customWidth="1"/>
    <col min="11786" max="11786" width="20.5703125" bestFit="1" customWidth="1"/>
    <col min="11787" max="11787" width="16.42578125" bestFit="1" customWidth="1"/>
    <col min="11788" max="11788" width="14.28515625" customWidth="1"/>
    <col min="11789" max="11789" width="12.85546875" bestFit="1" customWidth="1"/>
    <col min="11790" max="11790" width="11.28515625" bestFit="1" customWidth="1"/>
    <col min="11791" max="11791" width="12.5703125" bestFit="1" customWidth="1"/>
    <col min="11792" max="11792" width="14" bestFit="1" customWidth="1"/>
    <col min="11793" max="11793" width="6" bestFit="1" customWidth="1"/>
    <col min="11794" max="11794" width="15" customWidth="1"/>
    <col min="11795" max="11795" width="14.85546875" bestFit="1" customWidth="1"/>
    <col min="11796" max="11796" width="16.140625" bestFit="1" customWidth="1"/>
    <col min="12024" max="12024" width="24" bestFit="1" customWidth="1"/>
    <col min="12025" max="12025" width="43.85546875" customWidth="1"/>
    <col min="12026" max="12026" width="19.7109375" bestFit="1" customWidth="1"/>
    <col min="12027" max="12027" width="11.42578125" bestFit="1" customWidth="1"/>
    <col min="12028" max="12028" width="14.85546875" bestFit="1" customWidth="1"/>
    <col min="12029" max="12029" width="13.42578125" customWidth="1"/>
    <col min="12030" max="12030" width="15.28515625" bestFit="1" customWidth="1"/>
    <col min="12031" max="12031" width="14.140625" bestFit="1" customWidth="1"/>
    <col min="12032" max="12032" width="15.28515625" customWidth="1"/>
    <col min="12033" max="12033" width="15.85546875" customWidth="1"/>
    <col min="12034" max="12034" width="17" bestFit="1" customWidth="1"/>
    <col min="12035" max="12035" width="12.7109375" customWidth="1"/>
    <col min="12036" max="12036" width="13.7109375" customWidth="1"/>
    <col min="12037" max="12037" width="13.85546875" bestFit="1" customWidth="1"/>
    <col min="12038" max="12038" width="15.5703125" bestFit="1" customWidth="1"/>
    <col min="12039" max="12039" width="16.140625" customWidth="1"/>
    <col min="12040" max="12040" width="16.7109375" bestFit="1" customWidth="1"/>
    <col min="12041" max="12041" width="15.5703125" bestFit="1" customWidth="1"/>
    <col min="12042" max="12042" width="20.5703125" bestFit="1" customWidth="1"/>
    <col min="12043" max="12043" width="16.42578125" bestFit="1" customWidth="1"/>
    <col min="12044" max="12044" width="14.28515625" customWidth="1"/>
    <col min="12045" max="12045" width="12.85546875" bestFit="1" customWidth="1"/>
    <col min="12046" max="12046" width="11.28515625" bestFit="1" customWidth="1"/>
    <col min="12047" max="12047" width="12.5703125" bestFit="1" customWidth="1"/>
    <col min="12048" max="12048" width="14" bestFit="1" customWidth="1"/>
    <col min="12049" max="12049" width="6" bestFit="1" customWidth="1"/>
    <col min="12050" max="12050" width="15" customWidth="1"/>
    <col min="12051" max="12051" width="14.85546875" bestFit="1" customWidth="1"/>
    <col min="12052" max="12052" width="16.140625" bestFit="1" customWidth="1"/>
    <col min="12280" max="12280" width="24" bestFit="1" customWidth="1"/>
    <col min="12281" max="12281" width="43.85546875" customWidth="1"/>
    <col min="12282" max="12282" width="19.7109375" bestFit="1" customWidth="1"/>
    <col min="12283" max="12283" width="11.42578125" bestFit="1" customWidth="1"/>
    <col min="12284" max="12284" width="14.85546875" bestFit="1" customWidth="1"/>
    <col min="12285" max="12285" width="13.42578125" customWidth="1"/>
    <col min="12286" max="12286" width="15.28515625" bestFit="1" customWidth="1"/>
    <col min="12287" max="12287" width="14.140625" bestFit="1" customWidth="1"/>
    <col min="12288" max="12288" width="15.28515625" customWidth="1"/>
    <col min="12289" max="12289" width="15.85546875" customWidth="1"/>
    <col min="12290" max="12290" width="17" bestFit="1" customWidth="1"/>
    <col min="12291" max="12291" width="12.7109375" customWidth="1"/>
    <col min="12292" max="12292" width="13.7109375" customWidth="1"/>
    <col min="12293" max="12293" width="13.85546875" bestFit="1" customWidth="1"/>
    <col min="12294" max="12294" width="15.5703125" bestFit="1" customWidth="1"/>
    <col min="12295" max="12295" width="16.140625" customWidth="1"/>
    <col min="12296" max="12296" width="16.7109375" bestFit="1" customWidth="1"/>
    <col min="12297" max="12297" width="15.5703125" bestFit="1" customWidth="1"/>
    <col min="12298" max="12298" width="20.5703125" bestFit="1" customWidth="1"/>
    <col min="12299" max="12299" width="16.42578125" bestFit="1" customWidth="1"/>
    <col min="12300" max="12300" width="14.28515625" customWidth="1"/>
    <col min="12301" max="12301" width="12.85546875" bestFit="1" customWidth="1"/>
    <col min="12302" max="12302" width="11.28515625" bestFit="1" customWidth="1"/>
    <col min="12303" max="12303" width="12.5703125" bestFit="1" customWidth="1"/>
    <col min="12304" max="12304" width="14" bestFit="1" customWidth="1"/>
    <col min="12305" max="12305" width="6" bestFit="1" customWidth="1"/>
    <col min="12306" max="12306" width="15" customWidth="1"/>
    <col min="12307" max="12307" width="14.85546875" bestFit="1" customWidth="1"/>
    <col min="12308" max="12308" width="16.140625" bestFit="1" customWidth="1"/>
    <col min="12536" max="12536" width="24" bestFit="1" customWidth="1"/>
    <col min="12537" max="12537" width="43.85546875" customWidth="1"/>
    <col min="12538" max="12538" width="19.7109375" bestFit="1" customWidth="1"/>
    <col min="12539" max="12539" width="11.42578125" bestFit="1" customWidth="1"/>
    <col min="12540" max="12540" width="14.85546875" bestFit="1" customWidth="1"/>
    <col min="12541" max="12541" width="13.42578125" customWidth="1"/>
    <col min="12542" max="12542" width="15.28515625" bestFit="1" customWidth="1"/>
    <col min="12543" max="12543" width="14.140625" bestFit="1" customWidth="1"/>
    <col min="12544" max="12544" width="15.28515625" customWidth="1"/>
    <col min="12545" max="12545" width="15.85546875" customWidth="1"/>
    <col min="12546" max="12546" width="17" bestFit="1" customWidth="1"/>
    <col min="12547" max="12547" width="12.7109375" customWidth="1"/>
    <col min="12548" max="12548" width="13.7109375" customWidth="1"/>
    <col min="12549" max="12549" width="13.85546875" bestFit="1" customWidth="1"/>
    <col min="12550" max="12550" width="15.5703125" bestFit="1" customWidth="1"/>
    <col min="12551" max="12551" width="16.140625" customWidth="1"/>
    <col min="12552" max="12552" width="16.7109375" bestFit="1" customWidth="1"/>
    <col min="12553" max="12553" width="15.5703125" bestFit="1" customWidth="1"/>
    <col min="12554" max="12554" width="20.5703125" bestFit="1" customWidth="1"/>
    <col min="12555" max="12555" width="16.42578125" bestFit="1" customWidth="1"/>
    <col min="12556" max="12556" width="14.28515625" customWidth="1"/>
    <col min="12557" max="12557" width="12.85546875" bestFit="1" customWidth="1"/>
    <col min="12558" max="12558" width="11.28515625" bestFit="1" customWidth="1"/>
    <col min="12559" max="12559" width="12.5703125" bestFit="1" customWidth="1"/>
    <col min="12560" max="12560" width="14" bestFit="1" customWidth="1"/>
    <col min="12561" max="12561" width="6" bestFit="1" customWidth="1"/>
    <col min="12562" max="12562" width="15" customWidth="1"/>
    <col min="12563" max="12563" width="14.85546875" bestFit="1" customWidth="1"/>
    <col min="12564" max="12564" width="16.140625" bestFit="1" customWidth="1"/>
    <col min="12792" max="12792" width="24" bestFit="1" customWidth="1"/>
    <col min="12793" max="12793" width="43.85546875" customWidth="1"/>
    <col min="12794" max="12794" width="19.7109375" bestFit="1" customWidth="1"/>
    <col min="12795" max="12795" width="11.42578125" bestFit="1" customWidth="1"/>
    <col min="12796" max="12796" width="14.85546875" bestFit="1" customWidth="1"/>
    <col min="12797" max="12797" width="13.42578125" customWidth="1"/>
    <col min="12798" max="12798" width="15.28515625" bestFit="1" customWidth="1"/>
    <col min="12799" max="12799" width="14.140625" bestFit="1" customWidth="1"/>
    <col min="12800" max="12800" width="15.28515625" customWidth="1"/>
    <col min="12801" max="12801" width="15.85546875" customWidth="1"/>
    <col min="12802" max="12802" width="17" bestFit="1" customWidth="1"/>
    <col min="12803" max="12803" width="12.7109375" customWidth="1"/>
    <col min="12804" max="12804" width="13.7109375" customWidth="1"/>
    <col min="12805" max="12805" width="13.85546875" bestFit="1" customWidth="1"/>
    <col min="12806" max="12806" width="15.5703125" bestFit="1" customWidth="1"/>
    <col min="12807" max="12807" width="16.140625" customWidth="1"/>
    <col min="12808" max="12808" width="16.7109375" bestFit="1" customWidth="1"/>
    <col min="12809" max="12809" width="15.5703125" bestFit="1" customWidth="1"/>
    <col min="12810" max="12810" width="20.5703125" bestFit="1" customWidth="1"/>
    <col min="12811" max="12811" width="16.42578125" bestFit="1" customWidth="1"/>
    <col min="12812" max="12812" width="14.28515625" customWidth="1"/>
    <col min="12813" max="12813" width="12.85546875" bestFit="1" customWidth="1"/>
    <col min="12814" max="12814" width="11.28515625" bestFit="1" customWidth="1"/>
    <col min="12815" max="12815" width="12.5703125" bestFit="1" customWidth="1"/>
    <col min="12816" max="12816" width="14" bestFit="1" customWidth="1"/>
    <col min="12817" max="12817" width="6" bestFit="1" customWidth="1"/>
    <col min="12818" max="12818" width="15" customWidth="1"/>
    <col min="12819" max="12819" width="14.85546875" bestFit="1" customWidth="1"/>
    <col min="12820" max="12820" width="16.140625" bestFit="1" customWidth="1"/>
    <col min="13048" max="13048" width="24" bestFit="1" customWidth="1"/>
    <col min="13049" max="13049" width="43.85546875" customWidth="1"/>
    <col min="13050" max="13050" width="19.7109375" bestFit="1" customWidth="1"/>
    <col min="13051" max="13051" width="11.42578125" bestFit="1" customWidth="1"/>
    <col min="13052" max="13052" width="14.85546875" bestFit="1" customWidth="1"/>
    <col min="13053" max="13053" width="13.42578125" customWidth="1"/>
    <col min="13054" max="13054" width="15.28515625" bestFit="1" customWidth="1"/>
    <col min="13055" max="13055" width="14.140625" bestFit="1" customWidth="1"/>
    <col min="13056" max="13056" width="15.28515625" customWidth="1"/>
    <col min="13057" max="13057" width="15.85546875" customWidth="1"/>
    <col min="13058" max="13058" width="17" bestFit="1" customWidth="1"/>
    <col min="13059" max="13059" width="12.7109375" customWidth="1"/>
    <col min="13060" max="13060" width="13.7109375" customWidth="1"/>
    <col min="13061" max="13061" width="13.85546875" bestFit="1" customWidth="1"/>
    <col min="13062" max="13062" width="15.5703125" bestFit="1" customWidth="1"/>
    <col min="13063" max="13063" width="16.140625" customWidth="1"/>
    <col min="13064" max="13064" width="16.7109375" bestFit="1" customWidth="1"/>
    <col min="13065" max="13065" width="15.5703125" bestFit="1" customWidth="1"/>
    <col min="13066" max="13066" width="20.5703125" bestFit="1" customWidth="1"/>
    <col min="13067" max="13067" width="16.42578125" bestFit="1" customWidth="1"/>
    <col min="13068" max="13068" width="14.28515625" customWidth="1"/>
    <col min="13069" max="13069" width="12.85546875" bestFit="1" customWidth="1"/>
    <col min="13070" max="13070" width="11.28515625" bestFit="1" customWidth="1"/>
    <col min="13071" max="13071" width="12.5703125" bestFit="1" customWidth="1"/>
    <col min="13072" max="13072" width="14" bestFit="1" customWidth="1"/>
    <col min="13073" max="13073" width="6" bestFit="1" customWidth="1"/>
    <col min="13074" max="13074" width="15" customWidth="1"/>
    <col min="13075" max="13075" width="14.85546875" bestFit="1" customWidth="1"/>
    <col min="13076" max="13076" width="16.140625" bestFit="1" customWidth="1"/>
    <col min="13304" max="13304" width="24" bestFit="1" customWidth="1"/>
    <col min="13305" max="13305" width="43.85546875" customWidth="1"/>
    <col min="13306" max="13306" width="19.7109375" bestFit="1" customWidth="1"/>
    <col min="13307" max="13307" width="11.42578125" bestFit="1" customWidth="1"/>
    <col min="13308" max="13308" width="14.85546875" bestFit="1" customWidth="1"/>
    <col min="13309" max="13309" width="13.42578125" customWidth="1"/>
    <col min="13310" max="13310" width="15.28515625" bestFit="1" customWidth="1"/>
    <col min="13311" max="13311" width="14.140625" bestFit="1" customWidth="1"/>
    <col min="13312" max="13312" width="15.28515625" customWidth="1"/>
    <col min="13313" max="13313" width="15.85546875" customWidth="1"/>
    <col min="13314" max="13314" width="17" bestFit="1" customWidth="1"/>
    <col min="13315" max="13315" width="12.7109375" customWidth="1"/>
    <col min="13316" max="13316" width="13.7109375" customWidth="1"/>
    <col min="13317" max="13317" width="13.85546875" bestFit="1" customWidth="1"/>
    <col min="13318" max="13318" width="15.5703125" bestFit="1" customWidth="1"/>
    <col min="13319" max="13319" width="16.140625" customWidth="1"/>
    <col min="13320" max="13320" width="16.7109375" bestFit="1" customWidth="1"/>
    <col min="13321" max="13321" width="15.5703125" bestFit="1" customWidth="1"/>
    <col min="13322" max="13322" width="20.5703125" bestFit="1" customWidth="1"/>
    <col min="13323" max="13323" width="16.42578125" bestFit="1" customWidth="1"/>
    <col min="13324" max="13324" width="14.28515625" customWidth="1"/>
    <col min="13325" max="13325" width="12.85546875" bestFit="1" customWidth="1"/>
    <col min="13326" max="13326" width="11.28515625" bestFit="1" customWidth="1"/>
    <col min="13327" max="13327" width="12.5703125" bestFit="1" customWidth="1"/>
    <col min="13328" max="13328" width="14" bestFit="1" customWidth="1"/>
    <col min="13329" max="13329" width="6" bestFit="1" customWidth="1"/>
    <col min="13330" max="13330" width="15" customWidth="1"/>
    <col min="13331" max="13331" width="14.85546875" bestFit="1" customWidth="1"/>
    <col min="13332" max="13332" width="16.140625" bestFit="1" customWidth="1"/>
    <col min="13560" max="13560" width="24" bestFit="1" customWidth="1"/>
    <col min="13561" max="13561" width="43.85546875" customWidth="1"/>
    <col min="13562" max="13562" width="19.7109375" bestFit="1" customWidth="1"/>
    <col min="13563" max="13563" width="11.42578125" bestFit="1" customWidth="1"/>
    <col min="13564" max="13564" width="14.85546875" bestFit="1" customWidth="1"/>
    <col min="13565" max="13565" width="13.42578125" customWidth="1"/>
    <col min="13566" max="13566" width="15.28515625" bestFit="1" customWidth="1"/>
    <col min="13567" max="13567" width="14.140625" bestFit="1" customWidth="1"/>
    <col min="13568" max="13568" width="15.28515625" customWidth="1"/>
    <col min="13569" max="13569" width="15.85546875" customWidth="1"/>
    <col min="13570" max="13570" width="17" bestFit="1" customWidth="1"/>
    <col min="13571" max="13571" width="12.7109375" customWidth="1"/>
    <col min="13572" max="13572" width="13.7109375" customWidth="1"/>
    <col min="13573" max="13573" width="13.85546875" bestFit="1" customWidth="1"/>
    <col min="13574" max="13574" width="15.5703125" bestFit="1" customWidth="1"/>
    <col min="13575" max="13575" width="16.140625" customWidth="1"/>
    <col min="13576" max="13576" width="16.7109375" bestFit="1" customWidth="1"/>
    <col min="13577" max="13577" width="15.5703125" bestFit="1" customWidth="1"/>
    <col min="13578" max="13578" width="20.5703125" bestFit="1" customWidth="1"/>
    <col min="13579" max="13579" width="16.42578125" bestFit="1" customWidth="1"/>
    <col min="13580" max="13580" width="14.28515625" customWidth="1"/>
    <col min="13581" max="13581" width="12.85546875" bestFit="1" customWidth="1"/>
    <col min="13582" max="13582" width="11.28515625" bestFit="1" customWidth="1"/>
    <col min="13583" max="13583" width="12.5703125" bestFit="1" customWidth="1"/>
    <col min="13584" max="13584" width="14" bestFit="1" customWidth="1"/>
    <col min="13585" max="13585" width="6" bestFit="1" customWidth="1"/>
    <col min="13586" max="13586" width="15" customWidth="1"/>
    <col min="13587" max="13587" width="14.85546875" bestFit="1" customWidth="1"/>
    <col min="13588" max="13588" width="16.140625" bestFit="1" customWidth="1"/>
    <col min="13816" max="13816" width="24" bestFit="1" customWidth="1"/>
    <col min="13817" max="13817" width="43.85546875" customWidth="1"/>
    <col min="13818" max="13818" width="19.7109375" bestFit="1" customWidth="1"/>
    <col min="13819" max="13819" width="11.42578125" bestFit="1" customWidth="1"/>
    <col min="13820" max="13820" width="14.85546875" bestFit="1" customWidth="1"/>
    <col min="13821" max="13821" width="13.42578125" customWidth="1"/>
    <col min="13822" max="13822" width="15.28515625" bestFit="1" customWidth="1"/>
    <col min="13823" max="13823" width="14.140625" bestFit="1" customWidth="1"/>
    <col min="13824" max="13824" width="15.28515625" customWidth="1"/>
    <col min="13825" max="13825" width="15.85546875" customWidth="1"/>
    <col min="13826" max="13826" width="17" bestFit="1" customWidth="1"/>
    <col min="13827" max="13827" width="12.7109375" customWidth="1"/>
    <col min="13828" max="13828" width="13.7109375" customWidth="1"/>
    <col min="13829" max="13829" width="13.85546875" bestFit="1" customWidth="1"/>
    <col min="13830" max="13830" width="15.5703125" bestFit="1" customWidth="1"/>
    <col min="13831" max="13831" width="16.140625" customWidth="1"/>
    <col min="13832" max="13832" width="16.7109375" bestFit="1" customWidth="1"/>
    <col min="13833" max="13833" width="15.5703125" bestFit="1" customWidth="1"/>
    <col min="13834" max="13834" width="20.5703125" bestFit="1" customWidth="1"/>
    <col min="13835" max="13835" width="16.42578125" bestFit="1" customWidth="1"/>
    <col min="13836" max="13836" width="14.28515625" customWidth="1"/>
    <col min="13837" max="13837" width="12.85546875" bestFit="1" customWidth="1"/>
    <col min="13838" max="13838" width="11.28515625" bestFit="1" customWidth="1"/>
    <col min="13839" max="13839" width="12.5703125" bestFit="1" customWidth="1"/>
    <col min="13840" max="13840" width="14" bestFit="1" customWidth="1"/>
    <col min="13841" max="13841" width="6" bestFit="1" customWidth="1"/>
    <col min="13842" max="13842" width="15" customWidth="1"/>
    <col min="13843" max="13843" width="14.85546875" bestFit="1" customWidth="1"/>
    <col min="13844" max="13844" width="16.140625" bestFit="1" customWidth="1"/>
    <col min="14072" max="14072" width="24" bestFit="1" customWidth="1"/>
    <col min="14073" max="14073" width="43.85546875" customWidth="1"/>
    <col min="14074" max="14074" width="19.7109375" bestFit="1" customWidth="1"/>
    <col min="14075" max="14075" width="11.42578125" bestFit="1" customWidth="1"/>
    <col min="14076" max="14076" width="14.85546875" bestFit="1" customWidth="1"/>
    <col min="14077" max="14077" width="13.42578125" customWidth="1"/>
    <col min="14078" max="14078" width="15.28515625" bestFit="1" customWidth="1"/>
    <col min="14079" max="14079" width="14.140625" bestFit="1" customWidth="1"/>
    <col min="14080" max="14080" width="15.28515625" customWidth="1"/>
    <col min="14081" max="14081" width="15.85546875" customWidth="1"/>
    <col min="14082" max="14082" width="17" bestFit="1" customWidth="1"/>
    <col min="14083" max="14083" width="12.7109375" customWidth="1"/>
    <col min="14084" max="14084" width="13.7109375" customWidth="1"/>
    <col min="14085" max="14085" width="13.85546875" bestFit="1" customWidth="1"/>
    <col min="14086" max="14086" width="15.5703125" bestFit="1" customWidth="1"/>
    <col min="14087" max="14087" width="16.140625" customWidth="1"/>
    <col min="14088" max="14088" width="16.7109375" bestFit="1" customWidth="1"/>
    <col min="14089" max="14089" width="15.5703125" bestFit="1" customWidth="1"/>
    <col min="14090" max="14090" width="20.5703125" bestFit="1" customWidth="1"/>
    <col min="14091" max="14091" width="16.42578125" bestFit="1" customWidth="1"/>
    <col min="14092" max="14092" width="14.28515625" customWidth="1"/>
    <col min="14093" max="14093" width="12.85546875" bestFit="1" customWidth="1"/>
    <col min="14094" max="14094" width="11.28515625" bestFit="1" customWidth="1"/>
    <col min="14095" max="14095" width="12.5703125" bestFit="1" customWidth="1"/>
    <col min="14096" max="14096" width="14" bestFit="1" customWidth="1"/>
    <col min="14097" max="14097" width="6" bestFit="1" customWidth="1"/>
    <col min="14098" max="14098" width="15" customWidth="1"/>
    <col min="14099" max="14099" width="14.85546875" bestFit="1" customWidth="1"/>
    <col min="14100" max="14100" width="16.140625" bestFit="1" customWidth="1"/>
    <col min="14328" max="14328" width="24" bestFit="1" customWidth="1"/>
    <col min="14329" max="14329" width="43.85546875" customWidth="1"/>
    <col min="14330" max="14330" width="19.7109375" bestFit="1" customWidth="1"/>
    <col min="14331" max="14331" width="11.42578125" bestFit="1" customWidth="1"/>
    <col min="14332" max="14332" width="14.85546875" bestFit="1" customWidth="1"/>
    <col min="14333" max="14333" width="13.42578125" customWidth="1"/>
    <col min="14334" max="14334" width="15.28515625" bestFit="1" customWidth="1"/>
    <col min="14335" max="14335" width="14.140625" bestFit="1" customWidth="1"/>
    <col min="14336" max="14336" width="15.28515625" customWidth="1"/>
    <col min="14337" max="14337" width="15.85546875" customWidth="1"/>
    <col min="14338" max="14338" width="17" bestFit="1" customWidth="1"/>
    <col min="14339" max="14339" width="12.7109375" customWidth="1"/>
    <col min="14340" max="14340" width="13.7109375" customWidth="1"/>
    <col min="14341" max="14341" width="13.85546875" bestFit="1" customWidth="1"/>
    <col min="14342" max="14342" width="15.5703125" bestFit="1" customWidth="1"/>
    <col min="14343" max="14343" width="16.140625" customWidth="1"/>
    <col min="14344" max="14344" width="16.7109375" bestFit="1" customWidth="1"/>
    <col min="14345" max="14345" width="15.5703125" bestFit="1" customWidth="1"/>
    <col min="14346" max="14346" width="20.5703125" bestFit="1" customWidth="1"/>
    <col min="14347" max="14347" width="16.42578125" bestFit="1" customWidth="1"/>
    <col min="14348" max="14348" width="14.28515625" customWidth="1"/>
    <col min="14349" max="14349" width="12.85546875" bestFit="1" customWidth="1"/>
    <col min="14350" max="14350" width="11.28515625" bestFit="1" customWidth="1"/>
    <col min="14351" max="14351" width="12.5703125" bestFit="1" customWidth="1"/>
    <col min="14352" max="14352" width="14" bestFit="1" customWidth="1"/>
    <col min="14353" max="14353" width="6" bestFit="1" customWidth="1"/>
    <col min="14354" max="14354" width="15" customWidth="1"/>
    <col min="14355" max="14355" width="14.85546875" bestFit="1" customWidth="1"/>
    <col min="14356" max="14356" width="16.140625" bestFit="1" customWidth="1"/>
    <col min="14584" max="14584" width="24" bestFit="1" customWidth="1"/>
    <col min="14585" max="14585" width="43.85546875" customWidth="1"/>
    <col min="14586" max="14586" width="19.7109375" bestFit="1" customWidth="1"/>
    <col min="14587" max="14587" width="11.42578125" bestFit="1" customWidth="1"/>
    <col min="14588" max="14588" width="14.85546875" bestFit="1" customWidth="1"/>
    <col min="14589" max="14589" width="13.42578125" customWidth="1"/>
    <col min="14590" max="14590" width="15.28515625" bestFit="1" customWidth="1"/>
    <col min="14591" max="14591" width="14.140625" bestFit="1" customWidth="1"/>
    <col min="14592" max="14592" width="15.28515625" customWidth="1"/>
    <col min="14593" max="14593" width="15.85546875" customWidth="1"/>
    <col min="14594" max="14594" width="17" bestFit="1" customWidth="1"/>
    <col min="14595" max="14595" width="12.7109375" customWidth="1"/>
    <col min="14596" max="14596" width="13.7109375" customWidth="1"/>
    <col min="14597" max="14597" width="13.85546875" bestFit="1" customWidth="1"/>
    <col min="14598" max="14598" width="15.5703125" bestFit="1" customWidth="1"/>
    <col min="14599" max="14599" width="16.140625" customWidth="1"/>
    <col min="14600" max="14600" width="16.7109375" bestFit="1" customWidth="1"/>
    <col min="14601" max="14601" width="15.5703125" bestFit="1" customWidth="1"/>
    <col min="14602" max="14602" width="20.5703125" bestFit="1" customWidth="1"/>
    <col min="14603" max="14603" width="16.42578125" bestFit="1" customWidth="1"/>
    <col min="14604" max="14604" width="14.28515625" customWidth="1"/>
    <col min="14605" max="14605" width="12.85546875" bestFit="1" customWidth="1"/>
    <col min="14606" max="14606" width="11.28515625" bestFit="1" customWidth="1"/>
    <col min="14607" max="14607" width="12.5703125" bestFit="1" customWidth="1"/>
    <col min="14608" max="14608" width="14" bestFit="1" customWidth="1"/>
    <col min="14609" max="14609" width="6" bestFit="1" customWidth="1"/>
    <col min="14610" max="14610" width="15" customWidth="1"/>
    <col min="14611" max="14611" width="14.85546875" bestFit="1" customWidth="1"/>
    <col min="14612" max="14612" width="16.140625" bestFit="1" customWidth="1"/>
    <col min="14840" max="14840" width="24" bestFit="1" customWidth="1"/>
    <col min="14841" max="14841" width="43.85546875" customWidth="1"/>
    <col min="14842" max="14842" width="19.7109375" bestFit="1" customWidth="1"/>
    <col min="14843" max="14843" width="11.42578125" bestFit="1" customWidth="1"/>
    <col min="14844" max="14844" width="14.85546875" bestFit="1" customWidth="1"/>
    <col min="14845" max="14845" width="13.42578125" customWidth="1"/>
    <col min="14846" max="14846" width="15.28515625" bestFit="1" customWidth="1"/>
    <col min="14847" max="14847" width="14.140625" bestFit="1" customWidth="1"/>
    <col min="14848" max="14848" width="15.28515625" customWidth="1"/>
    <col min="14849" max="14849" width="15.85546875" customWidth="1"/>
    <col min="14850" max="14850" width="17" bestFit="1" customWidth="1"/>
    <col min="14851" max="14851" width="12.7109375" customWidth="1"/>
    <col min="14852" max="14852" width="13.7109375" customWidth="1"/>
    <col min="14853" max="14853" width="13.85546875" bestFit="1" customWidth="1"/>
    <col min="14854" max="14854" width="15.5703125" bestFit="1" customWidth="1"/>
    <col min="14855" max="14855" width="16.140625" customWidth="1"/>
    <col min="14856" max="14856" width="16.7109375" bestFit="1" customWidth="1"/>
    <col min="14857" max="14857" width="15.5703125" bestFit="1" customWidth="1"/>
    <col min="14858" max="14858" width="20.5703125" bestFit="1" customWidth="1"/>
    <col min="14859" max="14859" width="16.42578125" bestFit="1" customWidth="1"/>
    <col min="14860" max="14860" width="14.28515625" customWidth="1"/>
    <col min="14861" max="14861" width="12.85546875" bestFit="1" customWidth="1"/>
    <col min="14862" max="14862" width="11.28515625" bestFit="1" customWidth="1"/>
    <col min="14863" max="14863" width="12.5703125" bestFit="1" customWidth="1"/>
    <col min="14864" max="14864" width="14" bestFit="1" customWidth="1"/>
    <col min="14865" max="14865" width="6" bestFit="1" customWidth="1"/>
    <col min="14866" max="14866" width="15" customWidth="1"/>
    <col min="14867" max="14867" width="14.85546875" bestFit="1" customWidth="1"/>
    <col min="14868" max="14868" width="16.140625" bestFit="1" customWidth="1"/>
    <col min="15096" max="15096" width="24" bestFit="1" customWidth="1"/>
    <col min="15097" max="15097" width="43.85546875" customWidth="1"/>
    <col min="15098" max="15098" width="19.7109375" bestFit="1" customWidth="1"/>
    <col min="15099" max="15099" width="11.42578125" bestFit="1" customWidth="1"/>
    <col min="15100" max="15100" width="14.85546875" bestFit="1" customWidth="1"/>
    <col min="15101" max="15101" width="13.42578125" customWidth="1"/>
    <col min="15102" max="15102" width="15.28515625" bestFit="1" customWidth="1"/>
    <col min="15103" max="15103" width="14.140625" bestFit="1" customWidth="1"/>
    <col min="15104" max="15104" width="15.28515625" customWidth="1"/>
    <col min="15105" max="15105" width="15.85546875" customWidth="1"/>
    <col min="15106" max="15106" width="17" bestFit="1" customWidth="1"/>
    <col min="15107" max="15107" width="12.7109375" customWidth="1"/>
    <col min="15108" max="15108" width="13.7109375" customWidth="1"/>
    <col min="15109" max="15109" width="13.85546875" bestFit="1" customWidth="1"/>
    <col min="15110" max="15110" width="15.5703125" bestFit="1" customWidth="1"/>
    <col min="15111" max="15111" width="16.140625" customWidth="1"/>
    <col min="15112" max="15112" width="16.7109375" bestFit="1" customWidth="1"/>
    <col min="15113" max="15113" width="15.5703125" bestFit="1" customWidth="1"/>
    <col min="15114" max="15114" width="20.5703125" bestFit="1" customWidth="1"/>
    <col min="15115" max="15115" width="16.42578125" bestFit="1" customWidth="1"/>
    <col min="15116" max="15116" width="14.28515625" customWidth="1"/>
    <col min="15117" max="15117" width="12.85546875" bestFit="1" customWidth="1"/>
    <col min="15118" max="15118" width="11.28515625" bestFit="1" customWidth="1"/>
    <col min="15119" max="15119" width="12.5703125" bestFit="1" customWidth="1"/>
    <col min="15120" max="15120" width="14" bestFit="1" customWidth="1"/>
    <col min="15121" max="15121" width="6" bestFit="1" customWidth="1"/>
    <col min="15122" max="15122" width="15" customWidth="1"/>
    <col min="15123" max="15123" width="14.85546875" bestFit="1" customWidth="1"/>
    <col min="15124" max="15124" width="16.140625" bestFit="1" customWidth="1"/>
    <col min="15352" max="15352" width="24" bestFit="1" customWidth="1"/>
    <col min="15353" max="15353" width="43.85546875" customWidth="1"/>
    <col min="15354" max="15354" width="19.7109375" bestFit="1" customWidth="1"/>
    <col min="15355" max="15355" width="11.42578125" bestFit="1" customWidth="1"/>
    <col min="15356" max="15356" width="14.85546875" bestFit="1" customWidth="1"/>
    <col min="15357" max="15357" width="13.42578125" customWidth="1"/>
    <col min="15358" max="15358" width="15.28515625" bestFit="1" customWidth="1"/>
    <col min="15359" max="15359" width="14.140625" bestFit="1" customWidth="1"/>
    <col min="15360" max="15360" width="15.28515625" customWidth="1"/>
    <col min="15361" max="15361" width="15.85546875" customWidth="1"/>
    <col min="15362" max="15362" width="17" bestFit="1" customWidth="1"/>
    <col min="15363" max="15363" width="12.7109375" customWidth="1"/>
    <col min="15364" max="15364" width="13.7109375" customWidth="1"/>
    <col min="15365" max="15365" width="13.85546875" bestFit="1" customWidth="1"/>
    <col min="15366" max="15366" width="15.5703125" bestFit="1" customWidth="1"/>
    <col min="15367" max="15367" width="16.140625" customWidth="1"/>
    <col min="15368" max="15368" width="16.7109375" bestFit="1" customWidth="1"/>
    <col min="15369" max="15369" width="15.5703125" bestFit="1" customWidth="1"/>
    <col min="15370" max="15370" width="20.5703125" bestFit="1" customWidth="1"/>
    <col min="15371" max="15371" width="16.42578125" bestFit="1" customWidth="1"/>
    <col min="15372" max="15372" width="14.28515625" customWidth="1"/>
    <col min="15373" max="15373" width="12.85546875" bestFit="1" customWidth="1"/>
    <col min="15374" max="15374" width="11.28515625" bestFit="1" customWidth="1"/>
    <col min="15375" max="15375" width="12.5703125" bestFit="1" customWidth="1"/>
    <col min="15376" max="15376" width="14" bestFit="1" customWidth="1"/>
    <col min="15377" max="15377" width="6" bestFit="1" customWidth="1"/>
    <col min="15378" max="15378" width="15" customWidth="1"/>
    <col min="15379" max="15379" width="14.85546875" bestFit="1" customWidth="1"/>
    <col min="15380" max="15380" width="16.140625" bestFit="1" customWidth="1"/>
    <col min="15608" max="15608" width="24" bestFit="1" customWidth="1"/>
    <col min="15609" max="15609" width="43.85546875" customWidth="1"/>
    <col min="15610" max="15610" width="19.7109375" bestFit="1" customWidth="1"/>
    <col min="15611" max="15611" width="11.42578125" bestFit="1" customWidth="1"/>
    <col min="15612" max="15612" width="14.85546875" bestFit="1" customWidth="1"/>
    <col min="15613" max="15613" width="13.42578125" customWidth="1"/>
    <col min="15614" max="15614" width="15.28515625" bestFit="1" customWidth="1"/>
    <col min="15615" max="15615" width="14.140625" bestFit="1" customWidth="1"/>
    <col min="15616" max="15616" width="15.28515625" customWidth="1"/>
    <col min="15617" max="15617" width="15.85546875" customWidth="1"/>
    <col min="15618" max="15618" width="17" bestFit="1" customWidth="1"/>
    <col min="15619" max="15619" width="12.7109375" customWidth="1"/>
    <col min="15620" max="15620" width="13.7109375" customWidth="1"/>
    <col min="15621" max="15621" width="13.85546875" bestFit="1" customWidth="1"/>
    <col min="15622" max="15622" width="15.5703125" bestFit="1" customWidth="1"/>
    <col min="15623" max="15623" width="16.140625" customWidth="1"/>
    <col min="15624" max="15624" width="16.7109375" bestFit="1" customWidth="1"/>
    <col min="15625" max="15625" width="15.5703125" bestFit="1" customWidth="1"/>
    <col min="15626" max="15626" width="20.5703125" bestFit="1" customWidth="1"/>
    <col min="15627" max="15627" width="16.42578125" bestFit="1" customWidth="1"/>
    <col min="15628" max="15628" width="14.28515625" customWidth="1"/>
    <col min="15629" max="15629" width="12.85546875" bestFit="1" customWidth="1"/>
    <col min="15630" max="15630" width="11.28515625" bestFit="1" customWidth="1"/>
    <col min="15631" max="15631" width="12.5703125" bestFit="1" customWidth="1"/>
    <col min="15632" max="15632" width="14" bestFit="1" customWidth="1"/>
    <col min="15633" max="15633" width="6" bestFit="1" customWidth="1"/>
    <col min="15634" max="15634" width="15" customWidth="1"/>
    <col min="15635" max="15635" width="14.85546875" bestFit="1" customWidth="1"/>
    <col min="15636" max="15636" width="16.140625" bestFit="1" customWidth="1"/>
    <col min="15864" max="15864" width="24" bestFit="1" customWidth="1"/>
    <col min="15865" max="15865" width="43.85546875" customWidth="1"/>
    <col min="15866" max="15866" width="19.7109375" bestFit="1" customWidth="1"/>
    <col min="15867" max="15867" width="11.42578125" bestFit="1" customWidth="1"/>
    <col min="15868" max="15868" width="14.85546875" bestFit="1" customWidth="1"/>
    <col min="15869" max="15869" width="13.42578125" customWidth="1"/>
    <col min="15870" max="15870" width="15.28515625" bestFit="1" customWidth="1"/>
    <col min="15871" max="15871" width="14.140625" bestFit="1" customWidth="1"/>
    <col min="15872" max="15872" width="15.28515625" customWidth="1"/>
    <col min="15873" max="15873" width="15.85546875" customWidth="1"/>
    <col min="15874" max="15874" width="17" bestFit="1" customWidth="1"/>
    <col min="15875" max="15875" width="12.7109375" customWidth="1"/>
    <col min="15876" max="15876" width="13.7109375" customWidth="1"/>
    <col min="15877" max="15877" width="13.85546875" bestFit="1" customWidth="1"/>
    <col min="15878" max="15878" width="15.5703125" bestFit="1" customWidth="1"/>
    <col min="15879" max="15879" width="16.140625" customWidth="1"/>
    <col min="15880" max="15880" width="16.7109375" bestFit="1" customWidth="1"/>
    <col min="15881" max="15881" width="15.5703125" bestFit="1" customWidth="1"/>
    <col min="15882" max="15882" width="20.5703125" bestFit="1" customWidth="1"/>
    <col min="15883" max="15883" width="16.42578125" bestFit="1" customWidth="1"/>
    <col min="15884" max="15884" width="14.28515625" customWidth="1"/>
    <col min="15885" max="15885" width="12.85546875" bestFit="1" customWidth="1"/>
    <col min="15886" max="15886" width="11.28515625" bestFit="1" customWidth="1"/>
    <col min="15887" max="15887" width="12.5703125" bestFit="1" customWidth="1"/>
    <col min="15888" max="15888" width="14" bestFit="1" customWidth="1"/>
    <col min="15889" max="15889" width="6" bestFit="1" customWidth="1"/>
    <col min="15890" max="15890" width="15" customWidth="1"/>
    <col min="15891" max="15891" width="14.85546875" bestFit="1" customWidth="1"/>
    <col min="15892" max="15892" width="16.140625" bestFit="1" customWidth="1"/>
    <col min="16120" max="16120" width="24" bestFit="1" customWidth="1"/>
    <col min="16121" max="16121" width="43.85546875" customWidth="1"/>
    <col min="16122" max="16122" width="19.7109375" bestFit="1" customWidth="1"/>
    <col min="16123" max="16123" width="11.42578125" bestFit="1" customWidth="1"/>
    <col min="16124" max="16124" width="14.85546875" bestFit="1" customWidth="1"/>
    <col min="16125" max="16125" width="13.42578125" customWidth="1"/>
    <col min="16126" max="16126" width="15.28515625" bestFit="1" customWidth="1"/>
    <col min="16127" max="16127" width="14.140625" bestFit="1" customWidth="1"/>
    <col min="16128" max="16128" width="15.28515625" customWidth="1"/>
    <col min="16129" max="16129" width="15.85546875" customWidth="1"/>
    <col min="16130" max="16130" width="17" bestFit="1" customWidth="1"/>
    <col min="16131" max="16131" width="12.7109375" customWidth="1"/>
    <col min="16132" max="16132" width="13.7109375" customWidth="1"/>
    <col min="16133" max="16133" width="13.85546875" bestFit="1" customWidth="1"/>
    <col min="16134" max="16134" width="15.5703125" bestFit="1" customWidth="1"/>
    <col min="16135" max="16135" width="16.140625" customWidth="1"/>
    <col min="16136" max="16136" width="16.7109375" bestFit="1" customWidth="1"/>
    <col min="16137" max="16137" width="15.5703125" bestFit="1" customWidth="1"/>
    <col min="16138" max="16138" width="20.5703125" bestFit="1" customWidth="1"/>
    <col min="16139" max="16139" width="16.42578125" bestFit="1" customWidth="1"/>
    <col min="16140" max="16140" width="14.28515625" customWidth="1"/>
    <col min="16141" max="16141" width="12.85546875" bestFit="1" customWidth="1"/>
    <col min="16142" max="16142" width="11.28515625" bestFit="1" customWidth="1"/>
    <col min="16143" max="16143" width="12.5703125" bestFit="1" customWidth="1"/>
    <col min="16144" max="16144" width="14" bestFit="1" customWidth="1"/>
    <col min="16145" max="16145" width="6" bestFit="1" customWidth="1"/>
    <col min="16146" max="16146" width="15" customWidth="1"/>
    <col min="16147" max="16147" width="14.85546875" bestFit="1" customWidth="1"/>
    <col min="16148" max="16148" width="16.140625" bestFit="1" customWidth="1"/>
  </cols>
  <sheetData>
    <row r="1" spans="1:25" ht="54" customHeight="1" thickBot="1">
      <c r="C1" s="1380" t="s">
        <v>588</v>
      </c>
      <c r="D1" s="1361" t="s">
        <v>267</v>
      </c>
      <c r="E1" s="1361" t="s">
        <v>5</v>
      </c>
      <c r="F1" s="1361">
        <v>18230639</v>
      </c>
      <c r="G1" s="1361" t="s">
        <v>28</v>
      </c>
      <c r="J1" s="44"/>
      <c r="M1" s="1380" t="s">
        <v>588</v>
      </c>
      <c r="N1" s="1361" t="s">
        <v>267</v>
      </c>
      <c r="O1" s="1361" t="s">
        <v>5</v>
      </c>
      <c r="P1" s="1361">
        <v>18230639</v>
      </c>
      <c r="Q1" s="1361" t="s">
        <v>28</v>
      </c>
      <c r="V1" s="1380" t="s">
        <v>588</v>
      </c>
      <c r="W1" s="1361" t="s">
        <v>267</v>
      </c>
      <c r="X1" s="1361" t="s">
        <v>5</v>
      </c>
      <c r="Y1" s="1361">
        <v>18230639</v>
      </c>
    </row>
    <row r="2" spans="1:25" ht="16.5" thickBot="1">
      <c r="C2" s="44"/>
      <c r="D2" s="45"/>
      <c r="G2" s="1652"/>
      <c r="I2" s="1178" t="s">
        <v>627</v>
      </c>
      <c r="S2" s="3575"/>
      <c r="T2" s="3575"/>
      <c r="U2" s="3576" t="s">
        <v>33</v>
      </c>
      <c r="V2" s="3577"/>
      <c r="W2" s="3578"/>
      <c r="X2" s="3579" t="s">
        <v>34</v>
      </c>
    </row>
    <row r="3" spans="1:25" ht="27.75" thickBot="1">
      <c r="A3" s="1392" t="s">
        <v>588</v>
      </c>
      <c r="B3" s="1357"/>
      <c r="C3" s="2080" t="s">
        <v>597</v>
      </c>
      <c r="G3" s="1652"/>
      <c r="I3" s="1181" t="s">
        <v>7</v>
      </c>
      <c r="J3" s="2642" t="s">
        <v>8</v>
      </c>
      <c r="K3" s="2642" t="s">
        <v>9</v>
      </c>
      <c r="L3" s="2642" t="s">
        <v>10</v>
      </c>
      <c r="M3" s="2643" t="s">
        <v>482</v>
      </c>
      <c r="N3" s="2642" t="s">
        <v>11</v>
      </c>
      <c r="O3" s="2642" t="s">
        <v>12</v>
      </c>
      <c r="P3" s="2642" t="s">
        <v>13</v>
      </c>
      <c r="Q3" s="2642" t="s">
        <v>35</v>
      </c>
      <c r="R3" s="2642" t="s">
        <v>36</v>
      </c>
      <c r="S3" s="2642" t="s">
        <v>15</v>
      </c>
      <c r="T3" s="2644" t="s">
        <v>37</v>
      </c>
      <c r="U3" s="1181" t="s">
        <v>38</v>
      </c>
      <c r="V3" s="1181" t="s">
        <v>10</v>
      </c>
      <c r="W3" s="1182" t="s">
        <v>39</v>
      </c>
      <c r="X3" s="3569"/>
    </row>
    <row r="4" spans="1:25" ht="16.5" thickBot="1">
      <c r="A4" s="1357" t="s">
        <v>267</v>
      </c>
      <c r="B4" s="1357"/>
      <c r="C4" s="45"/>
      <c r="G4" s="1652"/>
      <c r="H4" s="1353" t="s">
        <v>1724</v>
      </c>
      <c r="I4" s="2617">
        <v>0</v>
      </c>
      <c r="J4" s="2618">
        <v>0</v>
      </c>
      <c r="K4" s="2618">
        <v>0</v>
      </c>
      <c r="L4" s="2618">
        <v>0</v>
      </c>
      <c r="M4" s="2618">
        <v>0</v>
      </c>
      <c r="N4" s="2618">
        <v>0</v>
      </c>
      <c r="O4" s="2618">
        <v>0</v>
      </c>
      <c r="P4" s="2618">
        <v>0</v>
      </c>
      <c r="Q4" s="2618">
        <v>0</v>
      </c>
      <c r="R4" s="2618">
        <v>0</v>
      </c>
      <c r="S4" s="2619">
        <v>0</v>
      </c>
      <c r="T4" s="2620">
        <v>0</v>
      </c>
      <c r="U4" s="1187" t="e">
        <f>Q4/S4</f>
        <v>#DIV/0!</v>
      </c>
      <c r="V4" s="1187" t="e">
        <f>(L4+(J4*1.63))/S4</f>
        <v>#DIV/0!</v>
      </c>
      <c r="W4" s="1187" t="e">
        <f>N4/S4</f>
        <v>#DIV/0!</v>
      </c>
      <c r="X4" s="48" t="e">
        <f>S4/T4</f>
        <v>#DIV/0!</v>
      </c>
    </row>
    <row r="5" spans="1:25" ht="16.5" thickBot="1">
      <c r="A5" s="1357" t="s">
        <v>5</v>
      </c>
      <c r="B5" s="1357"/>
      <c r="C5" s="44"/>
      <c r="G5" s="1652"/>
      <c r="H5" s="2946" t="s">
        <v>1726</v>
      </c>
      <c r="I5" s="2959">
        <f>D15</f>
        <v>0</v>
      </c>
      <c r="J5" s="2960">
        <f>D21</f>
        <v>0</v>
      </c>
      <c r="K5" s="2960">
        <f>D27</f>
        <v>0</v>
      </c>
      <c r="L5" s="2960">
        <f>D37</f>
        <v>0</v>
      </c>
      <c r="M5" s="2960">
        <f>D43</f>
        <v>0</v>
      </c>
      <c r="N5" s="2960">
        <f>D49</f>
        <v>0</v>
      </c>
      <c r="O5" s="2960">
        <f>D55</f>
        <v>0</v>
      </c>
      <c r="P5" s="2960">
        <f>D61</f>
        <v>0</v>
      </c>
      <c r="Q5" s="2960">
        <f>D67</f>
        <v>0</v>
      </c>
      <c r="R5" s="2960">
        <f>D68</f>
        <v>0</v>
      </c>
      <c r="S5" s="2961">
        <f>SUM(I5:R5)</f>
        <v>0</v>
      </c>
      <c r="T5" s="2962">
        <f>T15</f>
        <v>0</v>
      </c>
      <c r="U5" s="2954" t="e">
        <f>Q5/S5</f>
        <v>#DIV/0!</v>
      </c>
      <c r="V5" s="2954" t="e">
        <f>(L5+(J5*1.63))/S5</f>
        <v>#DIV/0!</v>
      </c>
      <c r="W5" s="2954" t="e">
        <f>N5/S5</f>
        <v>#DIV/0!</v>
      </c>
      <c r="X5" s="2953" t="e">
        <f>S5/T5</f>
        <v>#DIV/0!</v>
      </c>
    </row>
    <row r="6" spans="1:25" ht="16.5" thickBot="1">
      <c r="A6" s="1357">
        <v>18230639</v>
      </c>
      <c r="B6" s="1357"/>
      <c r="D6" s="44"/>
      <c r="G6" s="1652"/>
      <c r="H6" s="2606" t="s">
        <v>1725</v>
      </c>
      <c r="I6" s="2621">
        <f>E15</f>
        <v>0</v>
      </c>
      <c r="J6" s="2622">
        <f>E21</f>
        <v>0</v>
      </c>
      <c r="K6" s="2623">
        <f>E27</f>
        <v>0</v>
      </c>
      <c r="L6" s="2622">
        <f>E37</f>
        <v>0</v>
      </c>
      <c r="M6" s="2622">
        <f>E43</f>
        <v>0</v>
      </c>
      <c r="N6" s="2622">
        <f>E49</f>
        <v>0</v>
      </c>
      <c r="O6" s="2622">
        <f>E55</f>
        <v>0</v>
      </c>
      <c r="P6" s="2622">
        <f>E61</f>
        <v>0</v>
      </c>
      <c r="Q6" s="2622">
        <f>E67</f>
        <v>0</v>
      </c>
      <c r="R6" s="2622">
        <f>E68</f>
        <v>0</v>
      </c>
      <c r="S6" s="2624">
        <f>SUM(I6:R6)</f>
        <v>0</v>
      </c>
      <c r="T6" s="2625">
        <f>U15</f>
        <v>0</v>
      </c>
      <c r="U6" s="2631" t="e">
        <f>Q6/S6</f>
        <v>#DIV/0!</v>
      </c>
      <c r="V6" s="2631" t="e">
        <f>(L6+(J6*1.63))/S6</f>
        <v>#DIV/0!</v>
      </c>
      <c r="W6" s="2631" t="e">
        <f>N6/S6</f>
        <v>#DIV/0!</v>
      </c>
      <c r="X6" s="2626" t="e">
        <f>S6/T6</f>
        <v>#DIV/0!</v>
      </c>
    </row>
    <row r="7" spans="1:25" ht="15.75">
      <c r="A7" s="1357" t="s">
        <v>28</v>
      </c>
      <c r="B7" s="1357"/>
      <c r="C7" s="1413"/>
      <c r="D7" s="1190"/>
      <c r="E7" s="1414"/>
      <c r="F7" s="1413"/>
      <c r="G7" s="2606"/>
      <c r="H7" s="2607"/>
      <c r="I7" s="2607"/>
      <c r="J7" s="2607"/>
      <c r="K7" s="2607"/>
      <c r="L7" s="2607"/>
      <c r="M7" s="2607"/>
      <c r="N7" s="2607"/>
      <c r="O7" s="2607"/>
      <c r="P7" s="2607"/>
      <c r="Q7" s="2607"/>
      <c r="R7" s="2607"/>
      <c r="S7" s="2608"/>
      <c r="T7" s="2630"/>
      <c r="U7" s="2630"/>
      <c r="V7" s="2630"/>
      <c r="W7" s="2610"/>
    </row>
    <row r="8" spans="1:25" ht="15.75">
      <c r="B8" s="1357"/>
      <c r="C8" s="1413"/>
      <c r="D8" s="1190"/>
      <c r="E8" s="1414"/>
      <c r="F8" s="1413"/>
    </row>
    <row r="9" spans="1:25" ht="20.25" customHeight="1">
      <c r="A9" s="1357"/>
      <c r="B9" s="1357"/>
      <c r="C9" s="1413"/>
      <c r="D9" s="1190"/>
      <c r="E9" s="1414"/>
      <c r="F9" s="1413"/>
      <c r="I9" s="3003" t="s">
        <v>1730</v>
      </c>
      <c r="J9" s="1652"/>
      <c r="K9" s="1652"/>
      <c r="L9" s="1652"/>
      <c r="M9" s="1652"/>
      <c r="N9" s="1652"/>
      <c r="O9" s="1652"/>
      <c r="P9" s="1652"/>
      <c r="Q9" s="3003" t="s">
        <v>1729</v>
      </c>
      <c r="R9" s="1652"/>
      <c r="S9" s="1652"/>
      <c r="T9" s="3003" t="s">
        <v>1729</v>
      </c>
      <c r="U9" s="1652"/>
      <c r="V9" s="1652"/>
      <c r="W9" s="3003" t="s">
        <v>1729</v>
      </c>
    </row>
    <row r="10" spans="1:25">
      <c r="A10" s="1357"/>
      <c r="B10" s="1357"/>
      <c r="C10" s="1454" t="s">
        <v>310</v>
      </c>
      <c r="D10" s="1454"/>
      <c r="E10" s="1454"/>
      <c r="F10" s="1454"/>
      <c r="H10" s="3562" t="s">
        <v>300</v>
      </c>
      <c r="I10" s="3562"/>
      <c r="J10" s="3562"/>
      <c r="K10" s="3562"/>
      <c r="L10" s="3562"/>
      <c r="M10" s="3562"/>
      <c r="N10" s="3562"/>
      <c r="O10" s="3562"/>
      <c r="P10" s="3562"/>
      <c r="Q10" s="1465"/>
      <c r="R10" s="1465"/>
      <c r="S10" s="1465"/>
      <c r="T10" s="1465"/>
      <c r="U10" s="1465"/>
      <c r="V10" s="1465"/>
      <c r="W10" s="1468" t="s">
        <v>300</v>
      </c>
      <c r="X10" s="1465"/>
      <c r="Y10" s="1465"/>
    </row>
    <row r="11" spans="1:25">
      <c r="A11" s="1357"/>
      <c r="B11" s="1357"/>
      <c r="C11" s="1413"/>
      <c r="D11" s="1413"/>
      <c r="E11" s="1414"/>
      <c r="F11" s="1413"/>
      <c r="H11" s="1456"/>
      <c r="I11" s="1457"/>
      <c r="J11" s="1457"/>
      <c r="K11" s="1456"/>
      <c r="L11" s="1456"/>
      <c r="M11" s="1456"/>
      <c r="N11" s="1456"/>
      <c r="O11" s="1456"/>
      <c r="P11" s="1456"/>
      <c r="Q11" s="1456"/>
      <c r="R11" s="1456"/>
      <c r="S11" s="1456"/>
      <c r="T11" s="1456"/>
      <c r="U11" s="1456"/>
      <c r="V11" s="1456"/>
      <c r="W11" s="1456"/>
      <c r="X11" s="1456"/>
      <c r="Y11" s="1456"/>
    </row>
    <row r="12" spans="1:25">
      <c r="A12" s="1357"/>
      <c r="B12" s="1357"/>
      <c r="C12" s="1434" t="s">
        <v>298</v>
      </c>
      <c r="D12" s="2766">
        <f>D15+D21+D27+D37+D43+D49+D55+D61</f>
        <v>0</v>
      </c>
      <c r="E12" s="1484">
        <f>E15+E21+E27+E37+E43+E49+E55+E61</f>
        <v>0</v>
      </c>
      <c r="F12" s="1462">
        <f>D12+E12</f>
        <v>0</v>
      </c>
      <c r="H12" s="3563" t="s">
        <v>301</v>
      </c>
      <c r="I12" s="3563"/>
      <c r="J12" s="3563"/>
      <c r="K12" s="3563"/>
      <c r="L12" s="3563"/>
      <c r="M12" s="3563"/>
      <c r="N12" s="3563"/>
      <c r="O12" s="3563"/>
      <c r="P12" s="3563"/>
      <c r="Q12" s="3565" t="s">
        <v>40</v>
      </c>
      <c r="R12" s="3565"/>
      <c r="S12" s="3565"/>
      <c r="T12" s="3574" t="s">
        <v>41</v>
      </c>
      <c r="U12" s="3574"/>
      <c r="V12" s="3574"/>
      <c r="W12" s="3564" t="s">
        <v>52</v>
      </c>
      <c r="X12" s="3564"/>
      <c r="Y12" s="3564"/>
    </row>
    <row r="13" spans="1:25">
      <c r="B13" s="1357"/>
      <c r="C13" s="1483"/>
      <c r="D13" s="2767"/>
      <c r="E13" s="1336"/>
      <c r="F13" s="1413"/>
      <c r="H13" s="1471" t="s">
        <v>302</v>
      </c>
      <c r="I13" s="1471" t="s">
        <v>228</v>
      </c>
      <c r="J13" s="1471" t="s">
        <v>303</v>
      </c>
      <c r="K13" s="1471" t="s">
        <v>304</v>
      </c>
      <c r="L13" s="1471" t="s">
        <v>53</v>
      </c>
      <c r="M13" s="1471" t="s">
        <v>54</v>
      </c>
      <c r="N13" s="1471" t="s">
        <v>305</v>
      </c>
      <c r="O13" s="1471" t="s">
        <v>55</v>
      </c>
      <c r="P13" s="1471" t="s">
        <v>56</v>
      </c>
      <c r="Q13" s="1472">
        <v>2016</v>
      </c>
      <c r="R13" s="1472">
        <v>2017</v>
      </c>
      <c r="S13" s="1472" t="s">
        <v>306</v>
      </c>
      <c r="T13" s="1473">
        <v>2016</v>
      </c>
      <c r="U13" s="1473">
        <v>2017</v>
      </c>
      <c r="V13" s="1473" t="s">
        <v>306</v>
      </c>
      <c r="W13" s="1474">
        <v>2016</v>
      </c>
      <c r="X13" s="1474">
        <v>2017</v>
      </c>
      <c r="Y13" s="1474" t="s">
        <v>306</v>
      </c>
    </row>
    <row r="14" spans="1:25" ht="15.75">
      <c r="B14" s="1357"/>
      <c r="C14" s="1435" t="s">
        <v>42</v>
      </c>
      <c r="D14" s="2768">
        <v>2016</v>
      </c>
      <c r="E14" s="1502">
        <v>2017</v>
      </c>
      <c r="F14" s="1486" t="s">
        <v>20</v>
      </c>
      <c r="H14" s="1458" t="s">
        <v>307</v>
      </c>
      <c r="I14" s="1458" t="s">
        <v>307</v>
      </c>
      <c r="J14" s="1471"/>
      <c r="K14" s="1458" t="s">
        <v>307</v>
      </c>
      <c r="L14" s="1458" t="s">
        <v>307</v>
      </c>
      <c r="M14" s="1458" t="s">
        <v>307</v>
      </c>
      <c r="N14" s="1458" t="s">
        <v>307</v>
      </c>
      <c r="O14" s="1458" t="s">
        <v>307</v>
      </c>
      <c r="P14" s="1458" t="s">
        <v>307</v>
      </c>
      <c r="Q14" s="1458" t="s">
        <v>307</v>
      </c>
      <c r="R14" s="1458" t="s">
        <v>307</v>
      </c>
      <c r="S14" s="1472"/>
      <c r="T14" s="1473"/>
      <c r="U14" s="1473"/>
      <c r="V14" s="1473"/>
      <c r="W14" s="1474"/>
      <c r="X14" s="1474"/>
      <c r="Y14" s="1474"/>
    </row>
    <row r="15" spans="1:25">
      <c r="B15" s="1433" t="s">
        <v>296</v>
      </c>
      <c r="C15" s="1451" t="s">
        <v>43</v>
      </c>
      <c r="D15" s="2771">
        <f>SUM(D16:D19)</f>
        <v>0</v>
      </c>
      <c r="E15" s="1464">
        <f>SUM(E16:E19)</f>
        <v>0</v>
      </c>
      <c r="F15" s="1462">
        <f>D15+E15</f>
        <v>0</v>
      </c>
      <c r="H15" s="1475" t="s">
        <v>308</v>
      </c>
      <c r="I15" s="1476"/>
      <c r="J15" s="1476"/>
      <c r="K15" s="1477"/>
      <c r="L15" s="1478">
        <f>SUMPRODUCT(L16:L165,S16:S165)</f>
        <v>0</v>
      </c>
      <c r="M15" s="1478">
        <f>SUM(M16:M165)</f>
        <v>0</v>
      </c>
      <c r="N15" s="1479" t="s">
        <v>229</v>
      </c>
      <c r="O15" s="1477" t="s">
        <v>309</v>
      </c>
      <c r="P15" s="1477"/>
      <c r="Q15" s="1477"/>
      <c r="R15" s="1477"/>
      <c r="S15" s="1477"/>
      <c r="T15" s="1480">
        <v>0</v>
      </c>
      <c r="U15" s="1480">
        <v>0</v>
      </c>
      <c r="V15" s="1480">
        <v>0</v>
      </c>
      <c r="W15" s="1478">
        <v>0</v>
      </c>
      <c r="X15" s="1478">
        <v>0</v>
      </c>
      <c r="Y15" s="1478">
        <v>0</v>
      </c>
    </row>
    <row r="16" spans="1:25">
      <c r="B16" s="1432"/>
      <c r="C16" s="1423"/>
      <c r="D16" s="2772"/>
      <c r="E16" s="1448"/>
      <c r="F16" s="1426">
        <f>SUM(D16:E16)</f>
        <v>0</v>
      </c>
      <c r="H16" s="1460"/>
      <c r="I16" s="2205"/>
      <c r="J16" s="1470" t="s">
        <v>229</v>
      </c>
      <c r="K16" s="1460"/>
      <c r="L16" s="1467"/>
      <c r="M16" s="1467"/>
      <c r="N16" s="1461"/>
      <c r="O16" s="1460"/>
      <c r="P16" s="1463"/>
      <c r="Q16" s="1466"/>
      <c r="R16" s="1466"/>
      <c r="S16" s="1469" t="s">
        <v>229</v>
      </c>
      <c r="T16" s="1469" t="s">
        <v>229</v>
      </c>
      <c r="U16" s="1469" t="s">
        <v>229</v>
      </c>
      <c r="V16" s="1469" t="s">
        <v>229</v>
      </c>
      <c r="W16" s="1459" t="s">
        <v>229</v>
      </c>
      <c r="X16" s="1459" t="s">
        <v>229</v>
      </c>
      <c r="Y16" s="1459" t="s">
        <v>229</v>
      </c>
    </row>
    <row r="17" spans="2:25">
      <c r="B17" s="1432"/>
      <c r="C17" s="1423"/>
      <c r="D17" s="2784"/>
      <c r="E17" s="1447"/>
      <c r="F17" s="1438">
        <f t="shared" ref="F17:F30" si="0">SUM(D17:E17)</f>
        <v>0</v>
      </c>
      <c r="H17" s="1460"/>
      <c r="I17" s="2205"/>
      <c r="J17" s="1470" t="s">
        <v>229</v>
      </c>
      <c r="K17" s="1460"/>
      <c r="L17" s="1467"/>
      <c r="M17" s="1467"/>
      <c r="N17" s="1461"/>
      <c r="O17" s="1460"/>
      <c r="P17" s="1463"/>
      <c r="Q17" s="1466"/>
      <c r="R17" s="1466"/>
      <c r="S17" s="1469" t="s">
        <v>229</v>
      </c>
      <c r="T17" s="1469" t="s">
        <v>229</v>
      </c>
      <c r="U17" s="1469" t="s">
        <v>229</v>
      </c>
      <c r="V17" s="1469" t="s">
        <v>229</v>
      </c>
      <c r="W17" s="1459" t="s">
        <v>229</v>
      </c>
      <c r="X17" s="1459" t="s">
        <v>229</v>
      </c>
      <c r="Y17" s="1459" t="s">
        <v>229</v>
      </c>
    </row>
    <row r="18" spans="2:25">
      <c r="B18" s="1432"/>
      <c r="C18" s="1423"/>
      <c r="D18" s="2784"/>
      <c r="E18" s="1447"/>
      <c r="F18" s="1438">
        <f t="shared" si="0"/>
        <v>0</v>
      </c>
      <c r="H18" s="1460"/>
      <c r="I18" s="2205"/>
      <c r="J18" s="1470" t="s">
        <v>229</v>
      </c>
      <c r="K18" s="1460"/>
      <c r="L18" s="1467"/>
      <c r="M18" s="1467"/>
      <c r="N18" s="1461"/>
      <c r="O18" s="1460"/>
      <c r="P18" s="1463"/>
      <c r="Q18" s="1466"/>
      <c r="R18" s="1466"/>
      <c r="S18" s="1469" t="s">
        <v>229</v>
      </c>
      <c r="T18" s="1469" t="s">
        <v>229</v>
      </c>
      <c r="U18" s="1469" t="s">
        <v>229</v>
      </c>
      <c r="V18" s="1469" t="s">
        <v>229</v>
      </c>
      <c r="W18" s="1459" t="s">
        <v>229</v>
      </c>
      <c r="X18" s="1459" t="s">
        <v>229</v>
      </c>
      <c r="Y18" s="1459" t="s">
        <v>229</v>
      </c>
    </row>
    <row r="19" spans="2:25">
      <c r="B19" s="1432"/>
      <c r="C19" s="1423"/>
      <c r="D19" s="2786"/>
      <c r="E19" s="1446"/>
      <c r="F19" s="1438">
        <f t="shared" si="0"/>
        <v>0</v>
      </c>
      <c r="H19" s="1460"/>
      <c r="I19" s="2205"/>
      <c r="J19" s="1470" t="s">
        <v>229</v>
      </c>
      <c r="K19" s="1460"/>
      <c r="L19" s="1467"/>
      <c r="M19" s="1467"/>
      <c r="N19" s="1461"/>
      <c r="O19" s="1460"/>
      <c r="P19" s="1463"/>
      <c r="Q19" s="1466"/>
      <c r="R19" s="1466"/>
      <c r="S19" s="1469" t="s">
        <v>229</v>
      </c>
      <c r="T19" s="1469" t="s">
        <v>229</v>
      </c>
      <c r="U19" s="1469" t="s">
        <v>229</v>
      </c>
      <c r="V19" s="1469" t="s">
        <v>229</v>
      </c>
      <c r="W19" s="1459" t="s">
        <v>229</v>
      </c>
      <c r="X19" s="1459" t="s">
        <v>229</v>
      </c>
      <c r="Y19" s="1459" t="s">
        <v>229</v>
      </c>
    </row>
    <row r="20" spans="2:25">
      <c r="B20" s="1449">
        <f>SUM(B16:B19)</f>
        <v>0</v>
      </c>
      <c r="C20" s="1488"/>
      <c r="D20" s="2770"/>
      <c r="E20" s="1490"/>
      <c r="F20" s="1492"/>
      <c r="H20" s="1460"/>
      <c r="I20" s="2205"/>
      <c r="J20" s="1470" t="s">
        <v>229</v>
      </c>
      <c r="K20" s="1460"/>
      <c r="L20" s="1467"/>
      <c r="M20" s="1467"/>
      <c r="N20" s="1461"/>
      <c r="O20" s="1460"/>
      <c r="P20" s="1463"/>
      <c r="Q20" s="1466"/>
      <c r="R20" s="1466"/>
      <c r="S20" s="1469" t="s">
        <v>229</v>
      </c>
      <c r="T20" s="1469" t="s">
        <v>229</v>
      </c>
      <c r="U20" s="1469" t="s">
        <v>229</v>
      </c>
      <c r="V20" s="1469" t="s">
        <v>229</v>
      </c>
      <c r="W20" s="1459" t="s">
        <v>229</v>
      </c>
      <c r="X20" s="1459" t="s">
        <v>229</v>
      </c>
      <c r="Y20" s="1459" t="s">
        <v>229</v>
      </c>
    </row>
    <row r="21" spans="2:25">
      <c r="B21" s="1433" t="s">
        <v>296</v>
      </c>
      <c r="C21" s="1451" t="s">
        <v>44</v>
      </c>
      <c r="D21" s="2771">
        <f>SUM(D22:D25)</f>
        <v>0</v>
      </c>
      <c r="E21" s="1464">
        <f>SUM(E22:E25)</f>
        <v>0</v>
      </c>
      <c r="F21" s="1462">
        <f>D21+E21</f>
        <v>0</v>
      </c>
      <c r="H21" s="1460"/>
      <c r="I21" s="2205"/>
      <c r="J21" s="1470" t="s">
        <v>229</v>
      </c>
      <c r="K21" s="1460"/>
      <c r="L21" s="1467"/>
      <c r="M21" s="1467"/>
      <c r="N21" s="1461"/>
      <c r="O21" s="1460"/>
      <c r="P21" s="1463"/>
      <c r="Q21" s="1466"/>
      <c r="R21" s="1466"/>
      <c r="S21" s="1469" t="s">
        <v>229</v>
      </c>
      <c r="T21" s="1469" t="s">
        <v>229</v>
      </c>
      <c r="U21" s="1469" t="s">
        <v>229</v>
      </c>
      <c r="V21" s="1469" t="s">
        <v>229</v>
      </c>
      <c r="W21" s="1459" t="s">
        <v>229</v>
      </c>
      <c r="X21" s="1459" t="s">
        <v>229</v>
      </c>
      <c r="Y21" s="1459" t="s">
        <v>229</v>
      </c>
    </row>
    <row r="22" spans="2:25">
      <c r="B22" s="1982"/>
      <c r="C22" s="1423"/>
      <c r="D22" s="2772"/>
      <c r="E22" s="1448"/>
      <c r="F22" s="1426">
        <f t="shared" si="0"/>
        <v>0</v>
      </c>
      <c r="H22" s="1460"/>
      <c r="I22" s="2205"/>
      <c r="J22" s="1470" t="s">
        <v>229</v>
      </c>
      <c r="K22" s="1460"/>
      <c r="L22" s="1467"/>
      <c r="M22" s="1467"/>
      <c r="N22" s="1461"/>
      <c r="O22" s="1460"/>
      <c r="P22" s="1463"/>
      <c r="Q22" s="1466"/>
      <c r="R22" s="1466"/>
      <c r="S22" s="1469" t="s">
        <v>229</v>
      </c>
      <c r="T22" s="1469" t="s">
        <v>229</v>
      </c>
      <c r="U22" s="1469" t="s">
        <v>229</v>
      </c>
      <c r="V22" s="1469" t="s">
        <v>229</v>
      </c>
      <c r="W22" s="1459" t="s">
        <v>229</v>
      </c>
      <c r="X22" s="1459" t="s">
        <v>229</v>
      </c>
      <c r="Y22" s="1459" t="s">
        <v>229</v>
      </c>
    </row>
    <row r="23" spans="2:25">
      <c r="B23" s="1982"/>
      <c r="C23" s="1423"/>
      <c r="D23" s="2773"/>
      <c r="E23" s="1444"/>
      <c r="F23" s="1438">
        <f t="shared" si="0"/>
        <v>0</v>
      </c>
      <c r="H23" s="1460"/>
      <c r="I23" s="2205"/>
      <c r="J23" s="1470" t="s">
        <v>229</v>
      </c>
      <c r="K23" s="1460"/>
      <c r="L23" s="1467"/>
      <c r="M23" s="1467"/>
      <c r="N23" s="1461"/>
      <c r="O23" s="1460"/>
      <c r="P23" s="1463"/>
      <c r="Q23" s="1466"/>
      <c r="R23" s="1466"/>
      <c r="S23" s="1469" t="s">
        <v>229</v>
      </c>
      <c r="T23" s="1469" t="s">
        <v>229</v>
      </c>
      <c r="U23" s="1469" t="s">
        <v>229</v>
      </c>
      <c r="V23" s="1469" t="s">
        <v>229</v>
      </c>
      <c r="W23" s="1459" t="s">
        <v>229</v>
      </c>
      <c r="X23" s="1459" t="s">
        <v>229</v>
      </c>
      <c r="Y23" s="1459" t="s">
        <v>229</v>
      </c>
    </row>
    <row r="24" spans="2:25">
      <c r="B24" s="1982"/>
      <c r="C24" s="1423"/>
      <c r="D24" s="2774"/>
      <c r="E24" s="1443"/>
      <c r="F24" s="1438">
        <f t="shared" si="0"/>
        <v>0</v>
      </c>
      <c r="H24" s="1460"/>
      <c r="I24" s="2205"/>
      <c r="J24" s="1470" t="s">
        <v>229</v>
      </c>
      <c r="K24" s="1460"/>
      <c r="L24" s="1467"/>
      <c r="M24" s="1467"/>
      <c r="N24" s="1461"/>
      <c r="O24" s="1460"/>
      <c r="P24" s="1463"/>
      <c r="Q24" s="1466"/>
      <c r="R24" s="1466"/>
      <c r="S24" s="1469" t="s">
        <v>229</v>
      </c>
      <c r="T24" s="1469" t="s">
        <v>229</v>
      </c>
      <c r="U24" s="1469" t="s">
        <v>229</v>
      </c>
      <c r="V24" s="1469" t="s">
        <v>229</v>
      </c>
      <c r="W24" s="1459" t="s">
        <v>229</v>
      </c>
      <c r="X24" s="1459" t="s">
        <v>229</v>
      </c>
      <c r="Y24" s="1459" t="s">
        <v>229</v>
      </c>
    </row>
    <row r="25" spans="2:25">
      <c r="B25" s="1982"/>
      <c r="C25" s="1423"/>
      <c r="D25" s="2775"/>
      <c r="E25" s="1444"/>
      <c r="F25" s="1438">
        <f t="shared" si="0"/>
        <v>0</v>
      </c>
      <c r="H25" s="1460"/>
      <c r="I25" s="2205"/>
      <c r="J25" s="1470" t="s">
        <v>229</v>
      </c>
      <c r="K25" s="1460"/>
      <c r="L25" s="1467"/>
      <c r="M25" s="1467"/>
      <c r="N25" s="1461"/>
      <c r="O25" s="1460"/>
      <c r="P25" s="1463"/>
      <c r="Q25" s="1466"/>
      <c r="R25" s="1466"/>
      <c r="S25" s="1469" t="s">
        <v>229</v>
      </c>
      <c r="T25" s="1469" t="s">
        <v>229</v>
      </c>
      <c r="U25" s="1469" t="s">
        <v>229</v>
      </c>
      <c r="V25" s="1469" t="s">
        <v>229</v>
      </c>
      <c r="W25" s="1459" t="s">
        <v>229</v>
      </c>
      <c r="X25" s="1459" t="s">
        <v>229</v>
      </c>
      <c r="Y25" s="1459" t="s">
        <v>229</v>
      </c>
    </row>
    <row r="26" spans="2:25">
      <c r="B26" s="1449">
        <f>SUM(B22:B25)</f>
        <v>0</v>
      </c>
      <c r="C26" s="1424"/>
      <c r="D26" s="2776"/>
      <c r="E26" s="1431"/>
      <c r="F26" s="1439"/>
      <c r="H26" s="1460"/>
      <c r="I26" s="2205"/>
      <c r="J26" s="1470" t="s">
        <v>229</v>
      </c>
      <c r="K26" s="1460"/>
      <c r="L26" s="1467"/>
      <c r="M26" s="1467"/>
      <c r="N26" s="1461"/>
      <c r="O26" s="1460"/>
      <c r="P26" s="1463"/>
      <c r="Q26" s="1466"/>
      <c r="R26" s="1466"/>
      <c r="S26" s="1469" t="s">
        <v>229</v>
      </c>
      <c r="T26" s="1469" t="s">
        <v>229</v>
      </c>
      <c r="U26" s="1469" t="s">
        <v>229</v>
      </c>
      <c r="V26" s="1469" t="s">
        <v>229</v>
      </c>
      <c r="W26" s="1459" t="s">
        <v>229</v>
      </c>
      <c r="X26" s="1459" t="s">
        <v>229</v>
      </c>
      <c r="Y26" s="1459" t="s">
        <v>229</v>
      </c>
    </row>
    <row r="27" spans="2:25">
      <c r="C27" s="1597" t="s">
        <v>1737</v>
      </c>
      <c r="D27" s="2771">
        <f>SUM(D29:D35)</f>
        <v>0</v>
      </c>
      <c r="E27" s="1657">
        <f>SUM(E29:E31)+SUM(E33:E35)</f>
        <v>0</v>
      </c>
      <c r="F27" s="1462">
        <f>D27+E27</f>
        <v>0</v>
      </c>
      <c r="H27" s="1460"/>
      <c r="I27" s="2205"/>
      <c r="J27" s="1470" t="s">
        <v>229</v>
      </c>
      <c r="K27" s="1460"/>
      <c r="L27" s="1467"/>
      <c r="M27" s="1467"/>
      <c r="N27" s="1461"/>
      <c r="O27" s="1460"/>
      <c r="P27" s="1463"/>
      <c r="Q27" s="1466"/>
      <c r="R27" s="1466"/>
      <c r="S27" s="1469" t="s">
        <v>229</v>
      </c>
      <c r="T27" s="1469" t="s">
        <v>229</v>
      </c>
      <c r="U27" s="1469" t="s">
        <v>229</v>
      </c>
      <c r="V27" s="1469" t="s">
        <v>229</v>
      </c>
      <c r="W27" s="1459" t="s">
        <v>229</v>
      </c>
      <c r="X27" s="1459" t="s">
        <v>229</v>
      </c>
      <c r="Y27" s="1459" t="s">
        <v>229</v>
      </c>
    </row>
    <row r="28" spans="2:25">
      <c r="C28" s="1450" t="s">
        <v>1733</v>
      </c>
      <c r="D28" s="2777">
        <v>0.66700000000000004</v>
      </c>
      <c r="E28" s="1452">
        <v>0.68799999999999994</v>
      </c>
      <c r="F28" s="1485"/>
      <c r="H28" s="1460"/>
      <c r="I28" s="2205"/>
      <c r="J28" s="1470" t="s">
        <v>229</v>
      </c>
      <c r="K28" s="1460"/>
      <c r="L28" s="1467"/>
      <c r="M28" s="1467"/>
      <c r="N28" s="1461"/>
      <c r="O28" s="1460"/>
      <c r="P28" s="1463"/>
      <c r="Q28" s="1466"/>
      <c r="R28" s="1466"/>
      <c r="S28" s="1469" t="s">
        <v>229</v>
      </c>
      <c r="T28" s="1469" t="s">
        <v>229</v>
      </c>
      <c r="U28" s="1469" t="s">
        <v>229</v>
      </c>
      <c r="V28" s="1469" t="s">
        <v>229</v>
      </c>
      <c r="W28" s="1459" t="s">
        <v>229</v>
      </c>
      <c r="X28" s="1459" t="s">
        <v>229</v>
      </c>
      <c r="Y28" s="1459" t="s">
        <v>229</v>
      </c>
    </row>
    <row r="29" spans="2:25">
      <c r="C29" s="1667" t="s">
        <v>719</v>
      </c>
      <c r="D29" s="2778">
        <f>D15*D28</f>
        <v>0</v>
      </c>
      <c r="E29" s="1504">
        <f>E15*E28</f>
        <v>0</v>
      </c>
      <c r="F29" s="1438">
        <f t="shared" si="0"/>
        <v>0</v>
      </c>
      <c r="H29" s="1460"/>
      <c r="I29" s="2205"/>
      <c r="J29" s="1470" t="s">
        <v>229</v>
      </c>
      <c r="K29" s="1460"/>
      <c r="L29" s="1467"/>
      <c r="M29" s="1467"/>
      <c r="N29" s="1461"/>
      <c r="O29" s="1460"/>
      <c r="P29" s="1463"/>
      <c r="Q29" s="1466"/>
      <c r="R29" s="1466"/>
      <c r="S29" s="1469" t="s">
        <v>229</v>
      </c>
      <c r="T29" s="1469" t="s">
        <v>229</v>
      </c>
      <c r="U29" s="1469" t="s">
        <v>229</v>
      </c>
      <c r="V29" s="1469" t="s">
        <v>229</v>
      </c>
      <c r="W29" s="1459" t="s">
        <v>229</v>
      </c>
      <c r="X29" s="1459" t="s">
        <v>229</v>
      </c>
      <c r="Y29" s="1459" t="s">
        <v>229</v>
      </c>
    </row>
    <row r="30" spans="2:25">
      <c r="C30" s="1667" t="s">
        <v>720</v>
      </c>
      <c r="D30" s="2785">
        <f>D21*D28</f>
        <v>0</v>
      </c>
      <c r="E30" s="1504">
        <f>E21*E28</f>
        <v>0</v>
      </c>
      <c r="F30" s="1438">
        <f t="shared" si="0"/>
        <v>0</v>
      </c>
      <c r="H30" s="1460"/>
      <c r="I30" s="2205"/>
      <c r="J30" s="1470" t="s">
        <v>229</v>
      </c>
      <c r="K30" s="1460"/>
      <c r="L30" s="1467"/>
      <c r="M30" s="1467"/>
      <c r="N30" s="1461"/>
      <c r="O30" s="1460"/>
      <c r="P30" s="1463"/>
      <c r="Q30" s="1466"/>
      <c r="R30" s="1466"/>
      <c r="S30" s="1469" t="s">
        <v>229</v>
      </c>
      <c r="T30" s="1469" t="s">
        <v>229</v>
      </c>
      <c r="U30" s="1469" t="s">
        <v>229</v>
      </c>
      <c r="V30" s="1469" t="s">
        <v>229</v>
      </c>
      <c r="W30" s="1459" t="s">
        <v>229</v>
      </c>
      <c r="X30" s="1459" t="s">
        <v>229</v>
      </c>
      <c r="Y30" s="1459" t="s">
        <v>229</v>
      </c>
    </row>
    <row r="31" spans="2:25">
      <c r="C31" s="1667"/>
      <c r="D31" s="2774"/>
      <c r="E31" s="1443"/>
      <c r="F31" s="1436"/>
      <c r="H31" s="1460"/>
      <c r="I31" s="2205"/>
      <c r="J31" s="1470" t="s">
        <v>229</v>
      </c>
      <c r="K31" s="1460"/>
      <c r="L31" s="1467"/>
      <c r="M31" s="1467"/>
      <c r="N31" s="1461"/>
      <c r="O31" s="1460"/>
      <c r="P31" s="1463"/>
      <c r="Q31" s="1466"/>
      <c r="R31" s="1466"/>
      <c r="S31" s="1469" t="s">
        <v>229</v>
      </c>
      <c r="T31" s="1469" t="s">
        <v>229</v>
      </c>
      <c r="U31" s="1469" t="s">
        <v>229</v>
      </c>
      <c r="V31" s="1469" t="s">
        <v>229</v>
      </c>
      <c r="W31" s="1459" t="s">
        <v>229</v>
      </c>
      <c r="X31" s="1459" t="s">
        <v>229</v>
      </c>
      <c r="Y31" s="1459" t="s">
        <v>229</v>
      </c>
    </row>
    <row r="32" spans="2:25">
      <c r="C32" s="1450" t="s">
        <v>1734</v>
      </c>
      <c r="D32" s="2777"/>
      <c r="E32" s="1452">
        <v>0.21</v>
      </c>
      <c r="F32" s="1485"/>
      <c r="H32" s="1460"/>
      <c r="I32" s="2205"/>
      <c r="J32" s="1470" t="s">
        <v>229</v>
      </c>
      <c r="K32" s="1460"/>
      <c r="L32" s="1467"/>
      <c r="M32" s="1467"/>
      <c r="N32" s="1461"/>
      <c r="O32" s="1460"/>
      <c r="P32" s="1463"/>
      <c r="Q32" s="1466"/>
      <c r="R32" s="1466"/>
      <c r="S32" s="1469" t="s">
        <v>229</v>
      </c>
      <c r="T32" s="1469" t="s">
        <v>229</v>
      </c>
      <c r="U32" s="1469" t="s">
        <v>229</v>
      </c>
      <c r="V32" s="1469" t="s">
        <v>229</v>
      </c>
      <c r="W32" s="1459" t="s">
        <v>229</v>
      </c>
      <c r="X32" s="1459" t="s">
        <v>229</v>
      </c>
      <c r="Y32" s="1459" t="s">
        <v>229</v>
      </c>
    </row>
    <row r="33" spans="1:25">
      <c r="C33" s="1667" t="s">
        <v>719</v>
      </c>
      <c r="D33" s="2778"/>
      <c r="E33" s="1641">
        <f>E15*E32</f>
        <v>0</v>
      </c>
      <c r="F33" s="1661">
        <f>SUM(D33:E33)</f>
        <v>0</v>
      </c>
      <c r="H33" s="1460"/>
      <c r="I33" s="2205"/>
      <c r="J33" s="1470" t="s">
        <v>229</v>
      </c>
      <c r="K33" s="1460"/>
      <c r="L33" s="1467"/>
      <c r="M33" s="1467"/>
      <c r="N33" s="1461"/>
      <c r="O33" s="1460"/>
      <c r="P33" s="1463"/>
      <c r="Q33" s="1466"/>
      <c r="R33" s="1466"/>
      <c r="S33" s="1469" t="s">
        <v>229</v>
      </c>
      <c r="T33" s="1469" t="s">
        <v>229</v>
      </c>
      <c r="U33" s="1469" t="s">
        <v>229</v>
      </c>
      <c r="V33" s="1469" t="s">
        <v>229</v>
      </c>
      <c r="W33" s="1459" t="s">
        <v>229</v>
      </c>
      <c r="X33" s="1459" t="s">
        <v>229</v>
      </c>
      <c r="Y33" s="1459" t="s">
        <v>229</v>
      </c>
    </row>
    <row r="34" spans="1:25">
      <c r="A34" s="1392" t="s">
        <v>588</v>
      </c>
      <c r="C34" s="1667" t="s">
        <v>720</v>
      </c>
      <c r="D34" s="2785"/>
      <c r="E34" s="1641">
        <f>E21*E32</f>
        <v>0</v>
      </c>
      <c r="F34" s="1661">
        <f t="shared" ref="F34" si="1">SUM(D34:E34)</f>
        <v>0</v>
      </c>
      <c r="H34" s="1460"/>
      <c r="I34" s="2205"/>
      <c r="J34" s="1470" t="s">
        <v>229</v>
      </c>
      <c r="K34" s="1460"/>
      <c r="L34" s="1467"/>
      <c r="M34" s="1467"/>
      <c r="N34" s="1461"/>
      <c r="O34" s="1460"/>
      <c r="P34" s="1463"/>
      <c r="Q34" s="1466"/>
      <c r="R34" s="1466"/>
      <c r="S34" s="1469" t="s">
        <v>229</v>
      </c>
      <c r="T34" s="1469" t="s">
        <v>229</v>
      </c>
      <c r="U34" s="1469" t="s">
        <v>229</v>
      </c>
      <c r="V34" s="1469" t="s">
        <v>229</v>
      </c>
      <c r="W34" s="1459" t="s">
        <v>229</v>
      </c>
      <c r="X34" s="1459" t="s">
        <v>229</v>
      </c>
      <c r="Y34" s="1459" t="s">
        <v>229</v>
      </c>
    </row>
    <row r="35" spans="1:25">
      <c r="A35" s="1357" t="s">
        <v>267</v>
      </c>
      <c r="C35" s="1445"/>
      <c r="D35" s="2775"/>
      <c r="E35" s="1444"/>
      <c r="F35" s="1437"/>
      <c r="H35" s="1460"/>
      <c r="I35" s="2205"/>
      <c r="J35" s="1470" t="s">
        <v>229</v>
      </c>
      <c r="K35" s="1460"/>
      <c r="L35" s="1467"/>
      <c r="M35" s="1467"/>
      <c r="N35" s="1461"/>
      <c r="O35" s="1460"/>
      <c r="P35" s="1463"/>
      <c r="Q35" s="1466"/>
      <c r="R35" s="1466"/>
      <c r="S35" s="1469" t="s">
        <v>229</v>
      </c>
      <c r="T35" s="1469" t="s">
        <v>229</v>
      </c>
      <c r="U35" s="1469" t="s">
        <v>229</v>
      </c>
      <c r="V35" s="1469" t="s">
        <v>229</v>
      </c>
      <c r="W35" s="1459" t="s">
        <v>229</v>
      </c>
      <c r="X35" s="1459" t="s">
        <v>229</v>
      </c>
      <c r="Y35" s="1459" t="s">
        <v>229</v>
      </c>
    </row>
    <row r="36" spans="1:25">
      <c r="A36" s="1357" t="s">
        <v>5</v>
      </c>
      <c r="C36" s="1488"/>
      <c r="D36" s="2779"/>
      <c r="E36" s="1490"/>
      <c r="F36" s="1493"/>
      <c r="H36" s="1460"/>
      <c r="I36" s="2205"/>
      <c r="J36" s="1470" t="s">
        <v>229</v>
      </c>
      <c r="K36" s="1460"/>
      <c r="L36" s="1467"/>
      <c r="M36" s="1467"/>
      <c r="N36" s="1461"/>
      <c r="O36" s="1460"/>
      <c r="P36" s="1463"/>
      <c r="Q36" s="1466"/>
      <c r="R36" s="1466"/>
      <c r="S36" s="1469" t="s">
        <v>229</v>
      </c>
      <c r="T36" s="1469" t="s">
        <v>229</v>
      </c>
      <c r="U36" s="1469" t="s">
        <v>229</v>
      </c>
      <c r="V36" s="1469" t="s">
        <v>229</v>
      </c>
      <c r="W36" s="1459" t="s">
        <v>229</v>
      </c>
      <c r="X36" s="1459" t="s">
        <v>229</v>
      </c>
      <c r="Y36" s="1459" t="s">
        <v>229</v>
      </c>
    </row>
    <row r="37" spans="1:25">
      <c r="A37" s="1357">
        <v>18230639</v>
      </c>
      <c r="C37" s="1451" t="s">
        <v>46</v>
      </c>
      <c r="D37" s="2771">
        <f>SUM(D38:D41)</f>
        <v>0</v>
      </c>
      <c r="E37" s="1464">
        <f>SUM(E38:E41)</f>
        <v>0</v>
      </c>
      <c r="F37" s="1462">
        <f>D37+E37</f>
        <v>0</v>
      </c>
      <c r="H37" s="1460"/>
      <c r="I37" s="2205"/>
      <c r="J37" s="1470" t="s">
        <v>229</v>
      </c>
      <c r="K37" s="1460"/>
      <c r="L37" s="1467"/>
      <c r="M37" s="1467"/>
      <c r="N37" s="1461"/>
      <c r="O37" s="1460"/>
      <c r="P37" s="1463"/>
      <c r="Q37" s="1466"/>
      <c r="R37" s="1466"/>
      <c r="S37" s="1469" t="s">
        <v>229</v>
      </c>
      <c r="T37" s="1469" t="s">
        <v>229</v>
      </c>
      <c r="U37" s="1469" t="s">
        <v>229</v>
      </c>
      <c r="V37" s="1469" t="s">
        <v>229</v>
      </c>
      <c r="W37" s="1459" t="s">
        <v>229</v>
      </c>
      <c r="X37" s="1459" t="s">
        <v>229</v>
      </c>
      <c r="Y37" s="1459" t="s">
        <v>229</v>
      </c>
    </row>
    <row r="38" spans="1:25">
      <c r="A38" s="1357" t="s">
        <v>28</v>
      </c>
      <c r="C38" s="1423"/>
      <c r="D38" s="2778"/>
      <c r="E38" s="1520"/>
      <c r="F38" s="1438">
        <f t="shared" ref="F38:F47" si="2">SUM(D38:E38)</f>
        <v>0</v>
      </c>
      <c r="H38" s="1460"/>
      <c r="I38" s="2205"/>
      <c r="J38" s="1470" t="s">
        <v>229</v>
      </c>
      <c r="K38" s="1460"/>
      <c r="L38" s="1467"/>
      <c r="M38" s="1467"/>
      <c r="N38" s="1461"/>
      <c r="O38" s="1460"/>
      <c r="P38" s="1463"/>
      <c r="Q38" s="1466"/>
      <c r="R38" s="1466"/>
      <c r="S38" s="1469" t="s">
        <v>229</v>
      </c>
      <c r="T38" s="1469" t="s">
        <v>229</v>
      </c>
      <c r="U38" s="1469" t="s">
        <v>229</v>
      </c>
      <c r="V38" s="1469" t="s">
        <v>229</v>
      </c>
      <c r="W38" s="1459" t="s">
        <v>229</v>
      </c>
      <c r="X38" s="1459" t="s">
        <v>229</v>
      </c>
      <c r="Y38" s="1459" t="s">
        <v>229</v>
      </c>
    </row>
    <row r="39" spans="1:25">
      <c r="C39" s="1423"/>
      <c r="D39" s="2778"/>
      <c r="E39" s="1520"/>
      <c r="F39" s="1438">
        <f t="shared" si="2"/>
        <v>0</v>
      </c>
      <c r="H39" s="1460"/>
      <c r="I39" s="2205"/>
      <c r="J39" s="1470" t="s">
        <v>229</v>
      </c>
      <c r="K39" s="1460"/>
      <c r="L39" s="1467"/>
      <c r="M39" s="1467"/>
      <c r="N39" s="1461"/>
      <c r="O39" s="1460"/>
      <c r="P39" s="1463"/>
      <c r="Q39" s="1466"/>
      <c r="R39" s="1466"/>
      <c r="S39" s="1469" t="s">
        <v>229</v>
      </c>
      <c r="T39" s="1469" t="s">
        <v>229</v>
      </c>
      <c r="U39" s="1469" t="s">
        <v>229</v>
      </c>
      <c r="V39" s="1469" t="s">
        <v>229</v>
      </c>
      <c r="W39" s="1459" t="s">
        <v>229</v>
      </c>
      <c r="X39" s="1459" t="s">
        <v>229</v>
      </c>
      <c r="Y39" s="1459" t="s">
        <v>229</v>
      </c>
    </row>
    <row r="40" spans="1:25">
      <c r="C40" s="1423"/>
      <c r="D40" s="2778"/>
      <c r="E40" s="1520"/>
      <c r="F40" s="1438">
        <f t="shared" si="2"/>
        <v>0</v>
      </c>
      <c r="H40" s="1460"/>
      <c r="I40" s="2205"/>
      <c r="J40" s="1470" t="s">
        <v>229</v>
      </c>
      <c r="K40" s="1460"/>
      <c r="L40" s="1467"/>
      <c r="M40" s="1467"/>
      <c r="N40" s="1461"/>
      <c r="O40" s="1460"/>
      <c r="P40" s="1463"/>
      <c r="Q40" s="1466"/>
      <c r="R40" s="1466"/>
      <c r="S40" s="1469" t="s">
        <v>229</v>
      </c>
      <c r="T40" s="1469" t="s">
        <v>229</v>
      </c>
      <c r="U40" s="1469" t="s">
        <v>229</v>
      </c>
      <c r="V40" s="1469" t="s">
        <v>229</v>
      </c>
      <c r="W40" s="1459" t="s">
        <v>229</v>
      </c>
      <c r="X40" s="1459" t="s">
        <v>229</v>
      </c>
      <c r="Y40" s="1459" t="s">
        <v>229</v>
      </c>
    </row>
    <row r="41" spans="1:25">
      <c r="C41" s="1423"/>
      <c r="D41" s="2778"/>
      <c r="E41" s="1520"/>
      <c r="F41" s="1438">
        <f t="shared" si="2"/>
        <v>0</v>
      </c>
      <c r="H41" s="1460"/>
      <c r="I41" s="2205"/>
      <c r="J41" s="1470" t="s">
        <v>229</v>
      </c>
      <c r="K41" s="1460"/>
      <c r="L41" s="1467"/>
      <c r="M41" s="1467"/>
      <c r="N41" s="1461"/>
      <c r="O41" s="1460"/>
      <c r="P41" s="1463"/>
      <c r="Q41" s="1466"/>
      <c r="R41" s="1466"/>
      <c r="S41" s="1469" t="s">
        <v>229</v>
      </c>
      <c r="T41" s="1469" t="s">
        <v>229</v>
      </c>
      <c r="U41" s="1469" t="s">
        <v>229</v>
      </c>
      <c r="V41" s="1469" t="s">
        <v>229</v>
      </c>
      <c r="W41" s="1459" t="s">
        <v>229</v>
      </c>
      <c r="X41" s="1459" t="s">
        <v>229</v>
      </c>
      <c r="Y41" s="1459" t="s">
        <v>229</v>
      </c>
    </row>
    <row r="42" spans="1:25">
      <c r="C42" s="1488"/>
      <c r="D42" s="2779"/>
      <c r="E42" s="1490"/>
      <c r="F42" s="1493"/>
      <c r="H42" s="1460"/>
      <c r="I42" s="2205"/>
      <c r="J42" s="1470" t="s">
        <v>229</v>
      </c>
      <c r="K42" s="1460"/>
      <c r="L42" s="1467"/>
      <c r="M42" s="1467"/>
      <c r="N42" s="1461"/>
      <c r="O42" s="1460"/>
      <c r="P42" s="1463"/>
      <c r="Q42" s="1466"/>
      <c r="R42" s="1466"/>
      <c r="S42" s="1469" t="s">
        <v>229</v>
      </c>
      <c r="T42" s="1469" t="s">
        <v>229</v>
      </c>
      <c r="U42" s="1469" t="s">
        <v>229</v>
      </c>
      <c r="V42" s="1469" t="s">
        <v>229</v>
      </c>
      <c r="W42" s="1459" t="s">
        <v>229</v>
      </c>
      <c r="X42" s="1459" t="s">
        <v>229</v>
      </c>
      <c r="Y42" s="1459" t="s">
        <v>229</v>
      </c>
    </row>
    <row r="43" spans="1:25">
      <c r="C43" s="1597" t="s">
        <v>483</v>
      </c>
      <c r="D43" s="2771">
        <f>SUM(D44:D47)</f>
        <v>0</v>
      </c>
      <c r="E43" s="1464">
        <f>SUM(E44:E47)</f>
        <v>0</v>
      </c>
      <c r="F43" s="1462">
        <f>D43+E43</f>
        <v>0</v>
      </c>
      <c r="H43" s="1460"/>
      <c r="I43" s="2205"/>
      <c r="J43" s="1470" t="s">
        <v>229</v>
      </c>
      <c r="K43" s="1460"/>
      <c r="L43" s="1467"/>
      <c r="M43" s="1467"/>
      <c r="N43" s="1461"/>
      <c r="O43" s="1460"/>
      <c r="P43" s="1463"/>
      <c r="Q43" s="1466"/>
      <c r="R43" s="1466"/>
      <c r="S43" s="1469" t="s">
        <v>229</v>
      </c>
      <c r="T43" s="1469" t="s">
        <v>229</v>
      </c>
      <c r="U43" s="1469" t="s">
        <v>229</v>
      </c>
      <c r="V43" s="1469" t="s">
        <v>229</v>
      </c>
      <c r="W43" s="1459" t="s">
        <v>229</v>
      </c>
      <c r="X43" s="1459" t="s">
        <v>229</v>
      </c>
      <c r="Y43" s="1459" t="s">
        <v>229</v>
      </c>
    </row>
    <row r="44" spans="1:25">
      <c r="C44" s="1423"/>
      <c r="D44" s="2778"/>
      <c r="E44" s="1520"/>
      <c r="F44" s="1438">
        <f t="shared" si="2"/>
        <v>0</v>
      </c>
      <c r="H44" s="1460"/>
      <c r="I44" s="2205"/>
      <c r="J44" s="1470" t="s">
        <v>229</v>
      </c>
      <c r="K44" s="1460"/>
      <c r="L44" s="1467"/>
      <c r="M44" s="1467"/>
      <c r="N44" s="1461"/>
      <c r="O44" s="1460"/>
      <c r="P44" s="1463"/>
      <c r="Q44" s="1466"/>
      <c r="R44" s="1466"/>
      <c r="S44" s="1469" t="s">
        <v>229</v>
      </c>
      <c r="T44" s="1469" t="s">
        <v>229</v>
      </c>
      <c r="U44" s="1469" t="s">
        <v>229</v>
      </c>
      <c r="V44" s="1469" t="s">
        <v>229</v>
      </c>
      <c r="W44" s="1459" t="s">
        <v>229</v>
      </c>
      <c r="X44" s="1459" t="s">
        <v>229</v>
      </c>
      <c r="Y44" s="1459" t="s">
        <v>229</v>
      </c>
    </row>
    <row r="45" spans="1:25">
      <c r="C45" s="1423"/>
      <c r="D45" s="2778"/>
      <c r="E45" s="1520"/>
      <c r="F45" s="1438">
        <f t="shared" si="2"/>
        <v>0</v>
      </c>
      <c r="H45" s="1460"/>
      <c r="I45" s="2205"/>
      <c r="J45" s="1470" t="s">
        <v>229</v>
      </c>
      <c r="K45" s="1460"/>
      <c r="L45" s="1467"/>
      <c r="M45" s="1467"/>
      <c r="N45" s="1461"/>
      <c r="O45" s="1460"/>
      <c r="P45" s="1463"/>
      <c r="Q45" s="1466"/>
      <c r="R45" s="1466"/>
      <c r="S45" s="1469" t="s">
        <v>229</v>
      </c>
      <c r="T45" s="1469" t="s">
        <v>229</v>
      </c>
      <c r="U45" s="1469" t="s">
        <v>229</v>
      </c>
      <c r="V45" s="1469" t="s">
        <v>229</v>
      </c>
      <c r="W45" s="1459" t="s">
        <v>229</v>
      </c>
      <c r="X45" s="1459" t="s">
        <v>229</v>
      </c>
      <c r="Y45" s="1459" t="s">
        <v>229</v>
      </c>
    </row>
    <row r="46" spans="1:25">
      <c r="C46" s="1423"/>
      <c r="D46" s="2778"/>
      <c r="E46" s="1520"/>
      <c r="F46" s="1438">
        <f t="shared" si="2"/>
        <v>0</v>
      </c>
      <c r="H46" s="1460"/>
      <c r="I46" s="2205"/>
      <c r="J46" s="1470" t="s">
        <v>229</v>
      </c>
      <c r="K46" s="1460"/>
      <c r="L46" s="1467"/>
      <c r="M46" s="1467"/>
      <c r="N46" s="1461"/>
      <c r="O46" s="1460"/>
      <c r="P46" s="1463"/>
      <c r="Q46" s="1466"/>
      <c r="R46" s="1466"/>
      <c r="S46" s="1469" t="s">
        <v>229</v>
      </c>
      <c r="T46" s="1469" t="s">
        <v>229</v>
      </c>
      <c r="U46" s="1469" t="s">
        <v>229</v>
      </c>
      <c r="V46" s="1469" t="s">
        <v>229</v>
      </c>
      <c r="W46" s="1459" t="s">
        <v>229</v>
      </c>
      <c r="X46" s="1459" t="s">
        <v>229</v>
      </c>
      <c r="Y46" s="1459" t="s">
        <v>229</v>
      </c>
    </row>
    <row r="47" spans="1:25">
      <c r="C47" s="1423"/>
      <c r="D47" s="2778"/>
      <c r="E47" s="1520"/>
      <c r="F47" s="1438">
        <f t="shared" si="2"/>
        <v>0</v>
      </c>
      <c r="H47" s="1460"/>
      <c r="I47" s="2205"/>
      <c r="J47" s="1470" t="s">
        <v>229</v>
      </c>
      <c r="K47" s="1460"/>
      <c r="L47" s="1467"/>
      <c r="M47" s="1467"/>
      <c r="N47" s="1461"/>
      <c r="O47" s="1460"/>
      <c r="P47" s="1463"/>
      <c r="Q47" s="1466"/>
      <c r="R47" s="1466"/>
      <c r="S47" s="1469" t="s">
        <v>229</v>
      </c>
      <c r="T47" s="1469" t="s">
        <v>229</v>
      </c>
      <c r="U47" s="1469" t="s">
        <v>229</v>
      </c>
      <c r="V47" s="1469" t="s">
        <v>229</v>
      </c>
      <c r="W47" s="1459" t="s">
        <v>229</v>
      </c>
      <c r="X47" s="1459" t="s">
        <v>229</v>
      </c>
      <c r="Y47" s="1459" t="s">
        <v>229</v>
      </c>
    </row>
    <row r="48" spans="1:25">
      <c r="C48" s="1488"/>
      <c r="D48" s="2779"/>
      <c r="E48" s="1490"/>
      <c r="F48" s="1493"/>
      <c r="H48" s="1460"/>
      <c r="I48" s="2205"/>
      <c r="J48" s="1470" t="s">
        <v>229</v>
      </c>
      <c r="K48" s="1460"/>
      <c r="L48" s="1467"/>
      <c r="M48" s="1467"/>
      <c r="N48" s="1461"/>
      <c r="O48" s="1460"/>
      <c r="P48" s="1463"/>
      <c r="Q48" s="1466"/>
      <c r="R48" s="1466"/>
      <c r="S48" s="1469" t="s">
        <v>229</v>
      </c>
      <c r="T48" s="1469" t="s">
        <v>229</v>
      </c>
      <c r="U48" s="1469" t="s">
        <v>229</v>
      </c>
      <c r="V48" s="1469" t="s">
        <v>229</v>
      </c>
      <c r="W48" s="1459" t="s">
        <v>229</v>
      </c>
      <c r="X48" s="1459" t="s">
        <v>229</v>
      </c>
      <c r="Y48" s="1459" t="s">
        <v>229</v>
      </c>
    </row>
    <row r="49" spans="1:25">
      <c r="C49" s="1451" t="s">
        <v>47</v>
      </c>
      <c r="D49" s="2771">
        <f>SUM(D50:D53)</f>
        <v>0</v>
      </c>
      <c r="E49" s="1464">
        <f>SUM(E50:E53)</f>
        <v>0</v>
      </c>
      <c r="F49" s="1462">
        <f>D49+E49</f>
        <v>0</v>
      </c>
      <c r="H49" s="1460"/>
      <c r="I49" s="2205"/>
      <c r="J49" s="1470" t="s">
        <v>229</v>
      </c>
      <c r="K49" s="1460"/>
      <c r="L49" s="1467"/>
      <c r="M49" s="1467"/>
      <c r="N49" s="1461"/>
      <c r="O49" s="1460"/>
      <c r="P49" s="1463"/>
      <c r="Q49" s="1466"/>
      <c r="R49" s="1466"/>
      <c r="S49" s="1469" t="s">
        <v>229</v>
      </c>
      <c r="T49" s="1469" t="s">
        <v>229</v>
      </c>
      <c r="U49" s="1469" t="s">
        <v>229</v>
      </c>
      <c r="V49" s="1469" t="s">
        <v>229</v>
      </c>
      <c r="W49" s="1459" t="s">
        <v>229</v>
      </c>
      <c r="X49" s="1459" t="s">
        <v>229</v>
      </c>
      <c r="Y49" s="1459" t="s">
        <v>229</v>
      </c>
    </row>
    <row r="50" spans="1:25">
      <c r="C50" s="1423"/>
      <c r="D50" s="2778"/>
      <c r="E50" s="1520"/>
      <c r="F50" s="1438">
        <f t="shared" ref="F50:F65" si="3">SUM(D50:E50)</f>
        <v>0</v>
      </c>
      <c r="H50" s="1460"/>
      <c r="I50" s="2205"/>
      <c r="J50" s="1470" t="s">
        <v>229</v>
      </c>
      <c r="K50" s="1460"/>
      <c r="L50" s="1467"/>
      <c r="M50" s="1467"/>
      <c r="N50" s="1461"/>
      <c r="O50" s="1460"/>
      <c r="P50" s="1463"/>
      <c r="Q50" s="1466"/>
      <c r="R50" s="1466"/>
      <c r="S50" s="1469" t="s">
        <v>229</v>
      </c>
      <c r="T50" s="1469" t="s">
        <v>229</v>
      </c>
      <c r="U50" s="1469" t="s">
        <v>229</v>
      </c>
      <c r="V50" s="1469" t="s">
        <v>229</v>
      </c>
      <c r="W50" s="1459" t="s">
        <v>229</v>
      </c>
      <c r="X50" s="1459" t="s">
        <v>229</v>
      </c>
      <c r="Y50" s="1459" t="s">
        <v>229</v>
      </c>
    </row>
    <row r="51" spans="1:25">
      <c r="C51" s="1423"/>
      <c r="D51" s="2778"/>
      <c r="E51" s="1520"/>
      <c r="F51" s="1438">
        <f t="shared" si="3"/>
        <v>0</v>
      </c>
      <c r="H51" s="1460"/>
      <c r="I51" s="2205"/>
      <c r="J51" s="1470" t="s">
        <v>229</v>
      </c>
      <c r="K51" s="1460"/>
      <c r="L51" s="1467"/>
      <c r="M51" s="1467"/>
      <c r="N51" s="1461"/>
      <c r="O51" s="1460"/>
      <c r="P51" s="1463"/>
      <c r="Q51" s="1466"/>
      <c r="R51" s="1466"/>
      <c r="S51" s="1469" t="s">
        <v>229</v>
      </c>
      <c r="T51" s="1469" t="s">
        <v>229</v>
      </c>
      <c r="U51" s="1469" t="s">
        <v>229</v>
      </c>
      <c r="V51" s="1469" t="s">
        <v>229</v>
      </c>
      <c r="W51" s="1459" t="s">
        <v>229</v>
      </c>
      <c r="X51" s="1459" t="s">
        <v>229</v>
      </c>
      <c r="Y51" s="1459" t="s">
        <v>229</v>
      </c>
    </row>
    <row r="52" spans="1:25">
      <c r="C52" s="1423"/>
      <c r="D52" s="2778"/>
      <c r="E52" s="1520"/>
      <c r="F52" s="1438">
        <f t="shared" si="3"/>
        <v>0</v>
      </c>
      <c r="H52" s="1460"/>
      <c r="I52" s="2205"/>
      <c r="J52" s="1470" t="s">
        <v>229</v>
      </c>
      <c r="K52" s="1460"/>
      <c r="L52" s="1467"/>
      <c r="M52" s="1467"/>
      <c r="N52" s="1461"/>
      <c r="O52" s="1460"/>
      <c r="P52" s="1463"/>
      <c r="Q52" s="1466"/>
      <c r="R52" s="1466"/>
      <c r="S52" s="1469" t="s">
        <v>229</v>
      </c>
      <c r="T52" s="1469" t="s">
        <v>229</v>
      </c>
      <c r="U52" s="1469" t="s">
        <v>229</v>
      </c>
      <c r="V52" s="1469" t="s">
        <v>229</v>
      </c>
      <c r="W52" s="1459" t="s">
        <v>229</v>
      </c>
      <c r="X52" s="1459" t="s">
        <v>229</v>
      </c>
      <c r="Y52" s="1459" t="s">
        <v>229</v>
      </c>
    </row>
    <row r="53" spans="1:25">
      <c r="C53" s="1423"/>
      <c r="D53" s="2778"/>
      <c r="E53" s="1520"/>
      <c r="F53" s="1438">
        <f t="shared" si="3"/>
        <v>0</v>
      </c>
      <c r="H53" s="1460"/>
      <c r="I53" s="2205"/>
      <c r="J53" s="1470" t="s">
        <v>229</v>
      </c>
      <c r="K53" s="1460"/>
      <c r="L53" s="1467"/>
      <c r="M53" s="1467"/>
      <c r="N53" s="1461"/>
      <c r="O53" s="1460"/>
      <c r="P53" s="1463"/>
      <c r="Q53" s="1466"/>
      <c r="R53" s="1466"/>
      <c r="S53" s="1469" t="s">
        <v>229</v>
      </c>
      <c r="T53" s="1469" t="s">
        <v>229</v>
      </c>
      <c r="U53" s="1469" t="s">
        <v>229</v>
      </c>
      <c r="V53" s="1469" t="s">
        <v>229</v>
      </c>
      <c r="W53" s="1459" t="s">
        <v>229</v>
      </c>
      <c r="X53" s="1459" t="s">
        <v>229</v>
      </c>
      <c r="Y53" s="1459" t="s">
        <v>229</v>
      </c>
    </row>
    <row r="54" spans="1:25">
      <c r="C54" s="1488"/>
      <c r="D54" s="2779"/>
      <c r="E54" s="1490"/>
      <c r="F54" s="1493"/>
      <c r="H54" s="1460"/>
      <c r="I54" s="2205"/>
      <c r="J54" s="1470" t="s">
        <v>229</v>
      </c>
      <c r="K54" s="1460"/>
      <c r="L54" s="1467"/>
      <c r="M54" s="1467"/>
      <c r="N54" s="1461"/>
      <c r="O54" s="1460"/>
      <c r="P54" s="1463"/>
      <c r="Q54" s="1466"/>
      <c r="R54" s="1466"/>
      <c r="S54" s="1469" t="s">
        <v>229</v>
      </c>
      <c r="T54" s="1469" t="s">
        <v>229</v>
      </c>
      <c r="U54" s="1469" t="s">
        <v>229</v>
      </c>
      <c r="V54" s="1469" t="s">
        <v>229</v>
      </c>
      <c r="W54" s="1459" t="s">
        <v>229</v>
      </c>
      <c r="X54" s="1459" t="s">
        <v>229</v>
      </c>
      <c r="Y54" s="1459" t="s">
        <v>229</v>
      </c>
    </row>
    <row r="55" spans="1:25">
      <c r="C55" s="1451" t="s">
        <v>48</v>
      </c>
      <c r="D55" s="2771">
        <f>SUM(D56:D59)</f>
        <v>0</v>
      </c>
      <c r="E55" s="1464">
        <f>SUM(E56:E59)</f>
        <v>0</v>
      </c>
      <c r="F55" s="1462">
        <f>D55+E55</f>
        <v>0</v>
      </c>
      <c r="H55" s="1460"/>
      <c r="I55" s="2205"/>
      <c r="J55" s="1470" t="s">
        <v>229</v>
      </c>
      <c r="K55" s="1460"/>
      <c r="L55" s="1467"/>
      <c r="M55" s="1467"/>
      <c r="N55" s="1461"/>
      <c r="O55" s="1460"/>
      <c r="P55" s="1463"/>
      <c r="Q55" s="1466"/>
      <c r="R55" s="1466"/>
      <c r="S55" s="1469" t="s">
        <v>229</v>
      </c>
      <c r="T55" s="1469" t="s">
        <v>229</v>
      </c>
      <c r="U55" s="1469" t="s">
        <v>229</v>
      </c>
      <c r="V55" s="1469" t="s">
        <v>229</v>
      </c>
      <c r="W55" s="1459" t="s">
        <v>229</v>
      </c>
      <c r="X55" s="1459" t="s">
        <v>229</v>
      </c>
      <c r="Y55" s="1459" t="s">
        <v>229</v>
      </c>
    </row>
    <row r="56" spans="1:25">
      <c r="C56" s="1423"/>
      <c r="D56" s="2778"/>
      <c r="E56" s="1504"/>
      <c r="F56" s="1438">
        <f t="shared" si="3"/>
        <v>0</v>
      </c>
      <c r="H56" s="1460"/>
      <c r="I56" s="2205"/>
      <c r="J56" s="1470" t="s">
        <v>229</v>
      </c>
      <c r="K56" s="1460"/>
      <c r="L56" s="1467"/>
      <c r="M56" s="1467"/>
      <c r="N56" s="1461"/>
      <c r="O56" s="1460"/>
      <c r="P56" s="1463"/>
      <c r="Q56" s="1466"/>
      <c r="R56" s="1466"/>
      <c r="S56" s="1469" t="s">
        <v>229</v>
      </c>
      <c r="T56" s="1469" t="s">
        <v>229</v>
      </c>
      <c r="U56" s="1469" t="s">
        <v>229</v>
      </c>
      <c r="V56" s="1469" t="s">
        <v>229</v>
      </c>
      <c r="W56" s="1459" t="s">
        <v>229</v>
      </c>
      <c r="X56" s="1459" t="s">
        <v>229</v>
      </c>
      <c r="Y56" s="1459" t="s">
        <v>229</v>
      </c>
    </row>
    <row r="57" spans="1:25">
      <c r="C57" s="1423"/>
      <c r="D57" s="2778"/>
      <c r="E57" s="1504"/>
      <c r="F57" s="1438">
        <f t="shared" si="3"/>
        <v>0</v>
      </c>
      <c r="H57" s="1460"/>
      <c r="I57" s="2205"/>
      <c r="J57" s="1470" t="s">
        <v>229</v>
      </c>
      <c r="K57" s="1460"/>
      <c r="L57" s="1467"/>
      <c r="M57" s="1467"/>
      <c r="N57" s="1461"/>
      <c r="O57" s="1460"/>
      <c r="P57" s="1463"/>
      <c r="Q57" s="1466"/>
      <c r="R57" s="1466"/>
      <c r="S57" s="1469" t="s">
        <v>229</v>
      </c>
      <c r="T57" s="1469" t="s">
        <v>229</v>
      </c>
      <c r="U57" s="1469" t="s">
        <v>229</v>
      </c>
      <c r="V57" s="1469" t="s">
        <v>229</v>
      </c>
      <c r="W57" s="1459" t="s">
        <v>229</v>
      </c>
      <c r="X57" s="1459" t="s">
        <v>229</v>
      </c>
      <c r="Y57" s="1459" t="s">
        <v>229</v>
      </c>
    </row>
    <row r="58" spans="1:25">
      <c r="C58" s="1423"/>
      <c r="D58" s="2778"/>
      <c r="E58" s="1504"/>
      <c r="F58" s="1438">
        <f t="shared" si="3"/>
        <v>0</v>
      </c>
      <c r="H58" s="1460"/>
      <c r="I58" s="2205"/>
      <c r="J58" s="1470" t="s">
        <v>229</v>
      </c>
      <c r="K58" s="1460"/>
      <c r="L58" s="1467"/>
      <c r="M58" s="1467"/>
      <c r="N58" s="1461"/>
      <c r="O58" s="1460"/>
      <c r="P58" s="1463"/>
      <c r="Q58" s="1466"/>
      <c r="R58" s="1466"/>
      <c r="S58" s="1469" t="s">
        <v>229</v>
      </c>
      <c r="T58" s="1469" t="s">
        <v>229</v>
      </c>
      <c r="U58" s="1469" t="s">
        <v>229</v>
      </c>
      <c r="V58" s="1469" t="s">
        <v>229</v>
      </c>
      <c r="W58" s="1459" t="s">
        <v>229</v>
      </c>
      <c r="X58" s="1459" t="s">
        <v>229</v>
      </c>
      <c r="Y58" s="1459" t="s">
        <v>229</v>
      </c>
    </row>
    <row r="59" spans="1:25">
      <c r="C59" s="1423"/>
      <c r="D59" s="2778"/>
      <c r="E59" s="1504"/>
      <c r="F59" s="1438">
        <f t="shared" si="3"/>
        <v>0</v>
      </c>
      <c r="H59" s="1460"/>
      <c r="I59" s="2205"/>
      <c r="J59" s="1470" t="s">
        <v>229</v>
      </c>
      <c r="K59" s="1460"/>
      <c r="L59" s="1467"/>
      <c r="M59" s="1467"/>
      <c r="N59" s="1461"/>
      <c r="O59" s="1460"/>
      <c r="P59" s="1463"/>
      <c r="Q59" s="1466"/>
      <c r="R59" s="1466"/>
      <c r="S59" s="1469" t="s">
        <v>229</v>
      </c>
      <c r="T59" s="1469" t="s">
        <v>229</v>
      </c>
      <c r="U59" s="1469" t="s">
        <v>229</v>
      </c>
      <c r="V59" s="1469" t="s">
        <v>229</v>
      </c>
      <c r="W59" s="1459" t="s">
        <v>229</v>
      </c>
      <c r="X59" s="1459" t="s">
        <v>229</v>
      </c>
      <c r="Y59" s="1459" t="s">
        <v>229</v>
      </c>
    </row>
    <row r="60" spans="1:25">
      <c r="C60" s="1488"/>
      <c r="D60" s="2779"/>
      <c r="E60" s="1490"/>
      <c r="F60" s="1493"/>
      <c r="H60" s="1460"/>
      <c r="I60" s="2205"/>
      <c r="J60" s="1470" t="s">
        <v>229</v>
      </c>
      <c r="K60" s="1460"/>
      <c r="L60" s="1467"/>
      <c r="M60" s="1467"/>
      <c r="N60" s="1461"/>
      <c r="O60" s="1460"/>
      <c r="P60" s="1463"/>
      <c r="Q60" s="1466"/>
      <c r="R60" s="1466"/>
      <c r="S60" s="1469" t="s">
        <v>229</v>
      </c>
      <c r="T60" s="1469" t="s">
        <v>229</v>
      </c>
      <c r="U60" s="1469" t="s">
        <v>229</v>
      </c>
      <c r="V60" s="1469" t="s">
        <v>229</v>
      </c>
      <c r="W60" s="1459" t="s">
        <v>229</v>
      </c>
      <c r="X60" s="1459" t="s">
        <v>229</v>
      </c>
      <c r="Y60" s="1459" t="s">
        <v>229</v>
      </c>
    </row>
    <row r="61" spans="1:25">
      <c r="C61" s="1451" t="s">
        <v>49</v>
      </c>
      <c r="D61" s="2771">
        <f>SUM(D62:D65)</f>
        <v>0</v>
      </c>
      <c r="E61" s="1464">
        <f>SUM(E62:E65)</f>
        <v>0</v>
      </c>
      <c r="F61" s="1462">
        <f>D61+E61</f>
        <v>0</v>
      </c>
      <c r="H61" s="1460"/>
      <c r="I61" s="2205"/>
      <c r="J61" s="1470" t="s">
        <v>229</v>
      </c>
      <c r="K61" s="1460"/>
      <c r="L61" s="1467"/>
      <c r="M61" s="1467"/>
      <c r="N61" s="1461"/>
      <c r="O61" s="1460"/>
      <c r="P61" s="1463"/>
      <c r="Q61" s="1466"/>
      <c r="R61" s="1466"/>
      <c r="S61" s="1469" t="s">
        <v>229</v>
      </c>
      <c r="T61" s="1469" t="s">
        <v>229</v>
      </c>
      <c r="U61" s="1469" t="s">
        <v>229</v>
      </c>
      <c r="V61" s="1469" t="s">
        <v>229</v>
      </c>
      <c r="W61" s="1459" t="s">
        <v>229</v>
      </c>
      <c r="X61" s="1459" t="s">
        <v>229</v>
      </c>
      <c r="Y61" s="1459" t="s">
        <v>229</v>
      </c>
    </row>
    <row r="62" spans="1:25">
      <c r="C62" s="1423"/>
      <c r="D62" s="2778"/>
      <c r="E62" s="1520"/>
      <c r="F62" s="1438">
        <f t="shared" si="3"/>
        <v>0</v>
      </c>
      <c r="H62" s="1460"/>
      <c r="I62" s="1466"/>
      <c r="J62" s="1470" t="s">
        <v>229</v>
      </c>
      <c r="K62" s="1460"/>
      <c r="L62" s="1467"/>
      <c r="M62" s="1467"/>
      <c r="N62" s="1461"/>
      <c r="O62" s="1460"/>
      <c r="P62" s="1463"/>
      <c r="Q62" s="1466"/>
      <c r="R62" s="1466"/>
      <c r="S62" s="1469" t="s">
        <v>229</v>
      </c>
      <c r="T62" s="1469" t="s">
        <v>229</v>
      </c>
      <c r="U62" s="1469" t="s">
        <v>229</v>
      </c>
      <c r="V62" s="1469" t="s">
        <v>229</v>
      </c>
      <c r="W62" s="1459" t="s">
        <v>229</v>
      </c>
      <c r="X62" s="1459" t="s">
        <v>229</v>
      </c>
      <c r="Y62" s="1459" t="s">
        <v>229</v>
      </c>
    </row>
    <row r="63" spans="1:25">
      <c r="C63" s="1423"/>
      <c r="D63" s="2778"/>
      <c r="E63" s="1520"/>
      <c r="F63" s="1438">
        <f t="shared" si="3"/>
        <v>0</v>
      </c>
      <c r="H63" s="1460"/>
      <c r="I63" s="1466"/>
      <c r="J63" s="1470" t="s">
        <v>229</v>
      </c>
      <c r="K63" s="1460"/>
      <c r="L63" s="1467"/>
      <c r="M63" s="1467"/>
      <c r="N63" s="1461"/>
      <c r="O63" s="1460"/>
      <c r="P63" s="1463"/>
      <c r="Q63" s="1466"/>
      <c r="R63" s="1466"/>
      <c r="S63" s="1469" t="s">
        <v>229</v>
      </c>
      <c r="T63" s="1469" t="s">
        <v>229</v>
      </c>
      <c r="U63" s="1469" t="s">
        <v>229</v>
      </c>
      <c r="V63" s="1469" t="s">
        <v>229</v>
      </c>
      <c r="W63" s="1459" t="s">
        <v>229</v>
      </c>
      <c r="X63" s="1459" t="s">
        <v>229</v>
      </c>
      <c r="Y63" s="1459" t="s">
        <v>229</v>
      </c>
    </row>
    <row r="64" spans="1:25">
      <c r="A64" s="1357" t="s">
        <v>266</v>
      </c>
      <c r="C64" s="1423"/>
      <c r="D64" s="2778"/>
      <c r="E64" s="1520"/>
      <c r="F64" s="1437">
        <f t="shared" si="3"/>
        <v>0</v>
      </c>
      <c r="H64" s="1460"/>
      <c r="I64" s="1466"/>
      <c r="J64" s="1470" t="s">
        <v>229</v>
      </c>
      <c r="K64" s="1460"/>
      <c r="L64" s="1467"/>
      <c r="M64" s="1467"/>
      <c r="N64" s="1461"/>
      <c r="O64" s="1460"/>
      <c r="P64" s="1463"/>
      <c r="Q64" s="1466"/>
      <c r="R64" s="1466"/>
      <c r="S64" s="1469" t="s">
        <v>229</v>
      </c>
      <c r="T64" s="1469" t="s">
        <v>229</v>
      </c>
      <c r="U64" s="1469" t="s">
        <v>229</v>
      </c>
      <c r="V64" s="1469" t="s">
        <v>229</v>
      </c>
      <c r="W64" s="1459" t="s">
        <v>229</v>
      </c>
      <c r="X64" s="1459" t="s">
        <v>229</v>
      </c>
      <c r="Y64" s="1459" t="s">
        <v>229</v>
      </c>
    </row>
    <row r="65" spans="1:25">
      <c r="A65" s="1357" t="s">
        <v>267</v>
      </c>
      <c r="C65" s="1423"/>
      <c r="D65" s="2778"/>
      <c r="E65" s="1520"/>
      <c r="F65" s="1438">
        <f t="shared" si="3"/>
        <v>0</v>
      </c>
      <c r="H65" s="1460"/>
      <c r="I65" s="1466"/>
      <c r="J65" s="1470" t="s">
        <v>229</v>
      </c>
      <c r="K65" s="1460"/>
      <c r="L65" s="1467"/>
      <c r="M65" s="1467"/>
      <c r="N65" s="1461"/>
      <c r="O65" s="1460"/>
      <c r="P65" s="1463"/>
      <c r="Q65" s="1466"/>
      <c r="R65" s="1466"/>
      <c r="S65" s="1469" t="s">
        <v>229</v>
      </c>
      <c r="T65" s="1469" t="s">
        <v>229</v>
      </c>
      <c r="U65" s="1469" t="s">
        <v>229</v>
      </c>
      <c r="V65" s="1469" t="s">
        <v>229</v>
      </c>
      <c r="W65" s="1459" t="s">
        <v>229</v>
      </c>
      <c r="X65" s="1459" t="s">
        <v>229</v>
      </c>
      <c r="Y65" s="1459" t="s">
        <v>229</v>
      </c>
    </row>
    <row r="66" spans="1:25">
      <c r="A66" s="1357" t="s">
        <v>5</v>
      </c>
      <c r="C66" s="1488"/>
      <c r="D66" s="2779"/>
      <c r="E66" s="1490"/>
      <c r="F66" s="1493"/>
    </row>
    <row r="67" spans="1:25">
      <c r="A67" s="1357">
        <v>18230639</v>
      </c>
      <c r="C67" s="1451" t="s">
        <v>50</v>
      </c>
      <c r="D67" s="2771">
        <f>W15</f>
        <v>0</v>
      </c>
      <c r="E67" s="1464">
        <f>X15*1.15</f>
        <v>0</v>
      </c>
      <c r="F67" s="1462">
        <f>D67+E67</f>
        <v>0</v>
      </c>
    </row>
    <row r="68" spans="1:25">
      <c r="A68" s="1357" t="s">
        <v>28</v>
      </c>
      <c r="C68" s="1500" t="s">
        <v>297</v>
      </c>
      <c r="D68" s="2781"/>
      <c r="E68" s="1496"/>
      <c r="F68" s="1499"/>
    </row>
    <row r="69" spans="1:25">
      <c r="C69" s="1501"/>
      <c r="D69" s="2782"/>
      <c r="E69" s="1497"/>
      <c r="F69" s="1498"/>
    </row>
    <row r="70" spans="1:25">
      <c r="C70" s="1494" t="s">
        <v>51</v>
      </c>
      <c r="D70" s="2778">
        <v>0</v>
      </c>
      <c r="E70" s="1503">
        <v>0</v>
      </c>
      <c r="F70" s="1491">
        <v>0</v>
      </c>
    </row>
  </sheetData>
  <customSheetViews>
    <customSheetView guid="{D9EFFE19-D14B-4C6F-BDF4-FF696F73968D}" showGridLines="0" fitToPage="1">
      <pane xSplit="1" ySplit="1" topLeftCell="D2" activePane="bottomRight" state="frozen"/>
      <selection pane="bottomRight" activeCell="L15" sqref="L15:M15"/>
      <pageMargins left="0.17" right="0.25" top="0.34" bottom="0.37" header="0.3" footer="0.3"/>
      <pageSetup paperSize="17" scale="54" orientation="landscape" r:id="rId1"/>
    </customSheetView>
    <customSheetView guid="{074EB09C-6289-46D7-9513-012B68BCA7BF}" showGridLines="0" fitToPage="1">
      <pane xSplit="1" ySplit="1" topLeftCell="B2" activePane="bottomRight" state="frozen"/>
      <selection pane="bottomRight" activeCell="E29" sqref="E29"/>
      <pageMargins left="0.17" right="0.25" top="0.34" bottom="0.37" header="0.3" footer="0.3"/>
      <pageSetup paperSize="17" scale="54" orientation="landscape" r:id="rId2"/>
    </customSheetView>
  </customSheetViews>
  <mergeCells count="8">
    <mergeCell ref="S2:T2"/>
    <mergeCell ref="U2:W2"/>
    <mergeCell ref="X2:X3"/>
    <mergeCell ref="H10:P10"/>
    <mergeCell ref="H12:P12"/>
    <mergeCell ref="Q12:S12"/>
    <mergeCell ref="T12:V12"/>
    <mergeCell ref="W12:Y12"/>
  </mergeCells>
  <pageMargins left="0.17" right="0.25" top="0.34" bottom="0.37" header="0.3" footer="0.3"/>
  <pageSetup paperSize="3" scale="53" orientation="landscape"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H31" sqref="H31"/>
    </sheetView>
  </sheetViews>
  <sheetFormatPr defaultRowHeight="12.75"/>
  <cols>
    <col min="1" max="1" width="18.28515625" customWidth="1"/>
    <col min="2" max="2" width="16.140625" style="1413" customWidth="1"/>
    <col min="3" max="3" width="29" customWidth="1"/>
    <col min="4" max="4" width="23.85546875" customWidth="1"/>
    <col min="5" max="5" width="21" customWidth="1"/>
    <col min="6" max="6" width="18.7109375" customWidth="1"/>
    <col min="7" max="16" width="16.7109375" customWidth="1"/>
    <col min="17" max="17" width="26.42578125" customWidth="1"/>
    <col min="18" max="18" width="16.85546875" customWidth="1"/>
    <col min="19" max="19" width="13.7109375" bestFit="1" customWidth="1"/>
  </cols>
  <sheetData>
    <row r="1" spans="1:19" ht="57" customHeight="1">
      <c r="A1" s="849"/>
      <c r="C1" s="1361" t="s">
        <v>149</v>
      </c>
      <c r="D1" s="1361" t="s">
        <v>254</v>
      </c>
      <c r="E1" s="1361" t="s">
        <v>22</v>
      </c>
      <c r="F1" s="1427">
        <v>18230421</v>
      </c>
      <c r="G1" s="1361" t="s">
        <v>4</v>
      </c>
      <c r="J1" s="849"/>
      <c r="K1" s="849"/>
      <c r="L1" s="849"/>
      <c r="M1" s="1361" t="s">
        <v>149</v>
      </c>
      <c r="N1" s="1361" t="s">
        <v>254</v>
      </c>
      <c r="O1" s="1361" t="s">
        <v>22</v>
      </c>
      <c r="P1" s="1427">
        <v>18230421</v>
      </c>
      <c r="Q1" s="1361" t="s">
        <v>4</v>
      </c>
    </row>
    <row r="2" spans="1:19" ht="16.5" thickBot="1">
      <c r="A2" s="849"/>
      <c r="D2" s="481"/>
      <c r="E2" s="1349"/>
      <c r="F2" s="1349"/>
      <c r="G2" s="850"/>
      <c r="H2" s="1178" t="s">
        <v>627</v>
      </c>
      <c r="I2" s="1413"/>
      <c r="J2" s="1413"/>
      <c r="K2" s="1413"/>
      <c r="L2" s="1413"/>
      <c r="M2" s="1413"/>
      <c r="N2" s="1413"/>
      <c r="O2" s="1413"/>
      <c r="P2" s="1413"/>
      <c r="Q2" s="1413"/>
      <c r="R2" s="1415"/>
    </row>
    <row r="3" spans="1:19" s="1536" customFormat="1" ht="26.25" thickBot="1">
      <c r="A3" s="1357" t="s">
        <v>149</v>
      </c>
      <c r="B3" s="1357"/>
      <c r="D3" s="1340"/>
      <c r="E3" s="1340"/>
      <c r="F3" s="1340"/>
      <c r="H3" s="2744" t="s">
        <v>7</v>
      </c>
      <c r="I3" s="2643" t="s">
        <v>8</v>
      </c>
      <c r="J3" s="2643" t="s">
        <v>9</v>
      </c>
      <c r="K3" s="2643" t="s">
        <v>10</v>
      </c>
      <c r="L3" s="2643" t="s">
        <v>482</v>
      </c>
      <c r="M3" s="2643" t="s">
        <v>11</v>
      </c>
      <c r="N3" s="2643" t="s">
        <v>12</v>
      </c>
      <c r="O3" s="2643" t="s">
        <v>13</v>
      </c>
      <c r="P3" s="2643" t="s">
        <v>14</v>
      </c>
      <c r="Q3" s="2643" t="s">
        <v>36</v>
      </c>
      <c r="R3" s="2643" t="s">
        <v>15</v>
      </c>
      <c r="S3" s="2734" t="s">
        <v>37</v>
      </c>
    </row>
    <row r="4" spans="1:19" ht="16.5" thickBot="1">
      <c r="A4" s="1357" t="s">
        <v>22</v>
      </c>
      <c r="B4" s="1357"/>
      <c r="C4" s="849"/>
      <c r="D4" s="849"/>
      <c r="E4" s="1413"/>
      <c r="F4" s="1413"/>
      <c r="G4" s="2946" t="s">
        <v>1726</v>
      </c>
      <c r="H4" s="2959">
        <f>D15</f>
        <v>0</v>
      </c>
      <c r="I4" s="2960">
        <f>D21</f>
        <v>0</v>
      </c>
      <c r="J4" s="2960">
        <f>D27</f>
        <v>0</v>
      </c>
      <c r="K4" s="2960">
        <f>D37</f>
        <v>0</v>
      </c>
      <c r="L4" s="2960">
        <f>D43</f>
        <v>0</v>
      </c>
      <c r="M4" s="2960">
        <f>D49</f>
        <v>1560000</v>
      </c>
      <c r="N4" s="2960">
        <f>D55</f>
        <v>0</v>
      </c>
      <c r="O4" s="2960">
        <f>D61</f>
        <v>0</v>
      </c>
      <c r="P4" s="2960">
        <f>D67</f>
        <v>3640000</v>
      </c>
      <c r="Q4" s="2960"/>
      <c r="R4" s="2960">
        <f>SUM(H4:P4)</f>
        <v>5200000</v>
      </c>
      <c r="S4" s="2962">
        <f>I20</f>
        <v>8760000</v>
      </c>
    </row>
    <row r="5" spans="1:19" ht="15.75">
      <c r="A5" s="1357" t="s">
        <v>254</v>
      </c>
      <c r="B5" s="1357"/>
      <c r="C5" s="849"/>
      <c r="D5" s="850"/>
      <c r="E5" s="1355"/>
      <c r="F5" s="1355"/>
      <c r="G5" s="3205" t="s">
        <v>1753</v>
      </c>
      <c r="H5" s="2617">
        <v>0</v>
      </c>
      <c r="I5" s="2618">
        <v>0</v>
      </c>
      <c r="J5" s="2618">
        <v>0</v>
      </c>
      <c r="K5" s="2618">
        <v>0</v>
      </c>
      <c r="L5" s="2618">
        <v>0</v>
      </c>
      <c r="M5" s="2618">
        <v>1560000</v>
      </c>
      <c r="N5" s="2618">
        <v>0</v>
      </c>
      <c r="O5" s="2618">
        <v>0</v>
      </c>
      <c r="P5" s="2618">
        <v>3640000</v>
      </c>
      <c r="Q5" s="2618"/>
      <c r="R5" s="2618">
        <v>5200000</v>
      </c>
      <c r="S5" s="2745">
        <v>14016000</v>
      </c>
    </row>
    <row r="6" spans="1:19" ht="16.5" thickBot="1">
      <c r="A6" s="1427">
        <v>18230421</v>
      </c>
      <c r="B6" s="1427"/>
      <c r="C6" s="943"/>
      <c r="D6" s="849"/>
      <c r="E6" s="1413"/>
      <c r="F6" s="1413"/>
      <c r="G6" s="3206" t="s">
        <v>1754</v>
      </c>
      <c r="H6" s="2621">
        <f>E15</f>
        <v>0</v>
      </c>
      <c r="I6" s="2622">
        <f>E21</f>
        <v>0</v>
      </c>
      <c r="J6" s="2623">
        <f>E27</f>
        <v>0</v>
      </c>
      <c r="K6" s="2622">
        <f>E37</f>
        <v>0</v>
      </c>
      <c r="L6" s="2622">
        <f>E43</f>
        <v>0</v>
      </c>
      <c r="M6" s="2622">
        <f>E49</f>
        <v>1560000</v>
      </c>
      <c r="N6" s="2622">
        <f>E55</f>
        <v>0</v>
      </c>
      <c r="O6" s="2622">
        <f>E61</f>
        <v>0</v>
      </c>
      <c r="P6" s="2622">
        <f>E67</f>
        <v>3640000</v>
      </c>
      <c r="Q6" s="2622"/>
      <c r="R6" s="2622">
        <f>SUM(H6:P6)</f>
        <v>5200000</v>
      </c>
      <c r="S6" s="2746">
        <f>J20</f>
        <v>15592800</v>
      </c>
    </row>
    <row r="7" spans="1:19">
      <c r="A7" s="1357" t="s">
        <v>4</v>
      </c>
      <c r="B7" s="1510"/>
      <c r="C7" s="18"/>
      <c r="D7" s="18"/>
      <c r="E7" s="1409"/>
      <c r="F7" s="1409"/>
      <c r="G7" s="2743"/>
      <c r="H7" s="2607"/>
      <c r="I7" s="2607"/>
      <c r="J7" s="2607"/>
      <c r="K7" s="2607"/>
      <c r="L7" s="2607"/>
      <c r="M7" s="2607"/>
      <c r="N7" s="2607"/>
      <c r="O7" s="2607"/>
      <c r="P7" s="2607"/>
      <c r="Q7" s="2607"/>
      <c r="R7" s="2607"/>
      <c r="S7" s="2608"/>
    </row>
    <row r="8" spans="1:19">
      <c r="B8" s="1357"/>
      <c r="C8" s="18"/>
      <c r="D8" s="18"/>
    </row>
    <row r="9" spans="1:19">
      <c r="A9" s="1368"/>
      <c r="B9" s="1368"/>
      <c r="C9" s="18"/>
      <c r="D9" s="18"/>
    </row>
    <row r="10" spans="1:19">
      <c r="A10" s="1371"/>
      <c r="B10" s="1371"/>
      <c r="C10" s="1454" t="s">
        <v>310</v>
      </c>
      <c r="D10" s="1454"/>
      <c r="E10" s="1454"/>
      <c r="F10" s="1454"/>
    </row>
    <row r="11" spans="1:19" ht="25.5">
      <c r="A11" s="1371"/>
      <c r="B11" s="1371"/>
      <c r="C11" s="1413"/>
      <c r="D11" s="1413"/>
      <c r="E11" s="1414"/>
      <c r="F11" s="1413"/>
      <c r="G11" s="849"/>
      <c r="H11" s="849"/>
      <c r="I11" s="849"/>
      <c r="J11" s="849"/>
      <c r="K11" s="849"/>
      <c r="L11" s="849"/>
      <c r="M11" s="849"/>
      <c r="N11" s="21" t="s">
        <v>17</v>
      </c>
      <c r="O11" s="849"/>
      <c r="P11" s="849"/>
    </row>
    <row r="12" spans="1:19" ht="15.75">
      <c r="A12" s="1371"/>
      <c r="B12" s="1412"/>
      <c r="C12" s="1434" t="s">
        <v>298</v>
      </c>
      <c r="D12" s="2766">
        <f>D15+D21+D27+D37+D43+D49+D55+D61+D67</f>
        <v>5200000</v>
      </c>
      <c r="E12" s="1484">
        <f>E15+E21+E27+E37+E43+E49+E55+E61+E67</f>
        <v>5200000</v>
      </c>
      <c r="F12" s="1462">
        <f>D12+E12</f>
        <v>10400000</v>
      </c>
      <c r="G12" s="2081" t="s">
        <v>593</v>
      </c>
      <c r="I12" s="849"/>
      <c r="J12" s="849"/>
      <c r="K12" s="849"/>
      <c r="L12" s="849"/>
      <c r="M12" s="849"/>
      <c r="N12" s="21" t="s">
        <v>18</v>
      </c>
      <c r="O12" s="849"/>
      <c r="P12" s="849"/>
    </row>
    <row r="13" spans="1:19" ht="15.75">
      <c r="A13" s="21"/>
      <c r="B13" s="1410"/>
      <c r="C13" s="1483"/>
      <c r="D13" s="2767"/>
      <c r="E13" s="1336"/>
      <c r="F13" s="1413"/>
      <c r="G13" s="939"/>
      <c r="H13" s="939"/>
      <c r="I13" s="849"/>
      <c r="J13" s="849"/>
      <c r="K13" s="849"/>
      <c r="L13" s="849"/>
      <c r="M13" s="849"/>
      <c r="N13" s="849"/>
      <c r="O13" s="849"/>
      <c r="P13" s="849"/>
    </row>
    <row r="14" spans="1:19" ht="15.75">
      <c r="A14" s="28"/>
      <c r="B14" s="1410"/>
      <c r="C14" s="1435" t="s">
        <v>42</v>
      </c>
      <c r="D14" s="2768">
        <v>2016</v>
      </c>
      <c r="E14" s="1502">
        <v>2017</v>
      </c>
      <c r="F14" s="1486" t="s">
        <v>20</v>
      </c>
      <c r="G14" s="29"/>
      <c r="H14" s="29"/>
      <c r="I14" s="18"/>
      <c r="J14" s="18"/>
      <c r="K14" s="18"/>
      <c r="L14" s="18"/>
      <c r="M14" s="18"/>
      <c r="N14" s="18"/>
      <c r="O14" s="18"/>
      <c r="P14" s="18"/>
    </row>
    <row r="15" spans="1:19" ht="15.75">
      <c r="A15" s="28"/>
      <c r="B15" s="1433" t="s">
        <v>296</v>
      </c>
      <c r="C15" s="1451" t="s">
        <v>43</v>
      </c>
      <c r="D15" s="2771">
        <f>SUM(D16:D19)</f>
        <v>0</v>
      </c>
      <c r="E15" s="1464">
        <f>SUM(E16:E19)</f>
        <v>0</v>
      </c>
      <c r="F15" s="1462">
        <f>SUM(D15:E15)</f>
        <v>0</v>
      </c>
      <c r="G15" s="29"/>
      <c r="H15" s="29"/>
      <c r="I15" s="18"/>
      <c r="J15" s="18"/>
      <c r="K15" s="18"/>
      <c r="L15" s="18"/>
      <c r="M15" s="18"/>
      <c r="N15" s="18"/>
      <c r="O15" s="18"/>
      <c r="P15" s="18"/>
    </row>
    <row r="16" spans="1:19">
      <c r="A16" s="21"/>
      <c r="B16" s="1432"/>
      <c r="C16" s="1423"/>
      <c r="D16" s="2772"/>
      <c r="E16" s="1448"/>
      <c r="F16" s="1426">
        <f>SUM(D16:E16)</f>
        <v>0</v>
      </c>
      <c r="G16" s="849"/>
      <c r="H16" s="849"/>
      <c r="I16" s="849"/>
      <c r="J16" s="849"/>
      <c r="K16" s="849"/>
      <c r="L16" s="849"/>
      <c r="M16" s="849"/>
      <c r="N16" s="849"/>
      <c r="O16" s="849"/>
      <c r="P16" s="849"/>
    </row>
    <row r="17" spans="1:16" ht="15.75" customHeight="1">
      <c r="A17" s="21"/>
      <c r="B17" s="1432"/>
      <c r="C17" s="1423"/>
      <c r="D17" s="2784"/>
      <c r="E17" s="1447"/>
      <c r="F17" s="1438">
        <f>SUM(D17:E17)</f>
        <v>0</v>
      </c>
      <c r="G17" s="849"/>
      <c r="H17" s="849"/>
      <c r="I17" s="849"/>
      <c r="J17" s="849"/>
      <c r="K17" s="851"/>
      <c r="L17" s="851"/>
      <c r="M17" s="851"/>
      <c r="N17" s="851"/>
      <c r="O17" s="849"/>
      <c r="P17" s="849"/>
    </row>
    <row r="18" spans="1:16" ht="15.75">
      <c r="A18" s="21"/>
      <c r="B18" s="1432"/>
      <c r="C18" s="1423"/>
      <c r="D18" s="2784"/>
      <c r="E18" s="1447"/>
      <c r="F18" s="1438">
        <f>SUM(D18:E18)</f>
        <v>0</v>
      </c>
      <c r="G18" s="849"/>
      <c r="H18" s="849"/>
      <c r="I18" s="3605" t="s">
        <v>238</v>
      </c>
      <c r="J18" s="3606"/>
      <c r="K18" s="939"/>
      <c r="L18" s="939"/>
      <c r="M18" s="939"/>
      <c r="N18" s="939"/>
      <c r="O18" s="849"/>
      <c r="P18" s="849"/>
    </row>
    <row r="19" spans="1:16">
      <c r="A19" s="21"/>
      <c r="B19" s="1432"/>
      <c r="C19" s="1423"/>
      <c r="D19" s="2786"/>
      <c r="E19" s="1446"/>
      <c r="F19" s="1438">
        <f>SUM(D19:E19)</f>
        <v>0</v>
      </c>
      <c r="G19" s="849"/>
      <c r="H19" s="849"/>
      <c r="I19" s="9">
        <v>2016</v>
      </c>
      <c r="J19" s="9">
        <v>2017</v>
      </c>
      <c r="K19" s="849"/>
      <c r="L19" s="849"/>
      <c r="M19" s="849"/>
      <c r="N19" s="849"/>
      <c r="O19" s="849"/>
      <c r="P19" s="849"/>
    </row>
    <row r="20" spans="1:16">
      <c r="A20" s="21"/>
      <c r="B20" s="1449">
        <f>SUM(B16:B19)</f>
        <v>0</v>
      </c>
      <c r="C20" s="1488"/>
      <c r="D20" s="2770"/>
      <c r="E20" s="1490"/>
      <c r="F20" s="1492"/>
      <c r="G20" s="849"/>
      <c r="H20" s="849"/>
      <c r="I20" s="940">
        <v>8760000</v>
      </c>
      <c r="J20" s="940">
        <v>15592800</v>
      </c>
      <c r="K20" s="849"/>
      <c r="L20" s="849"/>
      <c r="M20" s="849"/>
      <c r="N20" s="849"/>
      <c r="O20" s="849"/>
      <c r="P20" s="849"/>
    </row>
    <row r="21" spans="1:16">
      <c r="A21" s="28"/>
      <c r="B21" s="1412"/>
      <c r="C21" s="1451" t="s">
        <v>44</v>
      </c>
      <c r="D21" s="2771">
        <v>0</v>
      </c>
      <c r="E21" s="1464">
        <v>0</v>
      </c>
      <c r="F21" s="1462">
        <v>0</v>
      </c>
      <c r="G21" s="18"/>
      <c r="H21" s="18"/>
      <c r="I21" s="18"/>
      <c r="J21" s="18"/>
      <c r="K21" s="18"/>
      <c r="L21" s="18"/>
      <c r="M21" s="18"/>
      <c r="N21" s="18"/>
      <c r="O21" s="18"/>
      <c r="P21" s="18"/>
    </row>
    <row r="22" spans="1:16">
      <c r="A22" s="21"/>
      <c r="B22" s="1412"/>
      <c r="C22" s="1423"/>
      <c r="D22" s="2772"/>
      <c r="E22" s="1448"/>
      <c r="F22" s="1426">
        <v>0</v>
      </c>
      <c r="G22" s="849"/>
      <c r="H22" s="849"/>
      <c r="I22" s="849"/>
      <c r="J22" s="849"/>
      <c r="K22" s="849"/>
      <c r="L22" s="849"/>
      <c r="M22" s="849"/>
      <c r="N22" s="849"/>
      <c r="O22" s="849"/>
      <c r="P22" s="849"/>
    </row>
    <row r="23" spans="1:16">
      <c r="A23" s="21"/>
      <c r="B23" s="1412"/>
      <c r="C23" s="1423"/>
      <c r="D23" s="2773"/>
      <c r="E23" s="1444"/>
      <c r="F23" s="1438">
        <v>0</v>
      </c>
      <c r="G23" s="849"/>
      <c r="H23" s="849"/>
      <c r="I23" s="849"/>
      <c r="J23" s="849"/>
      <c r="K23" s="849"/>
      <c r="L23" s="849"/>
      <c r="M23" s="849"/>
      <c r="N23" s="849"/>
      <c r="O23" s="849"/>
      <c r="P23" s="849"/>
    </row>
    <row r="24" spans="1:16">
      <c r="A24" s="21"/>
      <c r="B24" s="1412"/>
      <c r="C24" s="1423"/>
      <c r="D24" s="2774"/>
      <c r="E24" s="1443"/>
      <c r="F24" s="1438">
        <v>0</v>
      </c>
      <c r="G24" s="849"/>
      <c r="H24" s="849"/>
      <c r="I24" s="849"/>
      <c r="J24" s="849"/>
      <c r="K24" s="849"/>
      <c r="L24" s="849"/>
      <c r="M24" s="849"/>
      <c r="N24" s="849"/>
      <c r="O24" s="849"/>
      <c r="P24" s="849"/>
    </row>
    <row r="25" spans="1:16">
      <c r="A25" s="21"/>
      <c r="B25" s="1412"/>
      <c r="C25" s="1423"/>
      <c r="D25" s="2775"/>
      <c r="E25" s="1444"/>
      <c r="F25" s="1438">
        <v>0</v>
      </c>
      <c r="G25" s="849"/>
      <c r="H25" s="849"/>
      <c r="I25" s="849"/>
      <c r="J25" s="849"/>
      <c r="K25" s="849"/>
      <c r="L25" s="849"/>
      <c r="M25" s="849"/>
      <c r="N25" s="849"/>
      <c r="O25" s="849"/>
      <c r="P25" s="849"/>
    </row>
    <row r="26" spans="1:16">
      <c r="A26" s="21"/>
      <c r="B26" s="1412"/>
      <c r="C26" s="1424"/>
      <c r="D26" s="2776"/>
      <c r="E26" s="1431"/>
      <c r="F26" s="1439"/>
      <c r="G26" s="849"/>
      <c r="H26" s="849"/>
      <c r="I26" s="849"/>
      <c r="J26" s="849"/>
      <c r="K26" s="849"/>
      <c r="L26" s="849"/>
      <c r="M26" s="849"/>
      <c r="N26" s="849"/>
      <c r="O26" s="849"/>
      <c r="P26" s="849"/>
    </row>
    <row r="27" spans="1:16">
      <c r="A27" s="21"/>
      <c r="B27" s="1350"/>
      <c r="C27" s="1597" t="s">
        <v>1737</v>
      </c>
      <c r="D27" s="2771">
        <f>SUM(D29:D31)</f>
        <v>0</v>
      </c>
      <c r="E27" s="1657">
        <f>SUM(E29:E31)+SUM(E33:E35)</f>
        <v>0</v>
      </c>
      <c r="F27" s="1462">
        <f>SUM(D27:E27)</f>
        <v>0</v>
      </c>
      <c r="G27" s="849"/>
      <c r="H27" s="849"/>
      <c r="I27" s="849"/>
      <c r="J27" s="849"/>
      <c r="K27" s="849"/>
      <c r="L27" s="849"/>
      <c r="M27" s="849"/>
      <c r="N27" s="849"/>
      <c r="O27" s="849"/>
      <c r="P27" s="849"/>
    </row>
    <row r="28" spans="1:16">
      <c r="A28" s="425"/>
      <c r="B28" s="1412"/>
      <c r="C28" s="1450" t="s">
        <v>1733</v>
      </c>
      <c r="D28" s="2777">
        <v>0.66700000000000004</v>
      </c>
      <c r="E28" s="1452">
        <v>0.68799999999999994</v>
      </c>
      <c r="F28" s="1485"/>
      <c r="G28" s="37"/>
      <c r="H28" s="849"/>
      <c r="I28" s="849"/>
      <c r="J28" s="849"/>
      <c r="K28" s="849"/>
      <c r="L28" s="849"/>
      <c r="M28" s="849"/>
      <c r="N28" s="849"/>
      <c r="O28" s="849"/>
      <c r="P28" s="849"/>
    </row>
    <row r="29" spans="1:16">
      <c r="A29" s="21"/>
      <c r="B29" s="1410"/>
      <c r="C29" s="1667" t="s">
        <v>719</v>
      </c>
      <c r="D29" s="2778"/>
      <c r="E29" s="1504"/>
      <c r="F29" s="1438">
        <f>SUM(D29:E29)</f>
        <v>0</v>
      </c>
      <c r="G29" s="849"/>
      <c r="H29" s="849"/>
      <c r="I29" s="849"/>
      <c r="J29" s="849"/>
      <c r="K29" s="849"/>
      <c r="L29" s="849"/>
      <c r="M29" s="849"/>
      <c r="N29" s="849"/>
      <c r="O29" s="849"/>
      <c r="P29" s="849"/>
    </row>
    <row r="30" spans="1:16">
      <c r="A30" s="28"/>
      <c r="B30" s="1412"/>
      <c r="C30" s="1667" t="s">
        <v>720</v>
      </c>
      <c r="D30" s="2785"/>
      <c r="E30" s="1504"/>
      <c r="F30" s="1438">
        <f>SUM(D30:E30)</f>
        <v>0</v>
      </c>
      <c r="G30" s="18"/>
      <c r="H30" s="18"/>
      <c r="I30" s="18"/>
      <c r="J30" s="18"/>
      <c r="K30" s="18"/>
      <c r="L30" s="18"/>
      <c r="M30" s="18"/>
      <c r="N30" s="18"/>
      <c r="O30" s="18"/>
      <c r="P30" s="18"/>
    </row>
    <row r="31" spans="1:16">
      <c r="A31" s="21"/>
      <c r="B31" s="1412"/>
      <c r="C31" s="1667"/>
      <c r="D31" s="2774"/>
      <c r="E31" s="1443"/>
      <c r="F31" s="1436"/>
      <c r="G31" s="849"/>
      <c r="H31" s="849"/>
      <c r="I31" s="849"/>
      <c r="J31" s="849"/>
      <c r="K31" s="849"/>
      <c r="L31" s="849"/>
      <c r="M31" s="849"/>
      <c r="N31" s="849"/>
      <c r="O31" s="849"/>
      <c r="P31" s="849"/>
    </row>
    <row r="32" spans="1:16">
      <c r="A32" s="21"/>
      <c r="B32" s="1412"/>
      <c r="C32" s="1450" t="s">
        <v>1734</v>
      </c>
      <c r="D32" s="2777"/>
      <c r="E32" s="1452">
        <v>0.21</v>
      </c>
      <c r="F32" s="1485"/>
      <c r="G32" s="849"/>
      <c r="H32" s="849"/>
      <c r="I32" s="849"/>
      <c r="J32" s="849"/>
      <c r="K32" s="849"/>
      <c r="L32" s="849"/>
      <c r="M32" s="849"/>
      <c r="N32" s="849"/>
      <c r="O32" s="849"/>
      <c r="P32" s="849"/>
    </row>
    <row r="33" spans="1:16">
      <c r="A33" s="21"/>
      <c r="B33" s="1412"/>
      <c r="C33" s="1667" t="s">
        <v>719</v>
      </c>
      <c r="D33" s="2778"/>
      <c r="E33" s="1641">
        <f>E15*E32</f>
        <v>0</v>
      </c>
      <c r="F33" s="1661">
        <f>SUM(D33:E33)</f>
        <v>0</v>
      </c>
      <c r="G33" s="849"/>
      <c r="H33" s="849"/>
      <c r="I33" s="849"/>
      <c r="J33" s="849"/>
      <c r="K33" s="849"/>
      <c r="L33" s="849"/>
      <c r="M33" s="849"/>
      <c r="N33" s="849"/>
      <c r="O33" s="849"/>
      <c r="P33" s="849"/>
    </row>
    <row r="34" spans="1:16" ht="16.5" customHeight="1">
      <c r="A34" s="3607" t="s">
        <v>149</v>
      </c>
      <c r="B34" s="1412"/>
      <c r="C34" s="1667" t="s">
        <v>720</v>
      </c>
      <c r="D34" s="2785"/>
      <c r="E34" s="1641">
        <f>E21*E32</f>
        <v>0</v>
      </c>
      <c r="F34" s="1661">
        <f t="shared" ref="F34" si="0">SUM(D34:E34)</f>
        <v>0</v>
      </c>
      <c r="G34" s="849"/>
      <c r="H34" s="849"/>
      <c r="I34" s="849"/>
      <c r="J34" s="849"/>
      <c r="K34" s="849"/>
      <c r="L34" s="849"/>
      <c r="M34" s="849"/>
      <c r="N34" s="849"/>
      <c r="O34" s="849"/>
      <c r="P34" s="849"/>
    </row>
    <row r="35" spans="1:16">
      <c r="A35" s="3607"/>
      <c r="B35" s="1412"/>
      <c r="C35" s="1445"/>
      <c r="D35" s="2775"/>
      <c r="E35" s="1444"/>
      <c r="F35" s="1437"/>
      <c r="G35" s="849"/>
      <c r="H35" s="849"/>
      <c r="I35" s="849"/>
      <c r="J35" s="849"/>
      <c r="K35" s="849"/>
      <c r="L35" s="849"/>
      <c r="M35" s="849"/>
      <c r="N35" s="849"/>
      <c r="O35" s="849"/>
      <c r="P35" s="849"/>
    </row>
    <row r="36" spans="1:16">
      <c r="B36" s="1412"/>
      <c r="C36" s="1488"/>
      <c r="D36" s="2779"/>
      <c r="E36" s="1490"/>
      <c r="F36" s="1493"/>
      <c r="G36" s="849"/>
      <c r="H36" s="849"/>
      <c r="I36" s="849"/>
      <c r="J36" s="849"/>
      <c r="K36" s="849"/>
      <c r="L36" s="849"/>
      <c r="M36" s="849"/>
      <c r="N36" s="849"/>
      <c r="O36" s="849"/>
      <c r="P36" s="849"/>
    </row>
    <row r="37" spans="1:16">
      <c r="A37" s="1357" t="s">
        <v>254</v>
      </c>
      <c r="B37" s="1412"/>
      <c r="C37" s="1451" t="s">
        <v>46</v>
      </c>
      <c r="D37" s="2771">
        <v>0</v>
      </c>
      <c r="E37" s="1464">
        <v>0</v>
      </c>
      <c r="F37" s="1462">
        <v>0</v>
      </c>
      <c r="G37" s="849"/>
      <c r="H37" s="849"/>
      <c r="I37" s="849"/>
      <c r="J37" s="849"/>
      <c r="K37" s="849"/>
      <c r="L37" s="849"/>
      <c r="M37" s="849"/>
      <c r="N37" s="849"/>
      <c r="O37" s="849"/>
      <c r="P37" s="849"/>
    </row>
    <row r="38" spans="1:16">
      <c r="A38" s="1357" t="s">
        <v>22</v>
      </c>
      <c r="B38" s="1412"/>
      <c r="C38" s="1423"/>
      <c r="D38" s="2778"/>
      <c r="E38" s="1520"/>
      <c r="F38" s="1438">
        <v>0</v>
      </c>
      <c r="G38" s="849"/>
      <c r="H38" s="849"/>
      <c r="I38" s="849"/>
      <c r="J38" s="849"/>
      <c r="K38" s="849"/>
      <c r="L38" s="849"/>
      <c r="M38" s="849"/>
      <c r="N38" s="849"/>
      <c r="O38" s="849"/>
      <c r="P38" s="849"/>
    </row>
    <row r="39" spans="1:16">
      <c r="A39" s="1427">
        <v>18230421</v>
      </c>
      <c r="B39" s="1412"/>
      <c r="C39" s="1423"/>
      <c r="D39" s="2778"/>
      <c r="E39" s="1520"/>
      <c r="F39" s="1438">
        <v>0</v>
      </c>
      <c r="G39" s="849"/>
      <c r="H39" s="849"/>
      <c r="I39" s="849"/>
      <c r="J39" s="849"/>
      <c r="K39" s="849"/>
      <c r="L39" s="849"/>
      <c r="M39" s="849"/>
      <c r="N39" s="849"/>
      <c r="O39" s="849"/>
      <c r="P39" s="849"/>
    </row>
    <row r="40" spans="1:16">
      <c r="A40" s="1357" t="s">
        <v>4</v>
      </c>
      <c r="B40" s="1412"/>
      <c r="C40" s="1423"/>
      <c r="D40" s="2778"/>
      <c r="E40" s="1520"/>
      <c r="F40" s="1438">
        <v>0</v>
      </c>
      <c r="G40" s="849"/>
      <c r="H40" s="849"/>
      <c r="I40" s="849"/>
      <c r="J40" s="849"/>
      <c r="K40" s="849"/>
      <c r="L40" s="849"/>
      <c r="M40" s="849"/>
      <c r="N40" s="849"/>
      <c r="O40" s="849"/>
      <c r="P40" s="849"/>
    </row>
    <row r="41" spans="1:16">
      <c r="A41" s="21"/>
      <c r="B41" s="1412"/>
      <c r="C41" s="1423"/>
      <c r="D41" s="2778"/>
      <c r="E41" s="1520"/>
      <c r="F41" s="1438">
        <v>0</v>
      </c>
      <c r="G41" s="849"/>
      <c r="H41" s="849"/>
      <c r="I41" s="849"/>
      <c r="J41" s="849"/>
      <c r="K41" s="849"/>
      <c r="L41" s="849"/>
      <c r="M41" s="849"/>
      <c r="N41" s="849"/>
      <c r="O41" s="849"/>
      <c r="P41" s="849"/>
    </row>
    <row r="42" spans="1:16">
      <c r="A42" s="21"/>
      <c r="B42" s="1412"/>
      <c r="C42" s="1488"/>
      <c r="D42" s="2779"/>
      <c r="E42" s="1490"/>
      <c r="F42" s="1493"/>
      <c r="G42" s="849"/>
      <c r="H42" s="849"/>
      <c r="I42" s="849"/>
      <c r="J42" s="849"/>
      <c r="K42" s="849"/>
      <c r="L42" s="849"/>
      <c r="M42" s="849"/>
      <c r="N42" s="849"/>
      <c r="O42" s="849"/>
      <c r="P42" s="849"/>
    </row>
    <row r="43" spans="1:16">
      <c r="A43" s="21"/>
      <c r="B43" s="1412"/>
      <c r="C43" s="1597" t="s">
        <v>483</v>
      </c>
      <c r="D43" s="2771">
        <f>SUM(D44:D47)</f>
        <v>0</v>
      </c>
      <c r="E43" s="1464">
        <f>SUM(E44:E47)</f>
        <v>0</v>
      </c>
      <c r="F43" s="1462">
        <f t="shared" ref="F43:F59" si="1">SUM(D43:E43)</f>
        <v>0</v>
      </c>
      <c r="G43" s="849"/>
      <c r="H43" s="849"/>
      <c r="I43" s="849"/>
      <c r="J43" s="849"/>
      <c r="K43" s="849"/>
      <c r="L43" s="849"/>
      <c r="M43" s="849"/>
      <c r="N43" s="849"/>
      <c r="O43" s="849"/>
      <c r="P43" s="849"/>
    </row>
    <row r="44" spans="1:16">
      <c r="A44" s="21"/>
      <c r="B44" s="1412"/>
      <c r="C44" s="1423"/>
      <c r="D44" s="2778"/>
      <c r="E44" s="1520"/>
      <c r="F44" s="1438">
        <f t="shared" si="1"/>
        <v>0</v>
      </c>
      <c r="G44" s="849"/>
      <c r="H44" s="849"/>
      <c r="I44" s="849"/>
      <c r="J44" s="849"/>
      <c r="K44" s="849"/>
      <c r="L44" s="849"/>
      <c r="M44" s="849"/>
      <c r="N44" s="849"/>
      <c r="O44" s="849"/>
      <c r="P44" s="849"/>
    </row>
    <row r="45" spans="1:16">
      <c r="A45" s="21"/>
      <c r="B45" s="1412"/>
      <c r="C45" s="1423"/>
      <c r="D45" s="2778"/>
      <c r="E45" s="1520"/>
      <c r="F45" s="1438">
        <f t="shared" si="1"/>
        <v>0</v>
      </c>
      <c r="G45" s="849"/>
      <c r="H45" s="849"/>
      <c r="I45" s="849"/>
      <c r="J45" s="849"/>
      <c r="K45" s="849"/>
      <c r="L45" s="849"/>
      <c r="M45" s="849"/>
      <c r="N45" s="849"/>
      <c r="O45" s="849"/>
      <c r="P45" s="849"/>
    </row>
    <row r="46" spans="1:16">
      <c r="A46" s="21"/>
      <c r="B46" s="1412"/>
      <c r="C46" s="1423"/>
      <c r="D46" s="2778"/>
      <c r="E46" s="1520"/>
      <c r="F46" s="1438">
        <f t="shared" si="1"/>
        <v>0</v>
      </c>
      <c r="G46" s="849"/>
      <c r="H46" s="849"/>
      <c r="I46" s="849"/>
      <c r="J46" s="849"/>
      <c r="K46" s="849"/>
      <c r="L46" s="849"/>
      <c r="M46" s="849"/>
      <c r="N46" s="849"/>
      <c r="O46" s="849"/>
      <c r="P46" s="849"/>
    </row>
    <row r="47" spans="1:16">
      <c r="A47" s="21"/>
      <c r="B47" s="1412"/>
      <c r="C47" s="1423"/>
      <c r="D47" s="2778"/>
      <c r="E47" s="1520"/>
      <c r="F47" s="1438">
        <f t="shared" si="1"/>
        <v>0</v>
      </c>
      <c r="G47" s="849"/>
      <c r="H47" s="849"/>
      <c r="I47" s="849"/>
      <c r="J47" s="849"/>
      <c r="K47" s="849"/>
      <c r="L47" s="849"/>
      <c r="M47" s="849"/>
      <c r="N47" s="849"/>
      <c r="O47" s="849"/>
      <c r="P47" s="849"/>
    </row>
    <row r="48" spans="1:16">
      <c r="A48" s="21"/>
      <c r="B48" s="1412"/>
      <c r="C48" s="1488"/>
      <c r="D48" s="2779"/>
      <c r="E48" s="1490"/>
      <c r="F48" s="1493"/>
      <c r="G48" s="849"/>
      <c r="H48" s="849"/>
      <c r="I48" s="849"/>
      <c r="J48" s="849"/>
      <c r="K48" s="849"/>
      <c r="L48" s="849"/>
      <c r="M48" s="849"/>
      <c r="N48" s="849"/>
      <c r="O48" s="849"/>
      <c r="P48" s="849"/>
    </row>
    <row r="49" spans="1:16">
      <c r="A49" s="21"/>
      <c r="B49" s="1412"/>
      <c r="C49" s="1451" t="s">
        <v>47</v>
      </c>
      <c r="D49" s="2771">
        <f>SUM(D50:D53)</f>
        <v>1560000</v>
      </c>
      <c r="E49" s="1464">
        <f>SUM(E50:E53)</f>
        <v>1560000</v>
      </c>
      <c r="F49" s="1462">
        <f t="shared" si="1"/>
        <v>3120000</v>
      </c>
      <c r="G49" s="849"/>
      <c r="H49" s="849"/>
      <c r="I49" s="849"/>
      <c r="J49" s="849"/>
      <c r="K49" s="849"/>
      <c r="L49" s="849"/>
      <c r="M49" s="849"/>
      <c r="N49" s="849"/>
      <c r="O49" s="849"/>
      <c r="P49" s="849"/>
    </row>
    <row r="50" spans="1:16">
      <c r="A50" s="21"/>
      <c r="B50" s="1412"/>
      <c r="C50" s="1423"/>
      <c r="D50" s="2778">
        <v>1560000</v>
      </c>
      <c r="E50" s="1520">
        <v>1560000</v>
      </c>
      <c r="F50" s="1438">
        <f t="shared" si="1"/>
        <v>3120000</v>
      </c>
      <c r="G50" s="849"/>
      <c r="H50" s="849"/>
      <c r="I50" s="849"/>
      <c r="J50" s="849"/>
      <c r="K50" s="849"/>
      <c r="L50" s="849"/>
      <c r="M50" s="849"/>
      <c r="N50" s="849"/>
      <c r="O50" s="849"/>
      <c r="P50" s="849"/>
    </row>
    <row r="51" spans="1:16">
      <c r="A51" s="21"/>
      <c r="B51" s="1412"/>
      <c r="C51" s="1423"/>
      <c r="D51" s="2778"/>
      <c r="E51" s="1520"/>
      <c r="F51" s="1438">
        <f t="shared" si="1"/>
        <v>0</v>
      </c>
      <c r="G51" s="849"/>
      <c r="H51" s="849"/>
      <c r="I51" s="849"/>
      <c r="J51" s="849"/>
      <c r="K51" s="849"/>
      <c r="L51" s="849"/>
      <c r="M51" s="849"/>
      <c r="N51" s="849"/>
      <c r="O51" s="849"/>
      <c r="P51" s="849"/>
    </row>
    <row r="52" spans="1:16">
      <c r="A52" s="21"/>
      <c r="B52" s="1412"/>
      <c r="C52" s="1423"/>
      <c r="D52" s="2778"/>
      <c r="E52" s="1520"/>
      <c r="F52" s="1438">
        <f t="shared" si="1"/>
        <v>0</v>
      </c>
      <c r="G52" s="849"/>
      <c r="H52" s="849"/>
      <c r="I52" s="849"/>
      <c r="J52" s="849"/>
      <c r="K52" s="849"/>
      <c r="L52" s="849"/>
      <c r="M52" s="849"/>
      <c r="N52" s="849"/>
      <c r="O52" s="849"/>
      <c r="P52" s="849"/>
    </row>
    <row r="53" spans="1:16">
      <c r="A53" s="21"/>
      <c r="B53" s="1412"/>
      <c r="C53" s="1423"/>
      <c r="D53" s="2778"/>
      <c r="E53" s="1520"/>
      <c r="F53" s="1438">
        <f t="shared" si="1"/>
        <v>0</v>
      </c>
      <c r="G53" s="849"/>
      <c r="H53" s="849"/>
      <c r="I53" s="849"/>
      <c r="J53" s="849"/>
      <c r="K53" s="849"/>
      <c r="L53" s="849"/>
      <c r="M53" s="849"/>
      <c r="N53" s="849"/>
      <c r="O53" s="849"/>
      <c r="P53" s="849"/>
    </row>
    <row r="54" spans="1:16">
      <c r="A54" s="21"/>
      <c r="B54" s="1412"/>
      <c r="C54" s="1488"/>
      <c r="D54" s="2779"/>
      <c r="E54" s="1490"/>
      <c r="F54" s="1493"/>
      <c r="G54" s="849"/>
      <c r="H54" s="849"/>
      <c r="I54" s="849"/>
      <c r="J54" s="849"/>
      <c r="K54" s="849"/>
      <c r="L54" s="849"/>
      <c r="M54" s="849"/>
      <c r="N54" s="849"/>
      <c r="O54" s="849"/>
      <c r="P54" s="849"/>
    </row>
    <row r="55" spans="1:16">
      <c r="A55" s="21"/>
      <c r="B55" s="1412"/>
      <c r="C55" s="1451" t="s">
        <v>48</v>
      </c>
      <c r="D55" s="2771">
        <f>SUM(D56:D59)</f>
        <v>0</v>
      </c>
      <c r="E55" s="1464">
        <f>SUM(E56:E59)</f>
        <v>0</v>
      </c>
      <c r="F55" s="1462">
        <f t="shared" si="1"/>
        <v>0</v>
      </c>
      <c r="G55" s="849"/>
      <c r="H55" s="849"/>
      <c r="I55" s="849"/>
      <c r="J55" s="849"/>
      <c r="K55" s="849"/>
      <c r="L55" s="849"/>
      <c r="M55" s="849"/>
      <c r="N55" s="849"/>
      <c r="O55" s="849"/>
      <c r="P55" s="849"/>
    </row>
    <row r="56" spans="1:16">
      <c r="A56" s="21"/>
      <c r="B56" s="1412"/>
      <c r="C56" s="1423"/>
      <c r="D56" s="2778"/>
      <c r="E56" s="1504"/>
      <c r="F56" s="1438">
        <f t="shared" si="1"/>
        <v>0</v>
      </c>
      <c r="G56" s="849"/>
      <c r="H56" s="849"/>
      <c r="I56" s="849"/>
      <c r="J56" s="849"/>
      <c r="K56" s="849"/>
      <c r="L56" s="849"/>
      <c r="M56" s="849"/>
      <c r="N56" s="849"/>
      <c r="O56" s="849"/>
      <c r="P56" s="849"/>
    </row>
    <row r="57" spans="1:16">
      <c r="A57" s="21"/>
      <c r="B57" s="1412"/>
      <c r="C57" s="1423"/>
      <c r="D57" s="2778"/>
      <c r="E57" s="1504"/>
      <c r="F57" s="1438">
        <f t="shared" si="1"/>
        <v>0</v>
      </c>
      <c r="G57" s="849"/>
      <c r="H57" s="849"/>
      <c r="I57" s="849"/>
      <c r="J57" s="849"/>
      <c r="K57" s="849"/>
      <c r="L57" s="849"/>
      <c r="M57" s="849"/>
      <c r="N57" s="849"/>
      <c r="O57" s="849"/>
      <c r="P57" s="849"/>
    </row>
    <row r="58" spans="1:16">
      <c r="A58" s="21"/>
      <c r="B58" s="1412"/>
      <c r="C58" s="1423"/>
      <c r="D58" s="2778"/>
      <c r="E58" s="1504"/>
      <c r="F58" s="1438">
        <f t="shared" si="1"/>
        <v>0</v>
      </c>
      <c r="G58" s="849"/>
      <c r="H58" s="849"/>
      <c r="I58" s="849"/>
      <c r="J58" s="849"/>
      <c r="K58" s="849"/>
      <c r="L58" s="849"/>
      <c r="M58" s="849"/>
      <c r="N58" s="849"/>
      <c r="O58" s="849"/>
      <c r="P58" s="849"/>
    </row>
    <row r="59" spans="1:16">
      <c r="A59" s="21"/>
      <c r="C59" s="1423"/>
      <c r="D59" s="2778"/>
      <c r="E59" s="1504"/>
      <c r="F59" s="1438">
        <f t="shared" si="1"/>
        <v>0</v>
      </c>
      <c r="G59" s="849"/>
      <c r="H59" s="849"/>
      <c r="I59" s="849"/>
      <c r="J59" s="849"/>
      <c r="K59" s="849"/>
      <c r="L59" s="849"/>
      <c r="M59" s="849"/>
      <c r="N59" s="849"/>
      <c r="O59" s="849"/>
      <c r="P59" s="849"/>
    </row>
    <row r="60" spans="1:16">
      <c r="C60" s="1488"/>
      <c r="D60" s="2779"/>
      <c r="E60" s="1490"/>
      <c r="F60" s="1493"/>
    </row>
    <row r="61" spans="1:16">
      <c r="C61" s="1451" t="s">
        <v>49</v>
      </c>
      <c r="D61" s="2780">
        <f>SUM(D62:D65)</f>
        <v>0</v>
      </c>
      <c r="E61" s="1657">
        <f>SUM(E62:E65)</f>
        <v>0</v>
      </c>
      <c r="F61" s="1602">
        <f>SUM(D61:E61)</f>
        <v>0</v>
      </c>
    </row>
    <row r="62" spans="1:16">
      <c r="C62" s="1423"/>
      <c r="D62" s="2778"/>
      <c r="E62" s="1520"/>
      <c r="F62" s="1438">
        <f>SUM(D62:E62)</f>
        <v>0</v>
      </c>
    </row>
    <row r="63" spans="1:16">
      <c r="C63" s="1423"/>
      <c r="D63" s="2778"/>
      <c r="E63" s="1520"/>
      <c r="F63" s="1438">
        <v>0</v>
      </c>
    </row>
    <row r="64" spans="1:16" ht="21" customHeight="1">
      <c r="A64" s="3607" t="s">
        <v>149</v>
      </c>
      <c r="C64" s="1423"/>
      <c r="D64" s="2778"/>
      <c r="E64" s="1520"/>
      <c r="F64" s="1437">
        <v>0</v>
      </c>
    </row>
    <row r="65" spans="1:6">
      <c r="A65" s="3607"/>
      <c r="C65" s="1423"/>
      <c r="D65" s="2778"/>
      <c r="E65" s="1520"/>
      <c r="F65" s="1438">
        <v>0</v>
      </c>
    </row>
    <row r="66" spans="1:6">
      <c r="A66" s="1357" t="s">
        <v>254</v>
      </c>
      <c r="C66" s="1488"/>
      <c r="D66" s="2779"/>
      <c r="E66" s="1490"/>
      <c r="F66" s="1493"/>
    </row>
    <row r="67" spans="1:6">
      <c r="A67" s="1357" t="s">
        <v>22</v>
      </c>
      <c r="C67" s="1451" t="s">
        <v>50</v>
      </c>
      <c r="D67" s="2771">
        <v>3640000</v>
      </c>
      <c r="E67" s="1464">
        <v>3640000</v>
      </c>
      <c r="F67" s="1462">
        <f>D67+E67</f>
        <v>7280000</v>
      </c>
    </row>
    <row r="68" spans="1:6">
      <c r="A68" s="1427">
        <v>18230421</v>
      </c>
      <c r="C68" s="1500" t="s">
        <v>297</v>
      </c>
      <c r="D68" s="2781"/>
      <c r="E68" s="1496"/>
      <c r="F68" s="1499"/>
    </row>
    <row r="69" spans="1:6">
      <c r="A69" s="1357" t="s">
        <v>4</v>
      </c>
      <c r="C69" s="1501"/>
      <c r="D69" s="2782"/>
      <c r="E69" s="1497"/>
      <c r="F69" s="1498"/>
    </row>
    <row r="70" spans="1:6">
      <c r="C70" s="1494" t="s">
        <v>51</v>
      </c>
      <c r="D70" s="2778">
        <v>0</v>
      </c>
      <c r="E70" s="1503">
        <v>0</v>
      </c>
      <c r="F70" s="1491">
        <v>0</v>
      </c>
    </row>
  </sheetData>
  <customSheetViews>
    <customSheetView guid="{D9EFFE19-D14B-4C6F-BDF4-FF696F73968D}" showGridLines="0" fitToPage="1">
      <pane xSplit="1" ySplit="1" topLeftCell="B2" activePane="bottomRight" state="frozen"/>
      <selection pane="bottomRight" activeCell="E48" sqref="E48"/>
      <pageMargins left="0.22" right="0.21" top="0.75" bottom="0.75" header="0.3" footer="0.3"/>
      <pageSetup paperSize="17" scale="62" orientation="landscape" r:id="rId1"/>
    </customSheetView>
    <customSheetView guid="{074EB09C-6289-46D7-9513-012B68BCA7BF}" showGridLines="0" fitToPage="1">
      <pane xSplit="1" ySplit="1" topLeftCell="B2" activePane="bottomRight" state="frozen"/>
      <selection pane="bottomRight" activeCell="G4" sqref="G4:G6"/>
      <pageMargins left="0.22" right="0.21" top="0.75" bottom="0.75" header="0.3" footer="0.3"/>
      <pageSetup paperSize="17" scale="62" orientation="landscape" r:id="rId2"/>
    </customSheetView>
  </customSheetViews>
  <mergeCells count="3">
    <mergeCell ref="I18:J18"/>
    <mergeCell ref="A34:A35"/>
    <mergeCell ref="A64:A65"/>
  </mergeCells>
  <pageMargins left="0.22" right="0.21" top="0.75" bottom="0.75" header="0.3" footer="0.3"/>
  <pageSetup paperSize="17" scale="61" orientation="landscape" r:id="rId3"/>
  <ignoredErrors>
    <ignoredError sqref="D27" formulaRange="1"/>
  </ignoredErrors>
  <drawing r:id="rId4"/>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127"/>
  <sheetViews>
    <sheetView showGridLines="0" workbookViewId="0">
      <pane xSplit="1" ySplit="1" topLeftCell="B2" activePane="bottomRight" state="frozen"/>
      <selection pane="topRight" activeCell="B1" sqref="B1"/>
      <selection pane="bottomLeft" activeCell="A2" sqref="A2"/>
      <selection pane="bottomRight" activeCell="C113" sqref="C113"/>
    </sheetView>
  </sheetViews>
  <sheetFormatPr defaultRowHeight="12.75"/>
  <cols>
    <col min="1" max="1" width="15.5703125" style="849" customWidth="1"/>
    <col min="2" max="2" width="56" bestFit="1" customWidth="1"/>
    <col min="3" max="5" width="16.5703125" customWidth="1"/>
    <col min="6" max="6" width="16.140625" customWidth="1"/>
    <col min="7" max="7" width="17.85546875" bestFit="1" customWidth="1"/>
    <col min="8" max="8" width="15.42578125" customWidth="1"/>
    <col min="9" max="9" width="17.140625" customWidth="1"/>
    <col min="10" max="10" width="15.42578125" customWidth="1"/>
    <col min="11" max="11" width="20.5703125" customWidth="1"/>
    <col min="12" max="12" width="15" customWidth="1"/>
    <col min="13" max="13" width="15.5703125" customWidth="1"/>
    <col min="14" max="14" width="19.5703125" customWidth="1"/>
    <col min="15" max="19" width="18.5703125" customWidth="1"/>
  </cols>
  <sheetData>
    <row r="1" spans="1:19" ht="45.75" customHeight="1">
      <c r="B1" s="1382" t="s">
        <v>215</v>
      </c>
      <c r="C1" s="1357" t="s">
        <v>253</v>
      </c>
      <c r="D1" s="1382" t="s">
        <v>79</v>
      </c>
      <c r="E1" s="1357" t="s">
        <v>4</v>
      </c>
      <c r="H1" s="1357"/>
      <c r="I1" s="531"/>
      <c r="J1" s="531"/>
      <c r="K1" s="1382" t="s">
        <v>215</v>
      </c>
      <c r="L1" s="1357" t="s">
        <v>253</v>
      </c>
      <c r="M1" s="1382" t="s">
        <v>79</v>
      </c>
      <c r="N1" s="1357" t="s">
        <v>4</v>
      </c>
    </row>
    <row r="2" spans="1:19" ht="21" thickBot="1">
      <c r="B2" s="541"/>
      <c r="C2" s="542"/>
      <c r="D2" s="542"/>
      <c r="E2" s="568"/>
      <c r="F2" s="543"/>
      <c r="G2" s="543"/>
      <c r="H2" s="531"/>
      <c r="I2" s="531"/>
      <c r="J2" s="531"/>
      <c r="K2" s="531"/>
      <c r="L2" s="531"/>
      <c r="M2" s="531"/>
      <c r="N2" s="531"/>
    </row>
    <row r="3" spans="1:19" ht="38.25">
      <c r="A3" s="1382" t="s">
        <v>215</v>
      </c>
      <c r="G3" s="2173"/>
      <c r="H3" s="2653" t="s">
        <v>7</v>
      </c>
      <c r="I3" s="2654" t="s">
        <v>8</v>
      </c>
      <c r="J3" s="2654" t="s">
        <v>77</v>
      </c>
      <c r="K3" s="2170" t="s">
        <v>10</v>
      </c>
      <c r="L3" s="2170" t="s">
        <v>482</v>
      </c>
      <c r="M3" s="2170" t="s">
        <v>11</v>
      </c>
      <c r="N3" s="2170" t="s">
        <v>12</v>
      </c>
      <c r="O3" s="2170" t="s">
        <v>13</v>
      </c>
      <c r="P3" s="2170" t="s">
        <v>78</v>
      </c>
      <c r="Q3" s="2654" t="s">
        <v>36</v>
      </c>
      <c r="R3" s="2170" t="s">
        <v>15</v>
      </c>
      <c r="S3" s="2671" t="s">
        <v>37</v>
      </c>
    </row>
    <row r="4" spans="1:19" ht="26.25">
      <c r="A4" s="1382" t="s">
        <v>79</v>
      </c>
      <c r="G4" s="2946" t="s">
        <v>1726</v>
      </c>
      <c r="H4" s="2964">
        <f>C17</f>
        <v>0</v>
      </c>
      <c r="I4" s="2965">
        <v>0</v>
      </c>
      <c r="J4" s="2965">
        <f>C38</f>
        <v>0</v>
      </c>
      <c r="K4" s="2965">
        <v>0</v>
      </c>
      <c r="L4" s="2965">
        <v>0</v>
      </c>
      <c r="M4" s="2965">
        <v>0</v>
      </c>
      <c r="N4" s="2965">
        <v>0</v>
      </c>
      <c r="O4" s="2965">
        <v>0</v>
      </c>
      <c r="P4" s="2970">
        <v>0</v>
      </c>
      <c r="Q4" s="2970"/>
      <c r="R4" s="2970">
        <f>SUM(H4:P4)</f>
        <v>0</v>
      </c>
      <c r="S4" s="2967">
        <f>C66</f>
        <v>1781325</v>
      </c>
    </row>
    <row r="5" spans="1:19" ht="15.75">
      <c r="A5" s="1357" t="s">
        <v>253</v>
      </c>
      <c r="G5" s="3205" t="s">
        <v>1753</v>
      </c>
      <c r="H5" s="2748">
        <v>0</v>
      </c>
      <c r="I5" s="2749">
        <v>0</v>
      </c>
      <c r="J5" s="2749">
        <v>0</v>
      </c>
      <c r="K5" s="2749">
        <v>0</v>
      </c>
      <c r="L5" s="2749">
        <v>0</v>
      </c>
      <c r="M5" s="2749">
        <v>0</v>
      </c>
      <c r="N5" s="2749">
        <v>0</v>
      </c>
      <c r="O5" s="2749">
        <v>0</v>
      </c>
      <c r="P5" s="2750">
        <v>0</v>
      </c>
      <c r="Q5" s="2750"/>
      <c r="R5" s="580">
        <v>0</v>
      </c>
      <c r="S5" s="2981">
        <v>1500000</v>
      </c>
    </row>
    <row r="6" spans="1:19" ht="16.5" thickBot="1">
      <c r="A6" s="1357" t="s">
        <v>4</v>
      </c>
      <c r="G6" s="3206" t="s">
        <v>1754</v>
      </c>
      <c r="H6" s="2661">
        <f>D17</f>
        <v>0</v>
      </c>
      <c r="I6" s="2662">
        <v>0</v>
      </c>
      <c r="J6" s="2662">
        <f>D38</f>
        <v>0</v>
      </c>
      <c r="K6" s="2662">
        <v>0</v>
      </c>
      <c r="L6" s="2662">
        <v>0</v>
      </c>
      <c r="M6" s="2752">
        <v>0</v>
      </c>
      <c r="N6" s="2753">
        <v>0</v>
      </c>
      <c r="O6" s="2753">
        <v>0</v>
      </c>
      <c r="P6" s="2754">
        <v>0</v>
      </c>
      <c r="Q6" s="2754"/>
      <c r="R6" s="2678">
        <f>SUM(H6:P6)</f>
        <v>0</v>
      </c>
      <c r="S6" s="2982">
        <f>D66</f>
        <v>1500000</v>
      </c>
    </row>
    <row r="7" spans="1:19">
      <c r="G7" s="2747"/>
      <c r="H7" s="555"/>
      <c r="I7" s="555"/>
      <c r="J7" s="555"/>
      <c r="K7" s="555"/>
      <c r="L7" s="555"/>
      <c r="M7" s="555"/>
      <c r="N7" s="555"/>
      <c r="O7" s="555"/>
      <c r="P7" s="555"/>
      <c r="Q7" s="555"/>
      <c r="R7" s="555"/>
      <c r="S7" s="2751"/>
    </row>
    <row r="8" spans="1:19">
      <c r="A8" s="1357"/>
    </row>
    <row r="9" spans="1:19" ht="18">
      <c r="A9" s="1357"/>
      <c r="B9" s="563"/>
      <c r="C9" s="542"/>
      <c r="D9" s="542"/>
      <c r="E9" s="568"/>
      <c r="F9" s="543"/>
      <c r="G9" s="543"/>
      <c r="H9" s="531"/>
      <c r="I9" s="531"/>
      <c r="J9" s="531"/>
      <c r="K9" s="531"/>
      <c r="L9" s="531"/>
      <c r="M9" s="531"/>
      <c r="N9" s="531"/>
    </row>
    <row r="10" spans="1:19" ht="18">
      <c r="A10" s="1357"/>
      <c r="C10" s="2803">
        <v>2016</v>
      </c>
      <c r="D10" s="576">
        <v>2017</v>
      </c>
      <c r="E10" s="576" t="s">
        <v>20</v>
      </c>
      <c r="F10" s="577"/>
      <c r="G10" s="565"/>
      <c r="H10" s="565"/>
      <c r="I10" s="565"/>
      <c r="J10" s="531"/>
      <c r="K10" s="531"/>
      <c r="L10" s="531"/>
      <c r="M10" s="531"/>
      <c r="N10" s="531"/>
    </row>
    <row r="11" spans="1:19" ht="18">
      <c r="A11" s="1357"/>
      <c r="B11" s="575"/>
      <c r="C11" s="2804"/>
      <c r="D11" s="531"/>
      <c r="E11" s="531"/>
      <c r="F11" s="571"/>
      <c r="G11" s="552"/>
      <c r="H11" s="552"/>
      <c r="I11" s="934"/>
      <c r="J11" s="925"/>
      <c r="K11" s="925"/>
      <c r="L11" s="547"/>
      <c r="M11" s="531"/>
      <c r="N11" s="531"/>
    </row>
    <row r="12" spans="1:19">
      <c r="A12" s="1357"/>
      <c r="B12" s="538" t="s">
        <v>80</v>
      </c>
      <c r="C12" s="2805">
        <v>0</v>
      </c>
      <c r="D12" s="584">
        <v>0</v>
      </c>
      <c r="E12" s="585">
        <v>0</v>
      </c>
      <c r="F12" s="552"/>
      <c r="G12" s="552"/>
      <c r="H12" s="552"/>
      <c r="I12" s="926"/>
      <c r="J12" s="927"/>
      <c r="K12" s="925"/>
      <c r="L12" s="531"/>
      <c r="M12" s="531"/>
      <c r="N12" s="531"/>
    </row>
    <row r="13" spans="1:19" ht="18">
      <c r="B13" s="544"/>
      <c r="C13" s="2806"/>
      <c r="D13" s="533"/>
      <c r="E13" s="572"/>
      <c r="F13" s="552"/>
      <c r="G13" s="552"/>
      <c r="H13" s="552"/>
      <c r="I13" s="926"/>
      <c r="J13" s="928"/>
      <c r="K13" s="925"/>
      <c r="L13" s="531"/>
      <c r="M13" s="531"/>
      <c r="N13" s="531"/>
    </row>
    <row r="14" spans="1:19">
      <c r="B14" s="538" t="s">
        <v>83</v>
      </c>
      <c r="C14" s="2807"/>
      <c r="D14" s="533"/>
      <c r="E14" s="572"/>
      <c r="F14" s="548"/>
      <c r="G14" s="548"/>
      <c r="H14" s="548"/>
      <c r="I14" s="926"/>
      <c r="J14" s="928"/>
      <c r="K14" s="922"/>
      <c r="L14" s="531"/>
      <c r="M14" s="531"/>
      <c r="N14" s="531"/>
    </row>
    <row r="15" spans="1:19">
      <c r="B15" s="551" t="s">
        <v>85</v>
      </c>
      <c r="C15" s="2808"/>
      <c r="D15" s="581"/>
      <c r="E15" s="578">
        <f>SUM(C15:D15)</f>
        <v>0</v>
      </c>
      <c r="F15" s="564">
        <v>0</v>
      </c>
      <c r="G15" s="553" t="s">
        <v>86</v>
      </c>
      <c r="H15" s="549"/>
      <c r="I15" s="1095"/>
      <c r="J15" s="924"/>
      <c r="K15" s="922"/>
      <c r="L15" s="531"/>
      <c r="M15" s="531"/>
      <c r="N15" s="531"/>
    </row>
    <row r="16" spans="1:19">
      <c r="B16" s="916" t="s">
        <v>236</v>
      </c>
      <c r="C16" s="2809">
        <v>0</v>
      </c>
      <c r="D16" s="918">
        <v>0</v>
      </c>
      <c r="E16" s="917">
        <f>SUM(C16:D16)</f>
        <v>0</v>
      </c>
      <c r="F16" s="564"/>
      <c r="G16" s="553"/>
      <c r="H16" s="549"/>
      <c r="I16" s="926"/>
      <c r="J16" s="924"/>
      <c r="K16" s="922"/>
      <c r="L16" s="531"/>
      <c r="M16" s="531"/>
      <c r="N16" s="531"/>
    </row>
    <row r="17" spans="2:12">
      <c r="B17" s="919" t="s">
        <v>237</v>
      </c>
      <c r="C17" s="2810">
        <f>SUM(C15:C16)</f>
        <v>0</v>
      </c>
      <c r="D17" s="1998">
        <f>SUM(D15:D16)</f>
        <v>0</v>
      </c>
      <c r="E17" s="1999">
        <f>SUM(E15:E16)</f>
        <v>0</v>
      </c>
      <c r="F17" s="564"/>
      <c r="G17" s="553"/>
      <c r="H17" s="549"/>
      <c r="I17" s="926"/>
      <c r="J17" s="924"/>
      <c r="K17" s="922"/>
    </row>
    <row r="18" spans="2:12">
      <c r="B18" s="551"/>
      <c r="C18" s="2811"/>
      <c r="D18" s="581"/>
      <c r="E18" s="578"/>
      <c r="F18" s="564"/>
      <c r="G18" s="553"/>
      <c r="H18" s="549"/>
      <c r="I18" s="926"/>
      <c r="J18" s="924"/>
      <c r="K18" s="922"/>
    </row>
    <row r="19" spans="2:12">
      <c r="B19" s="551"/>
      <c r="C19" s="2811"/>
      <c r="D19" s="581"/>
      <c r="E19" s="578"/>
      <c r="F19" s="564"/>
      <c r="G19" s="553"/>
      <c r="H19" s="548"/>
      <c r="I19" s="926"/>
      <c r="J19" s="924"/>
      <c r="K19" s="922"/>
    </row>
    <row r="20" spans="2:12">
      <c r="B20" s="551"/>
      <c r="C20" s="2812"/>
      <c r="D20" s="533"/>
      <c r="E20" s="572"/>
      <c r="F20" s="549"/>
      <c r="G20" s="549"/>
      <c r="H20" s="550"/>
      <c r="I20" s="926"/>
      <c r="J20" s="933"/>
      <c r="K20" s="922"/>
    </row>
    <row r="21" spans="2:12">
      <c r="B21" s="538" t="s">
        <v>483</v>
      </c>
      <c r="C21" s="2807"/>
      <c r="D21" s="533"/>
      <c r="E21" s="572"/>
      <c r="F21" s="548"/>
      <c r="G21" s="548"/>
      <c r="H21" s="548"/>
      <c r="I21" s="922"/>
      <c r="J21" s="923"/>
      <c r="K21" s="922"/>
    </row>
    <row r="22" spans="2:12">
      <c r="B22" s="531" t="s">
        <v>90</v>
      </c>
      <c r="C22" s="2813">
        <v>0</v>
      </c>
      <c r="D22" s="581">
        <v>0</v>
      </c>
      <c r="E22" s="578">
        <v>0</v>
      </c>
      <c r="F22" s="550"/>
      <c r="G22" s="550"/>
      <c r="H22" s="540"/>
      <c r="I22" s="926"/>
      <c r="J22" s="938"/>
      <c r="K22" s="922"/>
    </row>
    <row r="23" spans="2:12">
      <c r="B23" s="551" t="s">
        <v>91</v>
      </c>
      <c r="C23" s="2814">
        <v>0</v>
      </c>
      <c r="D23" s="581">
        <v>0</v>
      </c>
      <c r="E23" s="578">
        <v>0</v>
      </c>
      <c r="F23" s="531"/>
      <c r="G23" s="548"/>
      <c r="H23" s="540"/>
      <c r="I23" s="931" t="s">
        <v>92</v>
      </c>
      <c r="J23" s="936">
        <f>M8</f>
        <v>0</v>
      </c>
      <c r="K23" s="929" t="s">
        <v>93</v>
      </c>
    </row>
    <row r="24" spans="2:12">
      <c r="B24" s="551" t="s">
        <v>94</v>
      </c>
      <c r="C24" s="2813">
        <v>0</v>
      </c>
      <c r="D24" s="581">
        <v>0</v>
      </c>
      <c r="E24" s="578">
        <v>0</v>
      </c>
      <c r="F24" s="548"/>
      <c r="G24" s="548"/>
      <c r="H24" s="540"/>
      <c r="I24" s="931" t="s">
        <v>95</v>
      </c>
      <c r="J24" s="935">
        <v>0</v>
      </c>
      <c r="K24" s="932" t="s">
        <v>96</v>
      </c>
    </row>
    <row r="25" spans="2:12">
      <c r="B25" s="551" t="s">
        <v>97</v>
      </c>
      <c r="C25" s="2813">
        <v>0</v>
      </c>
      <c r="D25" s="581">
        <v>0</v>
      </c>
      <c r="E25" s="578">
        <v>0</v>
      </c>
      <c r="F25" s="548"/>
      <c r="G25" s="548"/>
      <c r="H25" s="540"/>
      <c r="I25" s="931" t="s">
        <v>98</v>
      </c>
      <c r="J25" s="935">
        <v>0.05</v>
      </c>
      <c r="K25" s="932" t="s">
        <v>96</v>
      </c>
    </row>
    <row r="26" spans="2:12">
      <c r="B26" s="531"/>
      <c r="C26" s="2815">
        <v>0</v>
      </c>
      <c r="D26" s="560">
        <v>0</v>
      </c>
      <c r="E26" s="586">
        <v>0</v>
      </c>
      <c r="F26" s="548"/>
      <c r="G26" s="548"/>
      <c r="H26" s="540"/>
      <c r="I26" s="930" t="s">
        <v>99</v>
      </c>
      <c r="J26" s="937">
        <v>0</v>
      </c>
      <c r="K26" s="922"/>
    </row>
    <row r="27" spans="2:12">
      <c r="B27" s="533"/>
      <c r="C27" s="2816"/>
      <c r="D27" s="533"/>
      <c r="E27" s="572"/>
      <c r="F27" s="548"/>
      <c r="G27" s="548"/>
      <c r="H27" s="540"/>
      <c r="I27" s="562"/>
      <c r="J27" s="566"/>
      <c r="K27" s="531"/>
    </row>
    <row r="28" spans="2:12">
      <c r="B28" s="538" t="s">
        <v>84</v>
      </c>
      <c r="C28" s="2815">
        <v>0</v>
      </c>
      <c r="D28" s="569">
        <v>0</v>
      </c>
      <c r="E28" s="586">
        <v>0</v>
      </c>
      <c r="F28" s="548"/>
      <c r="G28" s="548"/>
      <c r="H28" s="540"/>
      <c r="I28" s="552"/>
      <c r="J28" s="531"/>
      <c r="K28" s="531"/>
    </row>
    <row r="29" spans="2:12">
      <c r="B29" s="533"/>
      <c r="C29" s="2816"/>
      <c r="D29" s="533"/>
      <c r="E29" s="572"/>
      <c r="F29" s="548"/>
      <c r="G29" s="548"/>
      <c r="H29" s="540"/>
      <c r="I29" s="946" t="s">
        <v>242</v>
      </c>
      <c r="J29" s="945"/>
      <c r="K29" s="945"/>
      <c r="L29" s="945"/>
    </row>
    <row r="30" spans="2:12">
      <c r="B30" s="537" t="s">
        <v>87</v>
      </c>
      <c r="C30" s="2816"/>
      <c r="D30" s="533"/>
      <c r="E30" s="572"/>
      <c r="F30" s="540"/>
      <c r="G30" s="540"/>
      <c r="H30" s="540"/>
      <c r="I30" s="951"/>
      <c r="J30" s="952" t="s">
        <v>243</v>
      </c>
      <c r="K30" s="953">
        <v>800000</v>
      </c>
      <c r="L30" s="950"/>
    </row>
    <row r="31" spans="2:12">
      <c r="B31" s="531" t="s">
        <v>100</v>
      </c>
      <c r="C31" s="2816">
        <v>0</v>
      </c>
      <c r="D31" s="581">
        <v>0</v>
      </c>
      <c r="E31" s="578">
        <v>0</v>
      </c>
      <c r="F31" s="540"/>
      <c r="G31" s="540"/>
      <c r="H31" s="540"/>
      <c r="I31" s="949"/>
      <c r="J31" s="947" t="s">
        <v>244</v>
      </c>
      <c r="K31" s="954">
        <f>K30+R7</f>
        <v>800000</v>
      </c>
      <c r="L31" s="948"/>
    </row>
    <row r="32" spans="2:12">
      <c r="B32" s="531" t="s">
        <v>101</v>
      </c>
      <c r="C32" s="2816">
        <v>0</v>
      </c>
      <c r="D32" s="581">
        <v>0</v>
      </c>
      <c r="E32" s="578">
        <v>0</v>
      </c>
      <c r="F32" s="540"/>
      <c r="G32" s="540"/>
      <c r="H32" s="540"/>
      <c r="I32" s="955"/>
      <c r="J32" s="956"/>
      <c r="K32" s="957">
        <v>0.18</v>
      </c>
      <c r="L32" s="958" t="s">
        <v>96</v>
      </c>
    </row>
    <row r="33" spans="1:9">
      <c r="B33" s="533" t="s">
        <v>102</v>
      </c>
      <c r="C33" s="2816">
        <v>0</v>
      </c>
      <c r="D33" s="581">
        <v>0</v>
      </c>
      <c r="E33" s="578">
        <v>0</v>
      </c>
      <c r="F33" s="540"/>
      <c r="G33" s="540"/>
      <c r="H33" s="540"/>
      <c r="I33" s="552"/>
    </row>
    <row r="34" spans="1:9">
      <c r="B34" s="537" t="s">
        <v>103</v>
      </c>
      <c r="C34" s="2817">
        <v>0</v>
      </c>
      <c r="D34" s="554">
        <v>0</v>
      </c>
      <c r="E34" s="586">
        <v>0</v>
      </c>
      <c r="F34" s="540"/>
      <c r="G34" s="540"/>
      <c r="H34" s="540"/>
      <c r="I34" s="552"/>
    </row>
    <row r="35" spans="1:9">
      <c r="B35" s="533"/>
      <c r="C35" s="2816"/>
      <c r="D35" s="533"/>
      <c r="E35" s="572"/>
      <c r="F35" s="540"/>
      <c r="G35" s="540"/>
      <c r="H35" s="540"/>
      <c r="I35" s="552"/>
    </row>
    <row r="36" spans="1:9" ht="25.5">
      <c r="A36" s="1382" t="s">
        <v>215</v>
      </c>
      <c r="B36" s="537" t="s">
        <v>88</v>
      </c>
      <c r="C36" s="2818">
        <v>0</v>
      </c>
      <c r="D36" s="582">
        <v>0</v>
      </c>
      <c r="E36" s="586">
        <v>0</v>
      </c>
      <c r="F36" s="540"/>
      <c r="G36" s="540"/>
      <c r="H36" s="540"/>
      <c r="I36" s="552"/>
    </row>
    <row r="37" spans="1:9">
      <c r="A37" s="1357" t="s">
        <v>253</v>
      </c>
      <c r="B37" s="533"/>
      <c r="C37" s="2816"/>
      <c r="D37" s="533"/>
      <c r="E37" s="572"/>
      <c r="F37" s="540"/>
      <c r="G37" s="539"/>
      <c r="H37" s="540"/>
      <c r="I37" s="545"/>
    </row>
    <row r="38" spans="1:9" ht="25.5">
      <c r="A38" s="1382" t="s">
        <v>79</v>
      </c>
      <c r="B38" s="537" t="s">
        <v>9</v>
      </c>
      <c r="C38" s="2819">
        <f>ROUND(C17*F38,-2)</f>
        <v>0</v>
      </c>
      <c r="D38" s="920">
        <f>ROUND(D17*F39,-2)</f>
        <v>0</v>
      </c>
      <c r="E38" s="921">
        <f>SUM(C38:D38)</f>
        <v>0</v>
      </c>
      <c r="F38" s="3197">
        <v>0.66700000000000004</v>
      </c>
      <c r="G38" s="3198">
        <v>2016</v>
      </c>
      <c r="H38" s="540"/>
      <c r="I38" s="545"/>
    </row>
    <row r="39" spans="1:9">
      <c r="A39" s="1357" t="s">
        <v>4</v>
      </c>
      <c r="B39" s="533"/>
      <c r="C39" s="2816"/>
      <c r="D39" s="533"/>
      <c r="E39" s="572"/>
      <c r="F39" s="3199">
        <v>0.68799999999999994</v>
      </c>
      <c r="G39" s="3200" t="s">
        <v>721</v>
      </c>
      <c r="H39" s="540"/>
      <c r="I39" s="545"/>
    </row>
    <row r="40" spans="1:9">
      <c r="B40" s="534" t="s">
        <v>11</v>
      </c>
      <c r="C40" s="2816"/>
      <c r="D40" s="533"/>
      <c r="E40" s="572"/>
      <c r="F40" s="540"/>
      <c r="G40" s="532"/>
      <c r="H40" s="540"/>
      <c r="I40" s="545"/>
    </row>
    <row r="41" spans="1:9">
      <c r="B41" s="531"/>
      <c r="C41" s="2813">
        <v>0</v>
      </c>
      <c r="D41" s="581">
        <v>0</v>
      </c>
      <c r="E41" s="578">
        <v>0</v>
      </c>
      <c r="F41" s="540"/>
      <c r="G41" s="532"/>
      <c r="H41" s="540"/>
      <c r="I41" s="545"/>
    </row>
    <row r="42" spans="1:9">
      <c r="B42" s="559"/>
      <c r="C42" s="2813">
        <v>0</v>
      </c>
      <c r="D42" s="581">
        <v>0</v>
      </c>
      <c r="E42" s="578">
        <v>0</v>
      </c>
      <c r="F42" s="540"/>
      <c r="G42" s="532"/>
      <c r="H42" s="540"/>
      <c r="I42" s="545"/>
    </row>
    <row r="43" spans="1:9">
      <c r="B43" s="559"/>
      <c r="C43" s="2813"/>
      <c r="D43" s="581">
        <v>0</v>
      </c>
      <c r="E43" s="578">
        <v>0</v>
      </c>
      <c r="F43" s="540"/>
      <c r="G43" s="532"/>
      <c r="H43" s="540"/>
      <c r="I43" s="545"/>
    </row>
    <row r="44" spans="1:9">
      <c r="B44" s="559"/>
      <c r="C44" s="2813"/>
      <c r="D44" s="581">
        <v>0</v>
      </c>
      <c r="E44" s="578">
        <v>0</v>
      </c>
      <c r="F44" s="540"/>
      <c r="G44" s="532"/>
      <c r="H44" s="540"/>
      <c r="I44" s="545"/>
    </row>
    <row r="45" spans="1:9">
      <c r="B45" s="559"/>
      <c r="C45" s="2813"/>
      <c r="D45" s="581">
        <v>0</v>
      </c>
      <c r="E45" s="578">
        <v>0</v>
      </c>
      <c r="F45" s="540"/>
      <c r="G45" s="532"/>
      <c r="H45" s="540"/>
      <c r="I45" s="545"/>
    </row>
    <row r="46" spans="1:9">
      <c r="B46" s="559"/>
      <c r="C46" s="2813"/>
      <c r="D46" s="581">
        <v>0</v>
      </c>
      <c r="E46" s="578">
        <v>0</v>
      </c>
      <c r="F46" s="540"/>
      <c r="G46" s="532"/>
      <c r="H46" s="540"/>
      <c r="I46" s="545"/>
    </row>
    <row r="47" spans="1:9">
      <c r="B47" s="559"/>
      <c r="C47" s="2813"/>
      <c r="D47" s="581">
        <v>0</v>
      </c>
      <c r="E47" s="578">
        <v>0</v>
      </c>
      <c r="F47" s="540"/>
      <c r="G47" s="539"/>
      <c r="H47" s="540"/>
      <c r="I47" s="545"/>
    </row>
    <row r="48" spans="1:9">
      <c r="B48" s="559"/>
      <c r="C48" s="2813"/>
      <c r="D48" s="581">
        <v>0</v>
      </c>
      <c r="E48" s="578">
        <v>0</v>
      </c>
      <c r="F48" s="540"/>
      <c r="G48" s="539"/>
      <c r="H48" s="540"/>
      <c r="I48" s="545"/>
    </row>
    <row r="49" spans="2:10">
      <c r="B49" s="557"/>
      <c r="C49" s="2815"/>
      <c r="D49" s="573">
        <v>0</v>
      </c>
      <c r="E49" s="586">
        <v>0</v>
      </c>
      <c r="F49" s="540"/>
      <c r="G49" s="539"/>
      <c r="H49" s="540"/>
      <c r="I49" s="545"/>
      <c r="J49" s="531"/>
    </row>
    <row r="50" spans="2:10" ht="13.5" thickBot="1">
      <c r="B50" s="546"/>
      <c r="C50" s="2813"/>
      <c r="D50" s="533"/>
      <c r="E50" s="572"/>
      <c r="F50" s="540"/>
      <c r="G50" s="539"/>
      <c r="H50" s="555"/>
      <c r="I50" s="556"/>
      <c r="J50" s="535"/>
    </row>
    <row r="51" spans="2:10" ht="13.5" thickBot="1">
      <c r="B51" s="557" t="s">
        <v>108</v>
      </c>
      <c r="C51" s="2820">
        <f>C12+C17+C26+C28+C34+C36+C38+C49</f>
        <v>0</v>
      </c>
      <c r="D51" s="574">
        <f>D12+D17+D26+D28+D34+D36+D38+D49</f>
        <v>0</v>
      </c>
      <c r="E51" s="574">
        <f>E12+E17+E26+E28+E34+E36+E38+E49</f>
        <v>0</v>
      </c>
      <c r="F51" s="540"/>
      <c r="G51" s="539"/>
      <c r="H51" s="558"/>
      <c r="I51" s="558"/>
      <c r="J51" s="535"/>
    </row>
    <row r="52" spans="2:10">
      <c r="B52" s="535"/>
      <c r="C52" s="2821"/>
      <c r="D52" s="536"/>
      <c r="E52" s="536"/>
      <c r="F52" s="540"/>
      <c r="G52" s="539"/>
      <c r="H52" s="558"/>
      <c r="I52" s="558"/>
      <c r="J52" s="535"/>
    </row>
    <row r="53" spans="2:10">
      <c r="B53" s="537" t="s">
        <v>109</v>
      </c>
      <c r="C53" s="2822">
        <v>2012</v>
      </c>
      <c r="D53" s="579">
        <v>2017</v>
      </c>
      <c r="E53" s="579" t="s">
        <v>20</v>
      </c>
      <c r="F53" s="540"/>
      <c r="G53" s="539"/>
      <c r="H53" s="558"/>
      <c r="I53" s="558"/>
      <c r="J53" s="535"/>
    </row>
    <row r="54" spans="2:10">
      <c r="B54" s="591" t="s">
        <v>216</v>
      </c>
      <c r="C54" s="2804"/>
      <c r="D54" s="531"/>
      <c r="E54" s="531"/>
      <c r="F54" s="531"/>
      <c r="G54" s="540"/>
      <c r="H54" s="558"/>
      <c r="I54" s="558"/>
      <c r="J54" s="535"/>
    </row>
    <row r="55" spans="2:10">
      <c r="B55" s="592" t="s">
        <v>217</v>
      </c>
      <c r="C55" s="2823">
        <v>0</v>
      </c>
      <c r="D55" s="587">
        <v>0</v>
      </c>
      <c r="E55" s="587">
        <f>C55+D55</f>
        <v>0</v>
      </c>
      <c r="F55" s="555" t="s">
        <v>110</v>
      </c>
      <c r="G55" s="540"/>
      <c r="H55" s="558"/>
      <c r="I55" s="558"/>
      <c r="J55" s="535"/>
    </row>
    <row r="56" spans="2:10">
      <c r="B56" s="592" t="s">
        <v>218</v>
      </c>
      <c r="C56" s="2823">
        <v>0</v>
      </c>
      <c r="D56" s="587">
        <v>0</v>
      </c>
      <c r="E56" s="587">
        <f t="shared" ref="E56:E65" si="0">C56+D56</f>
        <v>0</v>
      </c>
      <c r="F56" s="555" t="s">
        <v>110</v>
      </c>
      <c r="G56" s="540"/>
      <c r="H56" s="558"/>
      <c r="I56" s="558"/>
      <c r="J56" s="535"/>
    </row>
    <row r="57" spans="2:10">
      <c r="B57" s="592" t="s">
        <v>219</v>
      </c>
      <c r="C57" s="2823">
        <v>0</v>
      </c>
      <c r="D57" s="587">
        <v>0</v>
      </c>
      <c r="E57" s="587">
        <f t="shared" si="0"/>
        <v>0</v>
      </c>
      <c r="F57" s="555" t="s">
        <v>110</v>
      </c>
      <c r="G57" s="540"/>
      <c r="H57" s="558"/>
      <c r="I57" s="558"/>
      <c r="J57" s="535"/>
    </row>
    <row r="58" spans="2:10">
      <c r="B58" s="592" t="s">
        <v>220</v>
      </c>
      <c r="C58" s="2823">
        <v>0</v>
      </c>
      <c r="D58" s="587">
        <v>0</v>
      </c>
      <c r="E58" s="587">
        <f t="shared" si="0"/>
        <v>0</v>
      </c>
      <c r="F58" s="555" t="s">
        <v>110</v>
      </c>
      <c r="G58" s="555"/>
      <c r="H58" s="558"/>
      <c r="I58" s="558"/>
      <c r="J58" s="535"/>
    </row>
    <row r="59" spans="2:10">
      <c r="B59" s="592" t="s">
        <v>221</v>
      </c>
      <c r="C59" s="2823">
        <v>0</v>
      </c>
      <c r="D59" s="587">
        <v>0</v>
      </c>
      <c r="E59" s="587">
        <f t="shared" si="0"/>
        <v>0</v>
      </c>
      <c r="F59" s="555" t="s">
        <v>110</v>
      </c>
      <c r="G59" s="555"/>
      <c r="H59" s="558"/>
      <c r="I59" s="558"/>
      <c r="J59" s="535"/>
    </row>
    <row r="60" spans="2:10">
      <c r="B60" s="592" t="s">
        <v>222</v>
      </c>
      <c r="C60" s="2823">
        <v>0</v>
      </c>
      <c r="D60" s="587">
        <v>0</v>
      </c>
      <c r="E60" s="587">
        <f t="shared" si="0"/>
        <v>0</v>
      </c>
      <c r="F60" s="555" t="s">
        <v>110</v>
      </c>
      <c r="G60" s="555"/>
      <c r="H60" s="558"/>
      <c r="I60" s="558"/>
      <c r="J60" s="535"/>
    </row>
    <row r="61" spans="2:10">
      <c r="B61" s="592" t="s">
        <v>223</v>
      </c>
      <c r="C61" s="2823">
        <v>0</v>
      </c>
      <c r="D61" s="587">
        <v>0</v>
      </c>
      <c r="E61" s="587">
        <f t="shared" si="0"/>
        <v>0</v>
      </c>
      <c r="F61" s="555" t="s">
        <v>110</v>
      </c>
      <c r="G61" s="555"/>
      <c r="H61" s="558"/>
      <c r="I61" s="558"/>
      <c r="J61" s="535"/>
    </row>
    <row r="62" spans="2:10">
      <c r="B62" s="592" t="s">
        <v>224</v>
      </c>
      <c r="C62" s="2823">
        <v>0</v>
      </c>
      <c r="D62" s="587">
        <v>0</v>
      </c>
      <c r="E62" s="587">
        <f t="shared" si="0"/>
        <v>0</v>
      </c>
      <c r="F62" s="555" t="s">
        <v>110</v>
      </c>
      <c r="G62" s="555"/>
      <c r="H62" s="555"/>
      <c r="I62" s="558"/>
      <c r="J62" s="535"/>
    </row>
    <row r="63" spans="2:10">
      <c r="B63" s="2000" t="s">
        <v>150</v>
      </c>
      <c r="C63" s="2823">
        <v>1781325</v>
      </c>
      <c r="D63" s="587">
        <v>1500000</v>
      </c>
      <c r="E63" s="587">
        <f t="shared" si="0"/>
        <v>3281325</v>
      </c>
      <c r="F63" s="555" t="s">
        <v>110</v>
      </c>
      <c r="G63" s="555"/>
      <c r="H63" s="555"/>
      <c r="I63" s="556"/>
      <c r="J63" s="535"/>
    </row>
    <row r="64" spans="2:10">
      <c r="B64" s="592" t="s">
        <v>225</v>
      </c>
      <c r="C64" s="2824"/>
      <c r="D64" s="587"/>
      <c r="E64" s="587">
        <f t="shared" si="0"/>
        <v>0</v>
      </c>
      <c r="F64" s="589" t="s">
        <v>110</v>
      </c>
      <c r="G64" s="558"/>
      <c r="H64" s="555"/>
      <c r="I64" s="556"/>
      <c r="J64" s="535"/>
    </row>
    <row r="65" spans="2:10">
      <c r="B65" s="592" t="s">
        <v>226</v>
      </c>
      <c r="C65" s="2824"/>
      <c r="D65" s="587"/>
      <c r="E65" s="587">
        <f t="shared" si="0"/>
        <v>0</v>
      </c>
      <c r="F65" s="589" t="s">
        <v>110</v>
      </c>
      <c r="G65" s="558"/>
      <c r="H65" s="555"/>
      <c r="I65" s="556"/>
      <c r="J65" s="535"/>
    </row>
    <row r="66" spans="2:10">
      <c r="B66" s="590" t="s">
        <v>37</v>
      </c>
      <c r="C66" s="2825">
        <f>SUM(C55:C65)</f>
        <v>1781325</v>
      </c>
      <c r="D66" s="594">
        <f>SUM(D55:D65)</f>
        <v>1500000</v>
      </c>
      <c r="E66" s="594">
        <f>SUM(E55:E65)</f>
        <v>3281325</v>
      </c>
      <c r="F66" s="558" t="s">
        <v>110</v>
      </c>
      <c r="G66" s="558"/>
      <c r="H66" s="555"/>
      <c r="I66" s="556"/>
      <c r="J66" s="535"/>
    </row>
    <row r="67" spans="2:10">
      <c r="B67" s="531"/>
      <c r="C67" s="555"/>
      <c r="D67" s="531"/>
      <c r="E67" s="531"/>
      <c r="F67" s="558"/>
      <c r="G67" s="558"/>
      <c r="H67" s="555"/>
      <c r="I67" s="556"/>
      <c r="J67" s="535"/>
    </row>
    <row r="68" spans="2:10">
      <c r="B68" s="567" t="s">
        <v>112</v>
      </c>
      <c r="C68" s="583"/>
      <c r="D68" s="583"/>
      <c r="E68" s="531"/>
      <c r="F68" s="558"/>
      <c r="G68" s="558"/>
    </row>
    <row r="69" spans="2:10">
      <c r="B69" s="531"/>
      <c r="C69" s="558"/>
      <c r="D69" s="531"/>
      <c r="E69" s="531"/>
      <c r="F69" s="555"/>
      <c r="G69" s="558"/>
    </row>
    <row r="71" spans="2:10">
      <c r="H71" s="531"/>
      <c r="I71" s="531"/>
      <c r="J71" s="531"/>
    </row>
    <row r="73" spans="2:10" ht="20.25">
      <c r="B73" s="541" t="s">
        <v>113</v>
      </c>
      <c r="C73" s="531"/>
      <c r="D73" s="531"/>
      <c r="E73" s="531"/>
      <c r="F73" s="531"/>
      <c r="G73" s="531"/>
    </row>
    <row r="85" spans="2:5">
      <c r="B85" s="3608"/>
      <c r="C85" s="3608"/>
      <c r="D85" s="3608"/>
      <c r="E85" s="3608"/>
    </row>
    <row r="93" spans="2:5">
      <c r="B93" s="3608"/>
      <c r="C93" s="3608"/>
      <c r="D93" s="3608"/>
      <c r="E93" s="3608"/>
    </row>
    <row r="94" spans="2:5">
      <c r="B94" s="3608"/>
      <c r="C94" s="3608"/>
      <c r="D94" s="3608"/>
      <c r="E94" s="531"/>
    </row>
    <row r="95" spans="2:5">
      <c r="B95" s="3608"/>
      <c r="C95" s="3608"/>
      <c r="D95" s="3608"/>
      <c r="E95" s="531"/>
    </row>
    <row r="96" spans="2:5">
      <c r="B96" s="3608"/>
      <c r="C96" s="3608"/>
      <c r="D96" s="3608"/>
      <c r="E96" s="531"/>
    </row>
    <row r="97" spans="2:10">
      <c r="B97" s="3608"/>
      <c r="C97" s="3608"/>
      <c r="D97" s="3608"/>
      <c r="E97" s="531"/>
      <c r="H97" s="531"/>
      <c r="I97" s="531"/>
      <c r="J97" s="531"/>
    </row>
    <row r="98" spans="2:10">
      <c r="B98" s="3608"/>
      <c r="C98" s="3608"/>
      <c r="D98" s="3608"/>
      <c r="E98" s="531"/>
    </row>
    <row r="99" spans="2:10">
      <c r="B99" s="3608"/>
      <c r="C99" s="3608"/>
      <c r="D99" s="3608"/>
      <c r="E99" s="531"/>
      <c r="F99" s="531"/>
      <c r="G99" s="531"/>
    </row>
    <row r="104" spans="2:10">
      <c r="H104" s="547"/>
      <c r="I104" s="547"/>
      <c r="J104" s="547"/>
    </row>
    <row r="105" spans="2:10">
      <c r="H105" s="547"/>
      <c r="I105" s="547"/>
      <c r="J105" s="547"/>
    </row>
    <row r="106" spans="2:10">
      <c r="B106" s="535"/>
      <c r="C106" s="547"/>
      <c r="D106" s="547"/>
      <c r="E106" s="547"/>
      <c r="F106" s="547"/>
      <c r="G106" s="547"/>
      <c r="H106" s="547"/>
      <c r="I106" s="547"/>
      <c r="J106" s="547"/>
    </row>
    <row r="107" spans="2:10">
      <c r="B107" s="535"/>
      <c r="C107" s="547"/>
      <c r="D107" s="547"/>
      <c r="E107" s="547"/>
      <c r="F107" s="547"/>
      <c r="G107" s="547"/>
      <c r="H107" s="547"/>
      <c r="I107" s="547"/>
      <c r="J107" s="547"/>
    </row>
    <row r="108" spans="2:10">
      <c r="B108" s="535"/>
      <c r="C108" s="547"/>
      <c r="D108" s="547"/>
      <c r="E108" s="547"/>
      <c r="F108" s="547"/>
      <c r="G108" s="547"/>
      <c r="H108" s="547"/>
      <c r="I108" s="547"/>
      <c r="J108" s="547"/>
    </row>
    <row r="109" spans="2:10">
      <c r="B109" s="535"/>
      <c r="C109" s="547"/>
      <c r="D109" s="547"/>
      <c r="E109" s="547"/>
      <c r="F109" s="547"/>
      <c r="G109" s="547"/>
      <c r="H109" s="547"/>
      <c r="I109" s="547"/>
      <c r="J109" s="547"/>
    </row>
    <row r="110" spans="2:10">
      <c r="B110" s="535"/>
      <c r="C110" s="547"/>
      <c r="D110" s="547"/>
      <c r="E110" s="547"/>
      <c r="F110" s="547"/>
      <c r="G110" s="547"/>
      <c r="H110" s="547"/>
      <c r="I110" s="547"/>
      <c r="J110" s="547"/>
    </row>
    <row r="111" spans="2:10">
      <c r="B111" s="535"/>
      <c r="C111" s="547"/>
      <c r="D111" s="547"/>
      <c r="E111" s="547"/>
      <c r="F111" s="547"/>
      <c r="G111" s="547"/>
      <c r="H111" s="547"/>
      <c r="I111" s="547"/>
      <c r="J111" s="547"/>
    </row>
    <row r="112" spans="2:10">
      <c r="B112" s="535"/>
      <c r="C112" s="547"/>
      <c r="D112" s="547"/>
      <c r="E112" s="547"/>
      <c r="F112" s="547"/>
      <c r="G112" s="547"/>
      <c r="H112" s="547"/>
      <c r="I112" s="547"/>
      <c r="J112" s="547"/>
    </row>
    <row r="113" spans="2:10">
      <c r="B113" s="535"/>
      <c r="C113" s="547"/>
      <c r="D113" s="547"/>
      <c r="E113" s="547"/>
      <c r="F113" s="547"/>
      <c r="G113" s="547"/>
      <c r="H113" s="547"/>
      <c r="I113" s="547"/>
      <c r="J113" s="547"/>
    </row>
    <row r="114" spans="2:10">
      <c r="B114" s="535"/>
      <c r="C114" s="547"/>
      <c r="D114" s="547"/>
      <c r="E114" s="547"/>
      <c r="F114" s="547"/>
      <c r="G114" s="547"/>
      <c r="H114" s="3526"/>
      <c r="I114" s="3526"/>
      <c r="J114" s="547"/>
    </row>
    <row r="115" spans="2:10">
      <c r="B115" s="535"/>
      <c r="C115" s="547"/>
      <c r="D115" s="547"/>
      <c r="E115" s="547"/>
      <c r="F115" s="547"/>
      <c r="G115" s="547"/>
      <c r="H115" s="3526"/>
      <c r="I115" s="3526"/>
      <c r="J115" s="547"/>
    </row>
    <row r="116" spans="2:10">
      <c r="B116" s="535"/>
      <c r="C116" s="547"/>
      <c r="D116" s="547"/>
      <c r="E116" s="547"/>
      <c r="F116" s="547"/>
      <c r="G116" s="547"/>
      <c r="H116" s="547"/>
      <c r="I116" s="547"/>
      <c r="J116" s="547"/>
    </row>
    <row r="117" spans="2:10">
      <c r="B117" s="535"/>
      <c r="C117" s="547"/>
      <c r="D117" s="547"/>
      <c r="E117" s="547"/>
      <c r="F117" s="547"/>
      <c r="G117" s="547"/>
      <c r="H117" s="547"/>
      <c r="I117" s="547"/>
      <c r="J117" s="547"/>
    </row>
    <row r="118" spans="2:10">
      <c r="B118" s="535"/>
      <c r="C118" s="547"/>
      <c r="D118" s="547"/>
      <c r="E118" s="547"/>
      <c r="F118" s="547"/>
      <c r="G118" s="547"/>
      <c r="H118" s="547"/>
      <c r="I118" s="547"/>
      <c r="J118" s="547"/>
    </row>
    <row r="119" spans="2:10">
      <c r="B119" s="535"/>
      <c r="C119" s="547"/>
      <c r="D119" s="547"/>
      <c r="E119" s="547"/>
      <c r="F119" s="547"/>
      <c r="G119" s="547"/>
      <c r="H119" s="547"/>
      <c r="I119" s="547"/>
      <c r="J119" s="547"/>
    </row>
    <row r="120" spans="2:10">
      <c r="B120" s="535"/>
      <c r="C120" s="547"/>
      <c r="D120" s="547"/>
      <c r="E120" s="547"/>
      <c r="F120" s="547"/>
      <c r="G120" s="547"/>
      <c r="H120" s="547"/>
      <c r="I120" s="547"/>
      <c r="J120" s="547"/>
    </row>
    <row r="121" spans="2:10">
      <c r="B121" s="535"/>
      <c r="C121" s="547"/>
      <c r="D121" s="547"/>
      <c r="E121" s="547"/>
      <c r="F121" s="547"/>
      <c r="G121" s="547"/>
      <c r="H121" s="547"/>
      <c r="I121" s="547"/>
      <c r="J121" s="547"/>
    </row>
    <row r="122" spans="2:10">
      <c r="B122" s="535"/>
      <c r="C122" s="547"/>
      <c r="D122" s="547"/>
      <c r="E122" s="547"/>
      <c r="F122" s="547"/>
      <c r="G122" s="547"/>
      <c r="H122" s="547"/>
      <c r="I122" s="547"/>
      <c r="J122" s="547"/>
    </row>
    <row r="123" spans="2:10">
      <c r="B123" s="535"/>
      <c r="C123" s="547"/>
      <c r="D123" s="547"/>
      <c r="E123" s="547"/>
      <c r="F123" s="547"/>
      <c r="G123" s="547"/>
      <c r="H123" s="547"/>
      <c r="I123" s="547"/>
      <c r="J123" s="547"/>
    </row>
    <row r="124" spans="2:10">
      <c r="B124" s="535"/>
      <c r="C124" s="547"/>
      <c r="D124" s="547"/>
      <c r="E124" s="547"/>
      <c r="F124" s="547"/>
      <c r="G124" s="547"/>
      <c r="H124" s="547"/>
      <c r="I124" s="547"/>
      <c r="J124" s="547"/>
    </row>
    <row r="125" spans="2:10">
      <c r="B125" s="535"/>
      <c r="C125" s="547"/>
      <c r="D125" s="547"/>
      <c r="E125" s="547"/>
      <c r="F125" s="547"/>
      <c r="G125" s="547"/>
      <c r="H125" s="547"/>
      <c r="I125" s="547"/>
      <c r="J125" s="547"/>
    </row>
    <row r="126" spans="2:10">
      <c r="B126" s="535"/>
      <c r="C126" s="547"/>
      <c r="D126" s="547"/>
      <c r="E126" s="547"/>
      <c r="F126" s="547"/>
      <c r="G126" s="547"/>
    </row>
    <row r="127" spans="2:10">
      <c r="B127" s="535"/>
      <c r="C127" s="547"/>
      <c r="D127" s="547"/>
      <c r="E127" s="547"/>
      <c r="F127" s="547"/>
      <c r="G127" s="547"/>
    </row>
  </sheetData>
  <customSheetViews>
    <customSheetView guid="{D9EFFE19-D14B-4C6F-BDF4-FF696F73968D}" showGridLines="0">
      <pane xSplit="1" ySplit="1" topLeftCell="B17" activePane="bottomRight" state="frozen"/>
      <selection pane="bottomRight"/>
      <pageMargins left="0.7" right="0.24" top="0.38" bottom="0.75" header="0.3" footer="0.3"/>
      <pageSetup paperSize="17" scale="65" orientation="landscape" r:id="rId1"/>
    </customSheetView>
    <customSheetView guid="{074EB09C-6289-46D7-9513-012B68BCA7BF}" showGridLines="0">
      <pane xSplit="1" ySplit="1" topLeftCell="B3" activePane="bottomRight" state="frozen"/>
      <selection pane="bottomRight" activeCell="G4" sqref="G4:G6"/>
      <pageMargins left="0.7" right="0.24" top="0.38" bottom="0.75" header="0.3" footer="0.3"/>
      <pageSetup paperSize="17" scale="65" orientation="landscape" r:id="rId2"/>
    </customSheetView>
  </customSheetViews>
  <mergeCells count="8">
    <mergeCell ref="B85:E85"/>
    <mergeCell ref="B93:E93"/>
    <mergeCell ref="B94:D94"/>
    <mergeCell ref="B99:D99"/>
    <mergeCell ref="B95:D95"/>
    <mergeCell ref="B96:D96"/>
    <mergeCell ref="B97:D97"/>
    <mergeCell ref="B98:D98"/>
  </mergeCells>
  <pageMargins left="0.7" right="0.24" top="0.38" bottom="0.75" header="0.3" footer="0.3"/>
  <pageSetup paperSize="3" scale="50" orientation="landscape" r:id="rId3"/>
  <drawing r:id="rId4"/>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S71"/>
  <sheetViews>
    <sheetView showGridLines="0" workbookViewId="0">
      <pane xSplit="1" ySplit="1" topLeftCell="B2" activePane="bottomRight" state="frozen"/>
      <selection pane="topRight" activeCell="B1" sqref="B1"/>
      <selection pane="bottomLeft" activeCell="A2" sqref="A2"/>
      <selection pane="bottomRight" activeCell="J21" sqref="J21"/>
    </sheetView>
  </sheetViews>
  <sheetFormatPr defaultColWidth="9.140625" defaultRowHeight="12.75"/>
  <cols>
    <col min="1" max="1" width="18" style="1652" customWidth="1"/>
    <col min="2" max="2" width="16.140625" style="1652" customWidth="1"/>
    <col min="3" max="3" width="29" style="1652" customWidth="1"/>
    <col min="4" max="4" width="23.85546875" style="1652" customWidth="1"/>
    <col min="5" max="5" width="21" style="1652" customWidth="1"/>
    <col min="6" max="6" width="18.7109375" style="1652" customWidth="1"/>
    <col min="7" max="16" width="16.7109375" style="1652" customWidth="1"/>
    <col min="17" max="17" width="26.42578125" style="1652" customWidth="1"/>
    <col min="18" max="18" width="16.85546875" style="1652" customWidth="1"/>
    <col min="19" max="19" width="13.5703125" style="1652" customWidth="1"/>
    <col min="20" max="16384" width="9.140625" style="1652"/>
  </cols>
  <sheetData>
    <row r="1" spans="1:19" ht="58.5" customHeight="1">
      <c r="C1" s="1361" t="s">
        <v>616</v>
      </c>
      <c r="D1" s="1361" t="s">
        <v>650</v>
      </c>
      <c r="E1" s="1361" t="s">
        <v>22</v>
      </c>
      <c r="F1" s="1427">
        <v>18230660</v>
      </c>
      <c r="G1" s="1361" t="s">
        <v>28</v>
      </c>
      <c r="M1" s="1361" t="s">
        <v>616</v>
      </c>
      <c r="N1" s="1361" t="s">
        <v>650</v>
      </c>
      <c r="O1" s="1361" t="s">
        <v>22</v>
      </c>
      <c r="P1" s="1427">
        <v>18230660</v>
      </c>
      <c r="Q1" s="1361" t="s">
        <v>28</v>
      </c>
    </row>
    <row r="2" spans="1:19" ht="16.5" thickBot="1">
      <c r="D2" s="1349"/>
      <c r="E2" s="1349"/>
      <c r="F2" s="1349"/>
      <c r="G2" s="1662"/>
      <c r="H2" s="1178" t="s">
        <v>627</v>
      </c>
      <c r="R2" s="2142"/>
    </row>
    <row r="3" spans="1:19" s="1662" customFormat="1" ht="26.25" thickBot="1">
      <c r="A3" s="2143" t="s">
        <v>616</v>
      </c>
      <c r="B3" s="2143"/>
      <c r="D3" s="1340"/>
      <c r="E3" s="1340"/>
      <c r="F3" s="1340"/>
      <c r="H3" s="2744" t="s">
        <v>7</v>
      </c>
      <c r="I3" s="2643" t="s">
        <v>8</v>
      </c>
      <c r="J3" s="2643" t="s">
        <v>9</v>
      </c>
      <c r="K3" s="2643" t="s">
        <v>10</v>
      </c>
      <c r="L3" s="2643" t="s">
        <v>482</v>
      </c>
      <c r="M3" s="2643" t="s">
        <v>11</v>
      </c>
      <c r="N3" s="2643" t="s">
        <v>12</v>
      </c>
      <c r="O3" s="2643" t="s">
        <v>13</v>
      </c>
      <c r="P3" s="2643" t="s">
        <v>14</v>
      </c>
      <c r="Q3" s="2643" t="s">
        <v>36</v>
      </c>
      <c r="R3" s="2643" t="s">
        <v>15</v>
      </c>
      <c r="S3" s="2734" t="s">
        <v>37</v>
      </c>
    </row>
    <row r="4" spans="1:19" ht="16.5" thickBot="1">
      <c r="A4" s="2143" t="s">
        <v>649</v>
      </c>
      <c r="G4" s="2946" t="s">
        <v>1726</v>
      </c>
      <c r="H4" s="2959">
        <f>D15</f>
        <v>0</v>
      </c>
      <c r="I4" s="2960">
        <f>D21</f>
        <v>0</v>
      </c>
      <c r="J4" s="2960">
        <f>D27</f>
        <v>0</v>
      </c>
      <c r="K4" s="2960">
        <f>D37</f>
        <v>0</v>
      </c>
      <c r="L4" s="2960">
        <f>D43</f>
        <v>0</v>
      </c>
      <c r="M4" s="2960">
        <f>D49</f>
        <v>1086677</v>
      </c>
      <c r="N4" s="2960">
        <f>D55</f>
        <v>0</v>
      </c>
      <c r="O4" s="2960">
        <f>D61</f>
        <v>0</v>
      </c>
      <c r="P4" s="2960">
        <f>D67</f>
        <v>0</v>
      </c>
      <c r="Q4" s="2960"/>
      <c r="R4" s="2960">
        <f>SUM(H4:P4)</f>
        <v>1086677</v>
      </c>
      <c r="S4" s="2963">
        <f>I20</f>
        <v>0</v>
      </c>
    </row>
    <row r="5" spans="1:19" ht="15.75">
      <c r="A5" s="2143" t="s">
        <v>22</v>
      </c>
      <c r="B5" s="2143"/>
      <c r="D5" s="1662"/>
      <c r="E5" s="1662"/>
      <c r="F5" s="1662"/>
      <c r="G5" s="3205" t="s">
        <v>1753</v>
      </c>
      <c r="H5" s="2617">
        <v>0</v>
      </c>
      <c r="I5" s="2618">
        <v>0</v>
      </c>
      <c r="J5" s="2618">
        <v>0</v>
      </c>
      <c r="K5" s="2618">
        <v>0</v>
      </c>
      <c r="L5" s="2618">
        <v>0</v>
      </c>
      <c r="M5" s="2618">
        <v>1389079</v>
      </c>
      <c r="N5" s="2618">
        <v>0</v>
      </c>
      <c r="O5" s="2618">
        <v>0</v>
      </c>
      <c r="P5" s="2618">
        <v>0</v>
      </c>
      <c r="Q5" s="2618"/>
      <c r="R5" s="2618">
        <v>1389079</v>
      </c>
      <c r="S5" s="2756">
        <v>0</v>
      </c>
    </row>
    <row r="6" spans="1:19" ht="16.5" thickBot="1">
      <c r="A6" s="1427">
        <v>18230660</v>
      </c>
      <c r="B6" s="1427"/>
      <c r="C6" s="1352"/>
      <c r="G6" s="3206" t="s">
        <v>1754</v>
      </c>
      <c r="H6" s="2621">
        <f>E15</f>
        <v>0</v>
      </c>
      <c r="I6" s="2622">
        <f>E21</f>
        <v>0</v>
      </c>
      <c r="J6" s="2623">
        <f>E27</f>
        <v>0</v>
      </c>
      <c r="K6" s="2622">
        <f>E37</f>
        <v>0</v>
      </c>
      <c r="L6" s="2622">
        <f>E43</f>
        <v>0</v>
      </c>
      <c r="M6" s="2622">
        <f>E49</f>
        <v>1389079</v>
      </c>
      <c r="N6" s="2622">
        <f>E55</f>
        <v>0</v>
      </c>
      <c r="O6" s="2622">
        <f>E61</f>
        <v>0</v>
      </c>
      <c r="P6" s="2622">
        <f>E67</f>
        <v>0</v>
      </c>
      <c r="Q6" s="2622"/>
      <c r="R6" s="2622">
        <f>SUM(H6:P6)</f>
        <v>1389079</v>
      </c>
      <c r="S6" s="2755">
        <f>J20</f>
        <v>0</v>
      </c>
    </row>
    <row r="7" spans="1:19">
      <c r="A7" s="2143" t="s">
        <v>28</v>
      </c>
      <c r="B7" s="1510"/>
      <c r="C7" s="1664"/>
      <c r="D7" s="1664"/>
      <c r="E7" s="1664"/>
      <c r="F7" s="1664"/>
      <c r="G7" s="2743"/>
      <c r="H7" s="2607"/>
      <c r="I7" s="2607"/>
      <c r="J7" s="2607"/>
      <c r="K7" s="2607"/>
      <c r="L7" s="2607"/>
      <c r="M7" s="2607"/>
      <c r="N7" s="2607"/>
      <c r="O7" s="2607"/>
      <c r="P7" s="2607"/>
      <c r="Q7" s="2607"/>
      <c r="R7" s="2607"/>
      <c r="S7" s="2639"/>
    </row>
    <row r="8" spans="1:19">
      <c r="B8" s="2143"/>
      <c r="C8" s="1664"/>
      <c r="D8" s="1664"/>
    </row>
    <row r="9" spans="1:19">
      <c r="A9" s="1368"/>
      <c r="B9" s="1368"/>
      <c r="C9" s="1664"/>
      <c r="D9" s="1664"/>
    </row>
    <row r="10" spans="1:19">
      <c r="A10" s="1371"/>
      <c r="B10" s="1371"/>
      <c r="C10" s="1454" t="s">
        <v>310</v>
      </c>
      <c r="D10" s="1454"/>
      <c r="E10" s="1454"/>
      <c r="F10" s="1454"/>
    </row>
    <row r="11" spans="1:19" ht="25.5">
      <c r="A11" s="1371"/>
      <c r="B11" s="1371"/>
      <c r="E11" s="1663"/>
      <c r="N11" s="1653" t="s">
        <v>17</v>
      </c>
    </row>
    <row r="12" spans="1:19" ht="15.75">
      <c r="A12" s="1371"/>
      <c r="B12" s="1653"/>
      <c r="C12" s="1434" t="s">
        <v>298</v>
      </c>
      <c r="D12" s="2766">
        <f>D15+D21+D27+D37+D43+D49+D55+D61+D67</f>
        <v>1086677</v>
      </c>
      <c r="E12" s="1484">
        <f>E15+E21+E27+E37+E43+E49+E55+E61+E67</f>
        <v>1389079</v>
      </c>
      <c r="F12" s="1638">
        <f>D12+E12</f>
        <v>2475756</v>
      </c>
      <c r="G12" s="2081" t="s">
        <v>593</v>
      </c>
      <c r="N12" s="1653" t="s">
        <v>18</v>
      </c>
    </row>
    <row r="13" spans="1:19" ht="15.75">
      <c r="A13" s="1653"/>
      <c r="B13" s="1410"/>
      <c r="C13" s="1483"/>
      <c r="D13" s="2767"/>
      <c r="E13" s="1336"/>
      <c r="G13" s="1351"/>
      <c r="H13" s="1351"/>
    </row>
    <row r="14" spans="1:19" ht="15.75">
      <c r="A14" s="1410"/>
      <c r="B14" s="1410"/>
      <c r="C14" s="1435" t="s">
        <v>42</v>
      </c>
      <c r="D14" s="2768">
        <v>2016</v>
      </c>
      <c r="E14" s="1502">
        <v>2017</v>
      </c>
      <c r="F14" s="1486" t="s">
        <v>20</v>
      </c>
      <c r="G14" s="1345"/>
      <c r="H14" s="1345"/>
      <c r="I14" s="1664"/>
      <c r="J14" s="1664"/>
      <c r="K14" s="1664"/>
      <c r="L14" s="1664"/>
      <c r="M14" s="1664"/>
      <c r="N14" s="1664"/>
      <c r="O14" s="1664"/>
      <c r="P14" s="1664"/>
    </row>
    <row r="15" spans="1:19" ht="15.75">
      <c r="A15" s="1410"/>
      <c r="B15" s="1433" t="s">
        <v>296</v>
      </c>
      <c r="C15" s="1597" t="s">
        <v>43</v>
      </c>
      <c r="D15" s="2771">
        <f>SUM(D16:D19)</f>
        <v>0</v>
      </c>
      <c r="E15" s="1464">
        <f>SUM(E16:E19)</f>
        <v>0</v>
      </c>
      <c r="F15" s="1638">
        <f>SUM(D15:E15)</f>
        <v>0</v>
      </c>
      <c r="G15" s="1345"/>
      <c r="H15" s="1345"/>
      <c r="I15" s="1664"/>
      <c r="J15" s="1664"/>
      <c r="K15" s="1664"/>
      <c r="L15" s="1664"/>
      <c r="M15" s="1664"/>
      <c r="N15" s="1664"/>
      <c r="O15" s="1664"/>
      <c r="P15" s="1664"/>
    </row>
    <row r="16" spans="1:19">
      <c r="A16" s="1653"/>
      <c r="B16" s="1982"/>
      <c r="C16" s="1667"/>
      <c r="D16" s="2772"/>
      <c r="E16" s="1669"/>
      <c r="F16" s="1426">
        <f>SUM(D16:E16)</f>
        <v>0</v>
      </c>
    </row>
    <row r="17" spans="1:16">
      <c r="A17" s="1653"/>
      <c r="B17" s="1982"/>
      <c r="C17" s="1667"/>
      <c r="D17" s="2784"/>
      <c r="E17" s="1668"/>
      <c r="F17" s="1661">
        <f>SUM(D17:E17)</f>
        <v>0</v>
      </c>
      <c r="K17" s="1201"/>
      <c r="L17" s="1201"/>
      <c r="M17" s="1201"/>
      <c r="N17" s="1201"/>
    </row>
    <row r="18" spans="1:16" ht="15.75">
      <c r="A18" s="1653"/>
      <c r="B18" s="1982"/>
      <c r="C18" s="1667"/>
      <c r="D18" s="2784"/>
      <c r="E18" s="1668"/>
      <c r="F18" s="1661">
        <f>SUM(D18:E18)</f>
        <v>0</v>
      </c>
      <c r="I18" s="3605" t="s">
        <v>648</v>
      </c>
      <c r="J18" s="3606"/>
      <c r="K18" s="1351"/>
      <c r="L18" s="1351"/>
      <c r="M18" s="1351"/>
      <c r="N18" s="1351"/>
    </row>
    <row r="19" spans="1:16">
      <c r="A19" s="1653"/>
      <c r="B19" s="1982"/>
      <c r="C19" s="1667"/>
      <c r="D19" s="2786"/>
      <c r="E19" s="1446"/>
      <c r="F19" s="1661">
        <f>SUM(D19:E19)</f>
        <v>0</v>
      </c>
      <c r="I19" s="1663">
        <v>2016</v>
      </c>
      <c r="J19" s="1663">
        <v>2017</v>
      </c>
    </row>
    <row r="20" spans="1:16">
      <c r="A20" s="1653"/>
      <c r="B20" s="1449">
        <f>SUM(B16:B19)</f>
        <v>0</v>
      </c>
      <c r="C20" s="1488"/>
      <c r="D20" s="2770"/>
      <c r="E20" s="1490"/>
      <c r="F20" s="1492"/>
      <c r="I20" s="940">
        <v>0</v>
      </c>
      <c r="J20" s="940">
        <v>0</v>
      </c>
    </row>
    <row r="21" spans="1:16">
      <c r="A21" s="1410"/>
      <c r="B21" s="1653"/>
      <c r="C21" s="1597" t="s">
        <v>44</v>
      </c>
      <c r="D21" s="2771">
        <v>0</v>
      </c>
      <c r="E21" s="1464">
        <v>0</v>
      </c>
      <c r="F21" s="1638">
        <v>0</v>
      </c>
      <c r="G21" s="1664"/>
      <c r="H21" s="1664"/>
      <c r="I21" s="1664"/>
      <c r="J21" s="1664"/>
      <c r="K21" s="1664"/>
      <c r="L21" s="1664"/>
      <c r="M21" s="1664"/>
      <c r="N21" s="1664"/>
      <c r="O21" s="1664"/>
      <c r="P21" s="1664"/>
    </row>
    <row r="22" spans="1:16">
      <c r="A22" s="1653"/>
      <c r="B22" s="1653"/>
      <c r="C22" s="1667"/>
      <c r="D22" s="2772"/>
      <c r="E22" s="1669"/>
      <c r="F22" s="1426">
        <v>0</v>
      </c>
    </row>
    <row r="23" spans="1:16">
      <c r="A23" s="1653"/>
      <c r="B23" s="1653"/>
      <c r="C23" s="1667"/>
      <c r="D23" s="2773"/>
      <c r="E23" s="1444"/>
      <c r="F23" s="1661">
        <v>0</v>
      </c>
    </row>
    <row r="24" spans="1:16">
      <c r="A24" s="1653"/>
      <c r="B24" s="1653"/>
      <c r="C24" s="1667"/>
      <c r="D24" s="2774"/>
      <c r="E24" s="1443"/>
      <c r="F24" s="1661">
        <v>0</v>
      </c>
    </row>
    <row r="25" spans="1:16">
      <c r="A25" s="1653"/>
      <c r="B25" s="1653"/>
      <c r="C25" s="1667"/>
      <c r="D25" s="2775"/>
      <c r="E25" s="1444"/>
      <c r="F25" s="1661">
        <v>0</v>
      </c>
    </row>
    <row r="26" spans="1:16">
      <c r="A26" s="1653"/>
      <c r="B26" s="1653"/>
      <c r="C26" s="1424"/>
      <c r="D26" s="2776"/>
      <c r="E26" s="1431"/>
      <c r="F26" s="1439"/>
    </row>
    <row r="27" spans="1:16">
      <c r="A27" s="1653"/>
      <c r="B27" s="1350"/>
      <c r="C27" s="1597" t="s">
        <v>45</v>
      </c>
      <c r="D27" s="2771">
        <f>SUM(D29:D31)</f>
        <v>0</v>
      </c>
      <c r="E27" s="1657">
        <f>SUM(E29:E31)+SUM(E33:E35)</f>
        <v>0</v>
      </c>
      <c r="F27" s="1638">
        <f>SUM(D27:E27)</f>
        <v>0</v>
      </c>
    </row>
    <row r="28" spans="1:16">
      <c r="A28" s="1350"/>
      <c r="B28" s="1653"/>
      <c r="C28" s="1450" t="s">
        <v>1733</v>
      </c>
      <c r="D28" s="2777">
        <v>0.66700000000000004</v>
      </c>
      <c r="E28" s="1452">
        <v>0.68799999999999994</v>
      </c>
      <c r="F28" s="1485"/>
      <c r="G28" s="1348"/>
    </row>
    <row r="29" spans="1:16">
      <c r="A29" s="1653"/>
      <c r="B29" s="1410"/>
      <c r="C29" s="1667" t="s">
        <v>719</v>
      </c>
      <c r="D29" s="2778"/>
      <c r="E29" s="1641"/>
      <c r="F29" s="1661">
        <f>SUM(D29:E29)</f>
        <v>0</v>
      </c>
    </row>
    <row r="30" spans="1:16">
      <c r="A30" s="1410"/>
      <c r="B30" s="1653"/>
      <c r="C30" s="1667" t="s">
        <v>720</v>
      </c>
      <c r="D30" s="2785"/>
      <c r="E30" s="1641"/>
      <c r="F30" s="1661">
        <f>SUM(D30:E30)</f>
        <v>0</v>
      </c>
      <c r="G30" s="1664"/>
      <c r="H30" s="1664"/>
      <c r="I30" s="1664"/>
      <c r="J30" s="1664"/>
      <c r="K30" s="1664"/>
      <c r="L30" s="1664"/>
      <c r="M30" s="1664"/>
      <c r="N30" s="1664"/>
      <c r="O30" s="1664"/>
      <c r="P30" s="1664"/>
    </row>
    <row r="31" spans="1:16">
      <c r="A31" s="1653"/>
      <c r="B31" s="1653"/>
      <c r="C31" s="1667"/>
      <c r="D31" s="2774"/>
      <c r="E31" s="1443"/>
      <c r="F31" s="1436"/>
    </row>
    <row r="32" spans="1:16">
      <c r="A32" s="1653"/>
      <c r="B32" s="1653"/>
      <c r="C32" s="1450" t="s">
        <v>1734</v>
      </c>
      <c r="D32" s="2777"/>
      <c r="E32" s="1452">
        <v>2.0999999999999999E-3</v>
      </c>
      <c r="F32" s="1485"/>
    </row>
    <row r="33" spans="1:7">
      <c r="A33" s="1653"/>
      <c r="B33" s="1653"/>
      <c r="C33" s="1667" t="s">
        <v>719</v>
      </c>
      <c r="D33" s="2778"/>
      <c r="E33" s="1641">
        <f>E15*E32</f>
        <v>0</v>
      </c>
      <c r="F33" s="1661">
        <f>SUM(D33:E33)</f>
        <v>0</v>
      </c>
    </row>
    <row r="34" spans="1:7" ht="27" customHeight="1">
      <c r="A34" s="2143" t="s">
        <v>616</v>
      </c>
      <c r="B34" s="1653"/>
      <c r="C34" s="1667" t="s">
        <v>720</v>
      </c>
      <c r="D34" s="2785"/>
      <c r="E34" s="1641">
        <f>E21*E32</f>
        <v>0</v>
      </c>
      <c r="F34" s="1661">
        <f t="shared" ref="F34" si="0">SUM(D34:E34)</f>
        <v>0</v>
      </c>
    </row>
    <row r="35" spans="1:7">
      <c r="A35" s="2143" t="s">
        <v>649</v>
      </c>
      <c r="B35" s="1653"/>
      <c r="C35" s="1445"/>
      <c r="D35" s="2775"/>
      <c r="E35" s="1444"/>
      <c r="F35" s="1437"/>
    </row>
    <row r="36" spans="1:7">
      <c r="A36" s="2143" t="s">
        <v>22</v>
      </c>
      <c r="B36" s="1653"/>
      <c r="C36" s="1488"/>
      <c r="D36" s="2779"/>
      <c r="E36" s="1490"/>
      <c r="F36" s="1493"/>
    </row>
    <row r="37" spans="1:7">
      <c r="A37" s="1427">
        <v>18230660</v>
      </c>
      <c r="B37" s="1653"/>
      <c r="C37" s="1597" t="s">
        <v>46</v>
      </c>
      <c r="D37" s="2771">
        <v>0</v>
      </c>
      <c r="E37" s="1464">
        <v>0</v>
      </c>
      <c r="F37" s="1638">
        <v>0</v>
      </c>
    </row>
    <row r="38" spans="1:7">
      <c r="A38" s="2143" t="s">
        <v>28</v>
      </c>
      <c r="B38" s="1653"/>
      <c r="C38" s="1667"/>
      <c r="D38" s="2778"/>
      <c r="E38" s="1672"/>
      <c r="F38" s="1661">
        <v>0</v>
      </c>
    </row>
    <row r="39" spans="1:7">
      <c r="A39" s="1427"/>
      <c r="B39" s="1653"/>
      <c r="C39" s="1667"/>
      <c r="D39" s="2778"/>
      <c r="E39" s="1672"/>
      <c r="F39" s="1661">
        <v>0</v>
      </c>
    </row>
    <row r="40" spans="1:7">
      <c r="A40" s="214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0</v>
      </c>
      <c r="E43" s="1464">
        <f>SUM(E44:E47)</f>
        <v>0</v>
      </c>
      <c r="F43" s="1638">
        <f t="shared" ref="F43:F59" si="1">SUM(D43:E43)</f>
        <v>0</v>
      </c>
    </row>
    <row r="44" spans="1:7">
      <c r="A44" s="1653"/>
      <c r="B44" s="1653"/>
      <c r="C44" s="1667"/>
      <c r="D44" s="2778"/>
      <c r="E44" s="1672"/>
      <c r="F44" s="1661">
        <f t="shared" si="1"/>
        <v>0</v>
      </c>
    </row>
    <row r="45" spans="1:7">
      <c r="A45" s="1653"/>
      <c r="B45" s="1653"/>
      <c r="C45" s="1667"/>
      <c r="D45" s="2778"/>
      <c r="E45" s="1672"/>
      <c r="F45" s="1661">
        <f t="shared" si="1"/>
        <v>0</v>
      </c>
    </row>
    <row r="46" spans="1:7">
      <c r="A46" s="1653"/>
      <c r="B46" s="1653"/>
      <c r="C46" s="1667"/>
      <c r="D46" s="2778"/>
      <c r="E46" s="1672"/>
      <c r="F46" s="1661">
        <f t="shared" si="1"/>
        <v>0</v>
      </c>
    </row>
    <row r="47" spans="1:7">
      <c r="A47" s="1653"/>
      <c r="B47" s="1653"/>
      <c r="C47" s="1667"/>
      <c r="D47" s="2778"/>
      <c r="E47" s="1672"/>
      <c r="F47" s="1661">
        <f t="shared" si="1"/>
        <v>0</v>
      </c>
      <c r="G47" s="1652" t="s">
        <v>759</v>
      </c>
    </row>
    <row r="48" spans="1:7">
      <c r="A48" s="1653"/>
      <c r="B48" s="1653"/>
      <c r="C48" s="1488"/>
      <c r="D48" s="2779"/>
      <c r="E48" s="1490"/>
      <c r="F48" s="1493"/>
    </row>
    <row r="49" spans="1:6">
      <c r="A49" s="1653"/>
      <c r="B49" s="1653"/>
      <c r="C49" s="1597" t="s">
        <v>47</v>
      </c>
      <c r="D49" s="2771">
        <f>SUM(D50:D53)</f>
        <v>1086677</v>
      </c>
      <c r="E49" s="1464">
        <f>SUM(E50:E53)</f>
        <v>1389079</v>
      </c>
      <c r="F49" s="1638">
        <f t="shared" si="1"/>
        <v>2475756</v>
      </c>
    </row>
    <row r="50" spans="1:6">
      <c r="A50" s="1653"/>
      <c r="B50" s="1653"/>
      <c r="C50" s="1667"/>
      <c r="D50" s="2778">
        <v>1086677</v>
      </c>
      <c r="E50" s="1672">
        <v>1389079</v>
      </c>
      <c r="F50" s="1661">
        <f t="shared" si="1"/>
        <v>2475756</v>
      </c>
    </row>
    <row r="51" spans="1:6">
      <c r="A51" s="1653"/>
      <c r="B51" s="1653"/>
      <c r="C51" s="1667"/>
      <c r="D51" s="2778"/>
      <c r="E51" s="1672"/>
      <c r="F51" s="1661">
        <f t="shared" si="1"/>
        <v>0</v>
      </c>
    </row>
    <row r="52" spans="1:6">
      <c r="A52" s="1653"/>
      <c r="B52" s="1653"/>
      <c r="C52" s="1667"/>
      <c r="D52" s="2778"/>
      <c r="E52" s="1672"/>
      <c r="F52" s="1661">
        <f t="shared" si="1"/>
        <v>0</v>
      </c>
    </row>
    <row r="53" spans="1:6">
      <c r="A53" s="1653"/>
      <c r="B53" s="1653"/>
      <c r="C53" s="1667"/>
      <c r="D53" s="2778"/>
      <c r="E53" s="1672"/>
      <c r="F53" s="1661">
        <f t="shared" si="1"/>
        <v>0</v>
      </c>
    </row>
    <row r="54" spans="1:6">
      <c r="A54" s="1653"/>
      <c r="B54" s="1653"/>
      <c r="C54" s="1488"/>
      <c r="D54" s="2779"/>
      <c r="E54" s="1490"/>
      <c r="F54" s="1493"/>
    </row>
    <row r="55" spans="1:6">
      <c r="A55" s="1653"/>
      <c r="B55" s="1653"/>
      <c r="C55" s="1597" t="s">
        <v>48</v>
      </c>
      <c r="D55" s="2771">
        <f>SUM(D56:D59)</f>
        <v>0</v>
      </c>
      <c r="E55" s="1464">
        <f>SUM(E56:E59)</f>
        <v>0</v>
      </c>
      <c r="F55" s="1638">
        <f t="shared" si="1"/>
        <v>0</v>
      </c>
    </row>
    <row r="56" spans="1:6">
      <c r="A56" s="1653"/>
      <c r="B56" s="1653"/>
      <c r="C56" s="1667"/>
      <c r="D56" s="2778"/>
      <c r="E56" s="1641"/>
      <c r="F56" s="1661">
        <f t="shared" si="1"/>
        <v>0</v>
      </c>
    </row>
    <row r="57" spans="1:6">
      <c r="A57" s="1653"/>
      <c r="B57" s="1653"/>
      <c r="C57" s="1667"/>
      <c r="D57" s="2778"/>
      <c r="E57" s="1641"/>
      <c r="F57" s="1661">
        <f t="shared" si="1"/>
        <v>0</v>
      </c>
    </row>
    <row r="58" spans="1:6">
      <c r="A58" s="1653"/>
      <c r="B58" s="1653"/>
      <c r="C58" s="1667"/>
      <c r="D58" s="2778"/>
      <c r="E58" s="1641"/>
      <c r="F58" s="1661">
        <f t="shared" si="1"/>
        <v>0</v>
      </c>
    </row>
    <row r="59" spans="1:6">
      <c r="A59" s="1653"/>
      <c r="C59" s="1667"/>
      <c r="D59" s="2778"/>
      <c r="E59" s="1641"/>
      <c r="F59" s="1661">
        <f t="shared" si="1"/>
        <v>0</v>
      </c>
    </row>
    <row r="60" spans="1:6">
      <c r="C60" s="1488"/>
      <c r="D60" s="2779"/>
      <c r="E60" s="1490"/>
      <c r="F60" s="1493"/>
    </row>
    <row r="61" spans="1:6">
      <c r="C61" s="1597" t="s">
        <v>49</v>
      </c>
      <c r="D61" s="2780">
        <f>SUM(D62:D65)</f>
        <v>0</v>
      </c>
      <c r="E61" s="1657">
        <f>SUM(E62:E65)</f>
        <v>0</v>
      </c>
      <c r="F61" s="1602">
        <f>SUM(D61:E61)</f>
        <v>0</v>
      </c>
    </row>
    <row r="62" spans="1:6">
      <c r="C62" s="1667"/>
      <c r="D62" s="2778"/>
      <c r="E62" s="1672"/>
      <c r="F62" s="1661">
        <f>SUM(D62:E62)</f>
        <v>0</v>
      </c>
    </row>
    <row r="63" spans="1:6">
      <c r="C63" s="1667"/>
      <c r="D63" s="2778"/>
      <c r="E63" s="1672"/>
      <c r="F63" s="1661">
        <v>0</v>
      </c>
    </row>
    <row r="64" spans="1:6" ht="26.25" customHeight="1">
      <c r="A64" s="2143" t="s">
        <v>616</v>
      </c>
      <c r="C64" s="1667"/>
      <c r="D64" s="2778"/>
      <c r="E64" s="1672"/>
      <c r="F64" s="1437">
        <v>0</v>
      </c>
    </row>
    <row r="65" spans="1:6">
      <c r="A65" s="2143" t="s">
        <v>649</v>
      </c>
      <c r="C65" s="1667"/>
      <c r="D65" s="2778"/>
      <c r="E65" s="1672"/>
      <c r="F65" s="1661">
        <v>0</v>
      </c>
    </row>
    <row r="66" spans="1:6">
      <c r="A66" s="2143" t="s">
        <v>22</v>
      </c>
      <c r="C66" s="1488"/>
      <c r="D66" s="2779"/>
      <c r="E66" s="1490"/>
      <c r="F66" s="1493"/>
    </row>
    <row r="67" spans="1:6">
      <c r="A67" s="1427">
        <v>18230660</v>
      </c>
      <c r="C67" s="1597" t="s">
        <v>50</v>
      </c>
      <c r="D67" s="2771"/>
      <c r="E67" s="1464"/>
      <c r="F67" s="1638">
        <f>D67+E67</f>
        <v>0</v>
      </c>
    </row>
    <row r="68" spans="1:6">
      <c r="A68" s="2143" t="s">
        <v>28</v>
      </c>
      <c r="C68" s="1500" t="s">
        <v>297</v>
      </c>
      <c r="D68" s="2781"/>
      <c r="E68" s="1496"/>
      <c r="F68" s="1499"/>
    </row>
    <row r="69" spans="1:6">
      <c r="A69" s="1427"/>
      <c r="C69" s="1501"/>
      <c r="D69" s="2782"/>
      <c r="E69" s="1497"/>
      <c r="F69" s="1498"/>
    </row>
    <row r="70" spans="1:6">
      <c r="A70" s="2143"/>
      <c r="C70" s="1494" t="s">
        <v>51</v>
      </c>
      <c r="D70" s="2778">
        <v>0</v>
      </c>
      <c r="E70" s="1671">
        <v>0</v>
      </c>
      <c r="F70" s="1491">
        <v>0</v>
      </c>
    </row>
    <row r="71" spans="1:6">
      <c r="A71" s="1653"/>
    </row>
  </sheetData>
  <customSheetViews>
    <customSheetView guid="{D9EFFE19-D14B-4C6F-BDF4-FF696F73968D}" showGridLines="0">
      <pane xSplit="1" ySplit="1" topLeftCell="B11" activePane="bottomRight" state="frozen"/>
      <selection pane="bottomRight" activeCell="G48" sqref="G48"/>
      <pageMargins left="0.7" right="0.7" top="0.75" bottom="0.75" header="0.3" footer="0.3"/>
      <pageSetup orientation="portrait" r:id="rId1"/>
    </customSheetView>
    <customSheetView guid="{074EB09C-6289-46D7-9513-012B68BCA7BF}" showGridLines="0" fitToPage="1">
      <pane xSplit="1" ySplit="1" topLeftCell="B2" activePane="bottomRight" state="frozen"/>
      <selection pane="bottomRight" activeCell="G4" sqref="G4:G6"/>
      <pageMargins left="0.7" right="0.7" top="0.75" bottom="0.75" header="0.3" footer="0.3"/>
      <pageSetup paperSize="17" scale="58" orientation="landscape" r:id="rId2"/>
    </customSheetView>
  </customSheetViews>
  <mergeCells count="1">
    <mergeCell ref="I18:J18"/>
  </mergeCells>
  <pageMargins left="0.7" right="0.7" top="0.75" bottom="0.75" header="0.3" footer="0.3"/>
  <pageSetup paperSize="17" scale="56" orientation="landscape" r:id="rId3"/>
  <drawing r:id="rId4"/>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7" tint="-0.249977111117893"/>
  </sheetPr>
  <dimension ref="A1:C6"/>
  <sheetViews>
    <sheetView showGridLines="0" workbookViewId="0">
      <selection activeCell="H19" sqref="H19"/>
    </sheetView>
  </sheetViews>
  <sheetFormatPr defaultRowHeight="12.75"/>
  <sheetData>
    <row r="1" spans="1:3">
      <c r="A1" t="s">
        <v>1</v>
      </c>
    </row>
    <row r="3" spans="1:3">
      <c r="B3" s="1652" t="s">
        <v>343</v>
      </c>
      <c r="C3" s="1652"/>
    </row>
    <row r="4" spans="1:3">
      <c r="B4" s="1652" t="s">
        <v>337</v>
      </c>
      <c r="C4" s="1652" t="s">
        <v>338</v>
      </c>
    </row>
    <row r="5" spans="1:3">
      <c r="B5" s="1652" t="s">
        <v>339</v>
      </c>
      <c r="C5" s="1652" t="s">
        <v>340</v>
      </c>
    </row>
    <row r="6" spans="1:3">
      <c r="B6" s="1652" t="s">
        <v>341</v>
      </c>
      <c r="C6" s="1652" t="s">
        <v>342</v>
      </c>
    </row>
  </sheetData>
  <customSheetViews>
    <customSheetView guid="{D9EFFE19-D14B-4C6F-BDF4-FF696F73968D}" showGridLines="0">
      <selection activeCell="O33" sqref="O33"/>
      <pageMargins left="0.7" right="0.7" top="0.75" bottom="0.75" header="0.3" footer="0.3"/>
      <pageSetup paperSize="3" orientation="landscape" r:id="rId1"/>
    </customSheetView>
    <customSheetView guid="{074EB09C-6289-46D7-9513-012B68BCA7BF}" showGridLines="0">
      <selection activeCell="H19" sqref="H19"/>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tint="-0.249977111117893"/>
  </sheetPr>
  <dimension ref="A1:L100"/>
  <sheetViews>
    <sheetView showGridLines="0" tabSelected="1" zoomScaleNormal="100" workbookViewId="0">
      <pane ySplit="4" topLeftCell="A59" activePane="bottomLeft" state="frozen"/>
      <selection pane="bottomLeft" activeCell="O3" sqref="O3"/>
    </sheetView>
  </sheetViews>
  <sheetFormatPr defaultColWidth="9.140625" defaultRowHeight="12.75"/>
  <cols>
    <col min="1" max="1" width="4.85546875" style="1196" customWidth="1"/>
    <col min="2" max="2" width="5.85546875" style="1652" customWidth="1"/>
    <col min="3" max="3" width="12.7109375" style="1198" customWidth="1"/>
    <col min="4" max="4" width="6.28515625" style="1196" customWidth="1"/>
    <col min="5" max="5" width="6.140625" style="1196" customWidth="1"/>
    <col min="6" max="6" width="35" style="1196" customWidth="1"/>
    <col min="7" max="7" width="16.42578125" style="1196" customWidth="1"/>
    <col min="8" max="8" width="18.5703125" style="1196" customWidth="1"/>
    <col min="9" max="9" width="19.140625" style="1196" customWidth="1"/>
    <col min="10" max="10" width="16.85546875" style="1196" customWidth="1"/>
    <col min="11" max="11" width="19.5703125" style="1196" customWidth="1"/>
    <col min="12" max="16384" width="9.140625" style="1196"/>
  </cols>
  <sheetData>
    <row r="1" spans="1:12" ht="54" customHeight="1">
      <c r="E1" s="1208"/>
      <c r="F1" s="1349" t="s">
        <v>1723</v>
      </c>
      <c r="I1" s="1218"/>
      <c r="J1" s="1217"/>
      <c r="K1" s="1217"/>
    </row>
    <row r="2" spans="1:12" ht="17.25" customHeight="1" thickBot="1">
      <c r="E2" s="1209" t="s">
        <v>169</v>
      </c>
      <c r="F2" s="1192">
        <f ca="1">NOW()</f>
        <v>42685.401219560183</v>
      </c>
      <c r="G2" s="1116"/>
      <c r="H2" s="498"/>
      <c r="I2" s="499"/>
      <c r="J2" s="1193"/>
      <c r="K2" s="1193"/>
    </row>
    <row r="3" spans="1:12" ht="76.5">
      <c r="A3" s="1336"/>
      <c r="B3" s="1737" t="s">
        <v>417</v>
      </c>
      <c r="C3" s="1722" t="s">
        <v>249</v>
      </c>
      <c r="D3" s="1713" t="s">
        <v>170</v>
      </c>
      <c r="E3" s="1709"/>
      <c r="F3" s="1709"/>
      <c r="G3" s="1715" t="s">
        <v>564</v>
      </c>
      <c r="H3" s="1715" t="s">
        <v>171</v>
      </c>
      <c r="I3" s="1715" t="s">
        <v>172</v>
      </c>
      <c r="J3" s="1715" t="s">
        <v>295</v>
      </c>
      <c r="K3" s="1714" t="s">
        <v>173</v>
      </c>
    </row>
    <row r="4" spans="1:12" s="1652" customFormat="1" ht="16.5" thickBot="1">
      <c r="A4" s="1336"/>
      <c r="B4" s="1201"/>
      <c r="C4" s="1723"/>
      <c r="D4" s="1765" t="s">
        <v>594</v>
      </c>
      <c r="E4" s="1710"/>
      <c r="F4" s="1710"/>
      <c r="G4" s="1711"/>
      <c r="H4" s="1711"/>
      <c r="I4" s="1711"/>
      <c r="J4" s="1711"/>
      <c r="K4" s="1712"/>
    </row>
    <row r="5" spans="1:12" ht="15.75">
      <c r="A5" s="1336"/>
      <c r="B5" s="2187"/>
      <c r="C5" s="2188"/>
      <c r="D5" s="2189" t="s">
        <v>68</v>
      </c>
      <c r="E5" s="2189"/>
      <c r="F5" s="2189"/>
      <c r="G5" s="2190"/>
      <c r="H5" s="2191"/>
      <c r="I5" s="2190"/>
      <c r="J5" s="2190"/>
      <c r="K5" s="2192"/>
    </row>
    <row r="6" spans="1:12">
      <c r="A6" s="1336"/>
      <c r="B6" s="1749" t="s">
        <v>418</v>
      </c>
      <c r="C6" s="1725">
        <v>201</v>
      </c>
      <c r="D6" s="893" t="s">
        <v>165</v>
      </c>
      <c r="E6" s="873"/>
      <c r="F6" s="874"/>
      <c r="G6" s="2528">
        <f>'2017 Sector View Elect'!T7/1000</f>
        <v>1835.72831</v>
      </c>
      <c r="H6" s="1245">
        <f>'2017 Sector View Elect'!S7</f>
        <v>3735427.9275000002</v>
      </c>
      <c r="I6" s="2528">
        <f>'2017 Sector View Gas'!T7</f>
        <v>8785.9499999999989</v>
      </c>
      <c r="J6" s="894">
        <f>'2017 Sector View Gas'!S7</f>
        <v>183600.38750000001</v>
      </c>
      <c r="K6" s="2130">
        <f t="array" ref="K6:K21">H6:H21+J6:J21</f>
        <v>3919028.3150000004</v>
      </c>
    </row>
    <row r="7" spans="1:12">
      <c r="A7" s="1336"/>
      <c r="B7" s="1738" t="s">
        <v>419</v>
      </c>
      <c r="C7" s="1724">
        <v>214</v>
      </c>
      <c r="D7" s="503" t="s">
        <v>413</v>
      </c>
      <c r="E7" s="1548"/>
      <c r="F7" s="1547"/>
      <c r="G7" s="2531">
        <f>SUM(G8:G17)</f>
        <v>96696.437629999986</v>
      </c>
      <c r="H7" s="907">
        <f>SUM(H8:H17)</f>
        <v>27657200.25962</v>
      </c>
      <c r="I7" s="2529">
        <f>SUM(I8:I17)</f>
        <v>1426705</v>
      </c>
      <c r="J7" s="907">
        <f>SUM(J8:J17)</f>
        <v>5789539.0175900003</v>
      </c>
      <c r="K7" s="1248">
        <v>33446739.277210001</v>
      </c>
    </row>
    <row r="8" spans="1:12" s="2056" customFormat="1">
      <c r="A8" s="2047"/>
      <c r="B8" s="2048" t="s">
        <v>420</v>
      </c>
      <c r="C8" s="2049"/>
      <c r="D8" s="2050"/>
      <c r="E8" s="2051" t="s">
        <v>174</v>
      </c>
      <c r="F8" s="2052"/>
      <c r="G8" s="2532">
        <f>'2017 Sector View Elect'!T14/1000</f>
        <v>69473.421119999999</v>
      </c>
      <c r="H8" s="2053">
        <f>'2017 Sector View Elect'!S14</f>
        <v>13833178.823899999</v>
      </c>
      <c r="I8" s="2530"/>
      <c r="J8" s="2053"/>
      <c r="K8" s="2054">
        <v>13833178.823899999</v>
      </c>
      <c r="L8" s="2055"/>
    </row>
    <row r="9" spans="1:12" s="2056" customFormat="1">
      <c r="A9" s="2047"/>
      <c r="B9" s="2048" t="s">
        <v>421</v>
      </c>
      <c r="C9" s="2049"/>
      <c r="D9" s="2050"/>
      <c r="E9" s="2051" t="s">
        <v>175</v>
      </c>
      <c r="F9" s="2052"/>
      <c r="G9" s="2532">
        <f>'2017 Sector View Elect'!T11/1000</f>
        <v>7730.7749999999996</v>
      </c>
      <c r="H9" s="2053">
        <f>'2017 Sector View Elect'!S11</f>
        <v>3996973.72083</v>
      </c>
      <c r="I9" s="2530">
        <f>'2017 Sector View Gas'!T11</f>
        <v>618205</v>
      </c>
      <c r="J9" s="2053">
        <f>'2017 Sector View Gas'!S11</f>
        <v>2349234.62311</v>
      </c>
      <c r="K9" s="2054">
        <v>6346208.34394</v>
      </c>
      <c r="L9" s="2055"/>
    </row>
    <row r="10" spans="1:12" s="2056" customFormat="1">
      <c r="A10" s="2047"/>
      <c r="B10" s="2048" t="s">
        <v>422</v>
      </c>
      <c r="C10" s="2049"/>
      <c r="D10" s="2050"/>
      <c r="E10" s="2051" t="s">
        <v>176</v>
      </c>
      <c r="F10" s="2052"/>
      <c r="G10" s="2532">
        <f>'2017 Sector View Elect'!T9/1000</f>
        <v>727.67499999999995</v>
      </c>
      <c r="H10" s="2053">
        <f>'2017 Sector View Elect'!S9</f>
        <v>477188.26634999999</v>
      </c>
      <c r="I10" s="2530">
        <f>'2017 Sector View Gas'!T9</f>
        <v>0</v>
      </c>
      <c r="J10" s="2053">
        <f>'2017 Sector View Gas'!S9</f>
        <v>0</v>
      </c>
      <c r="K10" s="2054">
        <v>477188.26634999999</v>
      </c>
      <c r="L10" s="2055"/>
    </row>
    <row r="11" spans="1:12" s="2056" customFormat="1">
      <c r="A11" s="2047"/>
      <c r="B11" s="2048" t="s">
        <v>423</v>
      </c>
      <c r="C11" s="2049"/>
      <c r="D11" s="2050"/>
      <c r="E11" s="2051" t="s">
        <v>1560</v>
      </c>
      <c r="F11" s="2052"/>
      <c r="G11" s="2532">
        <f>'2017 Sector View Elect'!T8/1000</f>
        <v>5039.3222000000005</v>
      </c>
      <c r="H11" s="2053">
        <f>'2017 Sector View Elect'!S8</f>
        <v>2843947.80584</v>
      </c>
      <c r="I11" s="2530">
        <f>'2017 Sector View Gas'!T8</f>
        <v>0</v>
      </c>
      <c r="J11" s="2053">
        <f>'2017 Sector View Gas'!S8</f>
        <v>0</v>
      </c>
      <c r="K11" s="2054">
        <v>2843947.80584</v>
      </c>
      <c r="L11" s="2055"/>
    </row>
    <row r="12" spans="1:12" s="2056" customFormat="1">
      <c r="A12" s="2047"/>
      <c r="B12" s="2048" t="s">
        <v>424</v>
      </c>
      <c r="C12" s="2049"/>
      <c r="D12" s="2050"/>
      <c r="E12" s="2051" t="s">
        <v>59</v>
      </c>
      <c r="F12" s="2052"/>
      <c r="G12" s="2532">
        <f>'2017 Sector View Elect'!T12/1000</f>
        <v>6721.7089999999998</v>
      </c>
      <c r="H12" s="2053">
        <f>'2017 Sector View Elect'!S12</f>
        <v>4458254.8387000002</v>
      </c>
      <c r="I12" s="2530">
        <f>'2017 Sector View Gas'!T13</f>
        <v>40705</v>
      </c>
      <c r="J12" s="2053">
        <f>'2017 Sector View Gas'!S13</f>
        <v>14805</v>
      </c>
      <c r="K12" s="2054">
        <v>4473059.8387000002</v>
      </c>
      <c r="L12" s="2055"/>
    </row>
    <row r="13" spans="1:12" s="2056" customFormat="1">
      <c r="A13" s="2047"/>
      <c r="B13" s="2048" t="s">
        <v>425</v>
      </c>
      <c r="C13" s="2049"/>
      <c r="D13" s="2050"/>
      <c r="E13" s="2051" t="s">
        <v>276</v>
      </c>
      <c r="F13" s="2052"/>
      <c r="G13" s="2532">
        <f>'2017 Sector View Elect'!T15/1000</f>
        <v>0</v>
      </c>
      <c r="H13" s="2053">
        <f>'2017 Sector View Elect'!S15</f>
        <v>0</v>
      </c>
      <c r="I13" s="2530">
        <f>'2017 Sector View Gas'!T14</f>
        <v>0</v>
      </c>
      <c r="J13" s="2053">
        <f>'2017 Sector View Gas'!S14</f>
        <v>0</v>
      </c>
      <c r="K13" s="2054">
        <v>0</v>
      </c>
      <c r="L13" s="2055"/>
    </row>
    <row r="14" spans="1:12" s="2056" customFormat="1">
      <c r="A14" s="2047"/>
      <c r="B14" s="2048" t="s">
        <v>307</v>
      </c>
      <c r="C14" s="2049"/>
      <c r="D14" s="2050"/>
      <c r="E14" s="2051" t="s">
        <v>324</v>
      </c>
      <c r="F14" s="2052"/>
      <c r="G14" s="2532">
        <f>'2017 Sector View Elect'!T17/1000</f>
        <v>703.2</v>
      </c>
      <c r="H14" s="2053">
        <f>'2017 Sector View Elect'!S17</f>
        <v>158040.13750000001</v>
      </c>
      <c r="I14" s="2530">
        <f>'2017 Sector View Gas'!T15</f>
        <v>170000</v>
      </c>
      <c r="J14" s="2053">
        <f>'2017 Sector View Gas'!S15</f>
        <v>353040.13750000001</v>
      </c>
      <c r="K14" s="2054">
        <v>511080.27500000002</v>
      </c>
      <c r="L14" s="2055"/>
    </row>
    <row r="15" spans="1:12" s="2056" customFormat="1">
      <c r="A15" s="2047"/>
      <c r="B15" s="2048" t="s">
        <v>426</v>
      </c>
      <c r="C15" s="2049"/>
      <c r="D15" s="2050"/>
      <c r="E15" s="2051" t="s">
        <v>177</v>
      </c>
      <c r="F15" s="2052"/>
      <c r="G15" s="2532">
        <f>'2017 Sector View Elect'!T13/1000</f>
        <v>4272.6099999999997</v>
      </c>
      <c r="H15" s="2053">
        <f>'2017 Sector View Elect'!S13</f>
        <v>640814.79590000003</v>
      </c>
      <c r="I15" s="2530">
        <f>'2017 Sector View Gas'!T12</f>
        <v>187782.5</v>
      </c>
      <c r="J15" s="2053">
        <f>'2017 Sector View Gas'!S12</f>
        <v>330535.70918000001</v>
      </c>
      <c r="K15" s="2054">
        <v>971350.50508000003</v>
      </c>
      <c r="L15" s="2055"/>
    </row>
    <row r="16" spans="1:12" s="2056" customFormat="1">
      <c r="A16" s="2047"/>
      <c r="B16" s="2048" t="s">
        <v>427</v>
      </c>
      <c r="C16" s="2049"/>
      <c r="D16" s="2050"/>
      <c r="E16" s="2051" t="s">
        <v>178</v>
      </c>
      <c r="F16" s="2052"/>
      <c r="G16" s="2532">
        <f>'2017 Sector View Elect'!T10/1000</f>
        <v>2027.72531</v>
      </c>
      <c r="H16" s="2053">
        <f>'2017 Sector View Elect'!S10</f>
        <v>1122427.3106</v>
      </c>
      <c r="I16" s="2530">
        <f>'2017 Sector View Gas'!T10</f>
        <v>410012.5</v>
      </c>
      <c r="J16" s="2053">
        <f>'2017 Sector View Gas'!S10</f>
        <v>2698911.3328</v>
      </c>
      <c r="K16" s="2054">
        <v>3821338.6433999999</v>
      </c>
      <c r="L16" s="2055"/>
    </row>
    <row r="17" spans="1:12" s="2056" customFormat="1">
      <c r="A17" s="2047"/>
      <c r="B17" s="2048" t="s">
        <v>428</v>
      </c>
      <c r="C17" s="2049"/>
      <c r="D17" s="2050"/>
      <c r="E17" s="2051" t="s">
        <v>182</v>
      </c>
      <c r="F17" s="2052"/>
      <c r="G17" s="2532">
        <f>'2017 Sector View Elect'!T16/1000</f>
        <v>0</v>
      </c>
      <c r="H17" s="2053">
        <f>'2017 Sector View Elect'!S16</f>
        <v>126374.56</v>
      </c>
      <c r="I17" s="2530">
        <f>'2017 Sector View Gas'!T16</f>
        <v>0</v>
      </c>
      <c r="J17" s="2053">
        <f>'2017 Sector View Gas'!S16</f>
        <v>43012.214999999997</v>
      </c>
      <c r="K17" s="2054">
        <v>169386.77499999999</v>
      </c>
      <c r="L17" s="2055"/>
    </row>
    <row r="18" spans="1:12">
      <c r="A18" s="1336"/>
      <c r="B18" s="1738" t="s">
        <v>429</v>
      </c>
      <c r="C18" s="1724" t="s">
        <v>569</v>
      </c>
      <c r="D18" s="897" t="s">
        <v>570</v>
      </c>
      <c r="E18" s="873"/>
      <c r="F18" s="874"/>
      <c r="G18" s="2528">
        <f>('2017 Sector View Elect'!T18+'2017 Sector View Elect'!T19+'2017 Sector View Elect'!T22)/1000</f>
        <v>1294.2929999999999</v>
      </c>
      <c r="H18" s="1245">
        <f>'2017 Sector View Elect'!S18+'2017 Sector View Elect'!S19+'2017 Sector View Elect'!S22</f>
        <v>728455.24</v>
      </c>
      <c r="I18" s="2528">
        <f>'2017 Sector View Gas'!T18+'2017 Sector View Gas'!T17+'2017 Sector View Gas'!T20</f>
        <v>38880</v>
      </c>
      <c r="J18" s="907">
        <f>'2017 Sector View Gas'!S18+'2017 Sector View Gas'!T17+'2017 Sector View Gas'!S20</f>
        <v>249213.36</v>
      </c>
      <c r="K18" s="1248">
        <v>977668.6</v>
      </c>
    </row>
    <row r="19" spans="1:12">
      <c r="A19" s="1336"/>
      <c r="B19" s="1738" t="s">
        <v>430</v>
      </c>
      <c r="C19" s="1724">
        <v>216</v>
      </c>
      <c r="D19" s="503" t="s">
        <v>180</v>
      </c>
      <c r="E19" s="497"/>
      <c r="F19" s="486"/>
      <c r="G19" s="2529">
        <f>'2017 Sector View Elect'!T20/1000</f>
        <v>1949.857</v>
      </c>
      <c r="H19" s="1219">
        <f>'2017 Sector View Elect'!S20</f>
        <v>837031.26879999996</v>
      </c>
      <c r="I19" s="2529"/>
      <c r="J19" s="907"/>
      <c r="K19" s="1248">
        <v>837031.26879999996</v>
      </c>
    </row>
    <row r="20" spans="1:12">
      <c r="A20" s="1336"/>
      <c r="B20" s="1738" t="s">
        <v>431</v>
      </c>
      <c r="C20" s="1724">
        <v>217</v>
      </c>
      <c r="D20" s="503" t="s">
        <v>181</v>
      </c>
      <c r="E20" s="497"/>
      <c r="F20" s="486"/>
      <c r="G20" s="2529">
        <f>'2017 Sector View Elect'!T21/1000</f>
        <v>18985.266</v>
      </c>
      <c r="H20" s="1219">
        <f>'2017 Sector View Elect'!S21</f>
        <v>10074197.525</v>
      </c>
      <c r="I20" s="2529">
        <f>'2017 Sector View Gas'!T19</f>
        <v>84535.8</v>
      </c>
      <c r="J20" s="907">
        <f>'2017 Sector View Gas'!S19</f>
        <v>608958.42500000005</v>
      </c>
      <c r="K20" s="1248">
        <v>10683155.950000001</v>
      </c>
    </row>
    <row r="21" spans="1:12">
      <c r="A21" s="1336"/>
      <c r="B21" s="1739" t="s">
        <v>432</v>
      </c>
      <c r="C21" s="1726"/>
      <c r="D21" s="482" t="s">
        <v>183</v>
      </c>
      <c r="E21" s="482"/>
      <c r="F21" s="482"/>
      <c r="G21" s="2533">
        <f>G6+G7+SUM(G18:G20)</f>
        <v>120761.58193999999</v>
      </c>
      <c r="H21" s="508">
        <f>H6+H7+SUM(H18:H20)</f>
        <v>43032312.220919997</v>
      </c>
      <c r="I21" s="2534">
        <f>I6+I7+SUM(I18:I20)</f>
        <v>1558906.75</v>
      </c>
      <c r="J21" s="508">
        <f>J6+J7+SUM(J18:J20)</f>
        <v>6831311.1900900006</v>
      </c>
      <c r="K21" s="882">
        <v>49863623.411009997</v>
      </c>
    </row>
    <row r="22" spans="1:12">
      <c r="A22" s="1336"/>
      <c r="B22" s="1740"/>
      <c r="C22" s="1164"/>
      <c r="D22" s="1211"/>
      <c r="E22" s="1201"/>
      <c r="F22" s="1201"/>
      <c r="G22" s="1221"/>
      <c r="H22" s="1222"/>
      <c r="I22" s="1223"/>
      <c r="J22" s="1222"/>
      <c r="K22" s="1249"/>
    </row>
    <row r="23" spans="1:12" ht="15.75">
      <c r="A23" s="1336"/>
      <c r="B23" s="2182"/>
      <c r="C23" s="2183"/>
      <c r="D23" s="2184" t="s">
        <v>147</v>
      </c>
      <c r="E23" s="2184"/>
      <c r="F23" s="2184"/>
      <c r="G23" s="2185"/>
      <c r="H23" s="2185"/>
      <c r="I23" s="2185"/>
      <c r="J23" s="2185"/>
      <c r="K23" s="2186"/>
    </row>
    <row r="24" spans="1:12">
      <c r="A24" s="1336"/>
      <c r="B24" s="1742" t="s">
        <v>586</v>
      </c>
      <c r="C24" s="1725">
        <v>250</v>
      </c>
      <c r="D24" s="873" t="s">
        <v>185</v>
      </c>
      <c r="E24" s="873"/>
      <c r="F24" s="874"/>
      <c r="G24" s="2539">
        <f>('2017 Sector View Elect'!T27+'2017 Sector View Elect'!T28)/1000</f>
        <v>72000</v>
      </c>
      <c r="H24" s="905">
        <f>'2017 Sector View Elect'!S27+'2017 Sector View Elect'!S28</f>
        <v>18924730.295930639</v>
      </c>
      <c r="I24" s="2539">
        <f>'2017 Sector View Gas'!T26</f>
        <v>425000</v>
      </c>
      <c r="J24" s="905">
        <f>'2017 Sector View Gas'!S26</f>
        <v>1998657</v>
      </c>
      <c r="K24" s="1250">
        <f t="array" ref="K24:K30">H24:H30+J24:J30</f>
        <v>20923387.295930639</v>
      </c>
    </row>
    <row r="25" spans="1:12">
      <c r="A25" s="1336"/>
      <c r="B25" s="1743" t="s">
        <v>565</v>
      </c>
      <c r="C25" s="1724">
        <v>251</v>
      </c>
      <c r="D25" s="497" t="s">
        <v>137</v>
      </c>
      <c r="E25" s="497"/>
      <c r="F25" s="486"/>
      <c r="G25" s="2540">
        <f>'2017 Sector View Elect'!T29/1000</f>
        <v>10000</v>
      </c>
      <c r="H25" s="906">
        <f>'2017 Sector View Elect'!S29</f>
        <v>2482962.52</v>
      </c>
      <c r="I25" s="2540">
        <f>'2017 Sector View Gas'!T27</f>
        <v>100000</v>
      </c>
      <c r="J25" s="906">
        <f>'2017 Sector View Gas'!S27</f>
        <v>534927.49349999998</v>
      </c>
      <c r="K25" s="1251">
        <v>3017890.0134999999</v>
      </c>
    </row>
    <row r="26" spans="1:12">
      <c r="A26" s="1336"/>
      <c r="B26" s="1742" t="s">
        <v>433</v>
      </c>
      <c r="C26" s="1724">
        <v>253</v>
      </c>
      <c r="D26" s="497" t="s">
        <v>684</v>
      </c>
      <c r="E26" s="497"/>
      <c r="F26" s="486"/>
      <c r="G26" s="2540">
        <f>'2017 Sector View Elect'!T30/1000</f>
        <v>30250</v>
      </c>
      <c r="H26" s="906">
        <f>'2017 Sector View Elect'!S30</f>
        <v>2038023.0559799999</v>
      </c>
      <c r="I26" s="2540">
        <f>'2017 Sector View Gas'!T28</f>
        <v>550000</v>
      </c>
      <c r="J26" s="906">
        <f>'2017 Sector View Gas'!S28</f>
        <v>546323.89225999999</v>
      </c>
      <c r="K26" s="1251">
        <v>2584346.9482399998</v>
      </c>
    </row>
    <row r="27" spans="1:12">
      <c r="A27" s="1336"/>
      <c r="B27" s="1742" t="s">
        <v>699</v>
      </c>
      <c r="C27" s="1724" t="s">
        <v>133</v>
      </c>
      <c r="D27" s="497" t="s">
        <v>186</v>
      </c>
      <c r="E27" s="497"/>
      <c r="F27" s="486"/>
      <c r="G27" s="2540">
        <f>'2017 Sector View Elect'!T34/1000</f>
        <v>21474.005000000001</v>
      </c>
      <c r="H27" s="906">
        <f>'2017 Sector View Elect'!S34</f>
        <v>10965426.183679529</v>
      </c>
      <c r="I27" s="2540"/>
      <c r="J27" s="907"/>
      <c r="K27" s="1251">
        <v>10965426.183679529</v>
      </c>
    </row>
    <row r="28" spans="1:12">
      <c r="A28" s="1336"/>
      <c r="B28" s="1743" t="s">
        <v>434</v>
      </c>
      <c r="C28" s="1751" t="s">
        <v>250</v>
      </c>
      <c r="D28" s="1560" t="s">
        <v>187</v>
      </c>
      <c r="E28" s="875"/>
      <c r="F28" s="486"/>
      <c r="G28" s="2536">
        <f>'2017 Sector View Elect'!T37/1000</f>
        <v>0</v>
      </c>
      <c r="H28" s="1220">
        <f>'2017 Sector View Elect'!S37</f>
        <v>0</v>
      </c>
      <c r="I28" s="2529">
        <f>'2017 Sector View Gas'!T31</f>
        <v>0</v>
      </c>
      <c r="J28" s="1220">
        <f>'2017 Sector View Gas'!S31</f>
        <v>0</v>
      </c>
      <c r="K28" s="1247">
        <v>0</v>
      </c>
    </row>
    <row r="29" spans="1:12">
      <c r="A29" s="1336"/>
      <c r="B29" s="1742" t="s">
        <v>435</v>
      </c>
      <c r="C29" s="1752">
        <v>262</v>
      </c>
      <c r="D29" s="871" t="s">
        <v>188</v>
      </c>
      <c r="E29" s="871"/>
      <c r="F29" s="872"/>
      <c r="G29" s="2541">
        <f>'2017 Sector View Elect'!T38/1000</f>
        <v>33031.055394967494</v>
      </c>
      <c r="H29" s="908">
        <f>'2017 Sector View Elect'!S38</f>
        <v>8135271.8461025013</v>
      </c>
      <c r="I29" s="2541">
        <f>'2017 Sector View Gas'!T32</f>
        <v>576665.1</v>
      </c>
      <c r="J29" s="908">
        <f>'2017 Sector View Gas'!S32</f>
        <v>1695323.8787799999</v>
      </c>
      <c r="K29" s="1251">
        <v>9830595.7248825021</v>
      </c>
    </row>
    <row r="30" spans="1:12">
      <c r="A30" s="1336"/>
      <c r="B30" s="1739" t="s">
        <v>436</v>
      </c>
      <c r="C30" s="1726"/>
      <c r="D30" s="482" t="s">
        <v>189</v>
      </c>
      <c r="E30" s="482"/>
      <c r="F30" s="482"/>
      <c r="G30" s="2533">
        <f>SUM(G24:G29)</f>
        <v>166755.0603949675</v>
      </c>
      <c r="H30" s="508">
        <f>SUM(H24:H29)</f>
        <v>42546413.901692666</v>
      </c>
      <c r="I30" s="2533">
        <f>SUM(I24:I29)</f>
        <v>1651665.1</v>
      </c>
      <c r="J30" s="508">
        <f>SUM(J24:J29)</f>
        <v>4775232.2645399999</v>
      </c>
      <c r="K30" s="885">
        <v>47321646.166232668</v>
      </c>
    </row>
    <row r="31" spans="1:12">
      <c r="A31" s="1336"/>
      <c r="B31" s="1740"/>
      <c r="C31" s="1164"/>
      <c r="D31" s="1211"/>
      <c r="E31" s="1201"/>
      <c r="F31" s="1201"/>
      <c r="G31" s="1221"/>
      <c r="H31" s="1222"/>
      <c r="I31" s="1223"/>
      <c r="J31" s="1222"/>
      <c r="K31" s="1249"/>
    </row>
    <row r="32" spans="1:12" s="1652" customFormat="1" ht="15.75">
      <c r="A32" s="1336"/>
      <c r="B32" s="2193"/>
      <c r="C32" s="2194"/>
      <c r="D32" s="2195" t="s">
        <v>67</v>
      </c>
      <c r="E32" s="2195"/>
      <c r="F32" s="2195"/>
      <c r="G32" s="2196"/>
      <c r="H32" s="2196"/>
      <c r="I32" s="2196"/>
      <c r="J32" s="2196"/>
      <c r="K32" s="2197"/>
      <c r="L32" s="1634"/>
    </row>
    <row r="33" spans="1:12" s="1652" customFormat="1">
      <c r="A33" s="1336"/>
      <c r="B33" s="1745" t="s">
        <v>437</v>
      </c>
      <c r="C33" s="1729">
        <v>249</v>
      </c>
      <c r="D33" s="1212" t="s">
        <v>578</v>
      </c>
      <c r="E33" s="1212"/>
      <c r="F33" s="1212"/>
      <c r="G33" s="2542">
        <f>'2017 Sector View Elect'!T51/1000</f>
        <v>5322.6409999999996</v>
      </c>
      <c r="H33" s="899">
        <f>'2017 Sector View Elect'!S51</f>
        <v>978290.65</v>
      </c>
      <c r="I33" s="2538">
        <f>'2017 Sector View Gas'!T44</f>
        <v>316885</v>
      </c>
      <c r="J33" s="1236">
        <f>'2017 Sector View Gas'!S44</f>
        <v>190369.12</v>
      </c>
      <c r="K33" s="884">
        <f t="array" ref="K33:K35">H33:H35+J33:J35</f>
        <v>1168659.77</v>
      </c>
      <c r="L33" s="1634"/>
    </row>
    <row r="34" spans="1:12" s="1652" customFormat="1">
      <c r="A34" s="1336"/>
      <c r="B34" s="1746" t="s">
        <v>438</v>
      </c>
      <c r="C34" s="1730">
        <v>249</v>
      </c>
      <c r="D34" s="901" t="s">
        <v>579</v>
      </c>
      <c r="E34" s="483"/>
      <c r="F34" s="483"/>
      <c r="G34" s="2543">
        <f>'2017 Sector View Elect'!T52/1000</f>
        <v>0</v>
      </c>
      <c r="H34" s="898">
        <f>'2017 Sector View Elect'!S52</f>
        <v>0</v>
      </c>
      <c r="I34" s="2544">
        <f>'2017 Sector View Gas'!T45</f>
        <v>0</v>
      </c>
      <c r="J34" s="513">
        <f>'2017 Sector View Gas'!S45</f>
        <v>0</v>
      </c>
      <c r="K34" s="900">
        <v>0</v>
      </c>
      <c r="L34" s="1634"/>
    </row>
    <row r="35" spans="1:12" s="1652" customFormat="1">
      <c r="A35" s="1336"/>
      <c r="B35" s="1739" t="s">
        <v>439</v>
      </c>
      <c r="C35" s="1726"/>
      <c r="D35" s="482" t="s">
        <v>589</v>
      </c>
      <c r="E35" s="482"/>
      <c r="F35" s="482"/>
      <c r="G35" s="2534">
        <f>SUM(G33:G34)</f>
        <v>5322.6409999999996</v>
      </c>
      <c r="H35" s="2175">
        <f>SUM(H33:H34)</f>
        <v>978290.65</v>
      </c>
      <c r="I35" s="2534">
        <f>SUM(I33:I34)</f>
        <v>316885</v>
      </c>
      <c r="J35" s="2175">
        <f>SUM(J33:J34)</f>
        <v>190369.12</v>
      </c>
      <c r="K35" s="882">
        <v>1168659.77</v>
      </c>
      <c r="L35" s="1634"/>
    </row>
    <row r="36" spans="1:12" s="1652" customFormat="1">
      <c r="A36" s="1336"/>
      <c r="B36" s="1740"/>
      <c r="C36" s="1164"/>
      <c r="D36" s="1211"/>
      <c r="E36" s="1201"/>
      <c r="F36" s="1201"/>
      <c r="G36" s="1221"/>
      <c r="H36" s="1222"/>
      <c r="I36" s="1223"/>
      <c r="J36" s="1222"/>
      <c r="K36" s="1249"/>
      <c r="L36" s="1634"/>
    </row>
    <row r="37" spans="1:12" ht="15.75">
      <c r="A37" s="1336"/>
      <c r="B37" s="1744"/>
      <c r="C37" s="1728"/>
      <c r="D37" s="494" t="s">
        <v>148</v>
      </c>
      <c r="E37" s="494"/>
      <c r="F37" s="494"/>
      <c r="G37" s="509"/>
      <c r="H37" s="509"/>
      <c r="I37" s="509"/>
      <c r="J37" s="509"/>
      <c r="K37" s="886"/>
    </row>
    <row r="38" spans="1:12" ht="15">
      <c r="A38" s="1336"/>
      <c r="B38" s="1745" t="s">
        <v>440</v>
      </c>
      <c r="C38" s="1729" t="s">
        <v>151</v>
      </c>
      <c r="D38" s="2005" t="s">
        <v>190</v>
      </c>
      <c r="E38" s="2005"/>
      <c r="F38" s="2005"/>
      <c r="G38" s="2535">
        <f>'2017 Sector View Elect'!T58/1000</f>
        <v>15592.8</v>
      </c>
      <c r="H38" s="899">
        <f>'2017 Sector View Elect'!S58</f>
        <v>5200000</v>
      </c>
      <c r="I38" s="2538"/>
      <c r="J38" s="902"/>
      <c r="K38" s="884">
        <f t="array" ref="K38:K41">H38:H41+J38:J41</f>
        <v>5200000</v>
      </c>
    </row>
    <row r="39" spans="1:12" s="1652" customFormat="1">
      <c r="A39" s="1336"/>
      <c r="B39" s="1743" t="s">
        <v>441</v>
      </c>
      <c r="C39" s="1724"/>
      <c r="D39" s="1210" t="s">
        <v>1680</v>
      </c>
      <c r="E39" s="497"/>
      <c r="F39" s="486"/>
      <c r="G39" s="2536"/>
      <c r="H39" s="2125"/>
      <c r="I39" s="2536">
        <f>'2017 Sector View Gas'!T51</f>
        <v>0</v>
      </c>
      <c r="J39" s="2160">
        <f>'2017 Sector View Gas'!S51</f>
        <v>1389079</v>
      </c>
      <c r="K39" s="1251">
        <v>1389079</v>
      </c>
    </row>
    <row r="40" spans="1:12" ht="15">
      <c r="A40" s="1336"/>
      <c r="B40" s="1746" t="s">
        <v>442</v>
      </c>
      <c r="C40" s="1730"/>
      <c r="D40" s="2001" t="s">
        <v>227</v>
      </c>
      <c r="E40" s="2002"/>
      <c r="F40" s="2003"/>
      <c r="G40" s="2537">
        <f>'2017 Sector View Elect'!T59/1000</f>
        <v>1500</v>
      </c>
      <c r="H40" s="2078">
        <f>'2017 Sector View Elect'!S59</f>
        <v>0</v>
      </c>
      <c r="I40" s="2537"/>
      <c r="J40" s="2004"/>
      <c r="K40" s="900">
        <v>0</v>
      </c>
    </row>
    <row r="41" spans="1:12">
      <c r="A41" s="1336"/>
      <c r="B41" s="1739" t="s">
        <v>443</v>
      </c>
      <c r="C41" s="1726"/>
      <c r="D41" s="482" t="s">
        <v>191</v>
      </c>
      <c r="E41" s="482"/>
      <c r="F41" s="482"/>
      <c r="G41" s="2534">
        <f>SUM(G38:G40)</f>
        <v>17092.8</v>
      </c>
      <c r="H41" s="510">
        <f>SUM(H38:H40)</f>
        <v>5200000</v>
      </c>
      <c r="I41" s="2534">
        <f>SUM(I38:I40)</f>
        <v>0</v>
      </c>
      <c r="J41" s="510">
        <f>SUM(J38:J40)</f>
        <v>1389079</v>
      </c>
      <c r="K41" s="882">
        <v>6589079</v>
      </c>
    </row>
    <row r="42" spans="1:12">
      <c r="A42" s="1336"/>
      <c r="B42" s="1740"/>
      <c r="C42" s="1164"/>
      <c r="D42" s="1201"/>
      <c r="E42" s="1201"/>
      <c r="F42" s="1201"/>
      <c r="G42" s="1221"/>
      <c r="H42" s="1225"/>
      <c r="I42" s="1226"/>
      <c r="J42" s="1225"/>
      <c r="K42" s="1252"/>
    </row>
    <row r="43" spans="1:12">
      <c r="A43" s="1336"/>
      <c r="B43" s="1747"/>
      <c r="C43" s="1731"/>
      <c r="D43" s="483"/>
      <c r="E43" s="483"/>
      <c r="F43" s="483"/>
      <c r="G43" s="512"/>
      <c r="H43" s="513"/>
      <c r="I43" s="512"/>
      <c r="J43" s="513"/>
      <c r="K43" s="1189"/>
    </row>
    <row r="44" spans="1:12" ht="15.75">
      <c r="A44" s="1336"/>
      <c r="B44" s="1748"/>
      <c r="C44" s="1732"/>
      <c r="D44" s="495" t="s">
        <v>315</v>
      </c>
      <c r="E44" s="495"/>
      <c r="F44" s="495"/>
      <c r="G44" s="514"/>
      <c r="H44" s="514"/>
      <c r="I44" s="514"/>
      <c r="J44" s="514"/>
      <c r="K44" s="895"/>
    </row>
    <row r="45" spans="1:12" s="1310" customFormat="1" ht="15.75">
      <c r="A45" s="2028"/>
      <c r="B45" s="1743" t="s">
        <v>444</v>
      </c>
      <c r="C45" s="2029"/>
      <c r="D45" s="2030" t="s">
        <v>192</v>
      </c>
      <c r="E45" s="1716"/>
      <c r="F45" s="1717"/>
      <c r="G45" s="2031"/>
      <c r="H45" s="1220">
        <f>H46+H47+H48+H49</f>
        <v>1927581.7782271998</v>
      </c>
      <c r="I45" s="1227"/>
      <c r="J45" s="1220">
        <f>J46+J47+J48+J49</f>
        <v>216606.38068839995</v>
      </c>
      <c r="K45" s="1248">
        <f t="array" ref="K45:K60">H45:H60+J45:J60</f>
        <v>2144188.1589155998</v>
      </c>
      <c r="L45" s="1634"/>
    </row>
    <row r="46" spans="1:12" s="2067" customFormat="1" ht="12">
      <c r="A46" s="2058"/>
      <c r="B46" s="2048" t="s">
        <v>445</v>
      </c>
      <c r="C46" s="2059"/>
      <c r="D46" s="2060"/>
      <c r="E46" s="2046" t="s">
        <v>193</v>
      </c>
      <c r="F46" s="2061"/>
      <c r="G46" s="2062"/>
      <c r="H46" s="2063">
        <f>'2017 Sector View Elect'!S66</f>
        <v>1168422.1756</v>
      </c>
      <c r="I46" s="2064"/>
      <c r="J46" s="2063">
        <f>'2017 Sector View Gas'!S58</f>
        <v>86789.949759999989</v>
      </c>
      <c r="K46" s="2065">
        <v>1255212.1253599999</v>
      </c>
      <c r="L46" s="2066"/>
    </row>
    <row r="47" spans="1:12" s="2067" customFormat="1" ht="12">
      <c r="A47" s="2058"/>
      <c r="B47" s="2048" t="s">
        <v>446</v>
      </c>
      <c r="C47" s="2059"/>
      <c r="D47" s="2060"/>
      <c r="E47" s="2068" t="s">
        <v>194</v>
      </c>
      <c r="F47" s="2046"/>
      <c r="G47" s="2062"/>
      <c r="H47" s="2063">
        <f>'2017 Sector View Elect'!S67</f>
        <v>649765.20375319989</v>
      </c>
      <c r="I47" s="2064"/>
      <c r="J47" s="2063">
        <f>'2017 Sector View Gas'!S59</f>
        <v>112789.65337199997</v>
      </c>
      <c r="K47" s="2065">
        <v>762554.85712519987</v>
      </c>
      <c r="L47" s="2066"/>
    </row>
    <row r="48" spans="1:12" s="2067" customFormat="1" ht="12">
      <c r="A48" s="2058"/>
      <c r="B48" s="2048" t="s">
        <v>447</v>
      </c>
      <c r="C48" s="2059"/>
      <c r="D48" s="2060"/>
      <c r="E48" s="2046" t="s">
        <v>336</v>
      </c>
      <c r="F48" s="2061"/>
      <c r="G48" s="2062"/>
      <c r="H48" s="2063">
        <f>'2017 Sector View Elect'!S68</f>
        <v>100594.39887400001</v>
      </c>
      <c r="I48" s="2064"/>
      <c r="J48" s="2063">
        <f>'2017 Sector View Gas'!S60</f>
        <v>16051.7775564</v>
      </c>
      <c r="K48" s="2065">
        <v>116646.17643040001</v>
      </c>
      <c r="L48" s="2066"/>
    </row>
    <row r="49" spans="1:12" s="2067" customFormat="1" ht="12">
      <c r="A49" s="2058"/>
      <c r="B49" s="2048" t="s">
        <v>448</v>
      </c>
      <c r="C49" s="2059">
        <v>202</v>
      </c>
      <c r="D49" s="2060"/>
      <c r="E49" s="2046" t="s">
        <v>195</v>
      </c>
      <c r="F49" s="2061"/>
      <c r="G49" s="2062"/>
      <c r="H49" s="2063">
        <f>'2017 Sector View Elect'!S69</f>
        <v>8800</v>
      </c>
      <c r="I49" s="2069"/>
      <c r="J49" s="2063">
        <f>'2017 Sector View Gas'!S61</f>
        <v>975</v>
      </c>
      <c r="K49" s="2065">
        <v>9775</v>
      </c>
      <c r="L49" s="2066"/>
    </row>
    <row r="50" spans="1:12" s="1310" customFormat="1">
      <c r="A50" s="2028"/>
      <c r="B50" s="1743" t="s">
        <v>449</v>
      </c>
      <c r="C50" s="2032"/>
      <c r="D50" s="1546" t="s">
        <v>696</v>
      </c>
      <c r="E50" s="1546"/>
      <c r="F50" s="1547"/>
      <c r="G50" s="2033"/>
      <c r="H50" s="2034">
        <f>H51+H52+H53</f>
        <v>1190832.7020399999</v>
      </c>
      <c r="I50" s="1227"/>
      <c r="J50" s="2034">
        <f>J51+J52+J53</f>
        <v>193947.01576000001</v>
      </c>
      <c r="K50" s="1248">
        <v>1384779.7178</v>
      </c>
      <c r="L50" s="1634"/>
    </row>
    <row r="51" spans="1:12" s="2044" customFormat="1">
      <c r="A51" s="2035"/>
      <c r="B51" s="2036" t="s">
        <v>450</v>
      </c>
      <c r="C51" s="2037"/>
      <c r="D51" s="2045"/>
      <c r="E51" s="2046" t="s">
        <v>729</v>
      </c>
      <c r="F51" s="2038"/>
      <c r="G51" s="2039"/>
      <c r="H51" s="2040">
        <f>'2017 Sector View Elect'!S71</f>
        <v>588990</v>
      </c>
      <c r="I51" s="2041"/>
      <c r="J51" s="2040">
        <f>'2017 Sector View Gas'!S63</f>
        <v>88010</v>
      </c>
      <c r="K51" s="2042">
        <v>677000</v>
      </c>
      <c r="L51" s="2043"/>
    </row>
    <row r="52" spans="1:12" s="2044" customFormat="1">
      <c r="A52" s="2035"/>
      <c r="B52" s="2036" t="s">
        <v>451</v>
      </c>
      <c r="C52" s="2037"/>
      <c r="D52" s="2045"/>
      <c r="E52" s="2046" t="s">
        <v>320</v>
      </c>
      <c r="F52" s="2038"/>
      <c r="G52" s="2039"/>
      <c r="H52" s="2040">
        <f>'2017 Sector View Elect'!S72</f>
        <v>459599.31199999998</v>
      </c>
      <c r="I52" s="2041"/>
      <c r="J52" s="2040">
        <f>'2017 Sector View Gas'!S64</f>
        <v>83541.009999999995</v>
      </c>
      <c r="K52" s="2042">
        <v>543140.32199999993</v>
      </c>
      <c r="L52" s="2043"/>
    </row>
    <row r="53" spans="1:12" s="2044" customFormat="1">
      <c r="A53" s="2035"/>
      <c r="B53" s="2036" t="s">
        <v>452</v>
      </c>
      <c r="C53" s="2037"/>
      <c r="D53" s="2045"/>
      <c r="E53" s="2046" t="s">
        <v>1530</v>
      </c>
      <c r="F53" s="2046"/>
      <c r="G53" s="2039"/>
      <c r="H53" s="2040">
        <f>'2017 Sector View Elect'!S73</f>
        <v>142243.39004</v>
      </c>
      <c r="I53" s="2041"/>
      <c r="J53" s="2040">
        <f>'2017 Sector View Gas'!S65</f>
        <v>22396.00576</v>
      </c>
      <c r="K53" s="2042">
        <v>164639.3958</v>
      </c>
      <c r="L53" s="2043"/>
    </row>
    <row r="54" spans="1:12" s="1310" customFormat="1">
      <c r="A54" s="2028"/>
      <c r="B54" s="1743" t="s">
        <v>453</v>
      </c>
      <c r="C54" s="2032"/>
      <c r="D54" s="1546" t="s">
        <v>1464</v>
      </c>
      <c r="E54" s="1548"/>
      <c r="F54" s="2126"/>
      <c r="G54" s="2033"/>
      <c r="H54" s="1220">
        <f>'2017 Sector View Elect'!S74</f>
        <v>546939.56099999999</v>
      </c>
      <c r="I54" s="1227"/>
      <c r="J54" s="1220">
        <f>'2017 Sector View Gas'!S66</f>
        <v>82046.411999999997</v>
      </c>
      <c r="K54" s="1248">
        <v>628985.973</v>
      </c>
      <c r="L54" s="1634"/>
    </row>
    <row r="55" spans="1:12" s="1310" customFormat="1">
      <c r="A55" s="2028"/>
      <c r="B55" s="1743" t="s">
        <v>454</v>
      </c>
      <c r="C55" s="2032"/>
      <c r="D55" s="1546" t="s">
        <v>611</v>
      </c>
      <c r="E55" s="1548"/>
      <c r="F55" s="2126"/>
      <c r="G55" s="2033"/>
      <c r="H55" s="1220">
        <f>'2017 Sector View Elect'!S75</f>
        <v>700101.99799999991</v>
      </c>
      <c r="I55" s="1227"/>
      <c r="J55" s="1220">
        <f>'2017 Sector View Gas'!S67</f>
        <v>104715.976</v>
      </c>
      <c r="K55" s="1248">
        <v>804817.97399999993</v>
      </c>
      <c r="L55" s="1634"/>
    </row>
    <row r="56" spans="1:12" s="2044" customFormat="1">
      <c r="A56" s="2035"/>
      <c r="B56" s="2036" t="s">
        <v>455</v>
      </c>
      <c r="C56" s="2037"/>
      <c r="D56" s="1546" t="s">
        <v>612</v>
      </c>
      <c r="F56" s="2046"/>
      <c r="G56" s="2039"/>
      <c r="H56" s="1233">
        <f>'2017 Sector View Elect'!S76</f>
        <v>1097133.6155399999</v>
      </c>
      <c r="I56" s="1227"/>
      <c r="J56" s="1233">
        <f>'2017 Sector View Gas'!S68</f>
        <v>164145.72165999998</v>
      </c>
      <c r="K56" s="1248">
        <v>1261279.3372</v>
      </c>
      <c r="L56" s="2043"/>
    </row>
    <row r="57" spans="1:12" s="1310" customFormat="1">
      <c r="A57" s="2028"/>
      <c r="B57" s="1743" t="s">
        <v>456</v>
      </c>
      <c r="C57" s="2032"/>
      <c r="D57" s="1545" t="s">
        <v>23</v>
      </c>
      <c r="E57" s="1545"/>
      <c r="F57" s="1545"/>
      <c r="G57" s="2033"/>
      <c r="H57" s="1220">
        <f>'2017 Sector View Elect'!S77</f>
        <v>895610.74399999995</v>
      </c>
      <c r="I57" s="1227"/>
      <c r="J57" s="1220">
        <f>'2017 Sector View Gas'!S69</f>
        <v>143616.64799999999</v>
      </c>
      <c r="K57" s="1248">
        <v>1039227.392</v>
      </c>
      <c r="L57" s="1634"/>
    </row>
    <row r="58" spans="1:12" s="1310" customFormat="1">
      <c r="A58" s="2028"/>
      <c r="B58" s="1743" t="s">
        <v>457</v>
      </c>
      <c r="C58" s="2134"/>
      <c r="D58" s="1545" t="s">
        <v>196</v>
      </c>
      <c r="E58" s="1545"/>
      <c r="F58" s="1545"/>
      <c r="G58" s="1227"/>
      <c r="H58" s="1220">
        <f>'2017 Sector View Elect'!S78</f>
        <v>117661</v>
      </c>
      <c r="I58" s="1227"/>
      <c r="J58" s="1220">
        <f>'2017 Sector View Gas'!S70</f>
        <v>21015</v>
      </c>
      <c r="K58" s="1248">
        <v>138676</v>
      </c>
      <c r="L58" s="1634"/>
    </row>
    <row r="59" spans="1:12" s="1310" customFormat="1">
      <c r="A59" s="2028"/>
      <c r="B59" s="2135" t="s">
        <v>458</v>
      </c>
      <c r="C59" s="1506"/>
      <c r="D59" s="2129" t="s">
        <v>617</v>
      </c>
      <c r="E59" s="2074"/>
      <c r="F59" s="2136"/>
      <c r="G59" s="2127"/>
      <c r="H59" s="2034">
        <f>'2017 Sector View Elect'!S79</f>
        <v>-4434.1790400000173</v>
      </c>
      <c r="I59" s="2127"/>
      <c r="J59" s="2034">
        <f>'2017 Sector View Gas'!S71</f>
        <v>-4494.7640400000382</v>
      </c>
      <c r="K59" s="2128">
        <v>-8928.9430800000555</v>
      </c>
      <c r="L59" s="1634"/>
    </row>
    <row r="60" spans="1:12">
      <c r="A60" s="1336"/>
      <c r="B60" s="1739" t="s">
        <v>459</v>
      </c>
      <c r="C60" s="1726"/>
      <c r="D60" s="482" t="s">
        <v>197</v>
      </c>
      <c r="E60" s="482"/>
      <c r="F60" s="482"/>
      <c r="G60" s="506"/>
      <c r="H60" s="2175">
        <f>H45+H50+SUM(H54:H59)</f>
        <v>6471427.2197671998</v>
      </c>
      <c r="I60" s="511"/>
      <c r="J60" s="2175">
        <f>J45+J50+SUM(J54:J59)</f>
        <v>921598.39006839995</v>
      </c>
      <c r="K60" s="882">
        <v>7393025.6098355995</v>
      </c>
    </row>
    <row r="61" spans="1:12">
      <c r="A61" s="1336"/>
      <c r="B61" s="1740"/>
      <c r="C61" s="1164"/>
      <c r="D61" s="1201"/>
      <c r="E61" s="1213"/>
      <c r="F61" s="1201"/>
      <c r="G61" s="1226"/>
      <c r="H61" s="1225"/>
      <c r="I61" s="1226"/>
      <c r="J61" s="1225"/>
      <c r="K61" s="1252"/>
    </row>
    <row r="62" spans="1:12" ht="15.75">
      <c r="A62" s="1336"/>
      <c r="B62" s="1741"/>
      <c r="C62" s="1727"/>
      <c r="D62" s="493" t="s">
        <v>314</v>
      </c>
      <c r="E62" s="493"/>
      <c r="F62" s="493"/>
      <c r="G62" s="507"/>
      <c r="H62" s="507"/>
      <c r="I62" s="507"/>
      <c r="J62" s="507"/>
      <c r="K62" s="883"/>
    </row>
    <row r="63" spans="1:12">
      <c r="A63" s="1336"/>
      <c r="B63" s="1749" t="s">
        <v>460</v>
      </c>
      <c r="C63" s="1725"/>
      <c r="D63" s="876" t="s">
        <v>24</v>
      </c>
      <c r="E63" s="876"/>
      <c r="F63" s="876"/>
      <c r="G63" s="1230"/>
      <c r="H63" s="3214">
        <f>'2017 Sector View Elect'!S85</f>
        <v>251498.31935999999</v>
      </c>
      <c r="I63" s="1231"/>
      <c r="J63" s="3214">
        <f>'2017 Sector View Gas'!S77</f>
        <v>37580.208639999997</v>
      </c>
      <c r="K63" s="1250">
        <f t="array" ref="K63:K69">H63:H69+J63:J69</f>
        <v>289078.52799999999</v>
      </c>
    </row>
    <row r="64" spans="1:12" ht="15">
      <c r="A64" s="1336"/>
      <c r="B64" s="1738" t="s">
        <v>461</v>
      </c>
      <c r="C64" s="1724"/>
      <c r="D64" s="1254" t="s">
        <v>29</v>
      </c>
      <c r="E64" s="1254"/>
      <c r="F64" s="1254"/>
      <c r="G64" s="1232"/>
      <c r="H64" s="3215">
        <f>'2017 Sector View Elect'!S86</f>
        <v>711472.98719999997</v>
      </c>
      <c r="I64" s="1229"/>
      <c r="J64" s="3214">
        <f>'2017 Sector View Gas'!S78</f>
        <v>50277.572799999994</v>
      </c>
      <c r="K64" s="1250">
        <v>761750.55999999994</v>
      </c>
    </row>
    <row r="65" spans="1:11" s="1652" customFormat="1" ht="15">
      <c r="A65" s="1336"/>
      <c r="B65" s="1738" t="s">
        <v>462</v>
      </c>
      <c r="C65" s="1724"/>
      <c r="D65" s="1254" t="s">
        <v>335</v>
      </c>
      <c r="E65" s="1254"/>
      <c r="F65" s="1254"/>
      <c r="G65" s="1232"/>
      <c r="H65" s="1708">
        <f>'2017 Sector View Elect'!S87</f>
        <v>292170.13827999996</v>
      </c>
      <c r="I65" s="1227"/>
      <c r="J65" s="1220">
        <f>'2017 Sector View Gas'!S79</f>
        <v>43657.611719999994</v>
      </c>
      <c r="K65" s="1248">
        <v>335827.74999999994</v>
      </c>
    </row>
    <row r="66" spans="1:11">
      <c r="A66" s="1336"/>
      <c r="B66" s="1749" t="s">
        <v>463</v>
      </c>
      <c r="C66" s="1724"/>
      <c r="D66" s="1254" t="s">
        <v>25</v>
      </c>
      <c r="E66" s="1254"/>
      <c r="F66" s="1254"/>
      <c r="G66" s="1228"/>
      <c r="H66" s="1233">
        <f>'2017 Sector View Elect'!S88</f>
        <v>1777721.1084</v>
      </c>
      <c r="I66" s="1229"/>
      <c r="J66" s="1234">
        <f>'2017 Sector View Gas'!S80</f>
        <v>363107.33143999998</v>
      </c>
      <c r="K66" s="1250">
        <v>2140828.4398400001</v>
      </c>
    </row>
    <row r="67" spans="1:11" s="1652" customFormat="1">
      <c r="A67" s="1336"/>
      <c r="B67" s="1738" t="s">
        <v>464</v>
      </c>
      <c r="C67" s="1733"/>
      <c r="D67" s="1614" t="s">
        <v>414</v>
      </c>
      <c r="E67" s="1631"/>
      <c r="F67" s="1632"/>
      <c r="G67" s="1629"/>
      <c r="H67" s="1616">
        <f>'2017 Sector View Elect'!S89</f>
        <v>54000</v>
      </c>
      <c r="I67" s="1630"/>
      <c r="J67" s="1628"/>
      <c r="K67" s="1633">
        <v>54000</v>
      </c>
    </row>
    <row r="68" spans="1:11" s="1622" customFormat="1">
      <c r="A68" s="1336"/>
      <c r="B68" s="1738" t="s">
        <v>465</v>
      </c>
      <c r="C68" s="1733"/>
      <c r="D68" s="1614" t="s">
        <v>251</v>
      </c>
      <c r="E68" s="1631"/>
      <c r="F68" s="1632"/>
      <c r="G68" s="1629"/>
      <c r="H68" s="1616">
        <f>'2017 Sector View Elect'!S90</f>
        <v>570117.91500000004</v>
      </c>
      <c r="I68" s="1630"/>
      <c r="J68" s="1628">
        <f>'2017 Sector View Gas'!S81</f>
        <v>85401.035999999993</v>
      </c>
      <c r="K68" s="1633">
        <v>655518.951</v>
      </c>
    </row>
    <row r="69" spans="1:11">
      <c r="A69" s="1336"/>
      <c r="B69" s="1739" t="s">
        <v>466</v>
      </c>
      <c r="C69" s="1726"/>
      <c r="D69" s="482" t="s">
        <v>198</v>
      </c>
      <c r="E69" s="482"/>
      <c r="F69" s="482"/>
      <c r="G69" s="506"/>
      <c r="H69" s="510">
        <f>SUM(H63:H68)</f>
        <v>3656980.4682400003</v>
      </c>
      <c r="I69" s="511"/>
      <c r="J69" s="510">
        <f>SUM(J63:J68)</f>
        <v>580023.76059999992</v>
      </c>
      <c r="K69" s="882">
        <v>4237004.22884</v>
      </c>
    </row>
    <row r="70" spans="1:11">
      <c r="A70" s="1336"/>
      <c r="B70" s="1747"/>
      <c r="C70" s="1731"/>
      <c r="D70" s="483"/>
      <c r="E70" s="483"/>
      <c r="F70" s="483"/>
      <c r="G70" s="512"/>
      <c r="H70" s="513"/>
      <c r="I70" s="512"/>
      <c r="J70" s="513"/>
      <c r="K70" s="1189"/>
    </row>
    <row r="71" spans="1:11" ht="15">
      <c r="A71" s="1336"/>
      <c r="B71" s="1753" t="s">
        <v>691</v>
      </c>
      <c r="C71" s="1734" t="s">
        <v>332</v>
      </c>
      <c r="D71" s="487"/>
      <c r="E71" s="488"/>
      <c r="F71" s="488"/>
      <c r="G71" s="515">
        <f>G21+G30+G35+G41</f>
        <v>309932.08333496749</v>
      </c>
      <c r="H71" s="2178">
        <f>H21+H30+H35+H41+H60+H69</f>
        <v>101885424.46061987</v>
      </c>
      <c r="I71" s="515">
        <f>I21+I30+I35+I41</f>
        <v>3527456.85</v>
      </c>
      <c r="J71" s="2178">
        <f>J21+J30+J35+J41+J60+J69</f>
        <v>14687613.725298401</v>
      </c>
      <c r="K71" s="896">
        <f>H71+J71</f>
        <v>116573038.18591827</v>
      </c>
    </row>
    <row r="72" spans="1:11">
      <c r="A72" s="1336"/>
      <c r="B72" s="1747"/>
      <c r="C72" s="1731"/>
      <c r="D72" s="483"/>
      <c r="E72" s="483"/>
      <c r="F72" s="483"/>
      <c r="G72" s="516"/>
      <c r="H72" s="513"/>
      <c r="I72" s="512"/>
      <c r="J72" s="513"/>
      <c r="K72" s="1189"/>
    </row>
    <row r="73" spans="1:11" ht="15.75">
      <c r="A73" s="1336"/>
      <c r="B73" s="1750"/>
      <c r="C73" s="1735"/>
      <c r="D73" s="1544" t="s">
        <v>158</v>
      </c>
      <c r="E73" s="496"/>
      <c r="F73" s="496"/>
      <c r="G73" s="517"/>
      <c r="H73" s="517"/>
      <c r="I73" s="517"/>
      <c r="J73" s="517"/>
      <c r="K73" s="887"/>
    </row>
    <row r="74" spans="1:11">
      <c r="A74" s="1336"/>
      <c r="B74" s="2133" t="s">
        <v>467</v>
      </c>
      <c r="C74" s="1729" t="s">
        <v>199</v>
      </c>
      <c r="D74" s="1212" t="s">
        <v>2</v>
      </c>
      <c r="E74" s="1215"/>
      <c r="F74" s="1214"/>
      <c r="G74" s="1235"/>
      <c r="H74" s="1236">
        <f>'2017 Sector View Elect'!S96</f>
        <v>949696.90299999993</v>
      </c>
      <c r="I74" s="1237"/>
      <c r="J74" s="1224"/>
      <c r="K74" s="884">
        <f t="array" ref="K74:K77">H74:H77+J74:J77</f>
        <v>949696.90299999993</v>
      </c>
    </row>
    <row r="75" spans="1:11" s="1652" customFormat="1">
      <c r="A75" s="1336"/>
      <c r="B75" s="1749" t="s">
        <v>468</v>
      </c>
      <c r="C75" s="1725" t="s">
        <v>1759</v>
      </c>
      <c r="D75" s="1210" t="s">
        <v>1758</v>
      </c>
      <c r="E75" s="3213"/>
      <c r="F75" s="484"/>
      <c r="G75" s="1230"/>
      <c r="H75" s="2131">
        <f>'2017 Sector View Elect'!S97+'2017 Sector View Elect'!S98</f>
        <v>322456.70400000003</v>
      </c>
      <c r="I75" s="2132"/>
      <c r="J75" s="1245"/>
      <c r="K75" s="1251">
        <v>322456.70400000003</v>
      </c>
    </row>
    <row r="76" spans="1:11" s="1652" customFormat="1">
      <c r="A76" s="1336"/>
      <c r="B76" s="1749" t="s">
        <v>469</v>
      </c>
      <c r="C76" s="1725" t="s">
        <v>614</v>
      </c>
      <c r="D76" s="485" t="s">
        <v>615</v>
      </c>
      <c r="E76" s="893"/>
      <c r="F76" s="484"/>
      <c r="G76" s="1230"/>
      <c r="H76" s="2131">
        <f>'2017 Sector View Elect'!S99</f>
        <v>295624.32000000001</v>
      </c>
      <c r="I76" s="2132"/>
      <c r="J76" s="1245"/>
      <c r="K76" s="2124">
        <v>295624.32000000001</v>
      </c>
    </row>
    <row r="77" spans="1:11">
      <c r="A77" s="1336"/>
      <c r="B77" s="1739" t="s">
        <v>470</v>
      </c>
      <c r="C77" s="1726"/>
      <c r="D77" s="489" t="s">
        <v>201</v>
      </c>
      <c r="E77" s="490"/>
      <c r="F77" s="491"/>
      <c r="G77" s="511"/>
      <c r="H77" s="510">
        <f>SUM(H74:H76)</f>
        <v>1567777.9269999999</v>
      </c>
      <c r="I77" s="511"/>
      <c r="J77" s="510">
        <f>SUM(J74:J76)</f>
        <v>0</v>
      </c>
      <c r="K77" s="882">
        <v>1567777.9269999999</v>
      </c>
    </row>
    <row r="78" spans="1:11" ht="13.5" thickBot="1">
      <c r="A78" s="1336"/>
      <c r="B78" s="1736"/>
      <c r="C78" s="1736"/>
      <c r="D78" s="1191"/>
      <c r="E78" s="1191"/>
      <c r="F78" s="1191"/>
      <c r="G78" s="1194"/>
      <c r="H78" s="1195"/>
      <c r="I78" s="1194"/>
      <c r="J78" s="1195"/>
      <c r="K78" s="1253"/>
    </row>
    <row r="79" spans="1:11">
      <c r="B79" s="1737"/>
      <c r="C79" s="1164"/>
      <c r="D79" s="1201"/>
      <c r="E79" s="1201"/>
      <c r="F79" s="1201"/>
      <c r="G79" s="1238" t="s">
        <v>6</v>
      </c>
      <c r="H79" s="1225"/>
      <c r="I79" s="1226"/>
      <c r="J79" s="1225"/>
      <c r="K79" s="1225"/>
    </row>
    <row r="80" spans="1:11">
      <c r="C80" s="1164"/>
      <c r="D80" s="483"/>
      <c r="E80" s="483"/>
      <c r="F80" s="483"/>
      <c r="G80" s="512"/>
      <c r="H80" s="513"/>
      <c r="I80" s="512"/>
      <c r="J80" s="513"/>
      <c r="K80" s="513"/>
    </row>
    <row r="81" spans="2:12" ht="15">
      <c r="B81" s="1718" t="s">
        <v>692</v>
      </c>
      <c r="C81" s="2467"/>
      <c r="D81" s="2553" t="s">
        <v>312</v>
      </c>
      <c r="E81" s="2554"/>
      <c r="F81" s="2555"/>
      <c r="G81" s="2572">
        <f>G71</f>
        <v>309932.08333496749</v>
      </c>
      <c r="H81" s="2565">
        <f>H71+H77</f>
        <v>103453202.38761987</v>
      </c>
      <c r="I81" s="2566">
        <f>I71</f>
        <v>3527456.85</v>
      </c>
      <c r="J81" s="2565">
        <f>J71+J77</f>
        <v>14687613.725298401</v>
      </c>
      <c r="K81" s="2567">
        <f>H81+J81</f>
        <v>118140816.11291827</v>
      </c>
      <c r="L81" s="1201"/>
    </row>
    <row r="82" spans="2:12" s="1652" customFormat="1" ht="15">
      <c r="B82" s="1718"/>
      <c r="C82" s="2467"/>
      <c r="D82" s="2556"/>
      <c r="E82" s="2557"/>
      <c r="F82" s="2557"/>
      <c r="G82" s="2568">
        <f>G81/8760</f>
        <v>35.380374809927794</v>
      </c>
      <c r="H82" s="2569"/>
      <c r="I82" s="2570"/>
      <c r="J82" s="2569"/>
      <c r="K82" s="2571"/>
      <c r="L82" s="1201"/>
    </row>
    <row r="83" spans="2:12" s="1652" customFormat="1" ht="15">
      <c r="B83" s="2174"/>
      <c r="C83" s="492"/>
      <c r="D83" s="1216"/>
      <c r="E83" s="1216"/>
      <c r="F83" s="1216"/>
      <c r="G83" s="1239"/>
      <c r="H83" s="1240"/>
      <c r="I83" s="1241"/>
      <c r="J83" s="1240"/>
      <c r="K83" s="1242"/>
    </row>
    <row r="84" spans="2:12" s="1665" customFormat="1" ht="15" customHeight="1">
      <c r="B84" s="2174" t="s">
        <v>693</v>
      </c>
      <c r="C84" s="2090"/>
      <c r="D84" s="3554" t="s">
        <v>1676</v>
      </c>
      <c r="E84" s="3555"/>
      <c r="F84" s="3555"/>
      <c r="G84" s="2558">
        <f>G81-(G38+G35)</f>
        <v>289016.6423349675</v>
      </c>
      <c r="H84" s="2560"/>
      <c r="I84" s="2561">
        <f>I81-(I39+I35)</f>
        <v>3210571.85</v>
      </c>
      <c r="J84" s="2560"/>
      <c r="K84" s="2562"/>
      <c r="L84" s="969"/>
    </row>
    <row r="85" spans="2:12" s="1665" customFormat="1" ht="15" customHeight="1">
      <c r="B85" s="2174"/>
      <c r="C85" s="2090"/>
      <c r="D85" s="3556"/>
      <c r="E85" s="3557"/>
      <c r="F85" s="3557"/>
      <c r="G85" s="2559">
        <f>G84/8760</f>
        <v>32.992767389836473</v>
      </c>
      <c r="H85" s="2563"/>
      <c r="I85" s="2563"/>
      <c r="J85" s="2563"/>
      <c r="K85" s="2564"/>
      <c r="L85" s="969"/>
    </row>
    <row r="86" spans="2:12" s="1665" customFormat="1" ht="15" customHeight="1">
      <c r="B86" s="2174"/>
      <c r="C86" s="2090"/>
      <c r="D86" s="2091"/>
      <c r="E86" s="2091"/>
      <c r="F86" s="2091"/>
      <c r="G86" s="2079"/>
      <c r="H86" s="903"/>
      <c r="I86" s="904"/>
      <c r="J86" s="903"/>
      <c r="K86" s="903"/>
      <c r="L86" s="969"/>
    </row>
    <row r="87" spans="2:12">
      <c r="B87" s="1718" t="s">
        <v>471</v>
      </c>
      <c r="E87" s="2181" t="s">
        <v>202</v>
      </c>
      <c r="F87" s="2180"/>
      <c r="G87" s="2179"/>
      <c r="H87" s="2176">
        <f>(H35+H60)/H71</f>
        <v>7.3118583047633273E-2</v>
      </c>
      <c r="I87" s="518"/>
      <c r="J87" s="2177">
        <f>(J35+J60)/J71</f>
        <v>7.5707840011690425E-2</v>
      </c>
      <c r="K87" s="1243"/>
    </row>
    <row r="88" spans="2:12">
      <c r="B88" s="1718"/>
      <c r="E88" s="1652"/>
      <c r="F88" s="1652" t="s">
        <v>313</v>
      </c>
      <c r="G88" s="1243"/>
      <c r="H88" s="1244"/>
      <c r="I88" s="1243"/>
      <c r="J88" s="1244"/>
      <c r="K88" s="1243"/>
    </row>
    <row r="89" spans="2:12">
      <c r="B89" s="1718"/>
      <c r="E89" s="1652"/>
      <c r="F89" s="1652" t="s">
        <v>230</v>
      </c>
      <c r="G89" s="1243"/>
      <c r="H89" s="1244"/>
      <c r="I89" s="1243"/>
      <c r="J89" s="1244"/>
      <c r="K89" s="1243"/>
    </row>
    <row r="90" spans="2:12">
      <c r="B90" s="1718"/>
      <c r="E90" s="1703"/>
      <c r="F90" s="1703"/>
      <c r="G90" s="1704"/>
      <c r="H90" s="1244"/>
      <c r="I90" s="1243"/>
      <c r="J90" s="1244"/>
      <c r="K90" s="1243"/>
    </row>
    <row r="91" spans="2:12" s="1652" customFormat="1" ht="26.25" customHeight="1">
      <c r="B91" s="1718" t="s">
        <v>1756</v>
      </c>
      <c r="C91" s="1663"/>
      <c r="E91" s="3558" t="s">
        <v>2647</v>
      </c>
      <c r="F91" s="3559"/>
      <c r="G91" s="3559"/>
      <c r="H91" s="3527">
        <f>(H56+SUM(H66:H68))/(H21+H30)</f>
        <v>4.0886009846966616E-2</v>
      </c>
      <c r="I91" s="3528"/>
      <c r="J91" s="3529">
        <f>(J56+SUM(J66:J68))/(J21+J30)</f>
        <v>5.2785232011138022E-2</v>
      </c>
      <c r="K91" s="1243"/>
    </row>
    <row r="92" spans="2:12" s="1652" customFormat="1" ht="21" customHeight="1">
      <c r="B92" s="1718" t="s">
        <v>2648</v>
      </c>
      <c r="C92" s="1663"/>
      <c r="E92" s="3530" t="s">
        <v>2649</v>
      </c>
      <c r="F92" s="3531"/>
      <c r="G92" s="3531"/>
      <c r="H92" s="3532">
        <f>(H56+SUM(H66:H68))</f>
        <v>3498972.63894</v>
      </c>
      <c r="I92" s="3533"/>
      <c r="J92" s="3534">
        <f>(J56+SUM(J66:J68))</f>
        <v>612654.08909999998</v>
      </c>
      <c r="K92" s="1243"/>
    </row>
    <row r="93" spans="2:12" s="1652" customFormat="1" ht="27" customHeight="1">
      <c r="B93" s="2123"/>
      <c r="C93" s="1663"/>
      <c r="F93" s="3560" t="s">
        <v>2650</v>
      </c>
      <c r="G93" s="3560"/>
      <c r="H93" s="3560"/>
      <c r="I93" s="3560"/>
      <c r="J93" s="3560"/>
    </row>
    <row r="94" spans="2:12" s="1652" customFormat="1" ht="18.75" customHeight="1">
      <c r="C94" s="1663"/>
      <c r="F94" s="3560" t="s">
        <v>2651</v>
      </c>
      <c r="G94" s="3560"/>
      <c r="H94" s="3560"/>
      <c r="I94" s="3560"/>
      <c r="J94" s="3560"/>
    </row>
    <row r="100" spans="8:8" s="1196" customFormat="1">
      <c r="H100" s="1246"/>
    </row>
  </sheetData>
  <customSheetViews>
    <customSheetView guid="{D9EFFE19-D14B-4C6F-BDF4-FF696F73968D}" showGridLines="0" topLeftCell="A25">
      <pageMargins left="0.28000000000000003" right="0.3" top="0.75" bottom="0.75" header="0.3" footer="0.3"/>
      <pageSetup paperSize="17" scale="80" orientation="portrait" r:id="rId1"/>
      <headerFooter>
        <oddFooter>&amp;R&amp;G</oddFooter>
      </headerFooter>
    </customSheetView>
    <customSheetView guid="{074EB09C-6289-46D7-9513-012B68BCA7BF}" showGridLines="0">
      <selection activeCell="G3" sqref="G3"/>
      <pageMargins left="0.28000000000000003" right="0.3" top="0.75" bottom="0.75" header="0.3" footer="0.3"/>
      <pageSetup paperSize="17" scale="80" orientation="portrait" r:id="rId2"/>
      <headerFooter>
        <oddFooter>&amp;R&amp;G</oddFooter>
      </headerFooter>
    </customSheetView>
  </customSheetViews>
  <mergeCells count="4">
    <mergeCell ref="D84:F85"/>
    <mergeCell ref="E91:G91"/>
    <mergeCell ref="F93:J93"/>
    <mergeCell ref="F94:J94"/>
  </mergeCells>
  <hyperlinks>
    <hyperlink ref="G3" location="'2017 Sector View Elect'!A1" display="MWh Savings"/>
    <hyperlink ref="H3" location="'2017 Sector View Elect'!A1" display="Electric Rider Budget"/>
    <hyperlink ref="I3" location="'2017 Sector View Gas'!A1" display="Therm Savings"/>
    <hyperlink ref="J3" location="'2017 Sector View Gas'!A1" display="Gas Rider Budget"/>
  </hyperlinks>
  <pageMargins left="0.28000000000000003" right="0.3" top="0.75" bottom="0.75" header="0.3" footer="0.3"/>
  <pageSetup paperSize="3" scale="80" orientation="portrait" r:id="rId3"/>
  <headerFooter>
    <oddFooter>&amp;R&amp;G</oddFooter>
  </headerFooter>
  <ignoredErrors>
    <ignoredError sqref="C28" numberStoredAsText="1"/>
    <ignoredError sqref="I81" formula="1"/>
    <ignoredError sqref="G7:J8 I21:J21 I27:J28 G41:J41 I14:J17 I19:J20 K24:K38 I30 J69 K63:K73 J81 H84" emptyCellReference="1"/>
  </ignoredErrors>
  <drawing r:id="rId4"/>
  <legacyDrawingHF r:id="rId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7" tint="0.59999389629810485"/>
    <pageSetUpPr fitToPage="1"/>
  </sheetPr>
  <dimension ref="A1:R70"/>
  <sheetViews>
    <sheetView showGridLines="0" zoomScale="50" zoomScaleNormal="50" workbookViewId="0">
      <pane xSplit="1" ySplit="1" topLeftCell="B5" activePane="bottomRight" state="frozen"/>
      <selection pane="topRight" activeCell="B1" sqref="B1"/>
      <selection pane="bottomLeft" activeCell="A2" sqref="A2"/>
      <selection pane="bottomRight"/>
    </sheetView>
  </sheetViews>
  <sheetFormatPr defaultRowHeight="12.75"/>
  <cols>
    <col min="1" max="1" width="18.85546875" style="849" customWidth="1"/>
    <col min="2" max="2" width="16.140625" style="1413" customWidth="1"/>
    <col min="3" max="3" width="27.28515625" customWidth="1"/>
    <col min="4" max="4" width="17.7109375" customWidth="1"/>
    <col min="5" max="5" width="18.5703125" customWidth="1"/>
    <col min="6" max="6" width="23.85546875" customWidth="1"/>
    <col min="7" max="7" width="20.5703125" customWidth="1"/>
    <col min="8" max="8" width="13.85546875" customWidth="1"/>
    <col min="9" max="9" width="14.140625" customWidth="1"/>
    <col min="10" max="10" width="15.85546875" customWidth="1"/>
    <col min="11" max="11" width="12.140625" customWidth="1"/>
    <col min="12" max="12" width="15.140625" customWidth="1"/>
    <col min="13" max="18" width="12.140625" customWidth="1"/>
  </cols>
  <sheetData>
    <row r="1" spans="1:18" ht="52.5" customHeight="1">
      <c r="C1" s="942"/>
      <c r="D1" s="1357" t="s">
        <v>193</v>
      </c>
      <c r="E1" s="1372" t="s">
        <v>5</v>
      </c>
      <c r="F1" s="1372">
        <v>18230610</v>
      </c>
      <c r="G1" s="1357" t="s">
        <v>4</v>
      </c>
      <c r="M1" s="1357" t="s">
        <v>193</v>
      </c>
      <c r="N1" s="1372" t="s">
        <v>5</v>
      </c>
      <c r="O1" s="1372">
        <v>18230610</v>
      </c>
      <c r="P1" s="1357" t="s">
        <v>4</v>
      </c>
    </row>
    <row r="2" spans="1:18" ht="16.5" customHeight="1" thickBot="1">
      <c r="C2" s="1374"/>
      <c r="D2" s="1375"/>
      <c r="E2" s="1123"/>
      <c r="F2" s="891"/>
      <c r="G2" s="891"/>
      <c r="H2" s="1178" t="s">
        <v>627</v>
      </c>
      <c r="I2" s="426"/>
      <c r="J2" s="426"/>
      <c r="K2" s="426"/>
      <c r="L2" s="426"/>
      <c r="M2" s="426"/>
      <c r="N2" s="426"/>
      <c r="O2" s="426"/>
      <c r="P2" s="426"/>
      <c r="Q2" s="426"/>
      <c r="R2" s="1416"/>
    </row>
    <row r="3" spans="1:18" ht="27" thickBot="1">
      <c r="A3" s="1508" t="s">
        <v>193</v>
      </c>
      <c r="B3" s="1508"/>
      <c r="C3" s="1342"/>
      <c r="D3" s="1342"/>
      <c r="E3" s="1123"/>
      <c r="F3" s="426"/>
      <c r="G3" s="426"/>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517" t="s">
        <v>5</v>
      </c>
      <c r="B4" s="1517"/>
      <c r="C4" s="1374"/>
      <c r="D4" s="1324"/>
      <c r="E4" s="1324"/>
      <c r="F4" s="426"/>
      <c r="G4" s="2946" t="s">
        <v>1726</v>
      </c>
      <c r="H4" s="2959">
        <f>D15</f>
        <v>646787.81999999995</v>
      </c>
      <c r="I4" s="2960">
        <f>D21</f>
        <v>0</v>
      </c>
      <c r="J4" s="2960">
        <f>D27</f>
        <v>431407.47593999997</v>
      </c>
      <c r="K4" s="2960">
        <f>D37</f>
        <v>0</v>
      </c>
      <c r="L4" s="2960">
        <f>D43</f>
        <v>44000</v>
      </c>
      <c r="M4" s="2960">
        <f>D49</f>
        <v>1000</v>
      </c>
      <c r="N4" s="2960">
        <f>D55</f>
        <v>3000</v>
      </c>
      <c r="O4" s="2960">
        <f>D61</f>
        <v>1350</v>
      </c>
      <c r="P4" s="2960">
        <v>0</v>
      </c>
      <c r="Q4" s="2960">
        <v>0</v>
      </c>
      <c r="R4" s="2961">
        <f>SUM(H4:Q4)</f>
        <v>1127545.2959399999</v>
      </c>
    </row>
    <row r="5" spans="1:18" ht="15.75">
      <c r="A5" s="1517">
        <v>18230610</v>
      </c>
      <c r="C5" s="1375"/>
      <c r="D5" s="1375"/>
      <c r="E5" s="1324"/>
      <c r="F5" s="426"/>
      <c r="G5" s="3205" t="s">
        <v>1753</v>
      </c>
      <c r="H5" s="2617">
        <v>662957.44999999995</v>
      </c>
      <c r="I5" s="2618">
        <v>0</v>
      </c>
      <c r="J5" s="2618">
        <v>450811.06599999999</v>
      </c>
      <c r="K5" s="2618">
        <v>0</v>
      </c>
      <c r="L5" s="2618">
        <v>44000</v>
      </c>
      <c r="M5" s="2618">
        <v>1000</v>
      </c>
      <c r="N5" s="2618">
        <v>3000</v>
      </c>
      <c r="O5" s="2618">
        <v>1350</v>
      </c>
      <c r="P5" s="2618">
        <v>0</v>
      </c>
      <c r="Q5" s="2618">
        <v>0</v>
      </c>
      <c r="R5" s="2619">
        <v>1163118.5159999998</v>
      </c>
    </row>
    <row r="6" spans="1:18" ht="16.5" thickBot="1">
      <c r="A6" s="1508" t="s">
        <v>4</v>
      </c>
      <c r="B6" s="1517"/>
      <c r="C6" s="1324"/>
      <c r="D6" s="1374"/>
      <c r="E6" s="1324"/>
      <c r="F6" s="426"/>
      <c r="G6" s="3206" t="s">
        <v>1754</v>
      </c>
      <c r="H6" s="2621">
        <f>E15</f>
        <v>662957.44999999995</v>
      </c>
      <c r="I6" s="2622">
        <f>E21</f>
        <v>0</v>
      </c>
      <c r="J6" s="2623">
        <f>E27</f>
        <v>456114.72559999995</v>
      </c>
      <c r="K6" s="2622">
        <f>E37</f>
        <v>0</v>
      </c>
      <c r="L6" s="2622">
        <f>E43</f>
        <v>44000</v>
      </c>
      <c r="M6" s="2622">
        <f>E49</f>
        <v>1000</v>
      </c>
      <c r="N6" s="2622">
        <f>E55</f>
        <v>3000</v>
      </c>
      <c r="O6" s="2622">
        <f>E61</f>
        <v>1350</v>
      </c>
      <c r="P6" s="2622">
        <v>0</v>
      </c>
      <c r="Q6" s="2622">
        <v>0</v>
      </c>
      <c r="R6" s="2624">
        <f>SUM(H6:Q6)</f>
        <v>1168422.1756</v>
      </c>
    </row>
    <row r="7" spans="1:18" ht="15.75">
      <c r="A7" s="1201"/>
      <c r="B7" s="1508"/>
      <c r="C7" s="1324"/>
      <c r="D7" s="1381"/>
      <c r="E7" s="1324"/>
      <c r="F7" s="426"/>
      <c r="G7" s="2733"/>
      <c r="H7" s="2607"/>
      <c r="I7" s="2607"/>
      <c r="J7" s="2607"/>
      <c r="K7" s="2607"/>
      <c r="L7" s="2607"/>
      <c r="M7" s="2607"/>
      <c r="N7" s="2607"/>
      <c r="O7" s="2607"/>
      <c r="P7" s="2607"/>
      <c r="Q7" s="2607"/>
      <c r="R7" s="2607"/>
    </row>
    <row r="8" spans="1:18" s="501" customFormat="1" ht="15.75">
      <c r="B8" s="1357"/>
      <c r="C8" s="1324"/>
      <c r="D8" s="1381"/>
      <c r="E8" s="1324"/>
      <c r="F8" s="1354"/>
      <c r="G8" s="471"/>
    </row>
    <row r="9" spans="1:18" ht="15.75">
      <c r="A9" s="1357"/>
      <c r="B9" s="1357"/>
      <c r="C9" s="1324"/>
      <c r="D9" s="1381"/>
      <c r="E9" s="1324"/>
      <c r="F9" s="1354"/>
    </row>
    <row r="10" spans="1:18">
      <c r="A10" s="1357"/>
      <c r="B10" s="1357"/>
      <c r="C10" s="1454" t="s">
        <v>310</v>
      </c>
      <c r="D10" s="1454"/>
      <c r="E10" s="1454"/>
      <c r="F10" s="1454"/>
    </row>
    <row r="11" spans="1:18">
      <c r="A11" s="1357"/>
      <c r="B11" s="1357"/>
      <c r="C11" s="1413"/>
      <c r="D11" s="1413"/>
      <c r="E11" s="1414"/>
      <c r="F11" s="1413"/>
    </row>
    <row r="12" spans="1:18">
      <c r="A12" s="1357"/>
      <c r="B12" s="1357"/>
      <c r="C12" s="1434" t="s">
        <v>298</v>
      </c>
      <c r="D12" s="2766">
        <f>D15+D21+D27+D37+D43+D49+D55+D61</f>
        <v>1127545.2959399999</v>
      </c>
      <c r="E12" s="1484">
        <f>E15+E21+E27+E37+E43+E49+E55+E61</f>
        <v>1168422.1756</v>
      </c>
      <c r="F12" s="1462">
        <f>D12+E12</f>
        <v>2295967.4715399998</v>
      </c>
    </row>
    <row r="13" spans="1:18">
      <c r="B13" s="1357"/>
      <c r="C13" s="1483"/>
      <c r="D13" s="2767"/>
      <c r="E13" s="1336"/>
      <c r="F13" s="1413"/>
    </row>
    <row r="14" spans="1:18" ht="15.75">
      <c r="B14" s="1357"/>
      <c r="C14" s="1435" t="s">
        <v>42</v>
      </c>
      <c r="D14" s="2768">
        <v>2016</v>
      </c>
      <c r="E14" s="1502">
        <v>2017</v>
      </c>
      <c r="F14" s="1486" t="s">
        <v>20</v>
      </c>
    </row>
    <row r="15" spans="1:18">
      <c r="B15" s="1433" t="s">
        <v>296</v>
      </c>
      <c r="C15" s="1451" t="s">
        <v>43</v>
      </c>
      <c r="D15" s="2771">
        <f>SUM(D16:D19)</f>
        <v>646787.81999999995</v>
      </c>
      <c r="E15" s="1464">
        <f>SUM(E16:E19)</f>
        <v>662957.44999999995</v>
      </c>
      <c r="F15" s="1462">
        <f>SUM(D15:E15)</f>
        <v>1309745.27</v>
      </c>
    </row>
    <row r="16" spans="1:18">
      <c r="B16" s="1982">
        <v>11.18</v>
      </c>
      <c r="C16" s="1667" t="s">
        <v>744</v>
      </c>
      <c r="D16" s="2772">
        <v>646787.81999999995</v>
      </c>
      <c r="E16" s="1669">
        <v>662957.44999999995</v>
      </c>
      <c r="F16" s="1426">
        <f>SUM(D16:E16)</f>
        <v>1309745.27</v>
      </c>
    </row>
    <row r="17" spans="2:6">
      <c r="B17" s="1432"/>
      <c r="C17" s="1423"/>
      <c r="D17" s="2784"/>
      <c r="E17" s="1447"/>
      <c r="F17" s="1438">
        <f>SUM(D17:E17)</f>
        <v>0</v>
      </c>
    </row>
    <row r="18" spans="2:6">
      <c r="B18" s="1432"/>
      <c r="C18" s="1423"/>
      <c r="D18" s="2784"/>
      <c r="E18" s="1447"/>
      <c r="F18" s="1438">
        <f>SUM(D18:E18)</f>
        <v>0</v>
      </c>
    </row>
    <row r="19" spans="2:6">
      <c r="B19" s="1432"/>
      <c r="C19" s="1423"/>
      <c r="D19" s="2786"/>
      <c r="E19" s="1446"/>
      <c r="F19" s="1438">
        <f>SUM(D19:E19)</f>
        <v>0</v>
      </c>
    </row>
    <row r="20" spans="2:6">
      <c r="B20" s="1449">
        <f>SUM(B16:B19)</f>
        <v>11.18</v>
      </c>
      <c r="C20" s="1488"/>
      <c r="D20" s="2770"/>
      <c r="E20" s="1490"/>
      <c r="F20" s="1492"/>
    </row>
    <row r="21" spans="2:6">
      <c r="C21" s="1451" t="s">
        <v>44</v>
      </c>
      <c r="D21" s="2771">
        <v>0</v>
      </c>
      <c r="E21" s="1464">
        <v>0</v>
      </c>
      <c r="F21" s="1462">
        <v>0</v>
      </c>
    </row>
    <row r="22" spans="2:6">
      <c r="C22" s="1423"/>
      <c r="D22" s="2772"/>
      <c r="E22" s="1448"/>
      <c r="F22" s="1426">
        <v>0</v>
      </c>
    </row>
    <row r="23" spans="2:6">
      <c r="C23" s="1423"/>
      <c r="D23" s="2773"/>
      <c r="E23" s="1444"/>
      <c r="F23" s="1438">
        <v>0</v>
      </c>
    </row>
    <row r="24" spans="2:6">
      <c r="C24" s="1423"/>
      <c r="D24" s="2774"/>
      <c r="E24" s="1443"/>
      <c r="F24" s="1438">
        <v>0</v>
      </c>
    </row>
    <row r="25" spans="2:6">
      <c r="C25" s="1423"/>
      <c r="D25" s="2775"/>
      <c r="E25" s="1444"/>
      <c r="F25" s="1438">
        <v>0</v>
      </c>
    </row>
    <row r="26" spans="2:6">
      <c r="C26" s="1424"/>
      <c r="D26" s="2776"/>
      <c r="E26" s="1431"/>
      <c r="F26" s="1439"/>
    </row>
    <row r="27" spans="2:6">
      <c r="C27" s="1451" t="s">
        <v>45</v>
      </c>
      <c r="D27" s="2771">
        <f>SUM(D29:D31)</f>
        <v>431407.47593999997</v>
      </c>
      <c r="E27" s="1657">
        <f>SUM(E29:E31)+SUM(E33:E35)</f>
        <v>456114.72559999995</v>
      </c>
      <c r="F27" s="1462">
        <f>SUM(D27:E27)</f>
        <v>887522.20153999992</v>
      </c>
    </row>
    <row r="28" spans="2:6">
      <c r="C28" s="1450" t="s">
        <v>1733</v>
      </c>
      <c r="D28" s="2777">
        <v>0.66700000000000004</v>
      </c>
      <c r="E28" s="1452">
        <v>0.68799999999999994</v>
      </c>
      <c r="F28" s="1485"/>
    </row>
    <row r="29" spans="2:6">
      <c r="C29" s="1667" t="s">
        <v>719</v>
      </c>
      <c r="D29" s="2778">
        <f>D15*D28</f>
        <v>431407.47593999997</v>
      </c>
      <c r="E29" s="1504">
        <f>E15*E28</f>
        <v>456114.72559999995</v>
      </c>
      <c r="F29" s="1438">
        <f>SUM(D29:E29)</f>
        <v>887522.20153999992</v>
      </c>
    </row>
    <row r="30" spans="2:6">
      <c r="C30" s="1667" t="s">
        <v>720</v>
      </c>
      <c r="D30" s="2785">
        <f>D21*D28</f>
        <v>0</v>
      </c>
      <c r="E30" s="1504">
        <f>E21*E28</f>
        <v>0</v>
      </c>
      <c r="F30" s="1438">
        <f>SUM(D30:E30)</f>
        <v>0</v>
      </c>
    </row>
    <row r="31" spans="2:6">
      <c r="C31" s="1667"/>
      <c r="D31" s="2774"/>
      <c r="E31" s="1443"/>
      <c r="F31" s="1436"/>
    </row>
    <row r="32" spans="2:6">
      <c r="C32" s="1450" t="s">
        <v>1734</v>
      </c>
      <c r="D32" s="2777"/>
      <c r="E32" s="1452">
        <v>0</v>
      </c>
      <c r="F32" s="1485"/>
    </row>
    <row r="33" spans="1:8">
      <c r="C33" s="1667" t="s">
        <v>719</v>
      </c>
      <c r="D33" s="2778"/>
      <c r="E33" s="1641">
        <f>E15*E32</f>
        <v>0</v>
      </c>
      <c r="F33" s="1661">
        <f>SUM(D33:E33)</f>
        <v>0</v>
      </c>
    </row>
    <row r="34" spans="1:8">
      <c r="A34" s="1508" t="s">
        <v>193</v>
      </c>
      <c r="C34" s="1667" t="s">
        <v>720</v>
      </c>
      <c r="D34" s="2785"/>
      <c r="E34" s="1641">
        <f>E21*E32</f>
        <v>0</v>
      </c>
      <c r="F34" s="1661">
        <f t="shared" ref="F34" si="0">SUM(D34:E34)</f>
        <v>0</v>
      </c>
    </row>
    <row r="35" spans="1:8">
      <c r="A35" s="1517" t="s">
        <v>5</v>
      </c>
      <c r="C35" s="1445"/>
      <c r="D35" s="2775"/>
      <c r="E35" s="1444"/>
      <c r="F35" s="1437"/>
    </row>
    <row r="36" spans="1:8">
      <c r="A36" s="1517">
        <v>18230610</v>
      </c>
      <c r="C36" s="1488"/>
      <c r="D36" s="2779"/>
      <c r="E36" s="1659"/>
      <c r="F36" s="1493"/>
    </row>
    <row r="37" spans="1:8">
      <c r="A37" s="1508" t="s">
        <v>4</v>
      </c>
      <c r="C37" s="1451" t="s">
        <v>46</v>
      </c>
      <c r="D37" s="2771">
        <f>SUM(D38:D41)</f>
        <v>0</v>
      </c>
      <c r="E37" s="1705">
        <f>SUM(E38:E41)</f>
        <v>0</v>
      </c>
      <c r="F37" s="1638">
        <f>SUM(D37:E37)</f>
        <v>0</v>
      </c>
    </row>
    <row r="38" spans="1:8">
      <c r="C38" s="1635"/>
      <c r="D38" s="2778"/>
      <c r="E38" s="1672"/>
      <c r="F38" s="1637">
        <f>SUM(D38:E38)</f>
        <v>0</v>
      </c>
    </row>
    <row r="39" spans="1:8">
      <c r="C39" s="1423"/>
      <c r="D39" s="2778"/>
      <c r="E39" s="1520"/>
      <c r="F39" s="1438">
        <v>0</v>
      </c>
    </row>
    <row r="40" spans="1:8">
      <c r="C40" s="1423"/>
      <c r="D40" s="2778"/>
      <c r="E40" s="1520"/>
      <c r="F40" s="1438">
        <v>0</v>
      </c>
    </row>
    <row r="41" spans="1:8">
      <c r="C41" s="1423"/>
      <c r="D41" s="2778"/>
      <c r="E41" s="1520"/>
      <c r="F41" s="1438">
        <v>0</v>
      </c>
      <c r="G41" s="1652"/>
    </row>
    <row r="42" spans="1:8">
      <c r="C42" s="1488"/>
      <c r="D42" s="2779"/>
      <c r="E42" s="1490"/>
      <c r="F42" s="1493"/>
      <c r="G42" s="1652"/>
    </row>
    <row r="43" spans="1:8">
      <c r="C43" s="1597" t="s">
        <v>483</v>
      </c>
      <c r="D43" s="2771">
        <f>SUM(D44:D47)</f>
        <v>44000</v>
      </c>
      <c r="E43" s="1464">
        <f>SUM(E44:E47)</f>
        <v>44000</v>
      </c>
      <c r="F43" s="1462">
        <f t="shared" ref="F43:F59" si="1">SUM(D43:E43)</f>
        <v>88000</v>
      </c>
    </row>
    <row r="44" spans="1:8">
      <c r="C44" s="1667" t="s">
        <v>762</v>
      </c>
      <c r="D44" s="2778">
        <v>10000</v>
      </c>
      <c r="E44" s="1672">
        <v>10000</v>
      </c>
      <c r="F44" s="1438">
        <f t="shared" si="1"/>
        <v>20000</v>
      </c>
      <c r="H44" s="426"/>
    </row>
    <row r="45" spans="1:8">
      <c r="C45" s="1667" t="s">
        <v>763</v>
      </c>
      <c r="D45" s="2778">
        <v>25000</v>
      </c>
      <c r="E45" s="1672">
        <v>25000</v>
      </c>
      <c r="F45" s="1438">
        <f t="shared" si="1"/>
        <v>50000</v>
      </c>
      <c r="H45" s="426"/>
    </row>
    <row r="46" spans="1:8">
      <c r="C46" s="1667" t="s">
        <v>764</v>
      </c>
      <c r="D46" s="2778">
        <v>5000</v>
      </c>
      <c r="E46" s="1641">
        <v>5000</v>
      </c>
      <c r="F46" s="1438">
        <f t="shared" si="1"/>
        <v>10000</v>
      </c>
      <c r="H46" s="426"/>
    </row>
    <row r="47" spans="1:8">
      <c r="C47" s="1667" t="s">
        <v>765</v>
      </c>
      <c r="D47" s="2802">
        <v>4000</v>
      </c>
      <c r="E47" s="1672">
        <v>4000</v>
      </c>
      <c r="F47" s="1438">
        <f t="shared" si="1"/>
        <v>8000</v>
      </c>
      <c r="H47" s="426"/>
    </row>
    <row r="48" spans="1:8">
      <c r="C48" s="1488"/>
      <c r="D48" s="2779"/>
      <c r="E48" s="1490"/>
      <c r="F48" s="1493"/>
      <c r="H48" s="426"/>
    </row>
    <row r="49" spans="3:8">
      <c r="C49" s="1451" t="s">
        <v>47</v>
      </c>
      <c r="D49" s="2771">
        <f>SUM(D50:D53)</f>
        <v>1000</v>
      </c>
      <c r="E49" s="1464">
        <f>SUM(E50:E53)</f>
        <v>1000</v>
      </c>
      <c r="F49" s="1462">
        <f t="shared" si="1"/>
        <v>2000</v>
      </c>
      <c r="H49" s="426"/>
    </row>
    <row r="50" spans="3:8">
      <c r="C50" s="1423" t="s">
        <v>766</v>
      </c>
      <c r="D50" s="2778">
        <v>1000</v>
      </c>
      <c r="E50" s="1520">
        <v>1000</v>
      </c>
      <c r="F50" s="1438">
        <f t="shared" si="1"/>
        <v>2000</v>
      </c>
      <c r="H50" s="426"/>
    </row>
    <row r="51" spans="3:8">
      <c r="C51" s="1423"/>
      <c r="D51" s="2778"/>
      <c r="E51" s="1520"/>
      <c r="F51" s="1438">
        <f t="shared" si="1"/>
        <v>0</v>
      </c>
      <c r="H51" s="426"/>
    </row>
    <row r="52" spans="3:8">
      <c r="C52" s="1423"/>
      <c r="D52" s="2778"/>
      <c r="E52" s="1520"/>
      <c r="F52" s="1438">
        <f t="shared" si="1"/>
        <v>0</v>
      </c>
      <c r="H52" s="966"/>
    </row>
    <row r="53" spans="3:8">
      <c r="C53" s="1423"/>
      <c r="D53" s="2778"/>
      <c r="E53" s="1520"/>
      <c r="F53" s="1438">
        <f t="shared" si="1"/>
        <v>0</v>
      </c>
      <c r="H53" s="426"/>
    </row>
    <row r="54" spans="3:8">
      <c r="C54" s="1488"/>
      <c r="D54" s="2779"/>
      <c r="E54" s="1490"/>
      <c r="F54" s="1493"/>
      <c r="H54" s="967"/>
    </row>
    <row r="55" spans="3:8">
      <c r="C55" s="1451" t="s">
        <v>48</v>
      </c>
      <c r="D55" s="2771">
        <f>SUM(D56:D59)</f>
        <v>3000</v>
      </c>
      <c r="E55" s="1464">
        <f>SUM(E56:E59)</f>
        <v>3000</v>
      </c>
      <c r="F55" s="1462">
        <f t="shared" si="1"/>
        <v>6000</v>
      </c>
      <c r="H55" s="967"/>
    </row>
    <row r="56" spans="3:8">
      <c r="C56" s="1667" t="s">
        <v>767</v>
      </c>
      <c r="D56" s="2778">
        <v>3000</v>
      </c>
      <c r="E56" s="1641">
        <v>3000</v>
      </c>
      <c r="F56" s="1438">
        <f t="shared" si="1"/>
        <v>6000</v>
      </c>
      <c r="G56" s="1328"/>
      <c r="H56" s="967"/>
    </row>
    <row r="57" spans="3:8">
      <c r="C57" s="1636"/>
      <c r="D57" s="2778"/>
      <c r="E57" s="1639"/>
      <c r="F57" s="1438">
        <f t="shared" si="1"/>
        <v>0</v>
      </c>
      <c r="G57" s="963"/>
      <c r="H57" s="426"/>
    </row>
    <row r="58" spans="3:8">
      <c r="C58" s="1636"/>
      <c r="D58" s="2778"/>
      <c r="E58" s="1639"/>
      <c r="F58" s="1438">
        <f t="shared" si="1"/>
        <v>0</v>
      </c>
      <c r="G58" s="963"/>
      <c r="H58" s="426"/>
    </row>
    <row r="59" spans="3:8">
      <c r="C59" s="1636"/>
      <c r="D59" s="2778"/>
      <c r="E59" s="1639"/>
      <c r="F59" s="1438">
        <f t="shared" si="1"/>
        <v>0</v>
      </c>
    </row>
    <row r="60" spans="3:8">
      <c r="C60" s="1488"/>
      <c r="D60" s="2779"/>
      <c r="E60" s="1490"/>
      <c r="F60" s="1493"/>
    </row>
    <row r="61" spans="3:8">
      <c r="C61" s="1451" t="s">
        <v>49</v>
      </c>
      <c r="D61" s="2780">
        <f>SUM(D62:D65)</f>
        <v>1350</v>
      </c>
      <c r="E61" s="1657">
        <f>SUM(E62:E65)</f>
        <v>1350</v>
      </c>
      <c r="F61" s="1602">
        <f>SUM(D61:E61)</f>
        <v>2700</v>
      </c>
    </row>
    <row r="62" spans="3:8">
      <c r="C62" s="1667" t="s">
        <v>13</v>
      </c>
      <c r="D62" s="2778">
        <v>1350</v>
      </c>
      <c r="E62" s="1672">
        <v>1350</v>
      </c>
      <c r="F62" s="1438">
        <f>D62+E62</f>
        <v>2700</v>
      </c>
    </row>
    <row r="63" spans="3:8">
      <c r="C63" s="1423"/>
      <c r="D63" s="2778"/>
      <c r="E63" s="1520"/>
      <c r="F63" s="1438">
        <v>0</v>
      </c>
    </row>
    <row r="64" spans="3:8">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5" activePane="bottomRight" state="frozen"/>
      <selection pane="bottomRight" activeCell="G28" sqref="G28"/>
      <pageMargins left="0.24" right="0.28000000000000003" top="0.37" bottom="0.43" header="0.3" footer="0.3"/>
      <pageSetup paperSize="17" scale="72" orientation="landscape" r:id="rId1"/>
    </customSheetView>
    <customSheetView guid="{074EB09C-6289-46D7-9513-012B68BCA7BF}" showGridLines="0" fitToPage="1">
      <pane xSplit="1" ySplit="1" topLeftCell="B17" activePane="bottomRight" state="frozen"/>
      <selection pane="bottomRight" activeCell="E33" sqref="E33"/>
      <pageMargins left="0.24" right="0.28000000000000003" top="0.37" bottom="0.43" header="0.3" footer="0.3"/>
      <pageSetup paperSize="3" scale="72" orientation="landscape" r:id="rId2"/>
    </customSheetView>
  </customSheetViews>
  <pageMargins left="0.24" right="0.28000000000000003" top="0.37" bottom="0.43" header="0.3" footer="0.3"/>
  <pageSetup paperSize="3" scale="74" orientation="landscape" r:id="rId3"/>
  <drawing r:id="rId4"/>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7" tint="0.59999389629810485"/>
    <pageSetUpPr fitToPage="1"/>
  </sheetPr>
  <dimension ref="A1:T113"/>
  <sheetViews>
    <sheetView showGridLines="0" workbookViewId="0">
      <pane xSplit="1" ySplit="1" topLeftCell="B20" activePane="bottomRight" state="frozen"/>
      <selection pane="topRight" activeCell="B1" sqref="B1"/>
      <selection pane="bottomLeft" activeCell="A2" sqref="A2"/>
      <selection pane="bottomRight" activeCell="E35" sqref="E35"/>
    </sheetView>
  </sheetViews>
  <sheetFormatPr defaultRowHeight="12.75"/>
  <cols>
    <col min="1" max="1" width="18.7109375" style="849" customWidth="1"/>
    <col min="2" max="2" width="16" style="1413" customWidth="1"/>
    <col min="3" max="3" width="27" customWidth="1"/>
    <col min="4" max="4" width="17.42578125" customWidth="1"/>
    <col min="5" max="7" width="17.85546875" customWidth="1"/>
    <col min="8" max="8" width="12.140625" customWidth="1"/>
    <col min="9" max="13" width="19.140625" customWidth="1"/>
    <col min="14" max="14" width="15.140625" customWidth="1"/>
    <col min="15" max="15" width="12.7109375" customWidth="1"/>
    <col min="16" max="16" width="15.42578125" customWidth="1"/>
    <col min="17" max="18" width="15.140625" customWidth="1"/>
  </cols>
  <sheetData>
    <row r="1" spans="1:18" ht="56.25" customHeight="1">
      <c r="C1" s="942"/>
      <c r="D1" s="1361" t="s">
        <v>194</v>
      </c>
      <c r="E1" s="1373" t="s">
        <v>5</v>
      </c>
      <c r="F1" s="1373">
        <v>18230602</v>
      </c>
      <c r="G1" s="1361" t="s">
        <v>4</v>
      </c>
      <c r="J1" s="461"/>
      <c r="K1" s="459"/>
      <c r="L1" s="459"/>
      <c r="M1" s="1361" t="s">
        <v>194</v>
      </c>
      <c r="N1" s="1373" t="s">
        <v>5</v>
      </c>
      <c r="O1" s="1373">
        <v>18230602</v>
      </c>
      <c r="P1" s="1361" t="s">
        <v>4</v>
      </c>
      <c r="Q1" s="459"/>
      <c r="R1" s="459"/>
    </row>
    <row r="2" spans="1:18" ht="16.5" thickBot="1">
      <c r="C2" s="461"/>
      <c r="D2" s="1082"/>
      <c r="E2" s="459"/>
      <c r="F2" s="459"/>
      <c r="G2" s="459"/>
      <c r="H2" s="1178" t="s">
        <v>627</v>
      </c>
      <c r="I2" s="459"/>
      <c r="J2" s="459"/>
      <c r="K2" s="459"/>
      <c r="L2" s="459"/>
      <c r="M2" s="459"/>
      <c r="N2" s="459"/>
      <c r="O2" s="459"/>
      <c r="P2" s="459"/>
      <c r="Q2" s="459"/>
      <c r="R2" s="1416"/>
    </row>
    <row r="3" spans="1:18" ht="26.25" thickBot="1">
      <c r="A3" s="1357" t="s">
        <v>194</v>
      </c>
      <c r="B3" s="1357"/>
      <c r="E3" s="459"/>
      <c r="F3" s="459"/>
      <c r="G3" s="459"/>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72" t="s">
        <v>5</v>
      </c>
      <c r="B4" s="1372"/>
      <c r="C4" s="461"/>
      <c r="D4" s="459"/>
      <c r="E4" s="1124"/>
      <c r="F4" s="459"/>
      <c r="G4" s="2946" t="s">
        <v>1726</v>
      </c>
      <c r="H4" s="2959">
        <f>D15</f>
        <v>327715.86599999998</v>
      </c>
      <c r="I4" s="2960">
        <f>D23</f>
        <v>2331.6</v>
      </c>
      <c r="J4" s="2960">
        <f>D29</f>
        <v>220141.65982200002</v>
      </c>
      <c r="K4" s="2960">
        <f>D39</f>
        <v>10440</v>
      </c>
      <c r="L4" s="2960">
        <f>D45</f>
        <v>8720</v>
      </c>
      <c r="M4" s="2960">
        <f>D51</f>
        <v>94775</v>
      </c>
      <c r="N4" s="2960">
        <f>D57</f>
        <v>4785</v>
      </c>
      <c r="O4" s="2960">
        <f>D63</f>
        <v>0</v>
      </c>
      <c r="P4" s="2960">
        <v>0</v>
      </c>
      <c r="Q4" s="2960">
        <v>0</v>
      </c>
      <c r="R4" s="2961">
        <f>SUM(H4:Q4)</f>
        <v>668909.12582199997</v>
      </c>
    </row>
    <row r="5" spans="1:18" ht="15.75">
      <c r="A5" s="1372">
        <v>18230602</v>
      </c>
      <c r="C5" s="465"/>
      <c r="D5" s="1085"/>
      <c r="E5" s="459"/>
      <c r="F5" s="459"/>
      <c r="G5" s="3205" t="s">
        <v>1753</v>
      </c>
      <c r="H5" s="2617">
        <v>335939.81264999998</v>
      </c>
      <c r="I5" s="2618">
        <v>2600</v>
      </c>
      <c r="J5" s="2618">
        <v>230207.072602</v>
      </c>
      <c r="K5" s="2618">
        <v>7830</v>
      </c>
      <c r="L5" s="2618">
        <v>8720</v>
      </c>
      <c r="M5" s="2618">
        <v>56975</v>
      </c>
      <c r="N5" s="2618">
        <v>4785</v>
      </c>
      <c r="O5" s="2618">
        <v>0</v>
      </c>
      <c r="P5" s="2618">
        <v>0</v>
      </c>
      <c r="Q5" s="2618">
        <v>0</v>
      </c>
      <c r="R5" s="2619">
        <v>647056.88525199995</v>
      </c>
    </row>
    <row r="6" spans="1:18" ht="16.5" thickBot="1">
      <c r="A6" s="1357" t="s">
        <v>4</v>
      </c>
      <c r="B6" s="1372"/>
      <c r="C6" s="459"/>
      <c r="D6" s="461"/>
      <c r="E6" s="459"/>
      <c r="F6" s="459"/>
      <c r="G6" s="3206" t="s">
        <v>1754</v>
      </c>
      <c r="H6" s="2621">
        <f>E15</f>
        <v>335939.81264999998</v>
      </c>
      <c r="I6" s="2622">
        <f>E23</f>
        <v>2600</v>
      </c>
      <c r="J6" s="2623">
        <f>E29</f>
        <v>232915.39110319995</v>
      </c>
      <c r="K6" s="2622">
        <f>E39</f>
        <v>7830</v>
      </c>
      <c r="L6" s="2622">
        <f>E45</f>
        <v>8720</v>
      </c>
      <c r="M6" s="2622">
        <f>E51</f>
        <v>56975</v>
      </c>
      <c r="N6" s="2622">
        <f>E57</f>
        <v>4785</v>
      </c>
      <c r="O6" s="2622">
        <f>E63</f>
        <v>0</v>
      </c>
      <c r="P6" s="2622">
        <v>0</v>
      </c>
      <c r="Q6" s="2622">
        <v>0</v>
      </c>
      <c r="R6" s="2624">
        <f>SUM(H6:Q6)</f>
        <v>649765.20375319989</v>
      </c>
    </row>
    <row r="7" spans="1:18" s="1288" customFormat="1" ht="15.75">
      <c r="B7" s="1357"/>
      <c r="C7" s="1278"/>
      <c r="D7" s="1287"/>
      <c r="E7" s="1278"/>
      <c r="F7" s="1278"/>
      <c r="G7" s="2688"/>
      <c r="H7" s="2607"/>
      <c r="I7" s="2607"/>
      <c r="J7" s="2607"/>
      <c r="K7" s="2607"/>
      <c r="L7" s="2607"/>
      <c r="M7" s="2607"/>
      <c r="N7" s="2607"/>
      <c r="O7" s="2607"/>
      <c r="P7" s="2607"/>
      <c r="Q7" s="2607"/>
      <c r="R7" s="2607"/>
    </row>
    <row r="8" spans="1:18" ht="15.75">
      <c r="B8" s="1357"/>
      <c r="C8" s="1278"/>
      <c r="D8" s="1287"/>
      <c r="E8" s="1278"/>
      <c r="F8" s="1278"/>
      <c r="Q8" s="505"/>
      <c r="R8" s="24"/>
    </row>
    <row r="9" spans="1:18" s="501" customFormat="1" ht="15.75">
      <c r="A9" s="1357"/>
      <c r="B9" s="1357"/>
      <c r="C9" s="1278"/>
      <c r="D9" s="1287"/>
      <c r="E9" s="1278"/>
      <c r="F9" s="1278"/>
      <c r="Q9" s="505"/>
    </row>
    <row r="10" spans="1:18">
      <c r="A10" s="1357"/>
      <c r="B10" s="1357"/>
      <c r="C10" s="1454" t="s">
        <v>310</v>
      </c>
      <c r="D10" s="1454"/>
      <c r="E10" s="1454"/>
      <c r="F10" s="1454"/>
      <c r="H10" s="459"/>
      <c r="I10" s="459"/>
      <c r="J10" s="3610"/>
      <c r="K10" s="3610"/>
      <c r="L10" s="3610"/>
      <c r="M10" s="3610"/>
      <c r="N10" s="3611"/>
      <c r="O10" s="3611"/>
      <c r="P10" s="1286"/>
      <c r="Q10" s="1286"/>
      <c r="R10" s="1286"/>
    </row>
    <row r="11" spans="1:18" ht="15.75">
      <c r="A11" s="1357"/>
      <c r="B11" s="1357"/>
      <c r="C11" s="1413"/>
      <c r="D11" s="1413"/>
      <c r="E11" s="1414"/>
      <c r="F11" s="1413"/>
      <c r="H11" s="459"/>
      <c r="I11" s="459"/>
      <c r="J11" s="3609"/>
      <c r="K11" s="3609"/>
      <c r="L11" s="3609"/>
      <c r="M11" s="3609"/>
      <c r="N11" s="3609"/>
      <c r="O11" s="3609"/>
      <c r="P11" s="3609"/>
      <c r="Q11" s="3609"/>
      <c r="R11" s="3609"/>
    </row>
    <row r="12" spans="1:18" ht="15.75">
      <c r="A12" s="1357"/>
      <c r="B12" s="1357"/>
      <c r="C12" s="1434" t="s">
        <v>298</v>
      </c>
      <c r="D12" s="2766">
        <f>D15+D23+D29+D39+D45+D51+D57+D63</f>
        <v>668909.12582199997</v>
      </c>
      <c r="E12" s="1484">
        <f>E15+E23+E29+E39+E45+E51+E57+E63</f>
        <v>649765.20375319989</v>
      </c>
      <c r="F12" s="1462">
        <f>D12+E12</f>
        <v>1318674.3295751999</v>
      </c>
      <c r="H12" s="459"/>
      <c r="I12" s="462"/>
      <c r="J12" s="3609"/>
      <c r="K12" s="3609"/>
      <c r="L12" s="3609"/>
      <c r="M12" s="1291"/>
      <c r="N12" s="1292"/>
      <c r="O12" s="1292"/>
      <c r="P12" s="1292"/>
      <c r="Q12" s="1292"/>
      <c r="R12" s="1292"/>
    </row>
    <row r="13" spans="1:18">
      <c r="B13" s="1357"/>
      <c r="C13" s="1483"/>
      <c r="D13" s="2767"/>
      <c r="E13" s="1336"/>
      <c r="F13" s="1413"/>
      <c r="H13" s="459"/>
      <c r="I13" s="463"/>
      <c r="J13" s="1286"/>
      <c r="K13" s="1286"/>
      <c r="L13" s="1286"/>
      <c r="M13" s="1280"/>
      <c r="N13" s="1286"/>
      <c r="O13" s="1286"/>
      <c r="P13" s="1285"/>
      <c r="Q13" s="1279"/>
      <c r="R13" s="1279"/>
    </row>
    <row r="14" spans="1:18" ht="15.75">
      <c r="B14" s="1357"/>
      <c r="C14" s="1435" t="s">
        <v>42</v>
      </c>
      <c r="D14" s="2768">
        <v>2016</v>
      </c>
      <c r="E14" s="1502">
        <v>2017</v>
      </c>
      <c r="F14" s="1486" t="s">
        <v>20</v>
      </c>
      <c r="H14" s="459"/>
      <c r="I14" s="463"/>
      <c r="J14" s="1286"/>
      <c r="K14" s="1286"/>
      <c r="L14" s="1286"/>
      <c r="M14" s="1280"/>
      <c r="N14" s="1286"/>
      <c r="O14" s="1286"/>
      <c r="P14" s="1285"/>
      <c r="Q14" s="1279"/>
      <c r="R14" s="1279"/>
    </row>
    <row r="15" spans="1:18">
      <c r="B15" s="1433" t="s">
        <v>296</v>
      </c>
      <c r="C15" s="1451" t="s">
        <v>43</v>
      </c>
      <c r="D15" s="2771">
        <f>SUM(D16:D21)</f>
        <v>327715.86599999998</v>
      </c>
      <c r="E15" s="1464">
        <f>SUM(E16:E21)</f>
        <v>335939.81264999998</v>
      </c>
      <c r="F15" s="1462">
        <f t="shared" ref="F15:F67" si="0">SUM(D15:E15)</f>
        <v>663655.6786499999</v>
      </c>
      <c r="H15" s="459"/>
      <c r="I15" s="463"/>
      <c r="J15" s="1286"/>
      <c r="K15" s="1286"/>
      <c r="L15" s="1286"/>
      <c r="M15" s="1280"/>
      <c r="N15" s="1286"/>
      <c r="O15" s="1286"/>
      <c r="P15" s="1285"/>
      <c r="Q15" s="1279"/>
      <c r="R15" s="1279"/>
    </row>
    <row r="16" spans="1:18">
      <c r="B16" s="1982">
        <v>0.35</v>
      </c>
      <c r="C16" s="1667" t="s">
        <v>323</v>
      </c>
      <c r="D16" s="2772">
        <v>25882.29</v>
      </c>
      <c r="E16" s="1668">
        <f>D16*1.025</f>
        <v>26529.347249999999</v>
      </c>
      <c r="F16" s="1437">
        <f t="shared" si="0"/>
        <v>52411.63725</v>
      </c>
      <c r="H16" s="459"/>
      <c r="I16" s="463"/>
      <c r="J16" s="1286"/>
      <c r="K16" s="1286"/>
      <c r="L16" s="1286"/>
      <c r="M16" s="1280"/>
      <c r="N16" s="1286"/>
      <c r="O16" s="1286"/>
      <c r="P16" s="1285"/>
      <c r="Q16" s="1279"/>
      <c r="R16" s="1279"/>
    </row>
    <row r="17" spans="2:18" s="1652" customFormat="1">
      <c r="B17" s="1982">
        <v>0.6</v>
      </c>
      <c r="C17" s="1667" t="s">
        <v>734</v>
      </c>
      <c r="D17" s="2784">
        <v>44369.64</v>
      </c>
      <c r="E17" s="1669">
        <f>D17*1.025</f>
        <v>45478.880999999994</v>
      </c>
      <c r="F17" s="1661"/>
      <c r="H17" s="1354"/>
      <c r="I17" s="1331"/>
      <c r="J17" s="1331"/>
      <c r="K17" s="1331"/>
      <c r="L17" s="1331"/>
      <c r="M17" s="1280"/>
      <c r="N17" s="1331"/>
      <c r="O17" s="1331"/>
      <c r="P17" s="1330"/>
      <c r="Q17" s="1279"/>
      <c r="R17" s="1279"/>
    </row>
    <row r="18" spans="2:18" s="1652" customFormat="1">
      <c r="B18" s="1982">
        <v>0.65</v>
      </c>
      <c r="C18" s="1667" t="s">
        <v>794</v>
      </c>
      <c r="D18" s="2784">
        <v>48067.11</v>
      </c>
      <c r="E18" s="1669">
        <f>D18*1.025</f>
        <v>49268.787749999996</v>
      </c>
      <c r="F18" s="1661"/>
      <c r="H18" s="1354"/>
      <c r="I18" s="1331"/>
      <c r="J18" s="1331"/>
      <c r="K18" s="1331"/>
      <c r="L18" s="1331"/>
      <c r="M18" s="1280"/>
      <c r="N18" s="1331"/>
      <c r="O18" s="1331"/>
      <c r="P18" s="1330"/>
      <c r="Q18" s="1279"/>
      <c r="R18" s="1279"/>
    </row>
    <row r="19" spans="2:18">
      <c r="B19" s="1982">
        <v>2.39</v>
      </c>
      <c r="C19" s="1667" t="s">
        <v>795</v>
      </c>
      <c r="D19" s="2772">
        <v>176739.06599999999</v>
      </c>
      <c r="E19" s="1669">
        <f>D19*1.025</f>
        <v>181157.54264999999</v>
      </c>
      <c r="F19" s="1438">
        <f t="shared" si="0"/>
        <v>357896.60864999995</v>
      </c>
      <c r="H19" s="459"/>
      <c r="I19" s="463"/>
      <c r="J19" s="1286"/>
      <c r="K19" s="1286"/>
      <c r="L19" s="1286"/>
      <c r="M19" s="1280"/>
      <c r="N19" s="1286"/>
      <c r="O19" s="1286"/>
      <c r="P19" s="1285"/>
      <c r="Q19" s="1279"/>
      <c r="R19" s="1279"/>
    </row>
    <row r="20" spans="2:18">
      <c r="B20" s="1982">
        <v>0.4</v>
      </c>
      <c r="C20" s="1667" t="s">
        <v>781</v>
      </c>
      <c r="D20" s="2772">
        <v>29579.760000000002</v>
      </c>
      <c r="E20" s="1669">
        <f>D20*1.025</f>
        <v>30319.254000000001</v>
      </c>
      <c r="F20" s="1438">
        <f t="shared" si="0"/>
        <v>59899.014000000003</v>
      </c>
      <c r="H20" s="459"/>
      <c r="I20" s="463"/>
      <c r="J20" s="1286"/>
      <c r="K20" s="1286"/>
      <c r="L20" s="1286"/>
      <c r="M20" s="1280"/>
      <c r="N20" s="1286"/>
      <c r="O20" s="1286"/>
      <c r="P20" s="1285"/>
      <c r="Q20" s="1279"/>
      <c r="R20" s="1279"/>
    </row>
    <row r="21" spans="2:18">
      <c r="B21" s="1982"/>
      <c r="C21" s="1667" t="s">
        <v>796</v>
      </c>
      <c r="D21" s="2772">
        <v>3078</v>
      </c>
      <c r="E21" s="1669">
        <v>3186</v>
      </c>
      <c r="F21" s="1438">
        <f t="shared" si="0"/>
        <v>6264</v>
      </c>
      <c r="H21" s="459"/>
      <c r="I21" s="463"/>
      <c r="J21" s="1286"/>
      <c r="K21" s="1286"/>
      <c r="L21" s="1286"/>
      <c r="M21" s="1280"/>
      <c r="N21" s="1286"/>
      <c r="O21" s="1286"/>
      <c r="P21" s="1285"/>
      <c r="Q21" s="1279"/>
      <c r="R21" s="1279"/>
    </row>
    <row r="22" spans="2:18">
      <c r="B22" s="1449">
        <f>SUM(B16:B21)</f>
        <v>4.3900000000000006</v>
      </c>
      <c r="C22" s="1488"/>
      <c r="D22" s="2770"/>
      <c r="E22" s="1490"/>
      <c r="F22" s="1492"/>
      <c r="H22" s="459"/>
      <c r="I22" s="463"/>
      <c r="J22" s="1286"/>
      <c r="K22" s="1286"/>
      <c r="L22" s="1286"/>
      <c r="M22" s="1280"/>
      <c r="N22" s="1286"/>
      <c r="O22" s="1286"/>
      <c r="P22" s="1285"/>
      <c r="Q22" s="1279"/>
      <c r="R22" s="1279"/>
    </row>
    <row r="23" spans="2:18">
      <c r="C23" s="1451" t="s">
        <v>44</v>
      </c>
      <c r="D23" s="2771">
        <f>SUM(D24:D27)</f>
        <v>2331.6</v>
      </c>
      <c r="E23" s="1464">
        <f>SUM(E24:E27)</f>
        <v>2600</v>
      </c>
      <c r="F23" s="1462">
        <f t="shared" si="0"/>
        <v>4931.6000000000004</v>
      </c>
      <c r="H23" s="459"/>
      <c r="I23" s="463"/>
      <c r="J23" s="1286"/>
      <c r="K23" s="1286"/>
      <c r="L23" s="1286"/>
      <c r="M23" s="1280"/>
      <c r="N23" s="1286"/>
      <c r="O23" s="1286"/>
      <c r="P23" s="1285"/>
      <c r="Q23" s="1279"/>
      <c r="R23" s="1279"/>
    </row>
    <row r="24" spans="2:18">
      <c r="C24" s="1667" t="s">
        <v>797</v>
      </c>
      <c r="D24" s="2772">
        <v>2331.6</v>
      </c>
      <c r="E24" s="1669">
        <v>2600</v>
      </c>
      <c r="F24" s="1426">
        <f t="shared" si="0"/>
        <v>4931.6000000000004</v>
      </c>
      <c r="H24" s="459"/>
      <c r="I24" s="463"/>
      <c r="J24" s="1286"/>
      <c r="K24" s="1286"/>
      <c r="L24" s="1286"/>
      <c r="M24" s="1280"/>
      <c r="N24" s="1286"/>
      <c r="O24" s="1286"/>
      <c r="P24" s="1285"/>
      <c r="Q24" s="1279"/>
      <c r="R24" s="1279"/>
    </row>
    <row r="25" spans="2:18">
      <c r="C25" s="1423"/>
      <c r="D25" s="2773"/>
      <c r="E25" s="1444"/>
      <c r="F25" s="1438">
        <f t="shared" si="0"/>
        <v>0</v>
      </c>
      <c r="H25" s="460"/>
      <c r="I25" s="463"/>
      <c r="J25" s="1286"/>
      <c r="K25" s="1286"/>
      <c r="L25" s="1286"/>
      <c r="M25" s="1280"/>
      <c r="N25" s="1286"/>
      <c r="O25" s="1286"/>
      <c r="P25" s="1285"/>
      <c r="Q25" s="1279"/>
      <c r="R25" s="1279"/>
    </row>
    <row r="26" spans="2:18">
      <c r="C26" s="1423"/>
      <c r="D26" s="2774"/>
      <c r="E26" s="1443"/>
      <c r="F26" s="1438">
        <f t="shared" si="0"/>
        <v>0</v>
      </c>
      <c r="H26" s="459"/>
      <c r="I26" s="463"/>
      <c r="J26" s="1286"/>
      <c r="K26" s="1286"/>
      <c r="L26" s="1286"/>
      <c r="M26" s="1280"/>
      <c r="N26" s="1286"/>
      <c r="O26" s="1286"/>
      <c r="P26" s="1285"/>
      <c r="Q26" s="1279"/>
      <c r="R26" s="1279"/>
    </row>
    <row r="27" spans="2:18">
      <c r="C27" s="1423"/>
      <c r="D27" s="2775"/>
      <c r="E27" s="1444"/>
      <c r="F27" s="1438">
        <f t="shared" si="0"/>
        <v>0</v>
      </c>
      <c r="H27" s="459"/>
      <c r="I27" s="463"/>
      <c r="J27" s="1286"/>
      <c r="K27" s="1286"/>
      <c r="L27" s="1286"/>
      <c r="M27" s="1280"/>
      <c r="N27" s="1286"/>
      <c r="O27" s="1286"/>
      <c r="P27" s="1285"/>
      <c r="Q27" s="1279"/>
      <c r="R27" s="1279"/>
    </row>
    <row r="28" spans="2:18">
      <c r="C28" s="1424"/>
      <c r="D28" s="2776"/>
      <c r="E28" s="1431"/>
      <c r="F28" s="1439"/>
      <c r="H28" s="459"/>
      <c r="I28" s="463"/>
      <c r="J28" s="1286"/>
      <c r="K28" s="1286"/>
      <c r="L28" s="1286"/>
      <c r="M28" s="1280"/>
      <c r="N28" s="1286"/>
      <c r="O28" s="1286"/>
      <c r="P28" s="1285"/>
      <c r="Q28" s="1279"/>
      <c r="R28" s="1279"/>
    </row>
    <row r="29" spans="2:18">
      <c r="C29" s="1451" t="s">
        <v>45</v>
      </c>
      <c r="D29" s="2771">
        <f>SUM(D31:D37)</f>
        <v>220141.65982200002</v>
      </c>
      <c r="E29" s="1657">
        <f>SUM(E31:E33)+SUM(E35:E37)</f>
        <v>232915.39110319995</v>
      </c>
      <c r="F29" s="1462">
        <f t="shared" si="0"/>
        <v>453057.05092519999</v>
      </c>
      <c r="H29" s="459"/>
      <c r="I29" s="463"/>
      <c r="J29" s="1286"/>
      <c r="K29" s="1286"/>
      <c r="L29" s="1286"/>
      <c r="M29" s="1280"/>
      <c r="N29" s="1286"/>
      <c r="O29" s="1286"/>
      <c r="P29" s="1285"/>
      <c r="Q29" s="1279"/>
      <c r="R29" s="1279"/>
    </row>
    <row r="30" spans="2:18">
      <c r="C30" s="1450" t="s">
        <v>1733</v>
      </c>
      <c r="D30" s="2777">
        <v>0.66700000000000004</v>
      </c>
      <c r="E30" s="1452">
        <v>0.68799999999999994</v>
      </c>
      <c r="F30" s="1485"/>
      <c r="H30" s="459"/>
      <c r="I30" s="463"/>
      <c r="J30" s="1286"/>
      <c r="K30" s="1286"/>
      <c r="L30" s="1286"/>
      <c r="M30" s="1280"/>
      <c r="N30" s="1286"/>
      <c r="O30" s="1286"/>
      <c r="P30" s="1285"/>
      <c r="Q30" s="1279"/>
      <c r="R30" s="1279"/>
    </row>
    <row r="31" spans="2:18">
      <c r="C31" s="1667" t="s">
        <v>719</v>
      </c>
      <c r="D31" s="2778">
        <f>D15*D30</f>
        <v>218586.48262200001</v>
      </c>
      <c r="E31" s="1504">
        <f>E15*E30</f>
        <v>231126.59110319996</v>
      </c>
      <c r="F31" s="1438">
        <f t="shared" si="0"/>
        <v>449713.07372519997</v>
      </c>
      <c r="H31" s="459"/>
      <c r="I31" s="463"/>
      <c r="J31" s="1286"/>
      <c r="K31" s="1286"/>
      <c r="L31" s="1286"/>
      <c r="M31" s="1280"/>
      <c r="N31" s="1286"/>
      <c r="O31" s="1286"/>
      <c r="P31" s="1285"/>
      <c r="Q31" s="1279"/>
      <c r="R31" s="1279"/>
    </row>
    <row r="32" spans="2:18">
      <c r="C32" s="1667" t="s">
        <v>720</v>
      </c>
      <c r="D32" s="2785">
        <f>D23*D30</f>
        <v>1555.1772000000001</v>
      </c>
      <c r="E32" s="1504">
        <f>E23*E30</f>
        <v>1788.8</v>
      </c>
      <c r="F32" s="1438">
        <f t="shared" si="0"/>
        <v>3343.9772000000003</v>
      </c>
      <c r="H32" s="459"/>
      <c r="I32" s="463"/>
      <c r="J32" s="1286"/>
      <c r="K32" s="1286"/>
      <c r="L32" s="1286"/>
      <c r="M32" s="1280"/>
      <c r="N32" s="1286"/>
      <c r="O32" s="1286"/>
      <c r="P32" s="1285"/>
      <c r="Q32" s="1279"/>
      <c r="R32" s="1279"/>
    </row>
    <row r="33" spans="1:18">
      <c r="C33" s="1667"/>
      <c r="D33" s="2774"/>
      <c r="E33" s="1443"/>
      <c r="F33" s="1436"/>
      <c r="H33" s="459"/>
      <c r="I33" s="463"/>
      <c r="J33" s="1286"/>
      <c r="K33" s="1286"/>
      <c r="L33" s="1286"/>
      <c r="M33" s="1280"/>
      <c r="N33" s="1286"/>
      <c r="O33" s="1286"/>
      <c r="P33" s="1285"/>
      <c r="Q33" s="1279"/>
      <c r="R33" s="1279"/>
    </row>
    <row r="34" spans="1:18">
      <c r="C34" s="1450" t="s">
        <v>1734</v>
      </c>
      <c r="D34" s="2777"/>
      <c r="E34" s="1452">
        <v>0</v>
      </c>
      <c r="F34" s="1485"/>
      <c r="H34" s="459"/>
      <c r="I34" s="463"/>
      <c r="J34" s="1286"/>
      <c r="K34" s="1286"/>
      <c r="L34" s="1286"/>
      <c r="M34" s="1280"/>
      <c r="N34" s="1286"/>
      <c r="O34" s="1286"/>
      <c r="P34" s="1285"/>
      <c r="Q34" s="1279"/>
      <c r="R34" s="1279"/>
    </row>
    <row r="35" spans="1:18">
      <c r="C35" s="1667" t="s">
        <v>719</v>
      </c>
      <c r="D35" s="2778"/>
      <c r="E35" s="1641">
        <f>E15*E34</f>
        <v>0</v>
      </c>
      <c r="F35" s="1661">
        <f>SUM(D35:E35)</f>
        <v>0</v>
      </c>
      <c r="H35" s="459"/>
      <c r="I35" s="463"/>
      <c r="J35" s="1286"/>
      <c r="K35" s="1286"/>
      <c r="L35" s="1286"/>
      <c r="M35" s="1280"/>
      <c r="N35" s="1286"/>
      <c r="O35" s="1286"/>
      <c r="P35" s="1285"/>
      <c r="Q35" s="1279"/>
      <c r="R35" s="1279"/>
    </row>
    <row r="36" spans="1:18">
      <c r="A36" s="1357" t="s">
        <v>194</v>
      </c>
      <c r="C36" s="1667" t="s">
        <v>720</v>
      </c>
      <c r="D36" s="2785"/>
      <c r="E36" s="1641">
        <f>E23*E34</f>
        <v>0</v>
      </c>
      <c r="F36" s="1661">
        <f t="shared" ref="F36" si="1">SUM(D36:E36)</f>
        <v>0</v>
      </c>
      <c r="H36" s="459"/>
      <c r="I36" s="463"/>
      <c r="J36" s="1286"/>
      <c r="K36" s="1286"/>
      <c r="L36" s="1286"/>
      <c r="M36" s="1280"/>
      <c r="N36" s="1286"/>
      <c r="O36" s="1286"/>
      <c r="P36" s="1285"/>
      <c r="Q36" s="1279"/>
      <c r="R36" s="1279"/>
    </row>
    <row r="37" spans="1:18">
      <c r="A37" s="1372" t="s">
        <v>5</v>
      </c>
      <c r="C37" s="1445"/>
      <c r="D37" s="2775"/>
      <c r="E37" s="1444"/>
      <c r="F37" s="1437">
        <f t="shared" si="0"/>
        <v>0</v>
      </c>
      <c r="H37" s="459"/>
      <c r="I37" s="463"/>
      <c r="J37" s="1286"/>
      <c r="K37" s="1286"/>
      <c r="L37" s="1286"/>
      <c r="M37" s="1280"/>
      <c r="N37" s="1286"/>
      <c r="O37" s="1286"/>
      <c r="P37" s="1285"/>
      <c r="Q37" s="1279"/>
      <c r="R37" s="1279"/>
    </row>
    <row r="38" spans="1:18">
      <c r="A38" s="1372">
        <v>18230602</v>
      </c>
      <c r="C38" s="1488"/>
      <c r="D38" s="2779"/>
      <c r="E38" s="1490"/>
      <c r="F38" s="1493"/>
      <c r="H38" s="459"/>
      <c r="I38" s="463"/>
      <c r="J38" s="1286"/>
      <c r="K38" s="1286"/>
      <c r="L38" s="1286"/>
      <c r="M38" s="1280"/>
      <c r="N38" s="1286"/>
      <c r="O38" s="1286"/>
      <c r="P38" s="1285"/>
      <c r="Q38" s="1279"/>
      <c r="R38" s="1279"/>
    </row>
    <row r="39" spans="1:18">
      <c r="A39" s="1357" t="s">
        <v>4</v>
      </c>
      <c r="C39" s="1451" t="s">
        <v>46</v>
      </c>
      <c r="D39" s="2771">
        <f>SUM(D40:D43)</f>
        <v>10440</v>
      </c>
      <c r="E39" s="1464">
        <f>SUM(E40:E43)</f>
        <v>7830</v>
      </c>
      <c r="F39" s="1462">
        <f t="shared" si="0"/>
        <v>18270</v>
      </c>
      <c r="H39" s="459"/>
      <c r="I39" s="463"/>
      <c r="J39" s="1286"/>
      <c r="K39" s="1286"/>
      <c r="L39" s="1286"/>
      <c r="M39" s="1280"/>
      <c r="N39" s="1286"/>
      <c r="O39" s="1286"/>
      <c r="P39" s="1285"/>
      <c r="Q39" s="1279"/>
      <c r="R39" s="1279"/>
    </row>
    <row r="40" spans="1:18">
      <c r="C40" s="1667" t="s">
        <v>797</v>
      </c>
      <c r="D40" s="2778">
        <v>10440</v>
      </c>
      <c r="E40" s="1672">
        <v>7830</v>
      </c>
      <c r="F40" s="1438">
        <f t="shared" si="0"/>
        <v>18270</v>
      </c>
      <c r="H40" s="459"/>
      <c r="I40" s="463"/>
      <c r="J40" s="1286"/>
      <c r="K40" s="1286"/>
      <c r="L40" s="1281"/>
      <c r="M40" s="1280"/>
      <c r="N40" s="1286"/>
      <c r="O40" s="1286"/>
      <c r="P40" s="1285"/>
      <c r="Q40" s="1279"/>
      <c r="R40" s="1279"/>
    </row>
    <row r="41" spans="1:18">
      <c r="C41" s="1423"/>
      <c r="D41" s="2778"/>
      <c r="E41" s="1520"/>
      <c r="F41" s="1438">
        <f t="shared" si="0"/>
        <v>0</v>
      </c>
      <c r="H41" s="459"/>
      <c r="I41" s="463"/>
      <c r="J41" s="1286"/>
      <c r="K41" s="1286"/>
      <c r="L41" s="1281"/>
      <c r="M41" s="1280"/>
      <c r="N41" s="1286"/>
      <c r="O41" s="1286"/>
      <c r="P41" s="1285"/>
      <c r="Q41" s="1279"/>
      <c r="R41" s="1279"/>
    </row>
    <row r="42" spans="1:18">
      <c r="C42" s="1423"/>
      <c r="D42" s="2778"/>
      <c r="E42" s="1520"/>
      <c r="F42" s="1438">
        <f t="shared" si="0"/>
        <v>0</v>
      </c>
      <c r="H42" s="459"/>
      <c r="I42" s="463"/>
      <c r="J42" s="1286"/>
      <c r="K42" s="1286"/>
      <c r="L42" s="1281"/>
      <c r="M42" s="1280"/>
      <c r="N42" s="1286"/>
      <c r="O42" s="1286"/>
      <c r="P42" s="1285"/>
      <c r="Q42" s="1279"/>
      <c r="R42" s="1279"/>
    </row>
    <row r="43" spans="1:18">
      <c r="C43" s="1423"/>
      <c r="D43" s="2778"/>
      <c r="E43" s="1520"/>
      <c r="F43" s="1438">
        <f t="shared" si="0"/>
        <v>0</v>
      </c>
      <c r="H43" s="459"/>
      <c r="I43" s="463"/>
      <c r="J43" s="1286"/>
      <c r="K43" s="1286"/>
      <c r="L43" s="1281"/>
      <c r="M43" s="1280"/>
      <c r="N43" s="1286"/>
      <c r="O43" s="1286"/>
      <c r="P43" s="1285"/>
      <c r="Q43" s="1279"/>
      <c r="R43" s="1279"/>
    </row>
    <row r="44" spans="1:18">
      <c r="C44" s="1488"/>
      <c r="D44" s="2779"/>
      <c r="E44" s="1490"/>
      <c r="F44" s="1493"/>
      <c r="H44" s="459"/>
      <c r="I44" s="463"/>
      <c r="J44" s="1286"/>
      <c r="K44" s="1286"/>
      <c r="L44" s="1281"/>
      <c r="M44" s="1280"/>
      <c r="N44" s="1286"/>
      <c r="O44" s="1286"/>
      <c r="P44" s="1285"/>
      <c r="Q44" s="1279"/>
      <c r="R44" s="1279"/>
    </row>
    <row r="45" spans="1:18">
      <c r="C45" s="1597" t="s">
        <v>483</v>
      </c>
      <c r="D45" s="2771">
        <f>SUM(D46:D49)</f>
        <v>8720</v>
      </c>
      <c r="E45" s="1464">
        <f>SUM(E46:E49)</f>
        <v>8720</v>
      </c>
      <c r="F45" s="1462">
        <f t="shared" si="0"/>
        <v>17440</v>
      </c>
      <c r="H45" s="459"/>
      <c r="I45" s="463"/>
      <c r="J45" s="1286"/>
      <c r="K45" s="1286"/>
      <c r="L45" s="1281"/>
      <c r="M45" s="1280"/>
      <c r="N45" s="1286"/>
      <c r="O45" s="1286"/>
      <c r="P45" s="1285"/>
      <c r="Q45" s="1279"/>
      <c r="R45" s="1279"/>
    </row>
    <row r="46" spans="1:18">
      <c r="C46" s="1667" t="s">
        <v>798</v>
      </c>
      <c r="D46" s="2778">
        <v>3500</v>
      </c>
      <c r="E46" s="1672">
        <v>3500</v>
      </c>
      <c r="F46" s="1438">
        <f t="shared" si="0"/>
        <v>7000</v>
      </c>
      <c r="H46" s="459"/>
      <c r="I46" s="463"/>
      <c r="J46" s="1286"/>
      <c r="K46" s="1286"/>
      <c r="L46" s="1281"/>
      <c r="M46" s="1280"/>
      <c r="N46" s="1286"/>
      <c r="O46" s="1286"/>
      <c r="P46" s="1285"/>
      <c r="Q46" s="1279"/>
      <c r="R46" s="1279"/>
    </row>
    <row r="47" spans="1:18">
      <c r="C47" s="1667" t="s">
        <v>799</v>
      </c>
      <c r="D47" s="2778">
        <v>870</v>
      </c>
      <c r="E47" s="1672">
        <v>870</v>
      </c>
      <c r="F47" s="1438">
        <f t="shared" si="0"/>
        <v>1740</v>
      </c>
      <c r="H47" s="459"/>
      <c r="I47" s="463"/>
      <c r="J47" s="1286"/>
      <c r="K47" s="1286"/>
      <c r="L47" s="1281"/>
      <c r="M47" s="1280"/>
      <c r="N47" s="1286"/>
      <c r="O47" s="1286"/>
      <c r="P47" s="1285"/>
      <c r="Q47" s="1279"/>
      <c r="R47" s="1279"/>
    </row>
    <row r="48" spans="1:18">
      <c r="C48" s="1667" t="s">
        <v>800</v>
      </c>
      <c r="D48" s="2778">
        <v>4350</v>
      </c>
      <c r="E48" s="1641">
        <v>4350</v>
      </c>
      <c r="F48" s="1438">
        <f t="shared" si="0"/>
        <v>8700</v>
      </c>
      <c r="H48" s="459"/>
      <c r="I48" s="463"/>
      <c r="J48" s="1286"/>
      <c r="K48" s="1286"/>
      <c r="L48" s="1281"/>
      <c r="M48" s="1280"/>
      <c r="N48" s="1286"/>
      <c r="O48" s="1286"/>
      <c r="P48" s="1285"/>
      <c r="Q48" s="1279"/>
      <c r="R48" s="1279"/>
    </row>
    <row r="49" spans="3:20">
      <c r="C49" s="1423"/>
      <c r="D49" s="2778"/>
      <c r="E49" s="1520"/>
      <c r="F49" s="1438">
        <f t="shared" si="0"/>
        <v>0</v>
      </c>
      <c r="H49" s="459"/>
      <c r="I49" s="463"/>
      <c r="J49" s="1286"/>
      <c r="K49" s="1286"/>
      <c r="L49" s="1281"/>
      <c r="M49" s="1280"/>
      <c r="N49" s="1286"/>
      <c r="O49" s="1286"/>
      <c r="P49" s="1285"/>
      <c r="Q49" s="1279"/>
      <c r="R49" s="1279"/>
    </row>
    <row r="50" spans="3:20">
      <c r="C50" s="1488"/>
      <c r="D50" s="2779"/>
      <c r="E50" s="1490"/>
      <c r="F50" s="1493"/>
      <c r="H50" s="459"/>
      <c r="I50" s="463"/>
      <c r="J50" s="1286"/>
      <c r="K50" s="1286"/>
      <c r="L50" s="1281"/>
      <c r="M50" s="1280"/>
      <c r="N50" s="1286"/>
      <c r="O50" s="1286"/>
      <c r="P50" s="1285"/>
      <c r="Q50" s="1279"/>
      <c r="R50" s="1279"/>
    </row>
    <row r="51" spans="3:20">
      <c r="C51" s="1451" t="s">
        <v>47</v>
      </c>
      <c r="D51" s="2771">
        <f>SUM(D52:D56)</f>
        <v>94775</v>
      </c>
      <c r="E51" s="1464">
        <f>SUM(E52:E56)</f>
        <v>56975</v>
      </c>
      <c r="F51" s="1462">
        <f t="shared" si="0"/>
        <v>151750</v>
      </c>
      <c r="H51" s="459"/>
      <c r="I51" s="463"/>
      <c r="J51" s="1286"/>
      <c r="K51" s="1286"/>
      <c r="L51" s="1281"/>
      <c r="M51" s="1280"/>
      <c r="N51" s="1286"/>
      <c r="O51" s="1286"/>
      <c r="P51" s="1285"/>
      <c r="Q51" s="1279"/>
      <c r="R51" s="1279"/>
    </row>
    <row r="52" spans="3:20">
      <c r="C52" s="1667" t="s">
        <v>801</v>
      </c>
      <c r="D52" s="2778">
        <v>28275</v>
      </c>
      <c r="E52" s="1672">
        <v>28275</v>
      </c>
      <c r="F52" s="1438">
        <f t="shared" si="0"/>
        <v>56550</v>
      </c>
      <c r="H52" s="459"/>
      <c r="I52" s="459"/>
      <c r="J52" s="1286"/>
      <c r="K52" s="1286"/>
      <c r="L52" s="1286"/>
      <c r="M52" s="1280"/>
      <c r="N52" s="1286"/>
      <c r="O52" s="1286"/>
      <c r="P52" s="1285"/>
      <c r="Q52" s="1279"/>
      <c r="R52" s="1279"/>
      <c r="S52" s="459"/>
    </row>
    <row r="53" spans="3:20">
      <c r="C53" s="1667" t="s">
        <v>802</v>
      </c>
      <c r="D53" s="2778">
        <v>20000</v>
      </c>
      <c r="E53" s="1672">
        <v>20000</v>
      </c>
      <c r="F53" s="1438">
        <f t="shared" si="0"/>
        <v>40000</v>
      </c>
      <c r="H53" s="459"/>
      <c r="I53" s="459"/>
      <c r="J53" s="1286"/>
      <c r="K53" s="1286"/>
      <c r="L53" s="1286"/>
      <c r="M53" s="1280"/>
      <c r="N53" s="1286"/>
      <c r="O53" s="1286"/>
      <c r="P53" s="1285"/>
      <c r="Q53" s="1279"/>
      <c r="R53" s="1279"/>
      <c r="S53" s="459"/>
    </row>
    <row r="54" spans="3:20">
      <c r="C54" s="1667" t="s">
        <v>803</v>
      </c>
      <c r="D54" s="2778">
        <v>46500</v>
      </c>
      <c r="E54" s="1672">
        <v>8700</v>
      </c>
      <c r="F54" s="1438">
        <f t="shared" si="0"/>
        <v>55200</v>
      </c>
      <c r="H54" s="459"/>
      <c r="I54" s="459"/>
      <c r="J54" s="1286"/>
      <c r="K54" s="1286"/>
      <c r="L54" s="1286"/>
      <c r="M54" s="1280"/>
      <c r="N54" s="1286"/>
      <c r="O54" s="1286"/>
      <c r="P54" s="1285"/>
      <c r="Q54" s="1279"/>
      <c r="R54" s="1279"/>
      <c r="S54" s="459"/>
    </row>
    <row r="55" spans="3:20">
      <c r="C55" s="1423"/>
      <c r="D55" s="2778"/>
      <c r="E55" s="1520"/>
      <c r="F55" s="1438">
        <f t="shared" si="0"/>
        <v>0</v>
      </c>
      <c r="H55" s="464"/>
      <c r="I55" s="459"/>
      <c r="J55" s="1286"/>
      <c r="K55" s="1286"/>
      <c r="L55" s="1286"/>
      <c r="M55" s="1280"/>
      <c r="N55" s="1286"/>
      <c r="O55" s="1286"/>
      <c r="P55" s="1285"/>
      <c r="Q55" s="1279"/>
      <c r="R55" s="1279"/>
      <c r="S55" s="459"/>
    </row>
    <row r="56" spans="3:20">
      <c r="C56" s="1488"/>
      <c r="D56" s="2779"/>
      <c r="E56" s="1490"/>
      <c r="F56" s="1493"/>
      <c r="H56" s="459"/>
      <c r="I56" s="459"/>
      <c r="J56" s="1286"/>
      <c r="K56" s="1286"/>
      <c r="L56" s="1286"/>
      <c r="M56" s="1280"/>
      <c r="N56" s="1286"/>
      <c r="O56" s="1286"/>
      <c r="P56" s="1285"/>
      <c r="Q56" s="1279"/>
      <c r="R56" s="1279"/>
      <c r="S56" s="459"/>
    </row>
    <row r="57" spans="3:20">
      <c r="C57" s="1597" t="s">
        <v>48</v>
      </c>
      <c r="D57" s="2780">
        <f>SUM(D58:D61)</f>
        <v>4785</v>
      </c>
      <c r="E57" s="1598">
        <f>SUM(E58:E61)</f>
        <v>4785</v>
      </c>
      <c r="F57" s="1602">
        <f>SUM(D57:E57)</f>
        <v>9570</v>
      </c>
      <c r="H57" s="459"/>
      <c r="I57" s="459"/>
      <c r="J57" s="1286"/>
      <c r="K57" s="1286"/>
      <c r="L57" s="1286"/>
      <c r="M57" s="1286"/>
      <c r="N57" s="1286"/>
      <c r="O57" s="1286"/>
      <c r="P57" s="1286"/>
      <c r="Q57" s="1293"/>
      <c r="R57" s="1293"/>
      <c r="S57" s="459"/>
    </row>
    <row r="58" spans="3:20">
      <c r="C58" s="1667" t="s">
        <v>804</v>
      </c>
      <c r="D58" s="2778">
        <v>1300</v>
      </c>
      <c r="E58" s="1672">
        <v>1300</v>
      </c>
      <c r="F58" s="1438">
        <f t="shared" si="0"/>
        <v>2600</v>
      </c>
      <c r="H58" s="459"/>
      <c r="I58" s="459"/>
      <c r="J58" s="459"/>
      <c r="K58" s="459"/>
      <c r="L58" s="459"/>
      <c r="M58" s="459"/>
      <c r="N58" s="459"/>
      <c r="O58" s="459"/>
      <c r="P58" s="459"/>
      <c r="Q58" s="459"/>
      <c r="R58" s="459"/>
      <c r="S58" s="459"/>
    </row>
    <row r="59" spans="3:20">
      <c r="C59" s="1667" t="s">
        <v>805</v>
      </c>
      <c r="D59" s="2778">
        <v>3050</v>
      </c>
      <c r="E59" s="1672">
        <v>3050</v>
      </c>
      <c r="F59" s="1438">
        <f t="shared" si="0"/>
        <v>6100</v>
      </c>
      <c r="H59" s="459"/>
      <c r="I59" s="459"/>
      <c r="J59" s="459"/>
      <c r="K59" s="459"/>
      <c r="L59" s="459"/>
      <c r="M59" s="459"/>
      <c r="N59" s="459"/>
      <c r="O59" s="459"/>
      <c r="P59" s="459"/>
      <c r="Q59" s="459"/>
      <c r="R59" s="459"/>
      <c r="S59" s="459"/>
    </row>
    <row r="60" spans="3:20">
      <c r="C60" s="1667" t="s">
        <v>806</v>
      </c>
      <c r="D60" s="2778">
        <v>435</v>
      </c>
      <c r="E60" s="1672">
        <v>435</v>
      </c>
      <c r="F60" s="1438">
        <f t="shared" si="0"/>
        <v>870</v>
      </c>
      <c r="H60" s="964"/>
      <c r="I60" s="962"/>
      <c r="J60" s="459"/>
      <c r="K60" s="459"/>
      <c r="L60" s="459"/>
      <c r="M60" s="459"/>
      <c r="N60" s="459"/>
      <c r="O60" s="459"/>
      <c r="P60" s="459"/>
      <c r="Q60" s="459"/>
      <c r="R60" s="459"/>
      <c r="S60" s="459"/>
    </row>
    <row r="61" spans="3:20">
      <c r="C61" s="1423"/>
      <c r="D61" s="2778"/>
      <c r="E61" s="1504"/>
      <c r="F61" s="1438">
        <f t="shared" si="0"/>
        <v>0</v>
      </c>
      <c r="H61" s="459"/>
      <c r="I61" s="459"/>
      <c r="J61" s="459"/>
      <c r="K61" s="459"/>
      <c r="L61" s="459"/>
      <c r="M61" s="459"/>
      <c r="N61" s="459"/>
      <c r="O61" s="459"/>
      <c r="P61" s="459"/>
      <c r="Q61" s="459"/>
      <c r="R61" s="459"/>
      <c r="S61" s="459"/>
    </row>
    <row r="62" spans="3:20">
      <c r="C62" s="1488"/>
      <c r="D62" s="2779"/>
      <c r="E62" s="1490"/>
      <c r="F62" s="1493">
        <f t="shared" si="0"/>
        <v>0</v>
      </c>
      <c r="G62" s="459"/>
      <c r="H62" s="889"/>
      <c r="I62" s="889"/>
      <c r="J62" s="889"/>
      <c r="K62" s="889"/>
      <c r="L62" s="889"/>
      <c r="M62" s="889"/>
      <c r="N62" s="889"/>
      <c r="O62" s="889"/>
      <c r="P62" s="889"/>
      <c r="Q62" s="889"/>
      <c r="R62" s="889"/>
      <c r="S62" s="889"/>
    </row>
    <row r="63" spans="3:20">
      <c r="C63" s="1597" t="s">
        <v>49</v>
      </c>
      <c r="D63" s="2780">
        <f>SUM(D64:D67)</f>
        <v>0</v>
      </c>
      <c r="E63" s="1601">
        <f>SUM(E64:E67)</f>
        <v>0</v>
      </c>
      <c r="F63" s="1602">
        <f>SUM(D63:E63)</f>
        <v>0</v>
      </c>
      <c r="G63" s="1286"/>
      <c r="H63" s="1259"/>
      <c r="I63" s="1259"/>
      <c r="J63" s="1257"/>
      <c r="K63" s="1286"/>
      <c r="L63" s="1286"/>
      <c r="M63" s="1277"/>
      <c r="N63" s="1277"/>
      <c r="O63" s="1276"/>
      <c r="P63" s="1276"/>
      <c r="Q63" s="1276"/>
      <c r="R63" s="1275"/>
      <c r="S63" s="1265"/>
      <c r="T63" s="849"/>
    </row>
    <row r="64" spans="3:20">
      <c r="C64" s="1599"/>
      <c r="D64" s="2778"/>
      <c r="E64" s="1600"/>
      <c r="F64" s="1438">
        <f t="shared" si="0"/>
        <v>0</v>
      </c>
      <c r="G64" s="1286"/>
      <c r="H64" s="1259"/>
      <c r="I64" s="1259"/>
      <c r="J64" s="1257"/>
      <c r="K64" s="1286"/>
      <c r="L64" s="1286"/>
      <c r="M64" s="1277"/>
      <c r="N64" s="1277"/>
      <c r="O64" s="1276"/>
      <c r="P64" s="1276"/>
      <c r="Q64" s="1276"/>
      <c r="R64" s="1275"/>
      <c r="S64" s="1265"/>
    </row>
    <row r="65" spans="3:19">
      <c r="C65" s="1603"/>
      <c r="D65" s="2778"/>
      <c r="E65" s="1600"/>
      <c r="F65" s="1438">
        <f t="shared" si="0"/>
        <v>0</v>
      </c>
      <c r="G65" s="1286"/>
      <c r="H65" s="1259"/>
      <c r="I65" s="1259"/>
      <c r="J65" s="1257"/>
      <c r="K65" s="1286"/>
      <c r="L65" s="1286"/>
      <c r="M65" s="1277"/>
      <c r="N65" s="1277"/>
      <c r="O65" s="1276"/>
      <c r="P65" s="1276"/>
      <c r="Q65" s="1276"/>
      <c r="R65" s="1275"/>
      <c r="S65" s="1265"/>
    </row>
    <row r="66" spans="3:19">
      <c r="C66" s="1603"/>
      <c r="D66" s="2778"/>
      <c r="E66" s="1600"/>
      <c r="F66" s="1437">
        <f t="shared" si="0"/>
        <v>0</v>
      </c>
      <c r="G66" s="1286"/>
      <c r="H66" s="1259"/>
      <c r="I66" s="1259"/>
      <c r="J66" s="1257"/>
      <c r="K66" s="1286"/>
      <c r="L66" s="1286"/>
      <c r="M66" s="1277"/>
      <c r="N66" s="1277"/>
      <c r="O66" s="1276"/>
      <c r="P66" s="1276"/>
      <c r="Q66" s="1276"/>
      <c r="R66" s="1275"/>
      <c r="S66" s="1265"/>
    </row>
    <row r="67" spans="3:19">
      <c r="C67" s="1423"/>
      <c r="D67" s="2778"/>
      <c r="E67" s="1520"/>
      <c r="F67" s="1438">
        <f t="shared" si="0"/>
        <v>0</v>
      </c>
      <c r="G67" s="1286"/>
      <c r="H67" s="1259"/>
      <c r="I67" s="1259"/>
      <c r="J67" s="1257"/>
      <c r="K67" s="1286"/>
      <c r="L67" s="1286"/>
      <c r="M67" s="1277"/>
      <c r="N67" s="1277"/>
      <c r="O67" s="1276"/>
      <c r="P67" s="1276"/>
      <c r="Q67" s="1276"/>
      <c r="R67" s="1275"/>
      <c r="S67" s="1265"/>
    </row>
    <row r="68" spans="3:19">
      <c r="C68" s="1488"/>
      <c r="D68" s="2779"/>
      <c r="E68" s="1490"/>
      <c r="F68" s="1493"/>
      <c r="G68" s="1286"/>
      <c r="H68" s="1259"/>
      <c r="I68" s="1259"/>
      <c r="J68" s="1257"/>
      <c r="K68" s="1286"/>
      <c r="L68" s="1286"/>
      <c r="M68" s="1277"/>
      <c r="N68" s="1277"/>
      <c r="O68" s="1276"/>
      <c r="P68" s="1276"/>
      <c r="Q68" s="1276"/>
      <c r="R68" s="1275"/>
      <c r="S68" s="1265"/>
    </row>
    <row r="69" spans="3:19">
      <c r="C69" s="1451"/>
      <c r="D69" s="2771"/>
      <c r="E69" s="1464"/>
      <c r="F69" s="1462"/>
      <c r="G69" s="1286"/>
      <c r="H69" s="1259"/>
      <c r="I69" s="1259"/>
      <c r="J69" s="1257"/>
      <c r="K69" s="1286"/>
      <c r="L69" s="1286"/>
      <c r="M69" s="1277"/>
      <c r="N69" s="1277"/>
      <c r="O69" s="1276"/>
      <c r="P69" s="1276"/>
      <c r="Q69" s="1276"/>
      <c r="R69" s="1275"/>
      <c r="S69" s="1265"/>
    </row>
    <row r="70" spans="3:19">
      <c r="C70" s="1500"/>
      <c r="D70" s="2781"/>
      <c r="E70" s="1496"/>
      <c r="F70" s="1499"/>
      <c r="G70" s="1286"/>
      <c r="H70" s="1259"/>
      <c r="I70" s="1259"/>
      <c r="J70" s="1257"/>
      <c r="K70" s="1286"/>
      <c r="L70" s="1286"/>
      <c r="M70" s="1277"/>
      <c r="N70" s="1277"/>
      <c r="O70" s="1276"/>
      <c r="P70" s="1276"/>
      <c r="Q70" s="1276"/>
      <c r="R70" s="1275"/>
      <c r="S70" s="1265"/>
    </row>
    <row r="71" spans="3:19">
      <c r="C71" s="1501"/>
      <c r="D71" s="2782"/>
      <c r="E71" s="1497"/>
      <c r="F71" s="1498"/>
      <c r="G71" s="1286"/>
      <c r="H71" s="1259"/>
      <c r="I71" s="1259"/>
      <c r="J71" s="1257"/>
      <c r="K71" s="1286"/>
      <c r="L71" s="1286"/>
      <c r="M71" s="1277"/>
      <c r="N71" s="1277"/>
      <c r="O71" s="1275"/>
      <c r="P71" s="1275"/>
      <c r="Q71" s="1276"/>
      <c r="R71" s="1275"/>
      <c r="S71" s="1265"/>
    </row>
    <row r="72" spans="3:19">
      <c r="C72" s="1494"/>
      <c r="D72" s="2778"/>
      <c r="E72" s="1503"/>
      <c r="F72" s="1491"/>
      <c r="G72" s="1286"/>
      <c r="H72" s="1259"/>
      <c r="I72" s="1259"/>
      <c r="J72" s="1257"/>
      <c r="K72" s="1286"/>
      <c r="L72" s="1286"/>
      <c r="M72" s="1277"/>
      <c r="N72" s="1277"/>
      <c r="O72" s="1275"/>
      <c r="P72" s="1275"/>
      <c r="Q72" s="1276"/>
      <c r="R72" s="1275"/>
      <c r="S72" s="1265"/>
    </row>
    <row r="73" spans="3:19">
      <c r="C73" s="1286"/>
      <c r="D73" s="1286"/>
      <c r="E73" s="1286"/>
      <c r="F73" s="1286"/>
      <c r="G73" s="1286"/>
      <c r="H73" s="1259"/>
      <c r="I73" s="1259"/>
      <c r="J73" s="1257"/>
      <c r="K73" s="1286"/>
      <c r="L73" s="1286"/>
      <c r="M73" s="1277"/>
      <c r="N73" s="1277"/>
      <c r="O73" s="1275"/>
      <c r="P73" s="1275"/>
      <c r="Q73" s="1276"/>
      <c r="R73" s="1275"/>
      <c r="S73" s="1265"/>
    </row>
    <row r="74" spans="3:19">
      <c r="C74" s="1286"/>
      <c r="D74" s="1286"/>
      <c r="E74" s="1286"/>
      <c r="F74" s="1286"/>
      <c r="G74" s="1286"/>
      <c r="H74" s="1259"/>
      <c r="I74" s="1259"/>
      <c r="J74" s="1257"/>
      <c r="K74" s="1286"/>
      <c r="L74" s="1286"/>
      <c r="M74" s="1277"/>
      <c r="N74" s="1277"/>
      <c r="O74" s="1275"/>
      <c r="P74" s="1275"/>
      <c r="Q74" s="1276"/>
      <c r="R74" s="1275"/>
      <c r="S74" s="1284"/>
    </row>
    <row r="75" spans="3:19">
      <c r="C75" s="1286"/>
      <c r="D75" s="1286"/>
      <c r="E75" s="1286"/>
      <c r="F75" s="1286"/>
      <c r="G75" s="1286"/>
      <c r="H75" s="1259"/>
      <c r="I75" s="1259"/>
      <c r="J75" s="1257"/>
      <c r="K75" s="1286"/>
      <c r="L75" s="1286"/>
      <c r="M75" s="1277"/>
      <c r="N75" s="1277"/>
      <c r="O75" s="1275"/>
      <c r="P75" s="1275"/>
      <c r="Q75" s="1276"/>
      <c r="R75" s="1275"/>
      <c r="S75" s="1284"/>
    </row>
    <row r="76" spans="3:19">
      <c r="C76" s="1286"/>
      <c r="D76" s="1286"/>
      <c r="E76" s="1286"/>
      <c r="F76" s="1286"/>
      <c r="G76" s="1286"/>
      <c r="H76" s="1259"/>
      <c r="I76" s="1259"/>
      <c r="J76" s="1257"/>
      <c r="K76" s="1286"/>
      <c r="L76" s="1286"/>
      <c r="M76" s="1277"/>
      <c r="N76" s="1277"/>
      <c r="O76" s="1275"/>
      <c r="P76" s="1275"/>
      <c r="Q76" s="1276"/>
      <c r="R76" s="1275"/>
      <c r="S76" s="1284"/>
    </row>
    <row r="77" spans="3:19">
      <c r="C77" s="1286"/>
      <c r="D77" s="1286"/>
      <c r="E77" s="1286"/>
      <c r="F77" s="1286"/>
      <c r="G77" s="1286"/>
      <c r="H77" s="1259"/>
      <c r="I77" s="1259"/>
      <c r="J77" s="1257"/>
      <c r="K77" s="1286"/>
      <c r="L77" s="1286"/>
      <c r="M77" s="1277"/>
      <c r="N77" s="1277"/>
      <c r="O77" s="1275"/>
      <c r="P77" s="1275"/>
      <c r="Q77" s="1276"/>
      <c r="R77" s="1275"/>
      <c r="S77" s="1284"/>
    </row>
    <row r="78" spans="3:19">
      <c r="C78" s="1286"/>
      <c r="D78" s="1286"/>
      <c r="E78" s="1286"/>
      <c r="F78" s="1286"/>
      <c r="G78" s="1286"/>
      <c r="H78" s="1259"/>
      <c r="I78" s="1259"/>
      <c r="J78" s="1257"/>
      <c r="K78" s="1286"/>
      <c r="L78" s="1286"/>
      <c r="M78" s="1277"/>
      <c r="N78" s="1277"/>
      <c r="O78" s="1275"/>
      <c r="P78" s="1275"/>
      <c r="Q78" s="1276"/>
      <c r="R78" s="1275"/>
      <c r="S78" s="1284"/>
    </row>
    <row r="79" spans="3:19">
      <c r="C79" s="1286"/>
      <c r="D79" s="1286"/>
      <c r="E79" s="1286"/>
      <c r="F79" s="1286"/>
      <c r="G79" s="1286"/>
      <c r="H79" s="1259"/>
      <c r="I79" s="1259"/>
      <c r="J79" s="1257"/>
      <c r="K79" s="1286"/>
      <c r="L79" s="1286"/>
      <c r="M79" s="1277"/>
      <c r="N79" s="1277"/>
      <c r="O79" s="1275"/>
      <c r="P79" s="1275"/>
      <c r="Q79" s="1276"/>
      <c r="R79" s="1275"/>
      <c r="S79" s="1284"/>
    </row>
    <row r="80" spans="3:19">
      <c r="C80" s="1286"/>
      <c r="D80" s="1286"/>
      <c r="E80" s="1286"/>
      <c r="F80" s="1286"/>
      <c r="G80" s="1286"/>
      <c r="H80" s="1259"/>
      <c r="I80" s="1259"/>
      <c r="J80" s="1257"/>
      <c r="K80" s="1286"/>
      <c r="L80" s="1286"/>
      <c r="M80" s="1277"/>
      <c r="N80" s="1277"/>
      <c r="O80" s="1275"/>
      <c r="P80" s="1275"/>
      <c r="Q80" s="1276"/>
      <c r="R80" s="1275"/>
      <c r="S80" s="1284"/>
    </row>
    <row r="81" spans="3:19">
      <c r="C81" s="1286"/>
      <c r="D81" s="1286"/>
      <c r="E81" s="1286"/>
      <c r="F81" s="1286"/>
      <c r="G81" s="1286"/>
      <c r="H81" s="1259"/>
      <c r="I81" s="1259"/>
      <c r="J81" s="1257"/>
      <c r="K81" s="1286"/>
      <c r="L81" s="1286"/>
      <c r="M81" s="1277"/>
      <c r="N81" s="1277"/>
      <c r="O81" s="1275"/>
      <c r="P81" s="1275"/>
      <c r="Q81" s="1276"/>
      <c r="R81" s="1275"/>
      <c r="S81" s="1284"/>
    </row>
    <row r="82" spans="3:19">
      <c r="C82" s="1286"/>
      <c r="D82" s="1286"/>
      <c r="E82" s="1286"/>
      <c r="F82" s="1286"/>
      <c r="G82" s="1286"/>
      <c r="H82" s="1259"/>
      <c r="I82" s="1259"/>
      <c r="J82" s="1257"/>
      <c r="K82" s="1286"/>
      <c r="L82" s="1286"/>
      <c r="M82" s="1277"/>
      <c r="N82" s="1277"/>
      <c r="O82" s="1275"/>
      <c r="P82" s="1275"/>
      <c r="Q82" s="1276"/>
      <c r="R82" s="1275"/>
      <c r="S82" s="1284"/>
    </row>
    <row r="83" spans="3:19">
      <c r="C83" s="1286"/>
      <c r="D83" s="1286"/>
      <c r="E83" s="1286"/>
      <c r="F83" s="1286"/>
      <c r="G83" s="1286"/>
      <c r="H83" s="1259"/>
      <c r="I83" s="1259"/>
      <c r="J83" s="1257"/>
      <c r="K83" s="1286"/>
      <c r="L83" s="1286"/>
      <c r="M83" s="1277"/>
      <c r="N83" s="1277"/>
      <c r="O83" s="1275"/>
      <c r="P83" s="1275"/>
      <c r="Q83" s="1276"/>
      <c r="R83" s="1275"/>
      <c r="S83" s="1284"/>
    </row>
    <row r="84" spans="3:19">
      <c r="C84" s="1286"/>
      <c r="D84" s="1286"/>
      <c r="E84" s="1286"/>
      <c r="F84" s="1286"/>
      <c r="G84" s="1286"/>
      <c r="H84" s="1259"/>
      <c r="I84" s="1259"/>
      <c r="J84" s="1257"/>
      <c r="K84" s="1286"/>
      <c r="L84" s="1286"/>
      <c r="M84" s="1277"/>
      <c r="N84" s="1277"/>
      <c r="O84" s="1275"/>
      <c r="P84" s="1275"/>
      <c r="Q84" s="1276"/>
      <c r="R84" s="1275"/>
      <c r="S84" s="1284"/>
    </row>
    <row r="85" spans="3:19">
      <c r="C85" s="1286"/>
      <c r="D85" s="1286"/>
      <c r="E85" s="1286"/>
      <c r="F85" s="1286"/>
      <c r="G85" s="1286"/>
      <c r="H85" s="1259"/>
      <c r="I85" s="1259"/>
      <c r="J85" s="1257"/>
      <c r="K85" s="1286"/>
      <c r="L85" s="1286"/>
      <c r="M85" s="1277"/>
      <c r="N85" s="1277"/>
      <c r="O85" s="1275"/>
      <c r="P85" s="1275"/>
      <c r="Q85" s="1276"/>
      <c r="R85" s="1275"/>
      <c r="S85" s="1284"/>
    </row>
    <row r="86" spans="3:19">
      <c r="C86" s="1286"/>
      <c r="D86" s="1286"/>
      <c r="E86" s="1286"/>
      <c r="F86" s="1286"/>
      <c r="G86" s="1286"/>
      <c r="H86" s="1259"/>
      <c r="I86" s="1259"/>
      <c r="J86" s="1257"/>
      <c r="K86" s="1286"/>
      <c r="L86" s="1286"/>
      <c r="M86" s="1277"/>
      <c r="N86" s="1277"/>
      <c r="O86" s="1275"/>
      <c r="P86" s="1275"/>
      <c r="Q86" s="1276"/>
      <c r="R86" s="1275"/>
      <c r="S86" s="1284"/>
    </row>
    <row r="87" spans="3:19">
      <c r="C87" s="1286"/>
      <c r="D87" s="1286"/>
      <c r="E87" s="1286"/>
      <c r="F87" s="1286"/>
      <c r="G87" s="1286"/>
      <c r="H87" s="1259"/>
      <c r="I87" s="1259"/>
      <c r="J87" s="1257"/>
      <c r="K87" s="1286"/>
      <c r="L87" s="1286"/>
      <c r="M87" s="1277"/>
      <c r="N87" s="1277"/>
      <c r="O87" s="1275"/>
      <c r="P87" s="1275"/>
      <c r="Q87" s="1276"/>
      <c r="R87" s="1275"/>
      <c r="S87" s="1284"/>
    </row>
    <row r="88" spans="3:19">
      <c r="C88" s="1286"/>
      <c r="D88" s="1286"/>
      <c r="E88" s="1286"/>
      <c r="F88" s="1286"/>
      <c r="G88" s="1286"/>
      <c r="H88" s="1259"/>
      <c r="I88" s="1259"/>
      <c r="J88" s="1257"/>
      <c r="K88" s="1286"/>
      <c r="L88" s="1286"/>
      <c r="M88" s="1277"/>
      <c r="N88" s="1277"/>
      <c r="O88" s="1275"/>
      <c r="P88" s="1275"/>
      <c r="Q88" s="1276"/>
      <c r="R88" s="1275"/>
      <c r="S88" s="1284"/>
    </row>
    <row r="89" spans="3:19">
      <c r="C89" s="1286"/>
      <c r="D89" s="1286"/>
      <c r="E89" s="1264"/>
      <c r="F89" s="1286"/>
      <c r="G89" s="1286"/>
      <c r="H89" s="1259"/>
      <c r="I89" s="1259"/>
      <c r="J89" s="1257"/>
      <c r="K89" s="1286"/>
      <c r="L89" s="1286"/>
      <c r="M89" s="1277"/>
      <c r="N89" s="1277"/>
      <c r="O89" s="1275"/>
      <c r="P89" s="1275"/>
      <c r="Q89" s="1276"/>
      <c r="R89" s="1275"/>
      <c r="S89" s="1284"/>
    </row>
    <row r="90" spans="3:19">
      <c r="C90" s="1286"/>
      <c r="D90" s="1286"/>
      <c r="E90" s="1264"/>
      <c r="F90" s="1286"/>
      <c r="G90" s="1286"/>
      <c r="H90" s="1259"/>
      <c r="I90" s="1259"/>
      <c r="J90" s="1257"/>
      <c r="K90" s="1286"/>
      <c r="L90" s="1286"/>
      <c r="M90" s="1277"/>
      <c r="N90" s="1277"/>
      <c r="O90" s="1275"/>
      <c r="P90" s="1275"/>
      <c r="Q90" s="1276"/>
      <c r="R90" s="1275"/>
      <c r="S90" s="1284"/>
    </row>
    <row r="91" spans="3:19">
      <c r="C91" s="1286"/>
      <c r="D91" s="1286"/>
      <c r="E91" s="1264"/>
      <c r="F91" s="1286"/>
      <c r="G91" s="1286"/>
      <c r="H91" s="1259"/>
      <c r="I91" s="1259"/>
      <c r="J91" s="1257"/>
      <c r="K91" s="1286"/>
      <c r="L91" s="1286"/>
      <c r="M91" s="1277"/>
      <c r="N91" s="1277"/>
      <c r="O91" s="1275"/>
      <c r="P91" s="1275"/>
      <c r="Q91" s="1276"/>
      <c r="R91" s="1275"/>
      <c r="S91" s="1284"/>
    </row>
    <row r="92" spans="3:19">
      <c r="C92" s="1286"/>
      <c r="D92" s="1286"/>
      <c r="E92" s="1264"/>
      <c r="F92" s="1286"/>
      <c r="G92" s="1286"/>
      <c r="H92" s="1259"/>
      <c r="I92" s="1259"/>
      <c r="J92" s="1257"/>
      <c r="K92" s="1286"/>
      <c r="L92" s="1286"/>
      <c r="M92" s="1277"/>
      <c r="N92" s="1277"/>
      <c r="O92" s="1275"/>
      <c r="P92" s="1275"/>
      <c r="Q92" s="1276"/>
      <c r="R92" s="1275"/>
      <c r="S92" s="1284"/>
    </row>
    <row r="93" spans="3:19">
      <c r="C93" s="1286"/>
      <c r="D93" s="1286"/>
      <c r="E93" s="1264"/>
      <c r="F93" s="1286"/>
      <c r="G93" s="1286"/>
      <c r="H93" s="1259"/>
      <c r="I93" s="1259"/>
      <c r="J93" s="1257"/>
      <c r="K93" s="1286"/>
      <c r="L93" s="1286"/>
      <c r="M93" s="1277"/>
      <c r="N93" s="1277"/>
      <c r="O93" s="1275"/>
      <c r="P93" s="1275"/>
      <c r="Q93" s="1276"/>
      <c r="R93" s="1275"/>
      <c r="S93" s="1284"/>
    </row>
    <row r="94" spans="3:19">
      <c r="C94" s="1286"/>
      <c r="D94" s="1286"/>
      <c r="E94" s="1264"/>
      <c r="F94" s="1286"/>
      <c r="G94" s="1286"/>
      <c r="H94" s="1259"/>
      <c r="I94" s="1259"/>
      <c r="J94" s="1257"/>
      <c r="K94" s="1286"/>
      <c r="L94" s="1286"/>
      <c r="M94" s="1277"/>
      <c r="N94" s="1277"/>
      <c r="O94" s="1275"/>
      <c r="P94" s="1275"/>
      <c r="Q94" s="1276"/>
      <c r="R94" s="1275"/>
      <c r="S94" s="1284"/>
    </row>
    <row r="95" spans="3:19">
      <c r="C95" s="1286"/>
      <c r="D95" s="1286"/>
      <c r="E95" s="1264"/>
      <c r="F95" s="1286"/>
      <c r="G95" s="1286"/>
      <c r="H95" s="1259"/>
      <c r="I95" s="1259"/>
      <c r="J95" s="1257"/>
      <c r="K95" s="1286"/>
      <c r="L95" s="1286"/>
      <c r="M95" s="1277"/>
      <c r="N95" s="1277"/>
      <c r="O95" s="1275"/>
      <c r="P95" s="1275"/>
      <c r="Q95" s="1276"/>
      <c r="R95" s="1275"/>
      <c r="S95" s="1284"/>
    </row>
    <row r="96" spans="3:19">
      <c r="C96" s="1286"/>
      <c r="D96" s="1286"/>
      <c r="E96" s="1264"/>
      <c r="F96" s="1286"/>
      <c r="G96" s="1286"/>
      <c r="H96" s="1259"/>
      <c r="I96" s="1259"/>
      <c r="J96" s="1257"/>
      <c r="K96" s="1286"/>
      <c r="L96" s="1286"/>
      <c r="M96" s="1277"/>
      <c r="N96" s="1277"/>
      <c r="O96" s="1275"/>
      <c r="P96" s="1275"/>
      <c r="Q96" s="1276"/>
      <c r="R96" s="1275"/>
      <c r="S96" s="1284"/>
    </row>
    <row r="97" spans="3:19">
      <c r="C97" s="1286"/>
      <c r="D97" s="1286"/>
      <c r="E97" s="1264"/>
      <c r="F97" s="1286"/>
      <c r="G97" s="1286"/>
      <c r="H97" s="1274"/>
      <c r="I97" s="1259"/>
      <c r="J97" s="1263"/>
      <c r="K97" s="1273"/>
      <c r="L97" s="1285"/>
      <c r="M97" s="1277"/>
      <c r="N97" s="1277"/>
      <c r="O97" s="1260"/>
      <c r="P97" s="1260"/>
      <c r="Q97" s="1260"/>
      <c r="R97" s="1260"/>
      <c r="S97" s="1284"/>
    </row>
    <row r="98" spans="3:19">
      <c r="C98" s="1286"/>
      <c r="D98" s="1286"/>
      <c r="E98" s="1264"/>
      <c r="F98" s="1286"/>
      <c r="G98" s="1284"/>
      <c r="H98" s="1284"/>
      <c r="I98" s="1284"/>
      <c r="J98" s="1284"/>
      <c r="K98" s="1284"/>
      <c r="L98" s="1284"/>
      <c r="M98" s="1284"/>
      <c r="N98" s="1284"/>
      <c r="O98" s="1284"/>
      <c r="P98" s="1284"/>
      <c r="Q98" s="1284"/>
      <c r="R98" s="1284"/>
      <c r="S98" s="1284"/>
    </row>
    <row r="99" spans="3:19">
      <c r="C99" s="1286"/>
      <c r="D99" s="1286"/>
      <c r="E99" s="1264"/>
      <c r="F99" s="1286"/>
      <c r="G99" s="1284"/>
      <c r="H99" s="1284"/>
      <c r="I99" s="1284"/>
      <c r="J99" s="1284"/>
      <c r="K99" s="1284"/>
      <c r="L99" s="1284"/>
      <c r="M99" s="1284"/>
      <c r="N99" s="1284"/>
      <c r="O99" s="1284"/>
      <c r="P99" s="1284"/>
      <c r="Q99" s="1284"/>
      <c r="R99" s="1284"/>
      <c r="S99" s="1284"/>
    </row>
    <row r="100" spans="3:19">
      <c r="C100" s="1286"/>
      <c r="D100" s="1286"/>
      <c r="E100" s="1264"/>
      <c r="F100" s="1286"/>
    </row>
    <row r="101" spans="3:19">
      <c r="C101" s="1286"/>
      <c r="D101" s="1286"/>
      <c r="E101" s="1264"/>
      <c r="F101" s="1286"/>
    </row>
    <row r="102" spans="3:19">
      <c r="C102" s="1286"/>
      <c r="D102" s="1286"/>
      <c r="E102" s="1264"/>
      <c r="F102" s="1286"/>
    </row>
    <row r="103" spans="3:19">
      <c r="C103" s="1286"/>
      <c r="D103" s="1286"/>
      <c r="E103" s="1264"/>
      <c r="F103" s="1286"/>
    </row>
    <row r="104" spans="3:19">
      <c r="C104" s="1286"/>
      <c r="D104" s="1286"/>
      <c r="E104" s="1264"/>
      <c r="F104" s="1286"/>
    </row>
    <row r="105" spans="3:19">
      <c r="C105" s="1286"/>
      <c r="D105" s="1286"/>
      <c r="E105" s="1264"/>
      <c r="F105" s="1286"/>
    </row>
    <row r="106" spans="3:19">
      <c r="C106" s="1286"/>
      <c r="D106" s="1286"/>
      <c r="E106" s="1264"/>
      <c r="F106" s="1286"/>
    </row>
    <row r="107" spans="3:19">
      <c r="C107" s="1286"/>
      <c r="D107" s="1286"/>
      <c r="E107" s="1264"/>
      <c r="F107" s="1286"/>
    </row>
    <row r="108" spans="3:19">
      <c r="C108" s="1286"/>
      <c r="D108" s="1286"/>
      <c r="E108" s="1264"/>
      <c r="F108" s="1286"/>
    </row>
    <row r="109" spans="3:19">
      <c r="C109" s="1286"/>
      <c r="D109" s="1286"/>
      <c r="E109" s="1264"/>
      <c r="F109" s="1286"/>
    </row>
    <row r="110" spans="3:19">
      <c r="C110" s="1286"/>
      <c r="D110" s="1286"/>
      <c r="E110" s="1264"/>
      <c r="F110" s="1286"/>
    </row>
    <row r="111" spans="3:19">
      <c r="C111" s="1286"/>
      <c r="D111" s="1286"/>
      <c r="E111" s="1286"/>
      <c r="F111" s="1286"/>
    </row>
    <row r="112" spans="3:19">
      <c r="C112" s="1284"/>
      <c r="D112" s="1284"/>
      <c r="E112" s="1284"/>
      <c r="F112" s="1284"/>
    </row>
    <row r="113" spans="3:6">
      <c r="C113" s="1284"/>
      <c r="D113" s="1284"/>
      <c r="E113" s="1284"/>
      <c r="F113" s="1284"/>
    </row>
  </sheetData>
  <customSheetViews>
    <customSheetView guid="{D9EFFE19-D14B-4C6F-BDF4-FF696F73968D}" showGridLines="0" fitToPage="1">
      <pane xSplit="1" ySplit="1" topLeftCell="B5" activePane="bottomRight" state="frozen"/>
      <selection pane="bottomRight" activeCell="H59" sqref="H59"/>
      <pageMargins left="0.23" right="0.3" top="0.37" bottom="0.43" header="0.3" footer="0.3"/>
      <pageSetup paperSize="17" scale="66" orientation="landscape" r:id="rId1"/>
    </customSheetView>
    <customSheetView guid="{074EB09C-6289-46D7-9513-012B68BCA7BF}" showGridLines="0" fitToPage="1">
      <pane xSplit="1" ySplit="1" topLeftCell="B20" activePane="bottomRight" state="frozen"/>
      <selection pane="bottomRight" activeCell="E35" sqref="E35"/>
      <pageMargins left="0.23" right="0.3" top="0.37" bottom="0.43" header="0.3" footer="0.3"/>
      <pageSetup paperSize="17" scale="66" orientation="landscape" r:id="rId2"/>
    </customSheetView>
  </customSheetViews>
  <mergeCells count="6">
    <mergeCell ref="J11:M11"/>
    <mergeCell ref="N11:P11"/>
    <mergeCell ref="Q11:R11"/>
    <mergeCell ref="J12:L12"/>
    <mergeCell ref="J10:M10"/>
    <mergeCell ref="N10:O10"/>
  </mergeCells>
  <pageMargins left="0.23" right="0.3" top="0.37" bottom="0.43" header="0.3" footer="0.3"/>
  <pageSetup paperSize="3" scale="67" orientation="landscape" r:id="rId3"/>
  <drawing r:id="rId4"/>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theme="7" tint="0.59999389629810485"/>
    <pageSetUpPr fitToPage="1"/>
  </sheetPr>
  <dimension ref="A1:S70"/>
  <sheetViews>
    <sheetView showGridLines="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140625" style="849" customWidth="1"/>
    <col min="2" max="2" width="15.42578125" style="1413" customWidth="1"/>
    <col min="3" max="3" width="26.5703125" customWidth="1"/>
    <col min="4" max="4" width="18.7109375" customWidth="1"/>
    <col min="5" max="7" width="19.5703125" customWidth="1"/>
    <col min="8" max="8" width="14.140625" customWidth="1"/>
    <col min="9" max="9" width="15.85546875" customWidth="1"/>
    <col min="10" max="10" width="12.85546875" customWidth="1"/>
    <col min="11" max="11" width="10.85546875" customWidth="1"/>
    <col min="12" max="12" width="13.85546875" customWidth="1"/>
    <col min="13" max="13" width="15.85546875" customWidth="1"/>
    <col min="14" max="15" width="14" customWidth="1"/>
    <col min="16" max="17" width="16.85546875" customWidth="1"/>
    <col min="18" max="18" width="19.28515625" customWidth="1"/>
  </cols>
  <sheetData>
    <row r="1" spans="1:18" ht="56.25" customHeight="1">
      <c r="C1" s="942"/>
      <c r="D1" s="1380" t="s">
        <v>328</v>
      </c>
      <c r="E1" s="1373" t="s">
        <v>5</v>
      </c>
      <c r="F1" s="1373">
        <v>18230482</v>
      </c>
      <c r="G1" s="1361" t="s">
        <v>4</v>
      </c>
      <c r="J1" s="431"/>
      <c r="K1" s="429"/>
      <c r="L1" s="429"/>
      <c r="M1" s="1380" t="s">
        <v>328</v>
      </c>
      <c r="N1" s="1373" t="s">
        <v>5</v>
      </c>
      <c r="O1" s="1373">
        <v>18230482</v>
      </c>
      <c r="P1" s="1361" t="s">
        <v>4</v>
      </c>
      <c r="Q1" s="429"/>
      <c r="R1" s="429"/>
    </row>
    <row r="2" spans="1:18" ht="16.5" customHeight="1" thickBot="1">
      <c r="C2" s="431"/>
      <c r="D2" s="890"/>
      <c r="E2" s="429"/>
      <c r="F2" s="429"/>
      <c r="G2" s="429"/>
      <c r="H2" s="1178" t="s">
        <v>627</v>
      </c>
      <c r="I2" s="429"/>
      <c r="J2" s="429"/>
      <c r="K2" s="429"/>
      <c r="L2" s="429"/>
      <c r="M2" s="429"/>
      <c r="N2" s="429"/>
      <c r="O2" s="429"/>
      <c r="P2" s="429"/>
      <c r="Q2" s="429"/>
      <c r="R2" s="1416"/>
    </row>
    <row r="3" spans="1:18" ht="26.25" thickBot="1">
      <c r="A3" s="1392" t="s">
        <v>484</v>
      </c>
      <c r="B3" s="1357"/>
      <c r="E3" s="429"/>
      <c r="F3" s="429"/>
      <c r="G3" s="429"/>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666" t="s">
        <v>21</v>
      </c>
      <c r="B4" s="1372"/>
      <c r="C4" s="431"/>
      <c r="D4" s="429"/>
      <c r="E4" s="429"/>
      <c r="F4" s="429"/>
      <c r="G4" s="2946" t="s">
        <v>1726</v>
      </c>
      <c r="H4" s="2959">
        <f>D15</f>
        <v>16268.87</v>
      </c>
      <c r="I4" s="2960">
        <f>D21</f>
        <v>13065</v>
      </c>
      <c r="J4" s="2960">
        <f>D27</f>
        <v>19565.691290000002</v>
      </c>
      <c r="K4" s="2960">
        <f>D37</f>
        <v>13000</v>
      </c>
      <c r="L4" s="2960">
        <f>D43</f>
        <v>0</v>
      </c>
      <c r="M4" s="2960">
        <f>D49</f>
        <v>2610</v>
      </c>
      <c r="N4" s="2960">
        <f>D55</f>
        <v>23920</v>
      </c>
      <c r="O4" s="2960">
        <f>D61</f>
        <v>0</v>
      </c>
      <c r="P4" s="2960">
        <v>0</v>
      </c>
      <c r="Q4" s="2960">
        <v>0</v>
      </c>
      <c r="R4" s="2961">
        <f>SUM(H4:Q4)</f>
        <v>88429.561290000012</v>
      </c>
    </row>
    <row r="5" spans="1:18" ht="15.75">
      <c r="A5" s="1372" t="s">
        <v>5</v>
      </c>
      <c r="C5" s="434"/>
      <c r="D5" s="1085"/>
      <c r="E5" s="429"/>
      <c r="F5" s="429"/>
      <c r="G5" s="3205" t="s">
        <v>1753</v>
      </c>
      <c r="H5" s="2617">
        <v>16675.59175</v>
      </c>
      <c r="I5" s="2618">
        <v>19500</v>
      </c>
      <c r="J5" s="2618">
        <v>24599.402390000003</v>
      </c>
      <c r="K5" s="2618">
        <v>13000</v>
      </c>
      <c r="L5" s="2618">
        <v>0</v>
      </c>
      <c r="M5" s="2618">
        <v>2610</v>
      </c>
      <c r="N5" s="2618">
        <v>23920</v>
      </c>
      <c r="O5" s="2618">
        <v>0</v>
      </c>
      <c r="P5" s="2618">
        <v>0</v>
      </c>
      <c r="Q5" s="2618">
        <v>0</v>
      </c>
      <c r="R5" s="2619">
        <v>100304.99414</v>
      </c>
    </row>
    <row r="6" spans="1:18" ht="16.5" thickBot="1">
      <c r="A6" s="1372">
        <v>18230482</v>
      </c>
      <c r="B6" s="1372"/>
      <c r="C6" s="429"/>
      <c r="D6" s="431"/>
      <c r="E6" s="429"/>
      <c r="F6" s="429"/>
      <c r="G6" s="3206" t="s">
        <v>1754</v>
      </c>
      <c r="H6" s="2621">
        <f>E15</f>
        <v>16675.59175</v>
      </c>
      <c r="I6" s="2622">
        <f>E21</f>
        <v>19500</v>
      </c>
      <c r="J6" s="2623">
        <f>E27</f>
        <v>24888.807123999999</v>
      </c>
      <c r="K6" s="2622">
        <f>E37</f>
        <v>13000</v>
      </c>
      <c r="L6" s="2622">
        <f>E43</f>
        <v>0</v>
      </c>
      <c r="M6" s="2622">
        <f>E49</f>
        <v>2610</v>
      </c>
      <c r="N6" s="2622">
        <f>E55</f>
        <v>23920</v>
      </c>
      <c r="O6" s="2622">
        <f>E61</f>
        <v>0</v>
      </c>
      <c r="P6" s="2622">
        <v>0</v>
      </c>
      <c r="Q6" s="2622">
        <v>0</v>
      </c>
      <c r="R6" s="2624">
        <f>SUM(H6:Q6)</f>
        <v>100594.39887400001</v>
      </c>
    </row>
    <row r="7" spans="1:18" ht="15.75">
      <c r="A7" s="1357" t="s">
        <v>4</v>
      </c>
      <c r="B7" s="1357"/>
      <c r="C7" s="1354"/>
      <c r="D7" s="892"/>
      <c r="E7" s="1354"/>
      <c r="F7" s="1354"/>
      <c r="G7" s="2688"/>
      <c r="H7" s="2607"/>
      <c r="I7" s="2607"/>
      <c r="J7" s="2607"/>
      <c r="K7" s="2607"/>
      <c r="L7" s="2607"/>
      <c r="M7" s="2607"/>
      <c r="N7" s="2607"/>
      <c r="O7" s="2607"/>
      <c r="P7" s="2607"/>
      <c r="Q7" s="2607"/>
      <c r="R7" s="2607"/>
    </row>
    <row r="8" spans="1:18" ht="15.75">
      <c r="B8" s="1357"/>
      <c r="C8" s="1354"/>
      <c r="D8" s="892"/>
      <c r="E8" s="1354"/>
      <c r="F8" s="1354"/>
      <c r="Q8" s="505"/>
      <c r="R8" s="24"/>
    </row>
    <row r="9" spans="1:18" s="501" customFormat="1" ht="15.75">
      <c r="A9" s="1357"/>
      <c r="B9" s="1357"/>
      <c r="C9" s="1354"/>
      <c r="D9" s="892"/>
      <c r="E9" s="1354"/>
      <c r="F9" s="1354"/>
      <c r="Q9" s="505"/>
      <c r="R9" s="24"/>
    </row>
    <row r="10" spans="1:18">
      <c r="A10" s="1357"/>
      <c r="B10" s="1357"/>
      <c r="C10" s="1454" t="s">
        <v>310</v>
      </c>
      <c r="D10" s="1454"/>
      <c r="E10" s="1454"/>
      <c r="F10" s="1454"/>
      <c r="H10" s="429"/>
      <c r="I10" s="429"/>
      <c r="J10" s="3610"/>
      <c r="K10" s="3610"/>
      <c r="L10" s="3610"/>
      <c r="M10" s="3610"/>
      <c r="N10" s="3611"/>
      <c r="O10" s="3611"/>
      <c r="P10" s="1295"/>
      <c r="Q10" s="1295"/>
      <c r="R10" s="1295"/>
    </row>
    <row r="11" spans="1:18" ht="15.75">
      <c r="A11" s="1357"/>
      <c r="B11" s="1357"/>
      <c r="C11" s="1413"/>
      <c r="D11" s="1413"/>
      <c r="E11" s="1414"/>
      <c r="F11" s="1413"/>
      <c r="H11" s="429"/>
      <c r="I11" s="429"/>
      <c r="J11" s="3609"/>
      <c r="K11" s="3609"/>
      <c r="L11" s="3609"/>
      <c r="M11" s="3609"/>
      <c r="N11" s="3609"/>
      <c r="O11" s="3609"/>
      <c r="P11" s="3609"/>
      <c r="Q11" s="3609"/>
      <c r="R11" s="3609"/>
    </row>
    <row r="12" spans="1:18">
      <c r="C12" s="1434" t="s">
        <v>298</v>
      </c>
      <c r="D12" s="2766">
        <f>D15+D21+D27+D37+D43+D49+D55+D61</f>
        <v>88429.561290000012</v>
      </c>
      <c r="E12" s="1484">
        <f>E15+E21+E27+E37+E43+E49+E55+E61</f>
        <v>100594.39887400001</v>
      </c>
      <c r="F12" s="1462">
        <f>D12+E12</f>
        <v>189023.96016400002</v>
      </c>
      <c r="H12" s="429"/>
      <c r="I12" s="432"/>
      <c r="J12" s="1295"/>
      <c r="K12" s="1295"/>
      <c r="L12" s="1295"/>
      <c r="M12" s="1280"/>
      <c r="N12" s="1295"/>
      <c r="O12" s="1295"/>
      <c r="P12" s="1294"/>
      <c r="Q12" s="1279"/>
      <c r="R12" s="1279"/>
    </row>
    <row r="13" spans="1:18">
      <c r="C13" s="1483"/>
      <c r="D13" s="2767"/>
      <c r="E13" s="1336"/>
      <c r="F13" s="1413"/>
      <c r="H13" s="429"/>
      <c r="I13" s="432"/>
      <c r="J13" s="1295"/>
      <c r="K13" s="1295"/>
      <c r="L13" s="1295"/>
      <c r="M13" s="1280"/>
      <c r="N13" s="1295"/>
      <c r="O13" s="1295"/>
      <c r="P13" s="1294"/>
      <c r="Q13" s="1279"/>
      <c r="R13" s="1279"/>
    </row>
    <row r="14" spans="1:18" ht="15.75">
      <c r="C14" s="1435" t="s">
        <v>42</v>
      </c>
      <c r="D14" s="2768">
        <v>2016</v>
      </c>
      <c r="E14" s="1502">
        <v>2017</v>
      </c>
      <c r="F14" s="1486" t="s">
        <v>20</v>
      </c>
      <c r="H14" s="429"/>
      <c r="I14" s="432"/>
      <c r="J14" s="1295"/>
      <c r="K14" s="1295"/>
      <c r="L14" s="1295"/>
      <c r="M14" s="1280"/>
      <c r="N14" s="1295"/>
      <c r="O14" s="1295"/>
      <c r="P14" s="1294"/>
      <c r="Q14" s="1279"/>
      <c r="R14" s="1279"/>
    </row>
    <row r="15" spans="1:18">
      <c r="B15" s="1433" t="s">
        <v>296</v>
      </c>
      <c r="C15" s="1451" t="s">
        <v>43</v>
      </c>
      <c r="D15" s="2771">
        <f>SUM(D16:D19)</f>
        <v>16268.87</v>
      </c>
      <c r="E15" s="1464">
        <f>SUM(E16:E19)</f>
        <v>16675.59175</v>
      </c>
      <c r="F15" s="1462">
        <f t="shared" ref="F15:F64" si="0">SUM(D15:E15)</f>
        <v>32944.461750000002</v>
      </c>
      <c r="H15" s="429"/>
      <c r="I15" s="432"/>
      <c r="J15" s="1295"/>
      <c r="K15" s="1295"/>
      <c r="L15" s="1295"/>
      <c r="M15" s="1280"/>
      <c r="N15" s="1295"/>
      <c r="O15" s="1295"/>
      <c r="P15" s="1294"/>
      <c r="Q15" s="1279"/>
      <c r="R15" s="1279"/>
    </row>
    <row r="16" spans="1:18">
      <c r="B16" s="1982">
        <v>0.22</v>
      </c>
      <c r="C16" s="1667" t="s">
        <v>737</v>
      </c>
      <c r="D16" s="2772">
        <v>16268.87</v>
      </c>
      <c r="E16" s="1669">
        <f>D16*1.025</f>
        <v>16675.59175</v>
      </c>
      <c r="F16" s="1426">
        <f t="shared" si="0"/>
        <v>32944.461750000002</v>
      </c>
      <c r="H16" s="429"/>
      <c r="I16" s="432"/>
      <c r="J16" s="1295"/>
      <c r="K16" s="1295"/>
      <c r="L16" s="1295"/>
      <c r="M16" s="1280"/>
      <c r="N16" s="1295"/>
      <c r="O16" s="1295"/>
      <c r="P16" s="1294"/>
      <c r="Q16" s="1279"/>
      <c r="R16" s="1279"/>
    </row>
    <row r="17" spans="2:18">
      <c r="B17" s="1432"/>
      <c r="C17" s="1635"/>
      <c r="D17" s="2784"/>
      <c r="E17" s="1447"/>
      <c r="F17" s="1438">
        <f t="shared" si="0"/>
        <v>0</v>
      </c>
      <c r="H17" s="429"/>
      <c r="I17" s="432"/>
      <c r="J17" s="1295"/>
      <c r="K17" s="1295"/>
      <c r="L17" s="1295"/>
      <c r="M17" s="1280"/>
      <c r="N17" s="1295"/>
      <c r="O17" s="1295"/>
      <c r="P17" s="1294"/>
      <c r="Q17" s="1279"/>
      <c r="R17" s="1279"/>
    </row>
    <row r="18" spans="2:18">
      <c r="B18" s="1432"/>
      <c r="C18" s="1635"/>
      <c r="D18" s="2784"/>
      <c r="E18" s="1447"/>
      <c r="F18" s="1438">
        <f t="shared" si="0"/>
        <v>0</v>
      </c>
      <c r="H18" s="429"/>
      <c r="I18" s="432"/>
      <c r="J18" s="1295"/>
      <c r="K18" s="1295"/>
      <c r="L18" s="1295"/>
      <c r="M18" s="1280"/>
      <c r="N18" s="1295"/>
      <c r="O18" s="1295"/>
      <c r="P18" s="1294"/>
      <c r="Q18" s="1279"/>
      <c r="R18" s="1279"/>
    </row>
    <row r="19" spans="2:18">
      <c r="B19" s="1432"/>
      <c r="C19" s="1635"/>
      <c r="D19" s="2786"/>
      <c r="E19" s="1446"/>
      <c r="F19" s="1438">
        <f t="shared" si="0"/>
        <v>0</v>
      </c>
      <c r="H19" s="429"/>
      <c r="I19" s="432"/>
      <c r="J19" s="1295"/>
      <c r="K19" s="1295"/>
      <c r="L19" s="1295"/>
      <c r="M19" s="1280"/>
      <c r="N19" s="1295"/>
      <c r="O19" s="1295"/>
      <c r="P19" s="1294"/>
      <c r="Q19" s="1279"/>
      <c r="R19" s="1279"/>
    </row>
    <row r="20" spans="2:18">
      <c r="B20" s="1449">
        <f>SUM(B16:B19)</f>
        <v>0.22</v>
      </c>
      <c r="C20" s="1488"/>
      <c r="D20" s="2770"/>
      <c r="E20" s="1490"/>
      <c r="F20" s="1492"/>
      <c r="H20" s="429"/>
      <c r="I20" s="432"/>
      <c r="J20" s="1295"/>
      <c r="K20" s="1295"/>
      <c r="L20" s="1295"/>
      <c r="M20" s="1280"/>
      <c r="N20" s="1295"/>
      <c r="O20" s="1295"/>
      <c r="P20" s="1294"/>
      <c r="Q20" s="1279"/>
      <c r="R20" s="1279"/>
    </row>
    <row r="21" spans="2:18">
      <c r="C21" s="1451" t="s">
        <v>44</v>
      </c>
      <c r="D21" s="2771">
        <f>SUM(D22:D25)</f>
        <v>13065</v>
      </c>
      <c r="E21" s="1464">
        <f>SUM(E22:E25)</f>
        <v>19500</v>
      </c>
      <c r="F21" s="1462">
        <f t="shared" si="0"/>
        <v>32565</v>
      </c>
      <c r="H21" s="429"/>
      <c r="I21" s="432"/>
      <c r="J21" s="1295"/>
      <c r="K21" s="1295"/>
      <c r="L21" s="1295"/>
      <c r="M21" s="1280"/>
      <c r="N21" s="1295"/>
      <c r="O21" s="1295"/>
      <c r="P21" s="1294"/>
      <c r="Q21" s="1279"/>
      <c r="R21" s="1279"/>
    </row>
    <row r="22" spans="2:18">
      <c r="C22" s="1667" t="s">
        <v>813</v>
      </c>
      <c r="D22" s="2778">
        <v>4355</v>
      </c>
      <c r="E22" s="1672">
        <v>6500</v>
      </c>
      <c r="F22" s="1426">
        <f t="shared" si="0"/>
        <v>10855</v>
      </c>
      <c r="H22" s="430"/>
      <c r="I22" s="432"/>
      <c r="J22" s="1295"/>
      <c r="K22" s="1295"/>
      <c r="L22" s="1295"/>
      <c r="M22" s="1280"/>
      <c r="N22" s="1295"/>
      <c r="O22" s="1295"/>
      <c r="P22" s="1294"/>
      <c r="Q22" s="1279"/>
      <c r="R22" s="1279"/>
    </row>
    <row r="23" spans="2:18">
      <c r="C23" s="1667" t="s">
        <v>814</v>
      </c>
      <c r="D23" s="2778">
        <v>8710</v>
      </c>
      <c r="E23" s="1672">
        <v>13000</v>
      </c>
      <c r="F23" s="1438">
        <f t="shared" si="0"/>
        <v>21710</v>
      </c>
      <c r="H23" s="429"/>
      <c r="I23" s="432"/>
      <c r="J23" s="1295"/>
      <c r="K23" s="1295"/>
      <c r="L23" s="1295"/>
      <c r="M23" s="1280"/>
      <c r="N23" s="1295"/>
      <c r="O23" s="1295"/>
      <c r="P23" s="1294"/>
      <c r="Q23" s="1279"/>
      <c r="R23" s="1279"/>
    </row>
    <row r="24" spans="2:18">
      <c r="C24" s="1423"/>
      <c r="D24" s="2774"/>
      <c r="E24" s="1443"/>
      <c r="F24" s="1438">
        <f t="shared" si="0"/>
        <v>0</v>
      </c>
      <c r="H24" s="429"/>
      <c r="I24" s="432"/>
      <c r="J24" s="1295"/>
      <c r="K24" s="1295"/>
      <c r="L24" s="1295"/>
      <c r="M24" s="1280"/>
      <c r="N24" s="1295"/>
      <c r="O24" s="1295"/>
      <c r="P24" s="1294"/>
      <c r="Q24" s="1279"/>
      <c r="R24" s="1279"/>
    </row>
    <row r="25" spans="2:18">
      <c r="C25" s="1423"/>
      <c r="D25" s="2775"/>
      <c r="E25" s="1444"/>
      <c r="F25" s="1438">
        <f t="shared" si="0"/>
        <v>0</v>
      </c>
      <c r="H25" s="429"/>
      <c r="I25" s="432"/>
      <c r="J25" s="1295"/>
      <c r="K25" s="1295"/>
      <c r="L25" s="1295"/>
      <c r="M25" s="1280"/>
      <c r="N25" s="1295"/>
      <c r="O25" s="1295"/>
      <c r="P25" s="1294"/>
      <c r="Q25" s="1279"/>
      <c r="R25" s="1279"/>
    </row>
    <row r="26" spans="2:18">
      <c r="C26" s="1424"/>
      <c r="D26" s="2776"/>
      <c r="E26" s="1431"/>
      <c r="F26" s="1439"/>
      <c r="H26" s="429"/>
      <c r="I26" s="432"/>
      <c r="J26" s="1295"/>
      <c r="K26" s="1295"/>
      <c r="L26" s="1295"/>
      <c r="M26" s="1280"/>
      <c r="N26" s="1295"/>
      <c r="O26" s="1295"/>
      <c r="P26" s="1294"/>
      <c r="Q26" s="1279"/>
      <c r="R26" s="1279"/>
    </row>
    <row r="27" spans="2:18">
      <c r="C27" s="1451" t="s">
        <v>45</v>
      </c>
      <c r="D27" s="2771">
        <f>SUM(D29:D35)</f>
        <v>19565.691290000002</v>
      </c>
      <c r="E27" s="1657">
        <f>SUM(E29:E31)+SUM(E33:E35)</f>
        <v>24888.807123999999</v>
      </c>
      <c r="F27" s="1462">
        <f t="shared" si="0"/>
        <v>44454.498414000002</v>
      </c>
      <c r="H27" s="429"/>
      <c r="I27" s="432"/>
      <c r="J27" s="1295"/>
      <c r="K27" s="1295"/>
      <c r="L27" s="1295"/>
      <c r="M27" s="1280"/>
      <c r="N27" s="1295"/>
      <c r="O27" s="1295"/>
      <c r="P27" s="1294"/>
      <c r="Q27" s="1279"/>
      <c r="R27" s="1279"/>
    </row>
    <row r="28" spans="2:18">
      <c r="C28" s="1450" t="s">
        <v>1733</v>
      </c>
      <c r="D28" s="2777">
        <v>0.66700000000000004</v>
      </c>
      <c r="E28" s="1452">
        <v>0.68799999999999994</v>
      </c>
      <c r="F28" s="1485"/>
      <c r="H28" s="429"/>
      <c r="I28" s="432"/>
      <c r="J28" s="1295"/>
      <c r="K28" s="1295"/>
      <c r="L28" s="1295"/>
      <c r="M28" s="1280"/>
      <c r="N28" s="1295"/>
      <c r="O28" s="1295"/>
      <c r="P28" s="1294"/>
      <c r="Q28" s="1279"/>
      <c r="R28" s="1279"/>
    </row>
    <row r="29" spans="2:18">
      <c r="C29" s="1667" t="s">
        <v>719</v>
      </c>
      <c r="D29" s="2778">
        <f>D15*D28</f>
        <v>10851.336290000001</v>
      </c>
      <c r="E29" s="1504">
        <f>E15*E28</f>
        <v>11472.807123999999</v>
      </c>
      <c r="F29" s="1438">
        <f t="shared" si="0"/>
        <v>22324.143413999998</v>
      </c>
      <c r="H29" s="429"/>
      <c r="I29" s="432"/>
      <c r="J29" s="1295"/>
      <c r="K29" s="1295"/>
      <c r="L29" s="1295"/>
      <c r="M29" s="1280"/>
      <c r="N29" s="1295"/>
      <c r="O29" s="1295"/>
      <c r="P29" s="1294"/>
      <c r="Q29" s="1279"/>
      <c r="R29" s="1279"/>
    </row>
    <row r="30" spans="2:18">
      <c r="C30" s="1667" t="s">
        <v>720</v>
      </c>
      <c r="D30" s="2785">
        <f>D21*D28</f>
        <v>8714.3550000000014</v>
      </c>
      <c r="E30" s="1504">
        <f>E21*E28</f>
        <v>13415.999999999998</v>
      </c>
      <c r="F30" s="1438">
        <f t="shared" si="0"/>
        <v>22130.355</v>
      </c>
      <c r="H30" s="429"/>
      <c r="I30" s="432"/>
      <c r="J30" s="1295"/>
      <c r="K30" s="1295"/>
      <c r="L30" s="1295"/>
      <c r="M30" s="1280"/>
      <c r="N30" s="1295"/>
      <c r="O30" s="1295"/>
      <c r="P30" s="1294"/>
      <c r="Q30" s="1279"/>
      <c r="R30" s="1279"/>
    </row>
    <row r="31" spans="2:18">
      <c r="C31" s="1667"/>
      <c r="D31" s="2774"/>
      <c r="E31" s="1443"/>
      <c r="F31" s="1436">
        <f t="shared" si="0"/>
        <v>0</v>
      </c>
      <c r="H31" s="429"/>
      <c r="I31" s="432"/>
      <c r="J31" s="1295"/>
      <c r="K31" s="1295"/>
      <c r="L31" s="1295"/>
      <c r="M31" s="1280"/>
      <c r="N31" s="1295"/>
      <c r="O31" s="1295"/>
      <c r="P31" s="1294"/>
      <c r="Q31" s="1279"/>
      <c r="R31" s="1279"/>
    </row>
    <row r="32" spans="2:18">
      <c r="C32" s="1450" t="s">
        <v>1734</v>
      </c>
      <c r="D32" s="2777"/>
      <c r="E32" s="1452">
        <v>0</v>
      </c>
      <c r="F32" s="1485"/>
      <c r="H32" s="429"/>
      <c r="I32" s="432"/>
      <c r="J32" s="1295"/>
      <c r="K32" s="1295"/>
      <c r="L32" s="1295"/>
      <c r="M32" s="1280"/>
      <c r="N32" s="1295"/>
      <c r="O32" s="1295"/>
      <c r="P32" s="1294"/>
      <c r="Q32" s="1279"/>
      <c r="R32" s="1279"/>
    </row>
    <row r="33" spans="1:18">
      <c r="A33" s="1652" t="s">
        <v>484</v>
      </c>
      <c r="C33" s="1667" t="s">
        <v>719</v>
      </c>
      <c r="D33" s="2778"/>
      <c r="E33" s="1641">
        <f>E15*E32</f>
        <v>0</v>
      </c>
      <c r="F33" s="1661">
        <f>SUM(D33:E33)</f>
        <v>0</v>
      </c>
      <c r="H33" s="429"/>
      <c r="I33" s="432"/>
      <c r="J33" s="1295"/>
      <c r="K33" s="1295"/>
      <c r="L33" s="1295"/>
      <c r="M33" s="1280"/>
      <c r="N33" s="1295"/>
      <c r="O33" s="1295"/>
      <c r="P33" s="1294"/>
      <c r="Q33" s="1279"/>
      <c r="R33" s="1279"/>
    </row>
    <row r="34" spans="1:18">
      <c r="A34" s="1392" t="s">
        <v>21</v>
      </c>
      <c r="C34" s="1667" t="s">
        <v>720</v>
      </c>
      <c r="D34" s="2785"/>
      <c r="E34" s="1641">
        <f>E21*E32</f>
        <v>0</v>
      </c>
      <c r="F34" s="1661">
        <f t="shared" ref="F34" si="1">SUM(D34:E34)</f>
        <v>0</v>
      </c>
      <c r="H34" s="429"/>
      <c r="I34" s="432"/>
      <c r="J34" s="1295"/>
      <c r="K34" s="1295"/>
      <c r="L34" s="1295"/>
      <c r="M34" s="1280"/>
      <c r="N34" s="1295"/>
      <c r="O34" s="1295"/>
      <c r="P34" s="1294"/>
      <c r="Q34" s="1279"/>
      <c r="R34" s="1279"/>
    </row>
    <row r="35" spans="1:18">
      <c r="A35" s="1372" t="s">
        <v>5</v>
      </c>
      <c r="C35" s="1445"/>
      <c r="D35" s="2775"/>
      <c r="E35" s="1444"/>
      <c r="F35" s="1437">
        <f t="shared" si="0"/>
        <v>0</v>
      </c>
      <c r="H35" s="429"/>
      <c r="I35" s="432"/>
      <c r="J35" s="1295"/>
      <c r="K35" s="1295"/>
      <c r="L35" s="1295"/>
      <c r="M35" s="1280"/>
      <c r="N35" s="1295"/>
      <c r="O35" s="1295"/>
      <c r="P35" s="1294"/>
      <c r="Q35" s="1279"/>
      <c r="R35" s="1279"/>
    </row>
    <row r="36" spans="1:18">
      <c r="A36" s="1372">
        <v>18230482</v>
      </c>
      <c r="C36" s="1488"/>
      <c r="D36" s="2779"/>
      <c r="E36" s="1490"/>
      <c r="F36" s="1493"/>
      <c r="H36" s="429"/>
      <c r="I36" s="432"/>
      <c r="J36" s="1295"/>
      <c r="K36" s="1295"/>
      <c r="L36" s="1295"/>
      <c r="M36" s="1280"/>
      <c r="N36" s="1295"/>
      <c r="O36" s="1295"/>
      <c r="P36" s="1294"/>
      <c r="Q36" s="1279"/>
      <c r="R36" s="1279"/>
    </row>
    <row r="37" spans="1:18">
      <c r="A37" s="1357" t="s">
        <v>4</v>
      </c>
      <c r="C37" s="1451" t="s">
        <v>46</v>
      </c>
      <c r="D37" s="2771">
        <f>SUM(D38:D41)</f>
        <v>13000</v>
      </c>
      <c r="E37" s="1464">
        <f>SUM(E38:E41)</f>
        <v>13000</v>
      </c>
      <c r="F37" s="1462">
        <f t="shared" si="0"/>
        <v>26000</v>
      </c>
      <c r="H37" s="429"/>
      <c r="I37" s="432"/>
      <c r="J37" s="1295"/>
      <c r="K37" s="1295"/>
      <c r="L37" s="1281"/>
      <c r="M37" s="1280"/>
      <c r="N37" s="1295"/>
      <c r="O37" s="1295"/>
      <c r="P37" s="1294"/>
      <c r="Q37" s="1279"/>
      <c r="R37" s="1279"/>
    </row>
    <row r="38" spans="1:18">
      <c r="C38" s="1667" t="s">
        <v>815</v>
      </c>
      <c r="D38" s="2778">
        <v>13000</v>
      </c>
      <c r="E38" s="1672">
        <v>13000</v>
      </c>
      <c r="F38" s="1438">
        <f t="shared" si="0"/>
        <v>26000</v>
      </c>
      <c r="H38" s="429"/>
      <c r="I38" s="432"/>
      <c r="J38" s="1295"/>
      <c r="K38" s="1295"/>
      <c r="L38" s="1281"/>
      <c r="M38" s="1280"/>
      <c r="N38" s="1295"/>
      <c r="O38" s="1295"/>
      <c r="P38" s="1294"/>
      <c r="Q38" s="1279"/>
      <c r="R38" s="1279"/>
    </row>
    <row r="39" spans="1:18">
      <c r="C39" s="1423"/>
      <c r="D39" s="2778"/>
      <c r="E39" s="1520"/>
      <c r="F39" s="1438">
        <f t="shared" si="0"/>
        <v>0</v>
      </c>
      <c r="H39" s="429"/>
      <c r="I39" s="432"/>
      <c r="J39" s="1295"/>
      <c r="K39" s="1295"/>
      <c r="L39" s="1281"/>
      <c r="M39" s="1280"/>
      <c r="N39" s="1295"/>
      <c r="O39" s="1295"/>
      <c r="P39" s="1294"/>
      <c r="Q39" s="1279"/>
      <c r="R39" s="1279"/>
    </row>
    <row r="40" spans="1:18">
      <c r="C40" s="1423"/>
      <c r="D40" s="2778"/>
      <c r="E40" s="1520"/>
      <c r="F40" s="1438">
        <f t="shared" si="0"/>
        <v>0</v>
      </c>
      <c r="H40" s="429"/>
      <c r="I40" s="432"/>
      <c r="J40" s="1295"/>
      <c r="K40" s="1295"/>
      <c r="L40" s="1281"/>
      <c r="M40" s="1280"/>
      <c r="N40" s="1295"/>
      <c r="O40" s="1295"/>
      <c r="P40" s="1294"/>
      <c r="Q40" s="1279"/>
      <c r="R40" s="1279"/>
    </row>
    <row r="41" spans="1:18">
      <c r="C41" s="1423"/>
      <c r="D41" s="2778"/>
      <c r="E41" s="1520"/>
      <c r="F41" s="1438">
        <f t="shared" si="0"/>
        <v>0</v>
      </c>
      <c r="H41" s="429"/>
      <c r="I41" s="432"/>
      <c r="J41" s="1295"/>
      <c r="K41" s="1295"/>
      <c r="L41" s="1281"/>
      <c r="M41" s="1280"/>
      <c r="N41" s="1295"/>
      <c r="O41" s="1295"/>
      <c r="P41" s="1294"/>
      <c r="Q41" s="1279"/>
      <c r="R41" s="1279"/>
    </row>
    <row r="42" spans="1:18">
      <c r="C42" s="1488"/>
      <c r="D42" s="2779"/>
      <c r="E42" s="1490"/>
      <c r="F42" s="1493"/>
      <c r="H42" s="429"/>
      <c r="I42" s="432"/>
      <c r="J42" s="1295"/>
      <c r="K42" s="1295"/>
      <c r="L42" s="1281"/>
      <c r="M42" s="1280"/>
      <c r="N42" s="1295"/>
      <c r="O42" s="1295"/>
      <c r="P42" s="1294"/>
      <c r="Q42" s="1279"/>
      <c r="R42" s="1279"/>
    </row>
    <row r="43" spans="1:18">
      <c r="C43" s="1597" t="s">
        <v>483</v>
      </c>
      <c r="D43" s="2771">
        <f>SUM(D44:D47)</f>
        <v>0</v>
      </c>
      <c r="E43" s="1464">
        <f>SUM(E44:E47)</f>
        <v>0</v>
      </c>
      <c r="F43" s="1462">
        <f t="shared" si="0"/>
        <v>0</v>
      </c>
      <c r="H43" s="429"/>
      <c r="I43" s="432"/>
      <c r="J43" s="1295"/>
      <c r="K43" s="1295"/>
      <c r="L43" s="1281"/>
      <c r="M43" s="1280"/>
      <c r="N43" s="1295"/>
      <c r="O43" s="1295"/>
      <c r="P43" s="1294"/>
      <c r="Q43" s="1279"/>
      <c r="R43" s="1279"/>
    </row>
    <row r="44" spans="1:18">
      <c r="C44" s="1423"/>
      <c r="D44" s="2778"/>
      <c r="E44" s="1520"/>
      <c r="F44" s="1438">
        <f t="shared" si="0"/>
        <v>0</v>
      </c>
      <c r="H44" s="429"/>
      <c r="I44" s="432"/>
      <c r="J44" s="1295"/>
      <c r="K44" s="1295"/>
      <c r="L44" s="1281"/>
      <c r="M44" s="1280"/>
      <c r="N44" s="1295"/>
      <c r="O44" s="1295"/>
      <c r="P44" s="1294"/>
      <c r="Q44" s="1279"/>
      <c r="R44" s="1279"/>
    </row>
    <row r="45" spans="1:18">
      <c r="C45" s="1423"/>
      <c r="D45" s="2778"/>
      <c r="E45" s="1520"/>
      <c r="F45" s="1438">
        <f t="shared" si="0"/>
        <v>0</v>
      </c>
      <c r="H45" s="429"/>
      <c r="I45" s="432"/>
      <c r="J45" s="1295"/>
      <c r="K45" s="1295"/>
      <c r="L45" s="1281"/>
      <c r="M45" s="1280"/>
      <c r="N45" s="1295"/>
      <c r="O45" s="1295"/>
      <c r="P45" s="1294"/>
      <c r="Q45" s="1279"/>
      <c r="R45" s="1279"/>
    </row>
    <row r="46" spans="1:18">
      <c r="C46" s="1423"/>
      <c r="D46" s="2778"/>
      <c r="E46" s="1520"/>
      <c r="F46" s="1438">
        <f t="shared" si="0"/>
        <v>0</v>
      </c>
      <c r="H46" s="429"/>
      <c r="I46" s="432"/>
      <c r="J46" s="1295"/>
      <c r="K46" s="1295"/>
      <c r="L46" s="1281"/>
      <c r="M46" s="1280"/>
      <c r="N46" s="1295"/>
      <c r="O46" s="1295"/>
      <c r="P46" s="1294"/>
      <c r="Q46" s="1279"/>
      <c r="R46" s="1279"/>
    </row>
    <row r="47" spans="1:18">
      <c r="C47" s="1423"/>
      <c r="D47" s="2778"/>
      <c r="E47" s="1520"/>
      <c r="F47" s="1438">
        <f t="shared" si="0"/>
        <v>0</v>
      </c>
      <c r="H47" s="429"/>
      <c r="I47" s="432"/>
      <c r="J47" s="1295"/>
      <c r="K47" s="1295"/>
      <c r="L47" s="1281"/>
      <c r="M47" s="1280"/>
      <c r="N47" s="1295"/>
      <c r="O47" s="1295"/>
      <c r="P47" s="1294"/>
      <c r="Q47" s="1279"/>
      <c r="R47" s="1279"/>
    </row>
    <row r="48" spans="1:18">
      <c r="C48" s="1488"/>
      <c r="D48" s="2779"/>
      <c r="E48" s="1490"/>
      <c r="F48" s="1493"/>
      <c r="H48" s="429"/>
      <c r="I48" s="432"/>
      <c r="J48" s="1295"/>
      <c r="K48" s="1295"/>
      <c r="L48" s="1281"/>
      <c r="M48" s="1280"/>
      <c r="N48" s="1295"/>
      <c r="O48" s="1295"/>
      <c r="P48" s="1294"/>
      <c r="Q48" s="1279"/>
      <c r="R48" s="1279"/>
    </row>
    <row r="49" spans="3:19">
      <c r="C49" s="1451" t="s">
        <v>47</v>
      </c>
      <c r="D49" s="2771">
        <f>SUM(D50:D53)</f>
        <v>2610</v>
      </c>
      <c r="E49" s="1464">
        <f>SUM(E50:E53)</f>
        <v>2610</v>
      </c>
      <c r="F49" s="1462">
        <f t="shared" si="0"/>
        <v>5220</v>
      </c>
      <c r="H49" s="429"/>
      <c r="I49" s="429"/>
      <c r="J49" s="1295"/>
      <c r="K49" s="1295"/>
      <c r="L49" s="1295"/>
      <c r="M49" s="1280"/>
      <c r="N49" s="1295"/>
      <c r="O49" s="1295"/>
      <c r="P49" s="1294"/>
      <c r="Q49" s="1279"/>
      <c r="R49" s="1279"/>
      <c r="S49" s="429"/>
    </row>
    <row r="50" spans="3:19">
      <c r="C50" s="1667" t="s">
        <v>816</v>
      </c>
      <c r="D50" s="2778">
        <v>1740</v>
      </c>
      <c r="E50" s="1672">
        <v>1740</v>
      </c>
      <c r="F50" s="1438">
        <f t="shared" si="0"/>
        <v>3480</v>
      </c>
      <c r="H50" s="429"/>
      <c r="I50" s="429"/>
      <c r="J50" s="1295"/>
      <c r="K50" s="1295"/>
      <c r="L50" s="1295"/>
      <c r="M50" s="1280"/>
      <c r="N50" s="1295"/>
      <c r="O50" s="1295"/>
      <c r="P50" s="1294"/>
      <c r="Q50" s="1279"/>
      <c r="R50" s="1279"/>
      <c r="S50" s="429"/>
    </row>
    <row r="51" spans="3:19">
      <c r="C51" s="1667" t="s">
        <v>817</v>
      </c>
      <c r="D51" s="2778">
        <v>870</v>
      </c>
      <c r="E51" s="1672">
        <v>870</v>
      </c>
      <c r="F51" s="1438">
        <f t="shared" si="0"/>
        <v>1740</v>
      </c>
      <c r="H51" s="429"/>
      <c r="I51" s="429"/>
      <c r="J51" s="1295"/>
      <c r="K51" s="1295"/>
      <c r="L51" s="1295"/>
      <c r="M51" s="1280"/>
      <c r="N51" s="1295"/>
      <c r="O51" s="1295"/>
      <c r="P51" s="1294"/>
      <c r="Q51" s="1279"/>
      <c r="R51" s="1279"/>
      <c r="S51" s="429"/>
    </row>
    <row r="52" spans="3:19">
      <c r="C52" s="1423"/>
      <c r="D52" s="2778"/>
      <c r="E52" s="1520"/>
      <c r="F52" s="1438">
        <f t="shared" si="0"/>
        <v>0</v>
      </c>
      <c r="H52" s="433"/>
      <c r="I52" s="429"/>
      <c r="J52" s="1295"/>
      <c r="K52" s="1295"/>
      <c r="L52" s="1295"/>
      <c r="M52" s="1280"/>
      <c r="N52" s="1295"/>
      <c r="O52" s="1295"/>
      <c r="P52" s="1294"/>
      <c r="Q52" s="1279"/>
      <c r="R52" s="1279"/>
      <c r="S52" s="429"/>
    </row>
    <row r="53" spans="3:19">
      <c r="C53" s="1423"/>
      <c r="D53" s="2778"/>
      <c r="E53" s="1520"/>
      <c r="F53" s="1438">
        <f t="shared" si="0"/>
        <v>0</v>
      </c>
      <c r="H53" s="429"/>
      <c r="I53" s="429"/>
      <c r="J53" s="1295"/>
      <c r="K53" s="1295"/>
      <c r="L53" s="1295"/>
      <c r="M53" s="1280"/>
      <c r="N53" s="1295"/>
      <c r="O53" s="1295"/>
      <c r="P53" s="1294"/>
      <c r="Q53" s="1279"/>
      <c r="R53" s="1279"/>
      <c r="S53" s="429"/>
    </row>
    <row r="54" spans="3:19">
      <c r="C54" s="1488"/>
      <c r="D54" s="2779"/>
      <c r="E54" s="1490"/>
      <c r="F54" s="1493"/>
      <c r="H54" s="429"/>
      <c r="I54" s="429"/>
      <c r="J54" s="1295"/>
      <c r="K54" s="1295"/>
      <c r="L54" s="1295"/>
      <c r="M54" s="1295"/>
      <c r="N54" s="1295"/>
      <c r="O54" s="1295"/>
      <c r="P54" s="1295"/>
      <c r="Q54" s="1296"/>
      <c r="R54" s="1296"/>
      <c r="S54" s="429"/>
    </row>
    <row r="55" spans="3:19">
      <c r="C55" s="1451" t="s">
        <v>48</v>
      </c>
      <c r="D55" s="2771">
        <f>SUM(D56:D60)</f>
        <v>23920</v>
      </c>
      <c r="E55" s="1464">
        <f>SUM(E56:E60)</f>
        <v>23920</v>
      </c>
      <c r="F55" s="1462">
        <f>SUM(D55:E55)</f>
        <v>47840</v>
      </c>
      <c r="H55" s="429"/>
      <c r="I55" s="429"/>
      <c r="J55" s="429"/>
      <c r="K55" s="429"/>
      <c r="L55" s="429"/>
      <c r="M55" s="429"/>
      <c r="N55" s="429"/>
      <c r="O55" s="429"/>
      <c r="P55" s="429"/>
      <c r="Q55" s="429"/>
      <c r="R55" s="429"/>
      <c r="S55" s="429"/>
    </row>
    <row r="56" spans="3:19">
      <c r="C56" s="1667" t="s">
        <v>818</v>
      </c>
      <c r="D56" s="2778">
        <v>8700</v>
      </c>
      <c r="E56" s="1641">
        <v>8700</v>
      </c>
      <c r="F56" s="1438">
        <f t="shared" si="0"/>
        <v>17400</v>
      </c>
      <c r="H56" s="429"/>
      <c r="I56" s="429"/>
      <c r="J56" s="429"/>
      <c r="K56" s="429"/>
      <c r="L56" s="429"/>
      <c r="M56" s="429"/>
      <c r="N56" s="429"/>
      <c r="O56" s="429"/>
      <c r="P56" s="429"/>
      <c r="Q56" s="429"/>
      <c r="R56" s="429"/>
      <c r="S56" s="429"/>
    </row>
    <row r="57" spans="3:19">
      <c r="C57" s="1667" t="s">
        <v>819</v>
      </c>
      <c r="D57" s="2778">
        <v>4350</v>
      </c>
      <c r="E57" s="1641">
        <v>4350</v>
      </c>
      <c r="F57" s="1438">
        <f t="shared" si="0"/>
        <v>8700</v>
      </c>
      <c r="H57" s="1290"/>
      <c r="I57" s="1289"/>
      <c r="J57" s="429"/>
      <c r="K57" s="429"/>
      <c r="L57" s="429"/>
      <c r="M57" s="429"/>
      <c r="N57" s="429"/>
      <c r="O57" s="429"/>
      <c r="P57" s="429"/>
      <c r="Q57" s="429"/>
      <c r="R57" s="429"/>
      <c r="S57" s="429"/>
    </row>
    <row r="58" spans="3:19">
      <c r="C58" s="1667" t="s">
        <v>820</v>
      </c>
      <c r="D58" s="2778">
        <v>870</v>
      </c>
      <c r="E58" s="1641">
        <v>870</v>
      </c>
      <c r="F58" s="1438">
        <f t="shared" si="0"/>
        <v>1740</v>
      </c>
      <c r="G58" s="429"/>
      <c r="H58" s="888"/>
      <c r="I58" s="888"/>
      <c r="J58" s="891"/>
      <c r="K58" s="891"/>
      <c r="L58" s="891"/>
      <c r="M58" s="429"/>
      <c r="N58" s="429"/>
      <c r="O58" s="429"/>
      <c r="P58" s="429"/>
      <c r="Q58" s="429"/>
      <c r="R58" s="429"/>
      <c r="S58" s="429"/>
    </row>
    <row r="59" spans="3:19">
      <c r="C59" s="1667" t="s">
        <v>821</v>
      </c>
      <c r="D59" s="2778">
        <v>10000</v>
      </c>
      <c r="E59" s="1641">
        <v>10000</v>
      </c>
      <c r="F59" s="1438">
        <f t="shared" si="0"/>
        <v>20000</v>
      </c>
    </row>
    <row r="60" spans="3:19">
      <c r="C60" s="1488"/>
      <c r="D60" s="2779"/>
      <c r="E60" s="1490"/>
      <c r="F60" s="1493"/>
    </row>
    <row r="61" spans="3:19">
      <c r="C61" s="1451" t="s">
        <v>49</v>
      </c>
      <c r="D61" s="2771">
        <f>SUM(D62:D64)</f>
        <v>0</v>
      </c>
      <c r="E61" s="1464">
        <f>SUM(E62:E64)</f>
        <v>0</v>
      </c>
      <c r="F61" s="1462">
        <f t="shared" si="0"/>
        <v>0</v>
      </c>
    </row>
    <row r="62" spans="3:19">
      <c r="C62" s="1423"/>
      <c r="D62" s="2778"/>
      <c r="E62" s="1520"/>
      <c r="F62" s="1438">
        <f t="shared" si="0"/>
        <v>0</v>
      </c>
    </row>
    <row r="63" spans="3:19">
      <c r="C63" s="1423"/>
      <c r="D63" s="2778"/>
      <c r="E63" s="1520"/>
      <c r="F63" s="1438">
        <f t="shared" si="0"/>
        <v>0</v>
      </c>
    </row>
    <row r="64" spans="3:19">
      <c r="C64" s="1423"/>
      <c r="D64" s="2778"/>
      <c r="E64" s="1520"/>
      <c r="F64" s="1437">
        <f t="shared" si="0"/>
        <v>0</v>
      </c>
    </row>
    <row r="65" spans="3:6">
      <c r="C65" s="1423"/>
      <c r="D65" s="2778"/>
      <c r="E65" s="1520"/>
      <c r="F65" s="1438"/>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61" sqref="G61"/>
      <pageMargins left="0.2" right="0.31" top="0.35" bottom="0.46" header="0.3" footer="0.3"/>
      <pageSetup paperSize="17" scale="69" orientation="landscape" r:id="rId1"/>
    </customSheetView>
    <customSheetView guid="{074EB09C-6289-46D7-9513-012B68BCA7BF}" showGridLines="0" fitToPage="1">
      <pane xSplit="1" ySplit="1" topLeftCell="B17" activePane="bottomRight" state="frozen"/>
      <selection pane="bottomRight" activeCell="E33" sqref="E33"/>
      <pageMargins left="0.2" right="0.31" top="0.35" bottom="0.46" header="0.3" footer="0.3"/>
      <pageSetup paperSize="17" scale="69" orientation="landscape" r:id="rId2"/>
    </customSheetView>
  </customSheetViews>
  <mergeCells count="5">
    <mergeCell ref="J11:M11"/>
    <mergeCell ref="N11:P11"/>
    <mergeCell ref="Q11:R11"/>
    <mergeCell ref="J10:M10"/>
    <mergeCell ref="N10:O10"/>
  </mergeCells>
  <pageMargins left="0.2" right="0.31" top="0.35" bottom="0.46" header="0.3" footer="0.3"/>
  <pageSetup paperSize="3" scale="70" orientation="landscape" r:id="rId3"/>
  <drawing r:id="rId4"/>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7" tint="0.59999389629810485"/>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E33" sqref="E33"/>
    </sheetView>
  </sheetViews>
  <sheetFormatPr defaultRowHeight="12.75"/>
  <cols>
    <col min="1" max="1" width="18.85546875" style="849" customWidth="1"/>
    <col min="2" max="2" width="16.28515625" style="1413" customWidth="1"/>
    <col min="3" max="3" width="28.140625" customWidth="1"/>
    <col min="4" max="4" width="18.7109375" customWidth="1"/>
    <col min="5" max="7" width="18.42578125" customWidth="1"/>
    <col min="8" max="8" width="14.7109375" customWidth="1"/>
    <col min="9" max="9" width="15.85546875" customWidth="1"/>
    <col min="11" max="11" width="10.5703125" customWidth="1"/>
    <col min="12" max="12" width="15.140625" customWidth="1"/>
    <col min="13" max="13" width="14.42578125" customWidth="1"/>
    <col min="14" max="14" width="11.28515625" customWidth="1"/>
    <col min="15" max="15" width="13.5703125" customWidth="1"/>
    <col min="16" max="16" width="15.28515625" customWidth="1"/>
    <col min="17" max="17" width="11.140625" customWidth="1"/>
    <col min="18" max="18" width="13.28515625" customWidth="1"/>
  </cols>
  <sheetData>
    <row r="1" spans="1:18" ht="57" customHeight="1">
      <c r="C1" s="942"/>
      <c r="D1" s="1701" t="s">
        <v>327</v>
      </c>
      <c r="E1" s="1361" t="s">
        <v>252</v>
      </c>
      <c r="F1" s="1373" t="s">
        <v>5</v>
      </c>
      <c r="G1" s="1373">
        <v>18230621</v>
      </c>
      <c r="H1" s="1361" t="s">
        <v>4</v>
      </c>
      <c r="J1" s="437"/>
      <c r="K1" s="435"/>
      <c r="L1" s="435"/>
      <c r="M1" s="1701" t="s">
        <v>325</v>
      </c>
      <c r="N1" s="1361" t="s">
        <v>252</v>
      </c>
      <c r="O1" s="1373" t="s">
        <v>5</v>
      </c>
      <c r="P1" s="1373">
        <v>18230621</v>
      </c>
      <c r="Q1" s="1361" t="s">
        <v>4</v>
      </c>
      <c r="R1" s="435"/>
    </row>
    <row r="2" spans="1:18" ht="16.5" customHeight="1" thickBot="1">
      <c r="C2" s="437"/>
      <c r="D2" s="1086"/>
      <c r="E2" s="435"/>
      <c r="F2" s="435"/>
      <c r="G2" s="435"/>
      <c r="H2" s="1178" t="s">
        <v>627</v>
      </c>
      <c r="I2" s="435"/>
      <c r="J2" s="435"/>
      <c r="K2" s="435"/>
      <c r="L2" s="435"/>
      <c r="M2" s="435"/>
      <c r="N2" s="435"/>
      <c r="O2" s="435"/>
      <c r="P2" s="435"/>
      <c r="Q2" s="435"/>
      <c r="R2" s="1416"/>
    </row>
    <row r="3" spans="1:18" ht="26.25" thickBot="1">
      <c r="A3" s="1702" t="s">
        <v>325</v>
      </c>
      <c r="B3" s="1372"/>
      <c r="E3" s="435"/>
      <c r="F3" s="435"/>
      <c r="G3" s="435"/>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57" t="s">
        <v>252</v>
      </c>
      <c r="B4" s="1372"/>
      <c r="C4" s="437"/>
      <c r="D4" s="435"/>
      <c r="E4" s="435"/>
      <c r="F4" s="435"/>
      <c r="G4" s="2946" t="s">
        <v>1726</v>
      </c>
      <c r="H4" s="2959">
        <f>D15</f>
        <v>0</v>
      </c>
      <c r="I4" s="2960">
        <f>D21</f>
        <v>0</v>
      </c>
      <c r="J4" s="2960">
        <f>D27</f>
        <v>0</v>
      </c>
      <c r="K4" s="2960">
        <f>D37</f>
        <v>0</v>
      </c>
      <c r="L4" s="2960">
        <f>D43</f>
        <v>0</v>
      </c>
      <c r="M4" s="2960">
        <f>D49</f>
        <v>8800</v>
      </c>
      <c r="N4" s="2960">
        <f>D55</f>
        <v>0</v>
      </c>
      <c r="O4" s="2960">
        <f>D61</f>
        <v>0</v>
      </c>
      <c r="P4" s="2960">
        <v>0</v>
      </c>
      <c r="Q4" s="2960">
        <v>0</v>
      </c>
      <c r="R4" s="2961">
        <f>SUM(H4:Q4)</f>
        <v>8800</v>
      </c>
    </row>
    <row r="5" spans="1:18" ht="15.75">
      <c r="A5" s="1372" t="s">
        <v>5</v>
      </c>
      <c r="C5" s="441"/>
      <c r="E5" s="1084"/>
      <c r="F5" s="1084"/>
      <c r="G5" s="3205" t="s">
        <v>1753</v>
      </c>
      <c r="H5" s="2617">
        <v>0</v>
      </c>
      <c r="I5" s="2618">
        <v>0</v>
      </c>
      <c r="J5" s="2618">
        <v>0</v>
      </c>
      <c r="K5" s="2618">
        <v>0</v>
      </c>
      <c r="L5" s="2618">
        <v>0</v>
      </c>
      <c r="M5" s="2618">
        <v>8800</v>
      </c>
      <c r="N5" s="2618">
        <v>0</v>
      </c>
      <c r="O5" s="2618">
        <v>0</v>
      </c>
      <c r="P5" s="2618">
        <v>0</v>
      </c>
      <c r="Q5" s="2618">
        <v>0</v>
      </c>
      <c r="R5" s="2619">
        <v>8800</v>
      </c>
    </row>
    <row r="6" spans="1:18" ht="16.5" thickBot="1">
      <c r="A6" s="1372">
        <v>18230621</v>
      </c>
      <c r="B6" s="1372"/>
      <c r="C6" s="435"/>
      <c r="D6" s="437"/>
      <c r="E6" s="435"/>
      <c r="F6" s="435"/>
      <c r="G6" s="3206" t="s">
        <v>1754</v>
      </c>
      <c r="H6" s="2621">
        <f>E15</f>
        <v>0</v>
      </c>
      <c r="I6" s="2622">
        <f>E21</f>
        <v>0</v>
      </c>
      <c r="J6" s="2623">
        <f>E27</f>
        <v>0</v>
      </c>
      <c r="K6" s="2622">
        <f>E37</f>
        <v>0</v>
      </c>
      <c r="L6" s="2622">
        <f>E43</f>
        <v>0</v>
      </c>
      <c r="M6" s="2622">
        <f>E49</f>
        <v>8800</v>
      </c>
      <c r="N6" s="2622">
        <f>E55</f>
        <v>0</v>
      </c>
      <c r="O6" s="2622">
        <f>E61</f>
        <v>0</v>
      </c>
      <c r="P6" s="2622">
        <v>0</v>
      </c>
      <c r="Q6" s="2622">
        <v>0</v>
      </c>
      <c r="R6" s="2624">
        <f>SUM(H6:Q6)</f>
        <v>8800</v>
      </c>
    </row>
    <row r="7" spans="1:18" ht="15.75">
      <c r="A7" s="1357" t="s">
        <v>4</v>
      </c>
      <c r="B7" s="1372"/>
      <c r="C7" s="1354"/>
      <c r="D7" s="892"/>
      <c r="E7" s="1354"/>
      <c r="F7" s="1354"/>
      <c r="G7" s="2688"/>
      <c r="H7" s="2607"/>
      <c r="I7" s="2607"/>
      <c r="J7" s="2607"/>
      <c r="K7" s="2607"/>
      <c r="L7" s="2607"/>
      <c r="M7" s="2607"/>
      <c r="N7" s="2607"/>
      <c r="O7" s="2607"/>
      <c r="P7" s="2607"/>
      <c r="Q7" s="2607"/>
      <c r="R7" s="2607"/>
    </row>
    <row r="8" spans="1:18" ht="15.75">
      <c r="B8" s="1372"/>
      <c r="C8" s="1354"/>
      <c r="D8" s="892"/>
      <c r="E8" s="1354"/>
      <c r="F8" s="1354"/>
    </row>
    <row r="9" spans="1:18" ht="15.75">
      <c r="A9" s="1357"/>
      <c r="B9" s="1372"/>
      <c r="C9" s="1354"/>
      <c r="D9" s="892"/>
      <c r="E9" s="1354"/>
      <c r="F9" s="1354"/>
      <c r="H9" s="435"/>
      <c r="I9" s="435"/>
      <c r="J9" s="3610"/>
      <c r="K9" s="3610"/>
      <c r="L9" s="3610"/>
      <c r="M9" s="3610"/>
      <c r="N9" s="3611"/>
      <c r="O9" s="3611"/>
      <c r="P9" s="1300"/>
      <c r="Q9" s="1300"/>
      <c r="R9" s="1300"/>
    </row>
    <row r="10" spans="1:18" ht="15.75">
      <c r="A10" s="1357"/>
      <c r="B10" s="1357"/>
      <c r="C10" s="1454" t="s">
        <v>310</v>
      </c>
      <c r="D10" s="1454"/>
      <c r="E10" s="1454"/>
      <c r="F10" s="1454"/>
      <c r="H10" s="435"/>
      <c r="I10" s="435"/>
      <c r="J10" s="3609"/>
      <c r="K10" s="3609"/>
      <c r="L10" s="3609"/>
      <c r="M10" s="3609"/>
      <c r="N10" s="3609"/>
      <c r="O10" s="3609"/>
      <c r="P10" s="3609"/>
      <c r="Q10" s="3609"/>
      <c r="R10" s="3609"/>
    </row>
    <row r="11" spans="1:18" ht="15.75">
      <c r="A11" s="1357"/>
      <c r="B11" s="1357"/>
      <c r="C11" s="1413"/>
      <c r="D11" s="1413"/>
      <c r="E11" s="1414"/>
      <c r="F11" s="1413"/>
      <c r="H11" s="435"/>
      <c r="I11" s="438"/>
      <c r="J11" s="3609"/>
      <c r="K11" s="3609"/>
      <c r="L11" s="3609"/>
      <c r="M11" s="1303"/>
      <c r="N11" s="1304"/>
      <c r="O11" s="1304"/>
      <c r="P11" s="1304"/>
      <c r="Q11" s="1304"/>
      <c r="R11" s="1304"/>
    </row>
    <row r="12" spans="1:18">
      <c r="A12" s="1357"/>
      <c r="B12" s="1357"/>
      <c r="C12" s="1434" t="s">
        <v>298</v>
      </c>
      <c r="D12" s="2766">
        <f>D15+D21+D27+D37+D43+D49+D55+D61</f>
        <v>8800</v>
      </c>
      <c r="E12" s="1484">
        <f>E15+E21+E27+E37+E43+E49+E55+E61</f>
        <v>8800</v>
      </c>
      <c r="F12" s="1462">
        <f>D12+E12</f>
        <v>17600</v>
      </c>
      <c r="H12" s="435"/>
      <c r="I12" s="439"/>
      <c r="J12" s="1300"/>
      <c r="K12" s="1300"/>
      <c r="L12" s="1300"/>
      <c r="M12" s="1280"/>
      <c r="N12" s="1300"/>
      <c r="O12" s="1300"/>
      <c r="P12" s="1299"/>
      <c r="Q12" s="1279"/>
      <c r="R12" s="1279"/>
    </row>
    <row r="13" spans="1:18">
      <c r="B13" s="1357"/>
      <c r="C13" s="1483"/>
      <c r="D13" s="2767"/>
      <c r="E13" s="1336"/>
      <c r="F13" s="1413"/>
      <c r="H13" s="435"/>
      <c r="I13" s="439"/>
      <c r="J13" s="1300"/>
      <c r="K13" s="1300"/>
      <c r="L13" s="1300"/>
      <c r="M13" s="1280"/>
      <c r="N13" s="1300"/>
      <c r="O13" s="1300"/>
      <c r="P13" s="1299"/>
      <c r="Q13" s="1279"/>
      <c r="R13" s="1279"/>
    </row>
    <row r="14" spans="1:18" ht="15.75">
      <c r="B14" s="1357"/>
      <c r="C14" s="1435" t="s">
        <v>42</v>
      </c>
      <c r="D14" s="2768">
        <v>2016</v>
      </c>
      <c r="E14" s="1502">
        <v>2017</v>
      </c>
      <c r="F14" s="1486" t="s">
        <v>20</v>
      </c>
      <c r="H14" s="435"/>
      <c r="I14" s="439"/>
      <c r="J14" s="1300"/>
      <c r="K14" s="1300"/>
      <c r="L14" s="1300"/>
      <c r="M14" s="1280"/>
      <c r="N14" s="1300"/>
      <c r="O14" s="1300"/>
      <c r="P14" s="1299"/>
      <c r="Q14" s="1279"/>
      <c r="R14" s="1279"/>
    </row>
    <row r="15" spans="1:18">
      <c r="B15" s="1433" t="s">
        <v>296</v>
      </c>
      <c r="C15" s="1451" t="s">
        <v>43</v>
      </c>
      <c r="D15" s="2771">
        <f>SUM(D16:D19)</f>
        <v>0</v>
      </c>
      <c r="E15" s="1464">
        <f>SUM(E16:E19)</f>
        <v>0</v>
      </c>
      <c r="F15" s="1462">
        <f t="shared" ref="F15:F21" si="0">SUM(D15:E15)</f>
        <v>0</v>
      </c>
      <c r="H15" s="435"/>
      <c r="I15" s="439"/>
      <c r="J15" s="1300"/>
      <c r="K15" s="1300"/>
      <c r="L15" s="1300"/>
      <c r="M15" s="1280"/>
      <c r="N15" s="1300"/>
      <c r="O15" s="1300"/>
      <c r="P15" s="1299"/>
      <c r="Q15" s="1279"/>
      <c r="R15" s="1279"/>
    </row>
    <row r="16" spans="1:18">
      <c r="B16" s="1982"/>
      <c r="C16" s="1667"/>
      <c r="D16" s="2772"/>
      <c r="E16" s="1669"/>
      <c r="F16" s="1426">
        <f t="shared" si="0"/>
        <v>0</v>
      </c>
      <c r="H16" s="435"/>
      <c r="I16" s="439"/>
      <c r="J16" s="1300"/>
      <c r="K16" s="1300"/>
      <c r="L16" s="1300"/>
      <c r="M16" s="1280"/>
      <c r="N16" s="1300"/>
      <c r="O16" s="1300"/>
      <c r="P16" s="1299"/>
      <c r="Q16" s="1279"/>
      <c r="R16" s="1279"/>
    </row>
    <row r="17" spans="2:18">
      <c r="B17" s="1982"/>
      <c r="C17" s="1667"/>
      <c r="D17" s="2784"/>
      <c r="E17" s="1668"/>
      <c r="F17" s="1438">
        <f t="shared" si="0"/>
        <v>0</v>
      </c>
      <c r="H17" s="435"/>
      <c r="I17" s="439"/>
      <c r="J17" s="1300"/>
      <c r="K17" s="1300"/>
      <c r="L17" s="1300"/>
      <c r="M17" s="1280"/>
      <c r="N17" s="1300"/>
      <c r="O17" s="1300"/>
      <c r="P17" s="1299"/>
      <c r="Q17" s="1279"/>
      <c r="R17" s="1279"/>
    </row>
    <row r="18" spans="2:18">
      <c r="B18" s="1982"/>
      <c r="C18" s="1667"/>
      <c r="D18" s="2784"/>
      <c r="E18" s="1668"/>
      <c r="F18" s="1438">
        <f t="shared" si="0"/>
        <v>0</v>
      </c>
      <c r="H18" s="435"/>
      <c r="I18" s="439"/>
      <c r="J18" s="1300"/>
      <c r="K18" s="1300"/>
      <c r="L18" s="1300"/>
      <c r="M18" s="1280"/>
      <c r="N18" s="1300"/>
      <c r="O18" s="1300"/>
      <c r="P18" s="1299"/>
      <c r="Q18" s="1279"/>
      <c r="R18" s="1279"/>
    </row>
    <row r="19" spans="2:18">
      <c r="B19" s="1432"/>
      <c r="C19" s="1423"/>
      <c r="D19" s="2786"/>
      <c r="E19" s="1446"/>
      <c r="F19" s="1438">
        <f t="shared" si="0"/>
        <v>0</v>
      </c>
      <c r="H19" s="435"/>
      <c r="I19" s="439"/>
      <c r="J19" s="1300"/>
      <c r="K19" s="1300"/>
      <c r="L19" s="1300"/>
      <c r="M19" s="1280"/>
      <c r="N19" s="1300"/>
      <c r="O19" s="1300"/>
      <c r="P19" s="1299"/>
      <c r="Q19" s="1279"/>
      <c r="R19" s="1279"/>
    </row>
    <row r="20" spans="2:18">
      <c r="B20" s="1449">
        <f>SUM(B16:B19)</f>
        <v>0</v>
      </c>
      <c r="C20" s="1488"/>
      <c r="D20" s="2770"/>
      <c r="E20" s="1490"/>
      <c r="F20" s="1492"/>
      <c r="H20" s="435"/>
      <c r="I20" s="439"/>
      <c r="J20" s="1300"/>
      <c r="K20" s="1300"/>
      <c r="L20" s="1300"/>
      <c r="M20" s="1280"/>
      <c r="N20" s="1300"/>
      <c r="O20" s="1300"/>
      <c r="P20" s="1299"/>
      <c r="Q20" s="1279"/>
      <c r="R20" s="1279"/>
    </row>
    <row r="21" spans="2:18">
      <c r="C21" s="1451" t="s">
        <v>44</v>
      </c>
      <c r="D21" s="2780">
        <f>SUM(D22:D25)</f>
        <v>0</v>
      </c>
      <c r="E21" s="1657">
        <f>SUM(E22:E25)</f>
        <v>0</v>
      </c>
      <c r="F21" s="1462">
        <f t="shared" si="0"/>
        <v>0</v>
      </c>
      <c r="H21" s="435"/>
      <c r="I21" s="439"/>
      <c r="J21" s="1300"/>
      <c r="K21" s="1300"/>
      <c r="L21" s="1300"/>
      <c r="M21" s="1280"/>
      <c r="N21" s="1300"/>
      <c r="O21" s="1300"/>
      <c r="P21" s="1299"/>
      <c r="Q21" s="1279"/>
      <c r="R21" s="1279"/>
    </row>
    <row r="22" spans="2:18">
      <c r="C22" s="1667"/>
      <c r="D22" s="2772"/>
      <c r="E22" s="1669"/>
      <c r="F22" s="1426">
        <v>0</v>
      </c>
      <c r="H22" s="436"/>
      <c r="I22" s="439"/>
      <c r="J22" s="1300"/>
      <c r="K22" s="1300"/>
      <c r="L22" s="1300"/>
      <c r="M22" s="1280"/>
      <c r="N22" s="1300"/>
      <c r="O22" s="1300"/>
      <c r="P22" s="1299"/>
      <c r="Q22" s="1279"/>
      <c r="R22" s="1279"/>
    </row>
    <row r="23" spans="2:18">
      <c r="C23" s="1667"/>
      <c r="D23" s="2772"/>
      <c r="E23" s="1669"/>
      <c r="F23" s="1438">
        <v>0</v>
      </c>
      <c r="H23" s="435"/>
      <c r="I23" s="439"/>
      <c r="J23" s="1300"/>
      <c r="K23" s="1300"/>
      <c r="L23" s="1300"/>
      <c r="M23" s="1280"/>
      <c r="N23" s="1300"/>
      <c r="O23" s="1300"/>
      <c r="P23" s="1299"/>
      <c r="Q23" s="1279"/>
      <c r="R23" s="1279"/>
    </row>
    <row r="24" spans="2:18">
      <c r="C24" s="1423"/>
      <c r="D24" s="2774"/>
      <c r="E24" s="1443"/>
      <c r="F24" s="1438">
        <v>0</v>
      </c>
      <c r="H24" s="435"/>
      <c r="I24" s="439"/>
      <c r="J24" s="1300"/>
      <c r="K24" s="1300"/>
      <c r="L24" s="1300"/>
      <c r="M24" s="1280"/>
      <c r="N24" s="1300"/>
      <c r="O24" s="1300"/>
      <c r="P24" s="1299"/>
      <c r="Q24" s="1279"/>
      <c r="R24" s="1279"/>
    </row>
    <row r="25" spans="2:18">
      <c r="C25" s="1423"/>
      <c r="D25" s="2775"/>
      <c r="E25" s="1444"/>
      <c r="F25" s="1438">
        <v>0</v>
      </c>
      <c r="H25" s="435"/>
      <c r="I25" s="439"/>
      <c r="J25" s="1300"/>
      <c r="K25" s="1300"/>
      <c r="L25" s="1300"/>
      <c r="M25" s="1280"/>
      <c r="N25" s="1300"/>
      <c r="O25" s="1300"/>
      <c r="P25" s="1299"/>
      <c r="Q25" s="1279"/>
      <c r="R25" s="1279"/>
    </row>
    <row r="26" spans="2:18">
      <c r="C26" s="1424"/>
      <c r="D26" s="2776"/>
      <c r="E26" s="1431"/>
      <c r="F26" s="1439"/>
      <c r="H26" s="435"/>
      <c r="I26" s="439"/>
      <c r="J26" s="1300"/>
      <c r="K26" s="1300"/>
      <c r="L26" s="1300"/>
      <c r="M26" s="1280"/>
      <c r="N26" s="1300"/>
      <c r="O26" s="1300"/>
      <c r="P26" s="1299"/>
      <c r="Q26" s="1279"/>
      <c r="R26" s="1279"/>
    </row>
    <row r="27" spans="2:18">
      <c r="C27" s="1451" t="s">
        <v>45</v>
      </c>
      <c r="D27" s="2780">
        <f>SUM(D29:D35)</f>
        <v>0</v>
      </c>
      <c r="E27" s="1657">
        <f>SUM(E29:E31)+SUM(E33:E35)</f>
        <v>0</v>
      </c>
      <c r="F27" s="1462">
        <f>SUM(F29:F35)</f>
        <v>0</v>
      </c>
      <c r="H27" s="435"/>
      <c r="I27" s="439"/>
      <c r="J27" s="1300"/>
      <c r="K27" s="1300"/>
      <c r="L27" s="1300"/>
      <c r="M27" s="1280"/>
      <c r="N27" s="1300"/>
      <c r="O27" s="1300"/>
      <c r="P27" s="1299"/>
      <c r="Q27" s="1279"/>
      <c r="R27" s="1279"/>
    </row>
    <row r="28" spans="2:18">
      <c r="C28" s="1450" t="s">
        <v>1733</v>
      </c>
      <c r="D28" s="2777">
        <v>0.66700000000000004</v>
      </c>
      <c r="E28" s="1452">
        <v>0.68799999999999994</v>
      </c>
      <c r="F28" s="1485"/>
      <c r="H28" s="435"/>
      <c r="I28" s="439"/>
      <c r="J28" s="1300"/>
      <c r="K28" s="1300"/>
      <c r="L28" s="1300"/>
      <c r="M28" s="1280"/>
      <c r="N28" s="1300"/>
      <c r="O28" s="1300"/>
      <c r="P28" s="1299"/>
      <c r="Q28" s="1279"/>
      <c r="R28" s="1279"/>
    </row>
    <row r="29" spans="2:18">
      <c r="C29" s="1667" t="s">
        <v>719</v>
      </c>
      <c r="D29" s="2778">
        <f>D15*D28</f>
        <v>0</v>
      </c>
      <c r="E29" s="1504">
        <f>E15*E28</f>
        <v>0</v>
      </c>
      <c r="F29" s="1438">
        <f>SUM(D29:E29)</f>
        <v>0</v>
      </c>
      <c r="H29" s="435"/>
      <c r="I29" s="439"/>
      <c r="J29" s="1300"/>
      <c r="K29" s="1300"/>
      <c r="L29" s="1300"/>
      <c r="M29" s="1280"/>
      <c r="N29" s="1300"/>
      <c r="O29" s="1300"/>
      <c r="P29" s="1299"/>
      <c r="Q29" s="1279"/>
      <c r="R29" s="1279"/>
    </row>
    <row r="30" spans="2:18">
      <c r="C30" s="1667" t="s">
        <v>720</v>
      </c>
      <c r="D30" s="2785">
        <f>D21*D28</f>
        <v>0</v>
      </c>
      <c r="E30" s="1504">
        <f>E21*E28</f>
        <v>0</v>
      </c>
      <c r="F30" s="1438">
        <v>0</v>
      </c>
      <c r="H30" s="435"/>
      <c r="I30" s="439"/>
      <c r="J30" s="1300"/>
      <c r="K30" s="1300"/>
      <c r="L30" s="1300"/>
      <c r="M30" s="1280"/>
      <c r="N30" s="1300"/>
      <c r="O30" s="1300"/>
      <c r="P30" s="1299"/>
      <c r="Q30" s="1279"/>
      <c r="R30" s="1279"/>
    </row>
    <row r="31" spans="2:18">
      <c r="C31" s="1667"/>
      <c r="D31" s="2774"/>
      <c r="E31" s="1443"/>
      <c r="F31" s="1436"/>
      <c r="H31" s="435"/>
      <c r="I31" s="439"/>
      <c r="J31" s="1300"/>
      <c r="K31" s="1300"/>
      <c r="L31" s="1300"/>
      <c r="M31" s="1280"/>
      <c r="N31" s="1300"/>
      <c r="O31" s="1300"/>
      <c r="P31" s="1299"/>
      <c r="Q31" s="1279"/>
      <c r="R31" s="1279"/>
    </row>
    <row r="32" spans="2:18">
      <c r="C32" s="1450" t="s">
        <v>1734</v>
      </c>
      <c r="D32" s="2777"/>
      <c r="E32" s="1452">
        <v>0</v>
      </c>
      <c r="F32" s="1485"/>
      <c r="H32" s="435"/>
      <c r="I32" s="439"/>
      <c r="J32" s="1300"/>
      <c r="K32" s="1300"/>
      <c r="L32" s="1300"/>
      <c r="M32" s="1280"/>
      <c r="N32" s="1300"/>
      <c r="O32" s="1300"/>
      <c r="P32" s="1299"/>
      <c r="Q32" s="1279"/>
      <c r="R32" s="1279"/>
    </row>
    <row r="33" spans="1:18">
      <c r="C33" s="1667" t="s">
        <v>719</v>
      </c>
      <c r="D33" s="2778"/>
      <c r="E33" s="1641">
        <f>E15*E32</f>
        <v>0</v>
      </c>
      <c r="F33" s="1661">
        <f>SUM(D33:E33)</f>
        <v>0</v>
      </c>
      <c r="H33" s="435"/>
      <c r="I33" s="439"/>
      <c r="J33" s="1300"/>
      <c r="K33" s="1300"/>
      <c r="L33" s="1300"/>
      <c r="M33" s="1280"/>
      <c r="N33" s="1300"/>
      <c r="O33" s="1300"/>
      <c r="P33" s="1299"/>
      <c r="Q33" s="1279"/>
      <c r="R33" s="1279"/>
    </row>
    <row r="34" spans="1:18">
      <c r="A34" s="1702" t="s">
        <v>484</v>
      </c>
      <c r="C34" s="1667" t="s">
        <v>720</v>
      </c>
      <c r="D34" s="2785"/>
      <c r="E34" s="1641">
        <f>E21*E32</f>
        <v>0</v>
      </c>
      <c r="F34" s="1661">
        <f t="shared" ref="F34" si="1">SUM(D34:E34)</f>
        <v>0</v>
      </c>
      <c r="H34" s="435"/>
      <c r="I34" s="439"/>
      <c r="J34" s="1300"/>
      <c r="K34" s="1300"/>
      <c r="L34" s="1300"/>
      <c r="M34" s="1280"/>
      <c r="N34" s="1300"/>
      <c r="O34" s="1300"/>
      <c r="P34" s="1299"/>
      <c r="Q34" s="1279"/>
      <c r="R34" s="1279"/>
    </row>
    <row r="35" spans="1:18">
      <c r="A35" s="1663" t="s">
        <v>195</v>
      </c>
      <c r="C35" s="1445"/>
      <c r="D35" s="2775"/>
      <c r="E35" s="1444"/>
      <c r="F35" s="1437"/>
      <c r="H35" s="435"/>
      <c r="I35" s="439"/>
      <c r="J35" s="1300"/>
      <c r="K35" s="1300"/>
      <c r="L35" s="1300"/>
      <c r="M35" s="1280"/>
      <c r="N35" s="1300"/>
      <c r="O35" s="1300"/>
      <c r="P35" s="1299"/>
      <c r="Q35" s="1279"/>
      <c r="R35" s="1279"/>
    </row>
    <row r="36" spans="1:18">
      <c r="A36" s="1357" t="s">
        <v>252</v>
      </c>
      <c r="C36" s="1488"/>
      <c r="D36" s="2779"/>
      <c r="E36" s="1490"/>
      <c r="F36" s="1493"/>
      <c r="H36" s="435"/>
      <c r="I36" s="439"/>
      <c r="J36" s="1300"/>
      <c r="K36" s="1300"/>
      <c r="L36" s="1300"/>
      <c r="M36" s="1280"/>
      <c r="N36" s="1300"/>
      <c r="O36" s="1300"/>
      <c r="P36" s="1299"/>
      <c r="Q36" s="1279"/>
      <c r="R36" s="1279"/>
    </row>
    <row r="37" spans="1:18">
      <c r="A37" s="1372" t="s">
        <v>5</v>
      </c>
      <c r="C37" s="1451" t="s">
        <v>46</v>
      </c>
      <c r="D37" s="2780">
        <f>SUM(D38:D41)</f>
        <v>0</v>
      </c>
      <c r="E37" s="1657">
        <f>SUM(E38:E41)</f>
        <v>0</v>
      </c>
      <c r="F37" s="1462">
        <f>SUM(D37:E37)</f>
        <v>0</v>
      </c>
      <c r="H37" s="435"/>
      <c r="I37" s="439"/>
      <c r="J37" s="1300"/>
      <c r="K37" s="1300"/>
      <c r="L37" s="1281"/>
      <c r="M37" s="1280"/>
      <c r="N37" s="1300"/>
      <c r="O37" s="1300"/>
      <c r="P37" s="1299"/>
      <c r="Q37" s="1279"/>
      <c r="R37" s="1279"/>
    </row>
    <row r="38" spans="1:18">
      <c r="A38" s="1372">
        <v>18230621</v>
      </c>
      <c r="C38" s="1667"/>
      <c r="D38" s="2778"/>
      <c r="E38" s="1672"/>
      <c r="F38" s="1438">
        <v>0</v>
      </c>
      <c r="H38" s="435"/>
      <c r="I38" s="439"/>
      <c r="J38" s="1300"/>
      <c r="K38" s="1300"/>
      <c r="L38" s="1281"/>
      <c r="M38" s="1280"/>
      <c r="N38" s="1300"/>
      <c r="O38" s="1300"/>
      <c r="P38" s="1299"/>
      <c r="Q38" s="1279"/>
      <c r="R38" s="1279"/>
    </row>
    <row r="39" spans="1:18">
      <c r="A39" s="1357" t="s">
        <v>4</v>
      </c>
      <c r="C39" s="1667"/>
      <c r="D39" s="2778"/>
      <c r="E39" s="1672"/>
      <c r="F39" s="1438">
        <v>0</v>
      </c>
      <c r="H39" s="435"/>
      <c r="I39" s="439"/>
      <c r="J39" s="1300"/>
      <c r="K39" s="1300"/>
      <c r="L39" s="1281"/>
      <c r="M39" s="1280"/>
      <c r="N39" s="1300"/>
      <c r="O39" s="1300"/>
      <c r="P39" s="1299"/>
      <c r="Q39" s="1279"/>
      <c r="R39" s="1279"/>
    </row>
    <row r="40" spans="1:18">
      <c r="C40" s="1667"/>
      <c r="D40" s="2778"/>
      <c r="E40" s="1672"/>
      <c r="F40" s="1438">
        <v>0</v>
      </c>
      <c r="H40" s="435"/>
      <c r="I40" s="439"/>
      <c r="J40" s="1300"/>
      <c r="K40" s="1300"/>
      <c r="L40" s="1281"/>
      <c r="M40" s="1280"/>
      <c r="N40" s="1300"/>
      <c r="O40" s="1300"/>
      <c r="P40" s="1299"/>
      <c r="Q40" s="1279"/>
      <c r="R40" s="1279"/>
    </row>
    <row r="41" spans="1:18">
      <c r="C41" s="1423"/>
      <c r="D41" s="2778"/>
      <c r="E41" s="1520"/>
      <c r="F41" s="1438">
        <v>0</v>
      </c>
      <c r="H41" s="435"/>
      <c r="I41" s="439"/>
      <c r="J41" s="1300"/>
      <c r="K41" s="1300"/>
      <c r="L41" s="1281"/>
      <c r="M41" s="1280"/>
      <c r="N41" s="1300"/>
      <c r="O41" s="1300"/>
      <c r="P41" s="1299"/>
      <c r="Q41" s="1279"/>
      <c r="R41" s="1279"/>
    </row>
    <row r="42" spans="1:18">
      <c r="C42" s="1488"/>
      <c r="D42" s="2779"/>
      <c r="E42" s="1490"/>
      <c r="F42" s="1493"/>
      <c r="H42" s="435"/>
      <c r="I42" s="439"/>
      <c r="J42" s="1300"/>
      <c r="K42" s="1300"/>
      <c r="L42" s="1281"/>
      <c r="M42" s="1280"/>
      <c r="N42" s="1300"/>
      <c r="O42" s="1300"/>
      <c r="P42" s="1299"/>
      <c r="Q42" s="1279"/>
      <c r="R42" s="1279"/>
    </row>
    <row r="43" spans="1:18">
      <c r="C43" s="1597" t="s">
        <v>483</v>
      </c>
      <c r="D43" s="2771">
        <f>SUM(D44:D47)</f>
        <v>0</v>
      </c>
      <c r="E43" s="1464">
        <f>SUM(E44:E47)</f>
        <v>0</v>
      </c>
      <c r="F43" s="1462">
        <f>SUM(D43:E43)</f>
        <v>0</v>
      </c>
      <c r="H43" s="435"/>
      <c r="I43" s="439"/>
      <c r="J43" s="1300"/>
      <c r="K43" s="1300"/>
      <c r="L43" s="1281"/>
      <c r="M43" s="1280"/>
      <c r="N43" s="1300"/>
      <c r="O43" s="1300"/>
      <c r="P43" s="1299"/>
      <c r="Q43" s="1279"/>
      <c r="R43" s="1279"/>
    </row>
    <row r="44" spans="1:18">
      <c r="C44" s="1667"/>
      <c r="D44" s="2778"/>
      <c r="E44" s="1672"/>
      <c r="F44" s="1438">
        <f>SUM(D44:E44)</f>
        <v>0</v>
      </c>
      <c r="H44" s="435"/>
      <c r="I44" s="439"/>
      <c r="J44" s="1300"/>
      <c r="K44" s="1300"/>
      <c r="L44" s="1281"/>
      <c r="M44" s="1280"/>
      <c r="N44" s="1300"/>
      <c r="O44" s="1300"/>
      <c r="P44" s="1299"/>
      <c r="Q44" s="1279"/>
      <c r="R44" s="1279"/>
    </row>
    <row r="45" spans="1:18">
      <c r="C45" s="1667"/>
      <c r="D45" s="2778"/>
      <c r="E45" s="1672"/>
      <c r="F45" s="1438">
        <v>0</v>
      </c>
      <c r="H45" s="435"/>
      <c r="I45" s="439"/>
      <c r="J45" s="1300"/>
      <c r="K45" s="1300"/>
      <c r="L45" s="1281"/>
      <c r="M45" s="1280"/>
      <c r="N45" s="1300"/>
      <c r="O45" s="1300"/>
      <c r="P45" s="1299"/>
      <c r="Q45" s="1279"/>
      <c r="R45" s="1279"/>
    </row>
    <row r="46" spans="1:18">
      <c r="C46" s="1667"/>
      <c r="D46" s="2778"/>
      <c r="E46" s="1672"/>
      <c r="F46" s="1438">
        <v>0</v>
      </c>
      <c r="H46" s="435"/>
      <c r="I46" s="439"/>
      <c r="J46" s="1300"/>
      <c r="K46" s="1300"/>
      <c r="L46" s="1281"/>
      <c r="M46" s="1280"/>
      <c r="N46" s="1300"/>
      <c r="O46" s="1300"/>
      <c r="P46" s="1299"/>
      <c r="Q46" s="1279"/>
      <c r="R46" s="1279"/>
    </row>
    <row r="47" spans="1:18">
      <c r="C47" s="1423"/>
      <c r="D47" s="2778"/>
      <c r="E47" s="1520"/>
      <c r="F47" s="1438">
        <v>0</v>
      </c>
      <c r="H47" s="435"/>
      <c r="I47" s="439"/>
      <c r="J47" s="1300"/>
      <c r="K47" s="1300"/>
      <c r="L47" s="1281"/>
      <c r="M47" s="1280"/>
      <c r="N47" s="1300"/>
      <c r="O47" s="1300"/>
      <c r="P47" s="1299"/>
      <c r="Q47" s="1279"/>
      <c r="R47" s="1279"/>
    </row>
    <row r="48" spans="1:18">
      <c r="C48" s="1488"/>
      <c r="D48" s="2779"/>
      <c r="E48" s="1490"/>
      <c r="F48" s="1493"/>
      <c r="H48" s="435"/>
      <c r="I48" s="439"/>
      <c r="J48" s="1300"/>
      <c r="K48" s="1300"/>
      <c r="L48" s="1281"/>
      <c r="M48" s="1280"/>
      <c r="N48" s="1300"/>
      <c r="O48" s="1300"/>
      <c r="P48" s="1299"/>
      <c r="Q48" s="1279"/>
      <c r="R48" s="1279"/>
    </row>
    <row r="49" spans="3:19">
      <c r="C49" s="1451" t="s">
        <v>47</v>
      </c>
      <c r="D49" s="2771">
        <f>SUM(D50:D53)</f>
        <v>8800</v>
      </c>
      <c r="E49" s="1464">
        <f>SUM(E50:E53)</f>
        <v>8800</v>
      </c>
      <c r="F49" s="1462">
        <f>SUM(D49:E49)</f>
        <v>17600</v>
      </c>
      <c r="H49" s="435"/>
      <c r="I49" s="435"/>
      <c r="J49" s="1300"/>
      <c r="K49" s="1300"/>
      <c r="L49" s="1300"/>
      <c r="M49" s="1280"/>
      <c r="N49" s="1300"/>
      <c r="O49" s="1300"/>
      <c r="P49" s="1299"/>
      <c r="Q49" s="1279"/>
      <c r="R49" s="1279"/>
      <c r="S49" s="435"/>
    </row>
    <row r="50" spans="3:19">
      <c r="C50" s="1667" t="s">
        <v>810</v>
      </c>
      <c r="D50" s="2788">
        <v>8800</v>
      </c>
      <c r="E50" s="1672">
        <v>8800</v>
      </c>
      <c r="F50" s="1438">
        <f>SUM(D50:E50)</f>
        <v>17600</v>
      </c>
      <c r="H50" s="435"/>
      <c r="I50" s="435"/>
      <c r="J50" s="1300"/>
      <c r="K50" s="1300"/>
      <c r="L50" s="1300"/>
      <c r="M50" s="1280"/>
      <c r="N50" s="1300"/>
      <c r="O50" s="1300"/>
      <c r="P50" s="1299"/>
      <c r="Q50" s="1279"/>
      <c r="R50" s="1279"/>
      <c r="S50" s="435"/>
    </row>
    <row r="51" spans="3:19">
      <c r="C51" s="1667"/>
      <c r="D51" s="2778"/>
      <c r="E51" s="1672"/>
      <c r="F51" s="1438">
        <f>SUM(D51:E51)</f>
        <v>0</v>
      </c>
      <c r="H51" s="435"/>
      <c r="I51" s="435"/>
      <c r="J51" s="1300"/>
      <c r="K51" s="1300"/>
      <c r="L51" s="1300"/>
      <c r="M51" s="1280"/>
      <c r="N51" s="1300"/>
      <c r="O51" s="1300"/>
      <c r="P51" s="1299"/>
      <c r="Q51" s="1279"/>
      <c r="R51" s="1279"/>
      <c r="S51" s="435"/>
    </row>
    <row r="52" spans="3:19">
      <c r="C52" s="1423"/>
      <c r="D52" s="2778"/>
      <c r="E52" s="1520"/>
      <c r="F52" s="1438">
        <v>0</v>
      </c>
      <c r="H52" s="440"/>
      <c r="I52" s="435"/>
      <c r="J52" s="1300"/>
      <c r="K52" s="1300"/>
      <c r="L52" s="1300"/>
      <c r="M52" s="1280"/>
      <c r="N52" s="1300"/>
      <c r="O52" s="1300"/>
      <c r="P52" s="1299"/>
      <c r="Q52" s="1279"/>
      <c r="R52" s="1279"/>
      <c r="S52" s="435"/>
    </row>
    <row r="53" spans="3:19">
      <c r="C53" s="1423"/>
      <c r="D53" s="2778"/>
      <c r="E53" s="1520"/>
      <c r="F53" s="1438">
        <v>0</v>
      </c>
      <c r="H53" s="435"/>
      <c r="I53" s="435"/>
      <c r="J53" s="1300"/>
      <c r="K53" s="1300"/>
      <c r="L53" s="1300"/>
      <c r="M53" s="1280"/>
      <c r="N53" s="1300"/>
      <c r="O53" s="1300"/>
      <c r="P53" s="1299"/>
      <c r="Q53" s="1279"/>
      <c r="R53" s="1279"/>
      <c r="S53" s="435"/>
    </row>
    <row r="54" spans="3:19">
      <c r="C54" s="1488"/>
      <c r="D54" s="2779"/>
      <c r="E54" s="1490"/>
      <c r="F54" s="1493"/>
      <c r="H54" s="435"/>
      <c r="I54" s="435"/>
      <c r="J54" s="1300"/>
      <c r="K54" s="1300"/>
      <c r="L54" s="1300"/>
      <c r="M54" s="1300"/>
      <c r="N54" s="1300"/>
      <c r="O54" s="1300"/>
      <c r="P54" s="1300"/>
      <c r="Q54" s="1305"/>
      <c r="R54" s="1305"/>
      <c r="S54" s="435"/>
    </row>
    <row r="55" spans="3:19">
      <c r="C55" s="1451" t="s">
        <v>48</v>
      </c>
      <c r="D55" s="2771">
        <f>SUM(D56:D59)</f>
        <v>0</v>
      </c>
      <c r="E55" s="1464">
        <f>SUM(E56:E59)</f>
        <v>0</v>
      </c>
      <c r="F55" s="1462">
        <f>SUM(D55:E55)</f>
        <v>0</v>
      </c>
      <c r="H55" s="435"/>
      <c r="I55" s="435"/>
      <c r="J55" s="435"/>
      <c r="K55" s="435"/>
      <c r="L55" s="435"/>
      <c r="M55" s="435"/>
      <c r="N55" s="435"/>
      <c r="O55" s="435"/>
      <c r="P55" s="435"/>
      <c r="Q55" s="435"/>
      <c r="R55" s="435"/>
      <c r="S55" s="435"/>
    </row>
    <row r="56" spans="3:19">
      <c r="C56" s="1667"/>
      <c r="D56" s="2778"/>
      <c r="E56" s="1641"/>
      <c r="F56" s="1438">
        <f>SUM(D56:E56)</f>
        <v>0</v>
      </c>
      <c r="H56" s="435"/>
      <c r="I56" s="435"/>
      <c r="J56" s="435"/>
      <c r="K56" s="435"/>
      <c r="L56" s="435"/>
      <c r="M56" s="435"/>
      <c r="N56" s="435"/>
      <c r="O56" s="435"/>
      <c r="P56" s="435"/>
      <c r="Q56" s="435"/>
      <c r="R56" s="435"/>
      <c r="S56" s="435"/>
    </row>
    <row r="57" spans="3:19">
      <c r="C57" s="1667"/>
      <c r="D57" s="2778"/>
      <c r="E57" s="1641"/>
      <c r="F57" s="1438">
        <f>SUM(D57:E57)</f>
        <v>0</v>
      </c>
      <c r="H57" s="1302"/>
      <c r="I57" s="1301"/>
      <c r="J57" s="435"/>
      <c r="K57" s="435"/>
      <c r="L57" s="435"/>
      <c r="M57" s="435"/>
      <c r="N57" s="435"/>
      <c r="O57" s="435"/>
      <c r="P57" s="435"/>
      <c r="Q57" s="435"/>
      <c r="R57" s="435"/>
      <c r="S57" s="435"/>
    </row>
    <row r="58" spans="3:19">
      <c r="C58" s="1667"/>
      <c r="D58" s="2778"/>
      <c r="E58" s="1641"/>
      <c r="F58" s="1661">
        <f>SUM(D58:E58)</f>
        <v>0</v>
      </c>
      <c r="G58" s="435"/>
      <c r="H58" s="435"/>
      <c r="I58" s="435"/>
      <c r="J58" s="435"/>
      <c r="K58" s="435"/>
      <c r="L58" s="435"/>
      <c r="M58" s="435"/>
      <c r="N58" s="435"/>
      <c r="O58" s="435"/>
      <c r="P58" s="435"/>
      <c r="Q58" s="435"/>
      <c r="R58" s="435"/>
      <c r="S58" s="435"/>
    </row>
    <row r="59" spans="3:19">
      <c r="C59" s="1423"/>
      <c r="D59" s="2778"/>
      <c r="E59" s="1504"/>
      <c r="F59" s="1438">
        <v>0</v>
      </c>
    </row>
    <row r="60" spans="3:19">
      <c r="C60" s="1488"/>
      <c r="D60" s="2779"/>
      <c r="E60" s="1490"/>
      <c r="F60" s="1493"/>
    </row>
    <row r="61" spans="3:19">
      <c r="C61" s="1451" t="s">
        <v>49</v>
      </c>
      <c r="D61" s="2771">
        <f>SUM(D62:D65)</f>
        <v>0</v>
      </c>
      <c r="E61" s="1464">
        <f>SUM(E62:E65)</f>
        <v>0</v>
      </c>
      <c r="F61" s="1462">
        <f>SUM(D61:E61)</f>
        <v>0</v>
      </c>
    </row>
    <row r="62" spans="3:19">
      <c r="C62" s="1423"/>
      <c r="D62" s="2778"/>
      <c r="E62" s="1520"/>
      <c r="F62" s="1438">
        <f>SUM(D62:E62)</f>
        <v>0</v>
      </c>
    </row>
    <row r="63" spans="3:19">
      <c r="C63" s="1423"/>
      <c r="D63" s="2778"/>
      <c r="E63" s="1520"/>
      <c r="F63" s="1438">
        <v>0</v>
      </c>
    </row>
    <row r="64" spans="3:19">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I7" sqref="I7"/>
      <pageMargins left="0.2" right="0.18" top="0.38" bottom="0.36" header="0.3" footer="0.3"/>
      <pageSetup paperSize="17" scale="74" orientation="landscape" r:id="rId1"/>
    </customSheetView>
    <customSheetView guid="{074EB09C-6289-46D7-9513-012B68BCA7BF}" showGridLines="0" fitToPage="1">
      <pane xSplit="1" ySplit="1" topLeftCell="B20" activePane="bottomRight" state="frozen"/>
      <selection pane="bottomRight" activeCell="E33" sqref="E33"/>
      <pageMargins left="0.2" right="0.18" top="0.38" bottom="0.36" header="0.3" footer="0.3"/>
      <pageSetup paperSize="17" scale="74" orientation="landscape" r:id="rId2"/>
    </customSheetView>
  </customSheetViews>
  <mergeCells count="6">
    <mergeCell ref="J10:M10"/>
    <mergeCell ref="N10:P10"/>
    <mergeCell ref="Q10:R10"/>
    <mergeCell ref="J11:L11"/>
    <mergeCell ref="J9:M9"/>
    <mergeCell ref="N9:O9"/>
  </mergeCells>
  <pageMargins left="0.2" right="0.18" top="0.38" bottom="0.36" header="0.3" footer="0.3"/>
  <pageSetup paperSize="3" scale="75" orientation="landscape" r:id="rId3"/>
  <drawing r:id="rId4"/>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7" tint="-0.249977111117893"/>
  </sheetPr>
  <dimension ref="A1:I26"/>
  <sheetViews>
    <sheetView showGridLines="0" workbookViewId="0">
      <selection activeCell="A2" sqref="A2"/>
    </sheetView>
  </sheetViews>
  <sheetFormatPr defaultRowHeight="12.75"/>
  <sheetData>
    <row r="1" spans="1:3">
      <c r="A1" t="s">
        <v>2642</v>
      </c>
    </row>
    <row r="3" spans="1:3">
      <c r="B3" s="1652" t="s">
        <v>343</v>
      </c>
      <c r="C3" s="1652"/>
    </row>
    <row r="4" spans="1:3">
      <c r="B4" s="1652" t="s">
        <v>337</v>
      </c>
      <c r="C4" s="1652" t="s">
        <v>338</v>
      </c>
    </row>
    <row r="5" spans="1:3">
      <c r="B5" s="1652" t="s">
        <v>339</v>
      </c>
      <c r="C5" s="1652" t="s">
        <v>340</v>
      </c>
    </row>
    <row r="6" spans="1:3">
      <c r="B6" s="1652" t="s">
        <v>341</v>
      </c>
      <c r="C6" s="1652" t="s">
        <v>342</v>
      </c>
    </row>
    <row r="26" spans="9:9" ht="15.75">
      <c r="I26" s="1353"/>
    </row>
  </sheetData>
  <customSheetViews>
    <customSheetView guid="{D9EFFE19-D14B-4C6F-BDF4-FF696F73968D}" showGridLines="0">
      <selection activeCell="D29" sqref="D29"/>
      <pageMargins left="0.7" right="0.7" top="0.75" bottom="0.75" header="0.3" footer="0.3"/>
      <pageSetup orientation="portrait" r:id="rId1"/>
    </customSheetView>
    <customSheetView guid="{074EB09C-6289-46D7-9513-012B68BCA7BF}" showGridLines="0">
      <selection activeCell="I16" sqref="I16"/>
      <pageMargins left="0.7" right="0.7" top="0.75" bottom="0.75" header="0.3" footer="0.3"/>
      <pageSetup orientation="portrait" r:id="rId2"/>
    </customSheetView>
  </customSheetViews>
  <pageMargins left="0.7" right="0.7" top="0.75" bottom="0.75" header="0.3" footer="0.3"/>
  <pageSetup paperSize="3" orientation="landscape" r:id="rId3"/>
  <drawing r:id="rId4"/>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7" tint="0.39997558519241921"/>
    <pageSetUpPr fitToPage="1"/>
  </sheetPr>
  <dimension ref="A1:R73"/>
  <sheetViews>
    <sheetView showGridLines="0" workbookViewId="0">
      <pane xSplit="1" ySplit="1" topLeftCell="B35" activePane="bottomRight" state="frozen"/>
      <selection pane="topRight" activeCell="B1" sqref="B1"/>
      <selection pane="bottomLeft" activeCell="A2" sqref="A2"/>
      <selection pane="bottomRight"/>
    </sheetView>
  </sheetViews>
  <sheetFormatPr defaultRowHeight="12.75"/>
  <cols>
    <col min="1" max="1" width="18.140625" customWidth="1"/>
    <col min="2" max="2" width="16" style="1413" customWidth="1"/>
    <col min="3" max="3" width="34.28515625" customWidth="1"/>
    <col min="4" max="4" width="18.85546875" style="1" customWidth="1"/>
    <col min="5" max="5" width="18.85546875" style="2" customWidth="1"/>
    <col min="6" max="10" width="18.85546875" customWidth="1"/>
    <col min="11" max="11" width="17.5703125" customWidth="1"/>
    <col min="12" max="12" width="20.28515625" customWidth="1"/>
    <col min="13" max="13" width="24.42578125" customWidth="1"/>
    <col min="14" max="14" width="19.42578125" customWidth="1"/>
    <col min="15" max="15" width="14.7109375" customWidth="1"/>
    <col min="16" max="16" width="22.5703125" bestFit="1" customWidth="1"/>
    <col min="17" max="17" width="16.5703125" customWidth="1"/>
    <col min="18" max="18" width="10.85546875" bestFit="1" customWidth="1"/>
  </cols>
  <sheetData>
    <row r="1" spans="1:18" ht="60" customHeight="1">
      <c r="D1" s="1380" t="s">
        <v>1635</v>
      </c>
      <c r="E1" s="1509" t="s">
        <v>22</v>
      </c>
      <c r="F1" s="1427">
        <v>18230408</v>
      </c>
      <c r="G1" s="1509" t="s">
        <v>4</v>
      </c>
      <c r="M1" s="1380" t="s">
        <v>1635</v>
      </c>
      <c r="N1" s="1509" t="s">
        <v>22</v>
      </c>
      <c r="O1" s="1427">
        <v>18230408</v>
      </c>
      <c r="P1" s="1509" t="s">
        <v>4</v>
      </c>
    </row>
    <row r="2" spans="1:18" ht="19.5" customHeight="1" thickBot="1">
      <c r="D2" s="38"/>
      <c r="E2" s="1349"/>
      <c r="F2" s="1349"/>
      <c r="G2" s="1354"/>
      <c r="H2" s="1178" t="s">
        <v>627</v>
      </c>
      <c r="I2" s="1354"/>
      <c r="J2" s="1354"/>
      <c r="K2" s="1354"/>
      <c r="L2" s="1354"/>
      <c r="M2" s="1354"/>
      <c r="N2" s="1354"/>
      <c r="O2" s="1354"/>
      <c r="P2" s="1354"/>
      <c r="Q2" s="1354"/>
    </row>
    <row r="3" spans="1:18" ht="26.25" thickBot="1">
      <c r="A3" s="1380" t="s">
        <v>1635</v>
      </c>
      <c r="B3" s="1392"/>
      <c r="D3" s="1283"/>
      <c r="E3" s="1283"/>
      <c r="F3" s="1283"/>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22</v>
      </c>
      <c r="B4" s="1357"/>
      <c r="C4" s="1308"/>
      <c r="D4" s="1308"/>
      <c r="E4" s="1310"/>
      <c r="F4" s="1310"/>
      <c r="G4" s="2946" t="s">
        <v>1726</v>
      </c>
      <c r="H4" s="2959">
        <f>D15</f>
        <v>0</v>
      </c>
      <c r="I4" s="2960">
        <f>D21</f>
        <v>0</v>
      </c>
      <c r="J4" s="2960">
        <f>D27</f>
        <v>0</v>
      </c>
      <c r="K4" s="2960">
        <f>D37</f>
        <v>0</v>
      </c>
      <c r="L4" s="2960">
        <f>D43</f>
        <v>0</v>
      </c>
      <c r="M4" s="2960">
        <f>D49</f>
        <v>588990</v>
      </c>
      <c r="N4" s="2960">
        <f>D56</f>
        <v>0</v>
      </c>
      <c r="O4" s="2960">
        <f>D62</f>
        <v>0</v>
      </c>
      <c r="P4" s="2960">
        <v>0</v>
      </c>
      <c r="Q4" s="2960"/>
      <c r="R4" s="2960">
        <f>SUM(H4:P4)</f>
        <v>588990</v>
      </c>
    </row>
    <row r="5" spans="1:18" ht="16.5" customHeight="1">
      <c r="A5" s="1427">
        <v>18230408</v>
      </c>
      <c r="C5" s="1308"/>
      <c r="D5" s="1283"/>
      <c r="E5" s="1283"/>
      <c r="F5" s="1283"/>
      <c r="G5" s="3205" t="s">
        <v>1753</v>
      </c>
      <c r="H5" s="2617">
        <v>0</v>
      </c>
      <c r="I5" s="2618">
        <v>0</v>
      </c>
      <c r="J5" s="2618">
        <v>0</v>
      </c>
      <c r="K5" s="2618">
        <v>0</v>
      </c>
      <c r="L5" s="2618">
        <v>0</v>
      </c>
      <c r="M5" s="2618">
        <v>588990</v>
      </c>
      <c r="N5" s="2618">
        <v>0</v>
      </c>
      <c r="O5" s="2618">
        <v>0</v>
      </c>
      <c r="P5" s="2618">
        <v>0</v>
      </c>
      <c r="Q5" s="2618"/>
      <c r="R5" s="2618">
        <v>588990</v>
      </c>
    </row>
    <row r="6" spans="1:18" ht="16.5" thickBot="1">
      <c r="A6" s="1508" t="s">
        <v>4</v>
      </c>
      <c r="B6" s="1427"/>
      <c r="C6" s="1266"/>
      <c r="D6" s="1308"/>
      <c r="E6" s="1310"/>
      <c r="F6" s="1310"/>
      <c r="G6" s="3206" t="s">
        <v>1754</v>
      </c>
      <c r="H6" s="2621">
        <f>E15</f>
        <v>0</v>
      </c>
      <c r="I6" s="2622">
        <f>E21</f>
        <v>0</v>
      </c>
      <c r="J6" s="2623">
        <f>E27</f>
        <v>0</v>
      </c>
      <c r="K6" s="2622">
        <f>E37</f>
        <v>0</v>
      </c>
      <c r="L6" s="2622">
        <f>E43</f>
        <v>0</v>
      </c>
      <c r="M6" s="2622">
        <f>E49</f>
        <v>588990</v>
      </c>
      <c r="N6" s="2622">
        <f>E56</f>
        <v>0</v>
      </c>
      <c r="O6" s="2622">
        <f>E62</f>
        <v>0</v>
      </c>
      <c r="P6" s="2622">
        <v>0</v>
      </c>
      <c r="Q6" s="2622"/>
      <c r="R6" s="2622">
        <f>SUM(H6:P6)</f>
        <v>588990</v>
      </c>
    </row>
    <row r="7" spans="1:18" s="18" customFormat="1" ht="15.75">
      <c r="B7" s="1368"/>
      <c r="C7" s="1309"/>
      <c r="D7" s="1309"/>
      <c r="E7" s="1309"/>
      <c r="F7" s="1309"/>
      <c r="G7" s="2688"/>
      <c r="H7" s="2607"/>
      <c r="I7" s="2607"/>
      <c r="J7" s="2607"/>
      <c r="K7" s="2607"/>
      <c r="L7" s="2607"/>
      <c r="M7" s="2607"/>
      <c r="N7" s="2607"/>
      <c r="O7" s="2607"/>
      <c r="P7" s="2607"/>
      <c r="Q7" s="2607"/>
      <c r="R7" s="2607"/>
    </row>
    <row r="8" spans="1:18" s="18" customFormat="1">
      <c r="B8" s="1357"/>
      <c r="C8" s="1309"/>
      <c r="D8" s="1309"/>
      <c r="E8" s="1283"/>
      <c r="F8" s="1267"/>
      <c r="G8"/>
      <c r="H8"/>
      <c r="I8"/>
      <c r="J8"/>
      <c r="K8"/>
      <c r="L8"/>
      <c r="M8"/>
      <c r="O8"/>
      <c r="P8" s="21" t="s">
        <v>17</v>
      </c>
    </row>
    <row r="9" spans="1:18" s="18" customFormat="1">
      <c r="A9" s="1368"/>
      <c r="B9" s="1368"/>
      <c r="C9" s="1309"/>
      <c r="D9" s="1309"/>
      <c r="E9" s="1283"/>
      <c r="F9" s="1267"/>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371"/>
      <c r="C12" s="1434" t="s">
        <v>298</v>
      </c>
      <c r="D12" s="2766">
        <f>D15+D21+D27+D37+D43+D49+D56+D62</f>
        <v>588990</v>
      </c>
      <c r="E12" s="1484">
        <f>E15+E21+E27+E37+E43+E49+E56+E62</f>
        <v>588990</v>
      </c>
      <c r="F12" s="1462">
        <f>D12+E12</f>
        <v>1177980</v>
      </c>
    </row>
    <row r="13" spans="1:18" ht="15" customHeight="1">
      <c r="A13" s="21"/>
      <c r="B13" s="1412"/>
      <c r="C13" s="1483"/>
      <c r="D13" s="2767"/>
      <c r="E13" s="1336"/>
      <c r="F13" s="1413"/>
      <c r="G13" s="939"/>
      <c r="H13" s="939"/>
    </row>
    <row r="14" spans="1:18" s="18" customFormat="1" ht="15" customHeight="1">
      <c r="A14" s="28"/>
      <c r="B14" s="1410"/>
      <c r="C14" s="1435" t="s">
        <v>42</v>
      </c>
      <c r="D14" s="2768">
        <v>2016</v>
      </c>
      <c r="E14" s="1502">
        <v>2017</v>
      </c>
      <c r="F14" s="1486" t="s">
        <v>20</v>
      </c>
      <c r="G14" s="29"/>
      <c r="H14" s="29"/>
    </row>
    <row r="15" spans="1:18" s="18" customFormat="1" ht="15" customHeight="1">
      <c r="A15" s="28"/>
      <c r="B15" s="1433" t="s">
        <v>296</v>
      </c>
      <c r="C15" s="1451" t="s">
        <v>43</v>
      </c>
      <c r="D15" s="2771">
        <f>SUM(D16:D19)</f>
        <v>0</v>
      </c>
      <c r="E15" s="1464">
        <f>SUM(E16:E19)</f>
        <v>0</v>
      </c>
      <c r="F15" s="1462">
        <f t="shared" ref="F15:F21" si="0">SUM(D15:E15)</f>
        <v>0</v>
      </c>
      <c r="G15" s="29"/>
      <c r="H15" s="29"/>
    </row>
    <row r="16" spans="1:18" ht="15" customHeight="1">
      <c r="A16" s="21"/>
      <c r="B16" s="1432"/>
      <c r="C16" s="1635"/>
      <c r="D16" s="2772"/>
      <c r="E16" s="1448"/>
      <c r="F16" s="1426">
        <f t="shared" si="0"/>
        <v>0</v>
      </c>
    </row>
    <row r="17" spans="1:15" ht="15" customHeight="1">
      <c r="A17" s="21"/>
      <c r="B17" s="1432"/>
      <c r="C17" s="1635"/>
      <c r="D17" s="2784"/>
      <c r="E17" s="1447"/>
      <c r="F17" s="1438">
        <f t="shared" si="0"/>
        <v>0</v>
      </c>
    </row>
    <row r="18" spans="1:15" ht="15" customHeight="1">
      <c r="A18" s="21"/>
      <c r="B18" s="1432"/>
      <c r="C18" s="1635"/>
      <c r="D18" s="2784"/>
      <c r="E18" s="1447"/>
      <c r="F18" s="1438">
        <f t="shared" si="0"/>
        <v>0</v>
      </c>
    </row>
    <row r="19" spans="1:15" ht="15" customHeight="1">
      <c r="A19" s="21"/>
      <c r="B19" s="1432"/>
      <c r="C19" s="1635"/>
      <c r="D19" s="2786"/>
      <c r="E19" s="1446"/>
      <c r="F19" s="1438">
        <f t="shared" si="0"/>
        <v>0</v>
      </c>
    </row>
    <row r="20" spans="1:15" ht="15" customHeight="1">
      <c r="A20" s="21"/>
      <c r="B20" s="1449">
        <f>SUM(B16:B19)</f>
        <v>0</v>
      </c>
      <c r="C20" s="1488"/>
      <c r="D20" s="2770"/>
      <c r="E20" s="1490"/>
      <c r="F20" s="1492"/>
    </row>
    <row r="21" spans="1:15" ht="15" customHeight="1">
      <c r="A21" s="21"/>
      <c r="B21" s="1412"/>
      <c r="C21" s="1451" t="s">
        <v>44</v>
      </c>
      <c r="D21" s="2771">
        <v>0</v>
      </c>
      <c r="E21" s="1464">
        <v>0</v>
      </c>
      <c r="F21" s="1462">
        <f t="shared" si="0"/>
        <v>0</v>
      </c>
      <c r="G21" s="33" t="s">
        <v>6</v>
      </c>
      <c r="N21" s="23"/>
      <c r="O21" s="24"/>
    </row>
    <row r="22" spans="1:15" ht="15" customHeight="1">
      <c r="A22" s="21"/>
      <c r="B22" s="1412"/>
      <c r="C22" s="1423"/>
      <c r="D22" s="2772"/>
      <c r="E22" s="1448"/>
      <c r="F22" s="1426">
        <v>0</v>
      </c>
      <c r="G22" s="34"/>
      <c r="N22" s="23"/>
      <c r="O22" s="24"/>
    </row>
    <row r="23" spans="1:15" ht="15" customHeight="1">
      <c r="A23" s="21"/>
      <c r="B23" s="1412"/>
      <c r="C23" s="1423"/>
      <c r="D23" s="2773"/>
      <c r="E23" s="1444"/>
      <c r="F23" s="1438">
        <v>0</v>
      </c>
    </row>
    <row r="24" spans="1:15" ht="15" customHeight="1">
      <c r="A24" s="21"/>
      <c r="B24" s="1412"/>
      <c r="C24" s="1423"/>
      <c r="D24" s="2774"/>
      <c r="E24" s="1443"/>
      <c r="F24" s="1438">
        <v>0</v>
      </c>
    </row>
    <row r="25" spans="1:15" s="18" customFormat="1" ht="15" customHeight="1">
      <c r="A25" s="28"/>
      <c r="B25" s="1410"/>
      <c r="C25" s="1423"/>
      <c r="D25" s="2775"/>
      <c r="E25" s="1444"/>
      <c r="F25" s="1438">
        <v>0</v>
      </c>
    </row>
    <row r="26" spans="1:15" ht="15" customHeight="1">
      <c r="A26" s="21"/>
      <c r="B26" s="1412"/>
      <c r="C26" s="1424"/>
      <c r="D26" s="2776"/>
      <c r="E26" s="1431"/>
      <c r="F26" s="1439"/>
    </row>
    <row r="27" spans="1:15" s="18" customFormat="1" ht="15" customHeight="1">
      <c r="A27" s="28"/>
      <c r="B27" s="1410"/>
      <c r="C27" s="1451" t="s">
        <v>45</v>
      </c>
      <c r="D27" s="2780">
        <f>SUM(D29:D35)</f>
        <v>0</v>
      </c>
      <c r="E27" s="1613">
        <f>SUM(E29:E31)+SUM(E33:E35)</f>
        <v>0</v>
      </c>
      <c r="F27" s="1462">
        <f>SUM(F28:F31)</f>
        <v>0</v>
      </c>
    </row>
    <row r="28" spans="1:15" ht="15" customHeight="1">
      <c r="A28" s="21"/>
      <c r="B28" s="1412"/>
      <c r="C28" s="1450" t="s">
        <v>1733</v>
      </c>
      <c r="D28" s="2777">
        <v>0.66700000000000004</v>
      </c>
      <c r="E28" s="1452">
        <v>0.68799999999999994</v>
      </c>
      <c r="F28" s="1485"/>
    </row>
    <row r="29" spans="1:15" ht="15" customHeight="1">
      <c r="A29" s="21"/>
      <c r="B29" s="1412"/>
      <c r="C29" s="1667" t="s">
        <v>719</v>
      </c>
      <c r="D29" s="2778">
        <f>D15*D28</f>
        <v>0</v>
      </c>
      <c r="E29" s="1504">
        <f>E15*E28</f>
        <v>0</v>
      </c>
      <c r="F29" s="1438">
        <v>0</v>
      </c>
    </row>
    <row r="30" spans="1:15" ht="15" customHeight="1">
      <c r="A30" s="21"/>
      <c r="B30" s="1412"/>
      <c r="C30" s="1667" t="s">
        <v>720</v>
      </c>
      <c r="D30" s="2785">
        <f>D21*D28</f>
        <v>0</v>
      </c>
      <c r="E30" s="1504">
        <f>E21*E28</f>
        <v>0</v>
      </c>
      <c r="F30" s="1438"/>
    </row>
    <row r="31" spans="1:15" ht="15" customHeight="1">
      <c r="A31" s="21"/>
      <c r="B31" s="1412"/>
      <c r="C31" s="1667"/>
      <c r="D31" s="2774"/>
      <c r="E31" s="1443"/>
      <c r="F31" s="1436"/>
    </row>
    <row r="32" spans="1:15" ht="15" customHeight="1">
      <c r="A32" s="21"/>
      <c r="B32" s="1412"/>
      <c r="C32" s="1450" t="s">
        <v>1734</v>
      </c>
      <c r="D32" s="2777"/>
      <c r="E32" s="1452">
        <v>0</v>
      </c>
      <c r="F32" s="1485"/>
    </row>
    <row r="33" spans="1:7" s="1409" customFormat="1" ht="15" customHeight="1">
      <c r="A33" s="1410"/>
      <c r="B33" s="1410"/>
      <c r="C33" s="1667" t="s">
        <v>719</v>
      </c>
      <c r="D33" s="2778"/>
      <c r="E33" s="1641">
        <f>E15*E32</f>
        <v>0</v>
      </c>
      <c r="F33" s="1661">
        <f>SUM(D33:E33)</f>
        <v>0</v>
      </c>
    </row>
    <row r="34" spans="1:7" ht="24" customHeight="1">
      <c r="A34" s="1380" t="s">
        <v>1635</v>
      </c>
      <c r="B34" s="1412"/>
      <c r="C34" s="1667" t="s">
        <v>720</v>
      </c>
      <c r="D34" s="2785"/>
      <c r="E34" s="1641">
        <f>E21*E32</f>
        <v>0</v>
      </c>
      <c r="F34" s="1661">
        <f t="shared" ref="F34" si="1">SUM(D34:E34)</f>
        <v>0</v>
      </c>
    </row>
    <row r="35" spans="1:7" ht="15" customHeight="1">
      <c r="A35" s="1508" t="s">
        <v>22</v>
      </c>
      <c r="B35" s="1350"/>
      <c r="C35" s="1445"/>
      <c r="D35" s="2775"/>
      <c r="E35" s="1444"/>
      <c r="F35" s="1437"/>
      <c r="G35" s="37"/>
    </row>
    <row r="36" spans="1:7" ht="15" customHeight="1">
      <c r="A36" s="1427">
        <v>18230408</v>
      </c>
      <c r="B36" s="1412"/>
      <c r="C36" s="1488"/>
      <c r="D36" s="2779"/>
      <c r="E36" s="1490"/>
      <c r="F36" s="1493"/>
    </row>
    <row r="37" spans="1:7" s="18" customFormat="1" ht="15" customHeight="1">
      <c r="A37" s="1508" t="s">
        <v>4</v>
      </c>
      <c r="B37" s="1410"/>
      <c r="C37" s="1451" t="s">
        <v>46</v>
      </c>
      <c r="D37" s="2771">
        <v>0</v>
      </c>
      <c r="E37" s="1464">
        <v>0</v>
      </c>
      <c r="F37" s="1462">
        <f>SUM(D37:E37)</f>
        <v>0</v>
      </c>
    </row>
    <row r="38" spans="1:7" ht="15" customHeight="1">
      <c r="A38" s="21"/>
      <c r="B38" s="1412"/>
      <c r="C38" s="1423"/>
      <c r="D38" s="2778"/>
      <c r="E38" s="1520"/>
      <c r="F38" s="1438">
        <v>0</v>
      </c>
    </row>
    <row r="39" spans="1:7" s="1409" customFormat="1" ht="15" customHeight="1">
      <c r="A39" s="1410"/>
      <c r="B39" s="1410"/>
      <c r="C39" s="1423"/>
      <c r="D39" s="2778"/>
      <c r="E39" s="1520"/>
      <c r="F39" s="1438">
        <v>0</v>
      </c>
    </row>
    <row r="40" spans="1:7" ht="15" customHeight="1">
      <c r="A40" s="21"/>
      <c r="B40" s="1412"/>
      <c r="C40" s="1423"/>
      <c r="D40" s="2778"/>
      <c r="E40" s="1520"/>
      <c r="F40" s="1438">
        <v>0</v>
      </c>
    </row>
    <row r="41" spans="1:7" ht="15" customHeight="1">
      <c r="A41" s="21"/>
      <c r="B41" s="1412"/>
      <c r="C41" s="1423"/>
      <c r="D41" s="2778"/>
      <c r="E41" s="1520"/>
      <c r="F41" s="1438">
        <v>0</v>
      </c>
    </row>
    <row r="42" spans="1:7" ht="15" customHeight="1">
      <c r="A42" s="21"/>
      <c r="B42" s="1412"/>
      <c r="C42" s="1488"/>
      <c r="D42" s="2779"/>
      <c r="E42" s="1490"/>
      <c r="F42" s="1493"/>
    </row>
    <row r="43" spans="1:7" s="1409" customFormat="1" ht="15" customHeight="1">
      <c r="A43" s="1410"/>
      <c r="B43" s="1410"/>
      <c r="C43" s="1597" t="s">
        <v>483</v>
      </c>
      <c r="D43" s="2771">
        <f>SUM(D44:D47)</f>
        <v>0</v>
      </c>
      <c r="E43" s="1464">
        <f>SUM(E44:E47)</f>
        <v>0</v>
      </c>
      <c r="F43" s="1462">
        <f>SUM(D43:E43)</f>
        <v>0</v>
      </c>
    </row>
    <row r="44" spans="1:7" s="1409" customFormat="1" ht="15" customHeight="1">
      <c r="A44" s="1410"/>
      <c r="B44" s="1410"/>
      <c r="C44" s="1635"/>
      <c r="D44" s="2778"/>
      <c r="E44" s="1520"/>
      <c r="F44" s="1438">
        <f>SUM(D44:E44)</f>
        <v>0</v>
      </c>
    </row>
    <row r="45" spans="1:7" s="1409" customFormat="1" ht="15" customHeight="1">
      <c r="A45" s="1410"/>
      <c r="B45" s="1410"/>
      <c r="C45" s="1423"/>
      <c r="D45" s="2778"/>
      <c r="E45" s="1520"/>
      <c r="F45" s="1438">
        <v>0</v>
      </c>
    </row>
    <row r="46" spans="1:7" s="1409" customFormat="1" ht="15" customHeight="1">
      <c r="A46" s="1410"/>
      <c r="B46" s="1410"/>
      <c r="C46" s="1423"/>
      <c r="D46" s="2778"/>
      <c r="E46" s="1520"/>
      <c r="F46" s="1438">
        <v>0</v>
      </c>
      <c r="G46" s="1390"/>
    </row>
    <row r="47" spans="1:7" s="1409" customFormat="1" ht="15" customHeight="1">
      <c r="A47" s="1410"/>
      <c r="B47" s="1410"/>
      <c r="C47" s="1423"/>
      <c r="D47" s="2778"/>
      <c r="E47" s="1520"/>
      <c r="F47" s="1438">
        <v>0</v>
      </c>
      <c r="G47" s="1408"/>
    </row>
    <row r="48" spans="1:7" s="1622" customFormat="1" ht="15" customHeight="1">
      <c r="A48" s="1607"/>
      <c r="B48" s="1607"/>
      <c r="C48" s="1488"/>
      <c r="D48" s="2779"/>
      <c r="E48" s="1490"/>
      <c r="F48" s="1493"/>
      <c r="G48" s="1624"/>
    </row>
    <row r="49" spans="1:7" s="1652" customFormat="1" ht="15" customHeight="1">
      <c r="A49" s="1653"/>
      <c r="B49" s="1653"/>
      <c r="C49" s="1451" t="s">
        <v>47</v>
      </c>
      <c r="D49" s="2780">
        <f>SUM(D50:D54)</f>
        <v>588990</v>
      </c>
      <c r="E49" s="1543">
        <f>SUM(E50:E54)</f>
        <v>588990</v>
      </c>
      <c r="F49" s="1602">
        <f>SUM(D49:E49)</f>
        <v>1177980</v>
      </c>
      <c r="G49" s="1663"/>
    </row>
    <row r="50" spans="1:7" ht="15" customHeight="1">
      <c r="A50" s="21"/>
      <c r="B50" s="1412"/>
      <c r="C50" s="1667" t="s">
        <v>770</v>
      </c>
      <c r="D50" s="2778">
        <v>87000</v>
      </c>
      <c r="E50" s="1672">
        <v>87000</v>
      </c>
      <c r="F50" s="1438">
        <f>D50+E50</f>
        <v>174000</v>
      </c>
    </row>
    <row r="51" spans="1:7" ht="15" customHeight="1">
      <c r="A51" s="21"/>
      <c r="B51" s="1412"/>
      <c r="C51" s="1667" t="s">
        <v>771</v>
      </c>
      <c r="D51" s="2778">
        <v>87000</v>
      </c>
      <c r="E51" s="1672">
        <v>87000</v>
      </c>
      <c r="F51" s="1610">
        <f>D51+E51</f>
        <v>174000</v>
      </c>
    </row>
    <row r="52" spans="1:7" s="1409" customFormat="1" ht="15" customHeight="1">
      <c r="A52" s="1410"/>
      <c r="B52" s="1410"/>
      <c r="C52" s="1667" t="s">
        <v>772</v>
      </c>
      <c r="D52" s="2778">
        <v>388890</v>
      </c>
      <c r="E52" s="1672">
        <v>388890</v>
      </c>
      <c r="F52" s="1661">
        <f>D52+E52</f>
        <v>777780</v>
      </c>
    </row>
    <row r="53" spans="1:7" ht="15" customHeight="1">
      <c r="A53" s="21"/>
      <c r="B53" s="1412"/>
      <c r="C53" s="1667" t="s">
        <v>204</v>
      </c>
      <c r="D53" s="2778">
        <v>17400</v>
      </c>
      <c r="E53" s="1672">
        <v>17400</v>
      </c>
      <c r="F53" s="1610">
        <f>D53+E53</f>
        <v>34800</v>
      </c>
    </row>
    <row r="54" spans="1:7" ht="15" customHeight="1">
      <c r="A54" s="21"/>
      <c r="B54" s="1412"/>
      <c r="C54" s="1667" t="s">
        <v>205</v>
      </c>
      <c r="D54" s="2778">
        <v>8700</v>
      </c>
      <c r="E54" s="1672">
        <v>8700</v>
      </c>
      <c r="F54" s="1610">
        <f>D54+E54</f>
        <v>17400</v>
      </c>
    </row>
    <row r="55" spans="1:7" ht="15" customHeight="1">
      <c r="A55" s="21"/>
      <c r="B55" s="1412"/>
      <c r="C55" s="1488"/>
      <c r="D55" s="2779"/>
      <c r="E55" s="1490"/>
      <c r="F55" s="1493"/>
    </row>
    <row r="56" spans="1:7" ht="15" customHeight="1">
      <c r="A56" s="21"/>
      <c r="B56" s="1412"/>
      <c r="C56" s="1451" t="s">
        <v>48</v>
      </c>
      <c r="D56" s="2771">
        <f>SUM(D57:D60)</f>
        <v>0</v>
      </c>
      <c r="E56" s="1464">
        <f>SUM(E57:E60)</f>
        <v>0</v>
      </c>
      <c r="F56" s="1462">
        <f>SUM(D56:E56)</f>
        <v>0</v>
      </c>
    </row>
    <row r="57" spans="1:7" ht="15" customHeight="1">
      <c r="A57" s="21"/>
      <c r="B57" s="1412"/>
      <c r="C57" s="1635"/>
      <c r="D57" s="2778"/>
      <c r="E57" s="1504"/>
      <c r="F57" s="1438">
        <f>SUM(D57:E57)</f>
        <v>0</v>
      </c>
    </row>
    <row r="58" spans="1:7" s="1409" customFormat="1" ht="15" customHeight="1">
      <c r="A58" s="1410"/>
      <c r="B58" s="1410"/>
      <c r="C58" s="1635"/>
      <c r="D58" s="2778"/>
      <c r="E58" s="1504"/>
      <c r="F58" s="1438">
        <f>SUM(D58:E58)</f>
        <v>0</v>
      </c>
    </row>
    <row r="59" spans="1:7" ht="15" customHeight="1">
      <c r="A59" s="21"/>
      <c r="B59" s="1412"/>
      <c r="C59" s="1423"/>
      <c r="D59" s="2778"/>
      <c r="E59" s="1504"/>
      <c r="F59" s="1438">
        <v>0</v>
      </c>
    </row>
    <row r="60" spans="1:7" ht="15" customHeight="1">
      <c r="A60" s="21"/>
      <c r="B60" s="1412"/>
      <c r="C60" s="1423"/>
      <c r="D60" s="2778"/>
      <c r="E60" s="1504"/>
      <c r="F60" s="1438">
        <v>0</v>
      </c>
    </row>
    <row r="61" spans="1:7" ht="15" customHeight="1">
      <c r="A61" s="21"/>
      <c r="B61" s="1412"/>
      <c r="C61" s="1488"/>
      <c r="D61" s="2779"/>
      <c r="E61" s="1490"/>
      <c r="F61" s="1493"/>
    </row>
    <row r="62" spans="1:7" s="1652" customFormat="1" ht="15" customHeight="1">
      <c r="A62" s="1653"/>
      <c r="B62" s="1653"/>
      <c r="C62" s="1451" t="s">
        <v>49</v>
      </c>
      <c r="D62" s="2780">
        <f>SUM(D63:D68)</f>
        <v>0</v>
      </c>
      <c r="E62" s="1657">
        <f>SUM(E63:E68)</f>
        <v>0</v>
      </c>
      <c r="F62" s="1462">
        <f>SUM(D62:E62)</f>
        <v>0</v>
      </c>
    </row>
    <row r="63" spans="1:7" s="1652" customFormat="1" ht="15" customHeight="1">
      <c r="A63" s="1653"/>
      <c r="B63" s="1653"/>
      <c r="C63" s="1667" t="s">
        <v>203</v>
      </c>
      <c r="D63" s="2778"/>
      <c r="E63" s="1520"/>
      <c r="F63" s="1438">
        <f>D63+E63</f>
        <v>0</v>
      </c>
    </row>
    <row r="64" spans="1:7" ht="15" customHeight="1">
      <c r="A64" s="21"/>
      <c r="B64" s="1412"/>
      <c r="C64" s="1667" t="s">
        <v>206</v>
      </c>
      <c r="D64" s="2778"/>
      <c r="E64" s="1520"/>
      <c r="F64" s="1438">
        <f>D64+E64</f>
        <v>0</v>
      </c>
    </row>
    <row r="65" spans="1:7" ht="15" customHeight="1">
      <c r="A65" s="21"/>
      <c r="B65" s="1412"/>
      <c r="C65" s="1667" t="s">
        <v>697</v>
      </c>
      <c r="D65" s="2778"/>
      <c r="E65" s="1672"/>
      <c r="F65" s="1661">
        <f t="shared" ref="F65:F68" si="2">D65+E65</f>
        <v>0</v>
      </c>
      <c r="G65" t="s">
        <v>690</v>
      </c>
    </row>
    <row r="66" spans="1:7">
      <c r="C66" s="1667" t="s">
        <v>204</v>
      </c>
      <c r="D66" s="2778"/>
      <c r="E66" s="1672"/>
      <c r="F66" s="1661">
        <f t="shared" si="2"/>
        <v>0</v>
      </c>
    </row>
    <row r="67" spans="1:7">
      <c r="C67" s="1667" t="s">
        <v>205</v>
      </c>
      <c r="D67" s="2778"/>
      <c r="E67" s="1520"/>
      <c r="F67" s="1661">
        <f t="shared" si="2"/>
        <v>0</v>
      </c>
    </row>
    <row r="68" spans="1:7">
      <c r="C68" s="1667" t="s">
        <v>688</v>
      </c>
      <c r="D68" s="2778"/>
      <c r="E68" s="1520"/>
      <c r="F68" s="1661">
        <f t="shared" si="2"/>
        <v>0</v>
      </c>
    </row>
    <row r="69" spans="1:7">
      <c r="C69" s="1488"/>
      <c r="D69" s="2779"/>
      <c r="E69" s="1490"/>
      <c r="F69" s="1493"/>
    </row>
    <row r="70" spans="1:7">
      <c r="C70" s="1451"/>
      <c r="D70" s="2771"/>
      <c r="E70" s="1464"/>
      <c r="F70" s="1462"/>
    </row>
    <row r="71" spans="1:7">
      <c r="C71" s="1500"/>
      <c r="D71" s="2781"/>
      <c r="E71" s="1496"/>
      <c r="F71" s="1499"/>
    </row>
    <row r="72" spans="1:7">
      <c r="C72" s="1501"/>
      <c r="D72" s="2782"/>
      <c r="E72" s="1497"/>
      <c r="F72" s="1498"/>
    </row>
    <row r="73" spans="1:7">
      <c r="C73" s="1494"/>
      <c r="D73" s="2778"/>
      <c r="E73" s="1503"/>
      <c r="F73" s="1491"/>
    </row>
  </sheetData>
  <customSheetViews>
    <customSheetView guid="{D9EFFE19-D14B-4C6F-BDF4-FF696F73968D}" showGridLines="0" fitToPage="1">
      <pane xSplit="1" ySplit="1" topLeftCell="B2" activePane="bottomRight" state="frozen"/>
      <selection pane="bottomRight" activeCell="G46" sqref="G46"/>
      <pageMargins left="0.25" right="0.36" top="0.35" bottom="0.39" header="0.3" footer="0.28999999999999998"/>
      <pageSetup paperSize="17" scale="60" orientation="landscape" r:id="rId1"/>
    </customSheetView>
    <customSheetView guid="{074EB09C-6289-46D7-9513-012B68BCA7BF}" showGridLines="0" fitToPage="1">
      <pane xSplit="1" ySplit="1" topLeftCell="B17" activePane="bottomRight" state="frozen"/>
      <selection pane="bottomRight" activeCell="E33" sqref="E33"/>
      <pageMargins left="0.25" right="0.36" top="0.35" bottom="0.39" header="0.3" footer="0.28999999999999998"/>
      <pageSetup paperSize="17" scale="60" orientation="landscape" r:id="rId2"/>
    </customSheetView>
  </customSheetViews>
  <pageMargins left="0.25" right="0.36" top="0.35" bottom="0.39" header="0.3" footer="0.28999999999999998"/>
  <pageSetup paperSize="3" scale="61" orientation="landscape" r:id="rId3"/>
  <drawing r:id="rId4"/>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7" tint="0.39997558519241921"/>
  </sheetPr>
  <dimension ref="A1:R70"/>
  <sheetViews>
    <sheetView showGridLines="0" workbookViewId="0">
      <pane xSplit="1" ySplit="1" topLeftCell="B5" activePane="bottomRight" state="frozen"/>
      <selection pane="topRight" activeCell="B1" sqref="B1"/>
      <selection pane="bottomLeft" activeCell="A2" sqref="A2"/>
      <selection pane="bottomRight" activeCell="B7" sqref="B7"/>
    </sheetView>
  </sheetViews>
  <sheetFormatPr defaultRowHeight="12.75"/>
  <cols>
    <col min="1" max="1" width="18.42578125" customWidth="1"/>
    <col min="2" max="2" width="16" style="1413" customWidth="1"/>
    <col min="3" max="3" width="29.85546875" customWidth="1"/>
    <col min="4" max="4" width="19.28515625" style="1" customWidth="1"/>
    <col min="5" max="5" width="19.28515625" style="2" customWidth="1"/>
    <col min="6" max="10" width="18.85546875" customWidth="1"/>
    <col min="11" max="11" width="17.5703125" customWidth="1"/>
    <col min="12" max="12" width="20.42578125" customWidth="1"/>
    <col min="13" max="13" width="24.42578125" customWidth="1"/>
    <col min="14" max="14" width="19.42578125" customWidth="1"/>
    <col min="15" max="15" width="14.140625" customWidth="1"/>
    <col min="16" max="16" width="22.5703125" bestFit="1" customWidth="1"/>
    <col min="17" max="17" width="20.140625" customWidth="1"/>
    <col min="18" max="18" width="10.85546875" bestFit="1" customWidth="1"/>
  </cols>
  <sheetData>
    <row r="1" spans="1:18" ht="55.5" customHeight="1">
      <c r="D1" s="1361" t="s">
        <v>26</v>
      </c>
      <c r="E1" s="1509" t="s">
        <v>22</v>
      </c>
      <c r="F1" s="1427">
        <v>18230466</v>
      </c>
      <c r="G1" s="1509" t="s">
        <v>4</v>
      </c>
      <c r="M1" s="1361" t="s">
        <v>26</v>
      </c>
      <c r="N1" s="1509" t="s">
        <v>22</v>
      </c>
      <c r="O1" s="1427">
        <v>18230466</v>
      </c>
      <c r="P1" s="1509" t="s">
        <v>4</v>
      </c>
    </row>
    <row r="2" spans="1:18" ht="17.25" customHeight="1" thickBot="1">
      <c r="D2" s="38"/>
      <c r="E2" s="1208"/>
      <c r="F2" s="1208"/>
      <c r="G2" s="891"/>
      <c r="H2" s="1178" t="s">
        <v>627</v>
      </c>
      <c r="I2" s="1354"/>
      <c r="J2" s="1354"/>
      <c r="K2" s="1354"/>
      <c r="L2" s="1354"/>
      <c r="M2" s="1354"/>
      <c r="N2" s="1354"/>
      <c r="O2" s="1354"/>
      <c r="P2" s="1354"/>
      <c r="Q2" s="1354"/>
    </row>
    <row r="3" spans="1:18" ht="26.25" thickBot="1">
      <c r="A3" s="1392" t="s">
        <v>320</v>
      </c>
      <c r="B3" s="1357"/>
      <c r="D3" s="1283"/>
      <c r="E3" s="1283"/>
      <c r="F3" s="1283"/>
      <c r="G3" s="1354"/>
      <c r="H3" s="1181" t="s">
        <v>7</v>
      </c>
      <c r="I3" s="2642" t="s">
        <v>8</v>
      </c>
      <c r="J3" s="2642" t="s">
        <v>9</v>
      </c>
      <c r="K3" s="2642" t="s">
        <v>10</v>
      </c>
      <c r="L3" s="2643" t="s">
        <v>482</v>
      </c>
      <c r="M3" s="2642" t="s">
        <v>11</v>
      </c>
      <c r="N3" s="2642" t="s">
        <v>12</v>
      </c>
      <c r="O3" s="2642" t="s">
        <v>13</v>
      </c>
      <c r="P3" s="2642" t="s">
        <v>14</v>
      </c>
      <c r="Q3" s="2644"/>
      <c r="R3" s="2642" t="s">
        <v>15</v>
      </c>
    </row>
    <row r="4" spans="1:18" ht="16.5" thickBot="1">
      <c r="A4" s="1508" t="s">
        <v>22</v>
      </c>
      <c r="B4" s="1357"/>
      <c r="C4" s="1308"/>
      <c r="D4" s="1308"/>
      <c r="E4" s="1310"/>
      <c r="F4" s="1310"/>
      <c r="G4" s="2946" t="s">
        <v>1726</v>
      </c>
      <c r="H4" s="2959">
        <f>D15</f>
        <v>180400</v>
      </c>
      <c r="I4" s="2960">
        <f>D21</f>
        <v>0</v>
      </c>
      <c r="J4" s="2960">
        <f>D27</f>
        <v>120326.8</v>
      </c>
      <c r="K4" s="2960">
        <f>D37</f>
        <v>0</v>
      </c>
      <c r="L4" s="2960">
        <f>D43</f>
        <v>8700</v>
      </c>
      <c r="M4" s="2960">
        <f>D49</f>
        <v>13920</v>
      </c>
      <c r="N4" s="2960">
        <f>D55</f>
        <v>0</v>
      </c>
      <c r="O4" s="2960">
        <f>D61</f>
        <v>0</v>
      </c>
      <c r="P4" s="2960">
        <v>0</v>
      </c>
      <c r="Q4" s="2962"/>
      <c r="R4" s="2960">
        <f>SUM(H4:P4)</f>
        <v>323346.8</v>
      </c>
    </row>
    <row r="5" spans="1:18" ht="15.75">
      <c r="A5" s="1427">
        <v>18230466</v>
      </c>
      <c r="C5" s="1308"/>
      <c r="D5" s="1283"/>
      <c r="E5" s="1283"/>
      <c r="F5" s="1283"/>
      <c r="G5" s="3205" t="s">
        <v>1753</v>
      </c>
      <c r="H5" s="2617">
        <v>184910</v>
      </c>
      <c r="I5" s="2618">
        <v>0</v>
      </c>
      <c r="J5" s="2618">
        <v>125738.8</v>
      </c>
      <c r="K5" s="2618">
        <v>0</v>
      </c>
      <c r="L5" s="2618">
        <v>8700</v>
      </c>
      <c r="M5" s="2618">
        <v>13920</v>
      </c>
      <c r="N5" s="2618">
        <v>0</v>
      </c>
      <c r="O5" s="2618">
        <v>0</v>
      </c>
      <c r="P5" s="2618">
        <v>0</v>
      </c>
      <c r="Q5" s="2620"/>
      <c r="R5" s="2618">
        <v>333268.8</v>
      </c>
    </row>
    <row r="6" spans="1:18" ht="16.5" thickBot="1">
      <c r="A6" s="1508" t="s">
        <v>4</v>
      </c>
      <c r="B6" s="1427"/>
      <c r="C6" s="1266"/>
      <c r="D6" s="1308"/>
      <c r="E6" s="1310"/>
      <c r="F6" s="1310"/>
      <c r="G6" s="3206" t="s">
        <v>1754</v>
      </c>
      <c r="H6" s="2621">
        <f>E15</f>
        <v>258874</v>
      </c>
      <c r="I6" s="2622">
        <f>E21</f>
        <v>0</v>
      </c>
      <c r="J6" s="2623">
        <f>E27</f>
        <v>178105.31199999998</v>
      </c>
      <c r="K6" s="2622">
        <f>E37</f>
        <v>0</v>
      </c>
      <c r="L6" s="2622">
        <f>E43</f>
        <v>8700</v>
      </c>
      <c r="M6" s="2622">
        <f>E49</f>
        <v>13920</v>
      </c>
      <c r="N6" s="2622">
        <f>E55</f>
        <v>0</v>
      </c>
      <c r="O6" s="2622">
        <f>E61</f>
        <v>0</v>
      </c>
      <c r="P6" s="2622">
        <v>0</v>
      </c>
      <c r="Q6" s="2625"/>
      <c r="R6" s="2622">
        <f>SUM(H6:P6)</f>
        <v>459599.31199999998</v>
      </c>
    </row>
    <row r="7" spans="1:18" s="18" customFormat="1" ht="15.75">
      <c r="B7" s="1368"/>
      <c r="C7" s="1309"/>
      <c r="D7" s="1309"/>
      <c r="E7" s="1309"/>
      <c r="F7" s="1309"/>
      <c r="G7" s="2688"/>
      <c r="H7" s="2607"/>
      <c r="I7" s="2607"/>
      <c r="J7" s="2607"/>
      <c r="K7" s="2607"/>
      <c r="L7" s="2607"/>
      <c r="M7" s="2607"/>
      <c r="N7" s="2607"/>
      <c r="O7" s="2607"/>
      <c r="P7" s="2607"/>
      <c r="Q7" s="2608"/>
      <c r="R7" s="2607"/>
    </row>
    <row r="8" spans="1:18" s="18" customFormat="1">
      <c r="B8" s="1357"/>
      <c r="C8" s="1309"/>
      <c r="D8" s="1309"/>
      <c r="E8" s="1283"/>
      <c r="F8" s="1267"/>
      <c r="G8"/>
      <c r="H8"/>
      <c r="I8"/>
      <c r="J8"/>
      <c r="K8"/>
      <c r="L8"/>
      <c r="M8"/>
      <c r="O8"/>
      <c r="P8" s="21" t="s">
        <v>17</v>
      </c>
    </row>
    <row r="9" spans="1:18" s="18" customFormat="1">
      <c r="A9" s="1368"/>
      <c r="B9" s="1368"/>
      <c r="C9" s="1309"/>
      <c r="D9" s="1309"/>
      <c r="E9" s="1283"/>
      <c r="F9" s="1267"/>
      <c r="G9"/>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B12" s="1412"/>
      <c r="C12" s="1434" t="s">
        <v>298</v>
      </c>
      <c r="D12" s="2766">
        <f>D15+D21+D27+D37+D43+D49+D55+D61</f>
        <v>323346.8</v>
      </c>
      <c r="E12" s="1484">
        <f>E15+E21+E27+E37+E43+E49+E55+E61</f>
        <v>459599.31199999998</v>
      </c>
      <c r="F12" s="1462">
        <f>D12+E12</f>
        <v>782946.11199999996</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SUM(D16:D19)</f>
        <v>180400</v>
      </c>
      <c r="E15" s="1657">
        <f>SUM(E16:E19)</f>
        <v>258874</v>
      </c>
      <c r="F15" s="1462">
        <f t="shared" ref="F15:F21" si="0">SUM(D15:E15)</f>
        <v>439274</v>
      </c>
      <c r="G15" s="29"/>
      <c r="H15" s="29"/>
    </row>
    <row r="16" spans="1:18" ht="13.5" customHeight="1">
      <c r="A16" s="21"/>
      <c r="B16" s="1982">
        <v>1</v>
      </c>
      <c r="C16" s="1667" t="s">
        <v>773</v>
      </c>
      <c r="D16" s="2772">
        <v>82000</v>
      </c>
      <c r="E16" s="1669">
        <v>84050</v>
      </c>
      <c r="F16" s="1426">
        <f t="shared" si="0"/>
        <v>166050</v>
      </c>
    </row>
    <row r="17" spans="1:11" ht="13.5" customHeight="1">
      <c r="A17" s="21">
        <v>18230400</v>
      </c>
      <c r="B17" s="1982">
        <v>1.43</v>
      </c>
      <c r="C17" s="1667" t="s">
        <v>1541</v>
      </c>
      <c r="D17" s="2784">
        <v>98400</v>
      </c>
      <c r="E17" s="1668">
        <v>120191.5</v>
      </c>
      <c r="F17" s="1438">
        <f t="shared" si="0"/>
        <v>218591.5</v>
      </c>
      <c r="G17" t="s">
        <v>1542</v>
      </c>
      <c r="J17" s="1246">
        <f>D17/D15</f>
        <v>0.54545454545454541</v>
      </c>
      <c r="K17" s="1246">
        <f>E17/E15</f>
        <v>0.4642857142857143</v>
      </c>
    </row>
    <row r="18" spans="1:11" ht="13.5" customHeight="1">
      <c r="A18" s="21"/>
      <c r="B18" s="1432">
        <v>0.65</v>
      </c>
      <c r="C18" s="1423" t="s">
        <v>2590</v>
      </c>
      <c r="D18" s="2784"/>
      <c r="E18" s="1447">
        <v>54632.5</v>
      </c>
      <c r="F18" s="1438">
        <f t="shared" si="0"/>
        <v>54632.5</v>
      </c>
    </row>
    <row r="19" spans="1:11" ht="13.5" customHeight="1">
      <c r="A19" s="21"/>
      <c r="B19" s="1432"/>
      <c r="C19" s="1423"/>
      <c r="D19" s="2794"/>
      <c r="E19" s="1578"/>
      <c r="F19" s="1438">
        <f t="shared" si="0"/>
        <v>0</v>
      </c>
    </row>
    <row r="20" spans="1:11" ht="13.5" customHeight="1">
      <c r="A20" s="21"/>
      <c r="B20" s="1449">
        <f>SUM(B16:B19)</f>
        <v>3.0799999999999996</v>
      </c>
      <c r="C20" s="1488"/>
      <c r="D20" s="2770"/>
      <c r="E20" s="1490"/>
      <c r="F20" s="1492"/>
    </row>
    <row r="21" spans="1:11" ht="13.5" customHeight="1">
      <c r="A21" s="21"/>
      <c r="B21" s="1412"/>
      <c r="C21" s="1451" t="s">
        <v>44</v>
      </c>
      <c r="D21" s="2771">
        <v>0</v>
      </c>
      <c r="E21" s="1464">
        <v>0</v>
      </c>
      <c r="F21" s="1462">
        <f t="shared" si="0"/>
        <v>0</v>
      </c>
      <c r="G21" s="33" t="s">
        <v>6</v>
      </c>
    </row>
    <row r="22" spans="1:11" ht="13.5" customHeight="1">
      <c r="A22" s="21"/>
      <c r="B22" s="1412"/>
      <c r="C22" s="1423"/>
      <c r="D22" s="2772"/>
      <c r="E22" s="1448"/>
      <c r="F22" s="1426">
        <v>0</v>
      </c>
      <c r="G22" s="34"/>
    </row>
    <row r="23" spans="1:11" ht="13.5" customHeight="1">
      <c r="A23" s="21"/>
      <c r="B23" s="1412"/>
      <c r="C23" s="1423"/>
      <c r="D23" s="2791"/>
      <c r="E23" s="1562"/>
      <c r="F23" s="1438">
        <v>0</v>
      </c>
    </row>
    <row r="24" spans="1:11" ht="13.5" customHeight="1">
      <c r="A24" s="21"/>
      <c r="B24" s="1410"/>
      <c r="C24" s="1423"/>
      <c r="D24" s="2792"/>
      <c r="E24" s="1563"/>
      <c r="F24" s="1438">
        <v>0</v>
      </c>
    </row>
    <row r="25" spans="1:11" s="18" customFormat="1" ht="13.5" customHeight="1">
      <c r="A25" s="28"/>
      <c r="B25" s="1412"/>
      <c r="C25" s="1423"/>
      <c r="D25" s="2793"/>
      <c r="E25" s="1562"/>
      <c r="F25" s="1438">
        <v>0</v>
      </c>
    </row>
    <row r="26" spans="1:11" ht="13.5" customHeight="1">
      <c r="A26" s="21"/>
      <c r="B26" s="1410"/>
      <c r="C26" s="1424"/>
      <c r="D26" s="2776"/>
      <c r="E26" s="1431"/>
      <c r="F26" s="1439"/>
    </row>
    <row r="27" spans="1:11" s="18" customFormat="1" ht="13.5" customHeight="1">
      <c r="A27" s="28"/>
      <c r="B27" s="1412"/>
      <c r="C27" s="1451" t="s">
        <v>45</v>
      </c>
      <c r="D27" s="2771">
        <f>SUM(D29:D35)</f>
        <v>120326.8</v>
      </c>
      <c r="E27" s="1657">
        <f>SUM(E29:E31)+SUM(E33:E35)</f>
        <v>178105.31199999998</v>
      </c>
      <c r="F27" s="1462">
        <f>SUM(F29:F35)</f>
        <v>298432.11199999996</v>
      </c>
    </row>
    <row r="28" spans="1:11" ht="13.5" customHeight="1">
      <c r="A28" s="21"/>
      <c r="B28" s="1412"/>
      <c r="C28" s="1450" t="s">
        <v>1733</v>
      </c>
      <c r="D28" s="2777">
        <v>0.66700000000000004</v>
      </c>
      <c r="E28" s="1452">
        <v>0.68799999999999994</v>
      </c>
      <c r="F28" s="1485"/>
    </row>
    <row r="29" spans="1:11" ht="13.5" customHeight="1">
      <c r="A29" s="21"/>
      <c r="B29" s="1412"/>
      <c r="C29" s="1667" t="s">
        <v>719</v>
      </c>
      <c r="D29" s="2778">
        <f>D15*D28</f>
        <v>120326.8</v>
      </c>
      <c r="E29" s="1504">
        <f>E15*E28</f>
        <v>178105.31199999998</v>
      </c>
      <c r="F29" s="1438">
        <f>SUM(D29:E29)</f>
        <v>298432.11199999996</v>
      </c>
      <c r="J29" s="1907">
        <f>D29*J17</f>
        <v>65632.800000000003</v>
      </c>
      <c r="K29" s="1907">
        <f>E29*K17</f>
        <v>82691.751999999993</v>
      </c>
    </row>
    <row r="30" spans="1:11" ht="13.5" customHeight="1">
      <c r="A30" s="21"/>
      <c r="B30" s="1412"/>
      <c r="C30" s="1667" t="s">
        <v>720</v>
      </c>
      <c r="D30" s="2785">
        <f>D21*D28</f>
        <v>0</v>
      </c>
      <c r="E30" s="1504">
        <f>E21*E28</f>
        <v>0</v>
      </c>
      <c r="F30" s="1438">
        <v>0</v>
      </c>
    </row>
    <row r="31" spans="1:11" ht="13.5" customHeight="1">
      <c r="A31" s="21"/>
      <c r="B31" s="1412"/>
      <c r="C31" s="1667"/>
      <c r="D31" s="2774"/>
      <c r="E31" s="1443"/>
      <c r="F31" s="1436"/>
    </row>
    <row r="32" spans="1:11" ht="13.5" customHeight="1">
      <c r="A32" s="21"/>
      <c r="B32" s="1412"/>
      <c r="C32" s="1450" t="s">
        <v>1734</v>
      </c>
      <c r="D32" s="2777"/>
      <c r="E32" s="1452">
        <v>0</v>
      </c>
      <c r="F32" s="1485"/>
    </row>
    <row r="33" spans="1:7" ht="13.5" customHeight="1">
      <c r="A33" s="21"/>
      <c r="B33" s="1350"/>
      <c r="C33" s="1667" t="s">
        <v>719</v>
      </c>
      <c r="D33" s="2778"/>
      <c r="E33" s="1641">
        <f>E15*E32</f>
        <v>0</v>
      </c>
      <c r="F33" s="1661">
        <f>SUM(D33:E33)</f>
        <v>0</v>
      </c>
    </row>
    <row r="34" spans="1:7">
      <c r="A34" s="1392" t="s">
        <v>320</v>
      </c>
      <c r="B34" s="1412"/>
      <c r="C34" s="1667" t="s">
        <v>720</v>
      </c>
      <c r="D34" s="2785"/>
      <c r="E34" s="1641">
        <f>E21*E32</f>
        <v>0</v>
      </c>
      <c r="F34" s="1661">
        <f t="shared" ref="F34" si="1">SUM(D34:E34)</f>
        <v>0</v>
      </c>
      <c r="G34" s="37"/>
    </row>
    <row r="35" spans="1:7" ht="13.5" customHeight="1">
      <c r="A35" s="1508" t="s">
        <v>22</v>
      </c>
      <c r="B35" s="1410"/>
      <c r="C35" s="1445"/>
      <c r="D35" s="2775"/>
      <c r="E35" s="1444"/>
      <c r="F35" s="1437"/>
    </row>
    <row r="36" spans="1:7" s="18" customFormat="1" ht="13.5" customHeight="1">
      <c r="A36" s="1427">
        <v>18230466</v>
      </c>
      <c r="B36" s="1412"/>
      <c r="C36" s="1488"/>
      <c r="D36" s="2779"/>
      <c r="E36" s="1490"/>
      <c r="F36" s="1493"/>
    </row>
    <row r="37" spans="1:7" ht="13.5" customHeight="1">
      <c r="A37" s="1508" t="s">
        <v>4</v>
      </c>
      <c r="B37" s="1412"/>
      <c r="C37" s="1451" t="s">
        <v>46</v>
      </c>
      <c r="D37" s="2771">
        <v>0</v>
      </c>
      <c r="E37" s="1464">
        <v>0</v>
      </c>
      <c r="F37" s="1462">
        <f>SUM(D37:E37)</f>
        <v>0</v>
      </c>
    </row>
    <row r="38" spans="1:7" ht="13.5" customHeight="1">
      <c r="A38" s="21"/>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ht="13.5" customHeight="1">
      <c r="A43" s="21"/>
      <c r="B43" s="1412"/>
      <c r="C43" s="1597" t="s">
        <v>483</v>
      </c>
      <c r="D43" s="2771">
        <f>SUM(D44:D47)</f>
        <v>8700</v>
      </c>
      <c r="E43" s="1464">
        <f>SUM(E44:E47)</f>
        <v>8700</v>
      </c>
      <c r="F43" s="1462">
        <f>SUM(D43:E43)</f>
        <v>17400</v>
      </c>
    </row>
    <row r="44" spans="1:7" ht="13.5" customHeight="1">
      <c r="A44" s="21"/>
      <c r="B44" s="1412"/>
      <c r="C44" s="1667" t="s">
        <v>774</v>
      </c>
      <c r="D44" s="2778">
        <v>8700</v>
      </c>
      <c r="E44" s="1672">
        <v>8700</v>
      </c>
      <c r="F44" s="1438">
        <f>SUM(D44:E44)</f>
        <v>17400</v>
      </c>
    </row>
    <row r="45" spans="1:7" ht="13.5" customHeight="1">
      <c r="A45" s="21"/>
      <c r="B45" s="1412"/>
      <c r="C45" s="1423"/>
      <c r="D45" s="2778"/>
      <c r="E45" s="1520"/>
      <c r="F45" s="1438">
        <v>0</v>
      </c>
    </row>
    <row r="46" spans="1:7" ht="13.5" customHeight="1">
      <c r="A46" s="21"/>
      <c r="B46" s="1412"/>
      <c r="C46" s="1423"/>
      <c r="D46" s="2778"/>
      <c r="E46" s="1520"/>
      <c r="F46" s="1438">
        <v>0</v>
      </c>
    </row>
    <row r="47" spans="1:7" ht="13.5" customHeight="1">
      <c r="A47" s="21"/>
      <c r="B47" s="1412"/>
      <c r="C47" s="1423"/>
      <c r="D47" s="2778"/>
      <c r="E47" s="1520"/>
      <c r="F47" s="1438">
        <v>0</v>
      </c>
    </row>
    <row r="48" spans="1:7" ht="13.5" customHeight="1">
      <c r="A48" s="21"/>
      <c r="B48" s="1412"/>
      <c r="C48" s="1488"/>
      <c r="D48" s="2779"/>
      <c r="E48" s="1490"/>
      <c r="F48" s="1493"/>
    </row>
    <row r="49" spans="1:6" ht="13.5" customHeight="1">
      <c r="A49" s="21"/>
      <c r="B49" s="1412"/>
      <c r="C49" s="1451" t="s">
        <v>47</v>
      </c>
      <c r="D49" s="2771">
        <f>SUM(D50:D53)</f>
        <v>13920</v>
      </c>
      <c r="E49" s="1464">
        <f>SUM(E50:E53)</f>
        <v>13920</v>
      </c>
      <c r="F49" s="1462">
        <f>SUM(D49:E49)</f>
        <v>27840</v>
      </c>
    </row>
    <row r="50" spans="1:6" ht="13.5" customHeight="1">
      <c r="A50" s="21"/>
      <c r="B50" s="1412"/>
      <c r="C50" s="1667" t="s">
        <v>1467</v>
      </c>
      <c r="D50" s="2778">
        <v>13920</v>
      </c>
      <c r="E50" s="1672">
        <v>13920</v>
      </c>
      <c r="F50" s="1438">
        <f>SUM(D50:E50)</f>
        <v>27840</v>
      </c>
    </row>
    <row r="51" spans="1:6" ht="13.5" customHeight="1">
      <c r="A51" s="21"/>
      <c r="B51" s="1412"/>
      <c r="C51" s="1667"/>
      <c r="D51" s="2778"/>
      <c r="E51" s="1672"/>
      <c r="F51" s="1438">
        <f>SUM(D51:E51)</f>
        <v>0</v>
      </c>
    </row>
    <row r="52" spans="1:6" ht="13.5" customHeight="1">
      <c r="A52" s="21"/>
      <c r="B52" s="1412"/>
      <c r="C52" s="1423"/>
      <c r="D52" s="2778"/>
      <c r="E52" s="1520"/>
      <c r="F52" s="1438">
        <v>0</v>
      </c>
    </row>
    <row r="53" spans="1:6" ht="13.5" customHeight="1">
      <c r="A53" s="21"/>
      <c r="B53" s="1412"/>
      <c r="C53" s="1423"/>
      <c r="D53" s="2778"/>
      <c r="E53" s="1520"/>
      <c r="F53" s="1438">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SUM(D55:E55)</f>
        <v>0</v>
      </c>
    </row>
    <row r="56" spans="1:6" ht="13.5" customHeight="1">
      <c r="A56" s="21"/>
      <c r="B56" s="1412"/>
      <c r="C56" s="1635"/>
      <c r="D56" s="2778"/>
      <c r="E56" s="1504"/>
      <c r="F56" s="1438">
        <f>SUM(D56:E56)</f>
        <v>0</v>
      </c>
    </row>
    <row r="57" spans="1:6" ht="13.5" customHeight="1">
      <c r="A57" s="21"/>
      <c r="B57" s="1412"/>
      <c r="C57" s="1635"/>
      <c r="D57" s="2778"/>
      <c r="E57" s="1504"/>
      <c r="F57" s="1438">
        <f>SUM(D57:E57)</f>
        <v>0</v>
      </c>
    </row>
    <row r="58" spans="1:6" ht="13.5" customHeight="1">
      <c r="A58" s="21"/>
      <c r="B58" s="1412"/>
      <c r="C58" s="1423"/>
      <c r="D58" s="2778"/>
      <c r="E58" s="1504"/>
      <c r="F58" s="1438">
        <v>0</v>
      </c>
    </row>
    <row r="59" spans="1:6" ht="13.5" customHeight="1">
      <c r="A59" s="21"/>
      <c r="B59" s="1412"/>
      <c r="C59" s="1423"/>
      <c r="D59" s="2778"/>
      <c r="E59" s="1504"/>
      <c r="F59" s="1438">
        <v>0</v>
      </c>
    </row>
    <row r="60" spans="1:6" ht="13.5" customHeight="1">
      <c r="A60" s="21"/>
      <c r="B60" s="1412"/>
      <c r="C60" s="1488"/>
      <c r="D60" s="2779"/>
      <c r="E60" s="1490"/>
      <c r="F60" s="1493"/>
    </row>
    <row r="61" spans="1:6" ht="13.5" customHeight="1">
      <c r="A61" s="21"/>
      <c r="C61" s="1451" t="s">
        <v>49</v>
      </c>
      <c r="D61" s="2771">
        <f>SUM(D62:D65)</f>
        <v>0</v>
      </c>
      <c r="E61" s="1464">
        <f>SUM(E62:E65)</f>
        <v>0</v>
      </c>
      <c r="F61" s="1462">
        <f>SUM(D61:E61)</f>
        <v>0</v>
      </c>
    </row>
    <row r="62" spans="1:6">
      <c r="C62" s="1423"/>
      <c r="D62" s="2778"/>
      <c r="E62" s="1520"/>
      <c r="F62" s="1438">
        <f>SUM(D62:E62)</f>
        <v>0</v>
      </c>
    </row>
    <row r="63" spans="1:6">
      <c r="C63" s="1423"/>
      <c r="D63" s="2778"/>
      <c r="E63" s="1520"/>
      <c r="F63" s="1438">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pane xSplit="1" ySplit="1" topLeftCell="B5" activePane="bottomRight" state="frozen"/>
      <selection pane="bottomRight"/>
      <pageMargins left="0.4" right="0.21" top="0.35" bottom="0.34" header="0.3" footer="0.3"/>
      <pageSetup paperSize="17" scale="60" orientation="landscape" r:id="rId1"/>
    </customSheetView>
    <customSheetView guid="{074EB09C-6289-46D7-9513-012B68BCA7BF}" showGridLines="0">
      <pane xSplit="1" ySplit="1" topLeftCell="B17" activePane="bottomRight" state="frozen"/>
      <selection pane="bottomRight" activeCell="E33" sqref="E33"/>
      <pageMargins left="0.4" right="0.21" top="0.35" bottom="0.34" header="0.3" footer="0.3"/>
      <pageSetup paperSize="17" scale="60" orientation="landscape" r:id="rId2"/>
    </customSheetView>
  </customSheetViews>
  <pageMargins left="0.4" right="0.21" top="0.35" bottom="0.34" header="0.3" footer="0.3"/>
  <pageSetup paperSize="3" scale="60" orientation="landscape" r:id="rId3"/>
  <drawing r:id="rId4"/>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tabColor rgb="FFB1A0C7"/>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activeCell="H16" sqref="H16"/>
    </sheetView>
  </sheetViews>
  <sheetFormatPr defaultColWidth="9.140625" defaultRowHeight="12.75"/>
  <cols>
    <col min="1" max="1" width="18.140625" style="1537" customWidth="1"/>
    <col min="2" max="2" width="16" style="1537" customWidth="1"/>
    <col min="3" max="3" width="27.85546875" style="1537" customWidth="1"/>
    <col min="4" max="4" width="19.28515625" style="1536" customWidth="1"/>
    <col min="5" max="5" width="19.28515625" style="1339" customWidth="1"/>
    <col min="6" max="10" width="18.85546875" style="1537" customWidth="1"/>
    <col min="11" max="11" width="17.5703125" style="1537" customWidth="1"/>
    <col min="12" max="12" width="20.5703125" style="1537" customWidth="1"/>
    <col min="13" max="13" width="21.85546875" style="1537" customWidth="1"/>
    <col min="14" max="14" width="19.42578125" style="1537" customWidth="1"/>
    <col min="15" max="15" width="14.140625" style="1537" customWidth="1"/>
    <col min="16" max="16" width="22.5703125" style="1537" bestFit="1" customWidth="1"/>
    <col min="17" max="17" width="5.5703125" style="1537" customWidth="1"/>
    <col min="18" max="18" width="10.85546875" style="1537" bestFit="1" customWidth="1"/>
    <col min="19" max="16384" width="9.140625" style="1537"/>
  </cols>
  <sheetData>
    <row r="1" spans="1:18" ht="57" customHeight="1">
      <c r="D1" s="1392" t="s">
        <v>1530</v>
      </c>
      <c r="E1" s="1509" t="s">
        <v>22</v>
      </c>
      <c r="F1" s="1427">
        <v>18230411</v>
      </c>
      <c r="G1" s="1509" t="s">
        <v>4</v>
      </c>
      <c r="M1" s="1392" t="s">
        <v>1530</v>
      </c>
      <c r="N1" s="1509" t="s">
        <v>22</v>
      </c>
      <c r="O1" s="1427">
        <v>18230411</v>
      </c>
      <c r="P1" s="1509" t="s">
        <v>4</v>
      </c>
    </row>
    <row r="2" spans="1:18" ht="17.25" customHeight="1" thickBot="1">
      <c r="D2" s="1349"/>
      <c r="E2" s="1208"/>
      <c r="F2" s="1208"/>
      <c r="G2" s="891"/>
      <c r="H2" s="1178" t="s">
        <v>627</v>
      </c>
      <c r="I2" s="1354"/>
      <c r="J2" s="1354"/>
      <c r="K2" s="1354"/>
      <c r="L2" s="1354"/>
      <c r="M2" s="1354"/>
      <c r="N2" s="1354"/>
      <c r="O2" s="1354"/>
      <c r="P2" s="1354"/>
      <c r="Q2" s="1354"/>
    </row>
    <row r="3" spans="1:18" ht="39" thickBot="1">
      <c r="A3" s="1392" t="s">
        <v>1530</v>
      </c>
      <c r="B3" s="1559"/>
      <c r="D3" s="1283"/>
      <c r="E3" s="1283"/>
      <c r="F3" s="1283"/>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22</v>
      </c>
      <c r="B4" s="1559"/>
      <c r="C4" s="1310"/>
      <c r="D4" s="1310"/>
      <c r="E4" s="1310"/>
      <c r="F4" s="1310"/>
      <c r="G4" s="2946" t="s">
        <v>1726</v>
      </c>
      <c r="H4" s="2959">
        <f>D15</f>
        <v>62425.46</v>
      </c>
      <c r="I4" s="2960">
        <f>D21</f>
        <v>1000</v>
      </c>
      <c r="J4" s="2960">
        <f>D27</f>
        <v>42304.781820000004</v>
      </c>
      <c r="K4" s="2960">
        <f>D37</f>
        <v>0</v>
      </c>
      <c r="L4" s="2960">
        <f>D43</f>
        <v>1500</v>
      </c>
      <c r="M4" s="2960">
        <f>D49</f>
        <v>17400</v>
      </c>
      <c r="N4" s="2960">
        <f>D55</f>
        <v>0</v>
      </c>
      <c r="O4" s="2960">
        <f>D61</f>
        <v>0</v>
      </c>
      <c r="P4" s="2960">
        <v>0</v>
      </c>
      <c r="Q4" s="2960"/>
      <c r="R4" s="2960">
        <f>SUM(H4:P4)</f>
        <v>124630.24182</v>
      </c>
    </row>
    <row r="5" spans="1:18" ht="15.75">
      <c r="A5" s="1427">
        <v>18230411</v>
      </c>
      <c r="C5" s="1310"/>
      <c r="D5" s="1283"/>
      <c r="E5" s="1283"/>
      <c r="F5" s="1283"/>
      <c r="G5" s="3205" t="s">
        <v>1753</v>
      </c>
      <c r="H5" s="2617">
        <v>63985.98</v>
      </c>
      <c r="I5" s="2618">
        <v>1000</v>
      </c>
      <c r="J5" s="2618">
        <v>44190.466400000005</v>
      </c>
      <c r="K5" s="2618">
        <v>0</v>
      </c>
      <c r="L5" s="2618">
        <v>1500</v>
      </c>
      <c r="M5" s="2618">
        <v>17400</v>
      </c>
      <c r="N5" s="2618">
        <v>0</v>
      </c>
      <c r="O5" s="2618">
        <v>0</v>
      </c>
      <c r="P5" s="2618">
        <v>0</v>
      </c>
      <c r="Q5" s="2618"/>
      <c r="R5" s="2618">
        <v>128076.44640000002</v>
      </c>
    </row>
    <row r="6" spans="1:18" ht="16.5" thickBot="1">
      <c r="A6" s="1508" t="s">
        <v>4</v>
      </c>
      <c r="B6" s="1427"/>
      <c r="C6" s="1266"/>
      <c r="D6" s="1310"/>
      <c r="E6" s="1310"/>
      <c r="F6" s="1310"/>
      <c r="G6" s="3206" t="s">
        <v>1754</v>
      </c>
      <c r="H6" s="2621">
        <f>E15</f>
        <v>63985.98</v>
      </c>
      <c r="I6" s="2622">
        <f>E21</f>
        <v>1000</v>
      </c>
      <c r="J6" s="2623">
        <f>E27</f>
        <v>58357.410040000002</v>
      </c>
      <c r="K6" s="2622">
        <f>E37</f>
        <v>0</v>
      </c>
      <c r="L6" s="2622">
        <f>E43</f>
        <v>1500</v>
      </c>
      <c r="M6" s="2622">
        <f>E49</f>
        <v>17400</v>
      </c>
      <c r="N6" s="2622">
        <f>E55</f>
        <v>0</v>
      </c>
      <c r="O6" s="2622">
        <f>E61</f>
        <v>0</v>
      </c>
      <c r="P6" s="2622">
        <v>0</v>
      </c>
      <c r="Q6" s="2622"/>
      <c r="R6" s="2622">
        <f>SUM(H6:P6)</f>
        <v>142243.39004</v>
      </c>
    </row>
    <row r="7" spans="1:18" s="1409" customFormat="1" ht="15.75">
      <c r="B7" s="1368"/>
      <c r="C7" s="1309"/>
      <c r="D7" s="1309"/>
      <c r="E7" s="1309"/>
      <c r="F7" s="1309"/>
      <c r="G7" s="2688"/>
      <c r="H7" s="2607"/>
      <c r="I7" s="2607"/>
      <c r="J7" s="2607"/>
      <c r="K7" s="2607"/>
      <c r="L7" s="2607"/>
      <c r="M7" s="2607"/>
      <c r="N7" s="2607"/>
      <c r="O7" s="2607"/>
      <c r="P7" s="2607"/>
      <c r="Q7" s="2607"/>
      <c r="R7" s="2607"/>
    </row>
    <row r="8" spans="1:18" s="1409" customFormat="1">
      <c r="B8" s="1559"/>
      <c r="C8" s="1309"/>
      <c r="D8" s="1309"/>
      <c r="E8" s="1283"/>
      <c r="F8" s="1267"/>
      <c r="G8" s="1537"/>
      <c r="H8" s="1537"/>
      <c r="I8" s="1537"/>
      <c r="J8" s="1537"/>
      <c r="K8" s="1537"/>
      <c r="L8" s="1537"/>
      <c r="M8" s="1537"/>
      <c r="O8" s="1537"/>
      <c r="P8" s="1412" t="s">
        <v>17</v>
      </c>
    </row>
    <row r="9" spans="1:18" s="1409" customFormat="1">
      <c r="A9" s="1368"/>
      <c r="B9" s="1368"/>
      <c r="C9" s="1309"/>
      <c r="D9" s="1309"/>
      <c r="E9" s="1283"/>
      <c r="F9" s="1267"/>
      <c r="G9" s="1537"/>
      <c r="H9" s="1537"/>
      <c r="I9" s="1537"/>
      <c r="J9" s="1537"/>
      <c r="K9" s="1537"/>
      <c r="L9" s="1537"/>
      <c r="M9" s="1537"/>
      <c r="O9" s="1537"/>
      <c r="P9" s="1412" t="s">
        <v>18</v>
      </c>
    </row>
    <row r="10" spans="1:18" s="1538" customFormat="1">
      <c r="A10" s="1371"/>
      <c r="B10" s="1371"/>
      <c r="C10" s="1454" t="s">
        <v>310</v>
      </c>
      <c r="D10" s="1454"/>
      <c r="E10" s="1454"/>
      <c r="F10" s="1454"/>
    </row>
    <row r="11" spans="1:18" ht="18" customHeight="1">
      <c r="A11" s="1371"/>
      <c r="B11" s="1371"/>
      <c r="D11" s="1537"/>
      <c r="E11" s="1538"/>
    </row>
    <row r="12" spans="1:18">
      <c r="A12" s="1371"/>
      <c r="B12" s="1412"/>
      <c r="C12" s="1434" t="s">
        <v>298</v>
      </c>
      <c r="D12" s="2766">
        <f>D15+D21+D27+D37+D43+D49+D55+D61</f>
        <v>124630.24182</v>
      </c>
      <c r="E12" s="1484">
        <f>E15+E21+E27+E37+E43+E49+E55+E61</f>
        <v>142243.39004</v>
      </c>
      <c r="F12" s="1462">
        <f>D12+E12</f>
        <v>266873.63185999996</v>
      </c>
    </row>
    <row r="13" spans="1:18" ht="13.5" customHeight="1">
      <c r="A13" s="1412"/>
      <c r="B13" s="1410"/>
      <c r="C13" s="1483"/>
      <c r="D13" s="2767"/>
      <c r="E13" s="1336"/>
      <c r="G13" s="1351"/>
      <c r="H13" s="1351"/>
    </row>
    <row r="14" spans="1:18" s="1409" customFormat="1" ht="13.5" customHeight="1">
      <c r="A14" s="1410"/>
      <c r="B14" s="1410"/>
      <c r="C14" s="1435" t="s">
        <v>42</v>
      </c>
      <c r="D14" s="2768">
        <v>2016</v>
      </c>
      <c r="E14" s="1502">
        <v>2017</v>
      </c>
      <c r="F14" s="1486" t="s">
        <v>20</v>
      </c>
      <c r="G14" s="1345"/>
      <c r="H14" s="1345"/>
    </row>
    <row r="15" spans="1:18" s="1409" customFormat="1" ht="13.5" customHeight="1">
      <c r="A15" s="1410"/>
      <c r="B15" s="1433" t="s">
        <v>296</v>
      </c>
      <c r="C15" s="1451" t="s">
        <v>43</v>
      </c>
      <c r="D15" s="2771">
        <f>SUM(D16:D19)</f>
        <v>62425.46</v>
      </c>
      <c r="E15" s="1464">
        <f>SUM(E16:E19)</f>
        <v>63985.98</v>
      </c>
      <c r="F15" s="1462">
        <f t="shared" ref="F15:F21" si="0">SUM(D15:E15)</f>
        <v>126411.44</v>
      </c>
      <c r="G15" s="1345"/>
      <c r="H15" s="1345"/>
    </row>
    <row r="16" spans="1:18" ht="13.5" customHeight="1">
      <c r="A16" s="1412"/>
      <c r="B16" s="1432">
        <v>0.87</v>
      </c>
      <c r="C16" s="1423" t="s">
        <v>744</v>
      </c>
      <c r="D16" s="2772">
        <v>62425.46</v>
      </c>
      <c r="E16" s="1448">
        <v>63985.98</v>
      </c>
      <c r="F16" s="1426">
        <f t="shared" si="0"/>
        <v>126411.44</v>
      </c>
    </row>
    <row r="17" spans="1:7">
      <c r="A17" s="1412"/>
      <c r="B17" s="1432"/>
      <c r="C17" s="1423"/>
      <c r="D17" s="2784"/>
      <c r="E17" s="1447"/>
      <c r="F17" s="1438">
        <f t="shared" si="0"/>
        <v>0</v>
      </c>
    </row>
    <row r="18" spans="1:7">
      <c r="A18" s="1412"/>
      <c r="B18" s="1432"/>
      <c r="C18" s="1423"/>
      <c r="D18" s="2784"/>
      <c r="E18" s="1447"/>
      <c r="F18" s="1438">
        <f t="shared" si="0"/>
        <v>0</v>
      </c>
    </row>
    <row r="19" spans="1:7">
      <c r="A19" s="1412"/>
      <c r="B19" s="1432"/>
      <c r="C19" s="1423"/>
      <c r="D19" s="2794"/>
      <c r="E19" s="1578"/>
      <c r="F19" s="1438">
        <f t="shared" si="0"/>
        <v>0</v>
      </c>
    </row>
    <row r="20" spans="1:7">
      <c r="A20" s="1412"/>
      <c r="B20" s="1449">
        <f>SUM(B16:B19)</f>
        <v>0.87</v>
      </c>
      <c r="C20" s="1488"/>
      <c r="D20" s="2770"/>
      <c r="E20" s="1490"/>
      <c r="F20" s="1492"/>
    </row>
    <row r="21" spans="1:7">
      <c r="A21" s="1412"/>
      <c r="B21" s="1412"/>
      <c r="C21" s="1451" t="s">
        <v>44</v>
      </c>
      <c r="D21" s="2780">
        <f>SUM(D22:D25)</f>
        <v>1000</v>
      </c>
      <c r="E21" s="1657">
        <f>SUM(E22:E25)</f>
        <v>1000</v>
      </c>
      <c r="F21" s="1462">
        <f t="shared" si="0"/>
        <v>2000</v>
      </c>
      <c r="G21" s="1346" t="s">
        <v>6</v>
      </c>
    </row>
    <row r="22" spans="1:7">
      <c r="A22" s="1412"/>
      <c r="B22" s="1412"/>
      <c r="C22" s="1423"/>
      <c r="D22" s="2772">
        <v>1000</v>
      </c>
      <c r="E22" s="1448">
        <v>1000</v>
      </c>
      <c r="F22" s="1426">
        <v>0</v>
      </c>
      <c r="G22" s="1347"/>
    </row>
    <row r="23" spans="1:7">
      <c r="A23" s="1412"/>
      <c r="B23" s="1412"/>
      <c r="C23" s="1423"/>
      <c r="D23" s="2791"/>
      <c r="E23" s="1562"/>
      <c r="F23" s="1438">
        <v>0</v>
      </c>
    </row>
    <row r="24" spans="1:7">
      <c r="A24" s="1412"/>
      <c r="B24" s="1410"/>
      <c r="C24" s="1423"/>
      <c r="D24" s="2792"/>
      <c r="E24" s="1563"/>
      <c r="F24" s="1438">
        <v>0</v>
      </c>
    </row>
    <row r="25" spans="1:7" s="1409" customFormat="1">
      <c r="A25" s="1410"/>
      <c r="B25" s="1412"/>
      <c r="C25" s="1423"/>
      <c r="D25" s="2793"/>
      <c r="E25" s="1562"/>
      <c r="F25" s="1438">
        <v>0</v>
      </c>
    </row>
    <row r="26" spans="1:7">
      <c r="A26" s="1412"/>
      <c r="B26" s="1410"/>
      <c r="C26" s="1424"/>
      <c r="D26" s="2776"/>
      <c r="E26" s="1431"/>
      <c r="F26" s="1439"/>
    </row>
    <row r="27" spans="1:7" s="1409" customFormat="1">
      <c r="A27" s="1410"/>
      <c r="B27" s="1412"/>
      <c r="C27" s="1451" t="s">
        <v>45</v>
      </c>
      <c r="D27" s="2771">
        <f>SUM(D29:D35)</f>
        <v>42304.781820000004</v>
      </c>
      <c r="E27" s="1657">
        <f>SUM(E29:E31)+SUM(E33:E35)</f>
        <v>58357.410040000002</v>
      </c>
      <c r="F27" s="1462">
        <f>SUM(F29:F35)</f>
        <v>99307.191860000006</v>
      </c>
    </row>
    <row r="28" spans="1:7">
      <c r="A28" s="1412"/>
      <c r="B28" s="1412"/>
      <c r="C28" s="1450" t="s">
        <v>1733</v>
      </c>
      <c r="D28" s="2777">
        <v>0.66700000000000004</v>
      </c>
      <c r="E28" s="1452">
        <v>0.68799999999999994</v>
      </c>
      <c r="F28" s="1485"/>
    </row>
    <row r="29" spans="1:7">
      <c r="A29" s="1412"/>
      <c r="B29" s="1412"/>
      <c r="C29" s="1667" t="s">
        <v>719</v>
      </c>
      <c r="D29" s="2778">
        <f>D15*D28</f>
        <v>41637.781820000004</v>
      </c>
      <c r="E29" s="1504">
        <f>E15*E28</f>
        <v>44022.354240000001</v>
      </c>
      <c r="F29" s="1438">
        <f>SUM(D29:E29)</f>
        <v>85660.136060000004</v>
      </c>
    </row>
    <row r="30" spans="1:7">
      <c r="A30" s="1412"/>
      <c r="B30" s="1412"/>
      <c r="C30" s="1667" t="s">
        <v>720</v>
      </c>
      <c r="D30" s="2785">
        <f>D21*D28</f>
        <v>667</v>
      </c>
      <c r="E30" s="1504">
        <f>E21*E28</f>
        <v>688</v>
      </c>
      <c r="F30" s="1438">
        <v>0</v>
      </c>
    </row>
    <row r="31" spans="1:7">
      <c r="A31" s="1412"/>
      <c r="B31" s="1412"/>
      <c r="C31" s="1667"/>
      <c r="D31" s="2774"/>
      <c r="E31" s="1443"/>
      <c r="F31" s="1436"/>
    </row>
    <row r="32" spans="1:7">
      <c r="A32" s="1412"/>
      <c r="B32" s="1412"/>
      <c r="C32" s="1450" t="s">
        <v>1734</v>
      </c>
      <c r="D32" s="2777"/>
      <c r="E32" s="1452">
        <v>0.21</v>
      </c>
      <c r="F32" s="1485"/>
    </row>
    <row r="33" spans="1:7">
      <c r="A33" s="1412"/>
      <c r="B33" s="1350"/>
      <c r="C33" s="1667" t="s">
        <v>719</v>
      </c>
      <c r="D33" s="2778"/>
      <c r="E33" s="1641">
        <f>E15*E32</f>
        <v>13437.0558</v>
      </c>
      <c r="F33" s="1661">
        <f>SUM(D33:E33)</f>
        <v>13437.0558</v>
      </c>
    </row>
    <row r="34" spans="1:7" ht="38.25">
      <c r="A34" s="1392" t="s">
        <v>1530</v>
      </c>
      <c r="B34" s="1412"/>
      <c r="C34" s="1667" t="s">
        <v>720</v>
      </c>
      <c r="D34" s="2785"/>
      <c r="E34" s="1641">
        <f>E21*E32</f>
        <v>210</v>
      </c>
      <c r="F34" s="1661">
        <f t="shared" ref="F34" si="1">SUM(D34:E34)</f>
        <v>210</v>
      </c>
      <c r="G34" s="1348"/>
    </row>
    <row r="35" spans="1:7">
      <c r="A35" s="1508" t="s">
        <v>22</v>
      </c>
      <c r="B35" s="1410"/>
      <c r="C35" s="1445"/>
      <c r="D35" s="2775"/>
      <c r="E35" s="1444"/>
      <c r="F35" s="1437"/>
    </row>
    <row r="36" spans="1:7" s="1409" customFormat="1">
      <c r="A36" s="1427">
        <v>18230411</v>
      </c>
      <c r="B36" s="1412"/>
      <c r="C36" s="1488"/>
      <c r="D36" s="2779"/>
      <c r="E36" s="1490"/>
      <c r="F36" s="1493"/>
    </row>
    <row r="37" spans="1:7">
      <c r="A37" s="1508" t="s">
        <v>4</v>
      </c>
      <c r="B37" s="1412"/>
      <c r="C37" s="1451" t="s">
        <v>46</v>
      </c>
      <c r="D37" s="2771">
        <v>0</v>
      </c>
      <c r="E37" s="1464">
        <v>0</v>
      </c>
      <c r="F37" s="1462">
        <f>SUM(D37:E37)</f>
        <v>0</v>
      </c>
    </row>
    <row r="38" spans="1:7">
      <c r="A38" s="1412"/>
      <c r="B38" s="1412"/>
      <c r="C38" s="1423"/>
      <c r="D38" s="2778"/>
      <c r="E38" s="1520"/>
      <c r="F38" s="1438">
        <v>0</v>
      </c>
    </row>
    <row r="39" spans="1:7">
      <c r="A39" s="1412"/>
      <c r="B39" s="1412"/>
      <c r="C39" s="1423"/>
      <c r="D39" s="2778"/>
      <c r="E39" s="1520"/>
      <c r="F39" s="1438">
        <v>0</v>
      </c>
    </row>
    <row r="40" spans="1:7">
      <c r="A40" s="1412"/>
      <c r="B40" s="1412"/>
      <c r="C40" s="1423"/>
      <c r="D40" s="2778"/>
      <c r="E40" s="1520"/>
      <c r="F40" s="1438">
        <v>0</v>
      </c>
    </row>
    <row r="41" spans="1:7">
      <c r="A41" s="1412"/>
      <c r="B41" s="1412"/>
      <c r="C41" s="1423"/>
      <c r="D41" s="2778"/>
      <c r="E41" s="1520"/>
      <c r="F41" s="1438">
        <v>0</v>
      </c>
    </row>
    <row r="42" spans="1:7">
      <c r="A42" s="1412"/>
      <c r="B42" s="1412"/>
      <c r="C42" s="1488"/>
      <c r="D42" s="2779"/>
      <c r="E42" s="1490"/>
      <c r="F42" s="1493"/>
    </row>
    <row r="43" spans="1:7">
      <c r="A43" s="1412"/>
      <c r="B43" s="1412"/>
      <c r="C43" s="1597" t="s">
        <v>483</v>
      </c>
      <c r="D43" s="2771">
        <f>SUM(D44:D47)</f>
        <v>1500</v>
      </c>
      <c r="E43" s="1464">
        <f>SUM(E44:E47)</f>
        <v>1500</v>
      </c>
      <c r="F43" s="1462">
        <f>SUM(D43:E43)</f>
        <v>3000</v>
      </c>
    </row>
    <row r="44" spans="1:7">
      <c r="A44" s="1412"/>
      <c r="B44" s="1412"/>
      <c r="C44" s="1654"/>
      <c r="D44" s="2778">
        <v>1500</v>
      </c>
      <c r="E44" s="1520">
        <v>1500</v>
      </c>
      <c r="F44" s="1438">
        <f>SUM(D44:E44)</f>
        <v>3000</v>
      </c>
    </row>
    <row r="45" spans="1:7">
      <c r="A45" s="1412"/>
      <c r="B45" s="1412"/>
      <c r="C45" s="1423"/>
      <c r="D45" s="2778"/>
      <c r="E45" s="1520"/>
      <c r="F45" s="1438">
        <v>0</v>
      </c>
    </row>
    <row r="46" spans="1:7">
      <c r="A46" s="1412"/>
      <c r="B46" s="1412"/>
      <c r="C46" s="1423"/>
      <c r="D46" s="2778"/>
      <c r="E46" s="1520"/>
      <c r="F46" s="1438">
        <v>0</v>
      </c>
    </row>
    <row r="47" spans="1:7">
      <c r="A47" s="1412"/>
      <c r="B47" s="1412"/>
      <c r="C47" s="1423"/>
      <c r="D47" s="2778"/>
      <c r="E47" s="1520"/>
      <c r="F47" s="1438">
        <v>0</v>
      </c>
    </row>
    <row r="48" spans="1:7">
      <c r="A48" s="1412"/>
      <c r="B48" s="1412"/>
      <c r="C48" s="1488"/>
      <c r="D48" s="2779"/>
      <c r="E48" s="1490"/>
      <c r="F48" s="1493"/>
    </row>
    <row r="49" spans="1:6">
      <c r="A49" s="1412"/>
      <c r="B49" s="1412"/>
      <c r="C49" s="1451" t="s">
        <v>47</v>
      </c>
      <c r="D49" s="2771">
        <f>SUM(D50:D53)</f>
        <v>17400</v>
      </c>
      <c r="E49" s="1464">
        <f>SUM(E50:E53)</f>
        <v>17400</v>
      </c>
      <c r="F49" s="1462">
        <f>SUM(D49:E49)</f>
        <v>34800</v>
      </c>
    </row>
    <row r="50" spans="1:6">
      <c r="A50" s="1412"/>
      <c r="B50" s="1412"/>
      <c r="C50" s="1667" t="s">
        <v>1507</v>
      </c>
      <c r="D50" s="2778">
        <v>17400</v>
      </c>
      <c r="E50" s="1672">
        <v>17400</v>
      </c>
      <c r="F50" s="1438">
        <f>SUM(D50:E50)</f>
        <v>34800</v>
      </c>
    </row>
    <row r="51" spans="1:6">
      <c r="A51" s="1412"/>
      <c r="B51" s="1412"/>
      <c r="C51" s="1654"/>
      <c r="D51" s="2778"/>
      <c r="E51" s="1520"/>
      <c r="F51" s="1438">
        <f>SUM(D51:E51)</f>
        <v>0</v>
      </c>
    </row>
    <row r="52" spans="1:6">
      <c r="A52" s="1412"/>
      <c r="B52" s="1412"/>
      <c r="C52" s="1423"/>
      <c r="D52" s="2778"/>
      <c r="E52" s="1520"/>
      <c r="F52" s="1438">
        <v>0</v>
      </c>
    </row>
    <row r="53" spans="1:6">
      <c r="A53" s="1412"/>
      <c r="B53" s="1412"/>
      <c r="C53" s="1423"/>
      <c r="D53" s="2778"/>
      <c r="E53" s="1520"/>
      <c r="F53" s="1438">
        <v>0</v>
      </c>
    </row>
    <row r="54" spans="1:6">
      <c r="A54" s="1412"/>
      <c r="B54" s="1412"/>
      <c r="C54" s="1488"/>
      <c r="D54" s="2779"/>
      <c r="E54" s="1490"/>
      <c r="F54" s="1493"/>
    </row>
    <row r="55" spans="1:6">
      <c r="A55" s="1412"/>
      <c r="B55" s="1412"/>
      <c r="C55" s="1451" t="s">
        <v>48</v>
      </c>
      <c r="D55" s="2771">
        <f>SUM(D56:D59)</f>
        <v>0</v>
      </c>
      <c r="E55" s="1464">
        <f>SUM(E56:E59)</f>
        <v>0</v>
      </c>
      <c r="F55" s="1462">
        <f>SUM(D55:E55)</f>
        <v>0</v>
      </c>
    </row>
    <row r="56" spans="1:6">
      <c r="A56" s="1412"/>
      <c r="B56" s="1412"/>
      <c r="C56" s="1654"/>
      <c r="D56" s="2778"/>
      <c r="E56" s="1504"/>
      <c r="F56" s="1438">
        <f>SUM(D56:E56)</f>
        <v>0</v>
      </c>
    </row>
    <row r="57" spans="1:6">
      <c r="A57" s="1412"/>
      <c r="B57" s="1412"/>
      <c r="C57" s="1654"/>
      <c r="D57" s="2778"/>
      <c r="E57" s="1504"/>
      <c r="F57" s="1438">
        <f>SUM(D57:E57)</f>
        <v>0</v>
      </c>
    </row>
    <row r="58" spans="1:6">
      <c r="A58" s="1412"/>
      <c r="B58" s="1412"/>
      <c r="C58" s="1423"/>
      <c r="D58" s="2778"/>
      <c r="E58" s="1504"/>
      <c r="F58" s="1438">
        <v>0</v>
      </c>
    </row>
    <row r="59" spans="1:6">
      <c r="A59" s="1412"/>
      <c r="B59" s="1412"/>
      <c r="C59" s="1423"/>
      <c r="D59" s="2778"/>
      <c r="E59" s="1504"/>
      <c r="F59" s="1438">
        <v>0</v>
      </c>
    </row>
    <row r="60" spans="1:6">
      <c r="A60" s="1412"/>
      <c r="B60" s="1412"/>
      <c r="C60" s="1488"/>
      <c r="D60" s="2779"/>
      <c r="E60" s="1490"/>
      <c r="F60" s="1493"/>
    </row>
    <row r="61" spans="1:6">
      <c r="A61" s="1412"/>
      <c r="C61" s="1451" t="s">
        <v>49</v>
      </c>
      <c r="D61" s="2771">
        <f>SUM(D62:D65)</f>
        <v>0</v>
      </c>
      <c r="E61" s="1464">
        <f>SUM(E62:E65)</f>
        <v>0</v>
      </c>
      <c r="F61" s="1462">
        <f>SUM(D61:E61)</f>
        <v>0</v>
      </c>
    </row>
    <row r="62" spans="1:6">
      <c r="C62" s="1423"/>
      <c r="D62" s="2778"/>
      <c r="E62" s="1520"/>
      <c r="F62" s="1438">
        <f>SUM(D62:E62)</f>
        <v>0</v>
      </c>
    </row>
    <row r="63" spans="1:6">
      <c r="C63" s="1423"/>
      <c r="D63" s="2778"/>
      <c r="E63" s="1520"/>
      <c r="F63" s="1438">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pane xSplit="1" ySplit="1" topLeftCell="B2" activePane="bottomRight" state="frozen"/>
      <selection pane="bottomRight"/>
      <pageMargins left="0.27" right="0.3" top="0.75" bottom="0.75" header="0.3" footer="0.3"/>
      <pageSetup paperSize="3" scale="60" orientation="landscape" r:id="rId1"/>
    </customSheetView>
    <customSheetView guid="{074EB09C-6289-46D7-9513-012B68BCA7BF}" showGridLines="0">
      <pane xSplit="1" ySplit="1" topLeftCell="B14" activePane="bottomRight" state="frozen"/>
      <selection pane="bottomRight" activeCell="E33" sqref="E33"/>
      <pageMargins left="0.27" right="0.3" top="0.75" bottom="0.75" header="0.3" footer="0.3"/>
      <pageSetup paperSize="3" scale="60" orientation="landscape" r:id="rId2"/>
    </customSheetView>
  </customSheetViews>
  <pageMargins left="0.27" right="0.3" top="0.75" bottom="0.75" header="0.3" footer="0.3"/>
  <pageSetup paperSize="3" scale="60" orientation="landscape" r:id="rId3"/>
  <drawing r:id="rId4"/>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tabColor rgb="FFB1A0C7"/>
  </sheetPr>
  <dimension ref="A1:R70"/>
  <sheetViews>
    <sheetView showGridLines="0" workbookViewId="0">
      <pane xSplit="1" ySplit="1" topLeftCell="B2" activePane="bottomRight" state="frozen"/>
      <selection pane="topRight" activeCell="B1" sqref="B1"/>
      <selection pane="bottomLeft" activeCell="A2" sqref="A2"/>
      <selection pane="bottomRight" activeCell="G41" sqref="G41"/>
    </sheetView>
  </sheetViews>
  <sheetFormatPr defaultColWidth="9.140625" defaultRowHeight="12.75"/>
  <cols>
    <col min="1" max="1" width="18"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15.140625" style="1652" customWidth="1"/>
    <col min="17" max="17" width="20.140625" style="1652" customWidth="1"/>
    <col min="18" max="18" width="10.85546875" style="1652" bestFit="1" customWidth="1"/>
    <col min="19" max="16384" width="9.140625" style="1652"/>
  </cols>
  <sheetData>
    <row r="1" spans="1:18" ht="56.25" customHeight="1">
      <c r="D1" s="1380" t="s">
        <v>610</v>
      </c>
      <c r="E1" s="1509" t="s">
        <v>22</v>
      </c>
      <c r="F1" s="1427">
        <v>18230507</v>
      </c>
      <c r="G1" s="1509" t="s">
        <v>4</v>
      </c>
      <c r="M1" s="1380" t="s">
        <v>610</v>
      </c>
      <c r="N1" s="1509" t="s">
        <v>22</v>
      </c>
      <c r="O1" s="1427">
        <v>18230507</v>
      </c>
      <c r="P1" s="1509" t="s">
        <v>4</v>
      </c>
    </row>
    <row r="2" spans="1:18" ht="17.25" customHeight="1" thickBot="1">
      <c r="D2" s="1349"/>
      <c r="E2" s="1208"/>
      <c r="F2" s="1208"/>
      <c r="G2" s="891"/>
      <c r="H2" s="1178" t="s">
        <v>627</v>
      </c>
      <c r="I2" s="1354"/>
      <c r="J2" s="1354"/>
      <c r="K2" s="1354"/>
      <c r="L2" s="1354"/>
      <c r="M2" s="1354"/>
      <c r="N2" s="1354"/>
      <c r="O2" s="1354"/>
      <c r="P2" s="1354"/>
      <c r="Q2" s="1354"/>
    </row>
    <row r="3" spans="1:18" ht="26.25" thickBot="1">
      <c r="A3" s="1392" t="s">
        <v>610</v>
      </c>
      <c r="B3" s="2143"/>
      <c r="D3" s="1283"/>
      <c r="E3" s="1283"/>
      <c r="F3" s="1283"/>
      <c r="G3" s="1354"/>
      <c r="H3" s="1181" t="s">
        <v>7</v>
      </c>
      <c r="I3" s="2642" t="s">
        <v>8</v>
      </c>
      <c r="J3" s="2642" t="s">
        <v>9</v>
      </c>
      <c r="K3" s="2642" t="s">
        <v>10</v>
      </c>
      <c r="L3" s="2643" t="s">
        <v>482</v>
      </c>
      <c r="M3" s="2642" t="s">
        <v>11</v>
      </c>
      <c r="N3" s="2642" t="s">
        <v>12</v>
      </c>
      <c r="O3" s="2642" t="s">
        <v>13</v>
      </c>
      <c r="P3" s="2643" t="s">
        <v>14</v>
      </c>
      <c r="Q3" s="2643"/>
      <c r="R3" s="1182" t="s">
        <v>15</v>
      </c>
    </row>
    <row r="4" spans="1:18" ht="16.5" thickBot="1">
      <c r="A4" s="1508" t="s">
        <v>22</v>
      </c>
      <c r="B4" s="2143"/>
      <c r="C4" s="1310"/>
      <c r="D4" s="1310"/>
      <c r="E4" s="1310"/>
      <c r="F4" s="1310"/>
      <c r="G4" s="2946" t="s">
        <v>1726</v>
      </c>
      <c r="H4" s="2959">
        <f>D15</f>
        <v>382473.576</v>
      </c>
      <c r="I4" s="2960">
        <f>D21</f>
        <v>0</v>
      </c>
      <c r="J4" s="2960">
        <f>D27</f>
        <v>255109.87519200001</v>
      </c>
      <c r="K4" s="2960">
        <f>D37</f>
        <v>0</v>
      </c>
      <c r="L4" s="2960">
        <f>D43</f>
        <v>18096</v>
      </c>
      <c r="M4" s="2960">
        <f>D49</f>
        <v>0</v>
      </c>
      <c r="N4" s="2960">
        <f>D55</f>
        <v>4350</v>
      </c>
      <c r="O4" s="2960">
        <f>D61</f>
        <v>0</v>
      </c>
      <c r="P4" s="2960">
        <v>0</v>
      </c>
      <c r="Q4" s="2960"/>
      <c r="R4" s="2979">
        <f>SUM(H4:P4)</f>
        <v>660029.45119199995</v>
      </c>
    </row>
    <row r="5" spans="1:18" ht="15.75">
      <c r="A5" s="1427">
        <v>18230507</v>
      </c>
      <c r="C5" s="1310"/>
      <c r="D5" s="1283"/>
      <c r="E5" s="1283"/>
      <c r="F5" s="1283"/>
      <c r="G5" s="3205" t="s">
        <v>1753</v>
      </c>
      <c r="H5" s="2617">
        <v>392034.00599999999</v>
      </c>
      <c r="I5" s="2618">
        <v>0</v>
      </c>
      <c r="J5" s="2618">
        <v>266583.12408000004</v>
      </c>
      <c r="K5" s="2618">
        <v>0</v>
      </c>
      <c r="L5" s="2618">
        <v>18096</v>
      </c>
      <c r="M5" s="2618">
        <v>0</v>
      </c>
      <c r="N5" s="2618">
        <v>4350</v>
      </c>
      <c r="O5" s="2618">
        <v>0</v>
      </c>
      <c r="P5" s="2618">
        <v>0</v>
      </c>
      <c r="Q5" s="2618"/>
      <c r="R5" s="2735">
        <v>681063.13008000003</v>
      </c>
    </row>
    <row r="6" spans="1:18" ht="16.5" thickBot="1">
      <c r="A6" s="1508" t="s">
        <v>4</v>
      </c>
      <c r="B6" s="1427"/>
      <c r="C6" s="1266"/>
      <c r="D6" s="1310"/>
      <c r="E6" s="1310"/>
      <c r="F6" s="1310"/>
      <c r="G6" s="3206" t="s">
        <v>1754</v>
      </c>
      <c r="H6" s="2627">
        <f>E15</f>
        <v>274994.5</v>
      </c>
      <c r="I6" s="2628">
        <f>E21</f>
        <v>0</v>
      </c>
      <c r="J6" s="2629">
        <f>E27</f>
        <v>246945.06099999999</v>
      </c>
      <c r="K6" s="2628">
        <f>E37</f>
        <v>0</v>
      </c>
      <c r="L6" s="2628">
        <f>E43</f>
        <v>20000</v>
      </c>
      <c r="M6" s="2628">
        <f>E49</f>
        <v>0</v>
      </c>
      <c r="N6" s="2628">
        <f>E55</f>
        <v>5000</v>
      </c>
      <c r="O6" s="2628">
        <f>E61</f>
        <v>0</v>
      </c>
      <c r="P6" s="2628">
        <v>0</v>
      </c>
      <c r="Q6" s="2628"/>
      <c r="R6" s="2736">
        <f>SUM(H6:P6)</f>
        <v>546939.56099999999</v>
      </c>
    </row>
    <row r="7" spans="1:18" s="1664" customFormat="1" ht="15.75">
      <c r="B7" s="1368"/>
      <c r="C7" s="1665"/>
      <c r="D7" s="1665"/>
      <c r="E7" s="1665"/>
      <c r="F7" s="1665"/>
      <c r="G7" s="2688"/>
      <c r="H7" s="2607"/>
      <c r="I7" s="2607"/>
      <c r="J7" s="2607"/>
      <c r="K7" s="2607"/>
      <c r="L7" s="2607"/>
      <c r="M7" s="2607"/>
      <c r="N7" s="2607"/>
      <c r="O7" s="2607"/>
      <c r="P7" s="2607"/>
      <c r="Q7" s="2607"/>
      <c r="R7" s="2607"/>
    </row>
    <row r="8" spans="1:18" s="1664" customFormat="1" ht="25.5">
      <c r="B8" s="2143"/>
      <c r="C8" s="1665"/>
      <c r="D8" s="1665"/>
      <c r="E8" s="1283"/>
      <c r="F8" s="1267"/>
      <c r="G8" s="1652"/>
      <c r="H8" s="1652"/>
      <c r="I8" s="1652"/>
      <c r="J8" s="1652"/>
      <c r="K8" s="1652"/>
      <c r="L8" s="1652"/>
      <c r="M8" s="1652"/>
      <c r="O8" s="1652"/>
      <c r="P8" s="1653" t="s">
        <v>17</v>
      </c>
    </row>
    <row r="9" spans="1:18" s="1664" customFormat="1">
      <c r="A9" s="1368"/>
      <c r="B9" s="1368"/>
      <c r="C9" s="1665"/>
      <c r="D9" s="1665"/>
      <c r="E9" s="1283"/>
      <c r="F9" s="1267"/>
      <c r="G9" s="1652"/>
      <c r="H9" s="1652"/>
      <c r="I9" s="1652"/>
      <c r="J9" s="1652"/>
      <c r="K9" s="1652"/>
      <c r="L9" s="1652"/>
      <c r="M9" s="1652"/>
      <c r="O9" s="1652"/>
      <c r="P9" s="1653" t="s">
        <v>18</v>
      </c>
    </row>
    <row r="10" spans="1:18" s="1663" customFormat="1">
      <c r="A10" s="1371"/>
      <c r="B10" s="1371"/>
      <c r="C10" s="1454" t="s">
        <v>310</v>
      </c>
      <c r="D10" s="1454"/>
      <c r="E10" s="1454"/>
      <c r="F10" s="1454"/>
    </row>
    <row r="11" spans="1:18" ht="18" customHeight="1">
      <c r="A11" s="1371"/>
      <c r="B11" s="1371"/>
      <c r="D11" s="1652"/>
      <c r="E11" s="1663"/>
    </row>
    <row r="12" spans="1:18">
      <c r="A12" s="1371"/>
      <c r="B12" s="1653"/>
      <c r="C12" s="1434" t="s">
        <v>298</v>
      </c>
      <c r="D12" s="2766">
        <f>D15+D21+D27+D37+D43+D49+D55+D61</f>
        <v>660029.45119199995</v>
      </c>
      <c r="E12" s="1484">
        <f>E15+E21+E27+E37+E43+E49+E55+E61</f>
        <v>546939.56099999999</v>
      </c>
      <c r="F12" s="1638">
        <f>D12+E12</f>
        <v>1206969.0121919999</v>
      </c>
    </row>
    <row r="13" spans="1:18" ht="13.5" customHeight="1">
      <c r="A13" s="1653"/>
      <c r="B13" s="1410"/>
      <c r="C13" s="1483"/>
      <c r="D13" s="2767"/>
      <c r="E13" s="1336"/>
      <c r="G13" s="1351"/>
      <c r="H13" s="1351"/>
    </row>
    <row r="14" spans="1:18" s="1664" customFormat="1" ht="13.5" customHeight="1">
      <c r="A14" s="1410"/>
      <c r="B14" s="1410"/>
      <c r="C14" s="1435" t="s">
        <v>42</v>
      </c>
      <c r="D14" s="2768">
        <v>2016</v>
      </c>
      <c r="E14" s="1502">
        <v>2017</v>
      </c>
      <c r="F14" s="1486" t="s">
        <v>20</v>
      </c>
      <c r="G14" s="1345"/>
      <c r="H14" s="1345"/>
    </row>
    <row r="15" spans="1:18" s="1664" customFormat="1" ht="13.5" customHeight="1">
      <c r="A15" s="1410"/>
      <c r="B15" s="1433" t="s">
        <v>296</v>
      </c>
      <c r="C15" s="1597" t="s">
        <v>43</v>
      </c>
      <c r="D15" s="2771">
        <f>SUM(D16:D19)</f>
        <v>382473.576</v>
      </c>
      <c r="E15" s="1464">
        <f>SUM(E16:E19)</f>
        <v>274994.5</v>
      </c>
      <c r="F15" s="1638">
        <f t="shared" ref="F15:F21" si="0">SUM(D15:E15)</f>
        <v>657468.076</v>
      </c>
      <c r="G15" s="1345"/>
      <c r="H15" s="1345"/>
    </row>
    <row r="16" spans="1:18" ht="13.5" customHeight="1">
      <c r="A16" s="1653"/>
      <c r="B16" s="1982">
        <v>0.44</v>
      </c>
      <c r="C16" s="1667" t="s">
        <v>734</v>
      </c>
      <c r="D16" s="2772">
        <v>382473.576</v>
      </c>
      <c r="E16" s="1669">
        <v>41919.5</v>
      </c>
      <c r="F16" s="1426">
        <f t="shared" si="0"/>
        <v>424393.076</v>
      </c>
    </row>
    <row r="17" spans="1:7">
      <c r="A17" s="1653"/>
      <c r="B17" s="1982">
        <v>4.3499999999999996</v>
      </c>
      <c r="C17" s="1667" t="s">
        <v>2591</v>
      </c>
      <c r="D17" s="2784"/>
      <c r="E17" s="1668">
        <v>233075</v>
      </c>
      <c r="F17" s="1661">
        <f t="shared" si="0"/>
        <v>233075</v>
      </c>
    </row>
    <row r="18" spans="1:7">
      <c r="A18" s="1653"/>
      <c r="B18" s="1982"/>
      <c r="C18" s="1667"/>
      <c r="D18" s="2784"/>
      <c r="E18" s="1668"/>
      <c r="F18" s="1661">
        <f t="shared" si="0"/>
        <v>0</v>
      </c>
    </row>
    <row r="19" spans="1:7">
      <c r="A19" s="1653"/>
      <c r="B19" s="1982"/>
      <c r="C19" s="1667"/>
      <c r="D19" s="2794"/>
      <c r="E19" s="1578"/>
      <c r="F19" s="1661">
        <f t="shared" si="0"/>
        <v>0</v>
      </c>
    </row>
    <row r="20" spans="1:7">
      <c r="A20" s="1653"/>
      <c r="B20" s="1449">
        <f>SUM(B16:B19)</f>
        <v>4.79</v>
      </c>
      <c r="C20" s="1488"/>
      <c r="D20" s="2770"/>
      <c r="E20" s="1490"/>
      <c r="F20" s="1492"/>
    </row>
    <row r="21" spans="1:7">
      <c r="A21" s="1653"/>
      <c r="B21" s="1653"/>
      <c r="C21" s="1597" t="s">
        <v>44</v>
      </c>
      <c r="D21" s="2771">
        <v>0</v>
      </c>
      <c r="E21" s="1464">
        <v>0</v>
      </c>
      <c r="F21" s="1638">
        <f t="shared" si="0"/>
        <v>0</v>
      </c>
      <c r="G21" s="1346" t="s">
        <v>6</v>
      </c>
    </row>
    <row r="22" spans="1:7">
      <c r="A22" s="1653"/>
      <c r="B22" s="1653"/>
      <c r="C22" s="1667"/>
      <c r="D22" s="2772"/>
      <c r="E22" s="1669"/>
      <c r="F22" s="1426">
        <v>0</v>
      </c>
      <c r="G22" s="1347"/>
    </row>
    <row r="23" spans="1:7">
      <c r="A23" s="1653"/>
      <c r="B23" s="1653"/>
      <c r="C23" s="1667"/>
      <c r="D23" s="2791"/>
      <c r="E23" s="1562"/>
      <c r="F23" s="1661">
        <v>0</v>
      </c>
    </row>
    <row r="24" spans="1:7">
      <c r="A24" s="1653"/>
      <c r="B24" s="1410"/>
      <c r="C24" s="1667"/>
      <c r="D24" s="2792"/>
      <c r="E24" s="1563"/>
      <c r="F24" s="1661">
        <v>0</v>
      </c>
    </row>
    <row r="25" spans="1:7" s="1664" customFormat="1">
      <c r="A25" s="1410"/>
      <c r="B25" s="1653"/>
      <c r="C25" s="1667"/>
      <c r="D25" s="2793"/>
      <c r="E25" s="1562"/>
      <c r="F25" s="1661">
        <v>0</v>
      </c>
    </row>
    <row r="26" spans="1:7">
      <c r="A26" s="1653"/>
      <c r="B26" s="1410"/>
      <c r="C26" s="1424"/>
      <c r="D26" s="2776"/>
      <c r="E26" s="1431"/>
      <c r="F26" s="1439"/>
    </row>
    <row r="27" spans="1:7" s="1664" customFormat="1">
      <c r="A27" s="1410"/>
      <c r="B27" s="1653"/>
      <c r="C27" s="1597" t="s">
        <v>45</v>
      </c>
      <c r="D27" s="2771">
        <f>SUM(D29:D35)</f>
        <v>255109.87519200001</v>
      </c>
      <c r="E27" s="1657">
        <f>SUM(E29:E31)+SUM(E33:E35)</f>
        <v>246945.06099999999</v>
      </c>
      <c r="F27" s="1638">
        <f>SUM(F29:F35)</f>
        <v>502054.93619199994</v>
      </c>
    </row>
    <row r="28" spans="1:7">
      <c r="A28" s="1653"/>
      <c r="B28" s="1653"/>
      <c r="C28" s="1450" t="s">
        <v>1733</v>
      </c>
      <c r="D28" s="2777">
        <v>0.66700000000000004</v>
      </c>
      <c r="E28" s="1452">
        <v>0.68799999999999994</v>
      </c>
      <c r="F28" s="1485"/>
    </row>
    <row r="29" spans="1:7">
      <c r="A29" s="1653"/>
      <c r="B29" s="1653"/>
      <c r="C29" s="1667" t="s">
        <v>719</v>
      </c>
      <c r="D29" s="2778">
        <f>D15*D28</f>
        <v>255109.87519200001</v>
      </c>
      <c r="E29" s="1641">
        <f>E15*E28</f>
        <v>189196.21599999999</v>
      </c>
      <c r="F29" s="1661">
        <f>SUM(D29:E29)</f>
        <v>444306.09119199996</v>
      </c>
    </row>
    <row r="30" spans="1:7">
      <c r="A30" s="1653"/>
      <c r="B30" s="1653"/>
      <c r="C30" s="1667" t="s">
        <v>720</v>
      </c>
      <c r="D30" s="2785">
        <f>D21*D28</f>
        <v>0</v>
      </c>
      <c r="E30" s="1641">
        <f>E21*E28</f>
        <v>0</v>
      </c>
      <c r="F30" s="1661">
        <v>0</v>
      </c>
    </row>
    <row r="31" spans="1:7">
      <c r="A31" s="1653"/>
      <c r="B31" s="1653"/>
      <c r="C31" s="1667"/>
      <c r="D31" s="2774"/>
      <c r="E31" s="1443"/>
      <c r="F31" s="1436"/>
    </row>
    <row r="32" spans="1:7">
      <c r="A32" s="1653"/>
      <c r="B32" s="1653"/>
      <c r="C32" s="1450" t="s">
        <v>1734</v>
      </c>
      <c r="D32" s="2777"/>
      <c r="E32" s="1452">
        <v>0.21</v>
      </c>
      <c r="F32" s="1485"/>
    </row>
    <row r="33" spans="1:7">
      <c r="A33" s="1653"/>
      <c r="B33" s="1350"/>
      <c r="C33" s="1667" t="s">
        <v>719</v>
      </c>
      <c r="D33" s="2778"/>
      <c r="E33" s="1641">
        <f>E15*E32</f>
        <v>57748.845000000001</v>
      </c>
      <c r="F33" s="1661">
        <f>SUM(D33:E33)</f>
        <v>57748.845000000001</v>
      </c>
    </row>
    <row r="34" spans="1:7">
      <c r="A34" s="1392" t="s">
        <v>610</v>
      </c>
      <c r="B34" s="1653"/>
      <c r="C34" s="1667" t="s">
        <v>720</v>
      </c>
      <c r="D34" s="2785"/>
      <c r="E34" s="1641">
        <f>E21*E32</f>
        <v>0</v>
      </c>
      <c r="F34" s="1661">
        <f t="shared" ref="F34" si="1">SUM(D34:E34)</f>
        <v>0</v>
      </c>
      <c r="G34" s="1348"/>
    </row>
    <row r="35" spans="1:7">
      <c r="A35" s="1508" t="s">
        <v>22</v>
      </c>
      <c r="B35" s="1410"/>
      <c r="C35" s="1445"/>
      <c r="D35" s="2775"/>
      <c r="E35" s="1444"/>
      <c r="F35" s="1437"/>
    </row>
    <row r="36" spans="1:7" s="1664" customFormat="1">
      <c r="A36" s="1427">
        <v>18230507</v>
      </c>
      <c r="B36" s="1653"/>
      <c r="C36" s="1488"/>
      <c r="D36" s="2779"/>
      <c r="E36" s="1490"/>
      <c r="F36" s="1493"/>
    </row>
    <row r="37" spans="1:7">
      <c r="A37" s="1508" t="s">
        <v>4</v>
      </c>
      <c r="B37" s="1653"/>
      <c r="C37" s="1597" t="s">
        <v>46</v>
      </c>
      <c r="D37" s="2771">
        <v>0</v>
      </c>
      <c r="E37" s="1464">
        <v>0</v>
      </c>
      <c r="F37" s="1638">
        <f>SUM(D37:E37)</f>
        <v>0</v>
      </c>
    </row>
    <row r="38" spans="1:7">
      <c r="A38" s="1653"/>
      <c r="B38" s="1653"/>
      <c r="C38" s="1667"/>
      <c r="D38" s="2778"/>
      <c r="E38" s="1672"/>
      <c r="F38" s="1661">
        <v>0</v>
      </c>
    </row>
    <row r="39" spans="1:7">
      <c r="A39" s="1653"/>
      <c r="B39" s="1653"/>
      <c r="C39" s="1667"/>
      <c r="D39" s="2778"/>
      <c r="E39" s="1672"/>
      <c r="F39" s="1661">
        <v>0</v>
      </c>
    </row>
    <row r="40" spans="1:7">
      <c r="A40" s="1653"/>
      <c r="B40" s="1653"/>
      <c r="C40" s="1667"/>
      <c r="D40" s="2778"/>
      <c r="E40" s="1672"/>
      <c r="F40" s="1661">
        <v>0</v>
      </c>
    </row>
    <row r="41" spans="1:7">
      <c r="A41" s="1653"/>
      <c r="B41" s="1653"/>
      <c r="C41" s="1667"/>
      <c r="D41" s="2778"/>
      <c r="E41" s="1672"/>
      <c r="F41" s="1661">
        <v>0</v>
      </c>
    </row>
    <row r="42" spans="1:7">
      <c r="A42" s="1653"/>
      <c r="B42" s="1653"/>
      <c r="C42" s="1488"/>
      <c r="D42" s="2779"/>
      <c r="E42" s="1490"/>
      <c r="F42" s="1493"/>
    </row>
    <row r="43" spans="1:7">
      <c r="A43" s="1653"/>
      <c r="B43" s="1653"/>
      <c r="C43" s="1597" t="s">
        <v>483</v>
      </c>
      <c r="D43" s="2771">
        <f>SUM(D44:D47)</f>
        <v>18096</v>
      </c>
      <c r="E43" s="1464">
        <f>SUM(E44:E47)</f>
        <v>20000</v>
      </c>
      <c r="F43" s="1638">
        <f>SUM(D43:E43)</f>
        <v>38096</v>
      </c>
    </row>
    <row r="44" spans="1:7">
      <c r="A44" s="1653"/>
      <c r="B44" s="1653"/>
      <c r="C44" s="1667" t="s">
        <v>1456</v>
      </c>
      <c r="D44" s="2778">
        <f>16000*0.87</f>
        <v>13920</v>
      </c>
      <c r="E44" s="1672">
        <v>15000</v>
      </c>
      <c r="F44" s="1661">
        <f>SUM(D44:E44)</f>
        <v>28920</v>
      </c>
    </row>
    <row r="45" spans="1:7">
      <c r="A45" s="1653"/>
      <c r="B45" s="1653"/>
      <c r="C45" s="1667" t="s">
        <v>1465</v>
      </c>
      <c r="D45" s="2778">
        <f>4800*0.87</f>
        <v>4176</v>
      </c>
      <c r="E45" s="1672">
        <v>5000</v>
      </c>
      <c r="F45" s="1661">
        <v>0</v>
      </c>
    </row>
    <row r="46" spans="1:7">
      <c r="A46" s="1653"/>
      <c r="B46" s="1653"/>
      <c r="C46" s="1667"/>
      <c r="D46" s="2778"/>
      <c r="E46" s="1672"/>
      <c r="F46" s="1661">
        <v>0</v>
      </c>
    </row>
    <row r="47" spans="1:7">
      <c r="A47" s="1653"/>
      <c r="B47" s="1653"/>
      <c r="C47" s="1667"/>
      <c r="D47" s="2778"/>
      <c r="E47" s="1672"/>
      <c r="F47" s="1661">
        <v>0</v>
      </c>
    </row>
    <row r="48" spans="1:7">
      <c r="A48" s="1653"/>
      <c r="B48" s="1653"/>
      <c r="C48" s="1488"/>
      <c r="D48" s="2779"/>
      <c r="E48" s="1490"/>
      <c r="F48" s="1493"/>
    </row>
    <row r="49" spans="1:6">
      <c r="A49" s="1653"/>
      <c r="B49" s="1653"/>
      <c r="C49" s="1597" t="s">
        <v>47</v>
      </c>
      <c r="D49" s="2771">
        <f>SUM(D50:D53)</f>
        <v>0</v>
      </c>
      <c r="E49" s="1464">
        <f>SUM(E50:E53)</f>
        <v>0</v>
      </c>
      <c r="F49" s="1638">
        <f>SUM(D49:E49)</f>
        <v>0</v>
      </c>
    </row>
    <row r="50" spans="1:6">
      <c r="A50" s="1653"/>
      <c r="B50" s="1653"/>
      <c r="C50" s="1667"/>
      <c r="D50" s="2778"/>
      <c r="E50" s="1672"/>
      <c r="F50" s="1661">
        <f>SUM(D50:E50)</f>
        <v>0</v>
      </c>
    </row>
    <row r="51" spans="1:6">
      <c r="A51" s="1653"/>
      <c r="B51" s="1653"/>
      <c r="C51" s="1667"/>
      <c r="D51" s="2778"/>
      <c r="E51" s="1672"/>
      <c r="F51" s="1661">
        <f>SUM(D51:E51)</f>
        <v>0</v>
      </c>
    </row>
    <row r="52" spans="1:6">
      <c r="A52" s="1653"/>
      <c r="B52" s="1653"/>
      <c r="C52" s="1667"/>
      <c r="D52" s="2778"/>
      <c r="E52" s="1672"/>
      <c r="F52" s="1661">
        <v>0</v>
      </c>
    </row>
    <row r="53" spans="1:6">
      <c r="A53" s="1653"/>
      <c r="B53" s="1653"/>
      <c r="C53" s="1667"/>
      <c r="D53" s="2778"/>
      <c r="E53" s="1672"/>
      <c r="F53" s="1661">
        <v>0</v>
      </c>
    </row>
    <row r="54" spans="1:6">
      <c r="A54" s="1653"/>
      <c r="B54" s="1653"/>
      <c r="C54" s="1488"/>
      <c r="D54" s="2779"/>
      <c r="E54" s="1490"/>
      <c r="F54" s="1493"/>
    </row>
    <row r="55" spans="1:6">
      <c r="A55" s="1653"/>
      <c r="B55" s="1653"/>
      <c r="C55" s="1597" t="s">
        <v>48</v>
      </c>
      <c r="D55" s="2771">
        <f>SUM(D56:D59)</f>
        <v>4350</v>
      </c>
      <c r="E55" s="1464">
        <f>SUM(E56:E59)</f>
        <v>5000</v>
      </c>
      <c r="F55" s="1638">
        <f>SUM(D55:E55)</f>
        <v>9350</v>
      </c>
    </row>
    <row r="56" spans="1:6">
      <c r="A56" s="1653"/>
      <c r="B56" s="1653"/>
      <c r="C56" s="1667" t="s">
        <v>825</v>
      </c>
      <c r="D56" s="2778">
        <f>5000*0.87</f>
        <v>4350</v>
      </c>
      <c r="E56" s="1641">
        <v>5000</v>
      </c>
      <c r="F56" s="1661">
        <f>SUM(D56:E56)</f>
        <v>9350</v>
      </c>
    </row>
    <row r="57" spans="1:6">
      <c r="A57" s="1653"/>
      <c r="B57" s="1653"/>
      <c r="C57" s="1667"/>
      <c r="D57" s="2778"/>
      <c r="E57" s="1641"/>
      <c r="F57" s="1661">
        <f>SUM(D57:E57)</f>
        <v>0</v>
      </c>
    </row>
    <row r="58" spans="1:6">
      <c r="A58" s="1653"/>
      <c r="B58" s="1653"/>
      <c r="C58" s="1667"/>
      <c r="D58" s="2778"/>
      <c r="E58" s="1641"/>
      <c r="F58" s="1661">
        <v>0</v>
      </c>
    </row>
    <row r="59" spans="1:6">
      <c r="A59" s="1653"/>
      <c r="B59" s="1653"/>
      <c r="C59" s="1667"/>
      <c r="D59" s="2778"/>
      <c r="E59" s="1641"/>
      <c r="F59" s="1661">
        <v>0</v>
      </c>
    </row>
    <row r="60" spans="1:6">
      <c r="A60" s="1653"/>
      <c r="B60" s="1653"/>
      <c r="C60" s="1488"/>
      <c r="D60" s="2779"/>
      <c r="E60" s="1490"/>
      <c r="F60" s="1493"/>
    </row>
    <row r="61" spans="1:6">
      <c r="A61" s="1653"/>
      <c r="C61" s="1597" t="s">
        <v>49</v>
      </c>
      <c r="D61" s="2771">
        <f>SUM(D62:D65)</f>
        <v>0</v>
      </c>
      <c r="E61" s="1464">
        <f>SUM(E62:E65)</f>
        <v>0</v>
      </c>
      <c r="F61" s="1638">
        <f>SUM(D61:E61)</f>
        <v>0</v>
      </c>
    </row>
    <row r="62" spans="1:6">
      <c r="C62" s="1667"/>
      <c r="D62" s="2778"/>
      <c r="E62" s="1672"/>
      <c r="F62" s="1661">
        <f>SUM(D62:E62)</f>
        <v>0</v>
      </c>
    </row>
    <row r="63" spans="1:6">
      <c r="C63" s="1667"/>
      <c r="D63" s="2778"/>
      <c r="E63" s="1672"/>
      <c r="F63" s="1661">
        <v>0</v>
      </c>
    </row>
    <row r="64" spans="1:6">
      <c r="C64" s="1667"/>
      <c r="D64" s="2778"/>
      <c r="E64" s="1672"/>
      <c r="F64" s="1437">
        <v>0</v>
      </c>
    </row>
    <row r="65" spans="3:6">
      <c r="C65" s="1667"/>
      <c r="D65" s="2778"/>
      <c r="E65" s="1672"/>
      <c r="F65" s="1661">
        <v>0</v>
      </c>
    </row>
    <row r="66" spans="3:6">
      <c r="C66" s="1488"/>
      <c r="D66" s="2779"/>
      <c r="E66" s="1490"/>
      <c r="F66" s="1493"/>
    </row>
    <row r="67" spans="3:6">
      <c r="C67" s="1597"/>
      <c r="D67" s="2771"/>
      <c r="E67" s="1464"/>
      <c r="F67" s="1638"/>
    </row>
    <row r="68" spans="3:6">
      <c r="C68" s="1500"/>
      <c r="D68" s="2781"/>
      <c r="E68" s="1496"/>
      <c r="F68" s="1499"/>
    </row>
    <row r="69" spans="3:6">
      <c r="C69" s="1501"/>
      <c r="D69" s="2782"/>
      <c r="E69" s="1497"/>
      <c r="F69" s="1498"/>
    </row>
    <row r="70" spans="3:6">
      <c r="C70" s="1494"/>
      <c r="D70" s="2778"/>
      <c r="E70" s="1671"/>
      <c r="F70" s="1491"/>
    </row>
  </sheetData>
  <customSheetViews>
    <customSheetView guid="{D9EFFE19-D14B-4C6F-BDF4-FF696F73968D}" showGridLines="0">
      <pane xSplit="1" ySplit="1" topLeftCell="B2" activePane="bottomRight" state="frozen"/>
      <selection pane="bottomRight" activeCell="I26" sqref="I26"/>
      <pageMargins left="0.7" right="0.7" top="0.75" bottom="0.75" header="0.3" footer="0.3"/>
    </customSheetView>
    <customSheetView guid="{074EB09C-6289-46D7-9513-012B68BCA7BF}" showGridLines="0">
      <pane xSplit="1" ySplit="1" topLeftCell="B14" activePane="bottomRight" state="frozen"/>
      <selection pane="bottomRight" activeCell="G26" sqref="G26"/>
      <pageMargins left="0.7" right="0.7" top="0.75" bottom="0.75" header="0.3" footer="0.3"/>
    </customSheetView>
  </customSheetViews>
  <pageMargins left="0.45" right="0.2" top="0.75" bottom="0.75" header="0.3" footer="0.3"/>
  <pageSetup paperSize="3" scale="60" orientation="landscape" horizontalDpi="1200" verticalDpi="1200"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B1A0C7"/>
    <pageSetUpPr fitToPage="1"/>
  </sheetPr>
  <dimension ref="A1:R70"/>
  <sheetViews>
    <sheetView showGridLines="0" zoomScaleNormal="100" workbookViewId="0">
      <pane xSplit="1" ySplit="1" topLeftCell="B2" activePane="bottomRight" state="frozen"/>
      <selection pane="topRight" activeCell="B1" sqref="B1"/>
      <selection pane="bottomLeft" activeCell="A2" sqref="A2"/>
      <selection pane="bottomRight"/>
    </sheetView>
  </sheetViews>
  <sheetFormatPr defaultRowHeight="12.75"/>
  <cols>
    <col min="1" max="1" width="18.5703125" style="501" customWidth="1"/>
    <col min="2" max="2" width="16.140625" style="1413" customWidth="1"/>
    <col min="3" max="3" width="30.7109375" style="501" customWidth="1"/>
    <col min="4" max="5" width="19.28515625" style="501" customWidth="1"/>
    <col min="6" max="6" width="23.7109375" style="501" customWidth="1"/>
    <col min="7" max="7" width="19.7109375" style="501" customWidth="1"/>
    <col min="8" max="11" width="23.7109375" style="501" customWidth="1"/>
    <col min="12" max="12" width="19.140625" style="501" customWidth="1"/>
    <col min="13" max="13" width="14.28515625" style="501" customWidth="1"/>
    <col min="14" max="14" width="18.85546875" style="501" customWidth="1"/>
    <col min="15" max="15" width="12.28515625" style="501" customWidth="1"/>
    <col min="16" max="16" width="18.28515625" style="501" customWidth="1"/>
    <col min="17" max="17" width="11.140625" style="501" customWidth="1"/>
    <col min="18" max="18" width="12.28515625" style="501" customWidth="1"/>
    <col min="19" max="249" width="9.140625" style="501"/>
    <col min="250" max="250" width="36.7109375" style="501" customWidth="1"/>
    <col min="251" max="252" width="23.7109375" style="501" customWidth="1"/>
    <col min="253" max="253" width="34.140625" style="501" customWidth="1"/>
    <col min="254" max="259" width="23.7109375" style="501" customWidth="1"/>
    <col min="260" max="260" width="19.140625" style="501" customWidth="1"/>
    <col min="261" max="261" width="14.28515625" style="501" customWidth="1"/>
    <col min="262" max="262" width="23.7109375" style="501" customWidth="1"/>
    <col min="263" max="263" width="12.28515625" style="501" customWidth="1"/>
    <col min="264" max="264" width="18.28515625" style="501" customWidth="1"/>
    <col min="265" max="505" width="9.140625" style="501"/>
    <col min="506" max="506" width="36.7109375" style="501" customWidth="1"/>
    <col min="507" max="508" width="23.7109375" style="501" customWidth="1"/>
    <col min="509" max="509" width="34.140625" style="501" customWidth="1"/>
    <col min="510" max="515" width="23.7109375" style="501" customWidth="1"/>
    <col min="516" max="516" width="19.140625" style="501" customWidth="1"/>
    <col min="517" max="517" width="14.28515625" style="501" customWidth="1"/>
    <col min="518" max="518" width="23.7109375" style="501" customWidth="1"/>
    <col min="519" max="519" width="12.28515625" style="501" customWidth="1"/>
    <col min="520" max="520" width="18.28515625" style="501" customWidth="1"/>
    <col min="521" max="761" width="9.140625" style="501"/>
    <col min="762" max="762" width="36.7109375" style="501" customWidth="1"/>
    <col min="763" max="764" width="23.7109375" style="501" customWidth="1"/>
    <col min="765" max="765" width="34.140625" style="501" customWidth="1"/>
    <col min="766" max="771" width="23.7109375" style="501" customWidth="1"/>
    <col min="772" max="772" width="19.140625" style="501" customWidth="1"/>
    <col min="773" max="773" width="14.28515625" style="501" customWidth="1"/>
    <col min="774" max="774" width="23.7109375" style="501" customWidth="1"/>
    <col min="775" max="775" width="12.28515625" style="501" customWidth="1"/>
    <col min="776" max="776" width="18.28515625" style="501" customWidth="1"/>
    <col min="777" max="1017" width="9.140625" style="501"/>
    <col min="1018" max="1018" width="36.7109375" style="501" customWidth="1"/>
    <col min="1019" max="1020" width="23.7109375" style="501" customWidth="1"/>
    <col min="1021" max="1021" width="34.140625" style="501" customWidth="1"/>
    <col min="1022" max="1027" width="23.7109375" style="501" customWidth="1"/>
    <col min="1028" max="1028" width="19.140625" style="501" customWidth="1"/>
    <col min="1029" max="1029" width="14.28515625" style="501" customWidth="1"/>
    <col min="1030" max="1030" width="23.7109375" style="501" customWidth="1"/>
    <col min="1031" max="1031" width="12.28515625" style="501" customWidth="1"/>
    <col min="1032" max="1032" width="18.28515625" style="501" customWidth="1"/>
    <col min="1033" max="1273" width="9.140625" style="501"/>
    <col min="1274" max="1274" width="36.7109375" style="501" customWidth="1"/>
    <col min="1275" max="1276" width="23.7109375" style="501" customWidth="1"/>
    <col min="1277" max="1277" width="34.140625" style="501" customWidth="1"/>
    <col min="1278" max="1283" width="23.7109375" style="501" customWidth="1"/>
    <col min="1284" max="1284" width="19.140625" style="501" customWidth="1"/>
    <col min="1285" max="1285" width="14.28515625" style="501" customWidth="1"/>
    <col min="1286" max="1286" width="23.7109375" style="501" customWidth="1"/>
    <col min="1287" max="1287" width="12.28515625" style="501" customWidth="1"/>
    <col min="1288" max="1288" width="18.28515625" style="501" customWidth="1"/>
    <col min="1289" max="1529" width="9.140625" style="501"/>
    <col min="1530" max="1530" width="36.7109375" style="501" customWidth="1"/>
    <col min="1531" max="1532" width="23.7109375" style="501" customWidth="1"/>
    <col min="1533" max="1533" width="34.140625" style="501" customWidth="1"/>
    <col min="1534" max="1539" width="23.7109375" style="501" customWidth="1"/>
    <col min="1540" max="1540" width="19.140625" style="501" customWidth="1"/>
    <col min="1541" max="1541" width="14.28515625" style="501" customWidth="1"/>
    <col min="1542" max="1542" width="23.7109375" style="501" customWidth="1"/>
    <col min="1543" max="1543" width="12.28515625" style="501" customWidth="1"/>
    <col min="1544" max="1544" width="18.28515625" style="501" customWidth="1"/>
    <col min="1545" max="1785" width="9.140625" style="501"/>
    <col min="1786" max="1786" width="36.7109375" style="501" customWidth="1"/>
    <col min="1787" max="1788" width="23.7109375" style="501" customWidth="1"/>
    <col min="1789" max="1789" width="34.140625" style="501" customWidth="1"/>
    <col min="1790" max="1795" width="23.7109375" style="501" customWidth="1"/>
    <col min="1796" max="1796" width="19.140625" style="501" customWidth="1"/>
    <col min="1797" max="1797" width="14.28515625" style="501" customWidth="1"/>
    <col min="1798" max="1798" width="23.7109375" style="501" customWidth="1"/>
    <col min="1799" max="1799" width="12.28515625" style="501" customWidth="1"/>
    <col min="1800" max="1800" width="18.28515625" style="501" customWidth="1"/>
    <col min="1801" max="2041" width="9.140625" style="501"/>
    <col min="2042" max="2042" width="36.7109375" style="501" customWidth="1"/>
    <col min="2043" max="2044" width="23.7109375" style="501" customWidth="1"/>
    <col min="2045" max="2045" width="34.140625" style="501" customWidth="1"/>
    <col min="2046" max="2051" width="23.7109375" style="501" customWidth="1"/>
    <col min="2052" max="2052" width="19.140625" style="501" customWidth="1"/>
    <col min="2053" max="2053" width="14.28515625" style="501" customWidth="1"/>
    <col min="2054" max="2054" width="23.7109375" style="501" customWidth="1"/>
    <col min="2055" max="2055" width="12.28515625" style="501" customWidth="1"/>
    <col min="2056" max="2056" width="18.28515625" style="501" customWidth="1"/>
    <col min="2057" max="2297" width="9.140625" style="501"/>
    <col min="2298" max="2298" width="36.7109375" style="501" customWidth="1"/>
    <col min="2299" max="2300" width="23.7109375" style="501" customWidth="1"/>
    <col min="2301" max="2301" width="34.140625" style="501" customWidth="1"/>
    <col min="2302" max="2307" width="23.7109375" style="501" customWidth="1"/>
    <col min="2308" max="2308" width="19.140625" style="501" customWidth="1"/>
    <col min="2309" max="2309" width="14.28515625" style="501" customWidth="1"/>
    <col min="2310" max="2310" width="23.7109375" style="501" customWidth="1"/>
    <col min="2311" max="2311" width="12.28515625" style="501" customWidth="1"/>
    <col min="2312" max="2312" width="18.28515625" style="501" customWidth="1"/>
    <col min="2313" max="2553" width="9.140625" style="501"/>
    <col min="2554" max="2554" width="36.7109375" style="501" customWidth="1"/>
    <col min="2555" max="2556" width="23.7109375" style="501" customWidth="1"/>
    <col min="2557" max="2557" width="34.140625" style="501" customWidth="1"/>
    <col min="2558" max="2563" width="23.7109375" style="501" customWidth="1"/>
    <col min="2564" max="2564" width="19.140625" style="501" customWidth="1"/>
    <col min="2565" max="2565" width="14.28515625" style="501" customWidth="1"/>
    <col min="2566" max="2566" width="23.7109375" style="501" customWidth="1"/>
    <col min="2567" max="2567" width="12.28515625" style="501" customWidth="1"/>
    <col min="2568" max="2568" width="18.28515625" style="501" customWidth="1"/>
    <col min="2569" max="2809" width="9.140625" style="501"/>
    <col min="2810" max="2810" width="36.7109375" style="501" customWidth="1"/>
    <col min="2811" max="2812" width="23.7109375" style="501" customWidth="1"/>
    <col min="2813" max="2813" width="34.140625" style="501" customWidth="1"/>
    <col min="2814" max="2819" width="23.7109375" style="501" customWidth="1"/>
    <col min="2820" max="2820" width="19.140625" style="501" customWidth="1"/>
    <col min="2821" max="2821" width="14.28515625" style="501" customWidth="1"/>
    <col min="2822" max="2822" width="23.7109375" style="501" customWidth="1"/>
    <col min="2823" max="2823" width="12.28515625" style="501" customWidth="1"/>
    <col min="2824" max="2824" width="18.28515625" style="501" customWidth="1"/>
    <col min="2825" max="3065" width="9.140625" style="501"/>
    <col min="3066" max="3066" width="36.7109375" style="501" customWidth="1"/>
    <col min="3067" max="3068" width="23.7109375" style="501" customWidth="1"/>
    <col min="3069" max="3069" width="34.140625" style="501" customWidth="1"/>
    <col min="3070" max="3075" width="23.7109375" style="501" customWidth="1"/>
    <col min="3076" max="3076" width="19.140625" style="501" customWidth="1"/>
    <col min="3077" max="3077" width="14.28515625" style="501" customWidth="1"/>
    <col min="3078" max="3078" width="23.7109375" style="501" customWidth="1"/>
    <col min="3079" max="3079" width="12.28515625" style="501" customWidth="1"/>
    <col min="3080" max="3080" width="18.28515625" style="501" customWidth="1"/>
    <col min="3081" max="3321" width="9.140625" style="501"/>
    <col min="3322" max="3322" width="36.7109375" style="501" customWidth="1"/>
    <col min="3323" max="3324" width="23.7109375" style="501" customWidth="1"/>
    <col min="3325" max="3325" width="34.140625" style="501" customWidth="1"/>
    <col min="3326" max="3331" width="23.7109375" style="501" customWidth="1"/>
    <col min="3332" max="3332" width="19.140625" style="501" customWidth="1"/>
    <col min="3333" max="3333" width="14.28515625" style="501" customWidth="1"/>
    <col min="3334" max="3334" width="23.7109375" style="501" customWidth="1"/>
    <col min="3335" max="3335" width="12.28515625" style="501" customWidth="1"/>
    <col min="3336" max="3336" width="18.28515625" style="501" customWidth="1"/>
    <col min="3337" max="3577" width="9.140625" style="501"/>
    <col min="3578" max="3578" width="36.7109375" style="501" customWidth="1"/>
    <col min="3579" max="3580" width="23.7109375" style="501" customWidth="1"/>
    <col min="3581" max="3581" width="34.140625" style="501" customWidth="1"/>
    <col min="3582" max="3587" width="23.7109375" style="501" customWidth="1"/>
    <col min="3588" max="3588" width="19.140625" style="501" customWidth="1"/>
    <col min="3589" max="3589" width="14.28515625" style="501" customWidth="1"/>
    <col min="3590" max="3590" width="23.7109375" style="501" customWidth="1"/>
    <col min="3591" max="3591" width="12.28515625" style="501" customWidth="1"/>
    <col min="3592" max="3592" width="18.28515625" style="501" customWidth="1"/>
    <col min="3593" max="3833" width="9.140625" style="501"/>
    <col min="3834" max="3834" width="36.7109375" style="501" customWidth="1"/>
    <col min="3835" max="3836" width="23.7109375" style="501" customWidth="1"/>
    <col min="3837" max="3837" width="34.140625" style="501" customWidth="1"/>
    <col min="3838" max="3843" width="23.7109375" style="501" customWidth="1"/>
    <col min="3844" max="3844" width="19.140625" style="501" customWidth="1"/>
    <col min="3845" max="3845" width="14.28515625" style="501" customWidth="1"/>
    <col min="3846" max="3846" width="23.7109375" style="501" customWidth="1"/>
    <col min="3847" max="3847" width="12.28515625" style="501" customWidth="1"/>
    <col min="3848" max="3848" width="18.28515625" style="501" customWidth="1"/>
    <col min="3849" max="4089" width="9.140625" style="501"/>
    <col min="4090" max="4090" width="36.7109375" style="501" customWidth="1"/>
    <col min="4091" max="4092" width="23.7109375" style="501" customWidth="1"/>
    <col min="4093" max="4093" width="34.140625" style="501" customWidth="1"/>
    <col min="4094" max="4099" width="23.7109375" style="501" customWidth="1"/>
    <col min="4100" max="4100" width="19.140625" style="501" customWidth="1"/>
    <col min="4101" max="4101" width="14.28515625" style="501" customWidth="1"/>
    <col min="4102" max="4102" width="23.7109375" style="501" customWidth="1"/>
    <col min="4103" max="4103" width="12.28515625" style="501" customWidth="1"/>
    <col min="4104" max="4104" width="18.28515625" style="501" customWidth="1"/>
    <col min="4105" max="4345" width="9.140625" style="501"/>
    <col min="4346" max="4346" width="36.7109375" style="501" customWidth="1"/>
    <col min="4347" max="4348" width="23.7109375" style="501" customWidth="1"/>
    <col min="4349" max="4349" width="34.140625" style="501" customWidth="1"/>
    <col min="4350" max="4355" width="23.7109375" style="501" customWidth="1"/>
    <col min="4356" max="4356" width="19.140625" style="501" customWidth="1"/>
    <col min="4357" max="4357" width="14.28515625" style="501" customWidth="1"/>
    <col min="4358" max="4358" width="23.7109375" style="501" customWidth="1"/>
    <col min="4359" max="4359" width="12.28515625" style="501" customWidth="1"/>
    <col min="4360" max="4360" width="18.28515625" style="501" customWidth="1"/>
    <col min="4361" max="4601" width="9.140625" style="501"/>
    <col min="4602" max="4602" width="36.7109375" style="501" customWidth="1"/>
    <col min="4603" max="4604" width="23.7109375" style="501" customWidth="1"/>
    <col min="4605" max="4605" width="34.140625" style="501" customWidth="1"/>
    <col min="4606" max="4611" width="23.7109375" style="501" customWidth="1"/>
    <col min="4612" max="4612" width="19.140625" style="501" customWidth="1"/>
    <col min="4613" max="4613" width="14.28515625" style="501" customWidth="1"/>
    <col min="4614" max="4614" width="23.7109375" style="501" customWidth="1"/>
    <col min="4615" max="4615" width="12.28515625" style="501" customWidth="1"/>
    <col min="4616" max="4616" width="18.28515625" style="501" customWidth="1"/>
    <col min="4617" max="4857" width="9.140625" style="501"/>
    <col min="4858" max="4858" width="36.7109375" style="501" customWidth="1"/>
    <col min="4859" max="4860" width="23.7109375" style="501" customWidth="1"/>
    <col min="4861" max="4861" width="34.140625" style="501" customWidth="1"/>
    <col min="4862" max="4867" width="23.7109375" style="501" customWidth="1"/>
    <col min="4868" max="4868" width="19.140625" style="501" customWidth="1"/>
    <col min="4869" max="4869" width="14.28515625" style="501" customWidth="1"/>
    <col min="4870" max="4870" width="23.7109375" style="501" customWidth="1"/>
    <col min="4871" max="4871" width="12.28515625" style="501" customWidth="1"/>
    <col min="4872" max="4872" width="18.28515625" style="501" customWidth="1"/>
    <col min="4873" max="5113" width="9.140625" style="501"/>
    <col min="5114" max="5114" width="36.7109375" style="501" customWidth="1"/>
    <col min="5115" max="5116" width="23.7109375" style="501" customWidth="1"/>
    <col min="5117" max="5117" width="34.140625" style="501" customWidth="1"/>
    <col min="5118" max="5123" width="23.7109375" style="501" customWidth="1"/>
    <col min="5124" max="5124" width="19.140625" style="501" customWidth="1"/>
    <col min="5125" max="5125" width="14.28515625" style="501" customWidth="1"/>
    <col min="5126" max="5126" width="23.7109375" style="501" customWidth="1"/>
    <col min="5127" max="5127" width="12.28515625" style="501" customWidth="1"/>
    <col min="5128" max="5128" width="18.28515625" style="501" customWidth="1"/>
    <col min="5129" max="5369" width="9.140625" style="501"/>
    <col min="5370" max="5370" width="36.7109375" style="501" customWidth="1"/>
    <col min="5371" max="5372" width="23.7109375" style="501" customWidth="1"/>
    <col min="5373" max="5373" width="34.140625" style="501" customWidth="1"/>
    <col min="5374" max="5379" width="23.7109375" style="501" customWidth="1"/>
    <col min="5380" max="5380" width="19.140625" style="501" customWidth="1"/>
    <col min="5381" max="5381" width="14.28515625" style="501" customWidth="1"/>
    <col min="5382" max="5382" width="23.7109375" style="501" customWidth="1"/>
    <col min="5383" max="5383" width="12.28515625" style="501" customWidth="1"/>
    <col min="5384" max="5384" width="18.28515625" style="501" customWidth="1"/>
    <col min="5385" max="5625" width="9.140625" style="501"/>
    <col min="5626" max="5626" width="36.7109375" style="501" customWidth="1"/>
    <col min="5627" max="5628" width="23.7109375" style="501" customWidth="1"/>
    <col min="5629" max="5629" width="34.140625" style="501" customWidth="1"/>
    <col min="5630" max="5635" width="23.7109375" style="501" customWidth="1"/>
    <col min="5636" max="5636" width="19.140625" style="501" customWidth="1"/>
    <col min="5637" max="5637" width="14.28515625" style="501" customWidth="1"/>
    <col min="5638" max="5638" width="23.7109375" style="501" customWidth="1"/>
    <col min="5639" max="5639" width="12.28515625" style="501" customWidth="1"/>
    <col min="5640" max="5640" width="18.28515625" style="501" customWidth="1"/>
    <col min="5641" max="5881" width="9.140625" style="501"/>
    <col min="5882" max="5882" width="36.7109375" style="501" customWidth="1"/>
    <col min="5883" max="5884" width="23.7109375" style="501" customWidth="1"/>
    <col min="5885" max="5885" width="34.140625" style="501" customWidth="1"/>
    <col min="5886" max="5891" width="23.7109375" style="501" customWidth="1"/>
    <col min="5892" max="5892" width="19.140625" style="501" customWidth="1"/>
    <col min="5893" max="5893" width="14.28515625" style="501" customWidth="1"/>
    <col min="5894" max="5894" width="23.7109375" style="501" customWidth="1"/>
    <col min="5895" max="5895" width="12.28515625" style="501" customWidth="1"/>
    <col min="5896" max="5896" width="18.28515625" style="501" customWidth="1"/>
    <col min="5897" max="6137" width="9.140625" style="501"/>
    <col min="6138" max="6138" width="36.7109375" style="501" customWidth="1"/>
    <col min="6139" max="6140" width="23.7109375" style="501" customWidth="1"/>
    <col min="6141" max="6141" width="34.140625" style="501" customWidth="1"/>
    <col min="6142" max="6147" width="23.7109375" style="501" customWidth="1"/>
    <col min="6148" max="6148" width="19.140625" style="501" customWidth="1"/>
    <col min="6149" max="6149" width="14.28515625" style="501" customWidth="1"/>
    <col min="6150" max="6150" width="23.7109375" style="501" customWidth="1"/>
    <col min="6151" max="6151" width="12.28515625" style="501" customWidth="1"/>
    <col min="6152" max="6152" width="18.28515625" style="501" customWidth="1"/>
    <col min="6153" max="6393" width="9.140625" style="501"/>
    <col min="6394" max="6394" width="36.7109375" style="501" customWidth="1"/>
    <col min="6395" max="6396" width="23.7109375" style="501" customWidth="1"/>
    <col min="6397" max="6397" width="34.140625" style="501" customWidth="1"/>
    <col min="6398" max="6403" width="23.7109375" style="501" customWidth="1"/>
    <col min="6404" max="6404" width="19.140625" style="501" customWidth="1"/>
    <col min="6405" max="6405" width="14.28515625" style="501" customWidth="1"/>
    <col min="6406" max="6406" width="23.7109375" style="501" customWidth="1"/>
    <col min="6407" max="6407" width="12.28515625" style="501" customWidth="1"/>
    <col min="6408" max="6408" width="18.28515625" style="501" customWidth="1"/>
    <col min="6409" max="6649" width="9.140625" style="501"/>
    <col min="6650" max="6650" width="36.7109375" style="501" customWidth="1"/>
    <col min="6651" max="6652" width="23.7109375" style="501" customWidth="1"/>
    <col min="6653" max="6653" width="34.140625" style="501" customWidth="1"/>
    <col min="6654" max="6659" width="23.7109375" style="501" customWidth="1"/>
    <col min="6660" max="6660" width="19.140625" style="501" customWidth="1"/>
    <col min="6661" max="6661" width="14.28515625" style="501" customWidth="1"/>
    <col min="6662" max="6662" width="23.7109375" style="501" customWidth="1"/>
    <col min="6663" max="6663" width="12.28515625" style="501" customWidth="1"/>
    <col min="6664" max="6664" width="18.28515625" style="501" customWidth="1"/>
    <col min="6665" max="6905" width="9.140625" style="501"/>
    <col min="6906" max="6906" width="36.7109375" style="501" customWidth="1"/>
    <col min="6907" max="6908" width="23.7109375" style="501" customWidth="1"/>
    <col min="6909" max="6909" width="34.140625" style="501" customWidth="1"/>
    <col min="6910" max="6915" width="23.7109375" style="501" customWidth="1"/>
    <col min="6916" max="6916" width="19.140625" style="501" customWidth="1"/>
    <col min="6917" max="6917" width="14.28515625" style="501" customWidth="1"/>
    <col min="6918" max="6918" width="23.7109375" style="501" customWidth="1"/>
    <col min="6919" max="6919" width="12.28515625" style="501" customWidth="1"/>
    <col min="6920" max="6920" width="18.28515625" style="501" customWidth="1"/>
    <col min="6921" max="7161" width="9.140625" style="501"/>
    <col min="7162" max="7162" width="36.7109375" style="501" customWidth="1"/>
    <col min="7163" max="7164" width="23.7109375" style="501" customWidth="1"/>
    <col min="7165" max="7165" width="34.140625" style="501" customWidth="1"/>
    <col min="7166" max="7171" width="23.7109375" style="501" customWidth="1"/>
    <col min="7172" max="7172" width="19.140625" style="501" customWidth="1"/>
    <col min="7173" max="7173" width="14.28515625" style="501" customWidth="1"/>
    <col min="7174" max="7174" width="23.7109375" style="501" customWidth="1"/>
    <col min="7175" max="7175" width="12.28515625" style="501" customWidth="1"/>
    <col min="7176" max="7176" width="18.28515625" style="501" customWidth="1"/>
    <col min="7177" max="7417" width="9.140625" style="501"/>
    <col min="7418" max="7418" width="36.7109375" style="501" customWidth="1"/>
    <col min="7419" max="7420" width="23.7109375" style="501" customWidth="1"/>
    <col min="7421" max="7421" width="34.140625" style="501" customWidth="1"/>
    <col min="7422" max="7427" width="23.7109375" style="501" customWidth="1"/>
    <col min="7428" max="7428" width="19.140625" style="501" customWidth="1"/>
    <col min="7429" max="7429" width="14.28515625" style="501" customWidth="1"/>
    <col min="7430" max="7430" width="23.7109375" style="501" customWidth="1"/>
    <col min="7431" max="7431" width="12.28515625" style="501" customWidth="1"/>
    <col min="7432" max="7432" width="18.28515625" style="501" customWidth="1"/>
    <col min="7433" max="7673" width="9.140625" style="501"/>
    <col min="7674" max="7674" width="36.7109375" style="501" customWidth="1"/>
    <col min="7675" max="7676" width="23.7109375" style="501" customWidth="1"/>
    <col min="7677" max="7677" width="34.140625" style="501" customWidth="1"/>
    <col min="7678" max="7683" width="23.7109375" style="501" customWidth="1"/>
    <col min="7684" max="7684" width="19.140625" style="501" customWidth="1"/>
    <col min="7685" max="7685" width="14.28515625" style="501" customWidth="1"/>
    <col min="7686" max="7686" width="23.7109375" style="501" customWidth="1"/>
    <col min="7687" max="7687" width="12.28515625" style="501" customWidth="1"/>
    <col min="7688" max="7688" width="18.28515625" style="501" customWidth="1"/>
    <col min="7689" max="7929" width="9.140625" style="501"/>
    <col min="7930" max="7930" width="36.7109375" style="501" customWidth="1"/>
    <col min="7931" max="7932" width="23.7109375" style="501" customWidth="1"/>
    <col min="7933" max="7933" width="34.140625" style="501" customWidth="1"/>
    <col min="7934" max="7939" width="23.7109375" style="501" customWidth="1"/>
    <col min="7940" max="7940" width="19.140625" style="501" customWidth="1"/>
    <col min="7941" max="7941" width="14.28515625" style="501" customWidth="1"/>
    <col min="7942" max="7942" width="23.7109375" style="501" customWidth="1"/>
    <col min="7943" max="7943" width="12.28515625" style="501" customWidth="1"/>
    <col min="7944" max="7944" width="18.28515625" style="501" customWidth="1"/>
    <col min="7945" max="8185" width="9.140625" style="501"/>
    <col min="8186" max="8186" width="36.7109375" style="501" customWidth="1"/>
    <col min="8187" max="8188" width="23.7109375" style="501" customWidth="1"/>
    <col min="8189" max="8189" width="34.140625" style="501" customWidth="1"/>
    <col min="8190" max="8195" width="23.7109375" style="501" customWidth="1"/>
    <col min="8196" max="8196" width="19.140625" style="501" customWidth="1"/>
    <col min="8197" max="8197" width="14.28515625" style="501" customWidth="1"/>
    <col min="8198" max="8198" width="23.7109375" style="501" customWidth="1"/>
    <col min="8199" max="8199" width="12.28515625" style="501" customWidth="1"/>
    <col min="8200" max="8200" width="18.28515625" style="501" customWidth="1"/>
    <col min="8201" max="8441" width="9.140625" style="501"/>
    <col min="8442" max="8442" width="36.7109375" style="501" customWidth="1"/>
    <col min="8443" max="8444" width="23.7109375" style="501" customWidth="1"/>
    <col min="8445" max="8445" width="34.140625" style="501" customWidth="1"/>
    <col min="8446" max="8451" width="23.7109375" style="501" customWidth="1"/>
    <col min="8452" max="8452" width="19.140625" style="501" customWidth="1"/>
    <col min="8453" max="8453" width="14.28515625" style="501" customWidth="1"/>
    <col min="8454" max="8454" width="23.7109375" style="501" customWidth="1"/>
    <col min="8455" max="8455" width="12.28515625" style="501" customWidth="1"/>
    <col min="8456" max="8456" width="18.28515625" style="501" customWidth="1"/>
    <col min="8457" max="8697" width="9.140625" style="501"/>
    <col min="8698" max="8698" width="36.7109375" style="501" customWidth="1"/>
    <col min="8699" max="8700" width="23.7109375" style="501" customWidth="1"/>
    <col min="8701" max="8701" width="34.140625" style="501" customWidth="1"/>
    <col min="8702" max="8707" width="23.7109375" style="501" customWidth="1"/>
    <col min="8708" max="8708" width="19.140625" style="501" customWidth="1"/>
    <col min="8709" max="8709" width="14.28515625" style="501" customWidth="1"/>
    <col min="8710" max="8710" width="23.7109375" style="501" customWidth="1"/>
    <col min="8711" max="8711" width="12.28515625" style="501" customWidth="1"/>
    <col min="8712" max="8712" width="18.28515625" style="501" customWidth="1"/>
    <col min="8713" max="8953" width="9.140625" style="501"/>
    <col min="8954" max="8954" width="36.7109375" style="501" customWidth="1"/>
    <col min="8955" max="8956" width="23.7109375" style="501" customWidth="1"/>
    <col min="8957" max="8957" width="34.140625" style="501" customWidth="1"/>
    <col min="8958" max="8963" width="23.7109375" style="501" customWidth="1"/>
    <col min="8964" max="8964" width="19.140625" style="501" customWidth="1"/>
    <col min="8965" max="8965" width="14.28515625" style="501" customWidth="1"/>
    <col min="8966" max="8966" width="23.7109375" style="501" customWidth="1"/>
    <col min="8967" max="8967" width="12.28515625" style="501" customWidth="1"/>
    <col min="8968" max="8968" width="18.28515625" style="501" customWidth="1"/>
    <col min="8969" max="9209" width="9.140625" style="501"/>
    <col min="9210" max="9210" width="36.7109375" style="501" customWidth="1"/>
    <col min="9211" max="9212" width="23.7109375" style="501" customWidth="1"/>
    <col min="9213" max="9213" width="34.140625" style="501" customWidth="1"/>
    <col min="9214" max="9219" width="23.7109375" style="501" customWidth="1"/>
    <col min="9220" max="9220" width="19.140625" style="501" customWidth="1"/>
    <col min="9221" max="9221" width="14.28515625" style="501" customWidth="1"/>
    <col min="9222" max="9222" width="23.7109375" style="501" customWidth="1"/>
    <col min="9223" max="9223" width="12.28515625" style="501" customWidth="1"/>
    <col min="9224" max="9224" width="18.28515625" style="501" customWidth="1"/>
    <col min="9225" max="9465" width="9.140625" style="501"/>
    <col min="9466" max="9466" width="36.7109375" style="501" customWidth="1"/>
    <col min="9467" max="9468" width="23.7109375" style="501" customWidth="1"/>
    <col min="9469" max="9469" width="34.140625" style="501" customWidth="1"/>
    <col min="9470" max="9475" width="23.7109375" style="501" customWidth="1"/>
    <col min="9476" max="9476" width="19.140625" style="501" customWidth="1"/>
    <col min="9477" max="9477" width="14.28515625" style="501" customWidth="1"/>
    <col min="9478" max="9478" width="23.7109375" style="501" customWidth="1"/>
    <col min="9479" max="9479" width="12.28515625" style="501" customWidth="1"/>
    <col min="9480" max="9480" width="18.28515625" style="501" customWidth="1"/>
    <col min="9481" max="9721" width="9.140625" style="501"/>
    <col min="9722" max="9722" width="36.7109375" style="501" customWidth="1"/>
    <col min="9723" max="9724" width="23.7109375" style="501" customWidth="1"/>
    <col min="9725" max="9725" width="34.140625" style="501" customWidth="1"/>
    <col min="9726" max="9731" width="23.7109375" style="501" customWidth="1"/>
    <col min="9732" max="9732" width="19.140625" style="501" customWidth="1"/>
    <col min="9733" max="9733" width="14.28515625" style="501" customWidth="1"/>
    <col min="9734" max="9734" width="23.7109375" style="501" customWidth="1"/>
    <col min="9735" max="9735" width="12.28515625" style="501" customWidth="1"/>
    <col min="9736" max="9736" width="18.28515625" style="501" customWidth="1"/>
    <col min="9737" max="9977" width="9.140625" style="501"/>
    <col min="9978" max="9978" width="36.7109375" style="501" customWidth="1"/>
    <col min="9979" max="9980" width="23.7109375" style="501" customWidth="1"/>
    <col min="9981" max="9981" width="34.140625" style="501" customWidth="1"/>
    <col min="9982" max="9987" width="23.7109375" style="501" customWidth="1"/>
    <col min="9988" max="9988" width="19.140625" style="501" customWidth="1"/>
    <col min="9989" max="9989" width="14.28515625" style="501" customWidth="1"/>
    <col min="9990" max="9990" width="23.7109375" style="501" customWidth="1"/>
    <col min="9991" max="9991" width="12.28515625" style="501" customWidth="1"/>
    <col min="9992" max="9992" width="18.28515625" style="501" customWidth="1"/>
    <col min="9993" max="10233" width="9.140625" style="501"/>
    <col min="10234" max="10234" width="36.7109375" style="501" customWidth="1"/>
    <col min="10235" max="10236" width="23.7109375" style="501" customWidth="1"/>
    <col min="10237" max="10237" width="34.140625" style="501" customWidth="1"/>
    <col min="10238" max="10243" width="23.7109375" style="501" customWidth="1"/>
    <col min="10244" max="10244" width="19.140625" style="501" customWidth="1"/>
    <col min="10245" max="10245" width="14.28515625" style="501" customWidth="1"/>
    <col min="10246" max="10246" width="23.7109375" style="501" customWidth="1"/>
    <col min="10247" max="10247" width="12.28515625" style="501" customWidth="1"/>
    <col min="10248" max="10248" width="18.28515625" style="501" customWidth="1"/>
    <col min="10249" max="10489" width="9.140625" style="501"/>
    <col min="10490" max="10490" width="36.7109375" style="501" customWidth="1"/>
    <col min="10491" max="10492" width="23.7109375" style="501" customWidth="1"/>
    <col min="10493" max="10493" width="34.140625" style="501" customWidth="1"/>
    <col min="10494" max="10499" width="23.7109375" style="501" customWidth="1"/>
    <col min="10500" max="10500" width="19.140625" style="501" customWidth="1"/>
    <col min="10501" max="10501" width="14.28515625" style="501" customWidth="1"/>
    <col min="10502" max="10502" width="23.7109375" style="501" customWidth="1"/>
    <col min="10503" max="10503" width="12.28515625" style="501" customWidth="1"/>
    <col min="10504" max="10504" width="18.28515625" style="501" customWidth="1"/>
    <col min="10505" max="10745" width="9.140625" style="501"/>
    <col min="10746" max="10746" width="36.7109375" style="501" customWidth="1"/>
    <col min="10747" max="10748" width="23.7109375" style="501" customWidth="1"/>
    <col min="10749" max="10749" width="34.140625" style="501" customWidth="1"/>
    <col min="10750" max="10755" width="23.7109375" style="501" customWidth="1"/>
    <col min="10756" max="10756" width="19.140625" style="501" customWidth="1"/>
    <col min="10757" max="10757" width="14.28515625" style="501" customWidth="1"/>
    <col min="10758" max="10758" width="23.7109375" style="501" customWidth="1"/>
    <col min="10759" max="10759" width="12.28515625" style="501" customWidth="1"/>
    <col min="10760" max="10760" width="18.28515625" style="501" customWidth="1"/>
    <col min="10761" max="11001" width="9.140625" style="501"/>
    <col min="11002" max="11002" width="36.7109375" style="501" customWidth="1"/>
    <col min="11003" max="11004" width="23.7109375" style="501" customWidth="1"/>
    <col min="11005" max="11005" width="34.140625" style="501" customWidth="1"/>
    <col min="11006" max="11011" width="23.7109375" style="501" customWidth="1"/>
    <col min="11012" max="11012" width="19.140625" style="501" customWidth="1"/>
    <col min="11013" max="11013" width="14.28515625" style="501" customWidth="1"/>
    <col min="11014" max="11014" width="23.7109375" style="501" customWidth="1"/>
    <col min="11015" max="11015" width="12.28515625" style="501" customWidth="1"/>
    <col min="11016" max="11016" width="18.28515625" style="501" customWidth="1"/>
    <col min="11017" max="11257" width="9.140625" style="501"/>
    <col min="11258" max="11258" width="36.7109375" style="501" customWidth="1"/>
    <col min="11259" max="11260" width="23.7109375" style="501" customWidth="1"/>
    <col min="11261" max="11261" width="34.140625" style="501" customWidth="1"/>
    <col min="11262" max="11267" width="23.7109375" style="501" customWidth="1"/>
    <col min="11268" max="11268" width="19.140625" style="501" customWidth="1"/>
    <col min="11269" max="11269" width="14.28515625" style="501" customWidth="1"/>
    <col min="11270" max="11270" width="23.7109375" style="501" customWidth="1"/>
    <col min="11271" max="11271" width="12.28515625" style="501" customWidth="1"/>
    <col min="11272" max="11272" width="18.28515625" style="501" customWidth="1"/>
    <col min="11273" max="11513" width="9.140625" style="501"/>
    <col min="11514" max="11514" width="36.7109375" style="501" customWidth="1"/>
    <col min="11515" max="11516" width="23.7109375" style="501" customWidth="1"/>
    <col min="11517" max="11517" width="34.140625" style="501" customWidth="1"/>
    <col min="11518" max="11523" width="23.7109375" style="501" customWidth="1"/>
    <col min="11524" max="11524" width="19.140625" style="501" customWidth="1"/>
    <col min="11525" max="11525" width="14.28515625" style="501" customWidth="1"/>
    <col min="11526" max="11526" width="23.7109375" style="501" customWidth="1"/>
    <col min="11527" max="11527" width="12.28515625" style="501" customWidth="1"/>
    <col min="11528" max="11528" width="18.28515625" style="501" customWidth="1"/>
    <col min="11529" max="11769" width="9.140625" style="501"/>
    <col min="11770" max="11770" width="36.7109375" style="501" customWidth="1"/>
    <col min="11771" max="11772" width="23.7109375" style="501" customWidth="1"/>
    <col min="11773" max="11773" width="34.140625" style="501" customWidth="1"/>
    <col min="11774" max="11779" width="23.7109375" style="501" customWidth="1"/>
    <col min="11780" max="11780" width="19.140625" style="501" customWidth="1"/>
    <col min="11781" max="11781" width="14.28515625" style="501" customWidth="1"/>
    <col min="11782" max="11782" width="23.7109375" style="501" customWidth="1"/>
    <col min="11783" max="11783" width="12.28515625" style="501" customWidth="1"/>
    <col min="11784" max="11784" width="18.28515625" style="501" customWidth="1"/>
    <col min="11785" max="12025" width="9.140625" style="501"/>
    <col min="12026" max="12026" width="36.7109375" style="501" customWidth="1"/>
    <col min="12027" max="12028" width="23.7109375" style="501" customWidth="1"/>
    <col min="12029" max="12029" width="34.140625" style="501" customWidth="1"/>
    <col min="12030" max="12035" width="23.7109375" style="501" customWidth="1"/>
    <col min="12036" max="12036" width="19.140625" style="501" customWidth="1"/>
    <col min="12037" max="12037" width="14.28515625" style="501" customWidth="1"/>
    <col min="12038" max="12038" width="23.7109375" style="501" customWidth="1"/>
    <col min="12039" max="12039" width="12.28515625" style="501" customWidth="1"/>
    <col min="12040" max="12040" width="18.28515625" style="501" customWidth="1"/>
    <col min="12041" max="12281" width="9.140625" style="501"/>
    <col min="12282" max="12282" width="36.7109375" style="501" customWidth="1"/>
    <col min="12283" max="12284" width="23.7109375" style="501" customWidth="1"/>
    <col min="12285" max="12285" width="34.140625" style="501" customWidth="1"/>
    <col min="12286" max="12291" width="23.7109375" style="501" customWidth="1"/>
    <col min="12292" max="12292" width="19.140625" style="501" customWidth="1"/>
    <col min="12293" max="12293" width="14.28515625" style="501" customWidth="1"/>
    <col min="12294" max="12294" width="23.7109375" style="501" customWidth="1"/>
    <col min="12295" max="12295" width="12.28515625" style="501" customWidth="1"/>
    <col min="12296" max="12296" width="18.28515625" style="501" customWidth="1"/>
    <col min="12297" max="12537" width="9.140625" style="501"/>
    <col min="12538" max="12538" width="36.7109375" style="501" customWidth="1"/>
    <col min="12539" max="12540" width="23.7109375" style="501" customWidth="1"/>
    <col min="12541" max="12541" width="34.140625" style="501" customWidth="1"/>
    <col min="12542" max="12547" width="23.7109375" style="501" customWidth="1"/>
    <col min="12548" max="12548" width="19.140625" style="501" customWidth="1"/>
    <col min="12549" max="12549" width="14.28515625" style="501" customWidth="1"/>
    <col min="12550" max="12550" width="23.7109375" style="501" customWidth="1"/>
    <col min="12551" max="12551" width="12.28515625" style="501" customWidth="1"/>
    <col min="12552" max="12552" width="18.28515625" style="501" customWidth="1"/>
    <col min="12553" max="12793" width="9.140625" style="501"/>
    <col min="12794" max="12794" width="36.7109375" style="501" customWidth="1"/>
    <col min="12795" max="12796" width="23.7109375" style="501" customWidth="1"/>
    <col min="12797" max="12797" width="34.140625" style="501" customWidth="1"/>
    <col min="12798" max="12803" width="23.7109375" style="501" customWidth="1"/>
    <col min="12804" max="12804" width="19.140625" style="501" customWidth="1"/>
    <col min="12805" max="12805" width="14.28515625" style="501" customWidth="1"/>
    <col min="12806" max="12806" width="23.7109375" style="501" customWidth="1"/>
    <col min="12807" max="12807" width="12.28515625" style="501" customWidth="1"/>
    <col min="12808" max="12808" width="18.28515625" style="501" customWidth="1"/>
    <col min="12809" max="13049" width="9.140625" style="501"/>
    <col min="13050" max="13050" width="36.7109375" style="501" customWidth="1"/>
    <col min="13051" max="13052" width="23.7109375" style="501" customWidth="1"/>
    <col min="13053" max="13053" width="34.140625" style="501" customWidth="1"/>
    <col min="13054" max="13059" width="23.7109375" style="501" customWidth="1"/>
    <col min="13060" max="13060" width="19.140625" style="501" customWidth="1"/>
    <col min="13061" max="13061" width="14.28515625" style="501" customWidth="1"/>
    <col min="13062" max="13062" width="23.7109375" style="501" customWidth="1"/>
    <col min="13063" max="13063" width="12.28515625" style="501" customWidth="1"/>
    <col min="13064" max="13064" width="18.28515625" style="501" customWidth="1"/>
    <col min="13065" max="13305" width="9.140625" style="501"/>
    <col min="13306" max="13306" width="36.7109375" style="501" customWidth="1"/>
    <col min="13307" max="13308" width="23.7109375" style="501" customWidth="1"/>
    <col min="13309" max="13309" width="34.140625" style="501" customWidth="1"/>
    <col min="13310" max="13315" width="23.7109375" style="501" customWidth="1"/>
    <col min="13316" max="13316" width="19.140625" style="501" customWidth="1"/>
    <col min="13317" max="13317" width="14.28515625" style="501" customWidth="1"/>
    <col min="13318" max="13318" width="23.7109375" style="501" customWidth="1"/>
    <col min="13319" max="13319" width="12.28515625" style="501" customWidth="1"/>
    <col min="13320" max="13320" width="18.28515625" style="501" customWidth="1"/>
    <col min="13321" max="13561" width="9.140625" style="501"/>
    <col min="13562" max="13562" width="36.7109375" style="501" customWidth="1"/>
    <col min="13563" max="13564" width="23.7109375" style="501" customWidth="1"/>
    <col min="13565" max="13565" width="34.140625" style="501" customWidth="1"/>
    <col min="13566" max="13571" width="23.7109375" style="501" customWidth="1"/>
    <col min="13572" max="13572" width="19.140625" style="501" customWidth="1"/>
    <col min="13573" max="13573" width="14.28515625" style="501" customWidth="1"/>
    <col min="13574" max="13574" width="23.7109375" style="501" customWidth="1"/>
    <col min="13575" max="13575" width="12.28515625" style="501" customWidth="1"/>
    <col min="13576" max="13576" width="18.28515625" style="501" customWidth="1"/>
    <col min="13577" max="13817" width="9.140625" style="501"/>
    <col min="13818" max="13818" width="36.7109375" style="501" customWidth="1"/>
    <col min="13819" max="13820" width="23.7109375" style="501" customWidth="1"/>
    <col min="13821" max="13821" width="34.140625" style="501" customWidth="1"/>
    <col min="13822" max="13827" width="23.7109375" style="501" customWidth="1"/>
    <col min="13828" max="13828" width="19.140625" style="501" customWidth="1"/>
    <col min="13829" max="13829" width="14.28515625" style="501" customWidth="1"/>
    <col min="13830" max="13830" width="23.7109375" style="501" customWidth="1"/>
    <col min="13831" max="13831" width="12.28515625" style="501" customWidth="1"/>
    <col min="13832" max="13832" width="18.28515625" style="501" customWidth="1"/>
    <col min="13833" max="14073" width="9.140625" style="501"/>
    <col min="14074" max="14074" width="36.7109375" style="501" customWidth="1"/>
    <col min="14075" max="14076" width="23.7109375" style="501" customWidth="1"/>
    <col min="14077" max="14077" width="34.140625" style="501" customWidth="1"/>
    <col min="14078" max="14083" width="23.7109375" style="501" customWidth="1"/>
    <col min="14084" max="14084" width="19.140625" style="501" customWidth="1"/>
    <col min="14085" max="14085" width="14.28515625" style="501" customWidth="1"/>
    <col min="14086" max="14086" width="23.7109375" style="501" customWidth="1"/>
    <col min="14087" max="14087" width="12.28515625" style="501" customWidth="1"/>
    <col min="14088" max="14088" width="18.28515625" style="501" customWidth="1"/>
    <col min="14089" max="14329" width="9.140625" style="501"/>
    <col min="14330" max="14330" width="36.7109375" style="501" customWidth="1"/>
    <col min="14331" max="14332" width="23.7109375" style="501" customWidth="1"/>
    <col min="14333" max="14333" width="34.140625" style="501" customWidth="1"/>
    <col min="14334" max="14339" width="23.7109375" style="501" customWidth="1"/>
    <col min="14340" max="14340" width="19.140625" style="501" customWidth="1"/>
    <col min="14341" max="14341" width="14.28515625" style="501" customWidth="1"/>
    <col min="14342" max="14342" width="23.7109375" style="501" customWidth="1"/>
    <col min="14343" max="14343" width="12.28515625" style="501" customWidth="1"/>
    <col min="14344" max="14344" width="18.28515625" style="501" customWidth="1"/>
    <col min="14345" max="14585" width="9.140625" style="501"/>
    <col min="14586" max="14586" width="36.7109375" style="501" customWidth="1"/>
    <col min="14587" max="14588" width="23.7109375" style="501" customWidth="1"/>
    <col min="14589" max="14589" width="34.140625" style="501" customWidth="1"/>
    <col min="14590" max="14595" width="23.7109375" style="501" customWidth="1"/>
    <col min="14596" max="14596" width="19.140625" style="501" customWidth="1"/>
    <col min="14597" max="14597" width="14.28515625" style="501" customWidth="1"/>
    <col min="14598" max="14598" width="23.7109375" style="501" customWidth="1"/>
    <col min="14599" max="14599" width="12.28515625" style="501" customWidth="1"/>
    <col min="14600" max="14600" width="18.28515625" style="501" customWidth="1"/>
    <col min="14601" max="14841" width="9.140625" style="501"/>
    <col min="14842" max="14842" width="36.7109375" style="501" customWidth="1"/>
    <col min="14843" max="14844" width="23.7109375" style="501" customWidth="1"/>
    <col min="14845" max="14845" width="34.140625" style="501" customWidth="1"/>
    <col min="14846" max="14851" width="23.7109375" style="501" customWidth="1"/>
    <col min="14852" max="14852" width="19.140625" style="501" customWidth="1"/>
    <col min="14853" max="14853" width="14.28515625" style="501" customWidth="1"/>
    <col min="14854" max="14854" width="23.7109375" style="501" customWidth="1"/>
    <col min="14855" max="14855" width="12.28515625" style="501" customWidth="1"/>
    <col min="14856" max="14856" width="18.28515625" style="501" customWidth="1"/>
    <col min="14857" max="15097" width="9.140625" style="501"/>
    <col min="15098" max="15098" width="36.7109375" style="501" customWidth="1"/>
    <col min="15099" max="15100" width="23.7109375" style="501" customWidth="1"/>
    <col min="15101" max="15101" width="34.140625" style="501" customWidth="1"/>
    <col min="15102" max="15107" width="23.7109375" style="501" customWidth="1"/>
    <col min="15108" max="15108" width="19.140625" style="501" customWidth="1"/>
    <col min="15109" max="15109" width="14.28515625" style="501" customWidth="1"/>
    <col min="15110" max="15110" width="23.7109375" style="501" customWidth="1"/>
    <col min="15111" max="15111" width="12.28515625" style="501" customWidth="1"/>
    <col min="15112" max="15112" width="18.28515625" style="501" customWidth="1"/>
    <col min="15113" max="15353" width="9.140625" style="501"/>
    <col min="15354" max="15354" width="36.7109375" style="501" customWidth="1"/>
    <col min="15355" max="15356" width="23.7109375" style="501" customWidth="1"/>
    <col min="15357" max="15357" width="34.140625" style="501" customWidth="1"/>
    <col min="15358" max="15363" width="23.7109375" style="501" customWidth="1"/>
    <col min="15364" max="15364" width="19.140625" style="501" customWidth="1"/>
    <col min="15365" max="15365" width="14.28515625" style="501" customWidth="1"/>
    <col min="15366" max="15366" width="23.7109375" style="501" customWidth="1"/>
    <col min="15367" max="15367" width="12.28515625" style="501" customWidth="1"/>
    <col min="15368" max="15368" width="18.28515625" style="501" customWidth="1"/>
    <col min="15369" max="15609" width="9.140625" style="501"/>
    <col min="15610" max="15610" width="36.7109375" style="501" customWidth="1"/>
    <col min="15611" max="15612" width="23.7109375" style="501" customWidth="1"/>
    <col min="15613" max="15613" width="34.140625" style="501" customWidth="1"/>
    <col min="15614" max="15619" width="23.7109375" style="501" customWidth="1"/>
    <col min="15620" max="15620" width="19.140625" style="501" customWidth="1"/>
    <col min="15621" max="15621" width="14.28515625" style="501" customWidth="1"/>
    <col min="15622" max="15622" width="23.7109375" style="501" customWidth="1"/>
    <col min="15623" max="15623" width="12.28515625" style="501" customWidth="1"/>
    <col min="15624" max="15624" width="18.28515625" style="501" customWidth="1"/>
    <col min="15625" max="15865" width="9.140625" style="501"/>
    <col min="15866" max="15866" width="36.7109375" style="501" customWidth="1"/>
    <col min="15867" max="15868" width="23.7109375" style="501" customWidth="1"/>
    <col min="15869" max="15869" width="34.140625" style="501" customWidth="1"/>
    <col min="15870" max="15875" width="23.7109375" style="501" customWidth="1"/>
    <col min="15876" max="15876" width="19.140625" style="501" customWidth="1"/>
    <col min="15877" max="15877" width="14.28515625" style="501" customWidth="1"/>
    <col min="15878" max="15878" width="23.7109375" style="501" customWidth="1"/>
    <col min="15879" max="15879" width="12.28515625" style="501" customWidth="1"/>
    <col min="15880" max="15880" width="18.28515625" style="501" customWidth="1"/>
    <col min="15881" max="16121" width="9.140625" style="501"/>
    <col min="16122" max="16122" width="36.7109375" style="501" customWidth="1"/>
    <col min="16123" max="16124" width="23.7109375" style="501" customWidth="1"/>
    <col min="16125" max="16125" width="34.140625" style="501" customWidth="1"/>
    <col min="16126" max="16131" width="23.7109375" style="501" customWidth="1"/>
    <col min="16132" max="16132" width="19.140625" style="501" customWidth="1"/>
    <col min="16133" max="16133" width="14.28515625" style="501" customWidth="1"/>
    <col min="16134" max="16134" width="23.7109375" style="501" customWidth="1"/>
    <col min="16135" max="16135" width="12.28515625" style="501" customWidth="1"/>
    <col min="16136" max="16136" width="18.28515625" style="501" customWidth="1"/>
    <col min="16137" max="16383" width="9.140625" style="501"/>
    <col min="16384" max="16384" width="9.140625" style="501" customWidth="1"/>
  </cols>
  <sheetData>
    <row r="1" spans="1:18" ht="55.5" customHeight="1">
      <c r="D1" s="1666" t="s">
        <v>611</v>
      </c>
      <c r="E1" s="1360" t="s">
        <v>214</v>
      </c>
      <c r="F1" s="1429">
        <v>18230810</v>
      </c>
      <c r="G1" s="1361" t="s">
        <v>4</v>
      </c>
      <c r="M1" s="1666" t="s">
        <v>611</v>
      </c>
      <c r="N1" s="1360" t="s">
        <v>214</v>
      </c>
      <c r="O1" s="1429">
        <v>18230810</v>
      </c>
      <c r="P1" s="1361" t="s">
        <v>4</v>
      </c>
    </row>
    <row r="2" spans="1:18" ht="16.5" thickBot="1">
      <c r="D2" s="481"/>
      <c r="E2" s="1349"/>
      <c r="F2" s="1349"/>
      <c r="G2" s="1354"/>
      <c r="H2" s="1178" t="s">
        <v>627</v>
      </c>
      <c r="I2" s="1354"/>
      <c r="J2" s="1354"/>
      <c r="K2" s="1354"/>
      <c r="L2" s="1354"/>
      <c r="M2" s="1354"/>
      <c r="N2" s="1354"/>
      <c r="O2" s="1354"/>
      <c r="P2" s="1354"/>
      <c r="Q2" s="1354"/>
    </row>
    <row r="3" spans="1:18" ht="26.25" thickBot="1">
      <c r="A3" s="1663" t="s">
        <v>611</v>
      </c>
      <c r="B3" s="1298"/>
      <c r="D3" s="39"/>
      <c r="E3" s="1340"/>
      <c r="F3" s="1340"/>
      <c r="G3" s="1354"/>
      <c r="H3" s="1181" t="s">
        <v>7</v>
      </c>
      <c r="I3" s="2642" t="s">
        <v>8</v>
      </c>
      <c r="J3" s="2642" t="s">
        <v>9</v>
      </c>
      <c r="K3" s="2642" t="s">
        <v>10</v>
      </c>
      <c r="L3" s="2643" t="s">
        <v>482</v>
      </c>
      <c r="M3" s="2642" t="s">
        <v>11</v>
      </c>
      <c r="N3" s="2642" t="s">
        <v>12</v>
      </c>
      <c r="O3" s="2642" t="s">
        <v>13</v>
      </c>
      <c r="P3" s="2643" t="s">
        <v>14</v>
      </c>
      <c r="Q3" s="2642"/>
      <c r="R3" s="2642" t="s">
        <v>15</v>
      </c>
    </row>
    <row r="4" spans="1:18" ht="16.5" thickBot="1">
      <c r="A4" s="1506" t="s">
        <v>214</v>
      </c>
      <c r="B4" s="1506"/>
      <c r="E4" s="1413"/>
      <c r="F4" s="1413"/>
      <c r="G4" s="2946" t="s">
        <v>1726</v>
      </c>
      <c r="H4" s="2959">
        <f>D15</f>
        <v>179468.95</v>
      </c>
      <c r="I4" s="2960">
        <f>D21</f>
        <v>0</v>
      </c>
      <c r="J4" s="2960">
        <f>D27</f>
        <v>119705.78965000002</v>
      </c>
      <c r="K4" s="2960">
        <f>D37</f>
        <v>0</v>
      </c>
      <c r="L4" s="2960">
        <f>D43</f>
        <v>12000</v>
      </c>
      <c r="M4" s="2960">
        <f>D49</f>
        <v>0</v>
      </c>
      <c r="N4" s="2960">
        <f>D55</f>
        <v>0</v>
      </c>
      <c r="O4" s="2960">
        <f>D61</f>
        <v>0</v>
      </c>
      <c r="P4" s="2960">
        <v>0</v>
      </c>
      <c r="Q4" s="2960"/>
      <c r="R4" s="2960">
        <f>SUM(H4:P4)</f>
        <v>311174.73965</v>
      </c>
    </row>
    <row r="5" spans="1:18" ht="15.75">
      <c r="A5" s="1429">
        <v>18230810</v>
      </c>
      <c r="B5" s="501"/>
      <c r="E5" s="1413"/>
      <c r="F5" s="1413"/>
      <c r="G5" s="3205" t="s">
        <v>1753</v>
      </c>
      <c r="H5" s="2617">
        <v>177508.21</v>
      </c>
      <c r="I5" s="2618">
        <v>0</v>
      </c>
      <c r="J5" s="2618">
        <v>120705.5828</v>
      </c>
      <c r="K5" s="2618">
        <v>0</v>
      </c>
      <c r="L5" s="2618">
        <v>12000</v>
      </c>
      <c r="M5" s="2618">
        <v>0</v>
      </c>
      <c r="N5" s="2618">
        <v>0</v>
      </c>
      <c r="O5" s="2618">
        <v>0</v>
      </c>
      <c r="P5" s="2618">
        <v>0</v>
      </c>
      <c r="Q5" s="2618"/>
      <c r="R5" s="2618">
        <v>310213.7928</v>
      </c>
    </row>
    <row r="6" spans="1:18" ht="16.5" thickBot="1">
      <c r="A6" s="1508" t="s">
        <v>4</v>
      </c>
      <c r="B6" s="1429"/>
      <c r="C6" s="942"/>
      <c r="E6" s="1413"/>
      <c r="F6" s="1413"/>
      <c r="G6" s="3206" t="s">
        <v>1754</v>
      </c>
      <c r="H6" s="2621">
        <f>E15</f>
        <v>357451</v>
      </c>
      <c r="I6" s="2622">
        <f>E21</f>
        <v>0</v>
      </c>
      <c r="J6" s="2623">
        <f>E27</f>
        <v>320990.99799999996</v>
      </c>
      <c r="K6" s="2622">
        <f>E37</f>
        <v>0</v>
      </c>
      <c r="L6" s="2622">
        <f>E43</f>
        <v>21660</v>
      </c>
      <c r="M6" s="2622">
        <f>E49</f>
        <v>0</v>
      </c>
      <c r="N6" s="2622">
        <f>E55</f>
        <v>0</v>
      </c>
      <c r="O6" s="2622">
        <f>E61</f>
        <v>0</v>
      </c>
      <c r="P6" s="2622">
        <v>0</v>
      </c>
      <c r="Q6" s="2622"/>
      <c r="R6" s="2622">
        <f>SUM(H6:P6)</f>
        <v>700101.99799999991</v>
      </c>
    </row>
    <row r="7" spans="1:18" s="18" customFormat="1">
      <c r="B7" s="1510"/>
      <c r="E7" s="1409"/>
      <c r="F7" s="1409"/>
      <c r="G7" s="2733"/>
      <c r="H7" s="2607"/>
      <c r="I7" s="2607"/>
      <c r="J7" s="2607"/>
      <c r="K7" s="2607"/>
      <c r="L7" s="2607"/>
      <c r="M7" s="2607"/>
      <c r="N7" s="2607"/>
      <c r="O7" s="2607"/>
      <c r="P7" s="2607"/>
      <c r="Q7" s="2607"/>
      <c r="R7" s="2607"/>
    </row>
    <row r="8" spans="1:18" s="18" customFormat="1" ht="25.5">
      <c r="B8" s="1357"/>
      <c r="E8" s="1409"/>
      <c r="F8" s="1409"/>
      <c r="G8" s="502"/>
      <c r="H8" s="2"/>
      <c r="I8" s="501"/>
      <c r="J8" s="501"/>
      <c r="K8" s="501"/>
      <c r="L8" s="501"/>
      <c r="M8" s="501"/>
      <c r="N8" s="501"/>
      <c r="O8" s="501"/>
      <c r="P8" s="21" t="s">
        <v>17</v>
      </c>
      <c r="Q8" s="501"/>
    </row>
    <row r="9" spans="1:18" s="18" customFormat="1">
      <c r="A9" s="28"/>
      <c r="B9" s="1410"/>
      <c r="E9" s="1409"/>
      <c r="F9" s="1409"/>
      <c r="G9" s="502"/>
      <c r="H9" s="2"/>
      <c r="I9" s="501"/>
      <c r="J9" s="501"/>
      <c r="K9" s="501"/>
      <c r="L9" s="501"/>
      <c r="M9" s="501"/>
      <c r="N9" s="501"/>
      <c r="O9" s="501"/>
      <c r="P9" s="21" t="s">
        <v>18</v>
      </c>
      <c r="Q9" s="501"/>
    </row>
    <row r="10" spans="1:18" s="9" customFormat="1">
      <c r="A10" s="21"/>
      <c r="B10" s="1412"/>
      <c r="C10" s="1454" t="s">
        <v>310</v>
      </c>
      <c r="D10" s="1454"/>
      <c r="E10" s="1454"/>
      <c r="F10" s="1454"/>
    </row>
    <row r="11" spans="1:18" ht="18" customHeight="1">
      <c r="A11" s="21"/>
      <c r="B11" s="1412"/>
      <c r="C11" s="1413"/>
      <c r="D11" s="1413"/>
      <c r="E11" s="1414"/>
      <c r="F11" s="1413"/>
    </row>
    <row r="12" spans="1:18">
      <c r="A12" s="21"/>
      <c r="B12" s="1412"/>
      <c r="C12" s="1434" t="s">
        <v>298</v>
      </c>
      <c r="D12" s="2766">
        <f>D15+D21+D27+D37+D43+D49+D55+D61</f>
        <v>311174.73965</v>
      </c>
      <c r="E12" s="1484">
        <f>E15+E21+E27+E37+E43+E49+E55+E61</f>
        <v>700101.99799999991</v>
      </c>
      <c r="F12" s="1462">
        <f>D12+E12</f>
        <v>1011276.7376499999</v>
      </c>
    </row>
    <row r="13" spans="1:18" ht="13.5" customHeight="1">
      <c r="A13" s="21"/>
      <c r="B13" s="1410"/>
      <c r="C13" s="1483"/>
      <c r="D13" s="2767"/>
      <c r="E13" s="1336"/>
      <c r="F13" s="1413"/>
      <c r="G13" s="939"/>
      <c r="H13" s="939"/>
    </row>
    <row r="14" spans="1:18" s="18" customFormat="1" ht="13.5" customHeight="1">
      <c r="A14" s="28"/>
      <c r="B14" s="1410"/>
      <c r="C14" s="1435" t="s">
        <v>42</v>
      </c>
      <c r="D14" s="2768">
        <v>2016</v>
      </c>
      <c r="E14" s="1502">
        <v>2016</v>
      </c>
      <c r="F14" s="1486" t="s">
        <v>20</v>
      </c>
      <c r="G14" s="29"/>
      <c r="H14" s="29"/>
    </row>
    <row r="15" spans="1:18" s="18" customFormat="1" ht="13.5" customHeight="1">
      <c r="A15" s="28"/>
      <c r="B15" s="1433" t="s">
        <v>296</v>
      </c>
      <c r="C15" s="1451" t="s">
        <v>43</v>
      </c>
      <c r="D15" s="2771">
        <f>SUM(D16:D19)</f>
        <v>179468.95</v>
      </c>
      <c r="E15" s="1464">
        <f>SUM(E16:E19)</f>
        <v>357451</v>
      </c>
      <c r="F15" s="1462">
        <f>SUM(F16:F19)</f>
        <v>536919.94999999995</v>
      </c>
      <c r="G15" s="29"/>
      <c r="H15" s="29"/>
    </row>
    <row r="16" spans="1:18" ht="13.5" customHeight="1">
      <c r="A16" s="21"/>
      <c r="B16" s="1586">
        <v>2</v>
      </c>
      <c r="C16" s="1585" t="s">
        <v>704</v>
      </c>
      <c r="D16" s="2772">
        <v>179468.95</v>
      </c>
      <c r="E16" s="1588">
        <v>136806</v>
      </c>
      <c r="F16" s="1426">
        <f>SUM(D16:E16)</f>
        <v>316274.95</v>
      </c>
    </row>
    <row r="17" spans="1:7" ht="13.5" customHeight="1">
      <c r="A17" s="21"/>
      <c r="B17" s="1586">
        <v>1</v>
      </c>
      <c r="C17" s="1585" t="s">
        <v>2592</v>
      </c>
      <c r="D17" s="2772"/>
      <c r="E17" s="1588">
        <v>83839</v>
      </c>
      <c r="F17" s="1438">
        <f>SUM(D17:E17)</f>
        <v>83839</v>
      </c>
    </row>
    <row r="18" spans="1:7" ht="13.5" customHeight="1">
      <c r="A18" s="21"/>
      <c r="B18" s="1586">
        <v>2</v>
      </c>
      <c r="C18" s="1585" t="s">
        <v>2593</v>
      </c>
      <c r="D18" s="2784"/>
      <c r="E18" s="1587">
        <v>136806</v>
      </c>
      <c r="F18" s="1438">
        <f>SUM(D18:E18)</f>
        <v>136806</v>
      </c>
    </row>
    <row r="19" spans="1:7" ht="13.5" customHeight="1">
      <c r="A19" s="21"/>
      <c r="B19" s="1586"/>
      <c r="C19" s="1585"/>
      <c r="D19" s="2772"/>
      <c r="E19" s="1588"/>
      <c r="F19" s="1438">
        <f>SUM(D19:E19)</f>
        <v>0</v>
      </c>
    </row>
    <row r="20" spans="1:7" ht="13.5" customHeight="1">
      <c r="A20" s="21"/>
      <c r="B20" s="1449">
        <f>SUM(B16:B19)</f>
        <v>5</v>
      </c>
      <c r="C20" s="1488"/>
      <c r="D20" s="2770"/>
      <c r="E20" s="1490"/>
      <c r="F20" s="1492"/>
    </row>
    <row r="21" spans="1:7" ht="13.5" customHeight="1">
      <c r="A21" s="21"/>
      <c r="B21" s="1412"/>
      <c r="C21" s="1451" t="s">
        <v>44</v>
      </c>
      <c r="D21" s="2771">
        <f>SUM(D22:D25)</f>
        <v>0</v>
      </c>
      <c r="E21" s="1464">
        <f>SUM(E22:E25)</f>
        <v>0</v>
      </c>
      <c r="F21" s="1462">
        <f>SUM(F22:F25)</f>
        <v>0</v>
      </c>
      <c r="G21" s="33" t="s">
        <v>6</v>
      </c>
    </row>
    <row r="22" spans="1:7" ht="13.5" customHeight="1">
      <c r="A22" s="21"/>
      <c r="B22" s="1412"/>
      <c r="C22" s="1423"/>
      <c r="D22" s="2772"/>
      <c r="E22" s="1448"/>
      <c r="F22" s="1426">
        <f>SUM(D22:E22)</f>
        <v>0</v>
      </c>
      <c r="G22" s="34"/>
    </row>
    <row r="23" spans="1:7" ht="13.5" customHeight="1">
      <c r="A23" s="21"/>
      <c r="B23" s="1412"/>
      <c r="C23" s="1423"/>
      <c r="D23" s="2773"/>
      <c r="E23" s="1444"/>
      <c r="F23" s="1438">
        <f>SUM(D23:E23)</f>
        <v>0</v>
      </c>
    </row>
    <row r="24" spans="1:7" ht="13.5" customHeight="1">
      <c r="A24" s="21"/>
      <c r="B24" s="1410"/>
      <c r="C24" s="1423"/>
      <c r="D24" s="2774"/>
      <c r="E24" s="1443"/>
      <c r="F24" s="1438">
        <f>SUM(D24:E24)</f>
        <v>0</v>
      </c>
    </row>
    <row r="25" spans="1:7" s="18" customFormat="1" ht="13.5" customHeight="1">
      <c r="A25" s="28"/>
      <c r="B25" s="1412"/>
      <c r="C25" s="1423"/>
      <c r="D25" s="2775"/>
      <c r="E25" s="1444"/>
      <c r="F25" s="1438">
        <f>SUM(D25:E25)</f>
        <v>0</v>
      </c>
    </row>
    <row r="26" spans="1:7" ht="13.5" customHeight="1">
      <c r="A26" s="21"/>
      <c r="B26" s="1410"/>
      <c r="C26" s="1424"/>
      <c r="D26" s="2776"/>
      <c r="E26" s="1431"/>
      <c r="F26" s="1439"/>
    </row>
    <row r="27" spans="1:7" s="18" customFormat="1" ht="13.5" customHeight="1">
      <c r="A27" s="28"/>
      <c r="B27" s="1412"/>
      <c r="C27" s="1451" t="s">
        <v>45</v>
      </c>
      <c r="D27" s="2771">
        <f>SUM(D29:D35)</f>
        <v>119705.78965000002</v>
      </c>
      <c r="E27" s="1657">
        <f>SUM(E29:E31)+SUM(E33:E35)</f>
        <v>320990.99799999996</v>
      </c>
      <c r="F27" s="1462">
        <f>SUM(F29:F35)</f>
        <v>440696.78764999995</v>
      </c>
    </row>
    <row r="28" spans="1:7" ht="13.5" customHeight="1">
      <c r="A28" s="21"/>
      <c r="B28" s="1412"/>
      <c r="C28" s="1450" t="s">
        <v>1733</v>
      </c>
      <c r="D28" s="2777">
        <v>0.66700000000000004</v>
      </c>
      <c r="E28" s="1452">
        <v>0.68799999999999994</v>
      </c>
      <c r="F28" s="1485"/>
    </row>
    <row r="29" spans="1:7" ht="13.5" customHeight="1">
      <c r="A29" s="21"/>
      <c r="B29" s="1412"/>
      <c r="C29" s="1667" t="s">
        <v>719</v>
      </c>
      <c r="D29" s="2778">
        <f>D15*D28</f>
        <v>119705.78965000002</v>
      </c>
      <c r="E29" s="1504">
        <f>E15*E28</f>
        <v>245926.28799999997</v>
      </c>
      <c r="F29" s="1438">
        <f>SUM(D29:E29)</f>
        <v>365632.07764999999</v>
      </c>
    </row>
    <row r="30" spans="1:7" ht="13.5" customHeight="1">
      <c r="A30" s="21"/>
      <c r="B30" s="1412"/>
      <c r="C30" s="1667" t="s">
        <v>720</v>
      </c>
      <c r="D30" s="2785">
        <f>D21*D28</f>
        <v>0</v>
      </c>
      <c r="E30" s="1504">
        <f>E21*E28</f>
        <v>0</v>
      </c>
      <c r="F30" s="1438">
        <f>SUM(D30:E30)</f>
        <v>0</v>
      </c>
    </row>
    <row r="31" spans="1:7" ht="13.5" customHeight="1">
      <c r="A31" s="21"/>
      <c r="B31" s="1412"/>
      <c r="C31" s="1667"/>
      <c r="D31" s="2774"/>
      <c r="E31" s="1443"/>
      <c r="F31" s="1436">
        <f>SUM(D31:E31)</f>
        <v>0</v>
      </c>
    </row>
    <row r="32" spans="1:7" ht="13.5" customHeight="1">
      <c r="A32" s="21"/>
      <c r="B32" s="1412"/>
      <c r="C32" s="1450" t="s">
        <v>1734</v>
      </c>
      <c r="D32" s="2777"/>
      <c r="E32" s="1452">
        <v>0.21</v>
      </c>
      <c r="F32" s="1485"/>
    </row>
    <row r="33" spans="1:7" ht="13.5" customHeight="1">
      <c r="A33" s="21"/>
      <c r="B33" s="1350"/>
      <c r="C33" s="1667" t="s">
        <v>719</v>
      </c>
      <c r="D33" s="2778"/>
      <c r="E33" s="1641">
        <f>E15*E32</f>
        <v>75064.709999999992</v>
      </c>
      <c r="F33" s="1661">
        <f>SUM(D33:E33)</f>
        <v>75064.709999999992</v>
      </c>
    </row>
    <row r="34" spans="1:7" ht="13.5" customHeight="1">
      <c r="A34" s="425"/>
      <c r="B34" s="1412"/>
      <c r="C34" s="1667" t="s">
        <v>720</v>
      </c>
      <c r="D34" s="2785"/>
      <c r="E34" s="1641">
        <f>E21*E32</f>
        <v>0</v>
      </c>
      <c r="F34" s="1661">
        <f t="shared" ref="F34" si="0">SUM(D34:E34)</f>
        <v>0</v>
      </c>
      <c r="G34" s="37"/>
    </row>
    <row r="35" spans="1:7" ht="13.5" customHeight="1">
      <c r="A35" s="1663" t="s">
        <v>611</v>
      </c>
      <c r="B35" s="1410"/>
      <c r="C35" s="1445"/>
      <c r="D35" s="2775"/>
      <c r="E35" s="1444"/>
      <c r="F35" s="1437">
        <f>SUM(D35:E35)</f>
        <v>0</v>
      </c>
    </row>
    <row r="36" spans="1:7" s="18" customFormat="1" ht="13.5" customHeight="1">
      <c r="A36" s="1506" t="s">
        <v>214</v>
      </c>
      <c r="B36" s="1412"/>
      <c r="C36" s="1488"/>
      <c r="D36" s="2779"/>
      <c r="E36" s="1490"/>
      <c r="F36" s="1493"/>
    </row>
    <row r="37" spans="1:7" ht="13.5" customHeight="1">
      <c r="A37" s="1429">
        <v>18230810</v>
      </c>
      <c r="B37" s="1412"/>
      <c r="C37" s="1451" t="s">
        <v>46</v>
      </c>
      <c r="D37" s="2771">
        <v>0</v>
      </c>
      <c r="E37" s="1464">
        <v>0</v>
      </c>
      <c r="F37" s="1462">
        <v>0</v>
      </c>
    </row>
    <row r="38" spans="1:7" ht="13.5" customHeight="1">
      <c r="A38" s="1508" t="s">
        <v>4</v>
      </c>
      <c r="B38" s="1412"/>
      <c r="C38" s="1423"/>
      <c r="D38" s="2778"/>
      <c r="E38" s="1520"/>
      <c r="F38" s="1438">
        <v>0</v>
      </c>
    </row>
    <row r="39" spans="1:7" ht="13.5" customHeight="1">
      <c r="A39" s="21"/>
      <c r="B39" s="1412"/>
      <c r="C39" s="1423"/>
      <c r="D39" s="2778"/>
      <c r="E39" s="1520"/>
      <c r="F39" s="1438">
        <v>0</v>
      </c>
    </row>
    <row r="40" spans="1:7" ht="13.5" customHeight="1">
      <c r="A40" s="21"/>
      <c r="B40" s="1412"/>
      <c r="C40" s="1423"/>
      <c r="D40" s="2778"/>
      <c r="E40" s="1520"/>
      <c r="F40" s="1438">
        <v>0</v>
      </c>
    </row>
    <row r="41" spans="1:7" ht="13.5" customHeight="1">
      <c r="A41" s="21"/>
      <c r="B41" s="1412"/>
      <c r="C41" s="1423"/>
      <c r="D41" s="2778"/>
      <c r="E41" s="1520"/>
      <c r="F41" s="1438">
        <v>0</v>
      </c>
    </row>
    <row r="42" spans="1:7" ht="13.5" customHeight="1">
      <c r="A42" s="21"/>
      <c r="B42" s="1412"/>
      <c r="C42" s="1488"/>
      <c r="D42" s="2779"/>
      <c r="E42" s="1490"/>
      <c r="F42" s="1493"/>
    </row>
    <row r="43" spans="1:7" s="1652" customFormat="1" ht="13.5" customHeight="1">
      <c r="A43" s="1653"/>
      <c r="B43" s="1653"/>
      <c r="C43" s="1597" t="s">
        <v>483</v>
      </c>
      <c r="D43" s="2771">
        <f>SUM(D44:D47)</f>
        <v>12000</v>
      </c>
      <c r="E43" s="1464">
        <f>SUM(E44:E47)</f>
        <v>21660</v>
      </c>
      <c r="F43" s="1462">
        <f t="shared" ref="F43:F59" si="1">SUM(D43:E43)</f>
        <v>33660</v>
      </c>
    </row>
    <row r="44" spans="1:7" ht="13.5" customHeight="1">
      <c r="A44" s="21"/>
      <c r="B44" s="1412"/>
      <c r="C44" s="1667" t="s">
        <v>705</v>
      </c>
      <c r="D44" s="2778">
        <v>6000</v>
      </c>
      <c r="E44" s="1672">
        <v>6000</v>
      </c>
      <c r="F44" s="1438">
        <f t="shared" si="1"/>
        <v>12000</v>
      </c>
    </row>
    <row r="45" spans="1:7" ht="13.5" customHeight="1">
      <c r="A45" s="21"/>
      <c r="B45" s="1412"/>
      <c r="C45" s="1667" t="s">
        <v>706</v>
      </c>
      <c r="D45" s="2778">
        <v>6000</v>
      </c>
      <c r="E45" s="1672">
        <v>15660</v>
      </c>
      <c r="F45" s="1438">
        <f t="shared" si="1"/>
        <v>21660</v>
      </c>
    </row>
    <row r="46" spans="1:7" ht="13.5" customHeight="1">
      <c r="A46" s="21"/>
      <c r="B46" s="1412"/>
      <c r="C46" s="1667"/>
      <c r="D46" s="2778"/>
      <c r="E46" s="1641"/>
      <c r="F46" s="1661">
        <f t="shared" si="1"/>
        <v>0</v>
      </c>
    </row>
    <row r="47" spans="1:7" ht="13.5" customHeight="1">
      <c r="A47" s="21"/>
      <c r="B47" s="1412"/>
      <c r="C47" s="1589"/>
      <c r="D47" s="2778"/>
      <c r="E47" s="1590"/>
      <c r="F47" s="1438">
        <f t="shared" si="1"/>
        <v>0</v>
      </c>
    </row>
    <row r="48" spans="1:7" ht="13.5" customHeight="1">
      <c r="A48" s="21"/>
      <c r="B48" s="1412"/>
      <c r="C48" s="1488"/>
      <c r="D48" s="2779"/>
      <c r="E48" s="1490"/>
      <c r="F48" s="1493"/>
    </row>
    <row r="49" spans="1:6" ht="13.5" customHeight="1">
      <c r="A49" s="21"/>
      <c r="B49" s="1412"/>
      <c r="C49" s="1451" t="s">
        <v>47</v>
      </c>
      <c r="D49" s="2771">
        <f>SUM(D50:D53)</f>
        <v>0</v>
      </c>
      <c r="E49" s="1464">
        <f>SUM(E50:E53)</f>
        <v>0</v>
      </c>
      <c r="F49" s="1462">
        <f t="shared" si="1"/>
        <v>0</v>
      </c>
    </row>
    <row r="50" spans="1:6" ht="13.5" customHeight="1">
      <c r="A50" s="21"/>
      <c r="B50" s="1412"/>
      <c r="C50" s="1667"/>
      <c r="D50" s="2778"/>
      <c r="E50" s="1520"/>
      <c r="F50" s="1438">
        <f t="shared" si="1"/>
        <v>0</v>
      </c>
    </row>
    <row r="51" spans="1:6" ht="13.5" customHeight="1">
      <c r="A51" s="21"/>
      <c r="B51" s="1412"/>
      <c r="C51" s="1667"/>
      <c r="D51" s="2778"/>
      <c r="E51" s="1520"/>
      <c r="F51" s="1438">
        <f t="shared" si="1"/>
        <v>0</v>
      </c>
    </row>
    <row r="52" spans="1:6" ht="13.5" customHeight="1">
      <c r="A52" s="21"/>
      <c r="B52" s="1412"/>
      <c r="C52" s="1423"/>
      <c r="D52" s="2778"/>
      <c r="E52" s="1520"/>
      <c r="F52" s="1438">
        <f t="shared" si="1"/>
        <v>0</v>
      </c>
    </row>
    <row r="53" spans="1:6" ht="13.5" customHeight="1">
      <c r="A53" s="21"/>
      <c r="B53" s="1412"/>
      <c r="C53" s="1423"/>
      <c r="D53" s="2778"/>
      <c r="E53" s="1520"/>
      <c r="F53" s="1438">
        <f t="shared" si="1"/>
        <v>0</v>
      </c>
    </row>
    <row r="54" spans="1:6" ht="13.5" customHeight="1">
      <c r="A54" s="21"/>
      <c r="B54" s="1412"/>
      <c r="C54" s="1488"/>
      <c r="D54" s="2779"/>
      <c r="E54" s="1490"/>
      <c r="F54" s="1493"/>
    </row>
    <row r="55" spans="1:6" ht="13.5" customHeight="1">
      <c r="A55" s="21"/>
      <c r="B55" s="1412"/>
      <c r="C55" s="1451" t="s">
        <v>48</v>
      </c>
      <c r="D55" s="2771">
        <f>SUM(D56:D59)</f>
        <v>0</v>
      </c>
      <c r="E55" s="1464">
        <f>SUM(E56:E59)</f>
        <v>0</v>
      </c>
      <c r="F55" s="1462">
        <f t="shared" si="1"/>
        <v>0</v>
      </c>
    </row>
    <row r="56" spans="1:6" ht="13.5" customHeight="1">
      <c r="A56" s="21"/>
      <c r="B56" s="1412"/>
      <c r="C56" s="1585"/>
      <c r="D56" s="2778"/>
      <c r="E56" s="1504"/>
      <c r="F56" s="1438">
        <f t="shared" si="1"/>
        <v>0</v>
      </c>
    </row>
    <row r="57" spans="1:6" ht="13.5" customHeight="1">
      <c r="A57" s="21"/>
      <c r="B57" s="1412"/>
      <c r="C57" s="1423"/>
      <c r="D57" s="2778"/>
      <c r="E57" s="1504"/>
      <c r="F57" s="1438">
        <f t="shared" si="1"/>
        <v>0</v>
      </c>
    </row>
    <row r="58" spans="1:6" ht="13.5" customHeight="1">
      <c r="A58" s="21"/>
      <c r="B58" s="1412"/>
      <c r="C58" s="1423"/>
      <c r="D58" s="2778"/>
      <c r="E58" s="1504"/>
      <c r="F58" s="1438">
        <f t="shared" si="1"/>
        <v>0</v>
      </c>
    </row>
    <row r="59" spans="1:6" ht="13.5" customHeight="1">
      <c r="A59" s="21"/>
      <c r="B59" s="1412"/>
      <c r="C59" s="1423"/>
      <c r="D59" s="2778"/>
      <c r="E59" s="1504"/>
      <c r="F59" s="1438">
        <f t="shared" si="1"/>
        <v>0</v>
      </c>
    </row>
    <row r="60" spans="1:6" ht="13.5" customHeight="1">
      <c r="A60" s="21"/>
      <c r="B60" s="1412"/>
      <c r="C60" s="1488"/>
      <c r="D60" s="2779"/>
      <c r="E60" s="1490"/>
      <c r="F60" s="1493"/>
    </row>
    <row r="61" spans="1:6" ht="13.5" customHeight="1">
      <c r="A61" s="21"/>
      <c r="C61" s="1451" t="s">
        <v>49</v>
      </c>
      <c r="D61" s="2771">
        <f>SUM(D62:D63)</f>
        <v>0</v>
      </c>
      <c r="E61" s="1464">
        <f>SUM(E62:E63)</f>
        <v>0</v>
      </c>
      <c r="F61" s="1462">
        <f>SUM(F62:F63)</f>
        <v>0</v>
      </c>
    </row>
    <row r="62" spans="1:6">
      <c r="C62" s="1423"/>
      <c r="D62" s="2778"/>
      <c r="E62" s="1520"/>
      <c r="F62" s="1438">
        <f>SUM(D62:E62)</f>
        <v>0</v>
      </c>
    </row>
    <row r="63" spans="1:6">
      <c r="C63" s="1423"/>
      <c r="D63" s="2778"/>
      <c r="E63" s="1520"/>
      <c r="F63" s="1438">
        <f>SUM(D63:E63)</f>
        <v>0</v>
      </c>
    </row>
    <row r="64" spans="1:6">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C47" sqref="C47:C48"/>
      <pageMargins left="0.18" right="0.24" top="0.34" bottom="0.42" header="0.3" footer="0.3"/>
      <pageSetup paperSize="17" scale="62" orientation="landscape" r:id="rId1"/>
    </customSheetView>
    <customSheetView guid="{074EB09C-6289-46D7-9513-012B68BCA7BF}" showGridLines="0" fitToPage="1">
      <pane xSplit="1" ySplit="1" topLeftCell="B2" activePane="bottomRight" state="frozen"/>
      <selection pane="bottomRight" activeCell="G4" sqref="G4:G6"/>
      <pageMargins left="0.18" right="0.24" top="0.34" bottom="0.42" header="0.3" footer="0.3"/>
      <pageSetup paperSize="17" scale="62" orientation="landscape" r:id="rId2"/>
    </customSheetView>
  </customSheetViews>
  <pageMargins left="0.18" right="0.24" top="0.34" bottom="0.42" header="0.3" footer="0.3"/>
  <pageSetup paperSize="3" scale="61" orientation="landscape"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theme="7" tint="0.39997558519241921"/>
  </sheetPr>
  <dimension ref="B2:V111"/>
  <sheetViews>
    <sheetView topLeftCell="B1" workbookViewId="0">
      <pane xSplit="7" ySplit="5" topLeftCell="I6" activePane="bottomRight" state="frozen"/>
      <selection activeCell="B1" sqref="B1"/>
      <selection pane="topRight" activeCell="I1" sqref="I1"/>
      <selection pane="bottomLeft" activeCell="B6" sqref="B6"/>
      <selection pane="bottomRight"/>
    </sheetView>
  </sheetViews>
  <sheetFormatPr defaultColWidth="10.7109375" defaultRowHeight="12.75"/>
  <cols>
    <col min="1" max="1" width="1.28515625" style="1413" customWidth="1"/>
    <col min="2" max="2" width="20.140625" style="1414" customWidth="1"/>
    <col min="3" max="3" width="9.7109375" style="1413" customWidth="1"/>
    <col min="4" max="4" width="19" style="1652" customWidth="1"/>
    <col min="5" max="5" width="3.42578125" style="1413" customWidth="1"/>
    <col min="6" max="6" width="3.42578125" style="1537" customWidth="1"/>
    <col min="7" max="7" width="32.42578125" style="1537" customWidth="1"/>
    <col min="8" max="8" width="21.5703125" style="1413" customWidth="1"/>
    <col min="9" max="9" width="26" style="1199" customWidth="1"/>
    <col min="10" max="12" width="15.85546875" style="1199" customWidth="1"/>
    <col min="13" max="13" width="20.85546875" style="1199" customWidth="1"/>
    <col min="14" max="14" width="26.7109375" style="1199" customWidth="1"/>
    <col min="15" max="16" width="15.85546875" style="1199" customWidth="1"/>
    <col min="17" max="17" width="24.5703125" style="1199" customWidth="1"/>
    <col min="18" max="19" width="15.85546875" style="1199" customWidth="1"/>
    <col min="20" max="20" width="15.7109375" style="472" customWidth="1"/>
    <col min="21" max="21" width="2" style="1413" customWidth="1"/>
    <col min="22" max="22" width="50.85546875" style="1413" customWidth="1"/>
    <col min="23" max="16384" width="10.7109375" style="1413"/>
  </cols>
  <sheetData>
    <row r="2" spans="2:22" ht="18">
      <c r="C2" s="427" t="s">
        <v>624</v>
      </c>
      <c r="D2" s="427"/>
    </row>
    <row r="3" spans="2:22" ht="15">
      <c r="C3" s="428" t="s">
        <v>162</v>
      </c>
      <c r="D3" s="428"/>
      <c r="H3" s="1081"/>
      <c r="I3" s="2089" t="s">
        <v>599</v>
      </c>
      <c r="J3" s="2089"/>
    </row>
    <row r="4" spans="2:22" ht="36.75" customHeight="1" thickBot="1">
      <c r="H4" s="56"/>
      <c r="I4" s="1541" t="s">
        <v>42</v>
      </c>
    </row>
    <row r="5" spans="2:22" ht="36" thickBot="1">
      <c r="B5" s="1392" t="s">
        <v>345</v>
      </c>
      <c r="C5" s="1413" t="s">
        <v>69</v>
      </c>
      <c r="D5" s="1652" t="s">
        <v>590</v>
      </c>
      <c r="E5" s="3561" t="s">
        <v>663</v>
      </c>
      <c r="F5" s="3561"/>
      <c r="G5" s="3561"/>
      <c r="H5" s="1355" t="s">
        <v>240</v>
      </c>
      <c r="I5" s="1417" t="s">
        <v>1747</v>
      </c>
      <c r="J5" s="1418" t="s">
        <v>8</v>
      </c>
      <c r="K5" s="1418" t="s">
        <v>9</v>
      </c>
      <c r="L5" s="1418" t="s">
        <v>10</v>
      </c>
      <c r="M5" s="1762" t="s">
        <v>482</v>
      </c>
      <c r="N5" s="1418" t="s">
        <v>11</v>
      </c>
      <c r="O5" s="1418" t="s">
        <v>12</v>
      </c>
      <c r="P5" s="1418" t="s">
        <v>13</v>
      </c>
      <c r="Q5" s="1418" t="s">
        <v>35</v>
      </c>
      <c r="R5" s="1418" t="s">
        <v>36</v>
      </c>
      <c r="S5" s="1419" t="s">
        <v>15</v>
      </c>
      <c r="T5" s="1420" t="s">
        <v>163</v>
      </c>
      <c r="V5" s="477" t="s">
        <v>164</v>
      </c>
    </row>
    <row r="6" spans="2:22">
      <c r="C6" s="1413" t="s">
        <v>68</v>
      </c>
    </row>
    <row r="7" spans="2:22">
      <c r="B7" s="1718" t="s">
        <v>346</v>
      </c>
      <c r="C7" s="1413" t="s">
        <v>58</v>
      </c>
      <c r="E7" s="893" t="s">
        <v>165</v>
      </c>
      <c r="H7" s="974">
        <v>18230611</v>
      </c>
      <c r="I7" s="1199">
        <f>' LowIncWx Detail_REM E201_Elec'!I6</f>
        <v>100686.25</v>
      </c>
      <c r="J7" s="1199">
        <f>' LowIncWx Detail_REM E201_Elec'!J6</f>
        <v>14400</v>
      </c>
      <c r="K7" s="1199">
        <f>' LowIncWx Detail_REM E201_Elec'!K6</f>
        <v>103347.4525</v>
      </c>
      <c r="L7" s="1199">
        <f>' LowIncWx Detail_REM E201_Elec'!L6</f>
        <v>45000</v>
      </c>
      <c r="M7" s="1199">
        <f>' LowIncWx Detail_REM E201_Elec'!M6</f>
        <v>4000</v>
      </c>
      <c r="N7" s="1199">
        <f>' LowIncWx Detail_REM E201_Elec'!N6</f>
        <v>6500</v>
      </c>
      <c r="O7" s="1199">
        <f>' LowIncWx Detail_REM E201_Elec'!O6</f>
        <v>1000</v>
      </c>
      <c r="P7" s="1199">
        <f>' LowIncWx Detail_REM E201_Elec'!P6</f>
        <v>1000</v>
      </c>
      <c r="Q7" s="1199">
        <f>' LowIncWx Detail_REM E201_Elec'!Q6</f>
        <v>3459494.2250000001</v>
      </c>
      <c r="R7" s="1199">
        <f>' LowIncWx Detail_REM E201_Elec'!R6</f>
        <v>0</v>
      </c>
      <c r="S7" s="1199">
        <f>' LowIncWx Detail_REM E201_Elec'!S6</f>
        <v>3735427.9275000002</v>
      </c>
      <c r="T7" s="1627">
        <f>' LowIncWx Detail_REM E201_Elec'!T6</f>
        <v>1835728.31</v>
      </c>
    </row>
    <row r="8" spans="2:22">
      <c r="B8" s="1718" t="s">
        <v>347</v>
      </c>
      <c r="C8" s="1413" t="s">
        <v>57</v>
      </c>
      <c r="E8" s="1652" t="s">
        <v>1561</v>
      </c>
      <c r="H8" s="974">
        <v>18230625</v>
      </c>
      <c r="I8" s="1199">
        <f>'HmEnrgAsmt Detail_REM_E214 Elec'!I6</f>
        <v>39526.800000000003</v>
      </c>
      <c r="J8" s="1199">
        <f>'HmEnrgAsmt Detail_REM_E214 Elec'!J6</f>
        <v>22561.279999999999</v>
      </c>
      <c r="K8" s="1199">
        <f>'HmEnrgAsmt Detail_REM_E214 Elec'!K6</f>
        <v>55755.095840000002</v>
      </c>
      <c r="L8" s="1199">
        <f>'HmEnrgAsmt Detail_REM_E214 Elec'!L6</f>
        <v>134200</v>
      </c>
      <c r="M8" s="1199">
        <f>'HmEnrgAsmt Detail_REM_E214 Elec'!M6</f>
        <v>3000</v>
      </c>
      <c r="N8" s="1199">
        <f>'HmEnrgAsmt Detail_REM_E214 Elec'!N6</f>
        <v>220819.13</v>
      </c>
      <c r="O8" s="1199">
        <f>'HmEnrgAsmt Detail_REM_E214 Elec'!O6</f>
        <v>1000</v>
      </c>
      <c r="P8" s="1199">
        <f>'HmEnrgAsmt Detail_REM_E214 Elec'!P6</f>
        <v>2000</v>
      </c>
      <c r="Q8" s="1199">
        <f>'HmEnrgAsmt Detail_REM_E214 Elec'!Q6</f>
        <v>2365085.5</v>
      </c>
      <c r="R8" s="1199">
        <f>'HmEnrgAsmt Detail_REM_E214 Elec'!R6</f>
        <v>0</v>
      </c>
      <c r="S8" s="1199">
        <f>'HmEnrgAsmt Detail_REM_E214 Elec'!S6</f>
        <v>2843947.80584</v>
      </c>
      <c r="T8" s="1627">
        <f>'HmEnrgAsmt Detail_REM_E214 Elec'!T6</f>
        <v>5039322.2</v>
      </c>
    </row>
    <row r="9" spans="2:22">
      <c r="B9" s="1718" t="s">
        <v>348</v>
      </c>
      <c r="C9" s="1413" t="s">
        <v>57</v>
      </c>
      <c r="E9" s="1652" t="s">
        <v>280</v>
      </c>
      <c r="H9" s="974">
        <v>18230626</v>
      </c>
      <c r="I9" s="1199">
        <f>'WaterHea_Detail_REM_E214 Elec'!I6</f>
        <v>10885</v>
      </c>
      <c r="J9" s="1199">
        <f>'WaterHea_Detail_REM_E214 Elec'!J6</f>
        <v>6153.0749999999998</v>
      </c>
      <c r="K9" s="1199">
        <f>'WaterHea_Detail_REM_E214 Elec'!K6</f>
        <v>15300.191349999999</v>
      </c>
      <c r="L9" s="1199">
        <f>'WaterHea_Detail_REM_E214 Elec'!L6</f>
        <v>78750</v>
      </c>
      <c r="M9" s="1199">
        <f>'WaterHea_Detail_REM_E214 Elec'!M6</f>
        <v>1200</v>
      </c>
      <c r="N9" s="1199">
        <f>'WaterHea_Detail_REM_E214 Elec'!N6</f>
        <v>0</v>
      </c>
      <c r="O9" s="1199">
        <f>'WaterHea_Detail_REM_E214 Elec'!O6</f>
        <v>5000</v>
      </c>
      <c r="P9" s="1199">
        <f>'WaterHea_Detail_REM_E214 Elec'!P6</f>
        <v>2400</v>
      </c>
      <c r="Q9" s="1199">
        <f>'WaterHea_Detail_REM_E214 Elec'!Q6</f>
        <v>357500</v>
      </c>
      <c r="R9" s="1199">
        <f>'WaterHea_Detail_REM_E214 Elec'!R6</f>
        <v>0</v>
      </c>
      <c r="S9" s="1199">
        <f>'WaterHea_Detail_REM_E214 Elec'!S6</f>
        <v>477188.26634999999</v>
      </c>
      <c r="T9" s="1627">
        <f>'WaterHea_Detail_REM_E214 Elec'!T6</f>
        <v>727675</v>
      </c>
    </row>
    <row r="10" spans="2:22">
      <c r="B10" s="1718" t="s">
        <v>349</v>
      </c>
      <c r="C10" s="1413" t="s">
        <v>57</v>
      </c>
      <c r="E10" s="1652" t="s">
        <v>287</v>
      </c>
      <c r="H10" s="974">
        <v>18230627</v>
      </c>
      <c r="I10" s="1199">
        <f>'Wx_Detail_REM E214 Elec'!I6</f>
        <v>48164.9</v>
      </c>
      <c r="J10" s="1199">
        <f>'Wx_Detail_REM E214 Elec'!J6</f>
        <v>24612.3</v>
      </c>
      <c r="K10" s="1199">
        <f>'Wx_Detail_REM E214 Elec'!K6</f>
        <v>65353.925599999995</v>
      </c>
      <c r="L10" s="1199">
        <f>'Wx_Detail_REM E214 Elec'!L6</f>
        <v>150545</v>
      </c>
      <c r="M10" s="1199">
        <f>'Wx_Detail_REM E214 Elec'!M6</f>
        <v>5302</v>
      </c>
      <c r="N10" s="1199">
        <f>'Wx_Detail_REM E214 Elec'!N6</f>
        <v>144750</v>
      </c>
      <c r="O10" s="1199">
        <f>'Wx_Detail_REM E214 Elec'!O6</f>
        <v>0</v>
      </c>
      <c r="P10" s="1199">
        <f>'Wx_Detail_REM E214 Elec'!P6</f>
        <v>0</v>
      </c>
      <c r="Q10" s="1199">
        <f>'Wx_Detail_REM E214 Elec'!Q6</f>
        <v>683699.18499999994</v>
      </c>
      <c r="R10" s="1199">
        <f>'Wx_Detail_REM E214 Elec'!R6</f>
        <v>0</v>
      </c>
      <c r="S10" s="1199">
        <f>'Wx_Detail_REM E214 Elec'!S6</f>
        <v>1122427.3106</v>
      </c>
      <c r="T10" s="1627">
        <f>'Wx_Detail_REM E214 Elec'!T6</f>
        <v>2027725.31</v>
      </c>
    </row>
    <row r="11" spans="2:22">
      <c r="B11" s="1718" t="s">
        <v>350</v>
      </c>
      <c r="C11" s="1413" t="s">
        <v>57</v>
      </c>
      <c r="E11" s="1652" t="s">
        <v>286</v>
      </c>
      <c r="H11" s="974">
        <v>18230628</v>
      </c>
      <c r="I11" s="1199">
        <f>'SpcHeat Detail_REM_E214 Elec'!I6</f>
        <v>56771.56</v>
      </c>
      <c r="J11" s="1199">
        <f>'SpcHeat Detail_REM_E214 Elec'!J6</f>
        <v>22561.274999999998</v>
      </c>
      <c r="K11" s="1199">
        <f>'SpcHeat Detail_REM_E214 Elec'!K6</f>
        <v>71240.885829999985</v>
      </c>
      <c r="L11" s="1199">
        <f>'SpcHeat Detail_REM_E214 Elec'!L6</f>
        <v>228000</v>
      </c>
      <c r="M11" s="1199">
        <f>'SpcHeat Detail_REM_E214 Elec'!M6</f>
        <v>7200</v>
      </c>
      <c r="N11" s="1199">
        <f>'SpcHeat Detail_REM_E214 Elec'!N6</f>
        <v>0</v>
      </c>
      <c r="O11" s="1199">
        <f>'SpcHeat Detail_REM_E214 Elec'!O6</f>
        <v>17200</v>
      </c>
      <c r="P11" s="1199">
        <f>'SpcHeat Detail_REM_E214 Elec'!P6</f>
        <v>4000</v>
      </c>
      <c r="Q11" s="1199">
        <f>'SpcHeat Detail_REM_E214 Elec'!Q6</f>
        <v>3590000</v>
      </c>
      <c r="R11" s="1199">
        <f>'SpcHeat Detail_REM_E214 Elec'!R6</f>
        <v>0</v>
      </c>
      <c r="S11" s="1199">
        <f>'SpcHeat Detail_REM_E214 Elec'!S6</f>
        <v>3996973.72083</v>
      </c>
      <c r="T11" s="1627">
        <f>'SpcHeat Detail_REM_E214 Elec'!T6</f>
        <v>7730775</v>
      </c>
    </row>
    <row r="12" spans="2:22">
      <c r="B12" s="1718" t="s">
        <v>351</v>
      </c>
      <c r="C12" s="1413" t="s">
        <v>57</v>
      </c>
      <c r="E12" s="1413" t="s">
        <v>59</v>
      </c>
      <c r="H12" s="974">
        <v>18230434</v>
      </c>
      <c r="I12" s="1199">
        <f>'HmAppplc_Detail_REM_E214 Elec'!I6</f>
        <v>82698.149999999994</v>
      </c>
      <c r="J12" s="1199">
        <f>'HmAppplc_Detail_REM_E214 Elec'!J6</f>
        <v>38875</v>
      </c>
      <c r="K12" s="1199">
        <f>'HmAppplc_Detail_REM_E214 Elec'!K6</f>
        <v>109172.68869999998</v>
      </c>
      <c r="L12" s="1199">
        <f>'HmAppplc_Detail_REM_E214 Elec'!L6</f>
        <v>388395</v>
      </c>
      <c r="M12" s="1199">
        <f>'HmAppplc_Detail_REM_E214 Elec'!M6</f>
        <v>3000</v>
      </c>
      <c r="N12" s="1199">
        <f>'HmAppplc_Detail_REM_E214 Elec'!N6</f>
        <v>388734</v>
      </c>
      <c r="O12" s="1199">
        <f>'HmAppplc_Detail_REM_E214 Elec'!O6</f>
        <v>3000</v>
      </c>
      <c r="P12" s="1199">
        <f>'HmAppplc_Detail_REM_E214 Elec'!P6</f>
        <v>500</v>
      </c>
      <c r="Q12" s="1199">
        <f>'HmAppplc_Detail_REM_E214 Elec'!Q6</f>
        <v>3443880</v>
      </c>
      <c r="R12" s="1199">
        <f>'HmAppplc_Detail_REM_E214 Elec'!R6</f>
        <v>0</v>
      </c>
      <c r="S12" s="1199">
        <f>'HmAppplc_Detail_REM_E214 Elec'!S6</f>
        <v>4458254.8387000002</v>
      </c>
      <c r="T12" s="1627">
        <f>'HmAppplc_Detail_REM_E214 Elec'!T6</f>
        <v>6721709</v>
      </c>
    </row>
    <row r="13" spans="2:22">
      <c r="B13" s="1718" t="s">
        <v>352</v>
      </c>
      <c r="C13" s="1413" t="s">
        <v>57</v>
      </c>
      <c r="E13" s="1652" t="s">
        <v>277</v>
      </c>
      <c r="H13" s="974">
        <v>18230435</v>
      </c>
      <c r="I13" s="1199">
        <f>'ShwrHead_Detail_REM_E214  Elec'!I6</f>
        <v>26024.85</v>
      </c>
      <c r="J13" s="1199">
        <f>'ShwrHead_Detail_REM_E214  Elec'!J6</f>
        <v>5399.7</v>
      </c>
      <c r="K13" s="1199">
        <f>'ShwrHead_Detail_REM_E214  Elec'!K6</f>
        <v>28219.245900000002</v>
      </c>
      <c r="L13" s="1199">
        <f>'ShwrHead_Detail_REM_E214  Elec'!L6</f>
        <v>80915</v>
      </c>
      <c r="M13" s="1199">
        <f>'ShwrHead_Detail_REM_E214  Elec'!M6</f>
        <v>1000</v>
      </c>
      <c r="N13" s="1199">
        <f>'ShwrHead_Detail_REM_E214  Elec'!N6</f>
        <v>43006</v>
      </c>
      <c r="O13" s="1199">
        <f>'ShwrHead_Detail_REM_E214  Elec'!O6</f>
        <v>1000</v>
      </c>
      <c r="P13" s="1199">
        <f>'ShwrHead_Detail_REM_E214  Elec'!P6</f>
        <v>500</v>
      </c>
      <c r="Q13" s="1199">
        <f>'ShwrHead_Detail_REM_E214  Elec'!Q6</f>
        <v>454750</v>
      </c>
      <c r="R13" s="1199">
        <f>'ShwrHead_Detail_REM_E214  Elec'!R6</f>
        <v>0</v>
      </c>
      <c r="S13" s="1199">
        <f>'ShwrHead_Detail_REM_E214  Elec'!S6</f>
        <v>640814.79590000003</v>
      </c>
      <c r="T13" s="1627">
        <f>'ShwrHead_Detail_REM_E214  Elec'!T6</f>
        <v>4272610</v>
      </c>
    </row>
    <row r="14" spans="2:22">
      <c r="B14" s="1718" t="s">
        <v>353</v>
      </c>
      <c r="C14" s="1413" t="s">
        <v>57</v>
      </c>
      <c r="E14" s="1413" t="s">
        <v>70</v>
      </c>
      <c r="H14" s="974">
        <v>18230440</v>
      </c>
      <c r="I14" s="1199">
        <f>'Lighting Detail_REM_E214 Elec'!I6</f>
        <v>171160.55</v>
      </c>
      <c r="J14" s="1199">
        <f>'Lighting Detail_REM_E214 Elec'!J6</f>
        <v>101075</v>
      </c>
      <c r="K14" s="1199">
        <f>'Lighting Detail_REM_E214 Elec'!K6</f>
        <v>244467.52389999997</v>
      </c>
      <c r="L14" s="1199">
        <f>'Lighting Detail_REM_E214 Elec'!L6</f>
        <v>1847331</v>
      </c>
      <c r="M14" s="1199">
        <f>'Lighting Detail_REM_E214 Elec'!M6</f>
        <v>11000</v>
      </c>
      <c r="N14" s="1199">
        <f>'Lighting Detail_REM_E214 Elec'!N6</f>
        <v>1590926</v>
      </c>
      <c r="O14" s="1199">
        <f>'Lighting Detail_REM_E214 Elec'!O6</f>
        <v>8250</v>
      </c>
      <c r="P14" s="1199">
        <f>'Lighting Detail_REM_E214 Elec'!P6</f>
        <v>5000</v>
      </c>
      <c r="Q14" s="1199">
        <f>'Lighting Detail_REM_E214 Elec'!Q6</f>
        <v>9853968.75</v>
      </c>
      <c r="R14" s="1199">
        <f>'Lighting Detail_REM_E214 Elec'!R6</f>
        <v>0</v>
      </c>
      <c r="S14" s="1199">
        <f>'Lighting Detail_REM_E214 Elec'!S6</f>
        <v>13833178.823899999</v>
      </c>
      <c r="T14" s="1627">
        <f>'Lighting Detail_REM_E214 Elec'!T6</f>
        <v>69473421.120000005</v>
      </c>
    </row>
    <row r="15" spans="2:22" s="1652" customFormat="1">
      <c r="B15" s="1718" t="s">
        <v>560</v>
      </c>
      <c r="C15" s="1652" t="s">
        <v>57</v>
      </c>
      <c r="E15" s="1652" t="s">
        <v>276</v>
      </c>
      <c r="H15" s="1721">
        <v>18230634</v>
      </c>
      <c r="I15" s="1625">
        <f>'MHDS Detail_REM_E214 Elec.'!I6</f>
        <v>0</v>
      </c>
      <c r="J15" s="1625">
        <f>'MHDS Detail_REM_E214 Elec.'!J6</f>
        <v>0</v>
      </c>
      <c r="K15" s="1625">
        <f>'MHDS Detail_REM_E214 Elec.'!K6</f>
        <v>0</v>
      </c>
      <c r="L15" s="1625">
        <f>'MHDS Detail_REM_E214 Elec.'!L6</f>
        <v>0</v>
      </c>
      <c r="M15" s="1625">
        <f>'MHDS Detail_REM_E214 Elec.'!M6</f>
        <v>0</v>
      </c>
      <c r="N15" s="1625">
        <f>'MHDS Detail_REM_E214 Elec.'!N6</f>
        <v>0</v>
      </c>
      <c r="O15" s="1625">
        <f>'MHDS Detail_REM_E214 Elec.'!O6</f>
        <v>0</v>
      </c>
      <c r="P15" s="1625">
        <f>'MHDS Detail_REM_E214 Elec.'!P6</f>
        <v>0</v>
      </c>
      <c r="Q15" s="1625">
        <f>'MHDS Detail_REM_E214 Elec.'!Q6</f>
        <v>0</v>
      </c>
      <c r="R15" s="1625">
        <f>'MHDS Detail_REM_E214 Elec.'!R6</f>
        <v>0</v>
      </c>
      <c r="S15" s="1625">
        <f>'MHDS Detail_REM_E214 Elec.'!S6</f>
        <v>0</v>
      </c>
      <c r="T15" s="1627">
        <f>'MHDS Detail_REM_E214 Elec.'!T6</f>
        <v>0</v>
      </c>
    </row>
    <row r="16" spans="2:22">
      <c r="B16" s="1718" t="s">
        <v>354</v>
      </c>
      <c r="C16" s="1413" t="s">
        <v>57</v>
      </c>
      <c r="E16" s="1652" t="s">
        <v>274</v>
      </c>
      <c r="H16" s="974">
        <v>18230461</v>
      </c>
      <c r="I16" s="1199">
        <f>'HER Detail_REM_E214 elec.'!I6</f>
        <v>6220</v>
      </c>
      <c r="J16" s="1199">
        <f>'HER Detail_REM_E214 elec.'!J6</f>
        <v>0</v>
      </c>
      <c r="K16" s="1199">
        <f>'HER Detail_REM_E214 elec.'!K6</f>
        <v>5585.5599999999995</v>
      </c>
      <c r="L16" s="1199">
        <f>'HER Detail_REM_E214 elec.'!L6</f>
        <v>14040</v>
      </c>
      <c r="M16" s="1199">
        <f>'HER Detail_REM_E214 elec.'!M6</f>
        <v>500</v>
      </c>
      <c r="N16" s="1199">
        <f>'HER Detail_REM_E214 elec.'!N6</f>
        <v>49769</v>
      </c>
      <c r="O16" s="1199">
        <f>'HER Detail_REM_E214 elec.'!O6</f>
        <v>250</v>
      </c>
      <c r="P16" s="1199">
        <f>'HER Detail_REM_E214 elec.'!P6</f>
        <v>250</v>
      </c>
      <c r="Q16" s="1199">
        <f>'HER Detail_REM_E214 elec.'!Q6</f>
        <v>49760</v>
      </c>
      <c r="R16" s="1199">
        <f>'HER Detail_REM_E214 elec.'!R6</f>
        <v>0</v>
      </c>
      <c r="S16" s="1199">
        <f>'HER Detail_REM_E214 elec.'!S6</f>
        <v>126374.56</v>
      </c>
      <c r="T16" s="1627">
        <f>'HER Detail_REM_E214 elec.'!T6</f>
        <v>0</v>
      </c>
    </row>
    <row r="17" spans="2:20" s="1652" customFormat="1">
      <c r="B17" s="2174" t="s">
        <v>1509</v>
      </c>
      <c r="C17" s="1652" t="s">
        <v>57</v>
      </c>
      <c r="E17" s="1652" t="s">
        <v>1007</v>
      </c>
      <c r="H17" s="2357">
        <v>18230023</v>
      </c>
      <c r="I17" s="1625">
        <f>'Web Tstat Detail_REM E214 Elec'!I6</f>
        <v>15550</v>
      </c>
      <c r="J17" s="1625">
        <f>'Web Tstat Detail_REM E214 Elec'!J6</f>
        <v>1943.75</v>
      </c>
      <c r="K17" s="1625">
        <f>'Web Tstat Detail_REM E214 Elec'!K6</f>
        <v>15709.387499999999</v>
      </c>
      <c r="L17" s="1625">
        <f>'Web Tstat Detail_REM E214 Elec'!L6</f>
        <v>35272</v>
      </c>
      <c r="M17" s="1625">
        <f>'Web Tstat Detail_REM E214 Elec'!M6</f>
        <v>250</v>
      </c>
      <c r="N17" s="1625">
        <f>'Web Tstat Detail_REM E214 Elec'!N6</f>
        <v>28965</v>
      </c>
      <c r="O17" s="1625">
        <f>'Web Tstat Detail_REM E214 Elec'!O6</f>
        <v>250</v>
      </c>
      <c r="P17" s="1625">
        <f>'Web Tstat Detail_REM E214 Elec'!P6</f>
        <v>100</v>
      </c>
      <c r="Q17" s="1625">
        <f>'Web Tstat Detail_REM E214 Elec'!Q6</f>
        <v>60000</v>
      </c>
      <c r="R17" s="1625">
        <f>'Web Tstat Detail_REM E214 Elec'!R6</f>
        <v>0</v>
      </c>
      <c r="S17" s="1625">
        <f>'Web Tstat Detail_REM E214 Elec'!S6</f>
        <v>158040.13750000001</v>
      </c>
      <c r="T17" s="1627">
        <f>'Web Tstat Detail_REM E214 Elec'!T6</f>
        <v>703200</v>
      </c>
    </row>
    <row r="18" spans="2:20">
      <c r="B18" s="1718" t="s">
        <v>355</v>
      </c>
      <c r="C18" s="1413" t="s">
        <v>61</v>
      </c>
      <c r="D18" s="2158" t="s">
        <v>568</v>
      </c>
      <c r="E18" s="1652" t="s">
        <v>179</v>
      </c>
      <c r="H18" s="974">
        <v>18230405</v>
      </c>
      <c r="I18" s="1199">
        <f>'SFNC Detail_REM E215 Elec'!I6</f>
        <v>11662.5</v>
      </c>
      <c r="J18" s="1199">
        <f>'SFNC Detail_REM E215 Elec'!J6</f>
        <v>777.5</v>
      </c>
      <c r="K18" s="1199">
        <f>'SFNC Detail_REM E215 Elec'!K6</f>
        <v>11171.119999999999</v>
      </c>
      <c r="L18" s="1199">
        <f>'SFNC Detail_REM E215 Elec'!L6</f>
        <v>26000</v>
      </c>
      <c r="M18" s="1199">
        <f>'SFNC Detail_REM E215 Elec'!M6</f>
        <v>1000</v>
      </c>
      <c r="N18" s="1199">
        <f>'SFNC Detail_REM E215 Elec'!N6</f>
        <v>2500</v>
      </c>
      <c r="O18" s="1199">
        <f>'SFNC Detail_REM E215 Elec'!O6</f>
        <v>2000</v>
      </c>
      <c r="P18" s="1199">
        <f>'SFNC Detail_REM E215 Elec'!P6</f>
        <v>0</v>
      </c>
      <c r="Q18" s="1199">
        <f>'SFNC Detail_REM E215 Elec'!Q6</f>
        <v>0</v>
      </c>
      <c r="R18" s="1199">
        <f>'SFNC Detail_REM E215 Elec'!R6</f>
        <v>0</v>
      </c>
      <c r="S18" s="1199">
        <f>'SFNC Detail_REM E215 Elec'!S6</f>
        <v>55111.119999999995</v>
      </c>
      <c r="T18" s="1627">
        <f>'SFNC Detail_REM E215 Elec'!T6</f>
        <v>0</v>
      </c>
    </row>
    <row r="19" spans="2:20">
      <c r="B19" s="1718" t="s">
        <v>356</v>
      </c>
      <c r="C19" s="1413" t="s">
        <v>61</v>
      </c>
      <c r="D19" s="2158" t="s">
        <v>568</v>
      </c>
      <c r="E19" s="1652" t="s">
        <v>272</v>
      </c>
      <c r="H19" s="974">
        <v>18230433</v>
      </c>
      <c r="I19" s="1199">
        <f>'NCMfgHome Detail_REM E215 Elec'!I6</f>
        <v>0</v>
      </c>
      <c r="J19" s="1199">
        <f>'NCMfgHome Detail_REM E215 Elec'!J6</f>
        <v>0</v>
      </c>
      <c r="K19" s="1199">
        <f>'NCMfgHome Detail_REM E215 Elec'!K6</f>
        <v>0</v>
      </c>
      <c r="L19" s="1199">
        <f>'NCMfgHome Detail_REM E215 Elec'!L6</f>
        <v>0</v>
      </c>
      <c r="M19" s="1199">
        <f>'NCMfgHome Detail_REM E215 Elec'!M6</f>
        <v>0</v>
      </c>
      <c r="N19" s="1199">
        <f>'NCMfgHome Detail_REM E215 Elec'!N6</f>
        <v>0</v>
      </c>
      <c r="O19" s="1199">
        <f>'NCMfgHome Detail_REM E215 Elec'!O6</f>
        <v>0</v>
      </c>
      <c r="P19" s="1199">
        <f>'NCMfgHome Detail_REM E215 Elec'!P6</f>
        <v>0</v>
      </c>
      <c r="Q19" s="1199">
        <f>'NCMfgHome Detail_REM E215 Elec'!Q6</f>
        <v>0</v>
      </c>
      <c r="R19" s="1199">
        <f>'NCMfgHome Detail_REM E215 Elec'!R6</f>
        <v>0</v>
      </c>
      <c r="S19" s="1199">
        <f>'NCMfgHome Detail_REM E215 Elec'!S6</f>
        <v>0</v>
      </c>
      <c r="T19" s="1627">
        <f>'NCMfgHome Detail_REM E215 Elec'!T6</f>
        <v>0</v>
      </c>
    </row>
    <row r="20" spans="2:20">
      <c r="B20" s="1718" t="s">
        <v>357</v>
      </c>
      <c r="C20" s="1413" t="s">
        <v>62</v>
      </c>
      <c r="D20" s="2159"/>
      <c r="E20" s="1413" t="s">
        <v>63</v>
      </c>
      <c r="H20" s="974">
        <v>18230612</v>
      </c>
      <c r="I20" s="1199">
        <f>'FuelConv Detail_REM E216 Elec'!I6</f>
        <v>44277.4</v>
      </c>
      <c r="J20" s="1199">
        <f>'FuelConv Detail_REM E216 Elec'!J6</f>
        <v>16408.199999999997</v>
      </c>
      <c r="K20" s="1199">
        <f>'FuelConv Detail_REM E216 Elec'!K6</f>
        <v>54495.668799999999</v>
      </c>
      <c r="L20" s="1199">
        <f>'FuelConv Detail_REM E216 Elec'!L6</f>
        <v>85000</v>
      </c>
      <c r="M20" s="1199">
        <f>'FuelConv Detail_REM E216 Elec'!M6</f>
        <v>2000</v>
      </c>
      <c r="N20" s="1199">
        <f>'FuelConv Detail_REM E216 Elec'!N6</f>
        <v>2000</v>
      </c>
      <c r="O20" s="1199">
        <f>'FuelConv Detail_REM E216 Elec'!O6</f>
        <v>1000</v>
      </c>
      <c r="P20" s="1199">
        <f>'FuelConv Detail_REM E216 Elec'!P6</f>
        <v>3000</v>
      </c>
      <c r="Q20" s="1199">
        <f>'FuelConv Detail_REM E216 Elec'!Q6</f>
        <v>628850</v>
      </c>
      <c r="R20" s="1199">
        <f>'FuelConv Detail_REM E216 Elec'!R6</f>
        <v>0</v>
      </c>
      <c r="S20" s="1199">
        <f>'FuelConv Detail_REM E216 Elec'!S6</f>
        <v>837031.26879999996</v>
      </c>
      <c r="T20" s="1627">
        <f>'FuelConv Detail_REM E216 Elec'!T6</f>
        <v>1949857</v>
      </c>
    </row>
    <row r="21" spans="2:20">
      <c r="B21" s="1718" t="s">
        <v>358</v>
      </c>
      <c r="C21" s="1413" t="s">
        <v>64</v>
      </c>
      <c r="D21" s="2159"/>
      <c r="E21" s="1652" t="s">
        <v>329</v>
      </c>
      <c r="H21" s="974">
        <v>18230407</v>
      </c>
      <c r="I21" s="1199">
        <f>'MF Retr Detail_REM E217 Elec'!I6</f>
        <v>151612.5</v>
      </c>
      <c r="J21" s="1199">
        <f>'MF Retr Detail_REM E217 Elec'!J6</f>
        <v>40000</v>
      </c>
      <c r="K21" s="1199">
        <f>'MF Retr Detail_REM E217 Elec'!K6</f>
        <v>172068.02499999999</v>
      </c>
      <c r="L21" s="1199">
        <f>'MF Retr Detail_REM E217 Elec'!L6</f>
        <v>75000</v>
      </c>
      <c r="M21" s="1199">
        <f>'MF Retr Detail_REM E217 Elec'!M6</f>
        <v>4000</v>
      </c>
      <c r="N21" s="1199">
        <f>'MF Retr Detail_REM E217 Elec'!N6</f>
        <v>1150000</v>
      </c>
      <c r="O21" s="1199">
        <f>'MF Retr Detail_REM E217 Elec'!O6</f>
        <v>1000</v>
      </c>
      <c r="P21" s="1199">
        <f>'MF Retr Detail_REM E217 Elec'!P6</f>
        <v>1000</v>
      </c>
      <c r="Q21" s="1199">
        <f>'MF Retr Detail_REM E217 Elec'!Q6</f>
        <v>8479517</v>
      </c>
      <c r="R21" s="1199">
        <f>'MF Retr Detail_REM E217 Elec'!R6</f>
        <v>0</v>
      </c>
      <c r="S21" s="1199">
        <f>'MF Retr Detail_REM E217 Elec'!S6</f>
        <v>10074197.525</v>
      </c>
      <c r="T21" s="1627">
        <f>'MF Retr Detail_REM E217 Elec'!T6</f>
        <v>18985266</v>
      </c>
    </row>
    <row r="22" spans="2:20">
      <c r="B22" s="1718" t="s">
        <v>359</v>
      </c>
      <c r="C22" s="1413" t="s">
        <v>65</v>
      </c>
      <c r="D22" s="2158" t="s">
        <v>568</v>
      </c>
      <c r="E22" s="1652" t="s">
        <v>282</v>
      </c>
      <c r="H22" s="974">
        <v>18230486</v>
      </c>
      <c r="I22" s="1199">
        <f>'MFNC Detail_REM E218 Elec'!I6</f>
        <v>152390</v>
      </c>
      <c r="J22" s="1199">
        <f>'MFNC Detail_REM E218 Elec'!J6</f>
        <v>15550</v>
      </c>
      <c r="K22" s="1199">
        <f>'MFNC Detail_REM E218 Elec'!K6</f>
        <v>150810.12</v>
      </c>
      <c r="L22" s="1199">
        <f>'MFNC Detail_REM E218 Elec'!L6</f>
        <v>30000</v>
      </c>
      <c r="M22" s="1199">
        <f>'MFNC Detail_REM E218 Elec'!M6</f>
        <v>4000</v>
      </c>
      <c r="N22" s="1199">
        <f>'MFNC Detail_REM E218 Elec'!N6</f>
        <v>0</v>
      </c>
      <c r="O22" s="1199">
        <f>'MFNC Detail_REM E218 Elec'!O6</f>
        <v>500</v>
      </c>
      <c r="P22" s="1199">
        <f>'MFNC Detail_REM E218 Elec'!P6</f>
        <v>500</v>
      </c>
      <c r="Q22" s="1199">
        <f>'MFNC Detail_REM E218 Elec'!Q6</f>
        <v>319594</v>
      </c>
      <c r="R22" s="1199">
        <f>'MFNC Detail_REM E218 Elec'!R6</f>
        <v>0</v>
      </c>
      <c r="S22" s="1199">
        <f>'MFNC Detail_REM E218 Elec'!S6</f>
        <v>673344.12</v>
      </c>
      <c r="T22" s="1627">
        <f>'MFNC Detail_REM E218 Elec'!T6</f>
        <v>1294293</v>
      </c>
    </row>
    <row r="23" spans="2:20" s="1288" customFormat="1">
      <c r="B23" s="1540"/>
      <c r="D23" s="1567"/>
      <c r="F23" s="1539"/>
      <c r="G23" s="174" t="s">
        <v>145</v>
      </c>
      <c r="H23" s="473"/>
      <c r="I23" s="474">
        <f t="shared" ref="I23:T23" si="0">SUM(I7:I22)</f>
        <v>917630.46</v>
      </c>
      <c r="J23" s="1541">
        <f t="shared" si="0"/>
        <v>310317.08</v>
      </c>
      <c r="K23" s="1541">
        <f t="shared" si="0"/>
        <v>1102696.8909199999</v>
      </c>
      <c r="L23" s="1541">
        <f t="shared" si="0"/>
        <v>3218448</v>
      </c>
      <c r="M23" s="1541">
        <f t="shared" si="0"/>
        <v>47452</v>
      </c>
      <c r="N23" s="1541">
        <f t="shared" si="0"/>
        <v>3627969.13</v>
      </c>
      <c r="O23" s="1541">
        <f t="shared" si="0"/>
        <v>41450</v>
      </c>
      <c r="P23" s="1541">
        <f t="shared" si="0"/>
        <v>20250</v>
      </c>
      <c r="Q23" s="1541">
        <f>SUM(Q7:Q22)</f>
        <v>33746098.659999996</v>
      </c>
      <c r="R23" s="1541">
        <f t="shared" si="0"/>
        <v>0</v>
      </c>
      <c r="S23" s="1541">
        <f t="shared" si="0"/>
        <v>43032312.220919997</v>
      </c>
      <c r="T23" s="1542">
        <f t="shared" si="0"/>
        <v>120761581.94</v>
      </c>
    </row>
    <row r="24" spans="2:20">
      <c r="B24" s="1663"/>
      <c r="H24" s="175"/>
      <c r="T24" s="1627"/>
    </row>
    <row r="25" spans="2:20">
      <c r="B25" s="1663"/>
      <c r="H25" s="3004" t="s">
        <v>1731</v>
      </c>
      <c r="I25" s="3005">
        <v>1174743.5575000001</v>
      </c>
      <c r="J25" s="3005">
        <v>326404.15000000002</v>
      </c>
      <c r="K25" s="3005">
        <v>1020780.4411000001</v>
      </c>
      <c r="L25" s="3005">
        <v>3239232.54</v>
      </c>
      <c r="M25" s="3005">
        <v>50604</v>
      </c>
      <c r="N25" s="3005">
        <v>3596000</v>
      </c>
      <c r="O25" s="3005">
        <v>66975</v>
      </c>
      <c r="P25" s="3005">
        <v>43000</v>
      </c>
      <c r="Q25" s="3005">
        <v>36166446.772500001</v>
      </c>
      <c r="R25" s="3005">
        <v>0</v>
      </c>
      <c r="S25" s="3005">
        <v>45684186.461100005</v>
      </c>
      <c r="T25" s="3006">
        <v>128636801.51879999</v>
      </c>
    </row>
    <row r="26" spans="2:20">
      <c r="B26" s="1663"/>
      <c r="C26" s="1413" t="s">
        <v>130</v>
      </c>
      <c r="H26" s="1622"/>
      <c r="T26" s="1627"/>
    </row>
    <row r="27" spans="2:20">
      <c r="B27" s="1718" t="s">
        <v>360</v>
      </c>
      <c r="C27" s="1413" t="s">
        <v>184</v>
      </c>
      <c r="E27" s="1413" t="s">
        <v>136</v>
      </c>
      <c r="H27" s="974">
        <v>18230711</v>
      </c>
      <c r="I27" s="1199">
        <f>'CI Retr Detail_BEM E250 Elec'!H6</f>
        <v>461442.96576611878</v>
      </c>
      <c r="J27" s="1199">
        <f>'CI Retr Detail_BEM E250 Elec'!I6</f>
        <v>18000</v>
      </c>
      <c r="K27" s="1199">
        <f>'CI Retr Detail_BEM E250 Elec'!J6</f>
        <v>187617.39256452007</v>
      </c>
      <c r="L27" s="1199">
        <f>'CI Retr Detail_BEM E250 Elec'!K6</f>
        <v>30000</v>
      </c>
      <c r="M27" s="1199">
        <f>'CI Retr Detail_BEM E250 Elec'!L6</f>
        <v>35000</v>
      </c>
      <c r="N27" s="1199">
        <f>'CI Retr Detail_BEM E250 Elec'!M6</f>
        <v>1380000</v>
      </c>
      <c r="O27" s="1199">
        <f>'CI Retr Detail_BEM E250 Elec'!N6</f>
        <v>10000</v>
      </c>
      <c r="P27" s="1199">
        <f>'CI Retr Detail_BEM E250 Elec'!O6</f>
        <v>0</v>
      </c>
      <c r="Q27" s="1199">
        <f>'CI Retr Detail_BEM E250 Elec'!P6</f>
        <v>5250000</v>
      </c>
      <c r="S27" s="1199">
        <f>'CI Retr Detail_BEM E250 Elec'!R6</f>
        <v>7372060.3583306391</v>
      </c>
      <c r="T27" s="1627">
        <f>'CI Retr Detail_BEM E250 Elec'!S6</f>
        <v>26000000</v>
      </c>
    </row>
    <row r="28" spans="2:20" s="1310" customFormat="1">
      <c r="B28" s="1718" t="s">
        <v>671</v>
      </c>
      <c r="E28" s="1310" t="s">
        <v>633</v>
      </c>
      <c r="H28" s="2396">
        <v>18230724</v>
      </c>
      <c r="I28" s="1625">
        <f>'BusLgtGrants_BEM E250 Elect'!H6</f>
        <v>1317100.1000000001</v>
      </c>
      <c r="J28" s="1625">
        <f>'BusLgtGrants_BEM E250 Elect'!I6</f>
        <v>17100.099999999999</v>
      </c>
      <c r="K28" s="1625">
        <f>'BusLgtGrants_BEM E250 Elect'!J6</f>
        <v>1198129.7376000001</v>
      </c>
      <c r="L28" s="1625">
        <f>'BusLgtGrants_BEM E250 Elect'!K6</f>
        <v>35785</v>
      </c>
      <c r="M28" s="1625">
        <f>'BusLgtGrants_BEM E250 Elect'!L6</f>
        <v>72362</v>
      </c>
      <c r="N28" s="1625">
        <f>'BusLgtGrants_BEM E250 Elect'!M6</f>
        <v>140000</v>
      </c>
      <c r="O28" s="1625">
        <f>'BusLgtGrants_BEM E250 Elect'!N6</f>
        <v>20193</v>
      </c>
      <c r="P28" s="1625">
        <f>'BusLgtGrants_BEM E250 Elect'!O6</f>
        <v>12000</v>
      </c>
      <c r="Q28" s="1625">
        <f>'BusLgtGrants_BEM E250 Elect'!P6</f>
        <v>8740000</v>
      </c>
      <c r="S28" s="1625">
        <f>'BusLgtGrants_BEM E250 Elect'!R6</f>
        <v>11552669.9376</v>
      </c>
      <c r="T28" s="1627">
        <f>'BusLgtGrants_BEM E250 Elect'!S6</f>
        <v>46000000</v>
      </c>
    </row>
    <row r="29" spans="2:20">
      <c r="B29" s="1718" t="s">
        <v>361</v>
      </c>
      <c r="C29" s="1413" t="s">
        <v>131</v>
      </c>
      <c r="E29" s="1413" t="s">
        <v>137</v>
      </c>
      <c r="H29" s="974">
        <v>18230715</v>
      </c>
      <c r="I29" s="1199">
        <f>'CI NC Detail_BEM E251 Elec'!H6</f>
        <v>158400</v>
      </c>
      <c r="J29" s="1199">
        <f>'CI NC Detail_BEM E251 Elec'!I6</f>
        <v>13340</v>
      </c>
      <c r="K29" s="1199">
        <f>'CI NC Detail_BEM E251 Elec'!J6</f>
        <v>154222.51999999999</v>
      </c>
      <c r="L29" s="1199">
        <f>'CI NC Detail_BEM E251 Elec'!K6</f>
        <v>24000</v>
      </c>
      <c r="M29" s="1199">
        <f>'CI NC Detail_BEM E251 Elec'!L6</f>
        <v>4000</v>
      </c>
      <c r="N29" s="1199">
        <f>'CI NC Detail_BEM E251 Elec'!M6</f>
        <v>120000</v>
      </c>
      <c r="O29" s="1199">
        <f>'CI NC Detail_BEM E251 Elec'!N6</f>
        <v>4000</v>
      </c>
      <c r="P29" s="1199">
        <f>'CI NC Detail_BEM E251 Elec'!O6</f>
        <v>5000</v>
      </c>
      <c r="Q29" s="1199">
        <f>'CI NC Detail_BEM E251 Elec'!P6</f>
        <v>2000000</v>
      </c>
      <c r="S29" s="1199">
        <f>'CI NC Detail_BEM E251 Elec'!R6</f>
        <v>2482962.52</v>
      </c>
      <c r="T29" s="1627">
        <f>'CI NC Detail_BEM E251 Elec'!S6</f>
        <v>10000000</v>
      </c>
    </row>
    <row r="30" spans="2:20">
      <c r="B30" s="1413"/>
      <c r="E30" s="1652" t="s">
        <v>684</v>
      </c>
      <c r="I30" s="24">
        <f>SUM(I31:I33)</f>
        <v>429472.83</v>
      </c>
      <c r="J30" s="24">
        <f t="shared" ref="J30:T30" si="1">SUM(J31:J33)</f>
        <v>683.68</v>
      </c>
      <c r="K30" s="24">
        <f>SUM(K31:K33)</f>
        <v>386280.54598</v>
      </c>
      <c r="L30" s="24">
        <f t="shared" si="1"/>
        <v>8000</v>
      </c>
      <c r="M30" s="24">
        <f t="shared" si="1"/>
        <v>16500</v>
      </c>
      <c r="N30" s="24">
        <f t="shared" si="1"/>
        <v>679336</v>
      </c>
      <c r="O30" s="24">
        <f t="shared" si="1"/>
        <v>4000</v>
      </c>
      <c r="P30" s="24">
        <f t="shared" si="1"/>
        <v>15000</v>
      </c>
      <c r="Q30" s="24">
        <f t="shared" si="1"/>
        <v>498750</v>
      </c>
      <c r="R30" s="24">
        <f t="shared" si="1"/>
        <v>0</v>
      </c>
      <c r="S30" s="24">
        <f t="shared" si="1"/>
        <v>2038023.0559799999</v>
      </c>
      <c r="T30" s="1627">
        <f t="shared" si="1"/>
        <v>30250000</v>
      </c>
    </row>
    <row r="31" spans="2:20" s="2152" customFormat="1">
      <c r="B31" s="2151" t="s">
        <v>362</v>
      </c>
      <c r="C31" s="2152" t="s">
        <v>132</v>
      </c>
      <c r="E31" s="2526" t="s">
        <v>519</v>
      </c>
      <c r="H31" s="2155">
        <v>18230723</v>
      </c>
      <c r="I31" s="2154">
        <f>'RCM Detail_BEM E253 Elec'!H6</f>
        <v>385000</v>
      </c>
      <c r="J31" s="2154">
        <f>'RCM Detail_BEM E253 Elec'!I6</f>
        <v>0</v>
      </c>
      <c r="K31" s="2154">
        <f>'RCM Detail_BEM E253 Elec'!J6</f>
        <v>345730</v>
      </c>
      <c r="L31" s="2154">
        <f>'RCM Detail_BEM E253 Elec'!K6</f>
        <v>8000</v>
      </c>
      <c r="M31" s="2154">
        <f>'RCM Detail_BEM E253 Elec'!L6</f>
        <v>15000</v>
      </c>
      <c r="N31" s="2154">
        <f>'RCM Detail_BEM E253 Elec'!M6</f>
        <v>163500</v>
      </c>
      <c r="O31" s="2154">
        <f>'RCM Detail_BEM E253 Elec'!N6</f>
        <v>4000</v>
      </c>
      <c r="P31" s="2154">
        <f>'RCM Detail_BEM E253 Elec'!O6</f>
        <v>15000</v>
      </c>
      <c r="Q31" s="2154">
        <f>'RCM Detail_BEM E253 Elec'!P6</f>
        <v>498750</v>
      </c>
      <c r="R31" s="2154"/>
      <c r="S31" s="2154">
        <f>'RCM Detail_BEM E253 Elec'!R6</f>
        <v>1434980</v>
      </c>
      <c r="T31" s="2156">
        <f>'RCM Detail_BEM E253 Elec'!S6</f>
        <v>14250000</v>
      </c>
    </row>
    <row r="32" spans="2:20" s="2152" customFormat="1">
      <c r="B32" s="2151" t="s">
        <v>1528</v>
      </c>
      <c r="C32" s="2152" t="s">
        <v>132</v>
      </c>
      <c r="E32" s="2526" t="s">
        <v>1522</v>
      </c>
      <c r="H32" s="2357" t="s">
        <v>1513</v>
      </c>
      <c r="I32" s="2154">
        <f>'RCM U-S-B Detail_E253 Elec'!H6</f>
        <v>0</v>
      </c>
      <c r="J32" s="2154">
        <f>'RCM U-S-B Detail_E253 Elec'!I6</f>
        <v>0</v>
      </c>
      <c r="K32" s="2154">
        <f>'RCM U-S-B Detail_E253 Elec'!J6</f>
        <v>0</v>
      </c>
      <c r="L32" s="2154">
        <f>'RCM U-S-B Detail_E253 Elec'!K6</f>
        <v>0</v>
      </c>
      <c r="M32" s="2154">
        <f>'RCM U-S-B Detail_E253 Elec'!L6</f>
        <v>0</v>
      </c>
      <c r="N32" s="2154">
        <f>'RCM U-S-B Detail_E253 Elec'!M6</f>
        <v>494086</v>
      </c>
      <c r="O32" s="2154">
        <f>'RCM U-S-B Detail_E253 Elec'!N6</f>
        <v>0</v>
      </c>
      <c r="P32" s="2154">
        <f>'RCM U-S-B Detail_E253 Elec'!O6</f>
        <v>0</v>
      </c>
      <c r="Q32" s="2154">
        <f>'RCM U-S-B Detail_E253 Elec'!P6</f>
        <v>0</v>
      </c>
      <c r="R32" s="2154">
        <f>'RCM U-S-B Detail_E253 Elec'!Q6</f>
        <v>0</v>
      </c>
      <c r="S32" s="2154">
        <f>'RCM U-S-B Detail_E253 Elec'!R6</f>
        <v>494086</v>
      </c>
      <c r="T32" s="2156">
        <f>'RCM U-S-B Detail_E253 Elec'!S6</f>
        <v>16000000</v>
      </c>
    </row>
    <row r="33" spans="2:20" s="2152" customFormat="1">
      <c r="B33" s="2151" t="s">
        <v>1531</v>
      </c>
      <c r="E33" s="2526" t="s">
        <v>1533</v>
      </c>
      <c r="H33" s="2357" t="s">
        <v>1515</v>
      </c>
      <c r="I33" s="2154">
        <f>'ResAcctSW Detail_PSWE_Elec'!H6</f>
        <v>44472.83</v>
      </c>
      <c r="J33" s="2154">
        <f>'ResAcctSW Detail_PSWE_Elec'!I6</f>
        <v>683.68</v>
      </c>
      <c r="K33" s="2154">
        <f>'ResAcctSW Detail_PSWE_Elec'!J6</f>
        <v>40550.545979999995</v>
      </c>
      <c r="L33" s="2154">
        <f>'ResAcctSW Detail_PSWE_Elec'!K6</f>
        <v>0</v>
      </c>
      <c r="M33" s="2154">
        <f>'ResAcctSW Detail_PSWE_Elec'!L6</f>
        <v>1500</v>
      </c>
      <c r="N33" s="2154">
        <f>'ResAcctSW Detail_PSWE_Elec'!M6</f>
        <v>21750</v>
      </c>
      <c r="O33" s="2154">
        <f>'ResAcctSW Detail_PSWE_Elec'!N6</f>
        <v>0</v>
      </c>
      <c r="P33" s="2154">
        <f>'ResAcctSW Detail_PSWE_Elec'!O6</f>
        <v>0</v>
      </c>
      <c r="Q33" s="2154">
        <f>'ResAcctSW Detail_PSWE_Elec'!P6</f>
        <v>0</v>
      </c>
      <c r="R33" s="2154">
        <f>'ResAcctSW Detail_PSWE_Elec'!Q6</f>
        <v>0</v>
      </c>
      <c r="S33" s="2154">
        <f>'ResAcctSW Detail_PSWE_Elec'!R6</f>
        <v>108957.05598</v>
      </c>
      <c r="T33" s="2156"/>
    </row>
    <row r="34" spans="2:20">
      <c r="B34" s="1718"/>
      <c r="E34" s="1413" t="s">
        <v>139</v>
      </c>
      <c r="H34" s="974"/>
      <c r="I34" s="1625">
        <f>SUM(I35:I36)</f>
        <v>358557.03423388122</v>
      </c>
      <c r="J34" s="1625">
        <f t="shared" ref="J34:T34" si="2">SUM(J35:J36)</f>
        <v>0</v>
      </c>
      <c r="K34" s="1625">
        <f t="shared" si="2"/>
        <v>318219.36788256955</v>
      </c>
      <c r="L34" s="1625">
        <f t="shared" si="2"/>
        <v>0</v>
      </c>
      <c r="M34" s="1625">
        <f t="shared" si="2"/>
        <v>0</v>
      </c>
      <c r="N34" s="1625">
        <f t="shared" si="2"/>
        <v>0</v>
      </c>
      <c r="O34" s="1625">
        <f t="shared" si="2"/>
        <v>0</v>
      </c>
      <c r="P34" s="1625">
        <f t="shared" si="2"/>
        <v>0</v>
      </c>
      <c r="Q34" s="1625">
        <f t="shared" si="2"/>
        <v>10288649.781563077</v>
      </c>
      <c r="R34" s="1625">
        <f t="shared" si="2"/>
        <v>0</v>
      </c>
      <c r="S34" s="1625">
        <f t="shared" si="2"/>
        <v>10965426.183679529</v>
      </c>
      <c r="T34" s="1627">
        <f t="shared" si="2"/>
        <v>21474005</v>
      </c>
    </row>
    <row r="35" spans="2:20" s="2152" customFormat="1">
      <c r="B35" s="2151" t="s">
        <v>1521</v>
      </c>
      <c r="C35" s="2152" t="s">
        <v>133</v>
      </c>
      <c r="E35" s="2526" t="s">
        <v>1518</v>
      </c>
      <c r="H35" s="2383">
        <v>18230720</v>
      </c>
      <c r="I35" s="2154">
        <f>LPSD_Detail_449_Elec!H6</f>
        <v>96952.212323283762</v>
      </c>
      <c r="J35" s="2154">
        <f>LPSD_Detail_449_Elec!I6</f>
        <v>0</v>
      </c>
      <c r="K35" s="2154">
        <f>LPSD_Detail_449_Elec!J6</f>
        <v>86045.088436914346</v>
      </c>
      <c r="L35" s="2154">
        <f>LPSD_Detail_449_Elec!K6</f>
        <v>0</v>
      </c>
      <c r="M35" s="2154">
        <f>LPSD_Detail_449_Elec!L6</f>
        <v>0</v>
      </c>
      <c r="N35" s="2154">
        <f>LPSD_Detail_449_Elec!M6</f>
        <v>0</v>
      </c>
      <c r="O35" s="2154">
        <f>LPSD_Detail_449_Elec!N6</f>
        <v>0</v>
      </c>
      <c r="P35" s="2154">
        <f>LPSD_Detail_449_Elec!O6</f>
        <v>0</v>
      </c>
      <c r="Q35" s="2154">
        <f>LPSD_Detail_449_Elec!P6</f>
        <v>2339840.7815630781</v>
      </c>
      <c r="R35" s="2154">
        <f>LPSD_Detail_449_Elec!Q6</f>
        <v>0</v>
      </c>
      <c r="S35" s="2154">
        <f>LPSD_Detail_449_Elec!R6</f>
        <v>2522838.082323276</v>
      </c>
      <c r="T35" s="2156">
        <f>LPSD_Detail_449_Elec!S6</f>
        <v>4245976</v>
      </c>
    </row>
    <row r="36" spans="2:20" s="2152" customFormat="1">
      <c r="B36" s="2151" t="s">
        <v>1520</v>
      </c>
      <c r="C36" s="2152" t="s">
        <v>133</v>
      </c>
      <c r="E36" s="2526" t="s">
        <v>1519</v>
      </c>
      <c r="H36" s="2383">
        <v>18230721</v>
      </c>
      <c r="I36" s="2154">
        <f>'LPSD_Detail_Non-449 Elec'!H6</f>
        <v>261604.82191059744</v>
      </c>
      <c r="J36" s="2154">
        <f>'LPSD_Detail_Non-449 Elec'!I6</f>
        <v>0</v>
      </c>
      <c r="K36" s="2154">
        <f>'LPSD_Detail_Non-449 Elec'!J6</f>
        <v>232174.27944565524</v>
      </c>
      <c r="L36" s="2154">
        <f>'LPSD_Detail_Non-449 Elec'!K6</f>
        <v>0</v>
      </c>
      <c r="M36" s="2154">
        <f>'LPSD_Detail_Non-449 Elec'!L6</f>
        <v>0</v>
      </c>
      <c r="N36" s="2154">
        <f>'LPSD_Detail_Non-449 Elec'!M6</f>
        <v>0</v>
      </c>
      <c r="O36" s="2154">
        <f>'LPSD_Detail_Non-449 Elec'!N6</f>
        <v>0</v>
      </c>
      <c r="P36" s="2154">
        <f>'LPSD_Detail_Non-449 Elec'!O6</f>
        <v>0</v>
      </c>
      <c r="Q36" s="2154">
        <f>'LPSD_Detail_Non-449 Elec'!P6</f>
        <v>7948809</v>
      </c>
      <c r="R36" s="2154"/>
      <c r="S36" s="2154">
        <f>'LPSD_Detail_Non-449 Elec'!R6</f>
        <v>8442588.101356253</v>
      </c>
      <c r="T36" s="2156">
        <f>'LPSD_Detail_Non-449 Elec'!S6</f>
        <v>17228029</v>
      </c>
    </row>
    <row r="37" spans="2:20">
      <c r="B37" s="1718" t="s">
        <v>363</v>
      </c>
      <c r="C37" s="1413" t="s">
        <v>134</v>
      </c>
      <c r="E37" s="1413" t="s">
        <v>140</v>
      </c>
      <c r="H37" s="974">
        <v>18230448</v>
      </c>
      <c r="I37" s="1199">
        <f>'TechEval Detail_BEM E261 Elec'!H6</f>
        <v>0</v>
      </c>
      <c r="J37" s="1199">
        <f>'TechEval Detail_BEM E261 Elec'!I6</f>
        <v>0</v>
      </c>
      <c r="K37" s="1199">
        <f>'TechEval Detail_BEM E261 Elec'!J6</f>
        <v>0</v>
      </c>
      <c r="L37" s="1199">
        <f>'TechEval Detail_BEM E261 Elec'!K6</f>
        <v>0</v>
      </c>
      <c r="M37" s="1199">
        <f>'TechEval Detail_BEM E261 Elec'!L6</f>
        <v>0</v>
      </c>
      <c r="N37" s="1199">
        <f>'TechEval Detail_BEM E261 Elec'!M6</f>
        <v>0</v>
      </c>
      <c r="O37" s="1199">
        <f>'TechEval Detail_BEM E261 Elec'!N6</f>
        <v>0</v>
      </c>
      <c r="P37" s="1199">
        <f>'TechEval Detail_BEM E261 Elec'!O6</f>
        <v>0</v>
      </c>
      <c r="Q37" s="1199">
        <f>'TechEval Detail_BEM E261 Elec'!P6</f>
        <v>0</v>
      </c>
      <c r="S37" s="1199">
        <f>'TechEval Detail_BEM E261 Elec'!R6</f>
        <v>0</v>
      </c>
      <c r="T37" s="1627">
        <f>'TechEval Detail_BEM E261 Elec'!S6</f>
        <v>0</v>
      </c>
    </row>
    <row r="38" spans="2:20">
      <c r="B38" s="1718"/>
      <c r="C38" s="1413" t="s">
        <v>135</v>
      </c>
      <c r="E38" s="1413" t="s">
        <v>141</v>
      </c>
      <c r="H38" s="974"/>
      <c r="I38" s="1199">
        <f>SUM(I39:I46)</f>
        <v>290828.51749999996</v>
      </c>
      <c r="J38" s="1625">
        <f t="shared" ref="J38:T38" si="3">SUM(J39:J46)</f>
        <v>58822.868749999994</v>
      </c>
      <c r="K38" s="1625">
        <f>SUM(K39:K46)</f>
        <v>313986.94485249999</v>
      </c>
      <c r="L38" s="1625">
        <f>SUM(L39:L46)</f>
        <v>147500</v>
      </c>
      <c r="M38" s="1625">
        <f t="shared" si="3"/>
        <v>30475</v>
      </c>
      <c r="N38" s="1625">
        <f>SUM(N39:N46)</f>
        <v>728943.13</v>
      </c>
      <c r="O38" s="1625">
        <f t="shared" si="3"/>
        <v>11740</v>
      </c>
      <c r="P38" s="1625">
        <f t="shared" si="3"/>
        <v>764695.5</v>
      </c>
      <c r="Q38" s="1625">
        <f t="shared" si="3"/>
        <v>5788279.8850000016</v>
      </c>
      <c r="R38" s="1625">
        <f>SUM(R39:R46)</f>
        <v>0</v>
      </c>
      <c r="S38" s="1625">
        <f t="shared" si="3"/>
        <v>8135271.8461025013</v>
      </c>
      <c r="T38" s="1627">
        <f t="shared" si="3"/>
        <v>33031055.394967496</v>
      </c>
    </row>
    <row r="39" spans="2:20" s="2152" customFormat="1">
      <c r="B39" s="2151" t="s">
        <v>665</v>
      </c>
      <c r="C39" s="2152" t="s">
        <v>135</v>
      </c>
      <c r="E39" s="2526" t="s">
        <v>618</v>
      </c>
      <c r="H39" s="175">
        <v>18230714</v>
      </c>
      <c r="I39" s="2154">
        <f>'Comm Lgt Mkdn_E262 Elect'!I6</f>
        <v>72515.867499999993</v>
      </c>
      <c r="J39" s="2154">
        <f>'Comm Lgt Mkdn_E262 Elect'!J6</f>
        <v>19437.5</v>
      </c>
      <c r="K39" s="2154">
        <f>'Comm Lgt Mkdn_E262 Elect'!K6</f>
        <v>82574.124014999979</v>
      </c>
      <c r="L39" s="2154">
        <f>'Comm Lgt Mkdn_E262 Elect'!L6</f>
        <v>50000</v>
      </c>
      <c r="M39" s="2154">
        <f>'Comm Lgt Mkdn_E262 Elect'!M6</f>
        <v>6750</v>
      </c>
      <c r="N39" s="2154">
        <f>'Comm Lgt Mkdn_E262 Elect'!N6</f>
        <v>182963</v>
      </c>
      <c r="O39" s="2154">
        <f>'Comm Lgt Mkdn_E262 Elect'!O6</f>
        <v>3000</v>
      </c>
      <c r="P39" s="2154">
        <f>'Comm Lgt Mkdn_E262 Elect'!P6</f>
        <v>500</v>
      </c>
      <c r="Q39" s="2154">
        <f>'Comm Lgt Mkdn_E262 Elect'!Q6</f>
        <v>803490</v>
      </c>
      <c r="R39" s="2154">
        <f>'Comm Lgt Mkdn_E262 Elect'!R6</f>
        <v>0</v>
      </c>
      <c r="S39" s="2154">
        <f>'Comm Lgt Mkdn_E262 Elect'!S6</f>
        <v>1221230.4915149999</v>
      </c>
      <c r="T39" s="2156">
        <f>'Comm Lgt Mkdn_E262 Elect'!T6</f>
        <v>10447837</v>
      </c>
    </row>
    <row r="40" spans="2:20" s="2152" customFormat="1">
      <c r="B40" s="2151" t="s">
        <v>666</v>
      </c>
      <c r="C40" s="2152" t="s">
        <v>135</v>
      </c>
      <c r="D40" s="3209" t="s">
        <v>1755</v>
      </c>
      <c r="E40" s="3207" t="s">
        <v>619</v>
      </c>
      <c r="H40" s="175">
        <v>18230716</v>
      </c>
      <c r="I40" s="2154">
        <f>'Comm Kit-Laund_E262 Elect'!I6</f>
        <v>27869.7</v>
      </c>
      <c r="J40" s="2154">
        <f>'Comm Kit-Laund_E262 Elect'!J6</f>
        <v>6560</v>
      </c>
      <c r="K40" s="2154">
        <f>'Comm Kit-Laund_E262 Elect'!K6</f>
        <v>30917.870599999995</v>
      </c>
      <c r="L40" s="2154">
        <f>'Comm Kit-Laund_E262 Elect'!L6</f>
        <v>15000</v>
      </c>
      <c r="M40" s="2154">
        <f>'Comm Kit-Laund_E262 Elect'!M6</f>
        <v>5225</v>
      </c>
      <c r="N40" s="2154">
        <f>'Comm Kit-Laund_E262 Elect'!N6</f>
        <v>1200</v>
      </c>
      <c r="O40" s="2154">
        <f>'Comm Kit-Laund_E262 Elect'!O6</f>
        <v>240</v>
      </c>
      <c r="P40" s="2154">
        <f>'Comm Kit-Laund_E262 Elect'!P6</f>
        <v>0</v>
      </c>
      <c r="Q40" s="2154">
        <f>'Comm Kit-Laund_E262 Elect'!Q6</f>
        <v>148190</v>
      </c>
      <c r="R40" s="2154">
        <f>'Comm Kit-Laund_E262 Elect'!R6</f>
        <v>0</v>
      </c>
      <c r="S40" s="2154">
        <f>'Comm Kit-Laund_E262 Elect'!S6</f>
        <v>235202.57059999998</v>
      </c>
      <c r="T40" s="2156">
        <f>'Comm Kit-Laund_E262 Elect'!T6</f>
        <v>1112601</v>
      </c>
    </row>
    <row r="41" spans="2:20" s="2152" customFormat="1" hidden="1">
      <c r="B41" s="2151" t="s">
        <v>667</v>
      </c>
      <c r="C41" s="2152" t="s">
        <v>135</v>
      </c>
      <c r="D41" s="3209"/>
      <c r="E41" s="2526" t="s">
        <v>620</v>
      </c>
      <c r="H41" s="175">
        <v>18230717</v>
      </c>
      <c r="I41" s="2154">
        <f>'Comm DI_E262 Elect'!I6</f>
        <v>0</v>
      </c>
      <c r="J41" s="2154">
        <f>'Comm DI_E262 Elect'!J6</f>
        <v>0</v>
      </c>
      <c r="K41" s="2154">
        <f>'Comm DI_E262 Elect'!K6</f>
        <v>0</v>
      </c>
      <c r="L41" s="2154">
        <f>'Comm DI_E262 Elect'!L6</f>
        <v>0</v>
      </c>
      <c r="M41" s="2154">
        <f>'Comm DI_E262 Elect'!M6</f>
        <v>0</v>
      </c>
      <c r="N41" s="2154">
        <f>'Comm DI_E262 Elect'!N6</f>
        <v>0</v>
      </c>
      <c r="O41" s="2154">
        <f>'Comm DI_E262 Elect'!O6</f>
        <v>0</v>
      </c>
      <c r="P41" s="2154">
        <f>'Comm DI_E262 Elect'!P6</f>
        <v>0</v>
      </c>
      <c r="Q41" s="2154">
        <f>'Comm DI_E262 Elect'!Q6</f>
        <v>0</v>
      </c>
      <c r="R41" s="2154">
        <f>'Comm DI_E262 Elect'!R6</f>
        <v>0</v>
      </c>
      <c r="S41" s="2154">
        <f>'Comm DI_E262 Elect'!S6</f>
        <v>0</v>
      </c>
      <c r="T41" s="2156">
        <f>'Comm DI_E262 Elect'!T6</f>
        <v>0</v>
      </c>
    </row>
    <row r="42" spans="2:20" s="2152" customFormat="1">
      <c r="B42" s="2151" t="s">
        <v>668</v>
      </c>
      <c r="C42" s="2152" t="s">
        <v>135</v>
      </c>
      <c r="D42" s="3209" t="s">
        <v>1755</v>
      </c>
      <c r="E42" s="3207" t="s">
        <v>621</v>
      </c>
      <c r="H42" s="175">
        <v>18230718</v>
      </c>
      <c r="I42" s="2154">
        <f>'Comm HVAC_E262 Elect'!I6</f>
        <v>60384.35</v>
      </c>
      <c r="J42" s="2154">
        <f>'Comm HVAC_E262 Elect'!J6</f>
        <v>4100</v>
      </c>
      <c r="K42" s="2154">
        <f>'Comm HVAC_E262 Elect'!K6</f>
        <v>57906.946299999996</v>
      </c>
      <c r="L42" s="2154">
        <f>'Comm HVAC_E262 Elect'!L6</f>
        <v>42500</v>
      </c>
      <c r="M42" s="2154">
        <f>'Comm HVAC_E262 Elect'!M6</f>
        <v>5000</v>
      </c>
      <c r="N42" s="2154">
        <f>'Comm HVAC_E262 Elect'!N6</f>
        <v>258595.13</v>
      </c>
      <c r="O42" s="2154">
        <f>'Comm HVAC_E262 Elect'!O6</f>
        <v>5000</v>
      </c>
      <c r="P42" s="2154">
        <f>'Comm HVAC_E262 Elect'!P6</f>
        <v>1000</v>
      </c>
      <c r="Q42" s="2154">
        <f>'Comm HVAC_E262 Elect'!Q6</f>
        <v>730500</v>
      </c>
      <c r="R42" s="2154">
        <f>'Comm HVAC_E262 Elect'!R6</f>
        <v>0</v>
      </c>
      <c r="S42" s="2154">
        <f>'Comm HVAC_E262 Elect'!S6</f>
        <v>1164986.4262999999</v>
      </c>
      <c r="T42" s="2156">
        <f>'Comm HVAC_E262 Elect'!T6</f>
        <v>3448522</v>
      </c>
    </row>
    <row r="43" spans="2:20" s="2152" customFormat="1">
      <c r="B43" s="2151" t="s">
        <v>669</v>
      </c>
      <c r="C43" s="2152" t="s">
        <v>135</v>
      </c>
      <c r="D43" s="3209"/>
      <c r="E43" s="2526" t="s">
        <v>622</v>
      </c>
      <c r="H43" s="175">
        <v>18230722</v>
      </c>
      <c r="I43" s="2154">
        <f>'Comm ExpLgt_E262 Elect'!I6</f>
        <v>0</v>
      </c>
      <c r="J43" s="2154">
        <f>'Comm ExpLgt_E262 Elect'!J6</f>
        <v>0</v>
      </c>
      <c r="K43" s="2154">
        <f>'Comm ExpLgt_E262 Elect'!K6</f>
        <v>0</v>
      </c>
      <c r="L43" s="2154">
        <f>'Comm ExpLgt_E262 Elect'!L6</f>
        <v>0</v>
      </c>
      <c r="M43" s="2154">
        <f>'Comm ExpLgt_E262 Elect'!M6</f>
        <v>0</v>
      </c>
      <c r="N43" s="2154">
        <f>'Comm ExpLgt_E262 Elect'!N6</f>
        <v>0</v>
      </c>
      <c r="O43" s="2154">
        <f>'Comm ExpLgt_E262 Elect'!O6</f>
        <v>0</v>
      </c>
      <c r="P43" s="2154">
        <f>'Comm ExpLgt_E262 Elect'!P6</f>
        <v>0</v>
      </c>
      <c r="Q43" s="2154">
        <f>'Comm ExpLgt_E262 Elect'!Q6</f>
        <v>0</v>
      </c>
      <c r="R43" s="2154">
        <f>'Comm ExpLgt_E262 Elect'!R6</f>
        <v>0</v>
      </c>
      <c r="S43" s="2154">
        <f>'Comm ExpLgt_E262 Elect'!S6</f>
        <v>0</v>
      </c>
      <c r="T43" s="2156">
        <f>'Comm ExpLgt_E262 Elect'!T6</f>
        <v>0</v>
      </c>
    </row>
    <row r="44" spans="2:20" s="2152" customFormat="1">
      <c r="B44" s="2358" t="s">
        <v>1511</v>
      </c>
      <c r="C44" s="2359" t="s">
        <v>135</v>
      </c>
      <c r="D44" s="3210"/>
      <c r="E44" s="2527" t="s">
        <v>1463</v>
      </c>
      <c r="G44" s="2359"/>
      <c r="H44" s="175" t="s">
        <v>1398</v>
      </c>
      <c r="I44" s="2154">
        <f>'Sm Agr DI_E262 Elect'!I6</f>
        <v>20437.780000000002</v>
      </c>
      <c r="J44" s="2154">
        <f>'Sm Agr DI_E262 Elect'!J6</f>
        <v>0</v>
      </c>
      <c r="K44" s="2154">
        <f>'Sm Agr DI_E262 Elect'!K6</f>
        <v>18353.12644</v>
      </c>
      <c r="L44" s="2154">
        <f>'Sm Agr DI_E262 Elect'!L6</f>
        <v>0</v>
      </c>
      <c r="M44" s="2154">
        <f>'Sm Agr DI_E262 Elect'!M6</f>
        <v>0</v>
      </c>
      <c r="N44" s="2154">
        <f>'Sm Agr DI_E262 Elect'!N6</f>
        <v>10185</v>
      </c>
      <c r="O44" s="2154">
        <f>'Sm Agr DI_E262 Elect'!O6</f>
        <v>0</v>
      </c>
      <c r="P44" s="2154">
        <f>'Sm Agr DI_E262 Elect'!P6</f>
        <v>152775</v>
      </c>
      <c r="Q44" s="2154">
        <f>'Sm Agr DI_E262 Elect'!Q6</f>
        <v>412054.92500000022</v>
      </c>
      <c r="R44" s="2154">
        <f>'Sm Agr DI_E262 Elect'!R6</f>
        <v>0</v>
      </c>
      <c r="S44" s="2154">
        <f>'Sm Agr DI_E262 Elect'!S6</f>
        <v>613805.83144000021</v>
      </c>
      <c r="T44" s="2156">
        <f>'Sm Agr DI_E262 Elect'!T6</f>
        <v>2880131.8429096136</v>
      </c>
    </row>
    <row r="45" spans="2:20" s="2152" customFormat="1">
      <c r="B45" s="2358" t="s">
        <v>1510</v>
      </c>
      <c r="C45" s="2359" t="s">
        <v>135</v>
      </c>
      <c r="D45" s="3209" t="s">
        <v>1755</v>
      </c>
      <c r="E45" s="3208" t="s">
        <v>1397</v>
      </c>
      <c r="G45" s="2359"/>
      <c r="H45" s="175" t="s">
        <v>1398</v>
      </c>
      <c r="I45" s="2154">
        <f>'Lodging DI_E262 Elec'!I6</f>
        <v>27869.7</v>
      </c>
      <c r="J45" s="2154">
        <f>'Lodging DI_E262 Elec'!J6</f>
        <v>23805.368749999998</v>
      </c>
      <c r="K45" s="2154">
        <f>'Lodging DI_E262 Elec'!K6</f>
        <v>46404.211737499994</v>
      </c>
      <c r="L45" s="2154">
        <f>'Lodging DI_E262 Elec'!L6</f>
        <v>10000</v>
      </c>
      <c r="M45" s="2154">
        <f>'Lodging DI_E262 Elec'!M6</f>
        <v>10000</v>
      </c>
      <c r="N45" s="2154">
        <f>'Lodging DI_E262 Elec'!N6</f>
        <v>222000</v>
      </c>
      <c r="O45" s="2154">
        <f>'Lodging DI_E262 Elec'!O6</f>
        <v>1000</v>
      </c>
      <c r="P45" s="2154">
        <f>'Lodging DI_E262 Elec'!P6</f>
        <v>0</v>
      </c>
      <c r="Q45" s="2154">
        <f>'Lodging DI_E262 Elec'!Q6</f>
        <v>1366053.3499999999</v>
      </c>
      <c r="R45" s="2154">
        <f>'Lodging DI_E262 Elec'!R6</f>
        <v>0</v>
      </c>
      <c r="S45" s="2154">
        <f>'Lodging DI_E262 Elec'!S6</f>
        <v>1707132.6304874998</v>
      </c>
      <c r="T45" s="2156">
        <f>'Lodging DI_E262 Elec'!T6</f>
        <v>5099015</v>
      </c>
    </row>
    <row r="46" spans="2:20" s="2152" customFormat="1">
      <c r="B46" s="2151" t="s">
        <v>670</v>
      </c>
      <c r="C46" s="2152" t="s">
        <v>135</v>
      </c>
      <c r="D46" s="3211"/>
      <c r="E46" s="2526" t="s">
        <v>530</v>
      </c>
      <c r="H46" s="175">
        <v>18231134</v>
      </c>
      <c r="I46" s="2154">
        <f>'Sm Bus DI_E262 Elect'!I6</f>
        <v>81751.12</v>
      </c>
      <c r="J46" s="2154">
        <f>'Sm Bus DI_E262 Elect'!J6</f>
        <v>4920</v>
      </c>
      <c r="K46" s="2154">
        <f>'Sm Bus DI_E262 Elect'!K6</f>
        <v>77830.665759999989</v>
      </c>
      <c r="L46" s="2154">
        <f>'Sm Bus DI_E262 Elect'!L6</f>
        <v>30000</v>
      </c>
      <c r="M46" s="2154">
        <f>'Sm Bus DI_E262 Elect'!M6</f>
        <v>3500</v>
      </c>
      <c r="N46" s="2154">
        <f>'Sm Bus DI_E262 Elect'!N6</f>
        <v>54000</v>
      </c>
      <c r="O46" s="2154">
        <f>'Sm Bus DI_E262 Elect'!O6</f>
        <v>2500</v>
      </c>
      <c r="P46" s="2154">
        <f>'Sm Bus DI_E262 Elect'!P6</f>
        <v>610420.5</v>
      </c>
      <c r="Q46" s="2154">
        <f>'Sm Bus DI_E262 Elect'!Q6</f>
        <v>2327991.6100000008</v>
      </c>
      <c r="R46" s="2154">
        <f>'Sm Bus DI_E262 Elect'!R6</f>
        <v>0</v>
      </c>
      <c r="S46" s="2154">
        <f>'Sm Bus DI_E262 Elect'!S6</f>
        <v>3192913.8957600007</v>
      </c>
      <c r="T46" s="2156">
        <f>'Sm Bus DI_E262 Elect'!T6</f>
        <v>10042948.552057886</v>
      </c>
    </row>
    <row r="47" spans="2:20" s="1288" customFormat="1">
      <c r="B47" s="1540"/>
      <c r="D47" s="1567"/>
      <c r="F47" s="1539"/>
      <c r="G47" s="174" t="s">
        <v>146</v>
      </c>
      <c r="H47" s="1567"/>
      <c r="I47" s="474">
        <f>SUM(I27:I30)+I34+I37+I38</f>
        <v>3015801.4475000002</v>
      </c>
      <c r="J47" s="1541">
        <f t="shared" ref="J47:S47" si="4">SUM(J27:J30)+J34+J37+J38</f>
        <v>107946.64874999999</v>
      </c>
      <c r="K47" s="1541">
        <f t="shared" si="4"/>
        <v>2558456.5088795898</v>
      </c>
      <c r="L47" s="1541">
        <f t="shared" si="4"/>
        <v>245285</v>
      </c>
      <c r="M47" s="1541">
        <f t="shared" si="4"/>
        <v>158337</v>
      </c>
      <c r="N47" s="1541">
        <f t="shared" si="4"/>
        <v>3048279.13</v>
      </c>
      <c r="O47" s="1541">
        <f t="shared" si="4"/>
        <v>49933</v>
      </c>
      <c r="P47" s="1541">
        <f t="shared" si="4"/>
        <v>796695.5</v>
      </c>
      <c r="Q47" s="1541">
        <f t="shared" si="4"/>
        <v>32565679.666563079</v>
      </c>
      <c r="R47" s="1541">
        <f t="shared" si="4"/>
        <v>0</v>
      </c>
      <c r="S47" s="1541">
        <f t="shared" si="4"/>
        <v>42546413.901692666</v>
      </c>
      <c r="T47" s="1542">
        <f>SUM(T27:T30)+T34+T37+T38</f>
        <v>166755060.3949675</v>
      </c>
    </row>
    <row r="48" spans="2:20">
      <c r="B48" s="1540"/>
      <c r="H48" s="1622"/>
      <c r="T48" s="1627"/>
    </row>
    <row r="49" spans="2:20" s="1652" customFormat="1">
      <c r="B49" s="1540"/>
      <c r="H49" s="3004" t="s">
        <v>1731</v>
      </c>
      <c r="I49" s="3005">
        <v>3261684.1850000001</v>
      </c>
      <c r="J49" s="3005">
        <v>102631.62875</v>
      </c>
      <c r="K49" s="3005">
        <v>2267012.1989500001</v>
      </c>
      <c r="L49" s="3005">
        <v>217285</v>
      </c>
      <c r="M49" s="3005">
        <v>144337</v>
      </c>
      <c r="N49" s="3005">
        <v>2015640</v>
      </c>
      <c r="O49" s="3005">
        <v>48233</v>
      </c>
      <c r="P49" s="3005">
        <v>1031695.5</v>
      </c>
      <c r="Q49" s="3005">
        <v>30612928.034273081</v>
      </c>
      <c r="R49" s="3005">
        <v>0</v>
      </c>
      <c r="S49" s="3005">
        <v>39701446.546973079</v>
      </c>
      <c r="T49" s="3006">
        <v>166533822.09999999</v>
      </c>
    </row>
    <row r="50" spans="2:20" s="1652" customFormat="1">
      <c r="B50" s="1663"/>
      <c r="C50" s="1652" t="s">
        <v>67</v>
      </c>
      <c r="I50" s="1625"/>
      <c r="J50" s="1625"/>
      <c r="K50" s="1625"/>
      <c r="L50" s="1625"/>
      <c r="M50" s="1625"/>
      <c r="N50" s="1625"/>
      <c r="O50" s="1625"/>
      <c r="P50" s="1625"/>
      <c r="Q50" s="1625"/>
      <c r="R50" s="1625"/>
      <c r="S50" s="1625"/>
      <c r="T50" s="1627"/>
    </row>
    <row r="51" spans="2:20" s="1652" customFormat="1">
      <c r="B51" s="1718" t="s">
        <v>572</v>
      </c>
      <c r="C51" s="1652" t="s">
        <v>66</v>
      </c>
      <c r="E51" s="1652" t="s">
        <v>573</v>
      </c>
      <c r="H51" s="2077">
        <v>18230522</v>
      </c>
      <c r="I51" s="1625">
        <f>'REM Pilots E249 Elec'!I6</f>
        <v>46650</v>
      </c>
      <c r="J51" s="1625">
        <f>'REM Pilots E249 Elec'!J6</f>
        <v>7775</v>
      </c>
      <c r="K51" s="1625">
        <f>'REM Pilots E249 Elec'!K6</f>
        <v>48873.649999999994</v>
      </c>
      <c r="L51" s="1625">
        <f>'REM Pilots E249 Elec'!L6</f>
        <v>22950</v>
      </c>
      <c r="M51" s="1625">
        <f>'REM Pilots E249 Elec'!M6</f>
        <v>4000</v>
      </c>
      <c r="N51" s="1625">
        <f>'REM Pilots E249 Elec'!N6</f>
        <v>422521</v>
      </c>
      <c r="O51" s="1625">
        <f>'REM Pilots E249 Elec'!O6</f>
        <v>2000</v>
      </c>
      <c r="P51" s="1625">
        <f>'REM Pilots E249 Elec'!P6</f>
        <v>1000</v>
      </c>
      <c r="Q51" s="1625">
        <f>'REM Pilots E249 Elec'!Q6</f>
        <v>422521</v>
      </c>
      <c r="R51" s="1625">
        <f>'REM Pilots E249 Elec'!R6</f>
        <v>0</v>
      </c>
      <c r="S51" s="1625">
        <f>'REM Pilots E249 Elec'!S6</f>
        <v>978290.65</v>
      </c>
      <c r="T51" s="1627">
        <f>'REM Pilots E249 Elec'!T6</f>
        <v>5322641</v>
      </c>
    </row>
    <row r="52" spans="2:20" s="1652" customFormat="1">
      <c r="B52" s="1718" t="s">
        <v>571</v>
      </c>
      <c r="C52" s="1652" t="s">
        <v>66</v>
      </c>
      <c r="E52" s="1652" t="s">
        <v>597</v>
      </c>
      <c r="H52" s="974">
        <v>18230629</v>
      </c>
      <c r="I52" s="1625">
        <f>'BEM Pilots E249 Elec'!I6</f>
        <v>0</v>
      </c>
      <c r="J52" s="1625">
        <f>'BEM Pilots E249 Elec'!J6</f>
        <v>0</v>
      </c>
      <c r="K52" s="1625">
        <f>'BEM Pilots E249 Elec'!K6</f>
        <v>0</v>
      </c>
      <c r="L52" s="1625">
        <f>'BEM Pilots E249 Elec'!L6</f>
        <v>0</v>
      </c>
      <c r="M52" s="1625">
        <f>'BEM Pilots E249 Elec'!M6</f>
        <v>0</v>
      </c>
      <c r="N52" s="1625">
        <f>'BEM Pilots E249 Elec'!N6</f>
        <v>0</v>
      </c>
      <c r="O52" s="1625">
        <f>'BEM Pilots E249 Elec'!O6</f>
        <v>0</v>
      </c>
      <c r="P52" s="1625">
        <f>'BEM Pilots E249 Elec'!P6</f>
        <v>0</v>
      </c>
      <c r="Q52" s="1625">
        <f>'BEM Pilots E249 Elec'!Q6</f>
        <v>0</v>
      </c>
      <c r="R52" s="1625">
        <f>'BEM Pilots E249 Elec'!R6</f>
        <v>0</v>
      </c>
      <c r="S52" s="1625">
        <f>'BEM Pilots E249 Elec'!S6</f>
        <v>0</v>
      </c>
      <c r="T52" s="1627">
        <f>'BEM Pilots E249 Elec'!T6</f>
        <v>0</v>
      </c>
    </row>
    <row r="53" spans="2:20" s="1652" customFormat="1">
      <c r="B53" s="1540"/>
      <c r="G53" s="1539" t="s">
        <v>577</v>
      </c>
      <c r="I53" s="1541">
        <f>SUM(I51:I52)</f>
        <v>46650</v>
      </c>
      <c r="J53" s="1541">
        <f t="shared" ref="J53:T53" si="5">SUM(J51:J52)</f>
        <v>7775</v>
      </c>
      <c r="K53" s="1541">
        <f t="shared" si="5"/>
        <v>48873.649999999994</v>
      </c>
      <c r="L53" s="1541">
        <f t="shared" si="5"/>
        <v>22950</v>
      </c>
      <c r="M53" s="1541">
        <f t="shared" si="5"/>
        <v>4000</v>
      </c>
      <c r="N53" s="1541">
        <f t="shared" si="5"/>
        <v>422521</v>
      </c>
      <c r="O53" s="1541">
        <f t="shared" si="5"/>
        <v>2000</v>
      </c>
      <c r="P53" s="1541">
        <f t="shared" si="5"/>
        <v>1000</v>
      </c>
      <c r="Q53" s="1541">
        <f t="shared" si="5"/>
        <v>422521</v>
      </c>
      <c r="R53" s="1541">
        <f t="shared" si="5"/>
        <v>0</v>
      </c>
      <c r="S53" s="1541">
        <f t="shared" si="5"/>
        <v>978290.65</v>
      </c>
      <c r="T53" s="1542">
        <f t="shared" si="5"/>
        <v>5322641</v>
      </c>
    </row>
    <row r="54" spans="2:20" s="1652" customFormat="1">
      <c r="B54" s="1540"/>
      <c r="G54" s="1539"/>
      <c r="I54" s="1541"/>
      <c r="J54" s="1541"/>
      <c r="K54" s="1541"/>
      <c r="L54" s="1541"/>
      <c r="M54" s="1541"/>
      <c r="N54" s="1541"/>
      <c r="O54" s="1541"/>
      <c r="P54" s="1541"/>
      <c r="Q54" s="1541"/>
      <c r="R54" s="1541"/>
      <c r="S54" s="1541"/>
      <c r="T54" s="1542"/>
    </row>
    <row r="55" spans="2:20" s="1652" customFormat="1">
      <c r="B55" s="1540"/>
      <c r="G55" s="1539"/>
      <c r="H55" s="3004" t="s">
        <v>1731</v>
      </c>
      <c r="I55" s="3005">
        <v>0</v>
      </c>
      <c r="J55" s="3005">
        <v>0</v>
      </c>
      <c r="K55" s="3005">
        <v>0</v>
      </c>
      <c r="L55" s="3005">
        <v>0</v>
      </c>
      <c r="M55" s="3005">
        <v>0</v>
      </c>
      <c r="N55" s="3005">
        <v>0</v>
      </c>
      <c r="O55" s="3005">
        <v>0</v>
      </c>
      <c r="P55" s="3005">
        <v>0</v>
      </c>
      <c r="Q55" s="3005">
        <v>0</v>
      </c>
      <c r="R55" s="3005">
        <v>0</v>
      </c>
      <c r="S55" s="3005">
        <v>0</v>
      </c>
      <c r="T55" s="3006">
        <v>0</v>
      </c>
    </row>
    <row r="56" spans="2:20" s="1652" customFormat="1">
      <c r="B56" s="1540"/>
      <c r="G56" s="1539"/>
      <c r="I56" s="1625"/>
      <c r="J56" s="1625"/>
      <c r="K56" s="1625"/>
      <c r="L56" s="1625"/>
      <c r="M56" s="1625"/>
      <c r="N56" s="1625"/>
      <c r="O56" s="1625"/>
      <c r="P56" s="1625"/>
      <c r="Q56" s="1625"/>
      <c r="R56" s="1625"/>
      <c r="S56" s="1625"/>
      <c r="T56" s="1627"/>
    </row>
    <row r="57" spans="2:20">
      <c r="B57" s="1540"/>
      <c r="C57" s="1413" t="s">
        <v>148</v>
      </c>
      <c r="H57" s="1622"/>
      <c r="T57" s="1627"/>
    </row>
    <row r="58" spans="2:20">
      <c r="B58" s="1718" t="s">
        <v>364</v>
      </c>
      <c r="C58" s="1413" t="s">
        <v>151</v>
      </c>
      <c r="E58" s="1413" t="s">
        <v>149</v>
      </c>
      <c r="H58" s="974">
        <v>18230421</v>
      </c>
      <c r="I58" s="1199">
        <f>'NEEA Detail_E254 elec'!H6</f>
        <v>0</v>
      </c>
      <c r="J58" s="1199">
        <f>'NEEA Detail_E254 elec'!I6</f>
        <v>0</v>
      </c>
      <c r="K58" s="1199">
        <f>'NEEA Detail_E254 elec'!J6</f>
        <v>0</v>
      </c>
      <c r="L58" s="1199">
        <f>'NEEA Detail_E254 elec'!K6</f>
        <v>0</v>
      </c>
      <c r="M58" s="1199">
        <f>'NEEA Detail_E254 elec'!L6</f>
        <v>0</v>
      </c>
      <c r="N58" s="1199">
        <f>'NEEA Detail_E254 elec'!M6</f>
        <v>1560000</v>
      </c>
      <c r="O58" s="1199">
        <f>'NEEA Detail_E254 elec'!N6</f>
        <v>0</v>
      </c>
      <c r="P58" s="1199">
        <f>'NEEA Detail_E254 elec'!O6</f>
        <v>0</v>
      </c>
      <c r="Q58" s="1199">
        <f>'NEEA Detail_E254 elec'!P6</f>
        <v>3640000</v>
      </c>
      <c r="S58" s="1199">
        <f>'NEEA Detail_E254 elec'!R6</f>
        <v>5200000</v>
      </c>
      <c r="T58" s="1627">
        <f>'NEEA Detail_E254 elec'!S6</f>
        <v>15592800</v>
      </c>
    </row>
    <row r="59" spans="2:20">
      <c r="B59" s="1718" t="s">
        <v>365</v>
      </c>
      <c r="C59" s="1413" t="s">
        <v>311</v>
      </c>
      <c r="E59" s="1413" t="s">
        <v>150</v>
      </c>
      <c r="H59" s="974">
        <v>18230711</v>
      </c>
      <c r="I59" s="1199">
        <f>'T&amp;D Detail_Reg E292 elec'!H6</f>
        <v>0</v>
      </c>
      <c r="J59" s="1199">
        <f>'T&amp;D Detail_Reg E292 elec'!I6</f>
        <v>0</v>
      </c>
      <c r="K59" s="1199">
        <f>'T&amp;D Detail_Reg E292 elec'!J6</f>
        <v>0</v>
      </c>
      <c r="L59" s="1199">
        <f>'T&amp;D Detail_Reg E292 elec'!K6</f>
        <v>0</v>
      </c>
      <c r="M59" s="1199">
        <f>'T&amp;D Detail_Reg E292 elec'!L6</f>
        <v>0</v>
      </c>
      <c r="N59" s="1199">
        <f>'T&amp;D Detail_Reg E292 elec'!M6</f>
        <v>0</v>
      </c>
      <c r="O59" s="1199">
        <f>'T&amp;D Detail_Reg E292 elec'!N6</f>
        <v>0</v>
      </c>
      <c r="P59" s="1199">
        <f>'T&amp;D Detail_Reg E292 elec'!O6</f>
        <v>0</v>
      </c>
      <c r="Q59" s="1199">
        <f>'T&amp;D Detail_Reg E292 elec'!P6</f>
        <v>0</v>
      </c>
      <c r="S59" s="1199">
        <f>'T&amp;D Detail_Reg E292 elec'!R6</f>
        <v>0</v>
      </c>
      <c r="T59" s="1627">
        <f>'T&amp;D Detail_Reg E292 elec'!S6</f>
        <v>1500000</v>
      </c>
    </row>
    <row r="60" spans="2:20">
      <c r="B60" s="1663"/>
      <c r="F60" s="1539"/>
      <c r="G60" s="174" t="s">
        <v>152</v>
      </c>
      <c r="H60" s="1622"/>
      <c r="I60" s="474">
        <f t="shared" ref="I60:T60" si="6">SUM(I58:I59)</f>
        <v>0</v>
      </c>
      <c r="J60" s="474">
        <f t="shared" si="6"/>
        <v>0</v>
      </c>
      <c r="K60" s="474">
        <f t="shared" si="6"/>
        <v>0</v>
      </c>
      <c r="L60" s="474">
        <f t="shared" si="6"/>
        <v>0</v>
      </c>
      <c r="M60" s="474">
        <f t="shared" si="6"/>
        <v>0</v>
      </c>
      <c r="N60" s="474">
        <f t="shared" si="6"/>
        <v>1560000</v>
      </c>
      <c r="O60" s="474">
        <f t="shared" si="6"/>
        <v>0</v>
      </c>
      <c r="P60" s="474">
        <f t="shared" si="6"/>
        <v>0</v>
      </c>
      <c r="Q60" s="474">
        <f t="shared" si="6"/>
        <v>3640000</v>
      </c>
      <c r="R60" s="474">
        <f t="shared" si="6"/>
        <v>0</v>
      </c>
      <c r="S60" s="474">
        <f t="shared" si="6"/>
        <v>5200000</v>
      </c>
      <c r="T60" s="1542">
        <f t="shared" si="6"/>
        <v>17092800</v>
      </c>
    </row>
    <row r="61" spans="2:20" s="1652" customFormat="1">
      <c r="B61" s="1663"/>
      <c r="F61" s="1539"/>
      <c r="G61" s="1539"/>
      <c r="I61" s="1541"/>
      <c r="J61" s="1541"/>
      <c r="K61" s="1541"/>
      <c r="L61" s="1541"/>
      <c r="M61" s="1541"/>
      <c r="N61" s="1541"/>
      <c r="O61" s="1541"/>
      <c r="P61" s="1541"/>
      <c r="Q61" s="1541"/>
      <c r="R61" s="1541"/>
      <c r="S61" s="1541"/>
      <c r="T61" s="1542"/>
    </row>
    <row r="62" spans="2:20" s="1652" customFormat="1">
      <c r="B62" s="1663"/>
      <c r="F62" s="1539"/>
      <c r="G62" s="1539"/>
      <c r="H62" s="3004" t="s">
        <v>1731</v>
      </c>
      <c r="I62" s="3005">
        <v>0</v>
      </c>
      <c r="J62" s="3005">
        <v>0</v>
      </c>
      <c r="K62" s="3005">
        <v>0</v>
      </c>
      <c r="L62" s="3005">
        <v>0</v>
      </c>
      <c r="M62" s="3005">
        <v>0</v>
      </c>
      <c r="N62" s="3005">
        <v>1560000</v>
      </c>
      <c r="O62" s="3005">
        <v>0</v>
      </c>
      <c r="P62" s="3005">
        <v>0</v>
      </c>
      <c r="Q62" s="3005">
        <v>3640000</v>
      </c>
      <c r="R62" s="3005">
        <v>0</v>
      </c>
      <c r="S62" s="3005">
        <v>5200000</v>
      </c>
      <c r="T62" s="3006">
        <v>15516000</v>
      </c>
    </row>
    <row r="63" spans="2:20">
      <c r="B63" s="1663"/>
      <c r="H63" s="1622"/>
      <c r="T63" s="1627"/>
    </row>
    <row r="64" spans="2:20">
      <c r="B64" s="1663"/>
      <c r="C64" s="1652" t="s">
        <v>315</v>
      </c>
      <c r="H64" s="1622"/>
      <c r="T64" s="1627"/>
    </row>
    <row r="65" spans="2:20">
      <c r="B65" s="1718"/>
      <c r="C65" s="1413" t="s">
        <v>239</v>
      </c>
      <c r="E65" s="1413" t="s">
        <v>153</v>
      </c>
      <c r="H65" s="1664"/>
      <c r="I65" s="1199">
        <f>SUM(I66:I69)</f>
        <v>1015572.8544</v>
      </c>
      <c r="J65" s="1625">
        <f t="shared" ref="J65:S65" si="7">SUM(J66:J69)</f>
        <v>22100</v>
      </c>
      <c r="K65" s="1625">
        <f t="shared" si="7"/>
        <v>713918.92382719996</v>
      </c>
      <c r="L65" s="1625">
        <f t="shared" si="7"/>
        <v>20830</v>
      </c>
      <c r="M65" s="1625">
        <f t="shared" si="7"/>
        <v>52720</v>
      </c>
      <c r="N65" s="1625">
        <f t="shared" si="7"/>
        <v>69385</v>
      </c>
      <c r="O65" s="1625">
        <f t="shared" si="7"/>
        <v>31705</v>
      </c>
      <c r="P65" s="1625">
        <f t="shared" si="7"/>
        <v>1350</v>
      </c>
      <c r="Q65" s="1625">
        <f t="shared" si="7"/>
        <v>0</v>
      </c>
      <c r="R65" s="1625">
        <f t="shared" si="7"/>
        <v>0</v>
      </c>
      <c r="S65" s="1625">
        <f t="shared" si="7"/>
        <v>1927581.7782271998</v>
      </c>
      <c r="T65" s="1627"/>
    </row>
    <row r="66" spans="2:20" s="2152" customFormat="1">
      <c r="B66" s="2151" t="s">
        <v>366</v>
      </c>
      <c r="E66" s="2526" t="s">
        <v>193</v>
      </c>
      <c r="H66" s="2155">
        <v>18230610</v>
      </c>
      <c r="I66" s="2154">
        <f>'Engy Adv Detail_PSCE  Elec'!H6</f>
        <v>662957.44999999995</v>
      </c>
      <c r="J66" s="2154">
        <f>'Engy Adv Detail_PSCE  Elec'!I6</f>
        <v>0</v>
      </c>
      <c r="K66" s="2154">
        <f>'Engy Adv Detail_PSCE  Elec'!J6</f>
        <v>456114.72559999995</v>
      </c>
      <c r="L66" s="2154">
        <f>'Engy Adv Detail_PSCE  Elec'!K6</f>
        <v>0</v>
      </c>
      <c r="M66" s="2154">
        <f>'Engy Adv Detail_PSCE  Elec'!L6</f>
        <v>44000</v>
      </c>
      <c r="N66" s="2154">
        <f>'Engy Adv Detail_PSCE  Elec'!M6</f>
        <v>1000</v>
      </c>
      <c r="O66" s="2154">
        <f>'Engy Adv Detail_PSCE  Elec'!N6</f>
        <v>3000</v>
      </c>
      <c r="P66" s="2154">
        <f>'Engy Adv Detail_PSCE  Elec'!O6</f>
        <v>1350</v>
      </c>
      <c r="Q66" s="2154">
        <f>'Engy Adv Detail_PSCE  Elec'!P6</f>
        <v>0</v>
      </c>
      <c r="R66" s="2154">
        <f>'Engy Adv Detail_PSCE  Elec'!Q6</f>
        <v>0</v>
      </c>
      <c r="S66" s="2154">
        <f>'Engy Adv Detail_PSCE  Elec'!R6</f>
        <v>1168422.1756</v>
      </c>
      <c r="T66" s="2156"/>
    </row>
    <row r="67" spans="2:20" s="2152" customFormat="1">
      <c r="B67" s="2151" t="s">
        <v>367</v>
      </c>
      <c r="E67" s="2526" t="s">
        <v>194</v>
      </c>
      <c r="H67" s="2155">
        <v>18230602</v>
      </c>
      <c r="I67" s="2154">
        <f>'Events Detail_PSCE Elec'!H6</f>
        <v>335939.81264999998</v>
      </c>
      <c r="J67" s="2154">
        <f>'Events Detail_PSCE Elec'!I6</f>
        <v>2600</v>
      </c>
      <c r="K67" s="2154">
        <f>'Events Detail_PSCE Elec'!J6</f>
        <v>232915.39110319995</v>
      </c>
      <c r="L67" s="2154">
        <f>'Events Detail_PSCE Elec'!K6</f>
        <v>7830</v>
      </c>
      <c r="M67" s="2154">
        <f>'Events Detail_PSCE Elec'!L6</f>
        <v>8720</v>
      </c>
      <c r="N67" s="2154">
        <f>'Events Detail_PSCE Elec'!M6</f>
        <v>56975</v>
      </c>
      <c r="O67" s="2154">
        <f>'Events Detail_PSCE Elec'!N6</f>
        <v>4785</v>
      </c>
      <c r="P67" s="2154">
        <f>'Events Detail_PSCE Elec'!O6</f>
        <v>0</v>
      </c>
      <c r="Q67" s="2154">
        <f>'Events Detail_PSCE Elec'!P6</f>
        <v>0</v>
      </c>
      <c r="R67" s="2154">
        <f>'Events Detail_PSCE Elec'!Q6</f>
        <v>0</v>
      </c>
      <c r="S67" s="2154">
        <f>'Events Detail_PSCE Elec'!R6</f>
        <v>649765.20375319989</v>
      </c>
      <c r="T67" s="2156"/>
    </row>
    <row r="68" spans="2:20" s="2152" customFormat="1">
      <c r="B68" s="2151" t="s">
        <v>368</v>
      </c>
      <c r="E68" s="2526" t="s">
        <v>336</v>
      </c>
      <c r="H68" s="2155">
        <v>18230482</v>
      </c>
      <c r="I68" s="2154">
        <f>'Brochures Detail_PSCE Elec'!H6</f>
        <v>16675.59175</v>
      </c>
      <c r="J68" s="2154">
        <f>'Brochures Detail_PSCE Elec'!I6</f>
        <v>19500</v>
      </c>
      <c r="K68" s="2154">
        <f>'Brochures Detail_PSCE Elec'!J6</f>
        <v>24888.807123999999</v>
      </c>
      <c r="L68" s="2154">
        <f>'Brochures Detail_PSCE Elec'!K6</f>
        <v>13000</v>
      </c>
      <c r="M68" s="2154">
        <f>'Brochures Detail_PSCE Elec'!L6</f>
        <v>0</v>
      </c>
      <c r="N68" s="2154">
        <f>'Brochures Detail_PSCE Elec'!M6</f>
        <v>2610</v>
      </c>
      <c r="O68" s="2154">
        <f>'Brochures Detail_PSCE Elec'!N6</f>
        <v>23920</v>
      </c>
      <c r="P68" s="2154">
        <f>'Brochures Detail_PSCE Elec'!O6</f>
        <v>0</v>
      </c>
      <c r="Q68" s="2154">
        <f>'Brochures Detail_PSCE Elec'!P6</f>
        <v>0</v>
      </c>
      <c r="R68" s="2154">
        <f>'Brochures Detail_PSCE Elec'!Q6</f>
        <v>0</v>
      </c>
      <c r="S68" s="2154">
        <f>'Brochures Detail_PSCE Elec'!R6</f>
        <v>100594.39887400001</v>
      </c>
      <c r="T68" s="2156"/>
    </row>
    <row r="69" spans="2:20" s="2152" customFormat="1">
      <c r="B69" s="2151" t="s">
        <v>369</v>
      </c>
      <c r="C69" s="2152" t="s">
        <v>334</v>
      </c>
      <c r="E69" s="2526" t="s">
        <v>195</v>
      </c>
      <c r="H69" s="2155">
        <v>18230621</v>
      </c>
      <c r="I69" s="2154">
        <f>'Educatn Detail_PSCE E202 Elec'!H6</f>
        <v>0</v>
      </c>
      <c r="J69" s="2154">
        <f>'Educatn Detail_PSCE E202 Elec'!I6</f>
        <v>0</v>
      </c>
      <c r="K69" s="2154">
        <f>'Educatn Detail_PSCE E202 Elec'!J6</f>
        <v>0</v>
      </c>
      <c r="L69" s="2154">
        <f>'Educatn Detail_PSCE E202 Elec'!K6</f>
        <v>0</v>
      </c>
      <c r="M69" s="2154">
        <f>'Educatn Detail_PSCE E202 Elec'!L6</f>
        <v>0</v>
      </c>
      <c r="N69" s="2154">
        <f>'Educatn Detail_PSCE E202 Elec'!M6</f>
        <v>8800</v>
      </c>
      <c r="O69" s="2154">
        <f>'Educatn Detail_PSCE E202 Elec'!N6</f>
        <v>0</v>
      </c>
      <c r="P69" s="2154">
        <f>'Educatn Detail_PSCE E202 Elec'!O6</f>
        <v>0</v>
      </c>
      <c r="Q69" s="2154">
        <f>'Educatn Detail_PSCE E202 Elec'!P6</f>
        <v>0</v>
      </c>
      <c r="R69" s="2154">
        <f>'Educatn Detail_PSCE E202 Elec'!Q6</f>
        <v>0</v>
      </c>
      <c r="S69" s="2154">
        <f>'Educatn Detail_PSCE E202 Elec'!R6</f>
        <v>8800</v>
      </c>
      <c r="T69" s="2156"/>
    </row>
    <row r="70" spans="2:20">
      <c r="B70" s="1718"/>
      <c r="C70" s="1413" t="s">
        <v>239</v>
      </c>
      <c r="D70" s="1201"/>
      <c r="E70" s="2074" t="s">
        <v>696</v>
      </c>
      <c r="H70" s="974"/>
      <c r="I70" s="1199">
        <f>SUM(I71:I73)</f>
        <v>322859.98</v>
      </c>
      <c r="J70" s="1625">
        <f t="shared" ref="J70:S70" si="8">SUM(J71:J73)</f>
        <v>1000</v>
      </c>
      <c r="K70" s="1625">
        <f t="shared" si="8"/>
        <v>236462.72203999996</v>
      </c>
      <c r="L70" s="1625">
        <f t="shared" si="8"/>
        <v>0</v>
      </c>
      <c r="M70" s="1625">
        <f t="shared" si="8"/>
        <v>10200</v>
      </c>
      <c r="N70" s="1625">
        <f t="shared" si="8"/>
        <v>620310</v>
      </c>
      <c r="O70" s="1625">
        <f t="shared" si="8"/>
        <v>0</v>
      </c>
      <c r="P70" s="1625">
        <f t="shared" si="8"/>
        <v>0</v>
      </c>
      <c r="Q70" s="1625">
        <f t="shared" si="8"/>
        <v>0</v>
      </c>
      <c r="R70" s="1625">
        <f t="shared" si="8"/>
        <v>0</v>
      </c>
      <c r="S70" s="1625">
        <f t="shared" si="8"/>
        <v>1190832.7020399999</v>
      </c>
      <c r="T70" s="1627"/>
    </row>
    <row r="71" spans="2:20" s="2152" customFormat="1">
      <c r="B71" s="2151" t="s">
        <v>370</v>
      </c>
      <c r="E71" s="2526" t="s">
        <v>729</v>
      </c>
      <c r="H71" s="2155">
        <v>18230408</v>
      </c>
      <c r="I71" s="2154">
        <f>'CustOnline Detail_PSWE_Elec'!H6</f>
        <v>0</v>
      </c>
      <c r="J71" s="2154">
        <f>'CustOnline Detail_PSWE_Elec'!I6</f>
        <v>0</v>
      </c>
      <c r="K71" s="2154">
        <f>'CustOnline Detail_PSWE_Elec'!J6</f>
        <v>0</v>
      </c>
      <c r="L71" s="2154">
        <f>'CustOnline Detail_PSWE_Elec'!K6</f>
        <v>0</v>
      </c>
      <c r="M71" s="2154">
        <f>'CustOnline Detail_PSWE_Elec'!L6</f>
        <v>0</v>
      </c>
      <c r="N71" s="2154">
        <f>'CustOnline Detail_PSWE_Elec'!M6</f>
        <v>588990</v>
      </c>
      <c r="O71" s="2154">
        <f>'CustOnline Detail_PSWE_Elec'!N6</f>
        <v>0</v>
      </c>
      <c r="P71" s="2154">
        <f>'CustOnline Detail_PSWE_Elec'!O6</f>
        <v>0</v>
      </c>
      <c r="Q71" s="2154">
        <f>'CustOnline Detail_PSWE_Elec'!P6</f>
        <v>0</v>
      </c>
      <c r="R71" s="2154"/>
      <c r="S71" s="2154">
        <f>'CustOnline Detail_PSWE_Elec'!R6</f>
        <v>588990</v>
      </c>
      <c r="T71" s="2156"/>
    </row>
    <row r="72" spans="2:20" s="2152" customFormat="1">
      <c r="B72" s="2151" t="s">
        <v>371</v>
      </c>
      <c r="E72" s="2526" t="s">
        <v>320</v>
      </c>
      <c r="H72" s="2155">
        <v>18230466</v>
      </c>
      <c r="I72" s="2154">
        <f>'Mkt Intgn Detail_PSWE_Elec'!H6</f>
        <v>258874</v>
      </c>
      <c r="J72" s="2154">
        <f>'Mkt Intgn Detail_PSWE_Elec'!I6</f>
        <v>0</v>
      </c>
      <c r="K72" s="2154">
        <f>'Mkt Intgn Detail_PSWE_Elec'!J6</f>
        <v>178105.31199999998</v>
      </c>
      <c r="L72" s="2154">
        <f>'Mkt Intgn Detail_PSWE_Elec'!K6</f>
        <v>0</v>
      </c>
      <c r="M72" s="2154">
        <f>'Mkt Intgn Detail_PSWE_Elec'!L6</f>
        <v>8700</v>
      </c>
      <c r="N72" s="2154">
        <f>'Mkt Intgn Detail_PSWE_Elec'!M6</f>
        <v>13920</v>
      </c>
      <c r="O72" s="2154">
        <f>'Mkt Intgn Detail_PSWE_Elec'!N6</f>
        <v>0</v>
      </c>
      <c r="P72" s="2154">
        <f>'Mkt Intgn Detail_PSWE_Elec'!O6</f>
        <v>0</v>
      </c>
      <c r="Q72" s="2154">
        <f>'Mkt Intgn Detail_PSWE_Elec'!P6</f>
        <v>0</v>
      </c>
      <c r="R72" s="2154"/>
      <c r="S72" s="2154">
        <f>'Mkt Intgn Detail_PSWE_Elec'!R6</f>
        <v>459599.31199999998</v>
      </c>
      <c r="T72" s="2156"/>
    </row>
    <row r="73" spans="2:20" s="2152" customFormat="1">
      <c r="B73" s="2151" t="s">
        <v>1532</v>
      </c>
      <c r="E73" s="2526" t="s">
        <v>1530</v>
      </c>
      <c r="H73" s="1561">
        <v>18230411</v>
      </c>
      <c r="I73" s="2361">
        <f>'ABS Detail_PSWE_Elec'!H6</f>
        <v>63985.98</v>
      </c>
      <c r="J73" s="2361">
        <f>'ABS Detail_PSWE_Elec'!I6</f>
        <v>1000</v>
      </c>
      <c r="K73" s="2361">
        <f>'ABS Detail_PSWE_Elec'!J6</f>
        <v>58357.410040000002</v>
      </c>
      <c r="L73" s="2361">
        <f>'ABS Detail_PSWE_Elec'!K6</f>
        <v>0</v>
      </c>
      <c r="M73" s="2361">
        <f>'ABS Detail_PSWE_Elec'!L6</f>
        <v>1500</v>
      </c>
      <c r="N73" s="2361">
        <f>'ABS Detail_PSWE_Elec'!M6</f>
        <v>17400</v>
      </c>
      <c r="O73" s="2361">
        <f>'ABS Detail_PSWE_Elec'!N6</f>
        <v>0</v>
      </c>
      <c r="P73" s="2361">
        <f>'ABS Detail_PSWE_Elec'!O6</f>
        <v>0</v>
      </c>
      <c r="Q73" s="2361">
        <f>'ABS Detail_PSWE_Elec'!P6</f>
        <v>0</v>
      </c>
      <c r="R73" s="2361">
        <f>'ABS Detail_PSWE_Elec'!P6</f>
        <v>0</v>
      </c>
      <c r="S73" s="2361">
        <f>'ABS Detail_PSWE_Elec'!R6</f>
        <v>142243.39004</v>
      </c>
      <c r="T73" s="2156"/>
    </row>
    <row r="74" spans="2:20" s="1652" customFormat="1">
      <c r="B74" s="1718" t="s">
        <v>672</v>
      </c>
      <c r="E74" s="1652" t="s">
        <v>1464</v>
      </c>
      <c r="H74" s="1721">
        <v>18230507</v>
      </c>
      <c r="I74" s="1625">
        <f>'Rebt Procg Detail_Elect'!H6</f>
        <v>274994.5</v>
      </c>
      <c r="J74" s="1625">
        <f>'Rebt Procg Detail_Elect'!I6</f>
        <v>0</v>
      </c>
      <c r="K74" s="1625">
        <f>'Rebt Procg Detail_Elect'!J6</f>
        <v>246945.06099999999</v>
      </c>
      <c r="L74" s="1625">
        <f>'Rebt Procg Detail_Elect'!K6</f>
        <v>0</v>
      </c>
      <c r="M74" s="1625">
        <f>'Rebt Procg Detail_Elect'!L6</f>
        <v>20000</v>
      </c>
      <c r="N74" s="1625">
        <f>'Rebt Procg Detail_Elect'!M6</f>
        <v>0</v>
      </c>
      <c r="O74" s="1625">
        <f>'Rebt Procg Detail_Elect'!N6</f>
        <v>5000</v>
      </c>
      <c r="P74" s="1625">
        <f>'Rebt Procg Detail_Elect'!O6</f>
        <v>0</v>
      </c>
      <c r="Q74" s="1625">
        <f>'Rebt Procg Detail_Elect'!P6</f>
        <v>0</v>
      </c>
      <c r="S74" s="1625">
        <f>'Rebt Procg Detail_Elect'!R6</f>
        <v>546939.56099999999</v>
      </c>
      <c r="T74" s="1627"/>
    </row>
    <row r="75" spans="2:20" s="1652" customFormat="1">
      <c r="B75" s="1718" t="s">
        <v>379</v>
      </c>
      <c r="E75" s="1665" t="s">
        <v>611</v>
      </c>
      <c r="F75" s="1664"/>
      <c r="G75" s="1664"/>
      <c r="H75" s="974">
        <v>18230810</v>
      </c>
      <c r="I75" s="1625">
        <f>'Progs Supp Detail_PS_ Elec'!H6</f>
        <v>357451</v>
      </c>
      <c r="J75" s="1625">
        <f>'Progs Supp Detail_PS_ Elec'!I6</f>
        <v>0</v>
      </c>
      <c r="K75" s="1625">
        <f>'Progs Supp Detail_PS_ Elec'!J6</f>
        <v>320990.99799999996</v>
      </c>
      <c r="L75" s="1625">
        <f>'Progs Supp Detail_PS_ Elec'!K6</f>
        <v>0</v>
      </c>
      <c r="M75" s="1625">
        <f>'Progs Supp Detail_PS_ Elec'!L6</f>
        <v>21660</v>
      </c>
      <c r="N75" s="1625">
        <f>'Progs Supp Detail_PS_ Elec'!M6</f>
        <v>0</v>
      </c>
      <c r="O75" s="1625">
        <f>'Progs Supp Detail_PS_ Elec'!N6</f>
        <v>0</v>
      </c>
      <c r="P75" s="1625">
        <f>'Progs Supp Detail_PS_ Elec'!O6</f>
        <v>0</v>
      </c>
      <c r="Q75" s="1625">
        <f>'Progs Supp Detail_PS_ Elec'!P6</f>
        <v>0</v>
      </c>
      <c r="R75" s="1625">
        <f>'Progs Supp Detail_PS_ Elec'!Q6</f>
        <v>0</v>
      </c>
      <c r="S75" s="1625">
        <f>'Progs Supp Detail_PS_ Elec'!R6</f>
        <v>700101.99799999991</v>
      </c>
      <c r="T75" s="1627"/>
    </row>
    <row r="76" spans="2:20" s="1652" customFormat="1">
      <c r="B76" s="1718" t="s">
        <v>673</v>
      </c>
      <c r="E76" s="1652" t="s">
        <v>612</v>
      </c>
      <c r="H76" s="1721">
        <v>18230745</v>
      </c>
      <c r="I76" s="1625">
        <f>'Data &amp; Systm Svcs_Elect'!H6</f>
        <v>512135.73</v>
      </c>
      <c r="J76" s="1625">
        <f>'Data &amp; Systm Svcs_Elect'!I6</f>
        <v>0</v>
      </c>
      <c r="K76" s="1625">
        <f>'Data &amp; Systm Svcs_Elect'!J6</f>
        <v>459897.88553999993</v>
      </c>
      <c r="L76" s="1625">
        <f>'Data &amp; Systm Svcs_Elect'!K6</f>
        <v>0</v>
      </c>
      <c r="M76" s="1625">
        <f>'Data &amp; Systm Svcs_Elect'!L6</f>
        <v>12000</v>
      </c>
      <c r="N76" s="1625">
        <f>'Data &amp; Systm Svcs_Elect'!M6</f>
        <v>113100</v>
      </c>
      <c r="O76" s="1625">
        <f>'Data &amp; Systm Svcs_Elect'!N6</f>
        <v>0</v>
      </c>
      <c r="P76" s="1625">
        <f>'Data &amp; Systm Svcs_Elect'!O6</f>
        <v>0</v>
      </c>
      <c r="Q76" s="1625">
        <f>'Data &amp; Systm Svcs_Elect'!P6</f>
        <v>0</v>
      </c>
      <c r="S76" s="1625">
        <f>'Data &amp; Systm Svcs_Elect'!Q6</f>
        <v>1097133.6155399999</v>
      </c>
      <c r="T76" s="1627"/>
    </row>
    <row r="77" spans="2:20">
      <c r="B77" s="1718" t="s">
        <v>372</v>
      </c>
      <c r="E77" s="1413" t="s">
        <v>23</v>
      </c>
      <c r="H77" s="974">
        <v>18230811</v>
      </c>
      <c r="I77" s="1199">
        <f>'EEC Detail_PS_Elec'!H6</f>
        <v>407783</v>
      </c>
      <c r="J77" s="1199">
        <f>'EEC Detail_PS_Elec'!I6</f>
        <v>9830</v>
      </c>
      <c r="K77" s="1199">
        <f>'EEC Detail_PS_Elec'!J6</f>
        <v>287317.74399999995</v>
      </c>
      <c r="L77" s="1199">
        <f>'EEC Detail_PS_Elec'!K6</f>
        <v>66275</v>
      </c>
      <c r="M77" s="1199">
        <f>'EEC Detail_PS_Elec'!L6</f>
        <v>73515</v>
      </c>
      <c r="N77" s="1199">
        <f>'EEC Detail_PS_Elec'!M6</f>
        <v>28275</v>
      </c>
      <c r="O77" s="1199">
        <f>'EEC Detail_PS_Elec'!N6</f>
        <v>22615</v>
      </c>
      <c r="P77" s="1199">
        <f>'EEC Detail_PS_Elec'!O6</f>
        <v>0</v>
      </c>
      <c r="Q77" s="1199">
        <f>'EEC Detail_PS_Elec'!P6</f>
        <v>0</v>
      </c>
      <c r="S77" s="1199">
        <f>'EEC Detail_PS_Elec'!R6</f>
        <v>895610.74399999995</v>
      </c>
      <c r="T77" s="1627"/>
    </row>
    <row r="78" spans="2:20">
      <c r="B78" s="1718" t="s">
        <v>373</v>
      </c>
      <c r="E78" s="1409" t="s">
        <v>154</v>
      </c>
      <c r="F78" s="1409"/>
      <c r="G78" s="1409"/>
      <c r="H78" s="974">
        <v>18230730</v>
      </c>
      <c r="I78" s="1199">
        <f>'TradeAlly Detail_PS_ Elec'!H6</f>
        <v>0</v>
      </c>
      <c r="J78" s="1199">
        <f>'TradeAlly Detail_PS_ Elec'!I6</f>
        <v>0</v>
      </c>
      <c r="K78" s="1199">
        <f>'TradeAlly Detail_PS_ Elec'!J6</f>
        <v>0</v>
      </c>
      <c r="L78" s="1199">
        <f>'TradeAlly Detail_PS_ Elec'!K6</f>
        <v>0</v>
      </c>
      <c r="M78" s="1199">
        <f>'TradeAlly Detail_PS_ Elec'!L6</f>
        <v>0</v>
      </c>
      <c r="N78" s="1199">
        <f>'TradeAlly Detail_PS_ Elec'!M6</f>
        <v>56550</v>
      </c>
      <c r="O78" s="1199">
        <f>'TradeAlly Detail_PS_ Elec'!N6</f>
        <v>0</v>
      </c>
      <c r="P78" s="1199">
        <f>'TradeAlly Detail_PS_ Elec'!O6</f>
        <v>61111</v>
      </c>
      <c r="Q78" s="1199">
        <f>'TradeAlly Detail_PS_ Elec'!P6</f>
        <v>0</v>
      </c>
      <c r="S78" s="1199">
        <f>'TradeAlly Detail_PS_ Elec'!R6</f>
        <v>117661</v>
      </c>
      <c r="T78" s="1627"/>
    </row>
    <row r="79" spans="2:20" s="1652" customFormat="1">
      <c r="B79" s="1718" t="s">
        <v>674</v>
      </c>
      <c r="E79" s="1664" t="s">
        <v>623</v>
      </c>
      <c r="F79" s="1664"/>
      <c r="G79" s="1664"/>
      <c r="H79" s="1721">
        <v>18230746</v>
      </c>
      <c r="I79" s="1625">
        <f>CAN_Elect!H6</f>
        <v>138603.51999999999</v>
      </c>
      <c r="J79" s="1625">
        <f>CAN_Elect!I6</f>
        <v>4100</v>
      </c>
      <c r="K79" s="1625">
        <f>CAN_Elect!J6</f>
        <v>128147.76095999999</v>
      </c>
      <c r="L79" s="1625">
        <f>CAN_Elect!K6</f>
        <v>25000</v>
      </c>
      <c r="M79" s="1625">
        <f>CAN_Elect!L6</f>
        <v>5000</v>
      </c>
      <c r="N79" s="1625">
        <f>CAN_Elect!M6</f>
        <v>20000</v>
      </c>
      <c r="O79" s="1625">
        <f>CAN_Elect!N6</f>
        <v>1500</v>
      </c>
      <c r="P79" s="1625">
        <f>CAN_Elect!O6</f>
        <v>0</v>
      </c>
      <c r="Q79" s="1625">
        <f>CAN_Elect!P6</f>
        <v>0</v>
      </c>
      <c r="R79" s="1625">
        <f>CAN_Elect!Q6</f>
        <v>-326785.46000000002</v>
      </c>
      <c r="S79" s="1625">
        <f>CAN_Elect!R6</f>
        <v>-4434.1790400000173</v>
      </c>
      <c r="T79" s="1627"/>
    </row>
    <row r="80" spans="2:20" s="1288" customFormat="1">
      <c r="B80" s="1540"/>
      <c r="D80" s="1567"/>
      <c r="F80" s="1539"/>
      <c r="G80" s="174" t="s">
        <v>155</v>
      </c>
      <c r="H80" s="475"/>
      <c r="I80" s="1541">
        <f t="shared" ref="I80:S80" si="9">I65+I70+SUM(I74:I79)</f>
        <v>3029400.5844000001</v>
      </c>
      <c r="J80" s="1541">
        <f t="shared" si="9"/>
        <v>37030</v>
      </c>
      <c r="K80" s="1541">
        <f t="shared" si="9"/>
        <v>2393681.0953671997</v>
      </c>
      <c r="L80" s="1541">
        <f t="shared" si="9"/>
        <v>112105</v>
      </c>
      <c r="M80" s="1541">
        <f t="shared" si="9"/>
        <v>195095</v>
      </c>
      <c r="N80" s="1541">
        <f t="shared" si="9"/>
        <v>907620</v>
      </c>
      <c r="O80" s="1541">
        <f t="shared" si="9"/>
        <v>60820</v>
      </c>
      <c r="P80" s="1541">
        <f t="shared" si="9"/>
        <v>62461</v>
      </c>
      <c r="Q80" s="1541">
        <f t="shared" si="9"/>
        <v>0</v>
      </c>
      <c r="R80" s="1541">
        <f t="shared" si="9"/>
        <v>-326785.46000000002</v>
      </c>
      <c r="S80" s="1541">
        <f t="shared" si="9"/>
        <v>6471427.2197671998</v>
      </c>
      <c r="T80" s="1542"/>
    </row>
    <row r="81" spans="2:20" s="1567" customFormat="1">
      <c r="B81" s="1540"/>
      <c r="F81" s="1539"/>
      <c r="G81" s="1539"/>
      <c r="H81" s="3007"/>
      <c r="I81" s="1541"/>
      <c r="J81" s="1541"/>
      <c r="K81" s="1541"/>
      <c r="L81" s="1541"/>
      <c r="M81" s="1541"/>
      <c r="N81" s="1541"/>
      <c r="O81" s="1541"/>
      <c r="P81" s="1541"/>
      <c r="Q81" s="1541"/>
      <c r="R81" s="1541"/>
      <c r="S81" s="1541"/>
      <c r="T81" s="1542"/>
    </row>
    <row r="82" spans="2:20" s="1652" customFormat="1">
      <c r="B82" s="1663"/>
      <c r="F82" s="1539"/>
      <c r="G82" s="1539"/>
      <c r="H82" s="3004" t="s">
        <v>1731</v>
      </c>
      <c r="I82" s="3005">
        <v>2844922.2289</v>
      </c>
      <c r="J82" s="3005">
        <v>37030</v>
      </c>
      <c r="K82" s="3005">
        <v>1978858.0950520001</v>
      </c>
      <c r="L82" s="3005">
        <v>127660</v>
      </c>
      <c r="M82" s="3005">
        <v>183531</v>
      </c>
      <c r="N82" s="3005">
        <v>903620</v>
      </c>
      <c r="O82" s="3005">
        <v>60170</v>
      </c>
      <c r="P82" s="3005">
        <v>62461</v>
      </c>
      <c r="Q82" s="3005">
        <v>0</v>
      </c>
      <c r="R82" s="3005">
        <v>-311785.46000000002</v>
      </c>
      <c r="S82" s="3005">
        <v>5886466.8639519997</v>
      </c>
      <c r="T82" s="3006"/>
    </row>
    <row r="83" spans="2:20">
      <c r="B83" s="1540"/>
      <c r="H83" s="974"/>
      <c r="T83" s="1627"/>
    </row>
    <row r="84" spans="2:20">
      <c r="B84" s="1540"/>
      <c r="C84" s="1413" t="s">
        <v>156</v>
      </c>
      <c r="H84" s="974"/>
      <c r="T84" s="1627"/>
    </row>
    <row r="85" spans="2:20">
      <c r="B85" s="1718" t="s">
        <v>374</v>
      </c>
      <c r="E85" s="1413" t="s">
        <v>24</v>
      </c>
      <c r="H85" s="974">
        <v>18230809</v>
      </c>
      <c r="I85" s="1199">
        <f>'SuppCrv Detail_R&amp;C_Elec'!H6</f>
        <v>102708.72</v>
      </c>
      <c r="J85" s="1199">
        <f>'SuppCrv Detail_R&amp;C_Elec'!I6</f>
        <v>0</v>
      </c>
      <c r="K85" s="1199">
        <f>'SuppCrv Detail_R&amp;C_Elec'!J6</f>
        <v>70663.599359999993</v>
      </c>
      <c r="L85" s="1199">
        <f>'SuppCrv Detail_R&amp;C_Elec'!K6</f>
        <v>0</v>
      </c>
      <c r="M85" s="1199">
        <f>'SuppCrv Detail_R&amp;C_Elec'!L6</f>
        <v>1044</v>
      </c>
      <c r="N85" s="1199">
        <f>'SuppCrv Detail_R&amp;C_Elec'!M6</f>
        <v>77082</v>
      </c>
      <c r="O85" s="1199">
        <f>'SuppCrv Detail_R&amp;C_Elec'!N6</f>
        <v>0</v>
      </c>
      <c r="P85" s="1199">
        <f>'SuppCrv Detail_R&amp;C_Elec'!O6</f>
        <v>0</v>
      </c>
      <c r="Q85" s="1199">
        <f>'SuppCrv Detail_R&amp;C_Elec'!P6</f>
        <v>0</v>
      </c>
      <c r="S85" s="1199">
        <f>'SuppCrv Detail_R&amp;C_Elec'!R6</f>
        <v>251498.31935999999</v>
      </c>
      <c r="T85" s="1627"/>
    </row>
    <row r="86" spans="2:20">
      <c r="B86" s="1718" t="s">
        <v>375</v>
      </c>
      <c r="E86" s="1413" t="s">
        <v>29</v>
      </c>
      <c r="H86" s="974">
        <v>18230469</v>
      </c>
      <c r="I86" s="1199">
        <f>'Strat Plan Detail_R&amp;C_Elec'!H6</f>
        <v>116249.4</v>
      </c>
      <c r="J86" s="1199">
        <f>'Strat Plan Detail_R&amp;C_Elec'!I6</f>
        <v>0</v>
      </c>
      <c r="K86" s="1199">
        <f>'Strat Plan Detail_R&amp;C_Elec'!J6</f>
        <v>79979.587199999994</v>
      </c>
      <c r="L86" s="1199">
        <f>'Strat Plan Detail_R&amp;C_Elec'!K6</f>
        <v>0</v>
      </c>
      <c r="M86" s="1199">
        <f>'Strat Plan Detail_R&amp;C_Elec'!L6</f>
        <v>1044</v>
      </c>
      <c r="N86" s="1199">
        <f>'Strat Plan Detail_R&amp;C_Elec'!M6</f>
        <v>514200</v>
      </c>
      <c r="O86" s="1199">
        <f>'Strat Plan Detail_R&amp;C_Elec'!N6</f>
        <v>0</v>
      </c>
      <c r="P86" s="1199">
        <f>'Strat Plan Detail_R&amp;C_Elec'!O6</f>
        <v>0</v>
      </c>
      <c r="Q86" s="1199">
        <f>'Strat Plan Detail_R&amp;C_Elec'!P6</f>
        <v>0</v>
      </c>
      <c r="S86" s="1199">
        <f>'Strat Plan Detail_R&amp;C_Elec'!R6</f>
        <v>711472.98719999997</v>
      </c>
      <c r="T86" s="1627"/>
    </row>
    <row r="87" spans="2:20">
      <c r="B87" s="1718" t="s">
        <v>376</v>
      </c>
      <c r="E87" s="1652" t="s">
        <v>335</v>
      </c>
      <c r="H87" s="974">
        <v>18230437</v>
      </c>
      <c r="I87" s="1199">
        <f>'Mktg Resch Detail_PS_ Elec'!H6</f>
        <v>150482.81</v>
      </c>
      <c r="J87" s="1199">
        <f>'Mktg Resch Detail_PS_ Elec'!I6</f>
        <v>0</v>
      </c>
      <c r="K87" s="1199">
        <f>'Mktg Resch Detail_PS_ Elec'!J6</f>
        <v>103532.17327999999</v>
      </c>
      <c r="L87" s="1199">
        <f>'Mktg Resch Detail_PS_ Elec'!K6</f>
        <v>0</v>
      </c>
      <c r="M87" s="1199">
        <f>'Mktg Resch Detail_PS_ Elec'!L6</f>
        <v>4254.3</v>
      </c>
      <c r="N87" s="1199">
        <f>'Mktg Resch Detail_PS_ Elec'!M6</f>
        <v>32552.355</v>
      </c>
      <c r="O87" s="1199">
        <f>'Mktg Resch Detail_PS_ Elec'!N6</f>
        <v>1348.5</v>
      </c>
      <c r="P87" s="1199">
        <f>'Mktg Resch Detail_PS_ Elec'!O6</f>
        <v>0</v>
      </c>
      <c r="Q87" s="1199">
        <f>'Mktg Resch Detail_PS_ Elec'!P6</f>
        <v>0</v>
      </c>
      <c r="S87" s="1199">
        <f>'Mktg Resch Detail_PS_ Elec'!R6</f>
        <v>292170.13827999996</v>
      </c>
      <c r="T87" s="1627"/>
    </row>
    <row r="88" spans="2:20">
      <c r="B88" s="1718" t="s">
        <v>377</v>
      </c>
      <c r="E88" s="1413" t="s">
        <v>25</v>
      </c>
      <c r="H88" s="974">
        <v>18230802</v>
      </c>
      <c r="I88" s="1199">
        <f>'Eval Detail_R&amp;C_Elec'!H6</f>
        <v>160860.54999999999</v>
      </c>
      <c r="J88" s="1199">
        <f>'Eval Detail_R&amp;C_Elec'!I6</f>
        <v>0</v>
      </c>
      <c r="K88" s="1199">
        <f>'Eval Detail_R&amp;C_Elec'!J6</f>
        <v>110672.05839999998</v>
      </c>
      <c r="L88" s="1199">
        <f>'Eval Detail_R&amp;C_Elec'!K6</f>
        <v>0</v>
      </c>
      <c r="M88" s="1199">
        <f>'Eval Detail_R&amp;C_Elec'!L6</f>
        <v>1000.5</v>
      </c>
      <c r="N88" s="1199">
        <f>'Eval Detail_R&amp;C_Elec'!M6</f>
        <v>1500938</v>
      </c>
      <c r="O88" s="1199">
        <f>'Eval Detail_R&amp;C_Elec'!N6</f>
        <v>0</v>
      </c>
      <c r="P88" s="1199">
        <f>'Eval Detail_R&amp;C_Elec'!O6</f>
        <v>4250</v>
      </c>
      <c r="Q88" s="1199">
        <f>'Eval Detail_R&amp;C_Elec'!P6</f>
        <v>0</v>
      </c>
      <c r="S88" s="1199">
        <f>'Eval Detail_R&amp;C_Elec'!R6</f>
        <v>1777721.1084</v>
      </c>
      <c r="T88" s="1627"/>
    </row>
    <row r="89" spans="2:20" s="1652" customFormat="1">
      <c r="B89" s="1718" t="s">
        <v>415</v>
      </c>
      <c r="E89" s="1652" t="s">
        <v>416</v>
      </c>
      <c r="H89" s="1721">
        <v>18230624</v>
      </c>
      <c r="I89" s="1625">
        <f>'BECAR Detail_R&amp;C Elec'!H6</f>
        <v>0</v>
      </c>
      <c r="J89" s="1625">
        <f>'BECAR Detail_R&amp;C Elec'!I6</f>
        <v>0</v>
      </c>
      <c r="K89" s="1625">
        <f>'BECAR Detail_R&amp;C Elec'!J6</f>
        <v>0</v>
      </c>
      <c r="L89" s="1625">
        <f>'BECAR Detail_R&amp;C Elec'!K6</f>
        <v>0</v>
      </c>
      <c r="M89" s="1625">
        <f>'BECAR Detail_R&amp;C Elec'!L6</f>
        <v>0</v>
      </c>
      <c r="N89" s="1625">
        <f>'BECAR Detail_R&amp;C Elec'!M6</f>
        <v>54000</v>
      </c>
      <c r="O89" s="1625">
        <f>'BECAR Detail_R&amp;C Elec'!N6</f>
        <v>0</v>
      </c>
      <c r="P89" s="1625">
        <f>'BECAR Detail_R&amp;C Elec'!O6</f>
        <v>0</v>
      </c>
      <c r="Q89" s="1625">
        <f>'BECAR Detail_R&amp;C Elec'!P6</f>
        <v>0</v>
      </c>
      <c r="S89" s="1625">
        <f>'BECAR Detail_R&amp;C Elec'!R6</f>
        <v>54000</v>
      </c>
      <c r="T89" s="1627"/>
    </row>
    <row r="90" spans="2:20" s="1622" customFormat="1">
      <c r="B90" s="1718" t="s">
        <v>378</v>
      </c>
      <c r="D90" s="1652"/>
      <c r="E90" s="1622" t="s">
        <v>251</v>
      </c>
      <c r="H90" s="1626">
        <v>18230418</v>
      </c>
      <c r="I90" s="1625">
        <f>'Verifctn Team Detail Elec'!H6</f>
        <v>250167.5</v>
      </c>
      <c r="J90" s="1625">
        <f>'Verifctn Team Detail Elec'!I6</f>
        <v>0</v>
      </c>
      <c r="K90" s="1625">
        <f>'Verifctn Team Detail Elec'!J6</f>
        <v>224650.41499999998</v>
      </c>
      <c r="L90" s="1625">
        <f>'Verifctn Team Detail Elec'!K6</f>
        <v>0</v>
      </c>
      <c r="M90" s="1625">
        <f>'Verifctn Team Detail Elec'!L6</f>
        <v>10800</v>
      </c>
      <c r="N90" s="1625">
        <f>'Verifctn Team Detail Elec'!M6</f>
        <v>78300</v>
      </c>
      <c r="O90" s="1625">
        <f>'Verifctn Team Detail Elec'!N6</f>
        <v>6200</v>
      </c>
      <c r="P90" s="1625">
        <f>'Verifctn Team Detail Elec'!O6</f>
        <v>0</v>
      </c>
      <c r="Q90" s="1625">
        <f>'Verifctn Team Detail Elec'!P6</f>
        <v>0</v>
      </c>
      <c r="S90" s="1625">
        <f>'Verifctn Team Detail Elec'!R6</f>
        <v>570117.91500000004</v>
      </c>
      <c r="T90" s="1627"/>
    </row>
    <row r="91" spans="2:20" s="1288" customFormat="1">
      <c r="B91" s="1567"/>
      <c r="D91" s="1567"/>
      <c r="F91" s="1539"/>
      <c r="G91" s="174" t="s">
        <v>157</v>
      </c>
      <c r="H91" s="475"/>
      <c r="I91" s="474">
        <f t="shared" ref="I91:S91" si="10">SUM(I85:I90)</f>
        <v>780468.98</v>
      </c>
      <c r="J91" s="474">
        <f t="shared" si="10"/>
        <v>0</v>
      </c>
      <c r="K91" s="474">
        <f t="shared" si="10"/>
        <v>589497.83323999995</v>
      </c>
      <c r="L91" s="474">
        <f t="shared" si="10"/>
        <v>0</v>
      </c>
      <c r="M91" s="474">
        <f t="shared" si="10"/>
        <v>18142.8</v>
      </c>
      <c r="N91" s="474">
        <f t="shared" si="10"/>
        <v>2257072.355</v>
      </c>
      <c r="O91" s="474">
        <f t="shared" si="10"/>
        <v>7548.5</v>
      </c>
      <c r="P91" s="474">
        <f t="shared" si="10"/>
        <v>4250</v>
      </c>
      <c r="Q91" s="474">
        <f t="shared" si="10"/>
        <v>0</v>
      </c>
      <c r="R91" s="474">
        <f t="shared" si="10"/>
        <v>0</v>
      </c>
      <c r="S91" s="474">
        <f t="shared" si="10"/>
        <v>3656980.4682400003</v>
      </c>
      <c r="T91" s="1542"/>
    </row>
    <row r="92" spans="2:20" s="1567" customFormat="1">
      <c r="F92" s="1539"/>
      <c r="G92" s="1539"/>
      <c r="H92" s="3007"/>
      <c r="I92" s="1541"/>
      <c r="J92" s="1541"/>
      <c r="K92" s="1541"/>
      <c r="L92" s="1541"/>
      <c r="M92" s="1541"/>
      <c r="N92" s="1541"/>
      <c r="O92" s="1541"/>
      <c r="P92" s="1541"/>
      <c r="Q92" s="1541"/>
      <c r="R92" s="1541"/>
      <c r="S92" s="1541"/>
      <c r="T92" s="1542"/>
    </row>
    <row r="93" spans="2:20" s="1652" customFormat="1">
      <c r="B93" s="1663"/>
      <c r="F93" s="1539"/>
      <c r="G93" s="1539"/>
      <c r="H93" s="3004" t="s">
        <v>1731</v>
      </c>
      <c r="I93" s="3005">
        <v>687210.76299999992</v>
      </c>
      <c r="J93" s="3005">
        <v>0</v>
      </c>
      <c r="K93" s="3005">
        <v>467303.31883999996</v>
      </c>
      <c r="L93" s="3005">
        <v>0</v>
      </c>
      <c r="M93" s="3005">
        <v>15868.8</v>
      </c>
      <c r="N93" s="3005">
        <v>1772502.355</v>
      </c>
      <c r="O93" s="3005">
        <v>6133.5</v>
      </c>
      <c r="P93" s="3005">
        <v>3915</v>
      </c>
      <c r="Q93" s="3005">
        <v>0</v>
      </c>
      <c r="R93" s="3005">
        <v>0</v>
      </c>
      <c r="S93" s="3005">
        <v>2952933.7368399994</v>
      </c>
      <c r="T93" s="3006"/>
    </row>
    <row r="94" spans="2:20">
      <c r="B94" s="1663"/>
      <c r="H94" s="974"/>
      <c r="T94" s="1627"/>
    </row>
    <row r="95" spans="2:20">
      <c r="B95" s="1663"/>
      <c r="C95" s="1413" t="s">
        <v>158</v>
      </c>
      <c r="H95" s="974"/>
      <c r="T95" s="1627"/>
    </row>
    <row r="96" spans="2:20">
      <c r="B96" s="1718" t="s">
        <v>380</v>
      </c>
      <c r="C96" s="1652" t="s">
        <v>199</v>
      </c>
      <c r="E96" s="1413" t="s">
        <v>2</v>
      </c>
      <c r="H96" s="974">
        <v>18230128</v>
      </c>
      <c r="I96" s="1199">
        <f>'Net Mtr Details_Oth Elec E150'!H6</f>
        <v>221373.5</v>
      </c>
      <c r="J96" s="1199">
        <f>'Net Mtr Details_Oth Elec E150'!I6</f>
        <v>0</v>
      </c>
      <c r="K96" s="1199">
        <f>'Net Mtr Details_Oth Elec E150'!J6</f>
        <v>198793.40299999999</v>
      </c>
      <c r="L96" s="1199">
        <f>'Net Mtr Details_Oth Elec E150'!K6</f>
        <v>0</v>
      </c>
      <c r="M96" s="1199">
        <f>'Net Mtr Details_Oth Elec E150'!L6</f>
        <v>11780</v>
      </c>
      <c r="N96" s="1199">
        <f>'Net Mtr Details_Oth Elec E150'!M6</f>
        <v>47750</v>
      </c>
      <c r="O96" s="1199">
        <f>'Net Mtr Details_Oth Elec E150'!N6</f>
        <v>5000</v>
      </c>
      <c r="P96" s="1199">
        <f>'Net Mtr Details_Oth Elec E150'!O6</f>
        <v>465000</v>
      </c>
      <c r="Q96" s="1199">
        <f>'Net Mtr Details_Oth Elec E150'!P6</f>
        <v>0</v>
      </c>
      <c r="S96" s="1199">
        <f>'Net Mtr Details_Oth Elec E150'!R6</f>
        <v>949696.90299999993</v>
      </c>
      <c r="T96" s="1627"/>
    </row>
    <row r="97" spans="2:20" s="1652" customFormat="1">
      <c r="B97" s="1718" t="s">
        <v>1766</v>
      </c>
      <c r="C97" s="1652" t="s">
        <v>1759</v>
      </c>
      <c r="E97" s="1652" t="s">
        <v>1760</v>
      </c>
      <c r="H97" s="2357" t="s">
        <v>1513</v>
      </c>
      <c r="I97" s="1625">
        <f>'Demnd Resp_Res_Exxx Elec'!H6</f>
        <v>78624</v>
      </c>
      <c r="J97" s="1625">
        <f>'Demnd Resp_Res_Exxx Elec'!I6</f>
        <v>0</v>
      </c>
      <c r="K97" s="1625">
        <f>'Demnd Resp_Res_Exxx Elec'!J6</f>
        <v>70604.351999999999</v>
      </c>
      <c r="L97" s="1625">
        <f>'Demnd Resp_Res_Exxx Elec'!K6</f>
        <v>0</v>
      </c>
      <c r="M97" s="1625">
        <f>'Demnd Resp_Res_Exxx Elec'!L6</f>
        <v>12000</v>
      </c>
      <c r="N97" s="1625">
        <f>'Demnd Resp_Res_Exxx Elec'!M6</f>
        <v>0</v>
      </c>
      <c r="O97" s="1625">
        <f>'Demnd Resp_Res_Exxx Elec'!N6</f>
        <v>0</v>
      </c>
      <c r="P97" s="1625">
        <f>'Demnd Resp_Res_Exxx Elec'!O6</f>
        <v>0</v>
      </c>
      <c r="Q97" s="1625">
        <f>'Demnd Resp_Res_Exxx Elec'!P6</f>
        <v>0</v>
      </c>
      <c r="R97" s="1625">
        <f>'Demnd Resp_Res_Exxx Elec'!Q6</f>
        <v>0</v>
      </c>
      <c r="S97" s="1625">
        <f>'Demnd Resp_Res_Exxx Elec'!R6</f>
        <v>161228.35200000001</v>
      </c>
      <c r="T97" s="1627"/>
    </row>
    <row r="98" spans="2:20" s="1652" customFormat="1">
      <c r="B98" s="1718" t="s">
        <v>1767</v>
      </c>
      <c r="C98" s="1652" t="s">
        <v>1759</v>
      </c>
      <c r="E98" s="1652" t="s">
        <v>1761</v>
      </c>
      <c r="H98" s="2357" t="s">
        <v>1398</v>
      </c>
      <c r="I98" s="1625">
        <f>'Demnd Resp_Com_Exxx Elec'!H6</f>
        <v>78624</v>
      </c>
      <c r="J98" s="1625">
        <f>'Demnd Resp_Com_Exxx Elec'!I6</f>
        <v>0</v>
      </c>
      <c r="K98" s="1625">
        <f>'Demnd Resp_Com_Exxx Elec'!J6</f>
        <v>70604.351999999999</v>
      </c>
      <c r="L98" s="1625">
        <f>'Demnd Resp_Com_Exxx Elec'!K6</f>
        <v>0</v>
      </c>
      <c r="M98" s="1625">
        <f>'Demnd Resp_Com_Exxx Elec'!L6</f>
        <v>12000</v>
      </c>
      <c r="N98" s="1625">
        <f>'Demnd Resp_Com_Exxx Elec'!M6</f>
        <v>0</v>
      </c>
      <c r="O98" s="1625">
        <f>'Demnd Resp_Com_Exxx Elec'!N6</f>
        <v>0</v>
      </c>
      <c r="P98" s="1625">
        <f>'Demnd Resp_Com_Exxx Elec'!O6</f>
        <v>0</v>
      </c>
      <c r="Q98" s="1625">
        <f>'Demnd Resp_Com_Exxx Elec'!P6</f>
        <v>0</v>
      </c>
      <c r="R98" s="1625">
        <f>'Demnd Resp_Com_Exxx Elec'!Q6</f>
        <v>0</v>
      </c>
      <c r="S98" s="1625">
        <f>'Demnd Resp_Com_Exxx Elec'!R6</f>
        <v>161228.35200000001</v>
      </c>
      <c r="T98" s="1627"/>
    </row>
    <row r="99" spans="2:20" s="1652" customFormat="1">
      <c r="B99" s="1718" t="s">
        <v>675</v>
      </c>
      <c r="C99" s="1652" t="s">
        <v>200</v>
      </c>
      <c r="E99" s="1652" t="s">
        <v>615</v>
      </c>
      <c r="H99" s="974">
        <v>18230613</v>
      </c>
      <c r="I99" s="1625">
        <f>'ElecVehcl Chg Inctv_E195 Elect'!H6</f>
        <v>94640</v>
      </c>
      <c r="J99" s="1625">
        <f>'ElecVehcl Chg Inctv_E195 Elect'!I6</f>
        <v>0</v>
      </c>
      <c r="K99" s="1625">
        <f>'ElecVehcl Chg Inctv_E195 Elect'!J6</f>
        <v>65112.319999999992</v>
      </c>
      <c r="L99" s="1625">
        <f>'ElecVehcl Chg Inctv_E195 Elect'!K6</f>
        <v>0</v>
      </c>
      <c r="M99" s="1625">
        <f>'ElecVehcl Chg Inctv_E195 Elect'!L6</f>
        <v>2300</v>
      </c>
      <c r="N99" s="1625">
        <f>'ElecVehcl Chg Inctv_E195 Elect'!M6</f>
        <v>131572</v>
      </c>
      <c r="O99" s="1625">
        <f>'ElecVehcl Chg Inctv_E195 Elect'!N6</f>
        <v>2000</v>
      </c>
      <c r="P99" s="1625">
        <f>'ElecVehcl Chg Inctv_E195 Elect'!O6</f>
        <v>0</v>
      </c>
      <c r="Q99" s="1625">
        <f>'ElecVehcl Chg Inctv_E195 Elect'!P6</f>
        <v>0</v>
      </c>
      <c r="S99" s="1625">
        <f>'ElecVehcl Chg Inctv_E195 Elect'!R6</f>
        <v>295624.32000000001</v>
      </c>
      <c r="T99" s="1627"/>
    </row>
    <row r="100" spans="2:20" s="1288" customFormat="1">
      <c r="B100" s="1207"/>
      <c r="D100" s="1567"/>
      <c r="F100" s="1539"/>
      <c r="G100" s="174" t="s">
        <v>159</v>
      </c>
      <c r="H100" s="475"/>
      <c r="I100" s="474">
        <f t="shared" ref="I100:S100" si="11">SUM(I96:I99)</f>
        <v>473261.5</v>
      </c>
      <c r="J100" s="474">
        <f t="shared" si="11"/>
        <v>0</v>
      </c>
      <c r="K100" s="474">
        <f t="shared" si="11"/>
        <v>405114.42700000003</v>
      </c>
      <c r="L100" s="474">
        <f t="shared" si="11"/>
        <v>0</v>
      </c>
      <c r="M100" s="474">
        <f t="shared" si="11"/>
        <v>38080</v>
      </c>
      <c r="N100" s="474">
        <f t="shared" si="11"/>
        <v>179322</v>
      </c>
      <c r="O100" s="474">
        <f t="shared" si="11"/>
        <v>7000</v>
      </c>
      <c r="P100" s="474">
        <f t="shared" si="11"/>
        <v>465000</v>
      </c>
      <c r="Q100" s="474">
        <f t="shared" si="11"/>
        <v>0</v>
      </c>
      <c r="R100" s="474">
        <f t="shared" si="11"/>
        <v>0</v>
      </c>
      <c r="S100" s="474">
        <f t="shared" si="11"/>
        <v>1567777.9269999999</v>
      </c>
      <c r="T100" s="1542"/>
    </row>
    <row r="101" spans="2:20" s="1567" customFormat="1">
      <c r="B101" s="1540"/>
      <c r="F101" s="1539"/>
      <c r="G101" s="1539"/>
      <c r="H101" s="473"/>
      <c r="I101" s="1541"/>
      <c r="J101" s="1541"/>
      <c r="K101" s="1541"/>
      <c r="L101" s="1541"/>
      <c r="M101" s="1541"/>
      <c r="N101" s="1541"/>
      <c r="O101" s="1541"/>
      <c r="P101" s="1541"/>
      <c r="Q101" s="1541"/>
      <c r="R101" s="1541"/>
      <c r="S101" s="1541"/>
      <c r="T101" s="1542"/>
    </row>
    <row r="102" spans="2:20" s="1652" customFormat="1">
      <c r="B102" s="1663"/>
      <c r="F102" s="1539"/>
      <c r="G102" s="1539"/>
      <c r="H102" s="3004" t="s">
        <v>1731</v>
      </c>
      <c r="I102" s="3005">
        <v>239878.59</v>
      </c>
      <c r="J102" s="3005">
        <v>0</v>
      </c>
      <c r="K102" s="3005">
        <v>163117.4412</v>
      </c>
      <c r="L102" s="3005">
        <v>0</v>
      </c>
      <c r="M102" s="3005">
        <v>11780</v>
      </c>
      <c r="N102" s="3005">
        <v>40000</v>
      </c>
      <c r="O102" s="3005">
        <v>5000</v>
      </c>
      <c r="P102" s="3005">
        <v>500000</v>
      </c>
      <c r="Q102" s="3005">
        <v>0</v>
      </c>
      <c r="R102" s="3005">
        <v>0</v>
      </c>
      <c r="S102" s="3005">
        <v>959776.03119999997</v>
      </c>
      <c r="T102" s="3006"/>
    </row>
    <row r="103" spans="2:20">
      <c r="T103" s="1627"/>
    </row>
    <row r="104" spans="2:20" s="1567" customFormat="1">
      <c r="B104" s="1540"/>
      <c r="F104" s="1539"/>
      <c r="G104" s="1539" t="s">
        <v>160</v>
      </c>
      <c r="I104" s="1541">
        <f t="shared" ref="I104:R104" si="12">I100+I91+I60+I53+I47+I23</f>
        <v>5233812.3875000002</v>
      </c>
      <c r="J104" s="1541">
        <f t="shared" si="12"/>
        <v>426038.72875000001</v>
      </c>
      <c r="K104" s="1541">
        <f t="shared" si="12"/>
        <v>4704639.3100395901</v>
      </c>
      <c r="L104" s="1541">
        <f t="shared" si="12"/>
        <v>3486683</v>
      </c>
      <c r="M104" s="1541">
        <f t="shared" si="12"/>
        <v>266011.8</v>
      </c>
      <c r="N104" s="1541">
        <f t="shared" si="12"/>
        <v>11095163.615</v>
      </c>
      <c r="O104" s="1541">
        <f t="shared" si="12"/>
        <v>107931.5</v>
      </c>
      <c r="P104" s="1541">
        <f t="shared" si="12"/>
        <v>1287195.5</v>
      </c>
      <c r="Q104" s="1541">
        <f t="shared" si="12"/>
        <v>70374299.326563075</v>
      </c>
      <c r="R104" s="1541">
        <f t="shared" si="12"/>
        <v>0</v>
      </c>
      <c r="S104" s="1541">
        <f>S100+S91+S60+S53+S47+S23+S80</f>
        <v>103453202.38761987</v>
      </c>
      <c r="T104" s="1542">
        <f>T100+T91+T60+T53+T47+T23</f>
        <v>309932083.33496749</v>
      </c>
    </row>
    <row r="105" spans="2:20" s="1567" customFormat="1">
      <c r="B105" s="1540"/>
      <c r="F105" s="1539"/>
      <c r="G105" s="1539"/>
      <c r="I105" s="1541"/>
      <c r="J105" s="1541"/>
      <c r="K105" s="1541"/>
      <c r="L105" s="1541"/>
      <c r="M105" s="1541"/>
      <c r="N105" s="1541"/>
      <c r="O105" s="1541"/>
      <c r="P105" s="1541"/>
      <c r="Q105" s="1541"/>
      <c r="R105" s="1541"/>
      <c r="S105" s="1541"/>
      <c r="T105" s="1542"/>
    </row>
    <row r="106" spans="2:20" s="1652" customFormat="1">
      <c r="B106" s="1663"/>
      <c r="F106" s="1539"/>
      <c r="G106" s="1539"/>
      <c r="H106" s="3004" t="s">
        <v>1731</v>
      </c>
      <c r="I106" s="3005">
        <v>5363517.0954999998</v>
      </c>
      <c r="J106" s="3005">
        <v>429035.77875000006</v>
      </c>
      <c r="K106" s="3005">
        <v>3918213.4000900001</v>
      </c>
      <c r="L106" s="3005">
        <v>3456517.54</v>
      </c>
      <c r="M106" s="3005">
        <v>222589.8</v>
      </c>
      <c r="N106" s="3005">
        <v>8984142.3550000004</v>
      </c>
      <c r="O106" s="3005">
        <v>126341.5</v>
      </c>
      <c r="P106" s="3005">
        <v>1578610.5</v>
      </c>
      <c r="Q106" s="3005">
        <v>70419374.806773081</v>
      </c>
      <c r="R106" s="3005">
        <v>0</v>
      </c>
      <c r="S106" s="3005">
        <v>100384809.64006509</v>
      </c>
      <c r="T106" s="3006">
        <v>310686623.61879998</v>
      </c>
    </row>
    <row r="107" spans="2:20">
      <c r="T107" s="476">
        <f>T104/1000/8760</f>
        <v>35.380374809927794</v>
      </c>
    </row>
    <row r="108" spans="2:20" s="1767" customFormat="1" ht="123.75">
      <c r="B108" s="1766"/>
      <c r="F108" s="1768"/>
      <c r="G108" s="1772" t="s">
        <v>496</v>
      </c>
      <c r="H108" s="519" t="s">
        <v>207</v>
      </c>
      <c r="I108" s="1770" t="s">
        <v>474</v>
      </c>
      <c r="J108" s="1770" t="s">
        <v>472</v>
      </c>
      <c r="K108" s="1771" t="s">
        <v>2640</v>
      </c>
      <c r="L108" s="1770" t="s">
        <v>473</v>
      </c>
      <c r="M108" s="1770" t="s">
        <v>476</v>
      </c>
      <c r="N108" s="1770" t="s">
        <v>477</v>
      </c>
      <c r="O108" s="1770" t="s">
        <v>478</v>
      </c>
      <c r="P108" s="1770" t="s">
        <v>479</v>
      </c>
      <c r="Q108" s="1770" t="s">
        <v>480</v>
      </c>
      <c r="R108" s="1770" t="s">
        <v>208</v>
      </c>
      <c r="S108" s="520"/>
      <c r="T108" s="1769"/>
    </row>
    <row r="111" spans="2:20">
      <c r="O111" s="521"/>
    </row>
  </sheetData>
  <customSheetViews>
    <customSheetView guid="{D9EFFE19-D14B-4C6F-BDF4-FF696F73968D}" topLeftCell="B1">
      <pane xSplit="7" ySplit="5" topLeftCell="I45" activePane="bottomRight" state="frozen"/>
      <selection pane="bottomRight" activeCell="D69" sqref="D69"/>
      <pageMargins left="0.7" right="0.7" top="0.33" bottom="0.32" header="0.3" footer="0.3"/>
      <pageSetup paperSize="3" scale="57" orientation="landscape" r:id="rId1"/>
    </customSheetView>
    <customSheetView guid="{074EB09C-6289-46D7-9513-012B68BCA7BF}" hiddenRows="1" topLeftCell="B1">
      <pane xSplit="7" ySplit="5" topLeftCell="I21" activePane="bottomRight" state="frozen"/>
      <selection pane="bottomRight" activeCell="H39" sqref="H39"/>
      <pageMargins left="0.7" right="0.7" top="0.33" bottom="0.32" header="0.3" footer="0.3"/>
      <pageSetup paperSize="17" scale="52" orientation="landscape" r:id="rId2"/>
    </customSheetView>
  </customSheetViews>
  <mergeCells count="1">
    <mergeCell ref="E5:G5"/>
  </mergeCells>
  <hyperlinks>
    <hyperlink ref="H96" location="'Net Mtr Details_Oth Elec E150'!A1" display="'Net Mtr Details_Oth Elec E150'!A1"/>
    <hyperlink ref="H99" location="'ElecVehcl Chg Inctv_E195 Elect'!A1" display="'ElecVehcl Chg Inctv_E195 Elect'!A1"/>
    <hyperlink ref="H87" location="'Mktg Resch Detail_PS_ Elec'!A1" display="'Mktg Resch Detail_PS_ Elec'!A1"/>
    <hyperlink ref="H85" location="'SuppCrv Detail_R&amp;C_Elec'!A1" display="'SuppCrv Detail_R&amp;C_Elec'!A1"/>
    <hyperlink ref="H86" location="'Strat Plan Detail_R&amp;C_Elec'!A1" display="'Strat Plan Detail_R&amp;C_Elec'!A1"/>
    <hyperlink ref="H88" location="'Eval Detail_R&amp;C_Elec'!A1" display="'Eval Detail_R&amp;C_Elec'!A1"/>
    <hyperlink ref="H90" location="'Verifctn Team Detail Elec'!A1" display="'Verifctn Team Detail Elec'!A1"/>
    <hyperlink ref="H71" location="'CustOnline Detail_PSWE_Elec'!A1" display="'CustOnline Detail_PSWE_Elec'!A1"/>
    <hyperlink ref="H72" location="'Mkt Intgn Detail_PSWE_Elec'!A1" display="'Mkt Intgn Detail_PSWE_Elec'!A1"/>
    <hyperlink ref="H77" location="'EEC Detail_PS_Elec'!A1" display="'EEC Detail_PS_Elec'!A1"/>
    <hyperlink ref="H78" location="'TradeAlly Detail_PS_ Elec'!A1" display="'TradeAlly Detail_PS_ Elec'!A1"/>
    <hyperlink ref="H66" location="'Engy Adv Detail_PSCE  Elec'!A1" display="'Engy Adv Detail_PSCE  Elec'!A1"/>
    <hyperlink ref="H68" location="'Brochures Detail_PSCE Elec'!A1" display="'Brochures Detail_PSCE Elec'!A1"/>
    <hyperlink ref="H69" location="'Educatn Detail_PSCE E202 Elec'!A1" display="'Educatn Detail_PSCE E202 Elec'!A1"/>
    <hyperlink ref="H67" location="'Events Detail_PSCE Elec'!A1" display="'Events Detail_PSCE Elec'!A1"/>
    <hyperlink ref="H73" location="'ABS Detail_PSWE_Elec'!A1" display="'ABS Detail_PSWE_Elec'!A1"/>
    <hyperlink ref="H59" location="'T&amp;D Detail_Reg E292 elec'!A1" display="'T&amp;D Detail_Reg E292 elec'!A1"/>
    <hyperlink ref="H58" location="'NEEA Detail_E254 elec'!A1" display="'NEEA Detail_E254 elec'!A1"/>
    <hyperlink ref="H27" location="'CI Retr Detail_BEM E250 Elec'!A1" display="'CI Retr Detail_BEM E250 Elec'!A1"/>
    <hyperlink ref="H29" location="'CI NC Detail_BEM E251 Elec'!A1" display="'CI NC Detail_BEM E251 Elec'!A1"/>
    <hyperlink ref="H31" location="'RCM Detail_BEM E253 Elec'!A1" display="'RCM Detail_BEM E253 Elec'!A1"/>
    <hyperlink ref="H34" location="'LPSD_Detail_BEM E258 Elec'!A1" display="'LPSD_Detail_BEM E258 Elec'!A1"/>
    <hyperlink ref="H37" location="'TechEval Detail_BEM E261 Elec'!A1" display="'TechEval Detail_BEM E261 Elec'!A1"/>
    <hyperlink ref="H7" location="' LowIncWx Detail_REM E201_Elec'!A1" display="' LowIncWx Detail_REM E201_Elec'!A1"/>
    <hyperlink ref="H8" location="'HmEnrgAsmt Detail_REM_E214 Elec'!A1" display="'HmEnrgAsmt Detail_REM_E214 Elec'!A1"/>
    <hyperlink ref="H9" location="'WaterHea_Detail_REM_E214 Elec'!A1" display="'WaterHea_Detail_REM_E214 Elec'!A1"/>
    <hyperlink ref="H11" location="'SpcHeat Detail_REM_E214 Elec'!A1" display="'SpcHeat Detail_REM_E214 Elec'!A1"/>
    <hyperlink ref="H10" location="'Wx_Detail_REM E214 Elec'!A1" display="'Wx_Detail_REM E214 Elec'!A1"/>
    <hyperlink ref="H12" location="'HmAppplc_Detail_REM_E214 Elec'!A1" display="'HmAppplc_Detail_REM_E214 Elec'!A1"/>
    <hyperlink ref="H13" location="'ShwrHead_Detail_REM_E214  Elec'!A1" display="'ShwrHead_Detail_REM_E214  Elec'!A1"/>
    <hyperlink ref="H14" location="'Lighting Detail_REM_E214 Elec'!A1" display="'Lighting Detail_REM_E214 Elec'!A1"/>
    <hyperlink ref="H18" location="'SFNC Detail_REM E215 Elec'!A1" display="'SFNC Detail_REM E215 Elec'!A1"/>
    <hyperlink ref="H19" location="'NCMfgHome Detail_REM E215 Elec'!A1" display="'NCMfgHome Detail_REM E215 Elec'!A1"/>
    <hyperlink ref="H20" location="'FuelConv Detail_REM E216 Elec'!A1" display="'FuelConv Detail_REM E216 Elec'!A1"/>
    <hyperlink ref="H21" location="'MF Retr Detail_REM E217 Elec'!A1" display="'MF Retr Detail_REM E217 Elec'!A1"/>
    <hyperlink ref="H22" location="'MFNC Detail_REM E218 Elec'!A1" display="'MFNC Detail_REM E218 Elec'!A1"/>
    <hyperlink ref="H16" location="'HER Detail_REM_E214 elec.'!A1" display="'HER Detail_REM_E214 elec.'!A1"/>
    <hyperlink ref="H89" location="'BECAR Detail_R&amp;C Elec'!A1" display="18230tbd"/>
    <hyperlink ref="H15" location="'MHDS Detail_REM_E214 Elec.'!A1" display="'MHDS Detail_REM_E214 Elec.'!A1"/>
    <hyperlink ref="H52" location="'BEM Pilots E249 Elec'!A1" display="'BEM Pilots E249 Elec'!A1"/>
    <hyperlink ref="H51" location="'REM Pilots E249 Elec'!A1" display="18230nnn"/>
    <hyperlink ref="H75" location="'Progs Supp Detail_PS_ Elec'!A1" display="'Progs Supp Detail_PS_ Elec'!A1"/>
    <hyperlink ref="H39" location="'Comm Lgt Mkdn_E262 Elect'!A1" display="'Comm Lgt Mkdn_E262 Elect'!A1"/>
    <hyperlink ref="H40" location="'Comm Kit-Laund_E262 Elect'!A1" display="'Comm Kit-Laund_E262 Elect'!A1"/>
    <hyperlink ref="H41" location="'Comm DI_E262 Elect'!A1" display="'Comm DI_E262 Elect'!A1"/>
    <hyperlink ref="H42" location="'Comm HVAC_E262 Elect'!A1" display="'Comm HVAC_E262 Elect'!A1"/>
    <hyperlink ref="H43" location="'Comm ExpLgt_E262 Elect'!A1" display="'Comm ExpLgt_E262 Elect'!A1"/>
    <hyperlink ref="H46" location="'Sm Bus DI_E262 Elect'!A1" display="'Sm Bus DI_E262 Elect'!A1"/>
    <hyperlink ref="H74" location="'Rebt Procg Detail_Elect'!A1" display="'Rebt Procg Detail_Elect'!A1"/>
    <hyperlink ref="H76" location="'Data &amp; Systm Svcs_Elect'!A1" display="'Data &amp; Systm Svcs_Elect'!A1"/>
    <hyperlink ref="H79" location="CAN_Elect!A1" display="CAN_Elect!A1"/>
    <hyperlink ref="H28" location="'BusLgtGrants_BEM E250 Elect'!A1" display="'BusLgtGrants_BEM E250 Elect'!A1"/>
    <hyperlink ref="H17" location="'Web Tstat Detail_REM E214 Elec'!A1" display="1823xxxx"/>
    <hyperlink ref="H45" location="'Lodging DI_E262 Elec'!A1" display="1823xxxx"/>
    <hyperlink ref="H44" location="'Sm Agr DI_E262 Elect'!A1" display="1823xxxx"/>
    <hyperlink ref="H33" location="'ResAcctSW Detail_PSWE_Elec'!A1" display="1823yyyy"/>
    <hyperlink ref="H32" location="'RCM B-U-S Detail_E253 Elec'!A1" display="1823nnnn"/>
    <hyperlink ref="H97" location="'Demnd Resp_Res_Exxx Elec'!A1" display="1823nnnn"/>
    <hyperlink ref="H98" location="'Demnd Resp_Com_Exxx Elec'!A1" display="1823xxxx"/>
  </hyperlinks>
  <pageMargins left="0.7" right="0.45" top="0.33" bottom="0.32" header="0.3" footer="0.3"/>
  <pageSetup paperSize="17" scale="47" orientation="landscape" r:id="rId3"/>
  <ignoredErrors>
    <ignoredError sqref="I100:S100 R7:R24 T30 T104 R83:R91 R26:R48 R50:R53 R56:R60 R63:R80" emptyCellReference="1"/>
  </ignoredErrors>
  <drawing r:id="rId4"/>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tabColor rgb="FFB1A0C7"/>
  </sheetPr>
  <dimension ref="A1:Q73"/>
  <sheetViews>
    <sheetView showGridLines="0" workbookViewId="0">
      <pane xSplit="1" ySplit="1" topLeftCell="B2" activePane="bottomRight" state="frozen"/>
      <selection pane="topRight" activeCell="B1" sqref="B1"/>
      <selection pane="bottomLeft" activeCell="A2" sqref="A2"/>
      <selection pane="bottomRight" activeCell="F20" sqref="F20"/>
    </sheetView>
  </sheetViews>
  <sheetFormatPr defaultColWidth="9.140625" defaultRowHeight="12.75"/>
  <cols>
    <col min="1" max="1" width="18.140625" style="1652" customWidth="1"/>
    <col min="2" max="2" width="16" style="1652" customWidth="1"/>
    <col min="3" max="3" width="27.85546875" style="1652" customWidth="1"/>
    <col min="4" max="4" width="19.28515625" style="1662" customWidth="1"/>
    <col min="5" max="5" width="19.28515625" style="1339" customWidth="1"/>
    <col min="6" max="10" width="18.85546875" style="1652" customWidth="1"/>
    <col min="11" max="11" width="17.5703125" style="1652" customWidth="1"/>
    <col min="12" max="12" width="20.5703125" style="1652" customWidth="1"/>
    <col min="13" max="13" width="24.42578125" style="1652" customWidth="1"/>
    <col min="14" max="14" width="19.42578125" style="1652" customWidth="1"/>
    <col min="15" max="15" width="14.140625" style="1652" customWidth="1"/>
    <col min="16" max="16" width="15.140625" style="1652" customWidth="1"/>
    <col min="17" max="17" width="20.140625" style="1652" customWidth="1"/>
    <col min="18" max="16384" width="9.140625" style="1652"/>
  </cols>
  <sheetData>
    <row r="1" spans="1:17" ht="56.25" customHeight="1">
      <c r="D1" s="1380" t="s">
        <v>612</v>
      </c>
      <c r="E1" s="1509" t="s">
        <v>22</v>
      </c>
      <c r="F1" s="1427">
        <v>18230745</v>
      </c>
      <c r="G1" s="1509" t="s">
        <v>4</v>
      </c>
      <c r="M1" s="1380" t="s">
        <v>612</v>
      </c>
      <c r="N1" s="1509" t="s">
        <v>22</v>
      </c>
      <c r="O1" s="1427">
        <v>18230745</v>
      </c>
      <c r="P1" s="1509" t="s">
        <v>4</v>
      </c>
    </row>
    <row r="2" spans="1:17" ht="16.5" thickBot="1">
      <c r="D2" s="1349"/>
      <c r="E2" s="1208"/>
      <c r="F2" s="1208"/>
      <c r="G2" s="891"/>
      <c r="H2" s="1178" t="s">
        <v>627</v>
      </c>
      <c r="I2" s="1354"/>
      <c r="J2" s="1354"/>
      <c r="K2" s="1354"/>
      <c r="L2" s="1354"/>
      <c r="M2" s="1354"/>
      <c r="N2" s="1354"/>
      <c r="O2" s="1354"/>
      <c r="P2" s="1354"/>
      <c r="Q2" s="1354"/>
    </row>
    <row r="3" spans="1:17" ht="26.25" thickBot="1">
      <c r="A3" s="1380" t="s">
        <v>612</v>
      </c>
      <c r="B3" s="2143"/>
      <c r="D3" s="1283"/>
      <c r="E3" s="1283"/>
      <c r="F3" s="1283"/>
      <c r="G3" s="1354"/>
      <c r="H3" s="1181" t="s">
        <v>7</v>
      </c>
      <c r="I3" s="2642" t="s">
        <v>8</v>
      </c>
      <c r="J3" s="2642" t="s">
        <v>9</v>
      </c>
      <c r="K3" s="2642" t="s">
        <v>10</v>
      </c>
      <c r="L3" s="2643" t="s">
        <v>482</v>
      </c>
      <c r="M3" s="2642" t="s">
        <v>11</v>
      </c>
      <c r="N3" s="2642" t="s">
        <v>12</v>
      </c>
      <c r="O3" s="2642" t="s">
        <v>13</v>
      </c>
      <c r="P3" s="2643" t="s">
        <v>14</v>
      </c>
      <c r="Q3" s="2642" t="s">
        <v>15</v>
      </c>
    </row>
    <row r="4" spans="1:17" ht="15.75">
      <c r="A4" s="1508" t="s">
        <v>22</v>
      </c>
      <c r="B4" s="2143"/>
      <c r="C4" s="1310"/>
      <c r="D4" s="1310"/>
      <c r="E4" s="1310"/>
      <c r="F4" s="1310"/>
      <c r="G4" s="2946" t="s">
        <v>1726</v>
      </c>
      <c r="H4" s="2959">
        <f>D15</f>
        <v>433672.39999999997</v>
      </c>
      <c r="I4" s="2960">
        <f>D24</f>
        <v>0</v>
      </c>
      <c r="J4" s="2960">
        <f>D30</f>
        <v>289259.49079999997</v>
      </c>
      <c r="K4" s="2960">
        <f>D40</f>
        <v>0</v>
      </c>
      <c r="L4" s="2960">
        <f>D46</f>
        <v>12000</v>
      </c>
      <c r="M4" s="2960">
        <f>D52</f>
        <v>461100</v>
      </c>
      <c r="N4" s="2960">
        <f>D58</f>
        <v>0</v>
      </c>
      <c r="O4" s="2960">
        <f>D64</f>
        <v>0</v>
      </c>
      <c r="P4" s="2960">
        <f>D70</f>
        <v>0</v>
      </c>
      <c r="Q4" s="2960">
        <f>SUM(H4:P4)</f>
        <v>1196031.8907999999</v>
      </c>
    </row>
    <row r="5" spans="1:17" ht="15.75">
      <c r="A5" s="1427">
        <v>18230745</v>
      </c>
      <c r="C5" s="1310"/>
      <c r="D5" s="1283"/>
      <c r="E5" s="1283"/>
      <c r="F5" s="1283"/>
      <c r="G5" s="3205" t="s">
        <v>1753</v>
      </c>
      <c r="H5" s="2757">
        <v>444513</v>
      </c>
      <c r="I5" s="2758">
        <v>0</v>
      </c>
      <c r="J5" s="2758">
        <v>321399.41940000001</v>
      </c>
      <c r="K5" s="2758">
        <v>0</v>
      </c>
      <c r="L5" s="2758">
        <v>12000</v>
      </c>
      <c r="M5" s="2758">
        <v>113100</v>
      </c>
      <c r="N5" s="2758">
        <v>0</v>
      </c>
      <c r="O5" s="2758">
        <v>0</v>
      </c>
      <c r="P5" s="2758">
        <v>0</v>
      </c>
      <c r="Q5" s="2759">
        <v>891012.41940000001</v>
      </c>
    </row>
    <row r="6" spans="1:17" ht="16.5" thickBot="1">
      <c r="A6" s="1508" t="s">
        <v>4</v>
      </c>
      <c r="B6" s="1427"/>
      <c r="C6" s="1266"/>
      <c r="D6" s="1310"/>
      <c r="E6" s="1310"/>
      <c r="F6" s="1310"/>
      <c r="G6" s="3206" t="s">
        <v>1754</v>
      </c>
      <c r="H6" s="2621">
        <f>E15</f>
        <v>512135.73</v>
      </c>
      <c r="I6" s="2622">
        <f>E24</f>
        <v>0</v>
      </c>
      <c r="J6" s="2623">
        <f>E30</f>
        <v>459897.88553999993</v>
      </c>
      <c r="K6" s="2622">
        <f>E40</f>
        <v>0</v>
      </c>
      <c r="L6" s="2622">
        <f>E46</f>
        <v>12000</v>
      </c>
      <c r="M6" s="2622">
        <f>E52</f>
        <v>113100</v>
      </c>
      <c r="N6" s="2622">
        <f>E58</f>
        <v>0</v>
      </c>
      <c r="O6" s="2622">
        <f>E64</f>
        <v>0</v>
      </c>
      <c r="P6" s="2622">
        <f>E70</f>
        <v>0</v>
      </c>
      <c r="Q6" s="2622">
        <f>SUM(H6:P6)</f>
        <v>1097133.6155399999</v>
      </c>
    </row>
    <row r="7" spans="1:17" s="1664" customFormat="1" ht="15.75">
      <c r="B7" s="1368"/>
      <c r="C7" s="1665"/>
      <c r="D7" s="1665"/>
      <c r="E7" s="1665"/>
      <c r="F7" s="1665"/>
      <c r="G7" s="2688"/>
      <c r="H7" s="2607"/>
      <c r="I7" s="2607"/>
      <c r="J7" s="2607"/>
      <c r="K7" s="2607"/>
      <c r="L7" s="2607"/>
      <c r="M7" s="2607"/>
      <c r="N7" s="2607"/>
      <c r="O7" s="2607"/>
      <c r="P7" s="2607"/>
      <c r="Q7" s="2607"/>
    </row>
    <row r="8" spans="1:17" s="1664" customFormat="1" ht="25.5">
      <c r="B8" s="2143"/>
      <c r="C8" s="1665"/>
      <c r="D8" s="1665"/>
      <c r="E8" s="1283"/>
      <c r="F8" s="1267"/>
      <c r="G8" s="1652"/>
      <c r="H8" s="1652"/>
      <c r="I8" s="1652"/>
      <c r="J8" s="1652"/>
      <c r="K8" s="1652"/>
      <c r="L8" s="1652"/>
      <c r="M8" s="1652"/>
      <c r="O8" s="1652"/>
      <c r="P8" s="1653" t="s">
        <v>17</v>
      </c>
    </row>
    <row r="9" spans="1:17" s="1664" customFormat="1">
      <c r="A9" s="1368"/>
      <c r="B9" s="1368"/>
      <c r="C9" s="1665"/>
      <c r="D9" s="1665"/>
      <c r="E9" s="1283"/>
      <c r="F9" s="1267"/>
      <c r="G9" s="1652"/>
      <c r="H9" s="1652"/>
      <c r="I9" s="1652"/>
      <c r="J9" s="1652"/>
      <c r="K9" s="1652"/>
      <c r="L9" s="1652"/>
      <c r="M9" s="1652"/>
      <c r="O9" s="1652"/>
      <c r="P9" s="1653" t="s">
        <v>18</v>
      </c>
    </row>
    <row r="10" spans="1:17" s="1663" customFormat="1">
      <c r="A10" s="1371"/>
      <c r="B10" s="1371"/>
      <c r="C10" s="1454" t="s">
        <v>310</v>
      </c>
      <c r="D10" s="1454"/>
      <c r="E10" s="1454"/>
      <c r="F10" s="1454"/>
    </row>
    <row r="11" spans="1:17">
      <c r="A11" s="1371"/>
      <c r="B11" s="1371"/>
      <c r="D11" s="1652"/>
      <c r="E11" s="1663"/>
    </row>
    <row r="12" spans="1:17">
      <c r="A12" s="1371"/>
      <c r="B12" s="1653"/>
      <c r="C12" s="1434" t="s">
        <v>298</v>
      </c>
      <c r="D12" s="2766">
        <f>D15+D24+D30+D40+D46+D52+D58+D64</f>
        <v>1196031.8907999999</v>
      </c>
      <c r="E12" s="1484">
        <f>E15+E24+E30+E40+E46+E52+E58+E64</f>
        <v>1097133.6155399999</v>
      </c>
      <c r="F12" s="1638">
        <f>D12+E12</f>
        <v>2293165.5063399998</v>
      </c>
    </row>
    <row r="13" spans="1:17" ht="15.75">
      <c r="A13" s="1653"/>
      <c r="B13" s="1410"/>
      <c r="C13" s="1483"/>
      <c r="D13" s="2767"/>
      <c r="E13" s="1336"/>
      <c r="G13" s="1351"/>
      <c r="H13" s="1351"/>
    </row>
    <row r="14" spans="1:17" s="1664" customFormat="1" ht="15.75">
      <c r="A14" s="1410"/>
      <c r="B14" s="1410"/>
      <c r="C14" s="1435" t="s">
        <v>42</v>
      </c>
      <c r="D14" s="2768">
        <v>2016</v>
      </c>
      <c r="E14" s="1502">
        <v>2017</v>
      </c>
      <c r="F14" s="1486" t="s">
        <v>20</v>
      </c>
      <c r="G14" s="1345"/>
      <c r="H14" s="1345"/>
    </row>
    <row r="15" spans="1:17" s="1664" customFormat="1">
      <c r="A15" s="1410"/>
      <c r="B15" s="1433" t="s">
        <v>296</v>
      </c>
      <c r="C15" s="1597" t="s">
        <v>43</v>
      </c>
      <c r="D15" s="2780">
        <f>SUM(D16:D22)</f>
        <v>433672.39999999997</v>
      </c>
      <c r="E15" s="1464">
        <f>SUM(E16:E22)</f>
        <v>512135.73</v>
      </c>
      <c r="F15" s="1638">
        <f t="shared" ref="F15:F24" si="0">SUM(D15:E15)</f>
        <v>945808.12999999989</v>
      </c>
      <c r="G15" s="3612"/>
      <c r="H15" s="3613"/>
    </row>
    <row r="16" spans="1:17">
      <c r="A16" s="1653"/>
      <c r="B16" s="1982">
        <v>0.87</v>
      </c>
      <c r="C16" s="1667" t="s">
        <v>707</v>
      </c>
      <c r="D16" s="2772">
        <v>86734.48</v>
      </c>
      <c r="E16" s="1669">
        <v>83839</v>
      </c>
      <c r="F16" s="1426">
        <f t="shared" si="0"/>
        <v>170573.47999999998</v>
      </c>
      <c r="G16" s="3614"/>
      <c r="H16" s="3615"/>
    </row>
    <row r="17" spans="1:9">
      <c r="A17" s="1653"/>
      <c r="B17" s="1982">
        <v>0.87</v>
      </c>
      <c r="C17" s="1667" t="s">
        <v>708</v>
      </c>
      <c r="D17" s="2772">
        <v>86734.48</v>
      </c>
      <c r="E17" s="1669">
        <v>68403</v>
      </c>
      <c r="F17" s="1661">
        <f t="shared" si="0"/>
        <v>155137.47999999998</v>
      </c>
      <c r="I17" s="2206"/>
    </row>
    <row r="18" spans="1:9">
      <c r="A18" s="1653"/>
      <c r="B18" s="1982">
        <v>0.87</v>
      </c>
      <c r="C18" s="1667" t="s">
        <v>709</v>
      </c>
      <c r="D18" s="2772">
        <v>86734.48</v>
      </c>
      <c r="E18" s="1669">
        <v>68403</v>
      </c>
      <c r="F18" s="1661">
        <f t="shared" si="0"/>
        <v>155137.47999999998</v>
      </c>
    </row>
    <row r="19" spans="1:9">
      <c r="A19" s="1653"/>
      <c r="B19" s="1982">
        <v>0.87</v>
      </c>
      <c r="C19" s="1667" t="s">
        <v>710</v>
      </c>
      <c r="D19" s="2772">
        <v>86734.48</v>
      </c>
      <c r="E19" s="1669">
        <v>68403</v>
      </c>
      <c r="F19" s="1661">
        <f>SUM(D19:E19)</f>
        <v>155137.47999999998</v>
      </c>
    </row>
    <row r="20" spans="1:9">
      <c r="A20" s="1653"/>
      <c r="B20" s="1982">
        <v>0.87</v>
      </c>
      <c r="C20" s="1667" t="s">
        <v>711</v>
      </c>
      <c r="D20" s="2772">
        <v>86734.48</v>
      </c>
      <c r="E20" s="1669">
        <v>68403</v>
      </c>
      <c r="F20" s="1661">
        <f t="shared" si="0"/>
        <v>155137.47999999998</v>
      </c>
    </row>
    <row r="21" spans="1:9">
      <c r="A21" s="1653"/>
      <c r="B21" s="1982">
        <v>0.87</v>
      </c>
      <c r="C21" s="1667" t="s">
        <v>710</v>
      </c>
      <c r="D21" s="2772"/>
      <c r="E21" s="1669">
        <v>68403</v>
      </c>
      <c r="F21" s="1661">
        <f t="shared" si="0"/>
        <v>68403</v>
      </c>
    </row>
    <row r="22" spans="1:9">
      <c r="A22" s="1653"/>
      <c r="B22" s="1982">
        <v>1.22</v>
      </c>
      <c r="C22" s="1667" t="s">
        <v>2595</v>
      </c>
      <c r="D22" s="2794"/>
      <c r="E22" s="1578">
        <v>86281.73</v>
      </c>
      <c r="F22" s="1661">
        <f t="shared" si="0"/>
        <v>86281.73</v>
      </c>
      <c r="I22" s="2206"/>
    </row>
    <row r="23" spans="1:9">
      <c r="A23" s="1653"/>
      <c r="B23" s="1449">
        <f>SUM(B16:B22)</f>
        <v>6.4399999999999995</v>
      </c>
      <c r="C23" s="1488"/>
      <c r="D23" s="2770"/>
      <c r="E23" s="1490"/>
      <c r="F23" s="1492"/>
    </row>
    <row r="24" spans="1:9">
      <c r="A24" s="1653"/>
      <c r="B24" s="1653"/>
      <c r="C24" s="1597" t="s">
        <v>44</v>
      </c>
      <c r="D24" s="2771">
        <v>0</v>
      </c>
      <c r="E24" s="1464">
        <v>0</v>
      </c>
      <c r="F24" s="1638">
        <f t="shared" si="0"/>
        <v>0</v>
      </c>
      <c r="G24" s="1346"/>
    </row>
    <row r="25" spans="1:9">
      <c r="A25" s="1653"/>
      <c r="B25" s="1653"/>
      <c r="C25" s="1667"/>
      <c r="D25" s="2772"/>
      <c r="E25" s="1669"/>
      <c r="F25" s="1426">
        <v>0</v>
      </c>
      <c r="G25" s="1347"/>
    </row>
    <row r="26" spans="1:9">
      <c r="A26" s="1653"/>
      <c r="B26" s="1653"/>
      <c r="C26" s="1667"/>
      <c r="D26" s="2791"/>
      <c r="E26" s="1562"/>
      <c r="F26" s="1661">
        <v>0</v>
      </c>
    </row>
    <row r="27" spans="1:9">
      <c r="A27" s="1653"/>
      <c r="B27" s="1410"/>
      <c r="C27" s="1667"/>
      <c r="D27" s="2792"/>
      <c r="E27" s="1563"/>
      <c r="F27" s="1661">
        <v>0</v>
      </c>
    </row>
    <row r="28" spans="1:9" s="1664" customFormat="1">
      <c r="A28" s="1410"/>
      <c r="B28" s="1653"/>
      <c r="C28" s="1667"/>
      <c r="D28" s="2793"/>
      <c r="E28" s="1562"/>
      <c r="F28" s="1661">
        <v>0</v>
      </c>
    </row>
    <row r="29" spans="1:9">
      <c r="A29" s="1653"/>
      <c r="B29" s="1410"/>
      <c r="C29" s="1424"/>
      <c r="D29" s="2776"/>
      <c r="E29" s="1431"/>
      <c r="F29" s="1439"/>
    </row>
    <row r="30" spans="1:9" s="1664" customFormat="1">
      <c r="A30" s="1410"/>
      <c r="B30" s="1653"/>
      <c r="C30" s="1597" t="s">
        <v>719</v>
      </c>
      <c r="D30" s="2771">
        <f>D15*D31</f>
        <v>289259.49079999997</v>
      </c>
      <c r="E30" s="1657">
        <f>SUM(E32:E34)+SUM(E36:E38)</f>
        <v>459897.88553999993</v>
      </c>
      <c r="F30" s="1638">
        <f>SUM(F32:F38)</f>
        <v>749157.37633999996</v>
      </c>
    </row>
    <row r="31" spans="1:9">
      <c r="A31" s="1653"/>
      <c r="B31" s="1653"/>
      <c r="C31" s="1450" t="s">
        <v>1733</v>
      </c>
      <c r="D31" s="2777">
        <v>0.66700000000000004</v>
      </c>
      <c r="E31" s="1452">
        <v>0.68799999999999994</v>
      </c>
      <c r="F31" s="1485"/>
    </row>
    <row r="32" spans="1:9">
      <c r="A32" s="1653"/>
      <c r="B32" s="1653"/>
      <c r="C32" s="1667" t="s">
        <v>719</v>
      </c>
      <c r="D32" s="2778">
        <f>D15*D31</f>
        <v>289259.49079999997</v>
      </c>
      <c r="E32" s="1671">
        <f>E15*E31</f>
        <v>352349.38223999995</v>
      </c>
      <c r="F32" s="1661">
        <f>SUM(D32:E32)</f>
        <v>641608.87303999998</v>
      </c>
    </row>
    <row r="33" spans="1:7">
      <c r="A33" s="1653"/>
      <c r="B33" s="1653"/>
      <c r="C33" s="1667" t="s">
        <v>720</v>
      </c>
      <c r="D33" s="2785"/>
      <c r="E33" s="1641"/>
      <c r="F33" s="1661">
        <v>0</v>
      </c>
    </row>
    <row r="34" spans="1:7">
      <c r="A34" s="1653"/>
      <c r="B34" s="1653"/>
      <c r="C34" s="1667"/>
      <c r="D34" s="2774"/>
      <c r="E34" s="1443"/>
      <c r="F34" s="1436"/>
    </row>
    <row r="35" spans="1:7">
      <c r="A35" s="1653"/>
      <c r="B35" s="1653"/>
      <c r="C35" s="1450" t="s">
        <v>1734</v>
      </c>
      <c r="D35" s="2777"/>
      <c r="E35" s="1452">
        <v>0.21</v>
      </c>
      <c r="F35" s="1485"/>
    </row>
    <row r="36" spans="1:7">
      <c r="A36" s="1653"/>
      <c r="B36" s="1350"/>
      <c r="C36" s="1667" t="s">
        <v>719</v>
      </c>
      <c r="D36" s="2778"/>
      <c r="E36" s="1641">
        <f>E15*E35</f>
        <v>107548.5033</v>
      </c>
      <c r="F36" s="1661">
        <f>SUM(D36:E36)</f>
        <v>107548.5033</v>
      </c>
    </row>
    <row r="37" spans="1:7" ht="25.5">
      <c r="A37" s="1380" t="s">
        <v>612</v>
      </c>
      <c r="B37" s="1653"/>
      <c r="C37" s="1667" t="s">
        <v>720</v>
      </c>
      <c r="D37" s="2785"/>
      <c r="E37" s="1641">
        <f>E24*E35</f>
        <v>0</v>
      </c>
      <c r="F37" s="1661">
        <f t="shared" ref="F37" si="1">SUM(D37:E37)</f>
        <v>0</v>
      </c>
      <c r="G37" s="1348"/>
    </row>
    <row r="38" spans="1:7">
      <c r="A38" s="1508" t="s">
        <v>22</v>
      </c>
      <c r="B38" s="1410"/>
      <c r="C38" s="1445"/>
      <c r="D38" s="2775"/>
      <c r="E38" s="1444"/>
      <c r="F38" s="1437"/>
    </row>
    <row r="39" spans="1:7" s="1664" customFormat="1">
      <c r="A39" s="1427">
        <v>18230745</v>
      </c>
      <c r="B39" s="1653"/>
      <c r="C39" s="1488"/>
      <c r="D39" s="2779"/>
      <c r="E39" s="1490"/>
      <c r="F39" s="1493"/>
    </row>
    <row r="40" spans="1:7">
      <c r="A40" s="1508" t="s">
        <v>4</v>
      </c>
      <c r="B40" s="1653"/>
      <c r="C40" s="1597" t="s">
        <v>46</v>
      </c>
      <c r="D40" s="2771">
        <v>0</v>
      </c>
      <c r="E40" s="1464">
        <v>0</v>
      </c>
      <c r="F40" s="1638">
        <f>SUM(D40:E40)</f>
        <v>0</v>
      </c>
    </row>
    <row r="41" spans="1:7">
      <c r="A41" s="1653"/>
      <c r="B41" s="1653"/>
      <c r="C41" s="1667"/>
      <c r="D41" s="2778"/>
      <c r="E41" s="1672"/>
      <c r="F41" s="1661">
        <v>0</v>
      </c>
    </row>
    <row r="42" spans="1:7">
      <c r="A42" s="1653"/>
      <c r="B42" s="1653"/>
      <c r="C42" s="1667"/>
      <c r="D42" s="2778"/>
      <c r="E42" s="1672"/>
      <c r="F42" s="1661">
        <v>0</v>
      </c>
    </row>
    <row r="43" spans="1:7">
      <c r="A43" s="1653"/>
      <c r="B43" s="1653"/>
      <c r="C43" s="1667"/>
      <c r="D43" s="2778"/>
      <c r="E43" s="1672"/>
      <c r="F43" s="1661">
        <v>0</v>
      </c>
    </row>
    <row r="44" spans="1:7">
      <c r="A44" s="1653"/>
      <c r="B44" s="1653"/>
      <c r="C44" s="1667"/>
      <c r="D44" s="2778"/>
      <c r="E44" s="1672"/>
      <c r="F44" s="1661">
        <v>0</v>
      </c>
    </row>
    <row r="45" spans="1:7">
      <c r="A45" s="1653"/>
      <c r="B45" s="1653"/>
      <c r="C45" s="1488"/>
      <c r="D45" s="2779"/>
      <c r="E45" s="1490"/>
      <c r="F45" s="1493"/>
    </row>
    <row r="46" spans="1:7">
      <c r="A46" s="1653"/>
      <c r="B46" s="1653"/>
      <c r="C46" s="1597" t="s">
        <v>483</v>
      </c>
      <c r="D46" s="2771">
        <f>SUM(D47:D50)</f>
        <v>12000</v>
      </c>
      <c r="E46" s="1464">
        <f>SUM(E47:E50)</f>
        <v>12000</v>
      </c>
      <c r="F46" s="1638">
        <f>SUM(D46:E46)</f>
        <v>24000</v>
      </c>
    </row>
    <row r="47" spans="1:7">
      <c r="A47" s="1653"/>
      <c r="B47" s="1653"/>
      <c r="C47" s="1667" t="s">
        <v>712</v>
      </c>
      <c r="D47" s="2778">
        <v>12000</v>
      </c>
      <c r="E47" s="1672">
        <v>12000</v>
      </c>
      <c r="F47" s="1661">
        <f>SUM(D47:E47)</f>
        <v>24000</v>
      </c>
    </row>
    <row r="48" spans="1:7">
      <c r="A48" s="1653"/>
      <c r="B48" s="1653"/>
      <c r="C48" s="1667"/>
      <c r="D48" s="2778"/>
      <c r="E48" s="1672"/>
      <c r="F48" s="1661">
        <v>0</v>
      </c>
    </row>
    <row r="49" spans="1:7">
      <c r="A49" s="1653"/>
      <c r="B49" s="1653"/>
      <c r="C49" s="1667"/>
      <c r="D49" s="2778"/>
      <c r="E49" s="1672"/>
      <c r="F49" s="1661">
        <v>0</v>
      </c>
    </row>
    <row r="50" spans="1:7">
      <c r="A50" s="1653"/>
      <c r="B50" s="1653"/>
      <c r="C50" s="1667"/>
      <c r="D50" s="2778"/>
      <c r="E50" s="1672"/>
      <c r="F50" s="1661">
        <v>0</v>
      </c>
    </row>
    <row r="51" spans="1:7">
      <c r="A51" s="1653"/>
      <c r="B51" s="1653"/>
      <c r="C51" s="1488"/>
      <c r="D51" s="2779"/>
      <c r="E51" s="1490"/>
      <c r="F51" s="1493"/>
      <c r="G51" s="1652" t="s">
        <v>858</v>
      </c>
    </row>
    <row r="52" spans="1:7">
      <c r="A52" s="1653"/>
      <c r="B52" s="1653"/>
      <c r="C52" s="1597" t="s">
        <v>47</v>
      </c>
      <c r="D52" s="2771">
        <f>SUM(D53:D56)</f>
        <v>461100</v>
      </c>
      <c r="E52" s="1464">
        <f>SUM(E53:E56)</f>
        <v>113100</v>
      </c>
      <c r="F52" s="1638">
        <f>SUM(D52:E52)</f>
        <v>574200</v>
      </c>
    </row>
    <row r="53" spans="1:7">
      <c r="A53" s="1653"/>
      <c r="B53" s="1653"/>
      <c r="C53" s="1667" t="s">
        <v>2596</v>
      </c>
      <c r="D53" s="2778">
        <v>348000</v>
      </c>
      <c r="E53" s="1672">
        <v>95700</v>
      </c>
      <c r="F53" s="1661">
        <f>SUM(D53:E53)</f>
        <v>443700</v>
      </c>
    </row>
    <row r="54" spans="1:7">
      <c r="A54" s="1653"/>
      <c r="B54" s="1653"/>
      <c r="C54" s="1667" t="s">
        <v>1529</v>
      </c>
      <c r="D54" s="2778">
        <v>113100</v>
      </c>
      <c r="E54" s="1672">
        <v>17400</v>
      </c>
      <c r="F54" s="1661">
        <f>SUM(D54:E54)</f>
        <v>130500</v>
      </c>
    </row>
    <row r="55" spans="1:7">
      <c r="A55" s="1653"/>
      <c r="B55" s="1653"/>
      <c r="C55" s="1667"/>
      <c r="D55" s="2778"/>
      <c r="E55" s="1672"/>
      <c r="F55" s="1661">
        <v>0</v>
      </c>
    </row>
    <row r="56" spans="1:7">
      <c r="A56" s="1653"/>
      <c r="B56" s="1653"/>
      <c r="C56" s="1667"/>
      <c r="D56" s="2778"/>
      <c r="E56" s="1672"/>
      <c r="F56" s="1661">
        <v>0</v>
      </c>
    </row>
    <row r="57" spans="1:7">
      <c r="A57" s="1653"/>
      <c r="B57" s="1653"/>
      <c r="C57" s="1488"/>
      <c r="D57" s="2779"/>
      <c r="E57" s="1490"/>
      <c r="F57" s="1493"/>
    </row>
    <row r="58" spans="1:7">
      <c r="A58" s="1653"/>
      <c r="B58" s="1653"/>
      <c r="C58" s="1597" t="s">
        <v>48</v>
      </c>
      <c r="D58" s="2771">
        <f>SUM(D59:D62)</f>
        <v>0</v>
      </c>
      <c r="E58" s="1464">
        <f>SUM(E59:E62)</f>
        <v>0</v>
      </c>
      <c r="F58" s="1638">
        <f>SUM(D58:E58)</f>
        <v>0</v>
      </c>
    </row>
    <row r="59" spans="1:7">
      <c r="A59" s="1653"/>
      <c r="B59" s="1653"/>
      <c r="C59" s="1667"/>
      <c r="D59" s="2778"/>
      <c r="E59" s="1641"/>
      <c r="F59" s="1661">
        <f>SUM(D59:E59)</f>
        <v>0</v>
      </c>
    </row>
    <row r="60" spans="1:7">
      <c r="A60" s="1653"/>
      <c r="B60" s="1653"/>
      <c r="C60" s="1667"/>
      <c r="D60" s="2778"/>
      <c r="E60" s="1641"/>
      <c r="F60" s="1661">
        <f>SUM(D60:E60)</f>
        <v>0</v>
      </c>
    </row>
    <row r="61" spans="1:7">
      <c r="A61" s="1653"/>
      <c r="B61" s="1653"/>
      <c r="C61" s="1667"/>
      <c r="D61" s="2778"/>
      <c r="E61" s="1641"/>
      <c r="F61" s="1661">
        <v>0</v>
      </c>
    </row>
    <row r="62" spans="1:7">
      <c r="A62" s="1653"/>
      <c r="B62" s="1653"/>
      <c r="C62" s="1667"/>
      <c r="D62" s="2778"/>
      <c r="E62" s="1641"/>
      <c r="F62" s="1661">
        <v>0</v>
      </c>
    </row>
    <row r="63" spans="1:7">
      <c r="A63" s="1653"/>
      <c r="B63" s="1653"/>
      <c r="C63" s="1488"/>
      <c r="D63" s="2779"/>
      <c r="E63" s="1490"/>
      <c r="F63" s="1493"/>
    </row>
    <row r="64" spans="1:7">
      <c r="A64" s="1653"/>
      <c r="C64" s="1597" t="s">
        <v>49</v>
      </c>
      <c r="D64" s="2780">
        <f>SUM(D65:D68)</f>
        <v>0</v>
      </c>
      <c r="E64" s="1657">
        <f>SUM(E65:E68)</f>
        <v>0</v>
      </c>
      <c r="F64" s="1638">
        <f>SUM(D64:E64)</f>
        <v>0</v>
      </c>
    </row>
    <row r="65" spans="3:6">
      <c r="C65" s="1667"/>
      <c r="D65" s="2778"/>
      <c r="E65" s="1672"/>
      <c r="F65" s="1661">
        <f>SUM(D65:E65)</f>
        <v>0</v>
      </c>
    </row>
    <row r="66" spans="3:6">
      <c r="C66" s="1667"/>
      <c r="D66" s="2778"/>
      <c r="E66" s="1672"/>
      <c r="F66" s="1661">
        <v>0</v>
      </c>
    </row>
    <row r="67" spans="3:6">
      <c r="C67" s="1667"/>
      <c r="D67" s="2778"/>
      <c r="E67" s="1672"/>
      <c r="F67" s="1437">
        <v>0</v>
      </c>
    </row>
    <row r="68" spans="3:6">
      <c r="C68" s="1667"/>
      <c r="D68" s="2778"/>
      <c r="E68" s="1672"/>
      <c r="F68" s="1661">
        <v>0</v>
      </c>
    </row>
    <row r="69" spans="3:6">
      <c r="C69" s="1488"/>
      <c r="D69" s="2779"/>
      <c r="E69" s="1490"/>
      <c r="F69" s="1493"/>
    </row>
    <row r="70" spans="3:6">
      <c r="C70" s="1597"/>
      <c r="D70" s="2771"/>
      <c r="E70" s="1464"/>
      <c r="F70" s="1638"/>
    </row>
    <row r="71" spans="3:6">
      <c r="C71" s="1500"/>
      <c r="D71" s="2781"/>
      <c r="E71" s="1496"/>
      <c r="F71" s="1499"/>
    </row>
    <row r="72" spans="3:6">
      <c r="C72" s="1501"/>
      <c r="D72" s="2782"/>
      <c r="E72" s="1497"/>
      <c r="F72" s="1498"/>
    </row>
    <row r="73" spans="3:6">
      <c r="C73" s="1494"/>
      <c r="D73" s="2778"/>
      <c r="E73" s="1671"/>
      <c r="F73" s="1491"/>
    </row>
  </sheetData>
  <customSheetViews>
    <customSheetView guid="{D9EFFE19-D14B-4C6F-BDF4-FF696F73968D}" showGridLines="0">
      <pane xSplit="1" ySplit="1" topLeftCell="B8" activePane="bottomRight" state="frozen"/>
      <selection pane="bottomRight" activeCell="F29" sqref="F29"/>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7" top="0.75" bottom="0.75" header="0.3" footer="0.3"/>
    </customSheetView>
  </customSheetViews>
  <mergeCells count="2">
    <mergeCell ref="G15:H15"/>
    <mergeCell ref="G16:H16"/>
  </mergeCells>
  <pageMargins left="0.45" right="0.2" top="0.75" bottom="0.75" header="0.3" footer="0.3"/>
  <pageSetup paperSize="3" scale="60" orientation="landscape" horizontalDpi="1200" verticalDpi="1200"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B1A0C7"/>
    <pageSetUpPr fitToPage="1"/>
  </sheetPr>
  <dimension ref="A1:R72"/>
  <sheetViews>
    <sheetView showGridLines="0" zoomScaleNormal="100" workbookViewId="0">
      <pane xSplit="1" ySplit="1" topLeftCell="B2" activePane="bottomRight" state="frozen"/>
      <selection pane="topRight" activeCell="B1" sqref="B1"/>
      <selection pane="bottomLeft" activeCell="A2" sqref="A2"/>
      <selection pane="bottomRight" activeCell="F18" sqref="F18"/>
    </sheetView>
  </sheetViews>
  <sheetFormatPr defaultRowHeight="12.75"/>
  <cols>
    <col min="1" max="1" width="17.85546875" style="21" customWidth="1"/>
    <col min="2" max="2" width="15.7109375" style="1412" customWidth="1"/>
    <col min="3" max="3" width="41.85546875" style="27" customWidth="1"/>
    <col min="4" max="4" width="19.28515625" style="27" customWidth="1"/>
    <col min="5" max="5" width="19.28515625" style="1" customWidth="1"/>
    <col min="6" max="6" width="18.85546875" style="2" customWidth="1"/>
    <col min="7" max="11" width="18.85546875" customWidth="1"/>
    <col min="12" max="12" width="17.5703125" customWidth="1"/>
    <col min="13" max="13" width="24.42578125" customWidth="1"/>
    <col min="14" max="14" width="19.42578125" customWidth="1"/>
    <col min="15" max="15" width="17.85546875" customWidth="1"/>
    <col min="16" max="16" width="22.5703125" bestFit="1" customWidth="1"/>
    <col min="17" max="17" width="16" customWidth="1"/>
    <col min="18" max="18" width="10.85546875" bestFit="1" customWidth="1"/>
  </cols>
  <sheetData>
    <row r="1" spans="1:18" ht="51.75" customHeight="1">
      <c r="D1" s="1379" t="s">
        <v>23</v>
      </c>
      <c r="E1" s="1509" t="s">
        <v>5</v>
      </c>
      <c r="F1" s="1427">
        <v>18230811</v>
      </c>
      <c r="G1" s="1518" t="s">
        <v>4</v>
      </c>
      <c r="M1" s="1379" t="s">
        <v>23</v>
      </c>
      <c r="N1" s="1509" t="s">
        <v>5</v>
      </c>
      <c r="O1" s="1427">
        <v>18230811</v>
      </c>
      <c r="P1" s="1518" t="s">
        <v>4</v>
      </c>
    </row>
    <row r="2" spans="1:18" ht="16.5" thickBot="1">
      <c r="D2" s="25"/>
      <c r="E2" s="25"/>
      <c r="F2" s="25"/>
      <c r="G2" s="1354"/>
      <c r="H2" s="1178" t="s">
        <v>627</v>
      </c>
      <c r="I2" s="1354"/>
      <c r="J2" s="1354"/>
      <c r="K2" s="1354"/>
      <c r="L2" s="1354"/>
      <c r="M2" s="1354"/>
      <c r="N2" s="1354"/>
      <c r="O2" s="1354"/>
      <c r="P2" s="1354"/>
      <c r="Q2" s="1354"/>
    </row>
    <row r="3" spans="1:18" ht="26.25" thickBot="1">
      <c r="A3" s="1378" t="s">
        <v>23</v>
      </c>
      <c r="B3" s="1378"/>
      <c r="D3" s="1297"/>
      <c r="E3" s="1297"/>
      <c r="F3" s="1297"/>
      <c r="G3" s="1354"/>
      <c r="H3" s="1181" t="s">
        <v>7</v>
      </c>
      <c r="I3" s="2642" t="s">
        <v>8</v>
      </c>
      <c r="J3" s="2642" t="s">
        <v>9</v>
      </c>
      <c r="K3" s="2642" t="s">
        <v>10</v>
      </c>
      <c r="L3" s="2643" t="s">
        <v>482</v>
      </c>
      <c r="M3" s="2642" t="s">
        <v>11</v>
      </c>
      <c r="N3" s="2642" t="s">
        <v>12</v>
      </c>
      <c r="O3" s="2642" t="s">
        <v>13</v>
      </c>
      <c r="P3" s="2642" t="s">
        <v>14</v>
      </c>
      <c r="Q3" s="2642"/>
      <c r="R3" s="2642" t="s">
        <v>15</v>
      </c>
    </row>
    <row r="4" spans="1:18" ht="16.5" thickBot="1">
      <c r="A4" s="1508" t="s">
        <v>5</v>
      </c>
      <c r="B4" s="1357"/>
      <c r="C4" s="1272"/>
      <c r="D4" s="1272"/>
      <c r="E4" s="1272"/>
      <c r="F4" s="1272"/>
      <c r="G4" s="2946" t="s">
        <v>1726</v>
      </c>
      <c r="H4" s="2959">
        <f>D15</f>
        <v>402285.54000000004</v>
      </c>
      <c r="I4" s="2960">
        <f>D22</f>
        <v>6586.1</v>
      </c>
      <c r="J4" s="2960">
        <f>D28</f>
        <v>272717.38388000004</v>
      </c>
      <c r="K4" s="2960">
        <f>D38</f>
        <v>93305</v>
      </c>
      <c r="L4" s="2960">
        <f>D44</f>
        <v>73515</v>
      </c>
      <c r="M4" s="2960">
        <f>D50</f>
        <v>28275</v>
      </c>
      <c r="N4" s="2960">
        <f>D56</f>
        <v>22615</v>
      </c>
      <c r="O4" s="2960">
        <f>D62</f>
        <v>0</v>
      </c>
      <c r="P4" s="2960">
        <v>0</v>
      </c>
      <c r="Q4" s="2960"/>
      <c r="R4" s="2960">
        <f>SUM(H4:P4)</f>
        <v>899299.02387999999</v>
      </c>
    </row>
    <row r="5" spans="1:18" ht="15.75">
      <c r="A5" s="1427">
        <v>18230811</v>
      </c>
      <c r="C5" s="1297"/>
      <c r="D5" s="1297"/>
      <c r="E5" s="1297"/>
      <c r="F5" s="1297"/>
      <c r="G5" s="3205" t="s">
        <v>1753</v>
      </c>
      <c r="H5" s="2617">
        <v>412342.67849999998</v>
      </c>
      <c r="I5" s="2618">
        <v>9830</v>
      </c>
      <c r="J5" s="2618">
        <v>287077.42138000001</v>
      </c>
      <c r="K5" s="2618">
        <v>92830</v>
      </c>
      <c r="L5" s="2618">
        <v>73515</v>
      </c>
      <c r="M5" s="2618">
        <v>28275</v>
      </c>
      <c r="N5" s="2618">
        <v>22615</v>
      </c>
      <c r="O5" s="2618">
        <v>0</v>
      </c>
      <c r="P5" s="2618">
        <v>0</v>
      </c>
      <c r="Q5" s="2618"/>
      <c r="R5" s="2618">
        <v>926485.09987999999</v>
      </c>
    </row>
    <row r="6" spans="1:18" ht="16.5" thickBot="1">
      <c r="A6" s="1519" t="s">
        <v>4</v>
      </c>
      <c r="B6" s="1427"/>
      <c r="C6" s="1266"/>
      <c r="D6" s="1272"/>
      <c r="E6" s="1272"/>
      <c r="F6" s="1272"/>
      <c r="G6" s="3206" t="s">
        <v>1754</v>
      </c>
      <c r="H6" s="2621">
        <f>E15</f>
        <v>407783</v>
      </c>
      <c r="I6" s="2622">
        <f>E22</f>
        <v>9830</v>
      </c>
      <c r="J6" s="2623">
        <f>E28</f>
        <v>287317.74399999995</v>
      </c>
      <c r="K6" s="2622">
        <f>E38</f>
        <v>66275</v>
      </c>
      <c r="L6" s="2622">
        <f>E44</f>
        <v>73515</v>
      </c>
      <c r="M6" s="2622">
        <f>E50</f>
        <v>28275</v>
      </c>
      <c r="N6" s="2622">
        <f>E56</f>
        <v>22615</v>
      </c>
      <c r="O6" s="2622">
        <f>E62</f>
        <v>0</v>
      </c>
      <c r="P6" s="2622">
        <v>0</v>
      </c>
      <c r="Q6" s="2622"/>
      <c r="R6" s="2622">
        <f>SUM(H6:P6)</f>
        <v>895610.74399999995</v>
      </c>
    </row>
    <row r="7" spans="1:18" s="18" customFormat="1" ht="15.75">
      <c r="B7" s="1368"/>
      <c r="C7" s="1306"/>
      <c r="D7" s="1306"/>
      <c r="E7" s="1306"/>
      <c r="F7" s="1306"/>
      <c r="G7" s="2688"/>
      <c r="H7" s="2607"/>
      <c r="I7" s="2607"/>
      <c r="J7" s="2607"/>
      <c r="K7" s="2607"/>
      <c r="L7" s="2607"/>
      <c r="M7" s="2607"/>
      <c r="N7" s="2607"/>
      <c r="O7" s="2607"/>
      <c r="P7" s="2607"/>
      <c r="Q7" s="2607"/>
      <c r="R7" s="2607"/>
    </row>
    <row r="8" spans="1:18" s="18" customFormat="1">
      <c r="B8" s="1378"/>
      <c r="C8" s="1306"/>
      <c r="D8" s="1306"/>
      <c r="E8" s="1269"/>
      <c r="F8" s="1271"/>
      <c r="G8" s="1307"/>
      <c r="H8"/>
      <c r="I8"/>
      <c r="J8"/>
      <c r="K8"/>
      <c r="L8"/>
      <c r="M8"/>
      <c r="O8"/>
      <c r="P8" s="21" t="s">
        <v>17</v>
      </c>
    </row>
    <row r="9" spans="1:18" s="18" customFormat="1">
      <c r="A9" s="1368"/>
      <c r="B9" s="1368"/>
      <c r="C9" s="1306"/>
      <c r="D9" s="1306"/>
      <c r="E9" s="1269"/>
      <c r="F9" s="1271"/>
      <c r="G9" s="1307"/>
      <c r="H9"/>
      <c r="I9"/>
      <c r="J9"/>
      <c r="K9"/>
      <c r="L9"/>
      <c r="M9"/>
      <c r="O9"/>
      <c r="P9" s="21" t="s">
        <v>18</v>
      </c>
    </row>
    <row r="10" spans="1:18" s="9" customFormat="1">
      <c r="A10" s="1371"/>
      <c r="B10" s="1371"/>
      <c r="C10" s="1454" t="s">
        <v>310</v>
      </c>
      <c r="D10" s="1454"/>
      <c r="E10" s="1454"/>
      <c r="F10" s="1454"/>
    </row>
    <row r="11" spans="1:18" ht="18" customHeight="1">
      <c r="A11" s="1371"/>
      <c r="B11" s="1371"/>
      <c r="C11" s="1413"/>
      <c r="D11" s="1413"/>
      <c r="E11" s="1414"/>
      <c r="F11" s="1413"/>
    </row>
    <row r="12" spans="1:18">
      <c r="A12" s="1371"/>
      <c r="C12" s="1434" t="s">
        <v>298</v>
      </c>
      <c r="D12" s="2766">
        <f>D15+D22+D28+D38+D44+D50+D56+D62</f>
        <v>899299.02387999999</v>
      </c>
      <c r="E12" s="1484">
        <f>E15+E22+E28+E38+E44+E50+E56+E62</f>
        <v>895610.74399999995</v>
      </c>
      <c r="F12" s="1462">
        <f>D12+E12</f>
        <v>1794909.7678799999</v>
      </c>
    </row>
    <row r="13" spans="1:18" ht="13.5" customHeight="1">
      <c r="B13" s="1410"/>
      <c r="C13" s="1483"/>
      <c r="D13" s="2767"/>
      <c r="E13" s="1336"/>
      <c r="F13" s="1413"/>
      <c r="G13" s="1270"/>
      <c r="H13" s="939"/>
    </row>
    <row r="14" spans="1:18" s="18" customFormat="1" ht="13.5" customHeight="1">
      <c r="A14" s="28"/>
      <c r="B14" s="1410"/>
      <c r="C14" s="1435" t="s">
        <v>42</v>
      </c>
      <c r="D14" s="2768">
        <v>2016</v>
      </c>
      <c r="E14" s="1502">
        <v>2017</v>
      </c>
      <c r="F14" s="1486" t="s">
        <v>20</v>
      </c>
      <c r="G14" s="29"/>
      <c r="H14" s="29"/>
    </row>
    <row r="15" spans="1:18" s="18" customFormat="1" ht="13.5" customHeight="1">
      <c r="A15" s="28"/>
      <c r="B15" s="1433" t="s">
        <v>296</v>
      </c>
      <c r="C15" s="1451" t="s">
        <v>43</v>
      </c>
      <c r="D15" s="2771">
        <f>SUM(D16:D20)</f>
        <v>402285.54000000004</v>
      </c>
      <c r="E15" s="1464">
        <f>SUM(E16:E20)</f>
        <v>407783</v>
      </c>
      <c r="F15" s="1462">
        <f t="shared" ref="F15:F22" si="0">SUM(D15:E15)</f>
        <v>810068.54</v>
      </c>
      <c r="G15" s="29"/>
      <c r="H15" s="29"/>
    </row>
    <row r="16" spans="1:18" ht="13.5" customHeight="1">
      <c r="B16" s="1982">
        <v>0.45</v>
      </c>
      <c r="C16" s="1667" t="s">
        <v>323</v>
      </c>
      <c r="D16" s="2772">
        <v>33278</v>
      </c>
      <c r="E16" s="1669">
        <v>36701</v>
      </c>
      <c r="F16" s="1426">
        <f t="shared" si="0"/>
        <v>69979</v>
      </c>
    </row>
    <row r="17" spans="1:11" s="1652" customFormat="1" ht="13.5" customHeight="1">
      <c r="A17" s="1653"/>
      <c r="B17" s="1982">
        <v>0.3</v>
      </c>
      <c r="C17" s="1667" t="s">
        <v>781</v>
      </c>
      <c r="D17" s="2772">
        <v>25882.29</v>
      </c>
      <c r="E17" s="1669">
        <v>28544</v>
      </c>
      <c r="F17" s="1661">
        <f>SUM(D17:E17)</f>
        <v>54426.29</v>
      </c>
    </row>
    <row r="18" spans="1:11" ht="13.5" customHeight="1">
      <c r="B18" s="1982">
        <v>0.8</v>
      </c>
      <c r="C18" s="1667" t="s">
        <v>734</v>
      </c>
      <c r="D18" s="2784">
        <v>75428.38</v>
      </c>
      <c r="E18" s="1668">
        <v>65245</v>
      </c>
      <c r="F18" s="1438">
        <f t="shared" si="0"/>
        <v>140673.38</v>
      </c>
    </row>
    <row r="19" spans="1:11" ht="13.5" customHeight="1">
      <c r="B19" s="1982">
        <v>0.85</v>
      </c>
      <c r="C19" s="1667" t="s">
        <v>782</v>
      </c>
      <c r="D19" s="2784">
        <v>62856.99</v>
      </c>
      <c r="E19" s="1668">
        <v>69323</v>
      </c>
      <c r="F19" s="1438">
        <f t="shared" si="0"/>
        <v>132179.99</v>
      </c>
      <c r="I19" s="30"/>
      <c r="J19" s="30"/>
      <c r="K19" s="30"/>
    </row>
    <row r="20" spans="1:11" s="18" customFormat="1" ht="13.5" customHeight="1">
      <c r="A20" s="31"/>
      <c r="B20" s="1982">
        <v>2.5499999999999998</v>
      </c>
      <c r="C20" s="1667" t="s">
        <v>783</v>
      </c>
      <c r="D20" s="3268">
        <v>204839.88</v>
      </c>
      <c r="E20" s="3269">
        <v>207970</v>
      </c>
      <c r="F20" s="1438">
        <f t="shared" si="0"/>
        <v>412809.88</v>
      </c>
      <c r="I20" s="30"/>
      <c r="J20" s="30"/>
      <c r="K20" s="30"/>
    </row>
    <row r="21" spans="1:11" ht="13.5" customHeight="1">
      <c r="B21" s="1449">
        <f>SUM(B16:B20)</f>
        <v>4.9499999999999993</v>
      </c>
      <c r="C21" s="1488"/>
      <c r="D21" s="2770"/>
      <c r="E21" s="1490"/>
      <c r="F21" s="1492"/>
      <c r="I21" s="32"/>
      <c r="J21" s="30"/>
      <c r="K21" s="30"/>
    </row>
    <row r="22" spans="1:11" ht="13.5" customHeight="1">
      <c r="C22" s="1451" t="s">
        <v>44</v>
      </c>
      <c r="D22" s="2780">
        <f>SUM(D23:D26)</f>
        <v>6586.1</v>
      </c>
      <c r="E22" s="1657">
        <f>SUM(E23:E26)</f>
        <v>9830</v>
      </c>
      <c r="F22" s="1462">
        <f t="shared" si="0"/>
        <v>16416.099999999999</v>
      </c>
      <c r="I22" s="32"/>
      <c r="J22" s="30"/>
      <c r="K22" s="30"/>
    </row>
    <row r="23" spans="1:11" ht="13.5" customHeight="1">
      <c r="C23" s="1667" t="s">
        <v>784</v>
      </c>
      <c r="D23" s="2772">
        <v>2914.5</v>
      </c>
      <c r="E23" s="1669">
        <v>4350</v>
      </c>
      <c r="F23" s="1426">
        <v>0</v>
      </c>
      <c r="G23" s="33" t="s">
        <v>6</v>
      </c>
      <c r="I23" s="32"/>
      <c r="J23" s="30"/>
      <c r="K23" s="30"/>
    </row>
    <row r="24" spans="1:11" ht="13.5" customHeight="1">
      <c r="C24" s="1667" t="s">
        <v>808</v>
      </c>
      <c r="D24" s="2772">
        <v>2331.6</v>
      </c>
      <c r="E24" s="1669">
        <v>3480</v>
      </c>
      <c r="F24" s="1438">
        <v>0</v>
      </c>
      <c r="G24" s="34"/>
      <c r="I24" s="32"/>
      <c r="J24" s="30"/>
      <c r="K24" s="30"/>
    </row>
    <row r="25" spans="1:11" ht="13.5" customHeight="1">
      <c r="C25" s="1667" t="s">
        <v>809</v>
      </c>
      <c r="D25" s="2773">
        <v>1340</v>
      </c>
      <c r="E25" s="1444">
        <v>2000</v>
      </c>
      <c r="F25" s="1438">
        <v>0</v>
      </c>
      <c r="I25" s="35"/>
      <c r="J25" s="30"/>
      <c r="K25" s="30"/>
    </row>
    <row r="26" spans="1:11" ht="13.5" customHeight="1">
      <c r="B26" s="1410"/>
      <c r="C26" s="1423"/>
      <c r="D26" s="2775"/>
      <c r="E26" s="1444"/>
      <c r="F26" s="1438">
        <v>0</v>
      </c>
      <c r="I26" s="32"/>
      <c r="J26" s="30"/>
      <c r="K26" s="30"/>
    </row>
    <row r="27" spans="1:11" s="18" customFormat="1" ht="13.5" customHeight="1">
      <c r="A27" s="28"/>
      <c r="B27" s="1412"/>
      <c r="C27" s="1424"/>
      <c r="D27" s="2776"/>
      <c r="E27" s="1431"/>
      <c r="F27" s="1439"/>
    </row>
    <row r="28" spans="1:11" ht="13.5" customHeight="1">
      <c r="B28" s="1410"/>
      <c r="C28" s="1451" t="s">
        <v>45</v>
      </c>
      <c r="D28" s="2771">
        <f>SUM(D30:D36)</f>
        <v>272717.38388000004</v>
      </c>
      <c r="E28" s="1657">
        <f>SUM(E30:E32)+SUM(E34:E36)</f>
        <v>287317.74399999995</v>
      </c>
      <c r="F28" s="1462">
        <f>SUM(F30:F36)</f>
        <v>560035.12787999993</v>
      </c>
    </row>
    <row r="29" spans="1:11" s="18" customFormat="1" ht="13.5" customHeight="1">
      <c r="A29" s="28"/>
      <c r="B29" s="1412"/>
      <c r="C29" s="1450" t="s">
        <v>1733</v>
      </c>
      <c r="D29" s="2777">
        <v>0.66700000000000004</v>
      </c>
      <c r="E29" s="1452">
        <v>0.68799999999999994</v>
      </c>
      <c r="F29" s="1485"/>
    </row>
    <row r="30" spans="1:11" ht="13.5" customHeight="1">
      <c r="C30" s="1667" t="s">
        <v>719</v>
      </c>
      <c r="D30" s="2778">
        <f>D15*D29</f>
        <v>268324.45518000005</v>
      </c>
      <c r="E30" s="1671">
        <f>E15*E29</f>
        <v>280554.70399999997</v>
      </c>
      <c r="F30" s="1438">
        <f>SUM(D30:E30)</f>
        <v>548879.15917999996</v>
      </c>
    </row>
    <row r="31" spans="1:11" ht="13.5" customHeight="1">
      <c r="C31" s="1667" t="s">
        <v>720</v>
      </c>
      <c r="D31" s="2785">
        <f>D22*D29</f>
        <v>4392.9287000000004</v>
      </c>
      <c r="E31" s="1505">
        <f>E22*E29</f>
        <v>6763.0399999999991</v>
      </c>
      <c r="F31" s="1661">
        <f>SUM(D31:E31)</f>
        <v>11155.968699999999</v>
      </c>
    </row>
    <row r="32" spans="1:11" ht="13.5" customHeight="1">
      <c r="B32" s="36"/>
      <c r="C32" s="1667"/>
      <c r="D32" s="2774"/>
      <c r="E32" s="1443"/>
      <c r="F32" s="1661">
        <f>SUM(D32:E32)</f>
        <v>0</v>
      </c>
    </row>
    <row r="33" spans="1:7" ht="13.5" customHeight="1">
      <c r="A33" s="36"/>
      <c r="C33" s="1450" t="s">
        <v>1734</v>
      </c>
      <c r="D33" s="2777"/>
      <c r="E33" s="1452">
        <v>0</v>
      </c>
      <c r="F33" s="1485"/>
      <c r="G33" s="36"/>
    </row>
    <row r="34" spans="1:7" ht="13.5" customHeight="1">
      <c r="A34" s="1764" t="s">
        <v>486</v>
      </c>
      <c r="C34" s="1667" t="s">
        <v>719</v>
      </c>
      <c r="D34" s="2778"/>
      <c r="E34" s="1641">
        <f>E15*E33</f>
        <v>0</v>
      </c>
      <c r="F34" s="1661">
        <f>SUM(D34:E34)</f>
        <v>0</v>
      </c>
    </row>
    <row r="35" spans="1:7" ht="13.5" customHeight="1">
      <c r="A35" s="1764" t="s">
        <v>485</v>
      </c>
      <c r="C35" s="1667" t="s">
        <v>720</v>
      </c>
      <c r="D35" s="2785"/>
      <c r="E35" s="1641">
        <f>E22*E33</f>
        <v>0</v>
      </c>
      <c r="F35" s="1661">
        <f t="shared" ref="F35" si="1">SUM(D35:E35)</f>
        <v>0</v>
      </c>
      <c r="G35" s="37"/>
    </row>
    <row r="36" spans="1:7" ht="13.5" customHeight="1">
      <c r="A36" s="1508" t="s">
        <v>5</v>
      </c>
      <c r="B36" s="1410"/>
      <c r="C36" s="1445"/>
      <c r="D36" s="2775"/>
      <c r="E36" s="1444"/>
      <c r="F36" s="1661">
        <f>SUM(D36:E36)</f>
        <v>0</v>
      </c>
    </row>
    <row r="37" spans="1:7" s="18" customFormat="1" ht="13.5" customHeight="1">
      <c r="A37" s="1427">
        <v>18230811</v>
      </c>
      <c r="B37" s="1412"/>
      <c r="C37" s="1488"/>
      <c r="D37" s="2779"/>
      <c r="E37" s="1490"/>
      <c r="F37" s="1493"/>
    </row>
    <row r="38" spans="1:7" ht="13.5" customHeight="1">
      <c r="A38" s="1519" t="s">
        <v>4</v>
      </c>
      <c r="C38" s="1597" t="s">
        <v>46</v>
      </c>
      <c r="D38" s="2780">
        <f>SUM(D39:D42)</f>
        <v>93305</v>
      </c>
      <c r="E38" s="1645">
        <f>SUM(E39:E42)</f>
        <v>66275</v>
      </c>
      <c r="F38" s="1462">
        <f>SUM(D38:E38)</f>
        <v>159580</v>
      </c>
    </row>
    <row r="39" spans="1:7" ht="13.5" customHeight="1">
      <c r="C39" s="1667" t="s">
        <v>785</v>
      </c>
      <c r="D39" s="2798">
        <v>66555</v>
      </c>
      <c r="E39" s="2203">
        <v>40000</v>
      </c>
      <c r="F39" s="1438">
        <f>D39+E39</f>
        <v>106555</v>
      </c>
    </row>
    <row r="40" spans="1:7" ht="13.5" customHeight="1">
      <c r="C40" s="1667" t="s">
        <v>786</v>
      </c>
      <c r="D40" s="2798">
        <v>21750</v>
      </c>
      <c r="E40" s="2203">
        <v>21275</v>
      </c>
      <c r="F40" s="1644">
        <f>D40+E40</f>
        <v>43025</v>
      </c>
    </row>
    <row r="41" spans="1:7" ht="13.5" customHeight="1">
      <c r="C41" s="1667" t="s">
        <v>809</v>
      </c>
      <c r="D41" s="2778">
        <v>5000</v>
      </c>
      <c r="E41" s="1672">
        <v>5000</v>
      </c>
      <c r="F41" s="1644">
        <f>D41+E41</f>
        <v>10000</v>
      </c>
    </row>
    <row r="42" spans="1:7" ht="13.5" customHeight="1">
      <c r="C42" s="1667"/>
      <c r="D42" s="2799"/>
      <c r="E42" s="1646"/>
      <c r="F42" s="1644">
        <f>D42+E42</f>
        <v>0</v>
      </c>
    </row>
    <row r="43" spans="1:7" s="1642" customFormat="1" ht="13.5" customHeight="1">
      <c r="A43" s="1643"/>
      <c r="B43" s="1643"/>
      <c r="C43" s="1488"/>
      <c r="D43" s="2779"/>
      <c r="E43" s="1490"/>
      <c r="F43" s="1493"/>
    </row>
    <row r="44" spans="1:7" ht="13.5" customHeight="1">
      <c r="C44" s="1597" t="s">
        <v>483</v>
      </c>
      <c r="D44" s="2771">
        <f>SUM(D45:D48)</f>
        <v>73515</v>
      </c>
      <c r="E44" s="1464">
        <f>SUM(E45:E48)</f>
        <v>73515</v>
      </c>
      <c r="F44" s="1462">
        <f>SUM(D44:E44)</f>
        <v>147030</v>
      </c>
    </row>
    <row r="45" spans="1:7" ht="13.5" customHeight="1">
      <c r="C45" s="1667" t="s">
        <v>787</v>
      </c>
      <c r="D45" s="2778">
        <v>14790</v>
      </c>
      <c r="E45" s="1660">
        <v>14790</v>
      </c>
      <c r="F45" s="1438">
        <f>SUM(D45:E45)</f>
        <v>29580</v>
      </c>
    </row>
    <row r="46" spans="1:7" ht="13.5" customHeight="1">
      <c r="C46" s="1667" t="s">
        <v>788</v>
      </c>
      <c r="D46" s="2778">
        <v>23925</v>
      </c>
      <c r="E46" s="1641">
        <v>23925</v>
      </c>
      <c r="F46" s="1647">
        <f>SUM(D46:E46)</f>
        <v>47850</v>
      </c>
    </row>
    <row r="47" spans="1:7" ht="13.5" customHeight="1">
      <c r="C47" s="1667" t="s">
        <v>789</v>
      </c>
      <c r="D47" s="2778">
        <v>34800</v>
      </c>
      <c r="E47" s="1671">
        <v>34800</v>
      </c>
      <c r="F47" s="1647">
        <f>SUM(D47:E47)</f>
        <v>69600</v>
      </c>
    </row>
    <row r="48" spans="1:7" ht="13.5" customHeight="1">
      <c r="C48" s="1667"/>
      <c r="D48" s="2778"/>
      <c r="E48" s="1641"/>
      <c r="F48" s="1647">
        <f>SUM(D48:E48)</f>
        <v>0</v>
      </c>
    </row>
    <row r="49" spans="1:6" ht="13.5" customHeight="1">
      <c r="C49" s="1488"/>
      <c r="D49" s="2800"/>
      <c r="E49" s="1490"/>
      <c r="F49" s="1493"/>
    </row>
    <row r="50" spans="1:6" ht="13.5" customHeight="1">
      <c r="C50" s="1597" t="s">
        <v>47</v>
      </c>
      <c r="D50" s="2801">
        <f>SUM(D51:D54)</f>
        <v>28275</v>
      </c>
      <c r="E50" s="1464">
        <f>SUM(E51:E54)</f>
        <v>28275</v>
      </c>
      <c r="F50" s="1462">
        <f>SUM(D50:E50)</f>
        <v>56550</v>
      </c>
    </row>
    <row r="51" spans="1:6" ht="13.5" customHeight="1">
      <c r="C51" s="1667" t="s">
        <v>790</v>
      </c>
      <c r="D51" s="2778">
        <v>28275</v>
      </c>
      <c r="E51" s="1671">
        <v>28275</v>
      </c>
      <c r="F51" s="1438">
        <f>SUM(D51:E51)</f>
        <v>56550</v>
      </c>
    </row>
    <row r="52" spans="1:6" ht="13.5" customHeight="1">
      <c r="C52" s="1667"/>
      <c r="D52" s="2778"/>
      <c r="E52" s="1520"/>
      <c r="F52" s="1438">
        <f>SUM(D52:E52)</f>
        <v>0</v>
      </c>
    </row>
    <row r="53" spans="1:6" ht="13.5" customHeight="1">
      <c r="C53" s="1667"/>
      <c r="D53" s="2778"/>
      <c r="E53" s="1520"/>
      <c r="F53" s="1438">
        <v>0</v>
      </c>
    </row>
    <row r="54" spans="1:6" ht="13.5" customHeight="1">
      <c r="C54" s="1667"/>
      <c r="D54" s="2778"/>
      <c r="E54" s="1520"/>
      <c r="F54" s="1438">
        <v>0</v>
      </c>
    </row>
    <row r="55" spans="1:6" ht="13.5" customHeight="1">
      <c r="C55" s="1488"/>
      <c r="D55" s="2800"/>
      <c r="E55" s="1490"/>
      <c r="F55" s="1493"/>
    </row>
    <row r="56" spans="1:6" s="1652" customFormat="1" ht="13.5" customHeight="1">
      <c r="A56" s="1653"/>
      <c r="B56" s="1653"/>
      <c r="C56" s="1597" t="s">
        <v>48</v>
      </c>
      <c r="D56" s="2801">
        <f>SUM(D57:D60)</f>
        <v>22615</v>
      </c>
      <c r="E56" s="1651">
        <f>SUM(E57:E60)</f>
        <v>22615</v>
      </c>
      <c r="F56" s="1462">
        <f t="shared" ref="F56:F60" si="2">SUM(D56:E56)</f>
        <v>45230</v>
      </c>
    </row>
    <row r="57" spans="1:6" ht="13.5" customHeight="1">
      <c r="C57" s="1667" t="s">
        <v>791</v>
      </c>
      <c r="D57" s="2778">
        <v>6960</v>
      </c>
      <c r="E57" s="1671">
        <v>6960</v>
      </c>
      <c r="F57" s="1438">
        <f t="shared" si="2"/>
        <v>13920</v>
      </c>
    </row>
    <row r="58" spans="1:6" ht="13.5" customHeight="1">
      <c r="C58" s="1667" t="s">
        <v>792</v>
      </c>
      <c r="D58" s="2778">
        <v>10000</v>
      </c>
      <c r="E58" s="1672">
        <v>10000</v>
      </c>
      <c r="F58" s="1650">
        <f t="shared" si="2"/>
        <v>20000</v>
      </c>
    </row>
    <row r="59" spans="1:6" ht="13.5" customHeight="1">
      <c r="C59" s="1667" t="s">
        <v>793</v>
      </c>
      <c r="D59" s="2778">
        <v>3480</v>
      </c>
      <c r="E59" s="1672">
        <v>3480</v>
      </c>
      <c r="F59" s="1661">
        <f t="shared" si="2"/>
        <v>6960</v>
      </c>
    </row>
    <row r="60" spans="1:6" ht="13.5" customHeight="1">
      <c r="C60" s="1667" t="s">
        <v>811</v>
      </c>
      <c r="D60" s="2778">
        <v>2175</v>
      </c>
      <c r="E60" s="1641">
        <v>2175</v>
      </c>
      <c r="F60" s="1650">
        <f t="shared" si="2"/>
        <v>4350</v>
      </c>
    </row>
    <row r="61" spans="1:6" s="1648" customFormat="1" ht="13.5" customHeight="1">
      <c r="A61" s="1649"/>
      <c r="B61" s="1649"/>
      <c r="C61" s="1488"/>
      <c r="D61" s="2800"/>
      <c r="E61" s="1659"/>
      <c r="F61" s="1493"/>
    </row>
    <row r="62" spans="1:6" ht="13.5" customHeight="1">
      <c r="C62" s="1597" t="s">
        <v>49</v>
      </c>
      <c r="D62" s="2801">
        <f>SUM(D63:D67)</f>
        <v>0</v>
      </c>
      <c r="E62" s="1464">
        <f>SUM(E63:E67)</f>
        <v>0</v>
      </c>
      <c r="F62" s="1462">
        <f t="shared" ref="F62:F67" si="3">SUM(D62:E62)</f>
        <v>0</v>
      </c>
    </row>
    <row r="63" spans="1:6" ht="13.5" customHeight="1">
      <c r="C63" s="1667"/>
      <c r="D63" s="2778"/>
      <c r="E63" s="1656"/>
      <c r="F63" s="1438">
        <f t="shared" si="3"/>
        <v>0</v>
      </c>
    </row>
    <row r="64" spans="1:6">
      <c r="C64" s="1667"/>
      <c r="D64" s="2778"/>
      <c r="E64" s="1656"/>
      <c r="F64" s="1655">
        <f t="shared" si="3"/>
        <v>0</v>
      </c>
    </row>
    <row r="65" spans="3:6">
      <c r="C65" s="1667"/>
      <c r="D65" s="2778"/>
      <c r="E65" s="1656"/>
      <c r="F65" s="1655">
        <f t="shared" si="3"/>
        <v>0</v>
      </c>
    </row>
    <row r="66" spans="3:6">
      <c r="C66" s="1667"/>
      <c r="D66" s="2778"/>
      <c r="E66" s="1656"/>
      <c r="F66" s="1655">
        <f t="shared" si="3"/>
        <v>0</v>
      </c>
    </row>
    <row r="67" spans="3:6">
      <c r="C67" s="1654"/>
      <c r="D67" s="2778"/>
      <c r="E67" s="1656"/>
      <c r="F67" s="1655">
        <f t="shared" si="3"/>
        <v>0</v>
      </c>
    </row>
    <row r="68" spans="3:6">
      <c r="C68" s="1488"/>
      <c r="D68" s="2779"/>
      <c r="E68" s="1659"/>
      <c r="F68" s="1493"/>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2" activePane="bottomRight" state="frozen"/>
      <selection pane="bottomRight" activeCell="C54" sqref="C54:E56"/>
      <pageMargins left="0.7" right="0.22" top="0.4" bottom="0.47" header="0.3" footer="0.3"/>
      <pageSetup paperSize="17" scale="58" orientation="landscape" r:id="rId1"/>
    </customSheetView>
    <customSheetView guid="{074EB09C-6289-46D7-9513-012B68BCA7BF}" showGridLines="0" fitToPage="1">
      <pane xSplit="1" ySplit="1" topLeftCell="B14" activePane="bottomRight" state="frozen"/>
      <selection pane="bottomRight" activeCell="E34" sqref="E34"/>
      <pageMargins left="0.7" right="0.22" top="0.4" bottom="0.47" header="0.3" footer="0.3"/>
      <pageSetup paperSize="17" scale="58" orientation="landscape" r:id="rId2"/>
    </customSheetView>
  </customSheetViews>
  <pageMargins left="0.7" right="0.22" top="0.4" bottom="0.47" header="0.3" footer="0.3"/>
  <pageSetup paperSize="17" scale="59" orientation="landscape" r:id="rId3"/>
  <drawing r:id="rId4"/>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B1A0C7"/>
    <pageSetUpPr fitToPage="1"/>
  </sheetPr>
  <dimension ref="A1:R71"/>
  <sheetViews>
    <sheetView showGridLines="0" zoomScaleNormal="100" workbookViewId="0">
      <pane xSplit="1" ySplit="1" topLeftCell="B2" activePane="bottomRight" state="frozen"/>
      <selection pane="topRight" activeCell="B1" sqref="B1"/>
      <selection pane="bottomLeft" activeCell="A2" sqref="A2"/>
      <selection pane="bottomRight" activeCell="I30" sqref="I30"/>
    </sheetView>
  </sheetViews>
  <sheetFormatPr defaultColWidth="34.85546875" defaultRowHeight="12.75"/>
  <cols>
    <col min="1" max="1" width="18.7109375" customWidth="1"/>
    <col min="2" max="2" width="16" style="1413" customWidth="1"/>
    <col min="3" max="3" width="30.28515625" customWidth="1"/>
    <col min="4" max="5" width="20" customWidth="1"/>
    <col min="6" max="6" width="24.42578125" customWidth="1"/>
    <col min="7" max="9" width="20.7109375" customWidth="1"/>
    <col min="10" max="11" width="18.85546875" customWidth="1"/>
    <col min="12" max="13" width="16.42578125" customWidth="1"/>
    <col min="14" max="14" width="17.140625" customWidth="1"/>
    <col min="15" max="15" width="20.140625" customWidth="1"/>
    <col min="16" max="16" width="18.85546875" customWidth="1"/>
    <col min="17" max="17" width="21.28515625" customWidth="1"/>
    <col min="18" max="18" width="24.28515625" customWidth="1"/>
  </cols>
  <sheetData>
    <row r="1" spans="1:18" ht="58.5" customHeight="1">
      <c r="D1" s="1366" t="s">
        <v>154</v>
      </c>
      <c r="E1" s="1366" t="s">
        <v>22</v>
      </c>
      <c r="F1" s="1428">
        <v>18230730</v>
      </c>
      <c r="G1" s="1366" t="s">
        <v>4</v>
      </c>
      <c r="M1" s="1366" t="s">
        <v>154</v>
      </c>
      <c r="N1" s="1366" t="s">
        <v>22</v>
      </c>
      <c r="O1" s="1428">
        <v>18230730</v>
      </c>
      <c r="P1" s="1428"/>
      <c r="Q1" s="1366" t="s">
        <v>4</v>
      </c>
    </row>
    <row r="2" spans="1:18" ht="16.5" thickBot="1">
      <c r="A2" s="401"/>
      <c r="B2" s="413"/>
      <c r="D2" s="402"/>
      <c r="E2" s="414"/>
      <c r="F2" s="414"/>
      <c r="G2" s="1354"/>
      <c r="H2" s="1178" t="s">
        <v>647</v>
      </c>
      <c r="I2" s="1354"/>
      <c r="J2" s="1354"/>
      <c r="K2" s="1354"/>
      <c r="L2" s="1354"/>
      <c r="M2" s="1354"/>
      <c r="N2" s="1354"/>
      <c r="O2" s="1354"/>
      <c r="P2" s="1354"/>
      <c r="Q2" s="2147"/>
      <c r="R2" s="1354"/>
    </row>
    <row r="3" spans="1:18" ht="26.25" thickBot="1">
      <c r="A3" s="1364" t="s">
        <v>154</v>
      </c>
      <c r="B3" s="1364"/>
      <c r="D3" s="407"/>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401"/>
      <c r="D4" s="401"/>
      <c r="E4" s="413"/>
      <c r="F4" s="413"/>
      <c r="G4" s="2946" t="s">
        <v>1726</v>
      </c>
      <c r="H4" s="2959">
        <f>D15</f>
        <v>0</v>
      </c>
      <c r="I4" s="2960">
        <f>D21</f>
        <v>0</v>
      </c>
      <c r="J4" s="2960">
        <f>D27</f>
        <v>0</v>
      </c>
      <c r="K4" s="2960">
        <f>D37</f>
        <v>0</v>
      </c>
      <c r="L4" s="2960">
        <f>D43</f>
        <v>0</v>
      </c>
      <c r="M4" s="2960">
        <f>D49</f>
        <v>56550</v>
      </c>
      <c r="N4" s="2960">
        <f>D55</f>
        <v>0</v>
      </c>
      <c r="O4" s="2960">
        <f>D61</f>
        <v>61111</v>
      </c>
      <c r="P4" s="2960">
        <v>0</v>
      </c>
      <c r="Q4" s="2960">
        <v>0</v>
      </c>
      <c r="R4" s="2979">
        <f>SUM(H4:P4)</f>
        <v>117661</v>
      </c>
    </row>
    <row r="5" spans="1:18" ht="15.75">
      <c r="A5" s="1428">
        <v>18230730</v>
      </c>
      <c r="C5" s="970"/>
      <c r="E5" s="1413"/>
      <c r="F5" s="1413"/>
      <c r="G5" s="3205" t="s">
        <v>1753</v>
      </c>
      <c r="H5" s="2617">
        <v>0</v>
      </c>
      <c r="I5" s="2618">
        <v>0</v>
      </c>
      <c r="J5" s="2618">
        <v>0</v>
      </c>
      <c r="K5" s="2618">
        <v>0</v>
      </c>
      <c r="L5" s="2618">
        <v>0</v>
      </c>
      <c r="M5" s="2618">
        <v>56550</v>
      </c>
      <c r="N5" s="2618">
        <v>0</v>
      </c>
      <c r="O5" s="2618">
        <v>61111</v>
      </c>
      <c r="P5" s="2618">
        <v>0</v>
      </c>
      <c r="Q5" s="2618">
        <v>0</v>
      </c>
      <c r="R5" s="2735">
        <v>117661</v>
      </c>
    </row>
    <row r="6" spans="1:18" ht="16.5" thickBot="1">
      <c r="A6" s="1515" t="s">
        <v>4</v>
      </c>
      <c r="B6" s="1428"/>
      <c r="C6" s="943"/>
      <c r="D6" s="401"/>
      <c r="E6" s="413"/>
      <c r="F6" s="413"/>
      <c r="G6" s="3206" t="s">
        <v>1754</v>
      </c>
      <c r="H6" s="2621">
        <f>E15</f>
        <v>0</v>
      </c>
      <c r="I6" s="2622">
        <f>E21</f>
        <v>0</v>
      </c>
      <c r="J6" s="2623">
        <f>E27</f>
        <v>0</v>
      </c>
      <c r="K6" s="2622">
        <f>E37</f>
        <v>0</v>
      </c>
      <c r="L6" s="2622">
        <f>E43</f>
        <v>0</v>
      </c>
      <c r="M6" s="2622">
        <f>E49</f>
        <v>56550</v>
      </c>
      <c r="N6" s="2622">
        <f>E55</f>
        <v>0</v>
      </c>
      <c r="O6" s="2622">
        <f>E61</f>
        <v>61111</v>
      </c>
      <c r="P6" s="2622">
        <v>0</v>
      </c>
      <c r="Q6" s="2622">
        <v>0</v>
      </c>
      <c r="R6" s="2760">
        <f>SUM(H6:P6)</f>
        <v>117661</v>
      </c>
    </row>
    <row r="7" spans="1:18" ht="15.75">
      <c r="B7" s="1363"/>
      <c r="C7" s="406"/>
      <c r="D7" s="406"/>
      <c r="E7" s="418"/>
      <c r="F7" s="418"/>
      <c r="G7" s="2688"/>
      <c r="H7" s="2607"/>
      <c r="I7" s="2607"/>
      <c r="J7" s="2607"/>
      <c r="K7" s="2607"/>
      <c r="L7" s="2607"/>
      <c r="M7" s="2607"/>
      <c r="N7" s="2607"/>
      <c r="O7" s="2607"/>
      <c r="P7" s="2607"/>
      <c r="Q7" s="2607"/>
      <c r="R7" s="2607"/>
    </row>
    <row r="8" spans="1:18" ht="25.5">
      <c r="B8" s="1364"/>
      <c r="C8" s="406"/>
      <c r="D8" s="406"/>
      <c r="E8" s="403"/>
      <c r="F8" s="404"/>
      <c r="G8" s="401"/>
      <c r="H8" s="401"/>
      <c r="I8" s="401"/>
      <c r="J8" s="401"/>
      <c r="K8" s="401"/>
      <c r="L8" s="401"/>
      <c r="M8" s="401"/>
      <c r="O8" s="401"/>
      <c r="P8" s="410" t="s">
        <v>17</v>
      </c>
      <c r="Q8" s="410" t="s">
        <v>17</v>
      </c>
    </row>
    <row r="9" spans="1:18">
      <c r="A9" s="1363"/>
      <c r="B9" s="1363"/>
      <c r="C9" s="406"/>
      <c r="D9" s="406"/>
      <c r="E9" s="403"/>
      <c r="F9" s="404"/>
      <c r="G9" s="401"/>
      <c r="H9" s="401"/>
      <c r="I9" s="401"/>
      <c r="J9" s="401"/>
      <c r="K9" s="401"/>
      <c r="L9" s="401"/>
      <c r="M9" s="401"/>
      <c r="O9" s="401"/>
      <c r="P9" s="410" t="s">
        <v>18</v>
      </c>
      <c r="Q9" s="410" t="s">
        <v>18</v>
      </c>
    </row>
    <row r="10" spans="1:18">
      <c r="A10" s="1370"/>
      <c r="B10" s="1370"/>
      <c r="C10" s="1454" t="s">
        <v>310</v>
      </c>
      <c r="D10" s="1454"/>
      <c r="E10" s="1454"/>
      <c r="F10" s="1454"/>
    </row>
    <row r="11" spans="1:18">
      <c r="A11" s="1370"/>
      <c r="B11" s="1370"/>
      <c r="C11" s="1413"/>
      <c r="D11" s="1413"/>
      <c r="E11" s="1414"/>
      <c r="F11" s="1413"/>
    </row>
    <row r="12" spans="1:18">
      <c r="A12" s="1370"/>
      <c r="B12" s="422"/>
      <c r="C12" s="1434" t="s">
        <v>298</v>
      </c>
      <c r="D12" s="2766">
        <f>D15+D21+D27+D37+D43+D49+D55+D61</f>
        <v>117661</v>
      </c>
      <c r="E12" s="1484">
        <f>E15+E21+E27+E37+E43+E49+E55+E61</f>
        <v>117661</v>
      </c>
      <c r="F12" s="1462">
        <f>D12+E12</f>
        <v>235322</v>
      </c>
    </row>
    <row r="13" spans="1:18" ht="13.5" customHeight="1">
      <c r="A13" s="410"/>
      <c r="B13" s="423"/>
      <c r="C13" s="1483"/>
      <c r="D13" s="2767"/>
      <c r="E13" s="1336"/>
      <c r="F13" s="1413"/>
      <c r="G13" s="1087"/>
      <c r="H13" s="1087"/>
      <c r="I13" s="401"/>
      <c r="J13" s="401"/>
      <c r="K13" s="401"/>
      <c r="L13" s="401"/>
      <c r="M13" s="401"/>
      <c r="N13" s="401"/>
      <c r="O13" s="401"/>
      <c r="P13" s="401"/>
      <c r="Q13" s="401"/>
    </row>
    <row r="14" spans="1:18" ht="13.5" customHeight="1">
      <c r="A14" s="411"/>
      <c r="B14" s="423"/>
      <c r="C14" s="1435" t="s">
        <v>42</v>
      </c>
      <c r="D14" s="2768">
        <v>2016</v>
      </c>
      <c r="E14" s="1502">
        <v>2017</v>
      </c>
      <c r="F14" s="1486" t="s">
        <v>20</v>
      </c>
      <c r="G14" s="412"/>
      <c r="H14" s="412"/>
      <c r="I14" s="406"/>
      <c r="J14" s="406"/>
      <c r="K14" s="406"/>
      <c r="L14" s="406"/>
      <c r="M14" s="406"/>
      <c r="N14" s="406"/>
      <c r="O14" s="406"/>
      <c r="P14" s="406"/>
      <c r="Q14" s="406"/>
    </row>
    <row r="15" spans="1:18" ht="13.5" customHeight="1">
      <c r="A15" s="411"/>
      <c r="B15" s="1433" t="s">
        <v>296</v>
      </c>
      <c r="C15" s="1451" t="s">
        <v>43</v>
      </c>
      <c r="D15" s="2771">
        <f>SUM(D16:D19)</f>
        <v>0</v>
      </c>
      <c r="E15" s="1464">
        <f>SUM(E16:E19)</f>
        <v>0</v>
      </c>
      <c r="F15" s="1462">
        <f t="shared" ref="F15:F21" si="0">SUM(D15:E15)</f>
        <v>0</v>
      </c>
      <c r="G15" s="412"/>
      <c r="H15" s="412"/>
      <c r="I15" s="406"/>
      <c r="J15" s="406"/>
      <c r="K15" s="406"/>
      <c r="L15" s="406"/>
      <c r="M15" s="406"/>
      <c r="N15" s="406"/>
      <c r="O15" s="406"/>
      <c r="P15" s="406"/>
      <c r="Q15" s="406"/>
    </row>
    <row r="16" spans="1:18" ht="13.5" customHeight="1">
      <c r="A16" s="410"/>
      <c r="B16" s="1432"/>
      <c r="C16" s="1423"/>
      <c r="D16" s="2772"/>
      <c r="E16" s="1448"/>
      <c r="F16" s="1426">
        <f t="shared" si="0"/>
        <v>0</v>
      </c>
      <c r="G16" s="401"/>
      <c r="H16" s="401"/>
    </row>
    <row r="17" spans="1:8" ht="13.5" customHeight="1">
      <c r="A17" s="410"/>
      <c r="B17" s="1432"/>
      <c r="C17" s="1423"/>
      <c r="D17" s="2784"/>
      <c r="E17" s="1447"/>
      <c r="F17" s="1438">
        <f t="shared" si="0"/>
        <v>0</v>
      </c>
      <c r="G17" s="401"/>
      <c r="H17" s="401"/>
    </row>
    <row r="18" spans="1:8" ht="13.5" customHeight="1">
      <c r="A18" s="410"/>
      <c r="B18" s="1432"/>
      <c r="C18" s="1423"/>
      <c r="D18" s="2784"/>
      <c r="E18" s="1447"/>
      <c r="F18" s="1438">
        <f t="shared" si="0"/>
        <v>0</v>
      </c>
      <c r="G18" s="401"/>
      <c r="H18" s="401"/>
    </row>
    <row r="19" spans="1:8" ht="13.5" customHeight="1">
      <c r="A19" s="410"/>
      <c r="B19" s="1432"/>
      <c r="C19" s="1423"/>
      <c r="D19" s="2786"/>
      <c r="E19" s="1446"/>
      <c r="F19" s="1438">
        <f t="shared" si="0"/>
        <v>0</v>
      </c>
      <c r="G19" s="401"/>
      <c r="H19" s="401"/>
    </row>
    <row r="20" spans="1:8" ht="13.5" customHeight="1">
      <c r="A20" s="410"/>
      <c r="B20" s="1449">
        <f>SUM(B16:B19)</f>
        <v>0</v>
      </c>
      <c r="C20" s="1488"/>
      <c r="D20" s="2770"/>
      <c r="E20" s="1490"/>
      <c r="F20" s="1492"/>
      <c r="G20" s="401"/>
      <c r="H20" s="401"/>
    </row>
    <row r="21" spans="1:8" ht="13.5" customHeight="1">
      <c r="A21" s="410"/>
      <c r="B21" s="422"/>
      <c r="C21" s="1451" t="s">
        <v>44</v>
      </c>
      <c r="D21" s="2771">
        <v>0</v>
      </c>
      <c r="E21" s="1464">
        <v>0</v>
      </c>
      <c r="F21" s="1462">
        <f t="shared" si="0"/>
        <v>0</v>
      </c>
      <c r="G21" s="408" t="s">
        <v>6</v>
      </c>
      <c r="H21" s="401"/>
    </row>
    <row r="22" spans="1:8" ht="13.5" customHeight="1">
      <c r="A22" s="410"/>
      <c r="B22" s="422"/>
      <c r="C22" s="1423"/>
      <c r="D22" s="2772"/>
      <c r="E22" s="1448"/>
      <c r="F22" s="1426">
        <v>0</v>
      </c>
      <c r="G22" s="409"/>
      <c r="H22" s="401"/>
    </row>
    <row r="23" spans="1:8" ht="13.5" customHeight="1">
      <c r="A23" s="410"/>
      <c r="B23" s="422"/>
      <c r="C23" s="1423"/>
      <c r="D23" s="2773"/>
      <c r="E23" s="1444"/>
      <c r="F23" s="1438">
        <v>0</v>
      </c>
      <c r="G23" s="401"/>
      <c r="H23" s="401"/>
    </row>
    <row r="24" spans="1:8" ht="13.5" customHeight="1">
      <c r="A24" s="410"/>
      <c r="B24" s="423"/>
      <c r="C24" s="1423"/>
      <c r="D24" s="2774"/>
      <c r="E24" s="1443"/>
      <c r="F24" s="1438">
        <v>0</v>
      </c>
      <c r="G24" s="401"/>
      <c r="H24" s="401"/>
    </row>
    <row r="25" spans="1:8" ht="13.5" customHeight="1">
      <c r="A25" s="411"/>
      <c r="B25" s="422"/>
      <c r="C25" s="1423"/>
      <c r="D25" s="2775"/>
      <c r="E25" s="1444"/>
      <c r="F25" s="1438">
        <v>0</v>
      </c>
      <c r="G25" s="406"/>
      <c r="H25" s="406"/>
    </row>
    <row r="26" spans="1:8" ht="13.5" customHeight="1">
      <c r="A26" s="410"/>
      <c r="B26" s="423"/>
      <c r="C26" s="1424"/>
      <c r="D26" s="2776"/>
      <c r="E26" s="1431"/>
      <c r="F26" s="1439"/>
      <c r="G26" s="401"/>
      <c r="H26" s="401"/>
    </row>
    <row r="27" spans="1:8" ht="13.5" customHeight="1">
      <c r="A27" s="411"/>
      <c r="B27" s="422"/>
      <c r="C27" s="1451" t="s">
        <v>45</v>
      </c>
      <c r="D27" s="2771">
        <f>SUM(D29:D35)</f>
        <v>0</v>
      </c>
      <c r="E27" s="1657">
        <f>SUM(E29:E31)+SUM(E33:E35)</f>
        <v>0</v>
      </c>
      <c r="F27" s="1462">
        <f>SUM(F29:F35)</f>
        <v>0</v>
      </c>
      <c r="G27" s="406"/>
      <c r="H27" s="406"/>
    </row>
    <row r="28" spans="1:8" ht="13.5" customHeight="1">
      <c r="A28" s="410"/>
      <c r="B28" s="422"/>
      <c r="C28" s="1450" t="s">
        <v>1733</v>
      </c>
      <c r="D28" s="2777">
        <v>0.66700000000000004</v>
      </c>
      <c r="E28" s="1452">
        <v>0.68799999999999994</v>
      </c>
      <c r="F28" s="1485"/>
      <c r="G28" s="401"/>
      <c r="H28" s="401"/>
    </row>
    <row r="29" spans="1:8" ht="13.5" customHeight="1">
      <c r="A29" s="410"/>
      <c r="B29" s="422"/>
      <c r="C29" s="1667" t="s">
        <v>719</v>
      </c>
      <c r="D29" s="2778">
        <f>D15*D28</f>
        <v>0</v>
      </c>
      <c r="E29" s="1504">
        <f>E15*E28</f>
        <v>0</v>
      </c>
      <c r="F29" s="1438">
        <f>SUM(D29:E29)</f>
        <v>0</v>
      </c>
      <c r="G29" s="401"/>
      <c r="H29" s="401"/>
    </row>
    <row r="30" spans="1:8" ht="13.5" customHeight="1">
      <c r="A30" s="410"/>
      <c r="B30" s="422"/>
      <c r="C30" s="1667" t="s">
        <v>720</v>
      </c>
      <c r="D30" s="2785">
        <f>D21*D28</f>
        <v>0</v>
      </c>
      <c r="E30" s="1504">
        <f>E21*E28</f>
        <v>0</v>
      </c>
      <c r="F30" s="1661">
        <f>SUM(D30:E30)</f>
        <v>0</v>
      </c>
      <c r="G30" s="401"/>
      <c r="H30" s="401"/>
    </row>
    <row r="31" spans="1:8" ht="13.5" customHeight="1">
      <c r="A31" s="410"/>
      <c r="B31" s="422"/>
      <c r="C31" s="1667"/>
      <c r="D31" s="2774"/>
      <c r="E31" s="1443"/>
      <c r="F31" s="1661">
        <f>SUM(D31:E31)</f>
        <v>0</v>
      </c>
      <c r="G31" s="401"/>
      <c r="H31" s="401"/>
    </row>
    <row r="32" spans="1:8" ht="13.5" customHeight="1">
      <c r="A32" s="410"/>
      <c r="B32" s="422"/>
      <c r="C32" s="1450" t="s">
        <v>1734</v>
      </c>
      <c r="D32" s="2777"/>
      <c r="E32" s="1452">
        <v>0.21</v>
      </c>
      <c r="F32" s="1485"/>
      <c r="G32" s="401"/>
    </row>
    <row r="33" spans="1:7" ht="13.5" customHeight="1">
      <c r="A33" s="410"/>
      <c r="B33" s="1350"/>
      <c r="C33" s="1667" t="s">
        <v>719</v>
      </c>
      <c r="D33" s="2778"/>
      <c r="E33" s="1641">
        <f>E15*E32</f>
        <v>0</v>
      </c>
      <c r="F33" s="1661">
        <f>SUM(D33:E33)</f>
        <v>0</v>
      </c>
      <c r="G33" s="401"/>
    </row>
    <row r="34" spans="1:7" ht="13.5" customHeight="1">
      <c r="A34" s="1364" t="s">
        <v>154</v>
      </c>
      <c r="B34" s="422"/>
      <c r="C34" s="1667" t="s">
        <v>720</v>
      </c>
      <c r="D34" s="2785"/>
      <c r="E34" s="1641">
        <f>E21*E32</f>
        <v>0</v>
      </c>
      <c r="F34" s="1661">
        <f t="shared" ref="F34" si="1">SUM(D34:E34)</f>
        <v>0</v>
      </c>
      <c r="G34" s="405"/>
    </row>
    <row r="35" spans="1:7" ht="13.5" customHeight="1">
      <c r="A35" s="1515" t="s">
        <v>22</v>
      </c>
      <c r="B35" s="423"/>
      <c r="C35" s="1445"/>
      <c r="D35" s="2775"/>
      <c r="E35" s="1444"/>
      <c r="F35" s="1661">
        <f>SUM(D35:E35)</f>
        <v>0</v>
      </c>
      <c r="G35" s="401"/>
    </row>
    <row r="36" spans="1:7" ht="13.5" customHeight="1">
      <c r="A36" s="1428">
        <v>18230730</v>
      </c>
      <c r="B36" s="422"/>
      <c r="C36" s="1488"/>
      <c r="D36" s="2779"/>
      <c r="E36" s="1490"/>
      <c r="F36" s="1493"/>
      <c r="G36" s="406"/>
    </row>
    <row r="37" spans="1:7" ht="13.5" customHeight="1">
      <c r="A37" s="1515" t="s">
        <v>4</v>
      </c>
      <c r="B37" s="422"/>
      <c r="C37" s="1451" t="s">
        <v>46</v>
      </c>
      <c r="D37" s="2771">
        <v>0</v>
      </c>
      <c r="E37" s="1464">
        <v>0</v>
      </c>
      <c r="F37" s="1462">
        <f>SUM(D37:E37)</f>
        <v>0</v>
      </c>
      <c r="G37" s="401"/>
    </row>
    <row r="38" spans="1:7" ht="13.5" customHeight="1">
      <c r="A38" s="410"/>
      <c r="B38" s="422"/>
      <c r="C38" s="1423"/>
      <c r="D38" s="2778"/>
      <c r="E38" s="1520"/>
      <c r="F38" s="1438">
        <v>0</v>
      </c>
      <c r="G38" s="401"/>
    </row>
    <row r="39" spans="1:7" ht="13.5" customHeight="1">
      <c r="A39" s="410"/>
      <c r="B39" s="422"/>
      <c r="C39" s="1423"/>
      <c r="D39" s="2778"/>
      <c r="E39" s="1520"/>
      <c r="F39" s="1438">
        <v>0</v>
      </c>
      <c r="G39" s="401"/>
    </row>
    <row r="40" spans="1:7" ht="13.5" customHeight="1">
      <c r="A40" s="410"/>
      <c r="B40" s="422"/>
      <c r="C40" s="1423"/>
      <c r="D40" s="2778"/>
      <c r="E40" s="1520"/>
      <c r="F40" s="1438">
        <v>0</v>
      </c>
      <c r="G40" s="401"/>
    </row>
    <row r="41" spans="1:7" ht="13.5" customHeight="1">
      <c r="A41" s="410"/>
      <c r="B41" s="422"/>
      <c r="C41" s="1423"/>
      <c r="D41" s="2778"/>
      <c r="E41" s="1520"/>
      <c r="F41" s="1438">
        <v>0</v>
      </c>
      <c r="G41" s="401"/>
    </row>
    <row r="42" spans="1:7" ht="13.5" customHeight="1">
      <c r="A42" s="410"/>
      <c r="B42" s="422"/>
      <c r="C42" s="1488"/>
      <c r="D42" s="2779"/>
      <c r="E42" s="1490"/>
      <c r="F42" s="1493"/>
      <c r="G42" s="401"/>
    </row>
    <row r="43" spans="1:7" ht="13.5" customHeight="1">
      <c r="A43" s="410"/>
      <c r="B43" s="422"/>
      <c r="C43" s="1597" t="s">
        <v>483</v>
      </c>
      <c r="D43" s="2771">
        <f>SUM(D44:D47)</f>
        <v>0</v>
      </c>
      <c r="E43" s="1464">
        <f>SUM(E44:E47)</f>
        <v>0</v>
      </c>
      <c r="F43" s="1462">
        <f>SUM(D43:E43)</f>
        <v>0</v>
      </c>
      <c r="G43" s="401"/>
    </row>
    <row r="44" spans="1:7" ht="13.5" customHeight="1">
      <c r="A44" s="410"/>
      <c r="B44" s="422"/>
      <c r="C44" s="1608"/>
      <c r="D44" s="2778"/>
      <c r="E44" s="1520"/>
      <c r="F44" s="1438">
        <f>SUM(D44:E44)</f>
        <v>0</v>
      </c>
      <c r="G44" s="401"/>
    </row>
    <row r="45" spans="1:7" ht="13.5" customHeight="1">
      <c r="A45" s="410"/>
      <c r="B45" s="422"/>
      <c r="C45" s="1423"/>
      <c r="D45" s="2778"/>
      <c r="E45" s="1520"/>
      <c r="F45" s="1438">
        <v>0</v>
      </c>
      <c r="G45" s="401"/>
    </row>
    <row r="46" spans="1:7" ht="13.5" customHeight="1">
      <c r="A46" s="410"/>
      <c r="B46" s="422"/>
      <c r="C46" s="1423"/>
      <c r="D46" s="2778"/>
      <c r="E46" s="1520"/>
      <c r="F46" s="1438">
        <v>0</v>
      </c>
      <c r="G46" s="401"/>
    </row>
    <row r="47" spans="1:7" ht="13.5" customHeight="1">
      <c r="A47" s="410"/>
      <c r="B47" s="422"/>
      <c r="C47" s="1423"/>
      <c r="D47" s="2778"/>
      <c r="E47" s="1520"/>
      <c r="F47" s="1438">
        <v>0</v>
      </c>
      <c r="G47" s="401"/>
    </row>
    <row r="48" spans="1:7" ht="13.5" customHeight="1">
      <c r="A48" s="410"/>
      <c r="B48" s="422"/>
      <c r="C48" s="1488"/>
      <c r="D48" s="2779"/>
      <c r="E48" s="1490"/>
      <c r="F48" s="1493"/>
    </row>
    <row r="49" spans="1:6" ht="13.5" customHeight="1">
      <c r="A49" s="410"/>
      <c r="B49" s="422"/>
      <c r="C49" s="1451" t="s">
        <v>47</v>
      </c>
      <c r="D49" s="2771">
        <f>SUM(D50:D53)</f>
        <v>56550</v>
      </c>
      <c r="E49" s="1464">
        <f>SUM(E50:E53)</f>
        <v>56550</v>
      </c>
      <c r="F49" s="1462">
        <f>SUM(D49:E49)</f>
        <v>113100</v>
      </c>
    </row>
    <row r="50" spans="1:6" ht="13.5" customHeight="1">
      <c r="A50" s="410"/>
      <c r="B50" s="422"/>
      <c r="C50" s="1667" t="s">
        <v>713</v>
      </c>
      <c r="D50" s="2778">
        <v>56550</v>
      </c>
      <c r="E50" s="1672">
        <v>56550</v>
      </c>
      <c r="F50" s="1438">
        <f>SUM(D50:E50)</f>
        <v>113100</v>
      </c>
    </row>
    <row r="51" spans="1:6" ht="13.5" customHeight="1">
      <c r="A51" s="410"/>
      <c r="B51" s="422"/>
      <c r="C51" s="1608"/>
      <c r="D51" s="2778"/>
      <c r="E51" s="1520"/>
      <c r="F51" s="1438">
        <f>SUM(D51:E51)</f>
        <v>0</v>
      </c>
    </row>
    <row r="52" spans="1:6" ht="13.5" customHeight="1">
      <c r="A52" s="410"/>
      <c r="B52" s="422"/>
      <c r="C52" s="1423"/>
      <c r="D52" s="2778"/>
      <c r="E52" s="1520"/>
      <c r="F52" s="1438">
        <v>0</v>
      </c>
    </row>
    <row r="53" spans="1:6" ht="13.5" customHeight="1">
      <c r="A53" s="410"/>
      <c r="B53" s="422"/>
      <c r="C53" s="1423"/>
      <c r="D53" s="2778"/>
      <c r="E53" s="1520"/>
      <c r="F53" s="1438">
        <v>0</v>
      </c>
    </row>
    <row r="54" spans="1:6" ht="13.5" customHeight="1">
      <c r="A54" s="410"/>
      <c r="B54" s="422"/>
      <c r="C54" s="1488"/>
      <c r="D54" s="2779"/>
      <c r="E54" s="1490"/>
      <c r="F54" s="1493"/>
    </row>
    <row r="55" spans="1:6" ht="13.5" customHeight="1">
      <c r="A55" s="410"/>
      <c r="B55" s="422"/>
      <c r="C55" s="1451" t="s">
        <v>48</v>
      </c>
      <c r="D55" s="2771">
        <f>SUM(D56:D59)</f>
        <v>0</v>
      </c>
      <c r="E55" s="1464">
        <f>SUM(E56:E59)</f>
        <v>0</v>
      </c>
      <c r="F55" s="1462">
        <f>SUM(D55:E55)</f>
        <v>0</v>
      </c>
    </row>
    <row r="56" spans="1:6" ht="13.5" customHeight="1">
      <c r="A56" s="410"/>
      <c r="B56" s="422"/>
      <c r="C56" s="1608"/>
      <c r="D56" s="2778"/>
      <c r="E56" s="1504"/>
      <c r="F56" s="1438">
        <f>SUM(D56:E56)</f>
        <v>0</v>
      </c>
    </row>
    <row r="57" spans="1:6" ht="13.5" customHeight="1">
      <c r="A57" s="410"/>
      <c r="B57" s="422"/>
      <c r="C57" s="1608"/>
      <c r="D57" s="2778"/>
      <c r="E57" s="1504"/>
      <c r="F57" s="1438">
        <f>SUM(D57:E57)</f>
        <v>0</v>
      </c>
    </row>
    <row r="58" spans="1:6" ht="13.5" customHeight="1">
      <c r="A58" s="410"/>
      <c r="B58" s="422"/>
      <c r="C58" s="1423"/>
      <c r="D58" s="2778"/>
      <c r="E58" s="1504"/>
      <c r="F58" s="1438">
        <v>0</v>
      </c>
    </row>
    <row r="59" spans="1:6" ht="13.5" customHeight="1">
      <c r="A59" s="410"/>
      <c r="B59" s="422"/>
      <c r="C59" s="1423"/>
      <c r="D59" s="2778"/>
      <c r="E59" s="1504"/>
      <c r="F59" s="1438">
        <v>0</v>
      </c>
    </row>
    <row r="60" spans="1:6" s="1605" customFormat="1" ht="13.5" customHeight="1">
      <c r="A60" s="1606"/>
      <c r="B60" s="1606"/>
      <c r="C60" s="1488"/>
      <c r="D60" s="2779"/>
      <c r="E60" s="1490"/>
      <c r="F60" s="1493"/>
    </row>
    <row r="61" spans="1:6" ht="13.5" customHeight="1">
      <c r="A61" s="410"/>
      <c r="B61" s="422"/>
      <c r="C61" s="1451" t="s">
        <v>49</v>
      </c>
      <c r="D61" s="2771">
        <f>SUM(D62:D66)</f>
        <v>61111</v>
      </c>
      <c r="E61" s="1464">
        <f>SUM(E62:E66)</f>
        <v>61111</v>
      </c>
      <c r="F61" s="1462">
        <f t="shared" ref="F61:F65" si="2">SUM(D61:E61)</f>
        <v>122222</v>
      </c>
    </row>
    <row r="62" spans="1:6" ht="13.5" customHeight="1">
      <c r="A62" s="410"/>
      <c r="C62" s="3616" t="s">
        <v>714</v>
      </c>
      <c r="D62" s="2778">
        <v>61111</v>
      </c>
      <c r="E62" s="1672">
        <v>61111</v>
      </c>
      <c r="F62" s="1438">
        <f t="shared" si="2"/>
        <v>122222</v>
      </c>
    </row>
    <row r="63" spans="1:6">
      <c r="C63" s="3617"/>
      <c r="D63" s="2778"/>
      <c r="E63" s="1672"/>
      <c r="F63" s="1610">
        <f t="shared" si="2"/>
        <v>0</v>
      </c>
    </row>
    <row r="64" spans="1:6">
      <c r="B64"/>
      <c r="C64" s="3618"/>
      <c r="D64" s="2778"/>
      <c r="E64" s="1672"/>
      <c r="F64" s="1661">
        <f t="shared" si="2"/>
        <v>0</v>
      </c>
    </row>
    <row r="65" spans="2:6">
      <c r="B65"/>
      <c r="C65" s="1604"/>
      <c r="D65" s="2778"/>
      <c r="E65" s="1520"/>
      <c r="F65" s="1661">
        <f t="shared" si="2"/>
        <v>0</v>
      </c>
    </row>
    <row r="66" spans="2:6">
      <c r="B66"/>
      <c r="C66" s="1423"/>
      <c r="D66" s="2778"/>
      <c r="E66" s="1520"/>
      <c r="F66" s="1438">
        <v>0</v>
      </c>
    </row>
    <row r="67" spans="2:6">
      <c r="B67"/>
      <c r="C67" s="1488"/>
      <c r="D67" s="2779"/>
      <c r="E67" s="1490"/>
      <c r="F67" s="1493"/>
    </row>
    <row r="68" spans="2:6">
      <c r="B68"/>
      <c r="C68" s="1451"/>
      <c r="D68" s="2771"/>
      <c r="E68" s="1464"/>
      <c r="F68" s="1462"/>
    </row>
    <row r="69" spans="2:6">
      <c r="C69" s="1500"/>
      <c r="D69" s="2781"/>
      <c r="E69" s="1496"/>
      <c r="F69" s="1499"/>
    </row>
    <row r="70" spans="2:6">
      <c r="C70" s="1501"/>
      <c r="D70" s="2782"/>
      <c r="E70" s="1497"/>
      <c r="F70" s="1498"/>
    </row>
    <row r="71" spans="2:6">
      <c r="C71" s="1494"/>
      <c r="D71" s="2778"/>
      <c r="E71" s="1503"/>
      <c r="F71" s="1491"/>
    </row>
  </sheetData>
  <customSheetViews>
    <customSheetView guid="{D9EFFE19-D14B-4C6F-BDF4-FF696F73968D}" showGridLines="0" fitToPage="1">
      <pane xSplit="1" ySplit="1" topLeftCell="I2" activePane="bottomRight" state="frozen"/>
      <selection pane="bottomRight" activeCell="E31" sqref="E31"/>
      <pageMargins left="0.21" right="0.32" top="0.38" bottom="0.39" header="0.3" footer="0.3"/>
      <pageSetup paperSize="17" scale="63" orientation="landscape" r:id="rId1"/>
    </customSheetView>
    <customSheetView guid="{074EB09C-6289-46D7-9513-012B68BCA7BF}" showGridLines="0" fitToPage="1">
      <pane xSplit="1" ySplit="1" topLeftCell="B17" activePane="bottomRight" state="frozen"/>
      <selection pane="bottomRight" activeCell="G4" sqref="G4:G6"/>
      <pageMargins left="0.21" right="0.32" top="0.38" bottom="0.39" header="0.3" footer="0.3"/>
      <pageSetup paperSize="17" scale="63" orientation="landscape" r:id="rId2"/>
    </customSheetView>
  </customSheetViews>
  <mergeCells count="1">
    <mergeCell ref="C62:C64"/>
  </mergeCells>
  <pageMargins left="0.21" right="0.32" top="0.38" bottom="0.39" header="0.3" footer="0.3"/>
  <pageSetup paperSize="3" scale="59" orientation="landscape" r:id="rId3"/>
  <drawing r:id="rId4"/>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B1A0C7"/>
  </sheetPr>
  <dimension ref="A1:R70"/>
  <sheetViews>
    <sheetView showGridLines="0" workbookViewId="0">
      <pane xSplit="1" ySplit="1" topLeftCell="B2" activePane="bottomRight" state="frozen"/>
      <selection pane="topRight" activeCell="B1" sqref="B1"/>
      <selection pane="bottomLeft" activeCell="A2" sqref="A2"/>
      <selection pane="bottomRight" activeCell="G39" sqref="G39"/>
    </sheetView>
  </sheetViews>
  <sheetFormatPr defaultColWidth="34.85546875" defaultRowHeight="12.75"/>
  <cols>
    <col min="1" max="1" width="18.140625" style="1652" customWidth="1"/>
    <col min="2" max="2" width="16" style="1652" customWidth="1"/>
    <col min="3" max="3" width="30.28515625" style="1652" customWidth="1"/>
    <col min="4" max="5" width="20" style="1652" customWidth="1"/>
    <col min="6" max="6" width="24.42578125" style="1652" customWidth="1"/>
    <col min="7" max="9" width="20.7109375" style="1652" customWidth="1"/>
    <col min="10" max="11" width="18.85546875" style="1652" customWidth="1"/>
    <col min="12" max="13" width="16.42578125" style="1652" customWidth="1"/>
    <col min="14" max="14" width="17.140625" style="1652" customWidth="1"/>
    <col min="15" max="15" width="20.140625" style="1652" customWidth="1"/>
    <col min="16" max="16" width="18.85546875" style="1652" customWidth="1"/>
    <col min="17" max="17" width="21.28515625" style="1652" customWidth="1"/>
    <col min="18" max="18" width="18.7109375" style="1652" customWidth="1"/>
    <col min="19" max="16384" width="34.85546875" style="1652"/>
  </cols>
  <sheetData>
    <row r="1" spans="1:18" ht="58.5" customHeight="1">
      <c r="D1" s="2148" t="s">
        <v>651</v>
      </c>
      <c r="E1" s="1366" t="s">
        <v>22</v>
      </c>
      <c r="F1" s="1428">
        <v>18230746</v>
      </c>
      <c r="G1" s="1366" t="s">
        <v>4</v>
      </c>
      <c r="M1" s="2148" t="s">
        <v>651</v>
      </c>
      <c r="N1" s="1366" t="s">
        <v>22</v>
      </c>
      <c r="O1" s="1428">
        <v>18230746</v>
      </c>
      <c r="P1" s="1428"/>
      <c r="Q1" s="1366" t="s">
        <v>4</v>
      </c>
    </row>
    <row r="2" spans="1:18" ht="16.5" thickBot="1">
      <c r="A2" s="1579"/>
      <c r="B2" s="1579"/>
      <c r="D2" s="414"/>
      <c r="E2" s="414"/>
      <c r="F2" s="414"/>
      <c r="G2" s="1354"/>
      <c r="H2" s="1178" t="s">
        <v>647</v>
      </c>
      <c r="I2" s="1354"/>
      <c r="J2" s="1354"/>
      <c r="K2" s="1354"/>
      <c r="L2" s="1354"/>
      <c r="M2" s="1354"/>
      <c r="N2" s="1354"/>
      <c r="O2" s="1354"/>
      <c r="P2" s="1354"/>
      <c r="Q2" s="2147"/>
      <c r="R2" s="1354"/>
    </row>
    <row r="3" spans="1:18" ht="26.25" thickBot="1">
      <c r="A3" s="2149" t="s">
        <v>651</v>
      </c>
      <c r="B3" s="1364"/>
      <c r="D3" s="419"/>
      <c r="E3" s="419"/>
      <c r="F3" s="419"/>
      <c r="G3" s="1354"/>
      <c r="H3" s="1181" t="s">
        <v>7</v>
      </c>
      <c r="I3" s="2642" t="s">
        <v>8</v>
      </c>
      <c r="J3" s="2642" t="s">
        <v>9</v>
      </c>
      <c r="K3" s="2642" t="s">
        <v>10</v>
      </c>
      <c r="L3" s="2643" t="s">
        <v>482</v>
      </c>
      <c r="M3" s="2642" t="s">
        <v>11</v>
      </c>
      <c r="N3" s="2642" t="s">
        <v>12</v>
      </c>
      <c r="O3" s="2642" t="s">
        <v>13</v>
      </c>
      <c r="P3" s="2642" t="s">
        <v>14</v>
      </c>
      <c r="Q3" s="2761" t="s">
        <v>36</v>
      </c>
      <c r="R3" s="1182" t="s">
        <v>15</v>
      </c>
    </row>
    <row r="4" spans="1:18" ht="16.5" thickBot="1">
      <c r="A4" s="1515" t="s">
        <v>22</v>
      </c>
      <c r="B4" s="1364"/>
      <c r="C4" s="1579"/>
      <c r="D4" s="1579"/>
      <c r="E4" s="1579"/>
      <c r="F4" s="1579"/>
      <c r="G4" s="2946" t="s">
        <v>1726</v>
      </c>
      <c r="H4" s="2959">
        <f>D15</f>
        <v>150270.88</v>
      </c>
      <c r="I4" s="2960">
        <f>D21</f>
        <v>4000</v>
      </c>
      <c r="J4" s="2960">
        <f>D27</f>
        <v>102898.67696000001</v>
      </c>
      <c r="K4" s="2960">
        <f>D37</f>
        <v>14000</v>
      </c>
      <c r="L4" s="2960">
        <f>D43</f>
        <v>5000</v>
      </c>
      <c r="M4" s="2960">
        <f>D49</f>
        <v>16000</v>
      </c>
      <c r="N4" s="2960">
        <f>D55</f>
        <v>1500</v>
      </c>
      <c r="O4" s="2960">
        <f>D61</f>
        <v>0</v>
      </c>
      <c r="P4" s="2960">
        <v>0</v>
      </c>
      <c r="Q4" s="2960">
        <f>D70</f>
        <v>-311785.46000000002</v>
      </c>
      <c r="R4" s="2979">
        <f>SUM(H4:Q4)</f>
        <v>-18115.903040000005</v>
      </c>
    </row>
    <row r="5" spans="1:18" ht="15.75">
      <c r="A5" s="1428">
        <v>18230746</v>
      </c>
      <c r="G5" s="3205" t="s">
        <v>1753</v>
      </c>
      <c r="H5" s="2617">
        <v>154055.5</v>
      </c>
      <c r="I5" s="2618">
        <v>4100</v>
      </c>
      <c r="J5" s="2618">
        <v>107545.74</v>
      </c>
      <c r="K5" s="2618">
        <v>14000</v>
      </c>
      <c r="L5" s="2618">
        <v>5000</v>
      </c>
      <c r="M5" s="2618">
        <v>16000</v>
      </c>
      <c r="N5" s="2618">
        <v>1500</v>
      </c>
      <c r="O5" s="2618">
        <v>0</v>
      </c>
      <c r="P5" s="2618">
        <v>0</v>
      </c>
      <c r="Q5" s="2618">
        <v>-311785.46000000002</v>
      </c>
      <c r="R5" s="2735">
        <v>-9584.2200000000303</v>
      </c>
    </row>
    <row r="6" spans="1:18" ht="16.5" thickBot="1">
      <c r="A6" s="1515" t="s">
        <v>4</v>
      </c>
      <c r="B6" s="1428"/>
      <c r="C6" s="1352"/>
      <c r="D6" s="1579"/>
      <c r="E6" s="1579"/>
      <c r="F6" s="1579"/>
      <c r="G6" s="3206" t="s">
        <v>1754</v>
      </c>
      <c r="H6" s="2621">
        <f>E15</f>
        <v>138603.51999999999</v>
      </c>
      <c r="I6" s="2622">
        <f>E21</f>
        <v>4100</v>
      </c>
      <c r="J6" s="2623">
        <f>E27</f>
        <v>128147.76095999999</v>
      </c>
      <c r="K6" s="2622">
        <f>E37</f>
        <v>25000</v>
      </c>
      <c r="L6" s="2622">
        <f>E43</f>
        <v>5000</v>
      </c>
      <c r="M6" s="2622">
        <f>E49</f>
        <v>20000</v>
      </c>
      <c r="N6" s="2622">
        <f>E55</f>
        <v>1500</v>
      </c>
      <c r="O6" s="2622">
        <f>E61</f>
        <v>0</v>
      </c>
      <c r="P6" s="2622">
        <v>0</v>
      </c>
      <c r="Q6" s="2622">
        <f>E70</f>
        <v>-326785.46000000002</v>
      </c>
      <c r="R6" s="2760">
        <f>SUM(H6:Q6)</f>
        <v>-4434.1790400000173</v>
      </c>
    </row>
    <row r="7" spans="1:18" ht="15.75">
      <c r="B7" s="1363"/>
      <c r="C7" s="418"/>
      <c r="D7" s="418"/>
      <c r="E7" s="418"/>
      <c r="F7" s="418"/>
      <c r="G7" s="2688"/>
      <c r="H7" s="2607"/>
      <c r="I7" s="2607"/>
      <c r="J7" s="2607"/>
      <c r="K7" s="2607"/>
      <c r="L7" s="2607"/>
      <c r="M7" s="2607"/>
      <c r="N7" s="2607"/>
      <c r="O7" s="2607"/>
      <c r="P7" s="2607"/>
      <c r="Q7" s="2607"/>
      <c r="R7" s="2607"/>
    </row>
    <row r="8" spans="1:18" ht="25.5">
      <c r="B8" s="1364"/>
      <c r="C8" s="418"/>
      <c r="D8" s="418"/>
      <c r="E8" s="415"/>
      <c r="F8" s="1335"/>
      <c r="G8" s="1579"/>
      <c r="H8" s="1579"/>
      <c r="I8" s="1579"/>
      <c r="J8" s="1579"/>
      <c r="K8" s="1579"/>
      <c r="L8" s="1579"/>
      <c r="M8" s="1579"/>
      <c r="O8" s="1579"/>
      <c r="P8" s="1606" t="s">
        <v>17</v>
      </c>
      <c r="Q8" s="1606" t="s">
        <v>17</v>
      </c>
    </row>
    <row r="9" spans="1:18">
      <c r="A9" s="1363"/>
      <c r="B9" s="1363"/>
      <c r="C9" s="418"/>
      <c r="D9" s="418"/>
      <c r="E9" s="415"/>
      <c r="F9" s="1335"/>
      <c r="G9" s="1579"/>
      <c r="H9" s="1579"/>
      <c r="I9" s="1579"/>
      <c r="J9" s="1579"/>
      <c r="K9" s="1579"/>
      <c r="L9" s="1579"/>
      <c r="M9" s="1579"/>
      <c r="O9" s="1579"/>
      <c r="P9" s="1606" t="s">
        <v>18</v>
      </c>
      <c r="Q9" s="1606" t="s">
        <v>18</v>
      </c>
    </row>
    <row r="10" spans="1:18">
      <c r="A10" s="1370"/>
      <c r="B10" s="1370"/>
      <c r="C10" s="1454" t="s">
        <v>310</v>
      </c>
      <c r="D10" s="1454"/>
      <c r="E10" s="1454"/>
      <c r="F10" s="1454"/>
    </row>
    <row r="11" spans="1:18">
      <c r="A11" s="1370"/>
      <c r="B11" s="1370"/>
      <c r="E11" s="1663"/>
    </row>
    <row r="12" spans="1:18">
      <c r="A12" s="1370"/>
      <c r="B12" s="1606"/>
      <c r="C12" s="1434" t="s">
        <v>298</v>
      </c>
      <c r="D12" s="2766">
        <f>D15+D21+D27+D37+D43+D49+D55+D61+D67+D70</f>
        <v>-18115.903040000005</v>
      </c>
      <c r="E12" s="1484">
        <f>E15+E21+E27+E37+E43+E49+E55+E61+E67+E70</f>
        <v>-4434.1790400000173</v>
      </c>
      <c r="F12" s="1638">
        <f>D12+E12</f>
        <v>-22550.082080000022</v>
      </c>
    </row>
    <row r="13" spans="1:18" ht="13.5" customHeight="1">
      <c r="A13" s="1606"/>
      <c r="B13" s="423"/>
      <c r="C13" s="1483"/>
      <c r="D13" s="2767"/>
      <c r="E13" s="1336"/>
      <c r="G13" s="1087"/>
      <c r="H13" s="1087"/>
      <c r="I13" s="1579"/>
      <c r="J13" s="1579"/>
      <c r="K13" s="1579"/>
      <c r="L13" s="1579"/>
      <c r="M13" s="1579"/>
      <c r="N13" s="1579"/>
      <c r="O13" s="1579"/>
      <c r="P13" s="1579"/>
      <c r="Q13" s="1579"/>
    </row>
    <row r="14" spans="1:18" ht="13.5" customHeight="1">
      <c r="A14" s="423"/>
      <c r="B14" s="423"/>
      <c r="C14" s="1435" t="s">
        <v>42</v>
      </c>
      <c r="D14" s="2768">
        <v>2016</v>
      </c>
      <c r="E14" s="1502">
        <v>2017</v>
      </c>
      <c r="F14" s="1486" t="s">
        <v>20</v>
      </c>
      <c r="G14" s="424"/>
      <c r="H14" s="424"/>
      <c r="I14" s="418"/>
      <c r="J14" s="418"/>
      <c r="K14" s="418"/>
      <c r="L14" s="418"/>
      <c r="M14" s="418"/>
      <c r="N14" s="418"/>
      <c r="O14" s="418"/>
      <c r="P14" s="418"/>
      <c r="Q14" s="418"/>
    </row>
    <row r="15" spans="1:18" ht="13.5" customHeight="1">
      <c r="A15" s="423"/>
      <c r="B15" s="1433" t="s">
        <v>296</v>
      </c>
      <c r="C15" s="1597" t="s">
        <v>43</v>
      </c>
      <c r="D15" s="2771">
        <f>SUM(D16:D19)</f>
        <v>150270.88</v>
      </c>
      <c r="E15" s="1464">
        <f>SUM(E16:E19)</f>
        <v>138603.51999999999</v>
      </c>
      <c r="F15" s="1638">
        <f t="shared" ref="F15:F21" si="0">SUM(D15:E15)</f>
        <v>288874.40000000002</v>
      </c>
      <c r="G15" s="424"/>
      <c r="H15" s="424"/>
      <c r="I15" s="418"/>
      <c r="J15" s="418"/>
      <c r="K15" s="418"/>
      <c r="L15" s="418"/>
      <c r="M15" s="418"/>
      <c r="N15" s="418"/>
      <c r="O15" s="418"/>
      <c r="P15" s="418"/>
      <c r="Q15" s="418"/>
    </row>
    <row r="16" spans="1:18" ht="13.5" customHeight="1">
      <c r="A16" s="1606"/>
      <c r="B16" s="1982">
        <v>0.5</v>
      </c>
      <c r="C16" s="1667" t="s">
        <v>735</v>
      </c>
      <c r="D16" s="2772">
        <v>45316.5</v>
      </c>
      <c r="E16" s="1669">
        <v>38875</v>
      </c>
      <c r="F16" s="1426">
        <f t="shared" si="0"/>
        <v>84191.5</v>
      </c>
      <c r="G16" s="1579"/>
      <c r="H16" s="1579"/>
    </row>
    <row r="17" spans="1:8" ht="13.5" customHeight="1">
      <c r="A17" s="1606"/>
      <c r="B17" s="1982">
        <v>0.5</v>
      </c>
      <c r="C17" s="1667" t="s">
        <v>736</v>
      </c>
      <c r="D17" s="2784">
        <v>45316.5</v>
      </c>
      <c r="E17" s="1668">
        <v>38875</v>
      </c>
      <c r="F17" s="1661">
        <f t="shared" si="0"/>
        <v>84191.5</v>
      </c>
      <c r="G17" s="1579"/>
      <c r="H17" s="1579"/>
    </row>
    <row r="18" spans="1:8" ht="13.5" customHeight="1">
      <c r="A18" s="1606"/>
      <c r="B18" s="1982">
        <v>0.02</v>
      </c>
      <c r="C18" s="1667" t="s">
        <v>734</v>
      </c>
      <c r="D18" s="2784">
        <v>1812.66</v>
      </c>
      <c r="E18" s="1668">
        <v>1555</v>
      </c>
      <c r="F18" s="1661">
        <f t="shared" si="0"/>
        <v>3367.66</v>
      </c>
      <c r="G18" s="1579"/>
      <c r="H18" s="1579"/>
    </row>
    <row r="19" spans="1:8" ht="13.5" customHeight="1">
      <c r="A19" s="1606"/>
      <c r="B19" s="1982">
        <v>1</v>
      </c>
      <c r="C19" s="1667" t="s">
        <v>1590</v>
      </c>
      <c r="D19" s="2784">
        <v>57825.22</v>
      </c>
      <c r="E19" s="1668">
        <v>59298.52</v>
      </c>
      <c r="F19" s="1661">
        <f t="shared" si="0"/>
        <v>117123.73999999999</v>
      </c>
      <c r="G19" s="1579"/>
      <c r="H19" s="1579"/>
    </row>
    <row r="20" spans="1:8" ht="13.5" customHeight="1">
      <c r="A20" s="1606"/>
      <c r="B20" s="1449">
        <f>SUM(B16:B19)</f>
        <v>2.02</v>
      </c>
      <c r="C20" s="1488"/>
      <c r="D20" s="2770"/>
      <c r="E20" s="1490"/>
      <c r="F20" s="1492"/>
      <c r="G20" s="1579"/>
      <c r="H20" s="1579"/>
    </row>
    <row r="21" spans="1:8" ht="13.5" customHeight="1">
      <c r="A21" s="1606"/>
      <c r="B21" s="1606"/>
      <c r="C21" s="1597" t="s">
        <v>44</v>
      </c>
      <c r="D21" s="2771">
        <f>SUM(D22:D25)</f>
        <v>4000</v>
      </c>
      <c r="E21" s="1464">
        <f>SUM(E22:E25)</f>
        <v>4100</v>
      </c>
      <c r="F21" s="1638">
        <f t="shared" si="0"/>
        <v>8100</v>
      </c>
      <c r="G21" s="420" t="s">
        <v>6</v>
      </c>
      <c r="H21" s="1579"/>
    </row>
    <row r="22" spans="1:8" ht="13.5" customHeight="1">
      <c r="A22" s="1606"/>
      <c r="B22" s="1606"/>
      <c r="C22" s="1667" t="s">
        <v>1428</v>
      </c>
      <c r="D22" s="2796">
        <v>4000</v>
      </c>
      <c r="E22" s="2262">
        <v>4100</v>
      </c>
      <c r="F22" s="1426">
        <v>0</v>
      </c>
      <c r="G22" s="421"/>
      <c r="H22" s="1579"/>
    </row>
    <row r="23" spans="1:8" ht="13.5" customHeight="1">
      <c r="A23" s="1606"/>
      <c r="B23" s="1606"/>
      <c r="C23" s="1667"/>
      <c r="D23" s="2773"/>
      <c r="E23" s="1444"/>
      <c r="F23" s="1661">
        <v>0</v>
      </c>
      <c r="G23" s="1579"/>
      <c r="H23" s="1579"/>
    </row>
    <row r="24" spans="1:8" ht="13.5" customHeight="1">
      <c r="A24" s="1606"/>
      <c r="B24" s="423"/>
      <c r="C24" s="1667"/>
      <c r="D24" s="2774"/>
      <c r="E24" s="1443"/>
      <c r="F24" s="1661">
        <v>0</v>
      </c>
      <c r="G24" s="1579"/>
      <c r="H24" s="1579"/>
    </row>
    <row r="25" spans="1:8" ht="13.5" customHeight="1">
      <c r="A25" s="423"/>
      <c r="B25" s="1606"/>
      <c r="C25" s="1667"/>
      <c r="D25" s="2775"/>
      <c r="E25" s="1444"/>
      <c r="F25" s="1661">
        <v>0</v>
      </c>
      <c r="G25" s="418"/>
      <c r="H25" s="418"/>
    </row>
    <row r="26" spans="1:8" ht="13.5" customHeight="1">
      <c r="A26" s="1606"/>
      <c r="B26" s="423"/>
      <c r="C26" s="1424"/>
      <c r="D26" s="2776"/>
      <c r="E26" s="1431"/>
      <c r="F26" s="1439"/>
      <c r="G26" s="1579"/>
      <c r="H26" s="1579"/>
    </row>
    <row r="27" spans="1:8" ht="13.5" customHeight="1">
      <c r="A27" s="423"/>
      <c r="B27" s="1606"/>
      <c r="C27" s="1597" t="s">
        <v>45</v>
      </c>
      <c r="D27" s="2780">
        <f>SUM(D29:D35)</f>
        <v>102898.67696000001</v>
      </c>
      <c r="E27" s="1657">
        <f>SUM(E29:E31)+SUM(E33:E35)</f>
        <v>128147.76095999999</v>
      </c>
      <c r="F27" s="1638">
        <f>SUM(F29:F35)</f>
        <v>231046.43792</v>
      </c>
      <c r="G27" s="418"/>
      <c r="H27" s="418"/>
    </row>
    <row r="28" spans="1:8" ht="13.5" customHeight="1">
      <c r="A28" s="1606"/>
      <c r="B28" s="1606"/>
      <c r="C28" s="1450" t="s">
        <v>1733</v>
      </c>
      <c r="D28" s="2777">
        <v>0.66700000000000004</v>
      </c>
      <c r="E28" s="1452">
        <v>0.68799999999999994</v>
      </c>
      <c r="F28" s="1485"/>
      <c r="G28" s="1579"/>
      <c r="H28" s="1579"/>
    </row>
    <row r="29" spans="1:8" ht="13.5" customHeight="1">
      <c r="A29" s="1606"/>
      <c r="B29" s="1606"/>
      <c r="C29" s="1667" t="s">
        <v>719</v>
      </c>
      <c r="D29" s="2778">
        <f>D15*D28</f>
        <v>100230.67696000001</v>
      </c>
      <c r="E29" s="1641">
        <f>E15*E28</f>
        <v>95359.221759999986</v>
      </c>
      <c r="F29" s="1661">
        <f>SUM(D29:E29)</f>
        <v>195589.89872</v>
      </c>
      <c r="G29" s="1579"/>
      <c r="H29" s="1579"/>
    </row>
    <row r="30" spans="1:8" ht="13.5" customHeight="1">
      <c r="A30" s="1606"/>
      <c r="B30" s="1606"/>
      <c r="C30" s="1667" t="s">
        <v>720</v>
      </c>
      <c r="D30" s="2785">
        <f>D21*D28</f>
        <v>2668</v>
      </c>
      <c r="E30" s="1641">
        <f>E21*E28</f>
        <v>2820.7999999999997</v>
      </c>
      <c r="F30" s="1661">
        <f>SUM(D30:E30)</f>
        <v>5488.7999999999993</v>
      </c>
      <c r="G30" s="1579"/>
      <c r="H30" s="1579"/>
    </row>
    <row r="31" spans="1:8" ht="13.5" customHeight="1">
      <c r="A31" s="1606"/>
      <c r="B31" s="1606"/>
      <c r="C31" s="1667"/>
      <c r="D31" s="2774"/>
      <c r="E31" s="1443"/>
      <c r="F31" s="1436"/>
      <c r="G31" s="1579"/>
      <c r="H31" s="1579"/>
    </row>
    <row r="32" spans="1:8" ht="13.5" customHeight="1">
      <c r="A32" s="1606"/>
      <c r="B32" s="1606"/>
      <c r="C32" s="1450" t="s">
        <v>1734</v>
      </c>
      <c r="D32" s="2777"/>
      <c r="E32" s="1452">
        <v>0.21</v>
      </c>
      <c r="F32" s="1485"/>
      <c r="G32" s="1579"/>
    </row>
    <row r="33" spans="1:7" ht="13.5" customHeight="1">
      <c r="A33" s="1606"/>
      <c r="B33" s="1350"/>
      <c r="C33" s="1667" t="s">
        <v>719</v>
      </c>
      <c r="D33" s="2778"/>
      <c r="E33" s="1641">
        <f>E15*E32</f>
        <v>29106.739199999996</v>
      </c>
      <c r="F33" s="1661">
        <f>SUM(D33:E33)</f>
        <v>29106.739199999996</v>
      </c>
      <c r="G33" s="1579"/>
    </row>
    <row r="34" spans="1:7" ht="27" customHeight="1">
      <c r="A34" s="2149" t="s">
        <v>651</v>
      </c>
      <c r="B34" s="1606"/>
      <c r="C34" s="1667" t="s">
        <v>720</v>
      </c>
      <c r="D34" s="2785"/>
      <c r="E34" s="1641">
        <f>E21*E32</f>
        <v>861</v>
      </c>
      <c r="F34" s="1661">
        <f t="shared" ref="F34" si="1">SUM(D34:E34)</f>
        <v>861</v>
      </c>
      <c r="G34" s="417"/>
    </row>
    <row r="35" spans="1:7" ht="13.5" customHeight="1">
      <c r="A35" s="1515" t="s">
        <v>22</v>
      </c>
      <c r="B35" s="423"/>
      <c r="C35" s="1445"/>
      <c r="D35" s="2775"/>
      <c r="E35" s="1444"/>
      <c r="F35" s="1437"/>
      <c r="G35" s="1579"/>
    </row>
    <row r="36" spans="1:7" ht="13.5" customHeight="1">
      <c r="A36" s="1428">
        <v>18230746</v>
      </c>
      <c r="B36" s="1606"/>
      <c r="C36" s="1488"/>
      <c r="D36" s="2779"/>
      <c r="E36" s="1490"/>
      <c r="F36" s="1493"/>
      <c r="G36" s="418"/>
    </row>
    <row r="37" spans="1:7" ht="13.5" customHeight="1">
      <c r="A37" s="1515" t="s">
        <v>4</v>
      </c>
      <c r="B37" s="1606"/>
      <c r="C37" s="1597" t="s">
        <v>46</v>
      </c>
      <c r="D37" s="2780">
        <f>SUM(D38:D41)</f>
        <v>14000</v>
      </c>
      <c r="E37" s="1657">
        <f>SUM(E38:E41)</f>
        <v>25000</v>
      </c>
      <c r="F37" s="1638">
        <f>SUM(D37:E37)</f>
        <v>39000</v>
      </c>
      <c r="G37" s="1579"/>
    </row>
    <row r="38" spans="1:7" ht="13.5" customHeight="1">
      <c r="A38" s="1606"/>
      <c r="B38" s="1606"/>
      <c r="C38" s="1667"/>
      <c r="D38" s="2778">
        <v>14000</v>
      </c>
      <c r="E38" s="1672">
        <v>25000</v>
      </c>
      <c r="F38" s="1661">
        <f>D38+E38</f>
        <v>39000</v>
      </c>
      <c r="G38" s="1579"/>
    </row>
    <row r="39" spans="1:7" ht="13.5" customHeight="1">
      <c r="A39" s="1606"/>
      <c r="B39" s="1606"/>
      <c r="C39" s="1667"/>
      <c r="D39" s="2778"/>
      <c r="E39" s="1672"/>
      <c r="F39" s="1661">
        <f>D39+E39</f>
        <v>0</v>
      </c>
      <c r="G39" s="1579"/>
    </row>
    <row r="40" spans="1:7" ht="13.5" customHeight="1">
      <c r="A40" s="1606"/>
      <c r="B40" s="1606"/>
      <c r="C40" s="1667"/>
      <c r="D40" s="2778"/>
      <c r="E40" s="1672"/>
      <c r="F40" s="1661">
        <f t="shared" ref="F40:F41" si="2">D40+E40</f>
        <v>0</v>
      </c>
      <c r="G40" s="1579"/>
    </row>
    <row r="41" spans="1:7" ht="13.5" customHeight="1">
      <c r="A41" s="1606"/>
      <c r="B41" s="1606"/>
      <c r="C41" s="1667"/>
      <c r="D41" s="2778"/>
      <c r="E41" s="1672"/>
      <c r="F41" s="1661">
        <f t="shared" si="2"/>
        <v>0</v>
      </c>
      <c r="G41" s="1579"/>
    </row>
    <row r="42" spans="1:7" ht="13.5" customHeight="1">
      <c r="A42" s="1606"/>
      <c r="B42" s="1606"/>
      <c r="C42" s="1488"/>
      <c r="D42" s="2779"/>
      <c r="E42" s="1490"/>
      <c r="F42" s="1493"/>
      <c r="G42" s="1579"/>
    </row>
    <row r="43" spans="1:7" ht="13.5" customHeight="1">
      <c r="A43" s="1606"/>
      <c r="B43" s="1606"/>
      <c r="C43" s="1597" t="s">
        <v>483</v>
      </c>
      <c r="D43" s="2771">
        <f>SUM(D44:D47)</f>
        <v>5000</v>
      </c>
      <c r="E43" s="1464">
        <f>SUM(E44:E47)</f>
        <v>5000</v>
      </c>
      <c r="F43" s="1638">
        <f>SUM(D43:E43)</f>
        <v>10000</v>
      </c>
      <c r="G43" s="1579"/>
    </row>
    <row r="44" spans="1:7" ht="13.5" customHeight="1">
      <c r="A44" s="1606"/>
      <c r="B44" s="1606"/>
      <c r="C44" s="1667"/>
      <c r="D44" s="2778">
        <v>5000</v>
      </c>
      <c r="E44" s="1672">
        <v>5000</v>
      </c>
      <c r="F44" s="1661">
        <f>SUM(D44:E44)</f>
        <v>10000</v>
      </c>
      <c r="G44" s="1579"/>
    </row>
    <row r="45" spans="1:7" ht="13.5" customHeight="1">
      <c r="A45" s="1606"/>
      <c r="B45" s="1606"/>
      <c r="C45" s="1667"/>
      <c r="D45" s="2778"/>
      <c r="E45" s="1672"/>
      <c r="F45" s="1661">
        <v>0</v>
      </c>
      <c r="G45" s="1579"/>
    </row>
    <row r="46" spans="1:7" ht="13.5" customHeight="1">
      <c r="A46" s="1606"/>
      <c r="B46" s="1606"/>
      <c r="C46" s="1667"/>
      <c r="D46" s="2778"/>
      <c r="E46" s="1672"/>
      <c r="F46" s="1661">
        <v>0</v>
      </c>
      <c r="G46" s="1579"/>
    </row>
    <row r="47" spans="1:7" ht="13.5" customHeight="1">
      <c r="A47" s="1606"/>
      <c r="B47" s="1606"/>
      <c r="C47" s="1667"/>
      <c r="D47" s="2778"/>
      <c r="E47" s="1672"/>
      <c r="F47" s="1661">
        <v>0</v>
      </c>
      <c r="G47" s="1579"/>
    </row>
    <row r="48" spans="1:7" ht="13.5" customHeight="1">
      <c r="A48" s="1606"/>
      <c r="B48" s="1606"/>
      <c r="C48" s="1488"/>
      <c r="D48" s="2779"/>
      <c r="E48" s="1490"/>
      <c r="F48" s="1493"/>
    </row>
    <row r="49" spans="1:6" ht="13.5" customHeight="1">
      <c r="A49" s="1606"/>
      <c r="B49" s="1606"/>
      <c r="C49" s="1597" t="s">
        <v>47</v>
      </c>
      <c r="D49" s="2771">
        <f>SUM(D50:D53)</f>
        <v>16000</v>
      </c>
      <c r="E49" s="1464">
        <f>SUM(E50:E53)</f>
        <v>20000</v>
      </c>
      <c r="F49" s="1638">
        <f>SUM(D49:E49)</f>
        <v>36000</v>
      </c>
    </row>
    <row r="50" spans="1:6" ht="13.5" customHeight="1">
      <c r="A50" s="1606"/>
      <c r="B50" s="1606"/>
      <c r="C50" s="1667"/>
      <c r="D50" s="2778">
        <v>16000</v>
      </c>
      <c r="E50" s="1672">
        <v>20000</v>
      </c>
      <c r="F50" s="1661">
        <f>SUM(D50:E50)</f>
        <v>36000</v>
      </c>
    </row>
    <row r="51" spans="1:6" ht="13.5" customHeight="1">
      <c r="A51" s="1606"/>
      <c r="B51" s="1606"/>
      <c r="C51" s="1667"/>
      <c r="D51" s="2778"/>
      <c r="E51" s="1672"/>
      <c r="F51" s="1661">
        <f>SUM(D51:E51)</f>
        <v>0</v>
      </c>
    </row>
    <row r="52" spans="1:6" ht="13.5" customHeight="1">
      <c r="A52" s="1606"/>
      <c r="B52" s="1606"/>
      <c r="C52" s="1667"/>
      <c r="D52" s="2778"/>
      <c r="E52" s="1672"/>
      <c r="F52" s="1661">
        <v>0</v>
      </c>
    </row>
    <row r="53" spans="1:6" ht="13.5" customHeight="1">
      <c r="A53" s="1606"/>
      <c r="B53" s="1606"/>
      <c r="C53" s="1667"/>
      <c r="D53" s="2778"/>
      <c r="E53" s="1672"/>
      <c r="F53" s="1661">
        <v>0</v>
      </c>
    </row>
    <row r="54" spans="1:6" ht="13.5" customHeight="1">
      <c r="A54" s="1606"/>
      <c r="B54" s="1606"/>
      <c r="C54" s="1488"/>
      <c r="D54" s="2779"/>
      <c r="E54" s="1490"/>
      <c r="F54" s="1493"/>
    </row>
    <row r="55" spans="1:6" ht="13.5" customHeight="1">
      <c r="A55" s="1606"/>
      <c r="B55" s="1606"/>
      <c r="C55" s="1597" t="s">
        <v>48</v>
      </c>
      <c r="D55" s="2771">
        <f>SUM(D56:D59)</f>
        <v>1500</v>
      </c>
      <c r="E55" s="1464">
        <f>SUM(E56:E59)</f>
        <v>1500</v>
      </c>
      <c r="F55" s="1638">
        <f>SUM(D55:E55)</f>
        <v>3000</v>
      </c>
    </row>
    <row r="56" spans="1:6" ht="13.5" customHeight="1">
      <c r="A56" s="1606"/>
      <c r="B56" s="1606"/>
      <c r="C56" s="1667"/>
      <c r="D56" s="2778">
        <v>1500</v>
      </c>
      <c r="E56" s="1641">
        <v>1500</v>
      </c>
      <c r="F56" s="1661">
        <f>SUM(D56:E56)</f>
        <v>3000</v>
      </c>
    </row>
    <row r="57" spans="1:6" ht="13.5" customHeight="1">
      <c r="A57" s="1606"/>
      <c r="B57" s="1606"/>
      <c r="C57" s="1667"/>
      <c r="D57" s="2778"/>
      <c r="E57" s="1641"/>
      <c r="F57" s="1661">
        <f>SUM(D57:E57)</f>
        <v>0</v>
      </c>
    </row>
    <row r="58" spans="1:6" ht="13.5" customHeight="1">
      <c r="A58" s="1606"/>
      <c r="B58" s="1606"/>
      <c r="C58" s="1667"/>
      <c r="D58" s="2778"/>
      <c r="E58" s="1641"/>
      <c r="F58" s="1661">
        <v>0</v>
      </c>
    </row>
    <row r="59" spans="1:6" ht="13.5" customHeight="1">
      <c r="A59" s="1606"/>
      <c r="B59" s="1606"/>
      <c r="C59" s="1667"/>
      <c r="D59" s="2778"/>
      <c r="E59" s="1641"/>
      <c r="F59" s="1661">
        <v>0</v>
      </c>
    </row>
    <row r="60" spans="1:6" ht="13.5" customHeight="1">
      <c r="A60" s="1606"/>
      <c r="B60" s="1606"/>
      <c r="C60" s="1488"/>
      <c r="D60" s="2779"/>
      <c r="E60" s="1490"/>
      <c r="F60" s="1493"/>
    </row>
    <row r="61" spans="1:6" ht="13.5" customHeight="1">
      <c r="A61" s="1606"/>
      <c r="C61" s="1597" t="s">
        <v>49</v>
      </c>
      <c r="D61" s="2771">
        <f>SUM(D62:D65)</f>
        <v>0</v>
      </c>
      <c r="E61" s="1464">
        <f>SUM(E62:E65)</f>
        <v>0</v>
      </c>
      <c r="F61" s="1638">
        <f t="shared" ref="F61" si="3">SUM(D61:E61)</f>
        <v>0</v>
      </c>
    </row>
    <row r="62" spans="1:6">
      <c r="C62" s="1667"/>
      <c r="D62" s="2778"/>
      <c r="E62" s="1672"/>
      <c r="F62" s="1661"/>
    </row>
    <row r="63" spans="1:6">
      <c r="C63" s="1667"/>
      <c r="D63" s="2778"/>
      <c r="E63" s="1672"/>
      <c r="F63" s="1661"/>
    </row>
    <row r="64" spans="1:6">
      <c r="C64" s="1667"/>
      <c r="D64" s="2778"/>
      <c r="E64" s="1672"/>
      <c r="F64" s="1661"/>
    </row>
    <row r="65" spans="3:6">
      <c r="C65" s="1667"/>
      <c r="D65" s="2778"/>
      <c r="E65" s="1672"/>
      <c r="F65" s="1661"/>
    </row>
    <row r="66" spans="3:6">
      <c r="C66" s="1488"/>
      <c r="D66" s="2779"/>
      <c r="E66" s="1490"/>
      <c r="F66" s="1493"/>
    </row>
    <row r="67" spans="3:6">
      <c r="C67" s="1597" t="s">
        <v>14</v>
      </c>
      <c r="D67" s="2771"/>
      <c r="E67" s="1464"/>
      <c r="F67" s="1638"/>
    </row>
    <row r="68" spans="3:6">
      <c r="C68" s="1500"/>
      <c r="D68" s="2781"/>
      <c r="E68" s="1496"/>
      <c r="F68" s="1499"/>
    </row>
    <row r="69" spans="3:6">
      <c r="C69" s="1501"/>
      <c r="D69" s="2782"/>
      <c r="E69" s="1497"/>
      <c r="F69" s="1498"/>
    </row>
    <row r="70" spans="3:6">
      <c r="C70" s="2264" t="s">
        <v>1353</v>
      </c>
      <c r="D70" s="2797">
        <v>-311785.46000000002</v>
      </c>
      <c r="E70" s="2263">
        <v>-326785.46000000002</v>
      </c>
      <c r="F70" s="1491">
        <f>D70+E70</f>
        <v>-638570.92000000004</v>
      </c>
    </row>
  </sheetData>
  <customSheetViews>
    <customSheetView guid="{D9EFFE19-D14B-4C6F-BDF4-FF696F73968D}" showGridLines="0">
      <pane xSplit="1" ySplit="1" topLeftCell="B2" activePane="bottomRight" state="frozen"/>
      <selection pane="bottomRight" activeCell="D7" sqref="D7"/>
      <pageMargins left="0.7" right="0.7" top="0.75" bottom="0.75" header="0.3" footer="0.3"/>
    </customSheetView>
    <customSheetView guid="{074EB09C-6289-46D7-9513-012B68BCA7BF}" showGridLines="0">
      <pane xSplit="1" ySplit="1" topLeftCell="B2" activePane="bottomRight" state="frozen"/>
      <selection pane="bottomRight" activeCell="G4" sqref="G4:G6"/>
      <pageMargins left="0.7" right="0.2" top="0.75" bottom="0.75" header="0.3" footer="0.3"/>
      <pageSetup paperSize="17" scale="55" orientation="landscape" horizontalDpi="1200" verticalDpi="1200" r:id="rId1"/>
    </customSheetView>
  </customSheetViews>
  <pageMargins left="0.7" right="0.2" top="0.75" bottom="0.75" header="0.3" footer="0.3"/>
  <pageSetup paperSize="3" scale="55" orientation="landscape" horizontalDpi="1200" verticalDpi="1200" r:id="rId2"/>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249977111117893"/>
  </sheetPr>
  <dimension ref="A1:C6"/>
  <sheetViews>
    <sheetView showGridLines="0" workbookViewId="0">
      <selection activeCell="I11" sqref="I11"/>
    </sheetView>
  </sheetViews>
  <sheetFormatPr defaultRowHeight="12.75"/>
  <sheetData>
    <row r="1" spans="1:3">
      <c r="A1" t="s">
        <v>1</v>
      </c>
    </row>
    <row r="3" spans="1:3">
      <c r="B3" s="1652" t="s">
        <v>343</v>
      </c>
      <c r="C3" s="1652"/>
    </row>
    <row r="4" spans="1:3">
      <c r="B4" s="1652" t="s">
        <v>337</v>
      </c>
      <c r="C4" s="1652" t="s">
        <v>338</v>
      </c>
    </row>
    <row r="5" spans="1:3">
      <c r="B5" s="1652" t="s">
        <v>339</v>
      </c>
      <c r="C5" s="1652" t="s">
        <v>340</v>
      </c>
    </row>
    <row r="6" spans="1:3">
      <c r="B6" s="1652" t="s">
        <v>341</v>
      </c>
      <c r="C6" s="1652" t="s">
        <v>342</v>
      </c>
    </row>
  </sheetData>
  <customSheetViews>
    <customSheetView guid="{D9EFFE19-D14B-4C6F-BDF4-FF696F73968D}" showGridLines="0">
      <selection activeCell="I11" sqref="I11"/>
      <pageMargins left="0.7" right="0.7" top="0.75" bottom="0.75" header="0.3" footer="0.3"/>
      <pageSetup paperSize="3" orientation="landscape" r:id="rId1"/>
    </customSheetView>
    <customSheetView guid="{074EB09C-6289-46D7-9513-012B68BCA7BF}" showGridLines="0">
      <selection activeCell="I11" sqref="I11"/>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C000"/>
    <pageSetUpPr fitToPage="1"/>
  </sheetPr>
  <dimension ref="A1:S70"/>
  <sheetViews>
    <sheetView showGridLines="0" workbookViewId="0">
      <pane xSplit="1" ySplit="1" topLeftCell="B2" activePane="bottomRight" state="frozen"/>
      <selection pane="topRight" activeCell="B1" sqref="B1"/>
      <selection pane="bottomLeft" activeCell="A2" sqref="A2"/>
      <selection pane="bottomRight" activeCell="C8" sqref="C8"/>
    </sheetView>
  </sheetViews>
  <sheetFormatPr defaultRowHeight="12.75"/>
  <cols>
    <col min="1" max="1" width="17.85546875" style="849" customWidth="1"/>
    <col min="2" max="2" width="15.5703125" style="1413" customWidth="1"/>
    <col min="3" max="3" width="30" customWidth="1"/>
    <col min="4" max="4" width="21.7109375" customWidth="1"/>
    <col min="5" max="7" width="21.140625" customWidth="1"/>
    <col min="8" max="8" width="15.42578125" customWidth="1"/>
    <col min="9" max="13" width="18.28515625" customWidth="1"/>
    <col min="14" max="18" width="15.85546875" customWidth="1"/>
  </cols>
  <sheetData>
    <row r="1" spans="1:18" ht="56.25" customHeight="1">
      <c r="C1" s="942"/>
      <c r="D1" s="1361" t="s">
        <v>193</v>
      </c>
      <c r="E1" s="1516" t="s">
        <v>5</v>
      </c>
      <c r="F1" s="1516">
        <v>18230704</v>
      </c>
      <c r="G1" s="1509" t="s">
        <v>28</v>
      </c>
      <c r="J1" s="444"/>
      <c r="K1" s="442"/>
      <c r="L1" s="442"/>
      <c r="M1" s="1361" t="s">
        <v>193</v>
      </c>
      <c r="N1" s="1516" t="s">
        <v>5</v>
      </c>
      <c r="O1" s="1516">
        <v>18230704</v>
      </c>
      <c r="P1" s="1509" t="s">
        <v>28</v>
      </c>
      <c r="Q1" s="442"/>
      <c r="R1" s="442"/>
    </row>
    <row r="2" spans="1:18" ht="16.5" customHeight="1" thickBot="1">
      <c r="C2" s="444"/>
      <c r="D2" s="1086"/>
      <c r="E2" s="1123"/>
      <c r="F2" s="891"/>
      <c r="G2" s="891"/>
      <c r="H2" s="1178" t="s">
        <v>647</v>
      </c>
      <c r="I2" s="442"/>
      <c r="J2" s="442"/>
      <c r="K2" s="442"/>
      <c r="L2" s="442"/>
      <c r="M2" s="442"/>
      <c r="N2" s="442"/>
      <c r="O2" s="442"/>
      <c r="P2" s="442"/>
      <c r="Q2" s="442"/>
      <c r="R2" s="1416"/>
    </row>
    <row r="3" spans="1:18" ht="27" thickBot="1">
      <c r="A3" s="1357" t="s">
        <v>193</v>
      </c>
      <c r="B3" s="1357"/>
      <c r="E3" s="1123"/>
      <c r="F3" s="442"/>
      <c r="G3" s="442"/>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517" t="s">
        <v>5</v>
      </c>
      <c r="B4" s="1517"/>
      <c r="C4" s="444"/>
      <c r="D4" s="442"/>
      <c r="E4" s="442"/>
      <c r="F4" s="442"/>
      <c r="G4" s="2946" t="s">
        <v>1726</v>
      </c>
      <c r="H4" s="2959">
        <f>D15</f>
        <v>45141</v>
      </c>
      <c r="I4" s="2960">
        <f>D21</f>
        <v>0</v>
      </c>
      <c r="J4" s="2960">
        <f>D27</f>
        <v>30109.047000000002</v>
      </c>
      <c r="K4" s="2960">
        <f>D37</f>
        <v>0</v>
      </c>
      <c r="L4" s="2960">
        <f>D43</f>
        <v>7832</v>
      </c>
      <c r="M4" s="2960">
        <f>D49</f>
        <v>200</v>
      </c>
      <c r="N4" s="2960">
        <f>D55</f>
        <v>453</v>
      </c>
      <c r="O4" s="2960">
        <f>D61</f>
        <v>202</v>
      </c>
      <c r="P4" s="2960">
        <v>0</v>
      </c>
      <c r="Q4" s="2960">
        <v>0</v>
      </c>
      <c r="R4" s="2961">
        <f>SUM(H4:Q4)</f>
        <v>83937.047000000006</v>
      </c>
    </row>
    <row r="5" spans="1:18" ht="15.75">
      <c r="A5" s="1517">
        <v>18230704</v>
      </c>
      <c r="C5" s="446"/>
      <c r="D5" s="446"/>
      <c r="E5" s="442"/>
      <c r="F5" s="442"/>
      <c r="G5" s="3205" t="s">
        <v>1753</v>
      </c>
      <c r="H5" s="2617">
        <v>46269.52</v>
      </c>
      <c r="I5" s="2618">
        <v>0</v>
      </c>
      <c r="J5" s="2618">
        <v>31463.2736</v>
      </c>
      <c r="K5" s="2618">
        <v>0</v>
      </c>
      <c r="L5" s="2618">
        <v>7832</v>
      </c>
      <c r="M5" s="2618">
        <v>200</v>
      </c>
      <c r="N5" s="2618">
        <v>453</v>
      </c>
      <c r="O5" s="2618">
        <v>202</v>
      </c>
      <c r="P5" s="2618">
        <v>0</v>
      </c>
      <c r="Q5" s="2618">
        <v>0</v>
      </c>
      <c r="R5" s="2619">
        <v>86419.793600000005</v>
      </c>
    </row>
    <row r="6" spans="1:18" ht="16.5" thickBot="1">
      <c r="A6" s="1508" t="s">
        <v>28</v>
      </c>
      <c r="B6" s="1517"/>
      <c r="C6" s="442"/>
      <c r="D6" s="444"/>
      <c r="E6" s="442"/>
      <c r="F6" s="442"/>
      <c r="G6" s="3206" t="s">
        <v>1754</v>
      </c>
      <c r="H6" s="2621">
        <f>E15</f>
        <v>46269.52</v>
      </c>
      <c r="I6" s="2622">
        <f>E21</f>
        <v>0</v>
      </c>
      <c r="J6" s="2623">
        <f>E27</f>
        <v>31833.429759999995</v>
      </c>
      <c r="K6" s="2622">
        <f>E37</f>
        <v>0</v>
      </c>
      <c r="L6" s="2622">
        <f>E43</f>
        <v>7832</v>
      </c>
      <c r="M6" s="2622">
        <f>E49</f>
        <v>200</v>
      </c>
      <c r="N6" s="2622">
        <f>E55</f>
        <v>453</v>
      </c>
      <c r="O6" s="2622">
        <f>E61</f>
        <v>202</v>
      </c>
      <c r="P6" s="2622">
        <v>0</v>
      </c>
      <c r="Q6" s="2622">
        <v>0</v>
      </c>
      <c r="R6" s="2624">
        <f>SUM(H6:Q6)</f>
        <v>86789.949759999989</v>
      </c>
    </row>
    <row r="7" spans="1:18" ht="15.75">
      <c r="A7" s="1201"/>
      <c r="B7" s="1508"/>
      <c r="C7" s="442"/>
      <c r="D7" s="447"/>
      <c r="E7" s="442"/>
      <c r="F7" s="442"/>
      <c r="G7" s="2733"/>
      <c r="H7" s="2607"/>
      <c r="I7" s="2607"/>
      <c r="J7" s="2607"/>
      <c r="K7" s="2607"/>
      <c r="L7" s="2607"/>
      <c r="M7" s="2607"/>
      <c r="N7" s="2607"/>
      <c r="O7" s="2607"/>
      <c r="P7" s="2607"/>
      <c r="Q7" s="2607"/>
      <c r="R7" s="2607"/>
    </row>
    <row r="8" spans="1:18" ht="15.75">
      <c r="B8" s="1357"/>
      <c r="C8" s="1354"/>
      <c r="D8" s="1287"/>
      <c r="E8" s="1354"/>
      <c r="F8" s="1354"/>
      <c r="Q8" s="505"/>
      <c r="R8" s="24"/>
    </row>
    <row r="9" spans="1:18" s="501" customFormat="1" ht="15.75">
      <c r="A9" s="1357"/>
      <c r="B9" s="1357"/>
      <c r="C9" s="1354"/>
      <c r="D9" s="1287"/>
      <c r="E9" s="1354"/>
      <c r="F9" s="1354"/>
      <c r="Q9" s="505"/>
      <c r="R9" s="24"/>
    </row>
    <row r="10" spans="1:18">
      <c r="A10" s="1357"/>
      <c r="B10" s="1357"/>
      <c r="C10" s="1454" t="s">
        <v>310</v>
      </c>
      <c r="D10" s="1454"/>
      <c r="E10" s="1454"/>
      <c r="F10" s="1454"/>
      <c r="H10" s="442"/>
      <c r="I10" s="1313"/>
      <c r="J10" s="3610"/>
      <c r="K10" s="3610"/>
      <c r="L10" s="3610"/>
      <c r="M10" s="3610"/>
      <c r="N10" s="3611"/>
      <c r="O10" s="3611"/>
      <c r="P10" s="1313"/>
      <c r="Q10" s="1313"/>
      <c r="R10" s="1313"/>
    </row>
    <row r="11" spans="1:18" ht="15.75">
      <c r="A11" s="1357"/>
      <c r="B11" s="1357"/>
      <c r="C11" s="1413"/>
      <c r="D11" s="1413"/>
      <c r="E11" s="1414"/>
      <c r="F11" s="1413"/>
      <c r="H11" s="442"/>
      <c r="I11" s="1313"/>
      <c r="J11" s="3609"/>
      <c r="K11" s="3609"/>
      <c r="L11" s="3609"/>
      <c r="M11" s="3609"/>
      <c r="N11" s="3609"/>
      <c r="O11" s="3609"/>
      <c r="P11" s="3609"/>
      <c r="Q11" s="3609"/>
      <c r="R11" s="3609"/>
    </row>
    <row r="12" spans="1:18" ht="15.75">
      <c r="A12" s="1357"/>
      <c r="B12" s="1357"/>
      <c r="C12" s="1434" t="s">
        <v>298</v>
      </c>
      <c r="D12" s="2766">
        <f>D15+D21+D27+D37+D43+D49+D55+D61</f>
        <v>83937.047000000006</v>
      </c>
      <c r="E12" s="1484">
        <f>E15+E21+E27+E37+E43+E49+E55+E61</f>
        <v>86789.949759999989</v>
      </c>
      <c r="F12" s="1462">
        <f>D12+E12</f>
        <v>170726.99676000001</v>
      </c>
      <c r="H12" s="442"/>
      <c r="I12" s="1312"/>
      <c r="J12" s="3609"/>
      <c r="K12" s="3609"/>
      <c r="L12" s="3609"/>
      <c r="M12" s="1316"/>
      <c r="N12" s="1317"/>
      <c r="O12" s="1317"/>
      <c r="P12" s="1317"/>
      <c r="Q12" s="1317"/>
      <c r="R12" s="1317"/>
    </row>
    <row r="13" spans="1:18">
      <c r="B13" s="1357"/>
      <c r="C13" s="1483"/>
      <c r="D13" s="2767"/>
      <c r="E13" s="1336"/>
      <c r="F13" s="1413"/>
      <c r="H13" s="442"/>
      <c r="I13" s="1313"/>
      <c r="J13" s="1313"/>
      <c r="K13" s="1313"/>
      <c r="L13" s="1313"/>
      <c r="M13" s="1282"/>
      <c r="N13" s="1313"/>
      <c r="O13" s="1313"/>
      <c r="P13" s="1312"/>
      <c r="Q13" s="1261"/>
      <c r="R13" s="1261"/>
    </row>
    <row r="14" spans="1:18" ht="15.75">
      <c r="B14" s="1357"/>
      <c r="C14" s="1435" t="s">
        <v>42</v>
      </c>
      <c r="D14" s="2768">
        <v>2016</v>
      </c>
      <c r="E14" s="1502">
        <v>2017</v>
      </c>
      <c r="F14" s="1486" t="s">
        <v>20</v>
      </c>
      <c r="H14" s="442"/>
      <c r="I14" s="1313"/>
      <c r="J14" s="1313"/>
      <c r="K14" s="1313"/>
      <c r="L14" s="1313"/>
      <c r="M14" s="1282"/>
      <c r="N14" s="1313"/>
      <c r="O14" s="1313"/>
      <c r="P14" s="1312"/>
      <c r="Q14" s="1261"/>
      <c r="R14" s="1261"/>
    </row>
    <row r="15" spans="1:18">
      <c r="B15" s="1433" t="s">
        <v>296</v>
      </c>
      <c r="C15" s="1451" t="s">
        <v>43</v>
      </c>
      <c r="D15" s="2771">
        <f>SUM(D16:D20)</f>
        <v>45141</v>
      </c>
      <c r="E15" s="1464">
        <f>SUM(E16:E20)</f>
        <v>46269.52</v>
      </c>
      <c r="F15" s="1462">
        <f>SUM(F16:F20)</f>
        <v>91410.51999999999</v>
      </c>
      <c r="H15" s="442"/>
      <c r="I15" s="1313"/>
      <c r="J15" s="1313"/>
      <c r="K15" s="1313"/>
      <c r="L15" s="1313"/>
      <c r="M15" s="1282"/>
      <c r="N15" s="1313"/>
      <c r="O15" s="1313"/>
      <c r="P15" s="1312"/>
      <c r="Q15" s="1261"/>
      <c r="R15" s="1261"/>
    </row>
    <row r="16" spans="1:18">
      <c r="B16" s="1982">
        <v>1.82</v>
      </c>
      <c r="C16" s="2354" t="s">
        <v>744</v>
      </c>
      <c r="D16" s="2772">
        <v>45141</v>
      </c>
      <c r="E16" s="1669">
        <v>46269.52</v>
      </c>
      <c r="F16" s="1426">
        <f>SUM(D16:E16)</f>
        <v>91410.51999999999</v>
      </c>
      <c r="H16" s="442"/>
      <c r="I16" s="1313"/>
      <c r="J16" s="1313"/>
      <c r="K16" s="1313"/>
      <c r="L16" s="1313"/>
      <c r="M16" s="1282"/>
      <c r="N16" s="1313"/>
      <c r="O16" s="1313"/>
      <c r="P16" s="1312"/>
      <c r="Q16" s="1261"/>
      <c r="R16" s="1261"/>
    </row>
    <row r="17" spans="2:18">
      <c r="B17" s="1432"/>
      <c r="C17" s="1423"/>
      <c r="D17" s="2784"/>
      <c r="E17" s="1447"/>
      <c r="F17" s="1438">
        <f t="shared" ref="F17:F65" si="0">SUM(D17:E17)</f>
        <v>0</v>
      </c>
      <c r="H17" s="442"/>
      <c r="I17" s="1313"/>
      <c r="J17" s="1313"/>
      <c r="K17" s="1313"/>
      <c r="L17" s="1313"/>
      <c r="M17" s="1282"/>
      <c r="N17" s="1313"/>
      <c r="O17" s="1313"/>
      <c r="P17" s="1312"/>
      <c r="Q17" s="1261"/>
      <c r="R17" s="1261"/>
    </row>
    <row r="18" spans="2:18">
      <c r="B18" s="1432"/>
      <c r="C18" s="1423"/>
      <c r="D18" s="2784"/>
      <c r="E18" s="1447"/>
      <c r="F18" s="1438">
        <f t="shared" si="0"/>
        <v>0</v>
      </c>
      <c r="H18" s="466"/>
      <c r="I18" s="1313"/>
      <c r="J18" s="1313"/>
      <c r="K18" s="1313"/>
      <c r="L18" s="1313"/>
      <c r="M18" s="1282"/>
      <c r="N18" s="1313"/>
      <c r="O18" s="1313"/>
      <c r="P18" s="1312"/>
      <c r="Q18" s="1261"/>
      <c r="R18" s="1261"/>
    </row>
    <row r="19" spans="2:18">
      <c r="B19" s="1432"/>
      <c r="C19" s="1423"/>
      <c r="D19" s="2786"/>
      <c r="E19" s="1446"/>
      <c r="F19" s="1438">
        <f t="shared" si="0"/>
        <v>0</v>
      </c>
      <c r="H19" s="442"/>
      <c r="I19" s="1313"/>
      <c r="J19" s="1313"/>
      <c r="K19" s="1313"/>
      <c r="L19" s="1313"/>
      <c r="M19" s="1282"/>
      <c r="N19" s="1313"/>
      <c r="O19" s="1313"/>
      <c r="P19" s="1312"/>
      <c r="Q19" s="1261"/>
      <c r="R19" s="1261"/>
    </row>
    <row r="20" spans="2:18">
      <c r="B20" s="1449">
        <f>SUM(B16:B19)</f>
        <v>1.82</v>
      </c>
      <c r="C20" s="1488"/>
      <c r="D20" s="2770"/>
      <c r="E20" s="1490"/>
      <c r="F20" s="1492">
        <f t="shared" si="0"/>
        <v>0</v>
      </c>
      <c r="H20" s="442"/>
      <c r="I20" s="1313"/>
      <c r="J20" s="1313"/>
      <c r="K20" s="1313"/>
      <c r="L20" s="1313"/>
      <c r="M20" s="1282"/>
      <c r="N20" s="1313"/>
      <c r="O20" s="1313"/>
      <c r="P20" s="1312"/>
      <c r="Q20" s="1261"/>
      <c r="R20" s="1261"/>
    </row>
    <row r="21" spans="2:18">
      <c r="C21" s="1451" t="s">
        <v>44</v>
      </c>
      <c r="D21" s="2771">
        <f>SUM(D22:D25)</f>
        <v>0</v>
      </c>
      <c r="E21" s="1464">
        <f>SUM(E22:E25)</f>
        <v>0</v>
      </c>
      <c r="F21" s="1462">
        <f>SUM(F22:F25)</f>
        <v>0</v>
      </c>
      <c r="H21" s="442"/>
      <c r="I21" s="1313"/>
      <c r="J21" s="1313"/>
      <c r="K21" s="1313"/>
      <c r="L21" s="1313"/>
      <c r="M21" s="1282"/>
      <c r="N21" s="1313"/>
      <c r="O21" s="1313"/>
      <c r="P21" s="1312"/>
      <c r="Q21" s="1261"/>
      <c r="R21" s="1261"/>
    </row>
    <row r="22" spans="2:18">
      <c r="C22" s="1423"/>
      <c r="D22" s="2772"/>
      <c r="E22" s="1448"/>
      <c r="F22" s="1426">
        <f t="shared" si="0"/>
        <v>0</v>
      </c>
      <c r="H22" s="442"/>
      <c r="I22" s="1313"/>
      <c r="J22" s="1313"/>
      <c r="K22" s="1313"/>
      <c r="L22" s="1313"/>
      <c r="M22" s="1282"/>
      <c r="N22" s="1313"/>
      <c r="O22" s="1313"/>
      <c r="P22" s="1312"/>
      <c r="Q22" s="1261"/>
      <c r="R22" s="1261"/>
    </row>
    <row r="23" spans="2:18">
      <c r="C23" s="1423"/>
      <c r="D23" s="2773"/>
      <c r="E23" s="1444"/>
      <c r="F23" s="1438">
        <f t="shared" si="0"/>
        <v>0</v>
      </c>
      <c r="H23" s="442"/>
      <c r="I23" s="1313"/>
      <c r="J23" s="1313"/>
      <c r="K23" s="1313"/>
      <c r="L23" s="1313"/>
      <c r="M23" s="1282"/>
      <c r="N23" s="1313"/>
      <c r="O23" s="1313"/>
      <c r="P23" s="1312"/>
      <c r="Q23" s="1261"/>
      <c r="R23" s="1261"/>
    </row>
    <row r="24" spans="2:18">
      <c r="C24" s="1423"/>
      <c r="D24" s="2774"/>
      <c r="E24" s="1443"/>
      <c r="F24" s="1438">
        <f t="shared" si="0"/>
        <v>0</v>
      </c>
      <c r="H24" s="443"/>
      <c r="I24" s="1313"/>
      <c r="J24" s="1313"/>
      <c r="K24" s="1313"/>
      <c r="L24" s="1313"/>
      <c r="M24" s="1282"/>
      <c r="N24" s="1313"/>
      <c r="O24" s="1313"/>
      <c r="P24" s="1312"/>
      <c r="Q24" s="1261"/>
      <c r="R24" s="1261"/>
    </row>
    <row r="25" spans="2:18">
      <c r="C25" s="1423"/>
      <c r="D25" s="2775"/>
      <c r="E25" s="1444"/>
      <c r="F25" s="1438">
        <f t="shared" si="0"/>
        <v>0</v>
      </c>
      <c r="H25" s="442"/>
      <c r="I25" s="1313"/>
      <c r="J25" s="1313"/>
      <c r="K25" s="1313"/>
      <c r="L25" s="1313"/>
      <c r="M25" s="1282"/>
      <c r="N25" s="1313"/>
      <c r="O25" s="1313"/>
      <c r="P25" s="1312"/>
      <c r="Q25" s="1261"/>
      <c r="R25" s="1261"/>
    </row>
    <row r="26" spans="2:18">
      <c r="C26" s="1424"/>
      <c r="D26" s="2776"/>
      <c r="E26" s="1431"/>
      <c r="F26" s="1439"/>
      <c r="H26" s="442"/>
      <c r="I26" s="1313"/>
      <c r="J26" s="1313"/>
      <c r="K26" s="1313"/>
      <c r="L26" s="1313"/>
      <c r="M26" s="1282"/>
      <c r="N26" s="1313"/>
      <c r="O26" s="1313"/>
      <c r="P26" s="1312"/>
      <c r="Q26" s="1261"/>
      <c r="R26" s="1261"/>
    </row>
    <row r="27" spans="2:18">
      <c r="C27" s="1451" t="s">
        <v>45</v>
      </c>
      <c r="D27" s="2771">
        <f>SUM(D29:D35)</f>
        <v>30109.047000000002</v>
      </c>
      <c r="E27" s="1657">
        <f>SUM(E29:E31)+SUM(E33:E35)</f>
        <v>31833.429759999995</v>
      </c>
      <c r="F27" s="1462">
        <f>SUM(F29:F35)</f>
        <v>61942.476759999998</v>
      </c>
      <c r="H27" s="442"/>
      <c r="I27" s="1313"/>
      <c r="J27" s="1313"/>
      <c r="K27" s="1313"/>
      <c r="L27" s="1313"/>
      <c r="M27" s="1282"/>
      <c r="N27" s="1313"/>
      <c r="O27" s="1313"/>
      <c r="P27" s="1312"/>
      <c r="Q27" s="1261"/>
      <c r="R27" s="1261"/>
    </row>
    <row r="28" spans="2:18">
      <c r="C28" s="1450" t="s">
        <v>1733</v>
      </c>
      <c r="D28" s="2777">
        <v>0.66700000000000004</v>
      </c>
      <c r="E28" s="1452">
        <v>0.68799999999999994</v>
      </c>
      <c r="F28" s="1485"/>
      <c r="H28" s="442"/>
      <c r="I28" s="1313"/>
      <c r="J28" s="1313"/>
      <c r="K28" s="1313"/>
      <c r="L28" s="1313"/>
      <c r="M28" s="1282"/>
      <c r="N28" s="1313"/>
      <c r="O28" s="1313"/>
      <c r="P28" s="1312"/>
      <c r="Q28" s="1261"/>
      <c r="R28" s="1261"/>
    </row>
    <row r="29" spans="2:18">
      <c r="C29" s="1667" t="s">
        <v>719</v>
      </c>
      <c r="D29" s="2778">
        <f>D15*D28</f>
        <v>30109.047000000002</v>
      </c>
      <c r="E29" s="1504">
        <f>E15*E28</f>
        <v>31833.429759999995</v>
      </c>
      <c r="F29" s="1438">
        <f t="shared" si="0"/>
        <v>61942.476759999998</v>
      </c>
      <c r="H29" s="442"/>
      <c r="I29" s="1313"/>
      <c r="J29" s="1313"/>
      <c r="K29" s="1313"/>
      <c r="L29" s="1313"/>
      <c r="M29" s="1282"/>
      <c r="N29" s="1313"/>
      <c r="O29" s="1313"/>
      <c r="P29" s="1312"/>
      <c r="Q29" s="1261"/>
      <c r="R29" s="1261"/>
    </row>
    <row r="30" spans="2:18">
      <c r="C30" s="1667" t="s">
        <v>720</v>
      </c>
      <c r="D30" s="2785">
        <f>D21*D28</f>
        <v>0</v>
      </c>
      <c r="E30" s="1504">
        <f>E21*E28</f>
        <v>0</v>
      </c>
      <c r="F30" s="1661">
        <f t="shared" si="0"/>
        <v>0</v>
      </c>
      <c r="H30" s="442"/>
      <c r="I30" s="1313"/>
      <c r="J30" s="1313"/>
      <c r="K30" s="1313"/>
      <c r="L30" s="1313"/>
      <c r="M30" s="1282"/>
      <c r="N30" s="1313"/>
      <c r="O30" s="1313"/>
      <c r="P30" s="1312"/>
      <c r="Q30" s="1261"/>
      <c r="R30" s="1261"/>
    </row>
    <row r="31" spans="2:18">
      <c r="C31" s="1667"/>
      <c r="D31" s="2774"/>
      <c r="E31" s="1443"/>
      <c r="F31" s="1661">
        <f t="shared" si="0"/>
        <v>0</v>
      </c>
      <c r="H31" s="442"/>
      <c r="I31" s="1313"/>
      <c r="J31" s="1313"/>
      <c r="K31" s="1313"/>
      <c r="L31" s="1313"/>
      <c r="M31" s="1282"/>
      <c r="N31" s="1313"/>
      <c r="O31" s="1313"/>
      <c r="P31" s="1312"/>
      <c r="Q31" s="1261"/>
      <c r="R31" s="1261"/>
    </row>
    <row r="32" spans="2:18">
      <c r="C32" s="1450" t="s">
        <v>1734</v>
      </c>
      <c r="D32" s="2777"/>
      <c r="E32" s="1452">
        <v>0</v>
      </c>
      <c r="F32" s="1485"/>
      <c r="H32" s="442"/>
      <c r="I32" s="1313"/>
      <c r="J32" s="1313"/>
      <c r="K32" s="1313"/>
      <c r="L32" s="1313"/>
      <c r="M32" s="1282"/>
      <c r="N32" s="1313"/>
      <c r="O32" s="1313"/>
      <c r="P32" s="1312"/>
      <c r="Q32" s="1261"/>
      <c r="R32" s="1261"/>
    </row>
    <row r="33" spans="1:18">
      <c r="C33" s="1667" t="s">
        <v>719</v>
      </c>
      <c r="D33" s="2778"/>
      <c r="E33" s="1641">
        <f>E15*E32</f>
        <v>0</v>
      </c>
      <c r="F33" s="1661">
        <f>SUM(D33:E33)</f>
        <v>0</v>
      </c>
      <c r="H33" s="442"/>
      <c r="I33" s="1313"/>
      <c r="J33" s="1313"/>
      <c r="K33" s="1313"/>
      <c r="L33" s="1313"/>
      <c r="M33" s="1282"/>
      <c r="N33" s="1313"/>
      <c r="O33" s="1313"/>
      <c r="P33" s="1312"/>
      <c r="Q33" s="1261"/>
      <c r="R33" s="1261"/>
    </row>
    <row r="34" spans="1:18">
      <c r="C34" s="1667" t="s">
        <v>720</v>
      </c>
      <c r="D34" s="2785"/>
      <c r="E34" s="1641">
        <f>E21*E32</f>
        <v>0</v>
      </c>
      <c r="F34" s="1661">
        <f t="shared" ref="F34" si="1">SUM(D34:E34)</f>
        <v>0</v>
      </c>
      <c r="H34" s="442"/>
      <c r="I34" s="1313"/>
      <c r="J34" s="1313"/>
      <c r="K34" s="1313"/>
      <c r="L34" s="1313"/>
      <c r="M34" s="1282"/>
      <c r="N34" s="1313"/>
      <c r="O34" s="1313"/>
      <c r="P34" s="1312"/>
      <c r="Q34" s="1261"/>
      <c r="R34" s="1261"/>
    </row>
    <row r="35" spans="1:18">
      <c r="A35" s="1357" t="s">
        <v>193</v>
      </c>
      <c r="C35" s="1445"/>
      <c r="D35" s="2775"/>
      <c r="E35" s="1444"/>
      <c r="F35" s="1661">
        <f t="shared" si="0"/>
        <v>0</v>
      </c>
      <c r="H35" s="442"/>
      <c r="I35" s="1313"/>
      <c r="J35" s="1313"/>
      <c r="K35" s="1313"/>
      <c r="L35" s="1313"/>
      <c r="M35" s="1282"/>
      <c r="N35" s="1313"/>
      <c r="O35" s="1313"/>
      <c r="P35" s="1312"/>
      <c r="Q35" s="1261"/>
      <c r="R35" s="1261"/>
    </row>
    <row r="36" spans="1:18">
      <c r="A36" s="1517" t="s">
        <v>5</v>
      </c>
      <c r="C36" s="1488"/>
      <c r="D36" s="2779"/>
      <c r="E36" s="1490"/>
      <c r="F36" s="1493"/>
      <c r="H36" s="442"/>
      <c r="I36" s="1313"/>
      <c r="J36" s="1313"/>
      <c r="K36" s="1313"/>
      <c r="L36" s="1313"/>
      <c r="M36" s="1282"/>
      <c r="N36" s="1313"/>
      <c r="O36" s="1313"/>
      <c r="P36" s="1312"/>
      <c r="Q36" s="1261"/>
      <c r="R36" s="1261"/>
    </row>
    <row r="37" spans="1:18">
      <c r="A37" s="1517">
        <v>18230704</v>
      </c>
      <c r="C37" s="1451" t="s">
        <v>46</v>
      </c>
      <c r="D37" s="2771">
        <f>SUM(D38:D41)</f>
        <v>0</v>
      </c>
      <c r="E37" s="1464">
        <f>SUM(E38:E41)</f>
        <v>0</v>
      </c>
      <c r="F37" s="1462">
        <f>SUM(F38:F41)</f>
        <v>0</v>
      </c>
      <c r="H37" s="442"/>
      <c r="I37" s="1313"/>
      <c r="J37" s="1313"/>
      <c r="K37" s="1313"/>
      <c r="L37" s="1313"/>
      <c r="M37" s="1282"/>
      <c r="N37" s="1313"/>
      <c r="O37" s="1313"/>
      <c r="P37" s="1312"/>
      <c r="Q37" s="1261"/>
      <c r="R37" s="1261"/>
    </row>
    <row r="38" spans="1:18">
      <c r="A38" s="1508" t="s">
        <v>28</v>
      </c>
      <c r="C38" s="1636"/>
      <c r="D38" s="2778"/>
      <c r="E38" s="1520"/>
      <c r="F38" s="1438">
        <f t="shared" si="0"/>
        <v>0</v>
      </c>
      <c r="H38" s="442"/>
      <c r="I38" s="1313"/>
      <c r="J38" s="1313"/>
      <c r="K38" s="1313"/>
      <c r="L38" s="1313"/>
      <c r="M38" s="1282"/>
      <c r="N38" s="1313"/>
      <c r="O38" s="1313"/>
      <c r="P38" s="1312"/>
      <c r="Q38" s="1261"/>
      <c r="R38" s="1261"/>
    </row>
    <row r="39" spans="1:18">
      <c r="C39" s="1423"/>
      <c r="D39" s="2778"/>
      <c r="E39" s="1520"/>
      <c r="F39" s="1438">
        <f t="shared" si="0"/>
        <v>0</v>
      </c>
      <c r="H39" s="442"/>
      <c r="I39" s="1313"/>
      <c r="J39" s="1313"/>
      <c r="K39" s="1313"/>
      <c r="L39" s="1313"/>
      <c r="M39" s="1282"/>
      <c r="N39" s="1313"/>
      <c r="O39" s="1313"/>
      <c r="P39" s="1312"/>
      <c r="Q39" s="1261"/>
      <c r="R39" s="1261"/>
    </row>
    <row r="40" spans="1:18">
      <c r="C40" s="1423"/>
      <c r="D40" s="2778"/>
      <c r="E40" s="1520"/>
      <c r="F40" s="1438">
        <f t="shared" si="0"/>
        <v>0</v>
      </c>
      <c r="H40" s="442"/>
      <c r="I40" s="1313"/>
      <c r="J40" s="1313"/>
      <c r="K40" s="1313"/>
      <c r="L40" s="1313"/>
      <c r="M40" s="1282"/>
      <c r="N40" s="1313"/>
      <c r="O40" s="1313"/>
      <c r="P40" s="1312"/>
      <c r="Q40" s="1261"/>
      <c r="R40" s="1261"/>
    </row>
    <row r="41" spans="1:18">
      <c r="C41" s="1423"/>
      <c r="D41" s="2778"/>
      <c r="E41" s="1520"/>
      <c r="F41" s="1438">
        <f t="shared" si="0"/>
        <v>0</v>
      </c>
      <c r="H41" s="442"/>
      <c r="I41" s="1313"/>
      <c r="J41" s="1313"/>
      <c r="K41" s="1313"/>
      <c r="L41" s="1313"/>
      <c r="M41" s="1282"/>
      <c r="N41" s="1313"/>
      <c r="O41" s="1313"/>
      <c r="P41" s="1312"/>
      <c r="Q41" s="1261"/>
      <c r="R41" s="1261"/>
    </row>
    <row r="42" spans="1:18">
      <c r="C42" s="1488"/>
      <c r="D42" s="2779"/>
      <c r="E42" s="1490"/>
      <c r="F42" s="1493"/>
      <c r="H42" s="442"/>
      <c r="I42" s="1313"/>
      <c r="J42" s="1313"/>
      <c r="K42" s="1313"/>
      <c r="L42" s="1313"/>
      <c r="M42" s="1282"/>
      <c r="N42" s="1313"/>
      <c r="O42" s="1313"/>
      <c r="P42" s="1312"/>
      <c r="Q42" s="1261"/>
      <c r="R42" s="1261"/>
    </row>
    <row r="43" spans="1:18">
      <c r="C43" s="1597" t="s">
        <v>483</v>
      </c>
      <c r="D43" s="2780">
        <f>SUM(D44:D47)</f>
        <v>7832</v>
      </c>
      <c r="E43" s="1464">
        <f>SUM(E44:E47)</f>
        <v>7832</v>
      </c>
      <c r="F43" s="1462">
        <f>SUM(F44:F47)</f>
        <v>15664</v>
      </c>
      <c r="H43" s="442"/>
      <c r="I43" s="1313"/>
      <c r="J43" s="1313"/>
      <c r="K43" s="1313"/>
      <c r="L43" s="1313"/>
      <c r="M43" s="1282"/>
      <c r="N43" s="1313"/>
      <c r="O43" s="1313"/>
      <c r="P43" s="1312"/>
      <c r="Q43" s="1261"/>
      <c r="R43" s="1261"/>
    </row>
    <row r="44" spans="1:18">
      <c r="C44" s="1667" t="s">
        <v>762</v>
      </c>
      <c r="D44" s="2778">
        <v>2495</v>
      </c>
      <c r="E44" s="1672">
        <v>2495</v>
      </c>
      <c r="F44" s="1438">
        <f t="shared" si="0"/>
        <v>4990</v>
      </c>
      <c r="H44" s="442"/>
      <c r="I44" s="1313"/>
      <c r="J44" s="1313"/>
      <c r="K44" s="1313"/>
      <c r="L44" s="1313"/>
      <c r="M44" s="1282"/>
      <c r="N44" s="1313"/>
      <c r="O44" s="1313"/>
      <c r="P44" s="1312"/>
      <c r="Q44" s="1261"/>
      <c r="R44" s="1261"/>
    </row>
    <row r="45" spans="1:18">
      <c r="C45" s="1667" t="s">
        <v>768</v>
      </c>
      <c r="D45" s="2778">
        <v>4000</v>
      </c>
      <c r="E45" s="1672">
        <v>4000</v>
      </c>
      <c r="F45" s="1438">
        <f t="shared" si="0"/>
        <v>8000</v>
      </c>
      <c r="H45" s="442"/>
      <c r="I45" s="1313"/>
      <c r="J45" s="1313"/>
      <c r="K45" s="1313"/>
      <c r="L45" s="1313"/>
      <c r="M45" s="1282"/>
      <c r="N45" s="1313"/>
      <c r="O45" s="1313"/>
      <c r="P45" s="1312"/>
      <c r="Q45" s="1261"/>
      <c r="R45" s="1261"/>
    </row>
    <row r="46" spans="1:18">
      <c r="C46" s="1667" t="s">
        <v>769</v>
      </c>
      <c r="D46" s="2778">
        <v>589</v>
      </c>
      <c r="E46" s="1641">
        <v>589</v>
      </c>
      <c r="F46" s="1438">
        <f t="shared" si="0"/>
        <v>1178</v>
      </c>
      <c r="H46" s="442"/>
      <c r="I46" s="1313"/>
      <c r="J46" s="1313"/>
      <c r="K46" s="1313"/>
      <c r="L46" s="1313"/>
      <c r="M46" s="1282"/>
      <c r="N46" s="1313"/>
      <c r="O46" s="1313"/>
      <c r="P46" s="1312"/>
      <c r="Q46" s="1261"/>
      <c r="R46" s="1261"/>
    </row>
    <row r="47" spans="1:18">
      <c r="C47" s="1667" t="s">
        <v>764</v>
      </c>
      <c r="D47" s="2778">
        <v>748</v>
      </c>
      <c r="E47" s="1641">
        <v>748</v>
      </c>
      <c r="F47" s="1438">
        <f t="shared" si="0"/>
        <v>1496</v>
      </c>
      <c r="H47" s="442"/>
      <c r="I47" s="1313"/>
      <c r="J47" s="1313"/>
      <c r="K47" s="1313"/>
      <c r="L47" s="1313"/>
      <c r="M47" s="1282"/>
      <c r="N47" s="1313"/>
      <c r="O47" s="1313"/>
      <c r="P47" s="1312"/>
      <c r="Q47" s="1261"/>
      <c r="R47" s="1261"/>
    </row>
    <row r="48" spans="1:18">
      <c r="C48" s="1488"/>
      <c r="D48" s="2779"/>
      <c r="E48" s="1490"/>
      <c r="F48" s="1493"/>
      <c r="H48" s="442"/>
      <c r="I48" s="1313"/>
      <c r="J48" s="1313"/>
      <c r="K48" s="1313"/>
      <c r="L48" s="1313"/>
      <c r="M48" s="1282"/>
      <c r="N48" s="1313"/>
      <c r="O48" s="1313"/>
      <c r="P48" s="1312"/>
      <c r="Q48" s="1261"/>
      <c r="R48" s="1261"/>
    </row>
    <row r="49" spans="3:19">
      <c r="C49" s="1451" t="s">
        <v>47</v>
      </c>
      <c r="D49" s="2771">
        <f>SUM(D50:D53)</f>
        <v>200</v>
      </c>
      <c r="E49" s="1464">
        <f>SUM(E50:E53)</f>
        <v>200</v>
      </c>
      <c r="F49" s="1462">
        <f>SUM(F50:F53)</f>
        <v>400</v>
      </c>
      <c r="H49" s="442"/>
      <c r="I49" s="1313"/>
      <c r="J49" s="1313"/>
      <c r="K49" s="1313"/>
      <c r="L49" s="1313"/>
      <c r="M49" s="1282"/>
      <c r="N49" s="1313"/>
      <c r="O49" s="1313"/>
      <c r="P49" s="1312"/>
      <c r="Q49" s="1261"/>
      <c r="R49" s="1261"/>
    </row>
    <row r="50" spans="3:19">
      <c r="C50" s="1423"/>
      <c r="D50" s="2778">
        <v>200</v>
      </c>
      <c r="E50" s="1520">
        <v>200</v>
      </c>
      <c r="F50" s="1438">
        <f t="shared" si="0"/>
        <v>400</v>
      </c>
      <c r="H50" s="442"/>
      <c r="I50" s="1313"/>
      <c r="J50" s="1313"/>
      <c r="K50" s="1313"/>
      <c r="L50" s="1313"/>
      <c r="M50" s="1282"/>
      <c r="N50" s="1313"/>
      <c r="O50" s="1313"/>
      <c r="P50" s="1312"/>
      <c r="Q50" s="1261"/>
      <c r="R50" s="1261"/>
      <c r="S50" s="442"/>
    </row>
    <row r="51" spans="3:19">
      <c r="C51" s="1423"/>
      <c r="D51" s="2778"/>
      <c r="E51" s="1520"/>
      <c r="F51" s="1438">
        <f t="shared" si="0"/>
        <v>0</v>
      </c>
      <c r="H51" s="442"/>
      <c r="I51" s="1313"/>
      <c r="J51" s="1313"/>
      <c r="K51" s="1313"/>
      <c r="L51" s="1313"/>
      <c r="M51" s="1282"/>
      <c r="N51" s="1313"/>
      <c r="O51" s="1313"/>
      <c r="P51" s="1312"/>
      <c r="Q51" s="1261"/>
      <c r="R51" s="1261"/>
      <c r="S51" s="442"/>
    </row>
    <row r="52" spans="3:19">
      <c r="C52" s="1423"/>
      <c r="D52" s="2778"/>
      <c r="E52" s="1520"/>
      <c r="F52" s="1438">
        <f t="shared" si="0"/>
        <v>0</v>
      </c>
      <c r="H52" s="442"/>
      <c r="I52" s="1313"/>
      <c r="J52" s="1313"/>
      <c r="K52" s="1313"/>
      <c r="L52" s="1313"/>
      <c r="M52" s="1282"/>
      <c r="N52" s="1313"/>
      <c r="O52" s="1313"/>
      <c r="P52" s="1312"/>
      <c r="Q52" s="1261"/>
      <c r="R52" s="1261"/>
      <c r="S52" s="442"/>
    </row>
    <row r="53" spans="3:19">
      <c r="C53" s="1423"/>
      <c r="D53" s="2778"/>
      <c r="E53" s="1520"/>
      <c r="F53" s="1438">
        <f t="shared" si="0"/>
        <v>0</v>
      </c>
      <c r="H53" s="442"/>
      <c r="I53" s="1313"/>
      <c r="J53" s="1313"/>
      <c r="K53" s="1313"/>
      <c r="L53" s="1313"/>
      <c r="M53" s="1282"/>
      <c r="N53" s="1313"/>
      <c r="O53" s="1313"/>
      <c r="P53" s="1312"/>
      <c r="Q53" s="1261"/>
      <c r="R53" s="1261"/>
      <c r="S53" s="442"/>
    </row>
    <row r="54" spans="3:19">
      <c r="C54" s="1488"/>
      <c r="D54" s="2779"/>
      <c r="E54" s="1490"/>
      <c r="F54" s="1493"/>
      <c r="H54" s="445"/>
      <c r="I54" s="1313"/>
      <c r="J54" s="1313"/>
      <c r="K54" s="1313"/>
      <c r="L54" s="1313"/>
      <c r="M54" s="1282"/>
      <c r="N54" s="1313"/>
      <c r="O54" s="1313"/>
      <c r="P54" s="1312"/>
      <c r="Q54" s="1261"/>
      <c r="R54" s="1261"/>
      <c r="S54" s="442"/>
    </row>
    <row r="55" spans="3:19">
      <c r="C55" s="1451" t="s">
        <v>48</v>
      </c>
      <c r="D55" s="2771">
        <f>SUM(D56:D59)</f>
        <v>453</v>
      </c>
      <c r="E55" s="1464">
        <f>SUM(E56:E59)</f>
        <v>453</v>
      </c>
      <c r="F55" s="1462">
        <f>SUM(F56:F59)</f>
        <v>906</v>
      </c>
      <c r="H55" s="442"/>
      <c r="I55" s="1313"/>
      <c r="J55" s="1313"/>
      <c r="K55" s="1313"/>
      <c r="L55" s="1313"/>
      <c r="M55" s="1313"/>
      <c r="N55" s="1313"/>
      <c r="O55" s="1313"/>
      <c r="P55" s="1313"/>
      <c r="Q55" s="1318"/>
      <c r="R55" s="1318"/>
      <c r="S55" s="442"/>
    </row>
    <row r="56" spans="3:19">
      <c r="C56" s="1667" t="s">
        <v>767</v>
      </c>
      <c r="D56" s="2778">
        <v>453</v>
      </c>
      <c r="E56" s="1641">
        <v>453</v>
      </c>
      <c r="F56" s="1438">
        <f t="shared" si="0"/>
        <v>906</v>
      </c>
      <c r="H56" s="442"/>
      <c r="I56" s="1313"/>
      <c r="J56" s="1313"/>
      <c r="K56" s="1313"/>
      <c r="L56" s="1313"/>
      <c r="M56" s="1313"/>
      <c r="N56" s="1313"/>
      <c r="O56" s="1313"/>
      <c r="P56" s="1313"/>
      <c r="Q56" s="1313"/>
      <c r="R56" s="1313"/>
      <c r="S56" s="442"/>
    </row>
    <row r="57" spans="3:19">
      <c r="C57" s="1640"/>
      <c r="D57" s="2778"/>
      <c r="E57" s="1641"/>
      <c r="F57" s="1438">
        <f t="shared" si="0"/>
        <v>0</v>
      </c>
      <c r="H57" s="442"/>
      <c r="I57" s="1313"/>
      <c r="J57" s="1313"/>
      <c r="K57" s="1313"/>
      <c r="L57" s="1313"/>
      <c r="M57" s="1313"/>
      <c r="N57" s="1313"/>
      <c r="O57" s="1313"/>
      <c r="P57" s="1313"/>
      <c r="Q57" s="1313"/>
      <c r="R57" s="1313"/>
      <c r="S57" s="442"/>
    </row>
    <row r="58" spans="3:19">
      <c r="C58" s="1640"/>
      <c r="D58" s="2778"/>
      <c r="E58" s="1641"/>
      <c r="F58" s="1438">
        <f t="shared" si="0"/>
        <v>0</v>
      </c>
      <c r="H58" s="442"/>
      <c r="I58" s="968"/>
      <c r="J58" s="968"/>
      <c r="K58" s="968"/>
      <c r="L58" s="968"/>
      <c r="M58" s="968"/>
      <c r="N58" s="968"/>
      <c r="O58" s="968"/>
      <c r="P58" s="968"/>
      <c r="Q58" s="968"/>
      <c r="R58" s="968"/>
      <c r="S58" s="968"/>
    </row>
    <row r="59" spans="3:19">
      <c r="C59" s="1640"/>
      <c r="D59" s="2778"/>
      <c r="E59" s="1641"/>
      <c r="F59" s="1438">
        <f t="shared" si="0"/>
        <v>0</v>
      </c>
      <c r="H59" s="1258"/>
      <c r="I59" s="1312"/>
      <c r="J59" s="442"/>
      <c r="K59" s="442"/>
      <c r="L59" s="442"/>
      <c r="M59" s="442"/>
      <c r="N59" s="442"/>
      <c r="O59" s="442"/>
      <c r="P59" s="442"/>
      <c r="Q59" s="442"/>
      <c r="R59" s="442"/>
      <c r="S59" s="442"/>
    </row>
    <row r="60" spans="3:19">
      <c r="C60" s="1488"/>
      <c r="D60" s="2779"/>
      <c r="E60" s="1490"/>
      <c r="F60" s="1493"/>
    </row>
    <row r="61" spans="3:19">
      <c r="C61" s="1451" t="s">
        <v>49</v>
      </c>
      <c r="D61" s="2771">
        <f>SUM(D62:D65)</f>
        <v>202</v>
      </c>
      <c r="E61" s="1464">
        <f>SUM(E62:E65)</f>
        <v>202</v>
      </c>
      <c r="F61" s="1462">
        <f>SUM(F62:F65)</f>
        <v>404</v>
      </c>
    </row>
    <row r="62" spans="3:19">
      <c r="C62" s="1667" t="s">
        <v>13</v>
      </c>
      <c r="D62" s="2778">
        <v>202</v>
      </c>
      <c r="E62" s="1672">
        <v>202</v>
      </c>
      <c r="F62" s="1438">
        <f t="shared" si="0"/>
        <v>404</v>
      </c>
    </row>
    <row r="63" spans="3:19">
      <c r="C63" s="1423"/>
      <c r="D63" s="2778"/>
      <c r="E63" s="1520"/>
      <c r="F63" s="1438">
        <f t="shared" si="0"/>
        <v>0</v>
      </c>
    </row>
    <row r="64" spans="3:19">
      <c r="C64" s="1423"/>
      <c r="D64" s="2778"/>
      <c r="E64" s="1520"/>
      <c r="F64" s="1437">
        <f t="shared" si="0"/>
        <v>0</v>
      </c>
    </row>
    <row r="65" spans="3:6">
      <c r="C65" s="1423"/>
      <c r="D65" s="2778"/>
      <c r="E65" s="1520"/>
      <c r="F65" s="1438">
        <f t="shared" si="0"/>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I58" sqref="I58"/>
      <pageMargins left="0.18" right="0.24" top="0.31" bottom="0.27" header="0.3" footer="0.3"/>
      <pageSetup paperSize="17" scale="63" orientation="landscape" r:id="rId1"/>
    </customSheetView>
    <customSheetView guid="{074EB09C-6289-46D7-9513-012B68BCA7BF}" showGridLines="0" fitToPage="1">
      <pane xSplit="1" ySplit="1" topLeftCell="B17" activePane="bottomRight" state="frozen"/>
      <selection pane="bottomRight" activeCell="E33" sqref="E33"/>
      <pageMargins left="0.18" right="0.24" top="0.31" bottom="0.27" header="0.3" footer="0.3"/>
      <pageSetup paperSize="3" scale="61" orientation="landscape" r:id="rId2"/>
    </customSheetView>
  </customSheetViews>
  <mergeCells count="6">
    <mergeCell ref="J11:M11"/>
    <mergeCell ref="N11:P11"/>
    <mergeCell ref="Q11:R11"/>
    <mergeCell ref="J12:L12"/>
    <mergeCell ref="J10:M10"/>
    <mergeCell ref="N10:O10"/>
  </mergeCells>
  <pageMargins left="0.18" right="0.24" top="0.31" bottom="0.27" header="0.3" footer="0.3"/>
  <pageSetup paperSize="3" scale="64" orientation="landscape" r:id="rId3"/>
  <drawing r:id="rId4"/>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rgb="FFFFC000"/>
    <pageSetUpPr fitToPage="1"/>
  </sheetPr>
  <dimension ref="A1:S72"/>
  <sheetViews>
    <sheetView showGridLines="0" workbookViewId="0">
      <pane xSplit="1" ySplit="1" topLeftCell="B20" activePane="bottomRight" state="frozen"/>
      <selection pane="topRight" activeCell="B1" sqref="B1"/>
      <selection pane="bottomLeft" activeCell="A2" sqref="A2"/>
      <selection pane="bottomRight" activeCell="E35" sqref="E35"/>
    </sheetView>
  </sheetViews>
  <sheetFormatPr defaultRowHeight="12.75"/>
  <cols>
    <col min="1" max="1" width="18" style="849" customWidth="1"/>
    <col min="2" max="2" width="15.7109375" style="1413" customWidth="1"/>
    <col min="3" max="3" width="28.140625" customWidth="1"/>
    <col min="4" max="5" width="20.28515625" customWidth="1"/>
    <col min="6" max="7" width="18.140625" customWidth="1"/>
    <col min="8" max="8" width="17.5703125" customWidth="1"/>
    <col min="9" max="18" width="15.85546875" customWidth="1"/>
  </cols>
  <sheetData>
    <row r="1" spans="1:18" ht="56.25" customHeight="1">
      <c r="C1" s="942"/>
      <c r="D1" s="1361" t="s">
        <v>194</v>
      </c>
      <c r="E1" s="1516" t="s">
        <v>5</v>
      </c>
      <c r="F1" s="1516">
        <v>18230653</v>
      </c>
      <c r="G1" s="1509" t="s">
        <v>28</v>
      </c>
      <c r="J1" s="468"/>
      <c r="K1" s="466"/>
      <c r="L1" s="466"/>
      <c r="M1" s="1361" t="s">
        <v>194</v>
      </c>
      <c r="N1" s="1516" t="s">
        <v>5</v>
      </c>
      <c r="O1" s="1516">
        <v>18230653</v>
      </c>
      <c r="P1" s="1509" t="s">
        <v>28</v>
      </c>
      <c r="Q1" s="466"/>
      <c r="R1" s="466"/>
    </row>
    <row r="2" spans="1:18" ht="16.5" customHeight="1" thickBot="1">
      <c r="C2" s="1332"/>
      <c r="D2" s="1376"/>
      <c r="E2" s="891"/>
      <c r="F2" s="891"/>
      <c r="G2" s="891"/>
      <c r="H2" s="1178" t="s">
        <v>627</v>
      </c>
      <c r="I2" s="466"/>
      <c r="J2" s="466"/>
      <c r="K2" s="466"/>
      <c r="L2" s="466"/>
      <c r="M2" s="466"/>
      <c r="N2" s="466"/>
      <c r="O2" s="466"/>
      <c r="P2" s="466"/>
      <c r="Q2" s="466"/>
      <c r="R2" s="1416"/>
    </row>
    <row r="3" spans="1:18" ht="26.25" thickBot="1">
      <c r="A3" s="1357" t="s">
        <v>194</v>
      </c>
      <c r="B3" s="1357"/>
      <c r="C3" s="1311"/>
      <c r="D3" s="1311"/>
      <c r="F3" s="466"/>
      <c r="G3" s="466"/>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372" t="s">
        <v>5</v>
      </c>
      <c r="B4" s="1372"/>
      <c r="C4" s="1332"/>
      <c r="D4" s="1331"/>
      <c r="E4" s="466"/>
      <c r="F4" s="466"/>
      <c r="G4" s="2946" t="s">
        <v>1726</v>
      </c>
      <c r="H4" s="2959">
        <f>D15</f>
        <v>58797.859999999993</v>
      </c>
      <c r="I4" s="2960">
        <f>D23</f>
        <v>0</v>
      </c>
      <c r="J4" s="2960">
        <f>D29</f>
        <v>39218.172619999998</v>
      </c>
      <c r="K4" s="2960">
        <f>D39</f>
        <v>1180</v>
      </c>
      <c r="L4" s="2960">
        <f>D45</f>
        <v>1280</v>
      </c>
      <c r="M4" s="2960">
        <f>D51</f>
        <v>14225</v>
      </c>
      <c r="N4" s="2960">
        <f>D57</f>
        <v>715</v>
      </c>
      <c r="O4" s="2960">
        <f>D63</f>
        <v>0</v>
      </c>
      <c r="P4" s="2960">
        <v>0</v>
      </c>
      <c r="Q4" s="2960">
        <v>0</v>
      </c>
      <c r="R4" s="2961">
        <f>SUM(H4:Q4)</f>
        <v>115416.03261999998</v>
      </c>
    </row>
    <row r="5" spans="1:18" ht="15.75">
      <c r="A5" s="1372">
        <v>18230653</v>
      </c>
      <c r="C5" s="1377"/>
      <c r="D5" s="1124"/>
      <c r="E5" s="466"/>
      <c r="F5" s="466"/>
      <c r="G5" s="3205" t="s">
        <v>1753</v>
      </c>
      <c r="H5" s="2617">
        <v>60272.306499999992</v>
      </c>
      <c r="I5" s="2618">
        <v>0</v>
      </c>
      <c r="J5" s="2618">
        <v>40985.168419999995</v>
      </c>
      <c r="K5" s="2618">
        <v>530</v>
      </c>
      <c r="L5" s="2618">
        <v>1280</v>
      </c>
      <c r="M5" s="2618">
        <v>8525</v>
      </c>
      <c r="N5" s="2618">
        <v>715</v>
      </c>
      <c r="O5" s="2618">
        <v>0</v>
      </c>
      <c r="P5" s="2618">
        <v>0</v>
      </c>
      <c r="Q5" s="2618">
        <v>0</v>
      </c>
      <c r="R5" s="2619">
        <v>112307.47491999998</v>
      </c>
    </row>
    <row r="6" spans="1:18" ht="16.5" thickBot="1">
      <c r="A6" s="1357" t="s">
        <v>28</v>
      </c>
      <c r="B6" s="1372"/>
      <c r="C6" s="1331"/>
      <c r="D6" s="1332"/>
      <c r="E6" s="466"/>
      <c r="F6" s="466"/>
      <c r="G6" s="3206" t="s">
        <v>1754</v>
      </c>
      <c r="H6" s="2621">
        <f>E15</f>
        <v>60272.306499999992</v>
      </c>
      <c r="I6" s="2622">
        <f>E23</f>
        <v>0</v>
      </c>
      <c r="J6" s="2623">
        <f>E29</f>
        <v>41467.346871999987</v>
      </c>
      <c r="K6" s="2622">
        <f>E39</f>
        <v>530</v>
      </c>
      <c r="L6" s="2622">
        <f>E45</f>
        <v>1280</v>
      </c>
      <c r="M6" s="2622">
        <f>E51</f>
        <v>8525</v>
      </c>
      <c r="N6" s="2622">
        <f>E57</f>
        <v>715</v>
      </c>
      <c r="O6" s="2622">
        <f>E63</f>
        <v>0</v>
      </c>
      <c r="P6" s="2622">
        <v>0</v>
      </c>
      <c r="Q6" s="2622">
        <v>0</v>
      </c>
      <c r="R6" s="2624">
        <f>SUM(H6:Q6)</f>
        <v>112789.65337199997</v>
      </c>
    </row>
    <row r="7" spans="1:18" ht="15.75">
      <c r="B7" s="1357"/>
      <c r="C7" s="1331"/>
      <c r="D7" s="1332"/>
      <c r="E7" s="1354"/>
      <c r="F7" s="1354"/>
      <c r="G7" s="2733"/>
      <c r="H7" s="2607"/>
      <c r="I7" s="2607"/>
      <c r="J7" s="2607"/>
      <c r="K7" s="2607"/>
      <c r="L7" s="2607"/>
      <c r="M7" s="2607"/>
      <c r="N7" s="2607"/>
      <c r="O7" s="2607"/>
      <c r="P7" s="2607"/>
      <c r="Q7" s="2607"/>
      <c r="R7" s="2607"/>
    </row>
    <row r="8" spans="1:18" ht="15.75">
      <c r="B8" s="1357"/>
      <c r="C8" s="1331"/>
      <c r="D8" s="1332"/>
      <c r="E8" s="1354"/>
      <c r="F8" s="1354"/>
      <c r="Q8" s="505"/>
      <c r="R8" s="24"/>
    </row>
    <row r="9" spans="1:18" s="501" customFormat="1" ht="15.75">
      <c r="A9" s="1357"/>
      <c r="B9" s="1357"/>
      <c r="C9" s="1331"/>
      <c r="D9" s="1332"/>
      <c r="E9" s="1354"/>
      <c r="F9" s="1354"/>
      <c r="Q9" s="505"/>
    </row>
    <row r="10" spans="1:18">
      <c r="A10" s="1357"/>
      <c r="B10" s="1357"/>
      <c r="C10" s="1454" t="s">
        <v>310</v>
      </c>
      <c r="D10" s="1454"/>
      <c r="E10" s="1454"/>
      <c r="F10" s="1454"/>
      <c r="H10" s="466"/>
      <c r="I10" s="466"/>
      <c r="J10" s="3610"/>
      <c r="K10" s="3610"/>
      <c r="L10" s="3610"/>
      <c r="M10" s="3610"/>
      <c r="N10" s="3611"/>
      <c r="O10" s="3611"/>
      <c r="P10" s="1320"/>
      <c r="Q10" s="1320"/>
      <c r="R10" s="1320"/>
    </row>
    <row r="11" spans="1:18" ht="15.75">
      <c r="A11" s="1357"/>
      <c r="B11" s="1357"/>
      <c r="C11" s="1413"/>
      <c r="D11" s="1413"/>
      <c r="E11" s="1414"/>
      <c r="F11" s="1413"/>
      <c r="H11" s="466"/>
      <c r="I11" s="466"/>
      <c r="J11" s="3609"/>
      <c r="K11" s="3609"/>
      <c r="L11" s="3609"/>
      <c r="M11" s="3609"/>
      <c r="N11" s="3609"/>
      <c r="O11" s="3609"/>
      <c r="P11" s="3609"/>
      <c r="Q11" s="3609"/>
      <c r="R11" s="3609"/>
    </row>
    <row r="12" spans="1:18">
      <c r="C12" s="1434" t="s">
        <v>298</v>
      </c>
      <c r="D12" s="2766">
        <f>D15+D23+D29+D39+D45+D51+D57+D63</f>
        <v>115416.03261999998</v>
      </c>
      <c r="E12" s="1484">
        <f>E15+E23+E29+E39+E45+E51+E57+E63</f>
        <v>112789.65337199997</v>
      </c>
      <c r="F12" s="1462">
        <f>D12+E12</f>
        <v>228205.68599199996</v>
      </c>
      <c r="H12" s="466"/>
      <c r="I12" s="469"/>
      <c r="J12" s="1320"/>
      <c r="K12" s="1320"/>
      <c r="L12" s="1320"/>
      <c r="M12" s="1282"/>
      <c r="N12" s="1320"/>
      <c r="O12" s="1320"/>
      <c r="P12" s="1319"/>
      <c r="Q12" s="1261"/>
      <c r="R12" s="1261"/>
    </row>
    <row r="13" spans="1:18">
      <c r="C13" s="1483"/>
      <c r="D13" s="2767"/>
      <c r="E13" s="1336"/>
      <c r="F13" s="1413"/>
      <c r="H13" s="466"/>
      <c r="I13" s="469"/>
      <c r="J13" s="1320"/>
      <c r="K13" s="1320"/>
      <c r="L13" s="1320"/>
      <c r="M13" s="1282"/>
      <c r="N13" s="1320"/>
      <c r="O13" s="1320"/>
      <c r="P13" s="1319"/>
      <c r="Q13" s="1261"/>
      <c r="R13" s="1261"/>
    </row>
    <row r="14" spans="1:18" ht="15.75">
      <c r="C14" s="1435" t="s">
        <v>42</v>
      </c>
      <c r="D14" s="2768">
        <v>2016</v>
      </c>
      <c r="E14" s="1502">
        <v>2017</v>
      </c>
      <c r="F14" s="1486" t="s">
        <v>20</v>
      </c>
      <c r="H14" s="466"/>
      <c r="I14" s="469"/>
      <c r="J14" s="1320"/>
      <c r="K14" s="1320"/>
      <c r="L14" s="1320"/>
      <c r="M14" s="1282"/>
      <c r="N14" s="1320"/>
      <c r="O14" s="1320"/>
      <c r="P14" s="1319"/>
      <c r="Q14" s="1261"/>
      <c r="R14" s="1261"/>
    </row>
    <row r="15" spans="1:18">
      <c r="B15" s="1433" t="s">
        <v>296</v>
      </c>
      <c r="C15" s="1451" t="s">
        <v>43</v>
      </c>
      <c r="D15" s="2771">
        <f>SUM(D16:D21)</f>
        <v>58797.859999999993</v>
      </c>
      <c r="E15" s="1464">
        <f>SUM(E16:E21)</f>
        <v>60272.306499999992</v>
      </c>
      <c r="F15" s="1462">
        <f t="shared" ref="F15:F53" si="0">SUM(D15:E15)</f>
        <v>119070.16649999999</v>
      </c>
      <c r="H15" s="466"/>
      <c r="I15" s="469"/>
      <c r="J15" s="1320"/>
      <c r="K15" s="1320"/>
      <c r="L15" s="1320"/>
      <c r="M15" s="1282"/>
      <c r="N15" s="1320"/>
      <c r="O15" s="1320"/>
      <c r="P15" s="1319"/>
      <c r="Q15" s="1261"/>
      <c r="R15" s="1261"/>
    </row>
    <row r="16" spans="1:18">
      <c r="B16" s="1982">
        <v>0.05</v>
      </c>
      <c r="C16" s="1667" t="s">
        <v>323</v>
      </c>
      <c r="D16" s="2772">
        <v>4108.3</v>
      </c>
      <c r="E16" s="1669">
        <f>D16*1.025</f>
        <v>4211.0074999999997</v>
      </c>
      <c r="F16" s="1426">
        <f t="shared" si="0"/>
        <v>8319.307499999999</v>
      </c>
      <c r="H16" s="466"/>
      <c r="I16" s="469"/>
      <c r="J16" s="1320"/>
      <c r="K16" s="1320"/>
      <c r="L16" s="1320"/>
      <c r="M16" s="1282"/>
      <c r="N16" s="1320"/>
      <c r="O16" s="1320"/>
      <c r="P16" s="1319"/>
      <c r="Q16" s="1261"/>
      <c r="R16" s="1261"/>
    </row>
    <row r="17" spans="2:18" s="1652" customFormat="1">
      <c r="B17" s="1982">
        <v>0.1</v>
      </c>
      <c r="C17" s="1667" t="s">
        <v>734</v>
      </c>
      <c r="D17" s="2772">
        <v>8216.6</v>
      </c>
      <c r="E17" s="1669">
        <f>D17*1.025</f>
        <v>8422.0149999999994</v>
      </c>
      <c r="F17" s="1426">
        <f t="shared" si="0"/>
        <v>16638.614999999998</v>
      </c>
      <c r="H17" s="1354"/>
      <c r="I17" s="1331"/>
      <c r="J17" s="1331"/>
      <c r="K17" s="1331"/>
      <c r="L17" s="1331"/>
      <c r="M17" s="1282"/>
      <c r="N17" s="1331"/>
      <c r="O17" s="1331"/>
      <c r="P17" s="1330"/>
      <c r="Q17" s="1261"/>
      <c r="R17" s="1261"/>
    </row>
    <row r="18" spans="2:18" s="1652" customFormat="1">
      <c r="B18" s="1982">
        <v>0.1</v>
      </c>
      <c r="C18" s="1667" t="s">
        <v>794</v>
      </c>
      <c r="D18" s="2784">
        <v>8216.6</v>
      </c>
      <c r="E18" s="1668">
        <f>D18*1.025</f>
        <v>8422.0149999999994</v>
      </c>
      <c r="F18" s="1426">
        <f t="shared" si="0"/>
        <v>16638.614999999998</v>
      </c>
      <c r="H18" s="1354"/>
      <c r="I18" s="1331"/>
      <c r="J18" s="1331"/>
      <c r="K18" s="1331"/>
      <c r="L18" s="1331"/>
      <c r="M18" s="1282"/>
      <c r="N18" s="1331"/>
      <c r="O18" s="1331"/>
      <c r="P18" s="1330"/>
      <c r="Q18" s="1261"/>
      <c r="R18" s="1261"/>
    </row>
    <row r="19" spans="2:18">
      <c r="B19" s="1982">
        <v>0.36</v>
      </c>
      <c r="C19" s="1667" t="s">
        <v>795</v>
      </c>
      <c r="D19" s="2784">
        <v>29579.759999999998</v>
      </c>
      <c r="E19" s="1668">
        <f>D19*1.025</f>
        <v>30319.253999999997</v>
      </c>
      <c r="F19" s="1426">
        <f t="shared" si="0"/>
        <v>59899.013999999996</v>
      </c>
      <c r="H19" s="466"/>
      <c r="I19" s="469"/>
      <c r="J19" s="1320"/>
      <c r="K19" s="1320"/>
      <c r="L19" s="1320"/>
      <c r="M19" s="1282"/>
      <c r="N19" s="1320"/>
      <c r="O19" s="1320"/>
      <c r="P19" s="1319"/>
      <c r="Q19" s="1261"/>
      <c r="R19" s="1261"/>
    </row>
    <row r="20" spans="2:18">
      <c r="B20" s="1982">
        <v>0.1</v>
      </c>
      <c r="C20" s="1667" t="s">
        <v>781</v>
      </c>
      <c r="D20" s="2784">
        <v>8216.6</v>
      </c>
      <c r="E20" s="1668">
        <f>D20*1.025</f>
        <v>8422.0149999999994</v>
      </c>
      <c r="F20" s="1426">
        <f t="shared" si="0"/>
        <v>16638.614999999998</v>
      </c>
      <c r="H20" s="466"/>
      <c r="I20" s="469"/>
      <c r="J20" s="1320"/>
      <c r="K20" s="1320"/>
      <c r="L20" s="1320"/>
      <c r="M20" s="1282"/>
      <c r="N20" s="1320"/>
      <c r="O20" s="1320"/>
      <c r="P20" s="1319"/>
      <c r="Q20" s="1261"/>
      <c r="R20" s="1261"/>
    </row>
    <row r="21" spans="2:18">
      <c r="B21" s="1982"/>
      <c r="C21" s="1667" t="s">
        <v>796</v>
      </c>
      <c r="D21" s="2772">
        <v>460</v>
      </c>
      <c r="E21" s="1670">
        <v>476</v>
      </c>
      <c r="F21" s="1426">
        <f t="shared" si="0"/>
        <v>936</v>
      </c>
      <c r="H21" s="466"/>
      <c r="I21" s="469"/>
      <c r="J21" s="1320"/>
      <c r="K21" s="1320"/>
      <c r="L21" s="1320"/>
      <c r="M21" s="1282"/>
      <c r="N21" s="1320"/>
      <c r="O21" s="1320"/>
      <c r="P21" s="1319"/>
      <c r="Q21" s="1261"/>
      <c r="R21" s="1261"/>
    </row>
    <row r="22" spans="2:18">
      <c r="B22" s="1449">
        <f>SUM(B16:B21)</f>
        <v>0.71</v>
      </c>
      <c r="C22" s="1488"/>
      <c r="D22" s="2770"/>
      <c r="E22" s="1490"/>
      <c r="F22" s="1492"/>
      <c r="H22" s="466"/>
      <c r="I22" s="469"/>
      <c r="J22" s="1320"/>
      <c r="K22" s="1320"/>
      <c r="L22" s="1320"/>
      <c r="M22" s="1282"/>
      <c r="N22" s="1320"/>
      <c r="O22" s="1320"/>
      <c r="P22" s="1319"/>
      <c r="Q22" s="1261"/>
      <c r="R22" s="1261"/>
    </row>
    <row r="23" spans="2:18">
      <c r="C23" s="1451" t="s">
        <v>44</v>
      </c>
      <c r="D23" s="2771">
        <f>SUM(D24:D27)</f>
        <v>0</v>
      </c>
      <c r="E23" s="1464">
        <f>SUM(E24:E27)</f>
        <v>0</v>
      </c>
      <c r="F23" s="1462">
        <f t="shared" si="0"/>
        <v>0</v>
      </c>
      <c r="H23" s="466"/>
      <c r="I23" s="469"/>
      <c r="J23" s="1320"/>
      <c r="K23" s="1320"/>
      <c r="L23" s="1320"/>
      <c r="M23" s="1282"/>
      <c r="N23" s="1320"/>
      <c r="O23" s="1320"/>
      <c r="P23" s="1319"/>
      <c r="Q23" s="1261"/>
      <c r="R23" s="1261"/>
    </row>
    <row r="24" spans="2:18">
      <c r="C24" s="1423"/>
      <c r="D24" s="2772"/>
      <c r="E24" s="1448"/>
      <c r="F24" s="1426">
        <f t="shared" si="0"/>
        <v>0</v>
      </c>
      <c r="H24" s="467"/>
      <c r="I24" s="469"/>
      <c r="J24" s="1320"/>
      <c r="K24" s="1320"/>
      <c r="L24" s="1320"/>
      <c r="M24" s="1282"/>
      <c r="N24" s="1320"/>
      <c r="O24" s="1320"/>
      <c r="P24" s="1319"/>
      <c r="Q24" s="1261"/>
      <c r="R24" s="1261"/>
    </row>
    <row r="25" spans="2:18">
      <c r="C25" s="1423"/>
      <c r="D25" s="2773"/>
      <c r="E25" s="1444"/>
      <c r="F25" s="1438">
        <f t="shared" si="0"/>
        <v>0</v>
      </c>
      <c r="H25" s="466"/>
      <c r="I25" s="469"/>
      <c r="J25" s="1320"/>
      <c r="K25" s="1320"/>
      <c r="L25" s="1320"/>
      <c r="M25" s="1282"/>
      <c r="N25" s="1320"/>
      <c r="O25" s="1320"/>
      <c r="P25" s="1319"/>
      <c r="Q25" s="1261"/>
      <c r="R25" s="1261"/>
    </row>
    <row r="26" spans="2:18">
      <c r="C26" s="1423"/>
      <c r="D26" s="2774"/>
      <c r="E26" s="1443"/>
      <c r="F26" s="1438">
        <f t="shared" si="0"/>
        <v>0</v>
      </c>
      <c r="H26" s="466"/>
      <c r="I26" s="469"/>
      <c r="J26" s="1320"/>
      <c r="K26" s="1320"/>
      <c r="L26" s="1320"/>
      <c r="M26" s="1282"/>
      <c r="N26" s="1320"/>
      <c r="O26" s="1320"/>
      <c r="P26" s="1319"/>
      <c r="Q26" s="1261"/>
      <c r="R26" s="1261"/>
    </row>
    <row r="27" spans="2:18">
      <c r="C27" s="1423"/>
      <c r="D27" s="2775"/>
      <c r="E27" s="1444"/>
      <c r="F27" s="1438">
        <f t="shared" si="0"/>
        <v>0</v>
      </c>
      <c r="H27" s="466"/>
      <c r="I27" s="469"/>
      <c r="J27" s="1320"/>
      <c r="K27" s="1320"/>
      <c r="L27" s="1320"/>
      <c r="M27" s="1282"/>
      <c r="N27" s="1320"/>
      <c r="O27" s="1320"/>
      <c r="P27" s="1319"/>
      <c r="Q27" s="1261"/>
      <c r="R27" s="1261"/>
    </row>
    <row r="28" spans="2:18">
      <c r="C28" s="1424"/>
      <c r="D28" s="2776"/>
      <c r="E28" s="1431"/>
      <c r="F28" s="1439"/>
      <c r="H28" s="466"/>
      <c r="I28" s="469"/>
      <c r="J28" s="1320"/>
      <c r="K28" s="1320"/>
      <c r="L28" s="1320"/>
      <c r="M28" s="1282"/>
      <c r="N28" s="1320"/>
      <c r="O28" s="1320"/>
      <c r="P28" s="1319"/>
      <c r="Q28" s="1261"/>
      <c r="R28" s="1261"/>
    </row>
    <row r="29" spans="2:18">
      <c r="C29" s="1451" t="s">
        <v>45</v>
      </c>
      <c r="D29" s="2771">
        <f>SUM(D31:D37)</f>
        <v>39218.172619999998</v>
      </c>
      <c r="E29" s="1657">
        <f>SUM(E31:E33)+SUM(E35:E37)</f>
        <v>41467.346871999987</v>
      </c>
      <c r="F29" s="1462">
        <f t="shared" si="0"/>
        <v>80685.519491999992</v>
      </c>
      <c r="H29" s="466"/>
      <c r="I29" s="469"/>
      <c r="J29" s="1320"/>
      <c r="K29" s="1320"/>
      <c r="L29" s="1320"/>
      <c r="M29" s="1282"/>
      <c r="N29" s="1320"/>
      <c r="O29" s="1320"/>
      <c r="P29" s="1319"/>
      <c r="Q29" s="1261"/>
      <c r="R29" s="1261"/>
    </row>
    <row r="30" spans="2:18">
      <c r="C30" s="1450" t="s">
        <v>1733</v>
      </c>
      <c r="D30" s="2777">
        <v>0.66700000000000004</v>
      </c>
      <c r="E30" s="1452">
        <v>0.68799999999999994</v>
      </c>
      <c r="F30" s="1485"/>
      <c r="H30" s="466"/>
      <c r="I30" s="469"/>
      <c r="J30" s="1320"/>
      <c r="K30" s="1320"/>
      <c r="L30" s="1320"/>
      <c r="M30" s="1282"/>
      <c r="N30" s="1320"/>
      <c r="O30" s="1320"/>
      <c r="P30" s="1319"/>
      <c r="Q30" s="1261"/>
      <c r="R30" s="1261"/>
    </row>
    <row r="31" spans="2:18">
      <c r="C31" s="1667" t="s">
        <v>719</v>
      </c>
      <c r="D31" s="2778">
        <f>D15*D30</f>
        <v>39218.172619999998</v>
      </c>
      <c r="E31" s="1504">
        <f>E15*E30</f>
        <v>41467.346871999987</v>
      </c>
      <c r="F31" s="1438">
        <f t="shared" si="0"/>
        <v>80685.519491999992</v>
      </c>
      <c r="H31" s="466"/>
      <c r="I31" s="469"/>
      <c r="J31" s="1320"/>
      <c r="K31" s="1320"/>
      <c r="L31" s="1320"/>
      <c r="M31" s="1282"/>
      <c r="N31" s="1320"/>
      <c r="O31" s="1320"/>
      <c r="P31" s="1319"/>
      <c r="Q31" s="1261"/>
      <c r="R31" s="1261"/>
    </row>
    <row r="32" spans="2:18">
      <c r="C32" s="1667" t="s">
        <v>720</v>
      </c>
      <c r="D32" s="2785">
        <f>D23*D30</f>
        <v>0</v>
      </c>
      <c r="E32" s="1504">
        <f>E23*E30</f>
        <v>0</v>
      </c>
      <c r="F32" s="1661">
        <f t="shared" si="0"/>
        <v>0</v>
      </c>
      <c r="H32" s="466"/>
      <c r="I32" s="469"/>
      <c r="J32" s="1320"/>
      <c r="K32" s="1320"/>
      <c r="L32" s="1320"/>
      <c r="M32" s="1282"/>
      <c r="N32" s="1320"/>
      <c r="O32" s="1320"/>
      <c r="P32" s="1319"/>
      <c r="Q32" s="1261"/>
      <c r="R32" s="1261"/>
    </row>
    <row r="33" spans="1:18">
      <c r="C33" s="1667"/>
      <c r="D33" s="2774"/>
      <c r="E33" s="1443"/>
      <c r="F33" s="1661">
        <f t="shared" si="0"/>
        <v>0</v>
      </c>
      <c r="H33" s="466"/>
      <c r="I33" s="469"/>
      <c r="J33" s="1320"/>
      <c r="K33" s="1320"/>
      <c r="L33" s="1320"/>
      <c r="M33" s="1282"/>
      <c r="N33" s="1320"/>
      <c r="O33" s="1320"/>
      <c r="P33" s="1319"/>
      <c r="Q33" s="1261"/>
      <c r="R33" s="1261"/>
    </row>
    <row r="34" spans="1:18">
      <c r="C34" s="1450" t="s">
        <v>1734</v>
      </c>
      <c r="D34" s="2777"/>
      <c r="E34" s="1452">
        <v>0</v>
      </c>
      <c r="F34" s="1485"/>
      <c r="H34" s="466"/>
      <c r="I34" s="469"/>
      <c r="J34" s="1320"/>
      <c r="K34" s="1320"/>
      <c r="L34" s="1320"/>
      <c r="M34" s="1282"/>
      <c r="N34" s="1320"/>
      <c r="O34" s="1320"/>
      <c r="P34" s="1319"/>
      <c r="Q34" s="1261"/>
      <c r="R34" s="1261"/>
    </row>
    <row r="35" spans="1:18">
      <c r="C35" s="1667" t="s">
        <v>719</v>
      </c>
      <c r="D35" s="2778"/>
      <c r="E35" s="1641">
        <f>E15*E34</f>
        <v>0</v>
      </c>
      <c r="F35" s="1661">
        <f>SUM(D35:E35)</f>
        <v>0</v>
      </c>
      <c r="H35" s="466"/>
      <c r="I35" s="469"/>
      <c r="J35" s="1320"/>
      <c r="K35" s="1320"/>
      <c r="L35" s="1320"/>
      <c r="M35" s="1282"/>
      <c r="N35" s="1320"/>
      <c r="O35" s="1320"/>
      <c r="P35" s="1319"/>
      <c r="Q35" s="1261"/>
      <c r="R35" s="1261"/>
    </row>
    <row r="36" spans="1:18">
      <c r="C36" s="1667" t="s">
        <v>720</v>
      </c>
      <c r="D36" s="2785"/>
      <c r="E36" s="1641">
        <f>E23*E34</f>
        <v>0</v>
      </c>
      <c r="F36" s="1661">
        <f t="shared" ref="F36" si="1">SUM(D36:E36)</f>
        <v>0</v>
      </c>
      <c r="H36" s="466"/>
      <c r="I36" s="469"/>
      <c r="J36" s="1320"/>
      <c r="K36" s="1320"/>
      <c r="L36" s="1320"/>
      <c r="M36" s="1282"/>
      <c r="N36" s="1320"/>
      <c r="O36" s="1320"/>
      <c r="P36" s="1319"/>
      <c r="Q36" s="1261"/>
      <c r="R36" s="1261"/>
    </row>
    <row r="37" spans="1:18">
      <c r="A37" s="1357" t="s">
        <v>194</v>
      </c>
      <c r="C37" s="1445"/>
      <c r="D37" s="2775"/>
      <c r="E37" s="1444"/>
      <c r="F37" s="1661">
        <f t="shared" si="0"/>
        <v>0</v>
      </c>
      <c r="H37" s="466"/>
      <c r="I37" s="469"/>
      <c r="J37" s="1320"/>
      <c r="K37" s="1320"/>
      <c r="L37" s="1320"/>
      <c r="M37" s="1282"/>
      <c r="N37" s="1320"/>
      <c r="O37" s="1320"/>
      <c r="P37" s="1319"/>
      <c r="Q37" s="1261"/>
      <c r="R37" s="1261"/>
    </row>
    <row r="38" spans="1:18">
      <c r="A38" s="1372" t="s">
        <v>5</v>
      </c>
      <c r="C38" s="1488"/>
      <c r="D38" s="2779"/>
      <c r="E38" s="1490"/>
      <c r="F38" s="1493"/>
      <c r="H38" s="466"/>
      <c r="I38" s="469"/>
      <c r="J38" s="1320"/>
      <c r="K38" s="1320"/>
      <c r="L38" s="1320"/>
      <c r="M38" s="1282"/>
      <c r="N38" s="1320"/>
      <c r="O38" s="1320"/>
      <c r="P38" s="1319"/>
      <c r="Q38" s="1261"/>
      <c r="R38" s="1261"/>
    </row>
    <row r="39" spans="1:18">
      <c r="A39" s="1372">
        <v>18230653</v>
      </c>
      <c r="C39" s="1451" t="s">
        <v>46</v>
      </c>
      <c r="D39" s="2771">
        <f>SUM(D40:D43)</f>
        <v>1180</v>
      </c>
      <c r="E39" s="1464">
        <f>SUM(E40:E43)</f>
        <v>530</v>
      </c>
      <c r="F39" s="1462">
        <f t="shared" si="0"/>
        <v>1710</v>
      </c>
      <c r="H39" s="466"/>
      <c r="I39" s="469"/>
      <c r="J39" s="1320"/>
      <c r="K39" s="1320"/>
      <c r="L39" s="1320"/>
      <c r="M39" s="1282"/>
      <c r="N39" s="1320"/>
      <c r="O39" s="1320"/>
      <c r="P39" s="1319"/>
      <c r="Q39" s="1261"/>
      <c r="R39" s="1261"/>
    </row>
    <row r="40" spans="1:18" ht="12.75" customHeight="1">
      <c r="A40" s="1357" t="s">
        <v>28</v>
      </c>
      <c r="C40" s="1667" t="s">
        <v>797</v>
      </c>
      <c r="D40" s="2778">
        <v>780</v>
      </c>
      <c r="E40" s="1672">
        <v>400</v>
      </c>
      <c r="F40" s="1438">
        <f t="shared" si="0"/>
        <v>1180</v>
      </c>
      <c r="H40" s="466"/>
      <c r="I40" s="469"/>
      <c r="J40" s="1320"/>
      <c r="K40" s="1320"/>
      <c r="L40" s="1320"/>
      <c r="M40" s="1282"/>
      <c r="N40" s="1320"/>
      <c r="O40" s="1320"/>
      <c r="P40" s="1319"/>
      <c r="Q40" s="1261"/>
      <c r="R40" s="1261"/>
    </row>
    <row r="41" spans="1:18">
      <c r="C41" s="1667" t="s">
        <v>807</v>
      </c>
      <c r="D41" s="2778">
        <v>400</v>
      </c>
      <c r="E41" s="1672">
        <v>130</v>
      </c>
      <c r="F41" s="1438">
        <f t="shared" si="0"/>
        <v>530</v>
      </c>
      <c r="H41" s="1083"/>
      <c r="I41" s="1084"/>
      <c r="J41" s="1320"/>
      <c r="K41" s="1320"/>
      <c r="L41" s="1320"/>
      <c r="M41" s="1282"/>
      <c r="N41" s="1320"/>
      <c r="O41" s="1320"/>
      <c r="P41" s="1319"/>
      <c r="Q41" s="1261"/>
      <c r="R41" s="1261"/>
    </row>
    <row r="42" spans="1:18">
      <c r="C42" s="1423"/>
      <c r="D42" s="2778"/>
      <c r="E42" s="1520"/>
      <c r="F42" s="1438">
        <f t="shared" si="0"/>
        <v>0</v>
      </c>
      <c r="H42" s="466"/>
      <c r="I42" s="469"/>
      <c r="J42" s="1320"/>
      <c r="K42" s="1320"/>
      <c r="L42" s="1320"/>
      <c r="M42" s="1282"/>
      <c r="N42" s="1320"/>
      <c r="O42" s="1320"/>
      <c r="P42" s="1319"/>
      <c r="Q42" s="1261"/>
      <c r="R42" s="1261"/>
    </row>
    <row r="43" spans="1:18">
      <c r="C43" s="1423"/>
      <c r="D43" s="2778"/>
      <c r="E43" s="1520"/>
      <c r="F43" s="1438">
        <f t="shared" si="0"/>
        <v>0</v>
      </c>
      <c r="H43" s="466"/>
      <c r="I43" s="469"/>
      <c r="J43" s="1320"/>
      <c r="K43" s="1320"/>
      <c r="L43" s="1320"/>
      <c r="M43" s="1282"/>
      <c r="N43" s="1320"/>
      <c r="O43" s="1320"/>
      <c r="P43" s="1319"/>
      <c r="Q43" s="1261"/>
      <c r="R43" s="1261"/>
    </row>
    <row r="44" spans="1:18">
      <c r="C44" s="1488"/>
      <c r="D44" s="2779"/>
      <c r="E44" s="1490"/>
      <c r="F44" s="1493"/>
      <c r="H44" s="466"/>
      <c r="I44" s="469"/>
      <c r="J44" s="1320"/>
      <c r="K44" s="1320"/>
      <c r="L44" s="1320"/>
      <c r="M44" s="1282"/>
      <c r="N44" s="1320"/>
      <c r="O44" s="1320"/>
      <c r="P44" s="1319"/>
      <c r="Q44" s="1261"/>
      <c r="R44" s="1261"/>
    </row>
    <row r="45" spans="1:18">
      <c r="C45" s="1597" t="s">
        <v>483</v>
      </c>
      <c r="D45" s="2771">
        <f>SUM(D46:D49)</f>
        <v>1280</v>
      </c>
      <c r="E45" s="1464">
        <f>SUM(E46:E49)</f>
        <v>1280</v>
      </c>
      <c r="F45" s="1462">
        <f t="shared" si="0"/>
        <v>2560</v>
      </c>
      <c r="H45" s="466"/>
      <c r="I45" s="469"/>
      <c r="J45" s="1320"/>
      <c r="K45" s="1320"/>
      <c r="L45" s="1320"/>
      <c r="M45" s="1282"/>
      <c r="N45" s="1320"/>
      <c r="O45" s="1320"/>
      <c r="P45" s="1319"/>
      <c r="Q45" s="1261"/>
      <c r="R45" s="1261"/>
    </row>
    <row r="46" spans="1:18">
      <c r="C46" s="1667" t="s">
        <v>787</v>
      </c>
      <c r="D46" s="2778">
        <v>500</v>
      </c>
      <c r="E46" s="1672">
        <v>500</v>
      </c>
      <c r="F46" s="1438">
        <f t="shared" si="0"/>
        <v>1000</v>
      </c>
      <c r="H46" s="466"/>
      <c r="I46" s="469"/>
      <c r="J46" s="1320"/>
      <c r="K46" s="1320"/>
      <c r="L46" s="1320"/>
      <c r="M46" s="1282"/>
      <c r="N46" s="1320"/>
      <c r="O46" s="1320"/>
      <c r="P46" s="1319"/>
      <c r="Q46" s="1261"/>
      <c r="R46" s="1261"/>
    </row>
    <row r="47" spans="1:18">
      <c r="C47" s="1667" t="s">
        <v>799</v>
      </c>
      <c r="D47" s="2778">
        <v>130</v>
      </c>
      <c r="E47" s="1672">
        <v>130</v>
      </c>
      <c r="F47" s="1438">
        <f t="shared" si="0"/>
        <v>260</v>
      </c>
      <c r="H47" s="466"/>
      <c r="I47" s="469"/>
      <c r="J47" s="1320"/>
      <c r="K47" s="1320"/>
      <c r="L47" s="1320"/>
      <c r="M47" s="1282"/>
      <c r="N47" s="1320"/>
      <c r="O47" s="1320"/>
      <c r="P47" s="1319"/>
      <c r="Q47" s="1261"/>
      <c r="R47" s="1261"/>
    </row>
    <row r="48" spans="1:18">
      <c r="C48" s="1667" t="s">
        <v>800</v>
      </c>
      <c r="D48" s="2778">
        <v>650</v>
      </c>
      <c r="E48" s="1641">
        <v>650</v>
      </c>
      <c r="F48" s="1438">
        <f t="shared" si="0"/>
        <v>1300</v>
      </c>
      <c r="H48" s="466"/>
      <c r="I48" s="469"/>
      <c r="J48" s="1320"/>
      <c r="K48" s="1320"/>
      <c r="L48" s="1320"/>
      <c r="M48" s="1282"/>
      <c r="N48" s="1320"/>
      <c r="O48" s="1320"/>
      <c r="P48" s="1319"/>
      <c r="Q48" s="1261"/>
      <c r="R48" s="1261"/>
    </row>
    <row r="49" spans="3:19">
      <c r="C49" s="1423"/>
      <c r="D49" s="2778"/>
      <c r="E49" s="1520"/>
      <c r="F49" s="1438">
        <f t="shared" si="0"/>
        <v>0</v>
      </c>
      <c r="H49" s="466"/>
      <c r="I49" s="469"/>
      <c r="J49" s="1320"/>
      <c r="K49" s="1320"/>
      <c r="L49" s="1320"/>
      <c r="M49" s="1282"/>
      <c r="N49" s="1320"/>
      <c r="O49" s="1320"/>
      <c r="P49" s="1319"/>
      <c r="Q49" s="1261"/>
      <c r="R49" s="1261"/>
    </row>
    <row r="50" spans="3:19">
      <c r="C50" s="1488"/>
      <c r="D50" s="2779"/>
      <c r="E50" s="1490"/>
      <c r="F50" s="1493"/>
      <c r="H50" s="466"/>
      <c r="I50" s="469"/>
      <c r="J50" s="1320"/>
      <c r="K50" s="1320"/>
      <c r="L50" s="1320"/>
      <c r="M50" s="1282"/>
      <c r="N50" s="1320"/>
      <c r="O50" s="1320"/>
      <c r="P50" s="1319"/>
      <c r="Q50" s="1261"/>
      <c r="R50" s="1261"/>
    </row>
    <row r="51" spans="3:19">
      <c r="C51" s="1451" t="s">
        <v>47</v>
      </c>
      <c r="D51" s="2771">
        <f>SUM(D52:D55)</f>
        <v>14225</v>
      </c>
      <c r="E51" s="1464">
        <f>SUM(E52:E55)</f>
        <v>8525</v>
      </c>
      <c r="F51" s="1462">
        <f t="shared" si="0"/>
        <v>22750</v>
      </c>
      <c r="H51" s="466"/>
      <c r="I51" s="469"/>
      <c r="J51" s="1320"/>
      <c r="K51" s="1320"/>
      <c r="L51" s="1320"/>
      <c r="M51" s="1282"/>
      <c r="N51" s="1320"/>
      <c r="O51" s="1320"/>
      <c r="P51" s="1319"/>
      <c r="Q51" s="1261"/>
      <c r="R51" s="1261"/>
      <c r="S51" s="466"/>
    </row>
    <row r="52" spans="3:19">
      <c r="C52" s="1667" t="s">
        <v>801</v>
      </c>
      <c r="D52" s="2778">
        <v>4225</v>
      </c>
      <c r="E52" s="1672">
        <v>4225</v>
      </c>
      <c r="F52" s="1438">
        <f t="shared" si="0"/>
        <v>8450</v>
      </c>
      <c r="H52" s="466"/>
      <c r="I52" s="466"/>
      <c r="J52" s="1320"/>
      <c r="K52" s="1320"/>
      <c r="L52" s="1320"/>
      <c r="M52" s="1282"/>
      <c r="N52" s="1320"/>
      <c r="O52" s="1320"/>
      <c r="P52" s="1319"/>
      <c r="Q52" s="1261"/>
      <c r="R52" s="1261"/>
      <c r="S52" s="466"/>
    </row>
    <row r="53" spans="3:19">
      <c r="C53" s="1667" t="s">
        <v>802</v>
      </c>
      <c r="D53" s="2778">
        <v>3000</v>
      </c>
      <c r="E53" s="1672">
        <v>3000</v>
      </c>
      <c r="F53" s="1661">
        <f t="shared" si="0"/>
        <v>6000</v>
      </c>
      <c r="H53" s="466"/>
      <c r="I53" s="466"/>
      <c r="J53" s="1320"/>
      <c r="K53" s="1320"/>
      <c r="L53" s="1320"/>
      <c r="M53" s="1282"/>
      <c r="N53" s="1320"/>
      <c r="O53" s="1320"/>
      <c r="P53" s="1319"/>
      <c r="Q53" s="1261"/>
      <c r="R53" s="1261"/>
      <c r="S53" s="466"/>
    </row>
    <row r="54" spans="3:19">
      <c r="C54" s="1667" t="s">
        <v>803</v>
      </c>
      <c r="D54" s="2778">
        <v>7000</v>
      </c>
      <c r="E54" s="1672">
        <v>1300</v>
      </c>
      <c r="F54" s="1438">
        <f t="shared" ref="F54:F67" si="2">SUM(D54:E54)</f>
        <v>8300</v>
      </c>
      <c r="H54" s="470"/>
      <c r="I54" s="466"/>
      <c r="J54" s="1320"/>
      <c r="K54" s="1320"/>
      <c r="L54" s="1320"/>
      <c r="M54" s="1282"/>
      <c r="N54" s="1320"/>
      <c r="O54" s="1320"/>
      <c r="P54" s="1319"/>
      <c r="Q54" s="1261"/>
      <c r="R54" s="1261"/>
      <c r="S54" s="466"/>
    </row>
    <row r="55" spans="3:19">
      <c r="C55" s="1423"/>
      <c r="D55" s="2778"/>
      <c r="E55" s="1520"/>
      <c r="F55" s="1438">
        <f t="shared" si="2"/>
        <v>0</v>
      </c>
      <c r="H55" s="466"/>
      <c r="I55" s="466"/>
      <c r="J55" s="1320"/>
      <c r="K55" s="1320"/>
      <c r="L55" s="1320"/>
      <c r="M55" s="1320"/>
      <c r="N55" s="1320"/>
      <c r="O55" s="1320"/>
      <c r="P55" s="1320"/>
      <c r="Q55" s="1323"/>
      <c r="R55" s="1323"/>
      <c r="S55" s="466"/>
    </row>
    <row r="56" spans="3:19">
      <c r="C56" s="1488"/>
      <c r="D56" s="2779"/>
      <c r="E56" s="1490"/>
      <c r="F56" s="1493"/>
      <c r="H56" s="466"/>
      <c r="I56" s="466"/>
      <c r="J56" s="466"/>
      <c r="K56" s="466"/>
      <c r="L56" s="466"/>
      <c r="M56" s="466"/>
      <c r="N56" s="466"/>
      <c r="O56" s="466"/>
      <c r="P56" s="466"/>
      <c r="Q56" s="466"/>
      <c r="R56" s="466"/>
      <c r="S56" s="466"/>
    </row>
    <row r="57" spans="3:19">
      <c r="C57" s="1451" t="s">
        <v>48</v>
      </c>
      <c r="D57" s="2771">
        <f>SUM(D58:D61)</f>
        <v>715</v>
      </c>
      <c r="E57" s="1464">
        <f>SUM(E58:E61)</f>
        <v>715</v>
      </c>
      <c r="F57" s="1462">
        <f t="shared" si="2"/>
        <v>1430</v>
      </c>
      <c r="H57" s="466"/>
      <c r="I57" s="466"/>
      <c r="J57" s="466"/>
      <c r="K57" s="466"/>
      <c r="L57" s="466"/>
      <c r="M57" s="466"/>
      <c r="N57" s="466"/>
      <c r="O57" s="466"/>
      <c r="P57" s="466"/>
      <c r="Q57" s="466"/>
      <c r="R57" s="466"/>
      <c r="S57" s="466"/>
    </row>
    <row r="58" spans="3:19">
      <c r="C58" s="1667" t="s">
        <v>804</v>
      </c>
      <c r="D58" s="2778">
        <v>200</v>
      </c>
      <c r="E58" s="1672">
        <v>200</v>
      </c>
      <c r="F58" s="1438">
        <f t="shared" si="2"/>
        <v>400</v>
      </c>
      <c r="H58" s="466"/>
      <c r="I58" s="466"/>
      <c r="J58" s="466"/>
      <c r="K58" s="466"/>
      <c r="L58" s="466"/>
      <c r="M58" s="466"/>
      <c r="N58" s="466"/>
      <c r="O58" s="466"/>
      <c r="P58" s="466"/>
      <c r="Q58" s="466"/>
      <c r="R58" s="466"/>
      <c r="S58" s="466"/>
    </row>
    <row r="59" spans="3:19">
      <c r="C59" s="1667" t="s">
        <v>805</v>
      </c>
      <c r="D59" s="2778">
        <v>450</v>
      </c>
      <c r="E59" s="1672">
        <v>450</v>
      </c>
      <c r="F59" s="1438">
        <f t="shared" si="2"/>
        <v>900</v>
      </c>
      <c r="H59" s="1315"/>
      <c r="I59" s="1314"/>
      <c r="J59" s="466"/>
      <c r="K59" s="466"/>
      <c r="L59" s="466"/>
      <c r="M59" s="466"/>
      <c r="N59" s="466"/>
      <c r="O59" s="466"/>
      <c r="P59" s="466"/>
      <c r="Q59" s="466"/>
      <c r="R59" s="466"/>
      <c r="S59" s="466"/>
    </row>
    <row r="60" spans="3:19">
      <c r="C60" s="1667" t="s">
        <v>806</v>
      </c>
      <c r="D60" s="2778">
        <v>65</v>
      </c>
      <c r="E60" s="1672">
        <v>65</v>
      </c>
      <c r="F60" s="1438">
        <f t="shared" si="2"/>
        <v>130</v>
      </c>
      <c r="G60" s="466"/>
      <c r="H60" s="466"/>
      <c r="I60" s="466"/>
      <c r="J60" s="466"/>
      <c r="K60" s="466"/>
      <c r="L60" s="891"/>
      <c r="M60" s="466"/>
      <c r="N60" s="466"/>
      <c r="O60" s="466"/>
      <c r="P60" s="466"/>
      <c r="Q60" s="466"/>
      <c r="R60" s="466"/>
      <c r="S60" s="466"/>
    </row>
    <row r="61" spans="3:19">
      <c r="C61" s="1423"/>
      <c r="D61" s="2778"/>
      <c r="E61" s="1504"/>
      <c r="F61" s="1438">
        <f t="shared" si="2"/>
        <v>0</v>
      </c>
    </row>
    <row r="62" spans="3:19">
      <c r="C62" s="1488"/>
      <c r="D62" s="2779"/>
      <c r="E62" s="1490"/>
      <c r="F62" s="1493"/>
    </row>
    <row r="63" spans="3:19">
      <c r="C63" s="1451" t="s">
        <v>49</v>
      </c>
      <c r="D63" s="2771">
        <f>SUM(D64:D67)</f>
        <v>0</v>
      </c>
      <c r="E63" s="1464">
        <f>SUM(E64:E67)</f>
        <v>0</v>
      </c>
      <c r="F63" s="1462">
        <f t="shared" si="2"/>
        <v>0</v>
      </c>
    </row>
    <row r="64" spans="3:19">
      <c r="C64" s="1667"/>
      <c r="D64" s="2778"/>
      <c r="E64" s="1672"/>
      <c r="F64" s="1438">
        <f t="shared" si="2"/>
        <v>0</v>
      </c>
    </row>
    <row r="65" spans="3:6">
      <c r="C65" s="1667"/>
      <c r="D65" s="2778"/>
      <c r="E65" s="1672"/>
      <c r="F65" s="1438">
        <f t="shared" si="2"/>
        <v>0</v>
      </c>
    </row>
    <row r="66" spans="3:6">
      <c r="C66" s="1604"/>
      <c r="D66" s="2778"/>
      <c r="E66" s="1612"/>
      <c r="F66" s="1437">
        <f t="shared" si="2"/>
        <v>0</v>
      </c>
    </row>
    <row r="67" spans="3:6">
      <c r="C67" s="1423"/>
      <c r="D67" s="2778"/>
      <c r="E67" s="1520"/>
      <c r="F67" s="1438">
        <f t="shared" si="2"/>
        <v>0</v>
      </c>
    </row>
    <row r="68" spans="3:6">
      <c r="C68" s="1488"/>
      <c r="D68" s="2779"/>
      <c r="E68" s="1490"/>
      <c r="F68" s="1493"/>
    </row>
    <row r="69" spans="3:6">
      <c r="C69" s="1451"/>
      <c r="D69" s="2771"/>
      <c r="E69" s="1464"/>
      <c r="F69" s="1462"/>
    </row>
    <row r="70" spans="3:6">
      <c r="C70" s="1500"/>
      <c r="D70" s="2781"/>
      <c r="E70" s="1496"/>
      <c r="F70" s="1499"/>
    </row>
    <row r="71" spans="3:6">
      <c r="C71" s="1501"/>
      <c r="D71" s="2782"/>
      <c r="E71" s="1497"/>
      <c r="F71" s="1498"/>
    </row>
    <row r="72" spans="3:6">
      <c r="C72" s="1494"/>
      <c r="D72" s="2778"/>
      <c r="E72" s="1503"/>
      <c r="F72" s="1491"/>
    </row>
  </sheetData>
  <customSheetViews>
    <customSheetView guid="{D9EFFE19-D14B-4C6F-BDF4-FF696F73968D}" showGridLines="0" fitToPage="1">
      <pane xSplit="1" ySplit="1" topLeftCell="B5" activePane="bottomRight" state="frozen"/>
      <selection pane="bottomRight" activeCell="H52" sqref="H52"/>
      <pageMargins left="0.23" right="0.25" top="0.35" bottom="0.46" header="0.3" footer="0.3"/>
      <pageSetup paperSize="17" scale="66" orientation="landscape" r:id="rId1"/>
    </customSheetView>
    <customSheetView guid="{074EB09C-6289-46D7-9513-012B68BCA7BF}" showGridLines="0" fitToPage="1">
      <pane xSplit="1" ySplit="1" topLeftCell="B20" activePane="bottomRight" state="frozen"/>
      <selection pane="bottomRight" activeCell="E35" sqref="E35"/>
      <pageMargins left="0.23" right="0.25" top="0.35" bottom="0.46" header="0.3" footer="0.3"/>
      <pageSetup paperSize="17" scale="66" orientation="landscape" r:id="rId2"/>
    </customSheetView>
  </customSheetViews>
  <mergeCells count="5">
    <mergeCell ref="Q11:R11"/>
    <mergeCell ref="J11:M11"/>
    <mergeCell ref="J10:M10"/>
    <mergeCell ref="N10:O10"/>
    <mergeCell ref="N11:P11"/>
  </mergeCells>
  <pageMargins left="0.23" right="0.25" top="0.35" bottom="0.46" header="0.3" footer="0.3"/>
  <pageSetup paperSize="3" scale="67" orientation="landscape" r:id="rId3"/>
  <drawing r:id="rId4"/>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C000"/>
    <pageSetUpPr fitToPage="1"/>
  </sheetPr>
  <dimension ref="A1:S70"/>
  <sheetViews>
    <sheetView showGridLines="0" workbookViewId="0">
      <pane xSplit="1" ySplit="1" topLeftCell="B17" activePane="bottomRight" state="frozen"/>
      <selection pane="topRight" activeCell="B1" sqref="B1"/>
      <selection pane="bottomLeft" activeCell="A2" sqref="A2"/>
      <selection pane="bottomRight" activeCell="E33" sqref="E33"/>
    </sheetView>
  </sheetViews>
  <sheetFormatPr defaultRowHeight="12.75"/>
  <cols>
    <col min="1" max="1" width="18" style="849" customWidth="1"/>
    <col min="2" max="2" width="16" style="1413" customWidth="1"/>
    <col min="3" max="3" width="32.7109375" customWidth="1"/>
    <col min="4" max="5" width="19.5703125" customWidth="1"/>
    <col min="6" max="7" width="18.5703125" customWidth="1"/>
    <col min="8" max="8" width="12.7109375" customWidth="1"/>
    <col min="9" max="9" width="14.28515625" customWidth="1"/>
    <col min="10" max="11" width="13" customWidth="1"/>
    <col min="12" max="12" width="15.7109375" customWidth="1"/>
    <col min="13" max="13" width="17.5703125" customWidth="1"/>
    <col min="14" max="16" width="13" customWidth="1"/>
    <col min="17" max="18" width="15.7109375" customWidth="1"/>
  </cols>
  <sheetData>
    <row r="1" spans="1:18" ht="55.5" customHeight="1">
      <c r="D1" s="1380" t="s">
        <v>328</v>
      </c>
      <c r="E1" s="1516" t="s">
        <v>5</v>
      </c>
      <c r="F1" s="1516">
        <v>18230685</v>
      </c>
      <c r="G1" s="1509" t="s">
        <v>28</v>
      </c>
      <c r="M1" s="1380" t="s">
        <v>328</v>
      </c>
      <c r="N1" s="1516" t="s">
        <v>5</v>
      </c>
      <c r="O1" s="1516">
        <v>18230685</v>
      </c>
      <c r="P1" s="1509" t="s">
        <v>28</v>
      </c>
    </row>
    <row r="2" spans="1:18" ht="13.5" thickBot="1">
      <c r="E2" s="1201"/>
      <c r="F2" s="1201"/>
      <c r="G2" s="891"/>
      <c r="H2" s="1178" t="s">
        <v>627</v>
      </c>
      <c r="I2" s="1354"/>
      <c r="J2" s="1354"/>
      <c r="K2" s="1354"/>
      <c r="L2" s="1354"/>
      <c r="M2" s="1354"/>
      <c r="N2" s="1354"/>
      <c r="O2" s="1354"/>
      <c r="P2" s="1354"/>
      <c r="Q2" s="1354"/>
      <c r="R2" s="1399"/>
    </row>
    <row r="3" spans="1:18" ht="26.25" thickBot="1">
      <c r="A3" s="1392" t="s">
        <v>484</v>
      </c>
      <c r="B3" s="1357"/>
      <c r="G3" s="1354"/>
      <c r="H3" s="1181" t="s">
        <v>7</v>
      </c>
      <c r="I3" s="2642" t="s">
        <v>8</v>
      </c>
      <c r="J3" s="2642" t="s">
        <v>9</v>
      </c>
      <c r="K3" s="2642" t="s">
        <v>10</v>
      </c>
      <c r="L3" s="2643" t="s">
        <v>482</v>
      </c>
      <c r="M3" s="2642" t="s">
        <v>11</v>
      </c>
      <c r="N3" s="2642" t="s">
        <v>12</v>
      </c>
      <c r="O3" s="2642" t="s">
        <v>13</v>
      </c>
      <c r="P3" s="2642" t="s">
        <v>35</v>
      </c>
      <c r="Q3" s="2642" t="s">
        <v>36</v>
      </c>
      <c r="R3" s="2642" t="s">
        <v>15</v>
      </c>
    </row>
    <row r="4" spans="1:18" ht="16.5" customHeight="1" thickBot="1">
      <c r="A4" s="1663" t="s">
        <v>21</v>
      </c>
      <c r="B4" s="1372"/>
      <c r="C4" s="450"/>
      <c r="D4" s="1086"/>
      <c r="E4" s="448"/>
      <c r="F4" s="448"/>
      <c r="G4" s="2946" t="s">
        <v>1726</v>
      </c>
      <c r="H4" s="2959">
        <f>D15</f>
        <v>2218.482</v>
      </c>
      <c r="I4" s="2960">
        <f>D21</f>
        <v>1989.9</v>
      </c>
      <c r="J4" s="2960">
        <f>D27</f>
        <v>2806.9907940000003</v>
      </c>
      <c r="K4" s="2960">
        <f>D37</f>
        <v>2000</v>
      </c>
      <c r="L4" s="2960">
        <f>D43</f>
        <v>0</v>
      </c>
      <c r="M4" s="2960">
        <f>D49</f>
        <v>390</v>
      </c>
      <c r="N4" s="2960">
        <f>D55</f>
        <v>4810</v>
      </c>
      <c r="O4" s="2960">
        <f>D61</f>
        <v>0</v>
      </c>
      <c r="P4" s="2960">
        <v>0</v>
      </c>
      <c r="Q4" s="2960">
        <v>0</v>
      </c>
      <c r="R4" s="2961">
        <f>SUM(H4:Q4)</f>
        <v>14215.372793999999</v>
      </c>
    </row>
    <row r="5" spans="1:18" ht="15.75">
      <c r="A5" s="1372" t="s">
        <v>5</v>
      </c>
      <c r="C5" s="942"/>
      <c r="D5" s="448"/>
      <c r="E5" s="448"/>
      <c r="F5" s="448"/>
      <c r="G5" s="3205" t="s">
        <v>1753</v>
      </c>
      <c r="H5" s="2617">
        <v>2273.9440499999996</v>
      </c>
      <c r="I5" s="2618">
        <v>2970</v>
      </c>
      <c r="J5" s="2618">
        <v>3565.881954</v>
      </c>
      <c r="K5" s="2618">
        <v>2000</v>
      </c>
      <c r="L5" s="2618">
        <v>0</v>
      </c>
      <c r="M5" s="2618">
        <v>390</v>
      </c>
      <c r="N5" s="2618">
        <v>4810</v>
      </c>
      <c r="O5" s="2618">
        <v>0</v>
      </c>
      <c r="P5" s="2618">
        <v>0</v>
      </c>
      <c r="Q5" s="2618">
        <v>0</v>
      </c>
      <c r="R5" s="2619">
        <v>16009.826004</v>
      </c>
    </row>
    <row r="6" spans="1:18" ht="16.5" thickBot="1">
      <c r="A6" s="1372">
        <v>18230685</v>
      </c>
      <c r="B6" s="1372"/>
      <c r="E6" s="448"/>
      <c r="F6" s="448"/>
      <c r="G6" s="3206" t="s">
        <v>1754</v>
      </c>
      <c r="H6" s="2621">
        <f>E15</f>
        <v>2273.9440499999996</v>
      </c>
      <c r="I6" s="2622">
        <f>E21</f>
        <v>2970</v>
      </c>
      <c r="J6" s="2623">
        <f>E27</f>
        <v>3607.8335063999994</v>
      </c>
      <c r="K6" s="2622">
        <f>E37</f>
        <v>2000</v>
      </c>
      <c r="L6" s="2622">
        <f>E43</f>
        <v>0</v>
      </c>
      <c r="M6" s="2622">
        <f>E49</f>
        <v>390</v>
      </c>
      <c r="N6" s="2622">
        <f>E55</f>
        <v>4810</v>
      </c>
      <c r="O6" s="2622">
        <f>E61</f>
        <v>0</v>
      </c>
      <c r="P6" s="2622">
        <v>0</v>
      </c>
      <c r="Q6" s="2622">
        <v>0</v>
      </c>
      <c r="R6" s="2624">
        <f>SUM(H6:Q6)</f>
        <v>16051.7775564</v>
      </c>
    </row>
    <row r="7" spans="1:18" ht="15.75">
      <c r="A7" s="1357" t="s">
        <v>28</v>
      </c>
      <c r="B7" s="1357"/>
      <c r="C7" s="453"/>
      <c r="D7" s="1085"/>
      <c r="E7" s="448"/>
      <c r="F7" s="448"/>
      <c r="G7" s="2733"/>
      <c r="H7" s="2607"/>
      <c r="I7" s="2607"/>
      <c r="J7" s="2607"/>
      <c r="K7" s="2607"/>
      <c r="L7" s="2607"/>
      <c r="M7" s="2607"/>
      <c r="N7" s="2607"/>
      <c r="O7" s="2607"/>
      <c r="P7" s="2607"/>
      <c r="Q7" s="2607"/>
      <c r="R7" s="2607"/>
    </row>
    <row r="8" spans="1:18" ht="15.75">
      <c r="B8" s="1357"/>
      <c r="C8" s="450"/>
      <c r="D8" s="448"/>
      <c r="E8" s="448"/>
      <c r="F8" s="448"/>
    </row>
    <row r="9" spans="1:18" ht="15.75">
      <c r="A9" s="1357"/>
      <c r="B9" s="1357"/>
      <c r="C9" s="448"/>
      <c r="D9" s="450"/>
      <c r="E9" s="448"/>
      <c r="F9" s="448"/>
    </row>
    <row r="10" spans="1:18">
      <c r="A10" s="1357"/>
      <c r="B10" s="1357"/>
      <c r="C10" s="1454" t="s">
        <v>310</v>
      </c>
      <c r="D10" s="1454"/>
      <c r="E10" s="1454"/>
      <c r="F10" s="1454"/>
    </row>
    <row r="11" spans="1:18">
      <c r="A11" s="1357"/>
      <c r="B11" s="1357"/>
      <c r="C11" s="1413"/>
      <c r="D11" s="1413"/>
      <c r="E11" s="1414"/>
      <c r="F11" s="1413"/>
      <c r="Q11" s="505"/>
      <c r="R11" s="24"/>
    </row>
    <row r="12" spans="1:18" s="501" customFormat="1">
      <c r="A12" s="1357"/>
      <c r="B12" s="1357"/>
      <c r="C12" s="1434" t="s">
        <v>298</v>
      </c>
      <c r="D12" s="2766">
        <f>D15+D21+D27+D37+D43+D49+D55+D61</f>
        <v>14215.372793999999</v>
      </c>
      <c r="E12" s="1484">
        <f>E15+E21+E27+E37+E43+E49+E55+E61</f>
        <v>16051.7775564</v>
      </c>
      <c r="F12" s="1462">
        <f>D12+E12</f>
        <v>30267.150350399999</v>
      </c>
      <c r="Q12" s="505"/>
    </row>
    <row r="13" spans="1:18">
      <c r="C13" s="1483"/>
      <c r="D13" s="2767"/>
      <c r="E13" s="1336"/>
      <c r="F13" s="1413"/>
      <c r="H13" s="448"/>
      <c r="I13" s="448"/>
      <c r="J13" s="3610"/>
      <c r="K13" s="3610"/>
      <c r="L13" s="3610"/>
      <c r="M13" s="3610"/>
      <c r="N13" s="3611"/>
      <c r="O13" s="3611"/>
      <c r="P13" s="1326"/>
      <c r="Q13" s="1326"/>
      <c r="R13" s="1326"/>
    </row>
    <row r="14" spans="1:18" ht="15.75">
      <c r="C14" s="1435" t="s">
        <v>42</v>
      </c>
      <c r="D14" s="2768">
        <v>2016</v>
      </c>
      <c r="E14" s="1502">
        <v>2017</v>
      </c>
      <c r="F14" s="1486" t="s">
        <v>20</v>
      </c>
      <c r="H14" s="448"/>
      <c r="I14" s="448"/>
      <c r="J14" s="3609"/>
      <c r="K14" s="3609"/>
      <c r="L14" s="3609"/>
      <c r="M14" s="3609"/>
      <c r="N14" s="3609"/>
      <c r="O14" s="3609"/>
      <c r="P14" s="3609"/>
      <c r="Q14" s="3609"/>
      <c r="R14" s="3609"/>
    </row>
    <row r="15" spans="1:18">
      <c r="B15" s="1433" t="s">
        <v>296</v>
      </c>
      <c r="C15" s="1451" t="s">
        <v>43</v>
      </c>
      <c r="D15" s="2771">
        <f>SUM(D16:D19)</f>
        <v>2218.482</v>
      </c>
      <c r="E15" s="1464">
        <f>SUM(E16:E19)</f>
        <v>2273.9440499999996</v>
      </c>
      <c r="F15" s="1462">
        <f t="shared" ref="F15:F65" si="0">SUM(D15:E15)</f>
        <v>4492.42605</v>
      </c>
      <c r="H15" s="448"/>
      <c r="I15" s="451"/>
      <c r="J15" s="1326"/>
      <c r="K15" s="1326"/>
      <c r="L15" s="1326"/>
      <c r="M15" s="1282"/>
      <c r="N15" s="1326"/>
      <c r="O15" s="1326"/>
      <c r="P15" s="1325"/>
      <c r="Q15" s="1261"/>
      <c r="R15" s="1261"/>
    </row>
    <row r="16" spans="1:18" ht="13.5" thickBot="1">
      <c r="B16" s="1982">
        <v>0.03</v>
      </c>
      <c r="C16" s="1667" t="s">
        <v>737</v>
      </c>
      <c r="D16" s="2795">
        <v>2218.482</v>
      </c>
      <c r="E16" s="2390">
        <f>D16*1.025</f>
        <v>2273.9440499999996</v>
      </c>
      <c r="F16" s="1426">
        <f t="shared" si="0"/>
        <v>4492.42605</v>
      </c>
      <c r="H16" s="448"/>
      <c r="I16" s="451"/>
      <c r="J16" s="1326"/>
      <c r="K16" s="1326"/>
      <c r="L16" s="1326"/>
      <c r="M16" s="1282"/>
      <c r="N16" s="1326"/>
      <c r="O16" s="1326"/>
      <c r="P16" s="1325"/>
      <c r="Q16" s="1261"/>
      <c r="R16" s="1261"/>
    </row>
    <row r="17" spans="2:18">
      <c r="B17" s="1432"/>
      <c r="C17" s="1635"/>
      <c r="D17" s="2784"/>
      <c r="E17" s="1447"/>
      <c r="F17" s="1438">
        <f t="shared" si="0"/>
        <v>0</v>
      </c>
      <c r="H17" s="448"/>
      <c r="I17" s="451"/>
      <c r="J17" s="1326"/>
      <c r="K17" s="1326"/>
      <c r="L17" s="1326"/>
      <c r="M17" s="1282"/>
      <c r="N17" s="1326"/>
      <c r="O17" s="1326"/>
      <c r="P17" s="1325"/>
      <c r="Q17" s="1261"/>
      <c r="R17" s="1261"/>
    </row>
    <row r="18" spans="2:18">
      <c r="B18" s="1432"/>
      <c r="C18" s="1635"/>
      <c r="D18" s="2784"/>
      <c r="E18" s="1447"/>
      <c r="F18" s="1438">
        <f t="shared" si="0"/>
        <v>0</v>
      </c>
      <c r="H18" s="448"/>
      <c r="I18" s="451"/>
      <c r="J18" s="1326"/>
      <c r="K18" s="1326"/>
      <c r="L18" s="1326"/>
      <c r="M18" s="1282"/>
      <c r="N18" s="1326"/>
      <c r="O18" s="1326"/>
      <c r="P18" s="1325"/>
      <c r="Q18" s="1261"/>
      <c r="R18" s="1261"/>
    </row>
    <row r="19" spans="2:18">
      <c r="B19" s="1432"/>
      <c r="C19" s="1635"/>
      <c r="D19" s="2786"/>
      <c r="E19" s="1446"/>
      <c r="F19" s="1438">
        <f t="shared" si="0"/>
        <v>0</v>
      </c>
      <c r="H19" s="448"/>
      <c r="I19" s="451"/>
      <c r="J19" s="1326"/>
      <c r="K19" s="1326"/>
      <c r="L19" s="1326"/>
      <c r="M19" s="1282"/>
      <c r="N19" s="1326"/>
      <c r="O19" s="1326"/>
      <c r="P19" s="1325"/>
      <c r="Q19" s="1261"/>
      <c r="R19" s="1261"/>
    </row>
    <row r="20" spans="2:18">
      <c r="B20" s="1449">
        <f>SUM(B16:B19)</f>
        <v>0.03</v>
      </c>
      <c r="C20" s="1488"/>
      <c r="D20" s="2770"/>
      <c r="E20" s="1490"/>
      <c r="F20" s="1492"/>
      <c r="H20" s="448"/>
      <c r="I20" s="451"/>
      <c r="J20" s="1326"/>
      <c r="K20" s="1326"/>
      <c r="L20" s="1326"/>
      <c r="M20" s="1282"/>
      <c r="N20" s="1326"/>
      <c r="O20" s="1326"/>
      <c r="P20" s="1325"/>
      <c r="Q20" s="1261"/>
      <c r="R20" s="1261"/>
    </row>
    <row r="21" spans="2:18">
      <c r="C21" s="1451" t="s">
        <v>44</v>
      </c>
      <c r="D21" s="2771">
        <f>SUM(D22:D25)</f>
        <v>1989.9</v>
      </c>
      <c r="E21" s="1464">
        <f>SUM(E22:E25)</f>
        <v>2970</v>
      </c>
      <c r="F21" s="1462">
        <f t="shared" si="0"/>
        <v>4959.8999999999996</v>
      </c>
      <c r="H21" s="448"/>
      <c r="I21" s="451"/>
      <c r="J21" s="1326"/>
      <c r="K21" s="1326"/>
      <c r="L21" s="1326"/>
      <c r="M21" s="1282"/>
      <c r="N21" s="1326"/>
      <c r="O21" s="1326"/>
      <c r="P21" s="1325"/>
      <c r="Q21" s="1261"/>
      <c r="R21" s="1261"/>
    </row>
    <row r="22" spans="2:18">
      <c r="C22" s="1667" t="s">
        <v>813</v>
      </c>
      <c r="D22" s="2778">
        <v>649.9</v>
      </c>
      <c r="E22" s="1672">
        <v>970</v>
      </c>
      <c r="F22" s="1426">
        <f t="shared" si="0"/>
        <v>1619.9</v>
      </c>
      <c r="H22" s="448"/>
      <c r="I22" s="451"/>
      <c r="J22" s="1326"/>
      <c r="K22" s="1326"/>
      <c r="L22" s="1326"/>
      <c r="M22" s="1282"/>
      <c r="N22" s="1326"/>
      <c r="O22" s="1326"/>
      <c r="P22" s="1325"/>
      <c r="Q22" s="1261"/>
      <c r="R22" s="1261"/>
    </row>
    <row r="23" spans="2:18">
      <c r="C23" s="1667" t="s">
        <v>814</v>
      </c>
      <c r="D23" s="2778">
        <v>1340</v>
      </c>
      <c r="E23" s="1672">
        <v>2000</v>
      </c>
      <c r="F23" s="1438">
        <f t="shared" si="0"/>
        <v>3340</v>
      </c>
      <c r="H23" s="448"/>
      <c r="I23" s="451"/>
      <c r="J23" s="1326"/>
      <c r="K23" s="1326"/>
      <c r="L23" s="1326"/>
      <c r="M23" s="1282"/>
      <c r="N23" s="1326"/>
      <c r="O23" s="1326"/>
      <c r="P23" s="1325"/>
      <c r="Q23" s="1261"/>
      <c r="R23" s="1261"/>
    </row>
    <row r="24" spans="2:18">
      <c r="C24" s="1423"/>
      <c r="D24" s="2774"/>
      <c r="E24" s="1443"/>
      <c r="F24" s="1438">
        <f t="shared" si="0"/>
        <v>0</v>
      </c>
      <c r="H24" s="448"/>
      <c r="I24" s="451"/>
      <c r="J24" s="1326"/>
      <c r="K24" s="1326"/>
      <c r="L24" s="1326"/>
      <c r="M24" s="1282"/>
      <c r="N24" s="1326"/>
      <c r="O24" s="1326"/>
      <c r="P24" s="1325"/>
      <c r="Q24" s="1261"/>
      <c r="R24" s="1261"/>
    </row>
    <row r="25" spans="2:18">
      <c r="C25" s="1423"/>
      <c r="D25" s="2775"/>
      <c r="E25" s="1444"/>
      <c r="F25" s="1438">
        <f t="shared" si="0"/>
        <v>0</v>
      </c>
      <c r="H25" s="449"/>
      <c r="I25" s="451"/>
      <c r="J25" s="1326"/>
      <c r="K25" s="1326"/>
      <c r="L25" s="1326"/>
      <c r="M25" s="1282"/>
      <c r="N25" s="1326"/>
      <c r="O25" s="1326"/>
      <c r="P25" s="1325"/>
      <c r="Q25" s="1261"/>
      <c r="R25" s="1261"/>
    </row>
    <row r="26" spans="2:18">
      <c r="C26" s="1424"/>
      <c r="D26" s="2776"/>
      <c r="E26" s="1431"/>
      <c r="F26" s="1439"/>
      <c r="H26" s="448"/>
      <c r="I26" s="451"/>
      <c r="J26" s="1326"/>
      <c r="K26" s="1326"/>
      <c r="L26" s="1326"/>
      <c r="M26" s="1282"/>
      <c r="N26" s="1326"/>
      <c r="O26" s="1326"/>
      <c r="P26" s="1325"/>
      <c r="Q26" s="1261"/>
      <c r="R26" s="1261"/>
    </row>
    <row r="27" spans="2:18">
      <c r="C27" s="1451" t="s">
        <v>45</v>
      </c>
      <c r="D27" s="2771">
        <f>SUM(D29:D35)</f>
        <v>2806.9907940000003</v>
      </c>
      <c r="E27" s="1657">
        <f>SUM(E29:E31)+SUM(E33:E35)</f>
        <v>3607.8335063999994</v>
      </c>
      <c r="F27" s="1462">
        <f t="shared" si="0"/>
        <v>6414.8243003999996</v>
      </c>
      <c r="H27" s="448"/>
      <c r="I27" s="451"/>
      <c r="J27" s="1326"/>
      <c r="K27" s="1326"/>
      <c r="L27" s="1326"/>
      <c r="M27" s="1282"/>
      <c r="N27" s="1326"/>
      <c r="O27" s="1326"/>
      <c r="P27" s="1325"/>
      <c r="Q27" s="1261"/>
      <c r="R27" s="1261"/>
    </row>
    <row r="28" spans="2:18">
      <c r="C28" s="1450" t="s">
        <v>1733</v>
      </c>
      <c r="D28" s="2777">
        <v>0.66700000000000004</v>
      </c>
      <c r="E28" s="1452">
        <v>0.68799999999999994</v>
      </c>
      <c r="F28" s="1485"/>
      <c r="H28" s="448"/>
      <c r="I28" s="451"/>
      <c r="J28" s="1326"/>
      <c r="K28" s="1326"/>
      <c r="L28" s="1326"/>
      <c r="M28" s="1282"/>
      <c r="N28" s="1326"/>
      <c r="O28" s="1326"/>
      <c r="P28" s="1325"/>
      <c r="Q28" s="1261"/>
      <c r="R28" s="1261"/>
    </row>
    <row r="29" spans="2:18">
      <c r="C29" s="1667" t="s">
        <v>719</v>
      </c>
      <c r="D29" s="2778">
        <f>D15*D28</f>
        <v>1479.727494</v>
      </c>
      <c r="E29" s="1504">
        <f>E15*E28</f>
        <v>1564.4735063999997</v>
      </c>
      <c r="F29" s="1438">
        <f t="shared" si="0"/>
        <v>3044.2010003999994</v>
      </c>
      <c r="H29" s="448"/>
      <c r="I29" s="451"/>
      <c r="J29" s="1326"/>
      <c r="K29" s="1326"/>
      <c r="L29" s="1326"/>
      <c r="M29" s="1282"/>
      <c r="N29" s="1326"/>
      <c r="O29" s="1326"/>
      <c r="P29" s="1325"/>
      <c r="Q29" s="1261"/>
      <c r="R29" s="1261"/>
    </row>
    <row r="30" spans="2:18">
      <c r="C30" s="1667" t="s">
        <v>720</v>
      </c>
      <c r="D30" s="2785">
        <f>D21*D28</f>
        <v>1327.2633000000001</v>
      </c>
      <c r="E30" s="1504">
        <f>E21*E28</f>
        <v>2043.36</v>
      </c>
      <c r="F30" s="1661">
        <f t="shared" si="0"/>
        <v>3370.6233000000002</v>
      </c>
      <c r="H30" s="448"/>
      <c r="I30" s="451"/>
      <c r="J30" s="1326"/>
      <c r="K30" s="1326"/>
      <c r="L30" s="1326"/>
      <c r="M30" s="1282"/>
      <c r="N30" s="1326"/>
      <c r="O30" s="1326"/>
      <c r="P30" s="1325"/>
      <c r="Q30" s="1261"/>
      <c r="R30" s="1261"/>
    </row>
    <row r="31" spans="2:18">
      <c r="C31" s="1667"/>
      <c r="D31" s="2774"/>
      <c r="E31" s="1443"/>
      <c r="F31" s="1661">
        <f t="shared" si="0"/>
        <v>0</v>
      </c>
      <c r="H31" s="448"/>
      <c r="I31" s="451"/>
      <c r="J31" s="1326"/>
      <c r="K31" s="1326"/>
      <c r="L31" s="1326"/>
      <c r="M31" s="1282"/>
      <c r="N31" s="1326"/>
      <c r="O31" s="1326"/>
      <c r="P31" s="1325"/>
      <c r="Q31" s="1261"/>
      <c r="R31" s="1261"/>
    </row>
    <row r="32" spans="2:18">
      <c r="C32" s="1450" t="s">
        <v>1734</v>
      </c>
      <c r="D32" s="2777"/>
      <c r="E32" s="1452">
        <v>0</v>
      </c>
      <c r="F32" s="1485"/>
      <c r="H32" s="448"/>
      <c r="I32" s="451"/>
      <c r="J32" s="1326"/>
      <c r="K32" s="1326"/>
      <c r="L32" s="1326"/>
      <c r="M32" s="1282"/>
      <c r="N32" s="1326"/>
      <c r="O32" s="1326"/>
      <c r="P32" s="1325"/>
      <c r="Q32" s="1261"/>
      <c r="R32" s="1261"/>
    </row>
    <row r="33" spans="1:18">
      <c r="C33" s="1667" t="s">
        <v>719</v>
      </c>
      <c r="D33" s="2778"/>
      <c r="E33" s="1641">
        <f>E15*E32</f>
        <v>0</v>
      </c>
      <c r="F33" s="1661">
        <f>SUM(D33:E33)</f>
        <v>0</v>
      </c>
      <c r="H33" s="448"/>
      <c r="I33" s="451"/>
      <c r="J33" s="1326"/>
      <c r="K33" s="1326"/>
      <c r="L33" s="1326"/>
      <c r="M33" s="1282"/>
      <c r="N33" s="1326"/>
      <c r="O33" s="1326"/>
      <c r="P33" s="1325"/>
      <c r="Q33" s="1261"/>
      <c r="R33" s="1261"/>
    </row>
    <row r="34" spans="1:18">
      <c r="C34" s="1667" t="s">
        <v>720</v>
      </c>
      <c r="D34" s="2785"/>
      <c r="E34" s="1641">
        <f>E21*E32</f>
        <v>0</v>
      </c>
      <c r="F34" s="1661">
        <f t="shared" ref="F34" si="1">SUM(D34:E34)</f>
        <v>0</v>
      </c>
      <c r="H34" s="448"/>
      <c r="I34" s="451"/>
      <c r="J34" s="1326"/>
      <c r="K34" s="1326"/>
      <c r="L34" s="1326"/>
      <c r="M34" s="1282"/>
      <c r="N34" s="1326"/>
      <c r="O34" s="1326"/>
      <c r="P34" s="1325"/>
      <c r="Q34" s="1261"/>
      <c r="R34" s="1261"/>
    </row>
    <row r="35" spans="1:18">
      <c r="A35" s="1392" t="s">
        <v>484</v>
      </c>
      <c r="C35" s="1445"/>
      <c r="D35" s="2775"/>
      <c r="E35" s="1444"/>
      <c r="F35" s="1661">
        <f t="shared" si="0"/>
        <v>0</v>
      </c>
      <c r="H35" s="448"/>
      <c r="I35" s="451"/>
      <c r="J35" s="1326"/>
      <c r="K35" s="1326"/>
      <c r="L35" s="1326"/>
      <c r="M35" s="1282"/>
      <c r="N35" s="1326"/>
      <c r="O35" s="1326"/>
      <c r="P35" s="1325"/>
      <c r="Q35" s="1261"/>
      <c r="R35" s="1261"/>
    </row>
    <row r="36" spans="1:18">
      <c r="A36" s="1663" t="s">
        <v>21</v>
      </c>
      <c r="C36" s="1488"/>
      <c r="D36" s="2779"/>
      <c r="E36" s="1490"/>
      <c r="F36" s="1493"/>
      <c r="H36" s="448"/>
      <c r="I36" s="451"/>
      <c r="J36" s="1326"/>
      <c r="K36" s="1326"/>
      <c r="L36" s="1326"/>
      <c r="M36" s="1282"/>
      <c r="N36" s="1326"/>
      <c r="O36" s="1326"/>
      <c r="P36" s="1325"/>
      <c r="Q36" s="1261"/>
      <c r="R36" s="1261"/>
    </row>
    <row r="37" spans="1:18">
      <c r="A37" s="1372" t="s">
        <v>5</v>
      </c>
      <c r="C37" s="1451" t="s">
        <v>46</v>
      </c>
      <c r="D37" s="2771">
        <f>SUM(D38:D41)</f>
        <v>2000</v>
      </c>
      <c r="E37" s="1464">
        <f>SUM(E38:E41)</f>
        <v>2000</v>
      </c>
      <c r="F37" s="1462">
        <f t="shared" si="0"/>
        <v>4000</v>
      </c>
      <c r="H37" s="448"/>
      <c r="I37" s="451"/>
      <c r="J37" s="1326"/>
      <c r="K37" s="1326"/>
      <c r="L37" s="1326"/>
      <c r="M37" s="1282"/>
      <c r="N37" s="1326"/>
      <c r="O37" s="1326"/>
      <c r="P37" s="1325"/>
      <c r="Q37" s="1261"/>
      <c r="R37" s="1261"/>
    </row>
    <row r="38" spans="1:18">
      <c r="A38" s="1372">
        <v>18230685</v>
      </c>
      <c r="C38" s="1667" t="s">
        <v>815</v>
      </c>
      <c r="D38" s="2778">
        <v>2000</v>
      </c>
      <c r="E38" s="1672">
        <v>2000</v>
      </c>
      <c r="F38" s="1438">
        <f t="shared" si="0"/>
        <v>4000</v>
      </c>
      <c r="H38" s="448"/>
      <c r="I38" s="451"/>
      <c r="J38" s="1326"/>
      <c r="K38" s="1326"/>
      <c r="L38" s="1326"/>
      <c r="M38" s="1282"/>
      <c r="N38" s="1326"/>
      <c r="O38" s="1326"/>
      <c r="P38" s="1325"/>
      <c r="Q38" s="1261"/>
      <c r="R38" s="1261"/>
    </row>
    <row r="39" spans="1:18">
      <c r="A39" s="1357" t="s">
        <v>28</v>
      </c>
      <c r="C39" s="1423"/>
      <c r="D39" s="2778"/>
      <c r="E39" s="1520"/>
      <c r="F39" s="1438">
        <f t="shared" si="0"/>
        <v>0</v>
      </c>
      <c r="H39" s="448"/>
      <c r="I39" s="451"/>
      <c r="J39" s="1326"/>
      <c r="K39" s="1326"/>
      <c r="L39" s="1326"/>
      <c r="M39" s="1282"/>
      <c r="N39" s="1326"/>
      <c r="O39" s="1326"/>
      <c r="P39" s="1325"/>
      <c r="Q39" s="1261"/>
      <c r="R39" s="1261"/>
    </row>
    <row r="40" spans="1:18">
      <c r="C40" s="1423"/>
      <c r="D40" s="2778"/>
      <c r="E40" s="1520"/>
      <c r="F40" s="1438">
        <f t="shared" si="0"/>
        <v>0</v>
      </c>
      <c r="H40" s="448"/>
      <c r="I40" s="451"/>
      <c r="J40" s="1326"/>
      <c r="K40" s="1326"/>
      <c r="L40" s="1326"/>
      <c r="M40" s="1282"/>
      <c r="N40" s="1326"/>
      <c r="O40" s="1326"/>
      <c r="P40" s="1325"/>
      <c r="Q40" s="1261"/>
      <c r="R40" s="1261"/>
    </row>
    <row r="41" spans="1:18">
      <c r="C41" s="1423"/>
      <c r="D41" s="2778"/>
      <c r="E41" s="1520"/>
      <c r="F41" s="1438">
        <f t="shared" si="0"/>
        <v>0</v>
      </c>
      <c r="H41" s="448"/>
      <c r="I41" s="451"/>
      <c r="J41" s="1326"/>
      <c r="K41" s="1326"/>
      <c r="L41" s="1326"/>
      <c r="M41" s="1282"/>
      <c r="N41" s="1326"/>
      <c r="O41" s="1326"/>
      <c r="P41" s="1325"/>
      <c r="Q41" s="1261"/>
      <c r="R41" s="1261"/>
    </row>
    <row r="42" spans="1:18">
      <c r="C42" s="1488"/>
      <c r="D42" s="2779"/>
      <c r="E42" s="1490"/>
      <c r="F42" s="1493"/>
      <c r="H42" s="448"/>
      <c r="I42" s="451"/>
      <c r="J42" s="1326"/>
      <c r="K42" s="1326"/>
      <c r="L42" s="1326"/>
      <c r="M42" s="1282"/>
      <c r="N42" s="1326"/>
      <c r="O42" s="1326"/>
      <c r="P42" s="1325"/>
      <c r="Q42" s="1261"/>
      <c r="R42" s="1261"/>
    </row>
    <row r="43" spans="1:18">
      <c r="C43" s="1597" t="s">
        <v>483</v>
      </c>
      <c r="D43" s="2771">
        <f>SUM(D44:D47)</f>
        <v>0</v>
      </c>
      <c r="E43" s="1464">
        <f>SUM(E44:E47)</f>
        <v>0</v>
      </c>
      <c r="F43" s="1462">
        <f t="shared" si="0"/>
        <v>0</v>
      </c>
      <c r="H43" s="448"/>
      <c r="I43" s="451"/>
      <c r="J43" s="1326"/>
      <c r="K43" s="1326"/>
      <c r="L43" s="1326"/>
      <c r="M43" s="1282"/>
      <c r="N43" s="1326"/>
      <c r="O43" s="1326"/>
      <c r="P43" s="1325"/>
      <c r="Q43" s="1261"/>
      <c r="R43" s="1261"/>
    </row>
    <row r="44" spans="1:18">
      <c r="C44" s="1423"/>
      <c r="D44" s="2778"/>
      <c r="E44" s="1520"/>
      <c r="F44" s="1438">
        <f t="shared" si="0"/>
        <v>0</v>
      </c>
      <c r="H44" s="448"/>
      <c r="I44" s="451"/>
      <c r="J44" s="1326"/>
      <c r="K44" s="1326"/>
      <c r="L44" s="1326"/>
      <c r="M44" s="1282"/>
      <c r="N44" s="1326"/>
      <c r="O44" s="1326"/>
      <c r="P44" s="1325"/>
      <c r="Q44" s="1261"/>
      <c r="R44" s="1261"/>
    </row>
    <row r="45" spans="1:18">
      <c r="C45" s="1423"/>
      <c r="D45" s="2778"/>
      <c r="E45" s="1520"/>
      <c r="F45" s="1438">
        <f t="shared" si="0"/>
        <v>0</v>
      </c>
      <c r="H45" s="448"/>
      <c r="I45" s="451"/>
      <c r="J45" s="1326"/>
      <c r="K45" s="1326"/>
      <c r="L45" s="1326"/>
      <c r="M45" s="1282"/>
      <c r="N45" s="1326"/>
      <c r="O45" s="1326"/>
      <c r="P45" s="1325"/>
      <c r="Q45" s="1261"/>
      <c r="R45" s="1261"/>
    </row>
    <row r="46" spans="1:18">
      <c r="C46" s="1423"/>
      <c r="D46" s="2778"/>
      <c r="E46" s="1520"/>
      <c r="F46" s="1438">
        <f t="shared" si="0"/>
        <v>0</v>
      </c>
      <c r="H46" s="448"/>
      <c r="I46" s="451"/>
      <c r="J46" s="1326"/>
      <c r="K46" s="1326"/>
      <c r="L46" s="1326"/>
      <c r="M46" s="1282"/>
      <c r="N46" s="1326"/>
      <c r="O46" s="1326"/>
      <c r="P46" s="1325"/>
      <c r="Q46" s="1261"/>
      <c r="R46" s="1261"/>
    </row>
    <row r="47" spans="1:18">
      <c r="C47" s="1423"/>
      <c r="D47" s="2778"/>
      <c r="E47" s="1520"/>
      <c r="F47" s="1438">
        <f t="shared" si="0"/>
        <v>0</v>
      </c>
      <c r="H47" s="448"/>
      <c r="I47" s="451"/>
      <c r="J47" s="1326"/>
      <c r="K47" s="1326"/>
      <c r="L47" s="1326"/>
      <c r="M47" s="1282"/>
      <c r="N47" s="1326"/>
      <c r="O47" s="1326"/>
      <c r="P47" s="1325"/>
      <c r="Q47" s="1261"/>
      <c r="R47" s="1261"/>
    </row>
    <row r="48" spans="1:18">
      <c r="C48" s="1488"/>
      <c r="D48" s="2779"/>
      <c r="E48" s="1490"/>
      <c r="F48" s="1493"/>
      <c r="H48" s="448"/>
      <c r="I48" s="451"/>
      <c r="J48" s="1326"/>
      <c r="K48" s="1326"/>
      <c r="L48" s="1326"/>
      <c r="M48" s="1282"/>
      <c r="N48" s="1326"/>
      <c r="O48" s="1326"/>
      <c r="P48" s="1325"/>
      <c r="Q48" s="1261"/>
      <c r="R48" s="1261"/>
    </row>
    <row r="49" spans="3:19">
      <c r="C49" s="1451" t="s">
        <v>47</v>
      </c>
      <c r="D49" s="2771">
        <f>SUM(D50:D53)</f>
        <v>390</v>
      </c>
      <c r="E49" s="1464">
        <f>SUM(E50:E53)</f>
        <v>390</v>
      </c>
      <c r="F49" s="1462">
        <f t="shared" si="0"/>
        <v>780</v>
      </c>
      <c r="H49" s="448"/>
      <c r="I49" s="451"/>
      <c r="J49" s="1326"/>
      <c r="K49" s="1326"/>
      <c r="L49" s="1326"/>
      <c r="M49" s="1282"/>
      <c r="N49" s="1326"/>
      <c r="O49" s="1326"/>
      <c r="P49" s="1325"/>
      <c r="Q49" s="1261"/>
      <c r="R49" s="1261"/>
    </row>
    <row r="50" spans="3:19">
      <c r="C50" s="1667" t="s">
        <v>816</v>
      </c>
      <c r="D50" s="2778">
        <v>260</v>
      </c>
      <c r="E50" s="1672">
        <v>260</v>
      </c>
      <c r="F50" s="1438">
        <f t="shared" si="0"/>
        <v>520</v>
      </c>
      <c r="H50" s="448"/>
      <c r="I50" s="451"/>
      <c r="J50" s="1326"/>
      <c r="K50" s="1326"/>
      <c r="L50" s="1326"/>
      <c r="M50" s="1282"/>
      <c r="N50" s="1326"/>
      <c r="O50" s="1326"/>
      <c r="P50" s="1325"/>
      <c r="Q50" s="1261"/>
      <c r="R50" s="1261"/>
    </row>
    <row r="51" spans="3:19">
      <c r="C51" s="1667" t="s">
        <v>817</v>
      </c>
      <c r="D51" s="2778">
        <v>130</v>
      </c>
      <c r="E51" s="1672">
        <v>130</v>
      </c>
      <c r="F51" s="1438">
        <f t="shared" si="0"/>
        <v>260</v>
      </c>
      <c r="H51" s="448"/>
      <c r="I51" s="451"/>
      <c r="J51" s="1326"/>
      <c r="K51" s="1326"/>
      <c r="L51" s="1326"/>
      <c r="M51" s="1282"/>
      <c r="N51" s="1326"/>
      <c r="O51" s="1326"/>
      <c r="P51" s="1325"/>
      <c r="Q51" s="1261"/>
      <c r="R51" s="1261"/>
    </row>
    <row r="52" spans="3:19">
      <c r="C52" s="1423"/>
      <c r="D52" s="2778"/>
      <c r="E52" s="1520"/>
      <c r="F52" s="1438">
        <f t="shared" si="0"/>
        <v>0</v>
      </c>
      <c r="H52" s="448"/>
      <c r="I52" s="448"/>
      <c r="J52" s="1326"/>
      <c r="K52" s="1326"/>
      <c r="L52" s="1326"/>
      <c r="M52" s="1282"/>
      <c r="N52" s="1326"/>
      <c r="O52" s="1326"/>
      <c r="P52" s="1325"/>
      <c r="Q52" s="1261"/>
      <c r="R52" s="1261"/>
      <c r="S52" s="448"/>
    </row>
    <row r="53" spans="3:19">
      <c r="C53" s="1423"/>
      <c r="D53" s="2778"/>
      <c r="E53" s="1520"/>
      <c r="F53" s="1438">
        <f t="shared" si="0"/>
        <v>0</v>
      </c>
      <c r="H53" s="448"/>
      <c r="I53" s="448"/>
      <c r="J53" s="1326"/>
      <c r="K53" s="1326"/>
      <c r="L53" s="1326"/>
      <c r="M53" s="1282"/>
      <c r="N53" s="1326"/>
      <c r="O53" s="1326"/>
      <c r="P53" s="1325"/>
      <c r="Q53" s="1261"/>
      <c r="R53" s="1261"/>
      <c r="S53" s="448"/>
    </row>
    <row r="54" spans="3:19" s="1622" customFormat="1">
      <c r="C54" s="1488"/>
      <c r="D54" s="2779"/>
      <c r="E54" s="1490"/>
      <c r="F54" s="1493"/>
      <c r="H54" s="1354"/>
      <c r="I54" s="1354"/>
      <c r="J54" s="1331"/>
      <c r="K54" s="1331"/>
      <c r="L54" s="1331"/>
      <c r="M54" s="1282"/>
      <c r="N54" s="1331"/>
      <c r="O54" s="1331"/>
      <c r="P54" s="1330"/>
      <c r="Q54" s="1261"/>
      <c r="R54" s="1261"/>
      <c r="S54" s="1354"/>
    </row>
    <row r="55" spans="3:19">
      <c r="C55" s="1451" t="s">
        <v>48</v>
      </c>
      <c r="D55" s="2771">
        <f>SUM(D56:D59)</f>
        <v>4810</v>
      </c>
      <c r="E55" s="1464">
        <f>SUM(E56:E59)</f>
        <v>4810</v>
      </c>
      <c r="F55" s="1462">
        <f t="shared" si="0"/>
        <v>9620</v>
      </c>
      <c r="H55" s="452"/>
      <c r="I55" s="448"/>
      <c r="J55" s="1326"/>
      <c r="K55" s="1326"/>
      <c r="L55" s="1326"/>
      <c r="M55" s="1282"/>
      <c r="N55" s="1326"/>
      <c r="O55" s="1326"/>
      <c r="P55" s="1325"/>
      <c r="Q55" s="1261"/>
      <c r="R55" s="1261"/>
      <c r="S55" s="448"/>
    </row>
    <row r="56" spans="3:19">
      <c r="C56" s="1667" t="s">
        <v>818</v>
      </c>
      <c r="D56" s="2778">
        <v>1300</v>
      </c>
      <c r="E56" s="1641">
        <v>1300</v>
      </c>
      <c r="F56" s="1438">
        <f t="shared" si="0"/>
        <v>2600</v>
      </c>
      <c r="H56" s="448"/>
      <c r="I56" s="448"/>
      <c r="J56" s="1326"/>
      <c r="K56" s="1326"/>
      <c r="L56" s="1326"/>
      <c r="M56" s="1326"/>
      <c r="N56" s="1326"/>
      <c r="O56" s="1326"/>
      <c r="P56" s="1326"/>
      <c r="Q56" s="1329"/>
      <c r="R56" s="1329"/>
      <c r="S56" s="448"/>
    </row>
    <row r="57" spans="3:19">
      <c r="C57" s="1667" t="s">
        <v>819</v>
      </c>
      <c r="D57" s="2778">
        <v>650</v>
      </c>
      <c r="E57" s="1641">
        <v>650</v>
      </c>
      <c r="F57" s="1610">
        <f t="shared" si="0"/>
        <v>1300</v>
      </c>
      <c r="H57" s="448"/>
      <c r="I57" s="448"/>
      <c r="J57" s="1326"/>
      <c r="K57" s="1326"/>
      <c r="L57" s="1326"/>
      <c r="M57" s="1326"/>
      <c r="N57" s="1326"/>
      <c r="O57" s="1326"/>
      <c r="P57" s="1326"/>
      <c r="Q57" s="1326"/>
      <c r="R57" s="1326"/>
      <c r="S57" s="448"/>
    </row>
    <row r="58" spans="3:19">
      <c r="C58" s="1667" t="s">
        <v>820</v>
      </c>
      <c r="D58" s="2778">
        <v>130</v>
      </c>
      <c r="E58" s="1641">
        <v>130</v>
      </c>
      <c r="F58" s="1438">
        <f t="shared" si="0"/>
        <v>260</v>
      </c>
      <c r="H58" s="448"/>
      <c r="I58" s="448"/>
      <c r="J58" s="448"/>
      <c r="K58" s="448"/>
      <c r="L58" s="448"/>
      <c r="M58" s="448"/>
      <c r="N58" s="448"/>
      <c r="O58" s="448"/>
      <c r="P58" s="448"/>
      <c r="Q58" s="448"/>
      <c r="R58" s="448"/>
      <c r="S58" s="448"/>
    </row>
    <row r="59" spans="3:19">
      <c r="C59" s="1667" t="s">
        <v>821</v>
      </c>
      <c r="D59" s="2778">
        <v>2730</v>
      </c>
      <c r="E59" s="1641">
        <v>2730</v>
      </c>
      <c r="F59" s="1438">
        <f t="shared" si="0"/>
        <v>5460</v>
      </c>
      <c r="H59" s="1322"/>
      <c r="I59" s="1321"/>
      <c r="J59" s="448"/>
      <c r="K59" s="448"/>
      <c r="L59" s="448"/>
      <c r="M59" s="448"/>
      <c r="N59" s="448"/>
      <c r="O59" s="448"/>
      <c r="P59" s="448"/>
      <c r="Q59" s="448"/>
      <c r="R59" s="448"/>
      <c r="S59" s="448"/>
    </row>
    <row r="60" spans="3:19">
      <c r="C60" s="1488"/>
      <c r="D60" s="2779"/>
      <c r="E60" s="1490"/>
      <c r="F60" s="1493"/>
      <c r="H60" s="448"/>
      <c r="I60" s="448"/>
      <c r="J60" s="448"/>
      <c r="K60" s="448"/>
      <c r="L60" s="448"/>
      <c r="M60" s="448"/>
      <c r="N60" s="448"/>
      <c r="O60" s="448"/>
      <c r="P60" s="448"/>
      <c r="Q60" s="448"/>
      <c r="R60" s="448"/>
      <c r="S60" s="448"/>
    </row>
    <row r="61" spans="3:19">
      <c r="C61" s="1451" t="s">
        <v>49</v>
      </c>
      <c r="D61" s="2771">
        <f>SUM(D62:D65)</f>
        <v>0</v>
      </c>
      <c r="E61" s="1464">
        <f>SUM(E62:E65)</f>
        <v>0</v>
      </c>
      <c r="F61" s="1462">
        <f t="shared" si="0"/>
        <v>0</v>
      </c>
      <c r="G61" s="448"/>
      <c r="H61" s="888"/>
      <c r="I61" s="888"/>
      <c r="J61" s="891"/>
      <c r="K61" s="891"/>
      <c r="L61" s="891"/>
      <c r="M61" s="448"/>
      <c r="N61" s="448"/>
      <c r="O61" s="448"/>
      <c r="P61" s="448"/>
      <c r="Q61" s="448"/>
      <c r="R61" s="448"/>
      <c r="S61" s="448"/>
    </row>
    <row r="62" spans="3:19">
      <c r="C62" s="1423"/>
      <c r="D62" s="2778"/>
      <c r="E62" s="1520"/>
      <c r="F62" s="1438">
        <f t="shared" si="0"/>
        <v>0</v>
      </c>
    </row>
    <row r="63" spans="3:19">
      <c r="C63" s="1423"/>
      <c r="D63" s="2778"/>
      <c r="E63" s="1520"/>
      <c r="F63" s="1438">
        <f t="shared" si="0"/>
        <v>0</v>
      </c>
    </row>
    <row r="64" spans="3:19">
      <c r="C64" s="1423"/>
      <c r="D64" s="2778"/>
      <c r="E64" s="1520"/>
      <c r="F64" s="1437">
        <f t="shared" si="0"/>
        <v>0</v>
      </c>
    </row>
    <row r="65" spans="3:6">
      <c r="C65" s="1423"/>
      <c r="D65" s="2778"/>
      <c r="E65" s="1520"/>
      <c r="F65" s="1438">
        <f t="shared" si="0"/>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54" sqref="G54"/>
      <pageMargins left="0.21" right="0.21" top="0.32" bottom="0.39" header="0.3" footer="0.3"/>
      <pageSetup paperSize="17" scale="70" orientation="landscape" r:id="rId1"/>
    </customSheetView>
    <customSheetView guid="{074EB09C-6289-46D7-9513-012B68BCA7BF}" showGridLines="0" fitToPage="1">
      <pane xSplit="1" ySplit="1" topLeftCell="B17" activePane="bottomRight" state="frozen"/>
      <selection pane="bottomRight" activeCell="E33" sqref="E33"/>
      <pageMargins left="0.21" right="0.21" top="0.32" bottom="0.39" header="0.3" footer="0.3"/>
      <pageSetup paperSize="17" scale="70" orientation="landscape" r:id="rId2"/>
    </customSheetView>
  </customSheetViews>
  <mergeCells count="5">
    <mergeCell ref="Q14:R14"/>
    <mergeCell ref="J14:M14"/>
    <mergeCell ref="J13:M13"/>
    <mergeCell ref="N13:O13"/>
    <mergeCell ref="N14:P14"/>
  </mergeCells>
  <pageMargins left="0.21" right="0.21" top="0.32" bottom="0.39" header="0.3" footer="0.3"/>
  <pageSetup paperSize="3" scale="72" orientation="landscape" r:id="rId3"/>
  <drawing r:id="rId4"/>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FFC000"/>
    <pageSetUpPr fitToPage="1"/>
  </sheetPr>
  <dimension ref="A1:S70"/>
  <sheetViews>
    <sheetView showGridLines="0" workbookViewId="0">
      <pane xSplit="1" ySplit="1" topLeftCell="B14" activePane="bottomRight" state="frozen"/>
      <selection pane="topRight" activeCell="B1" sqref="B1"/>
      <selection pane="bottomLeft" activeCell="A2" sqref="A2"/>
      <selection pane="bottomRight" activeCell="E33" sqref="E33"/>
    </sheetView>
  </sheetViews>
  <sheetFormatPr defaultRowHeight="12.75"/>
  <cols>
    <col min="1" max="1" width="17.5703125" style="849" customWidth="1"/>
    <col min="2" max="2" width="15.42578125" style="1413" customWidth="1"/>
    <col min="3" max="3" width="29.85546875" customWidth="1"/>
    <col min="4" max="4" width="18.5703125" customWidth="1"/>
    <col min="5" max="7" width="17.85546875" customWidth="1"/>
    <col min="8" max="8" width="14.5703125" customWidth="1"/>
    <col min="9" max="9" width="13.42578125" customWidth="1"/>
    <col min="10" max="11" width="12.42578125" customWidth="1"/>
    <col min="12" max="12" width="16" customWidth="1"/>
    <col min="13" max="16" width="12.42578125" customWidth="1"/>
    <col min="17" max="18" width="13.140625" customWidth="1"/>
  </cols>
  <sheetData>
    <row r="1" spans="1:18" ht="54" customHeight="1">
      <c r="D1" s="1701" t="s">
        <v>325</v>
      </c>
      <c r="E1" s="1380" t="s">
        <v>598</v>
      </c>
      <c r="F1" s="1373" t="s">
        <v>5</v>
      </c>
      <c r="G1" s="1373">
        <v>18230671</v>
      </c>
      <c r="H1" s="1361" t="s">
        <v>28</v>
      </c>
      <c r="J1" s="456"/>
      <c r="K1" s="454"/>
      <c r="L1" s="454"/>
      <c r="M1" s="1701" t="s">
        <v>327</v>
      </c>
      <c r="N1" s="1380" t="s">
        <v>598</v>
      </c>
      <c r="O1" s="1373" t="s">
        <v>5</v>
      </c>
      <c r="P1" s="1373">
        <v>18230671</v>
      </c>
      <c r="Q1" s="1361" t="s">
        <v>28</v>
      </c>
      <c r="R1" s="454"/>
    </row>
    <row r="2" spans="1:18" ht="16.5" customHeight="1" thickBot="1">
      <c r="C2" s="456"/>
      <c r="D2" s="1086"/>
      <c r="E2" s="454"/>
      <c r="F2" s="454"/>
      <c r="G2" s="454"/>
      <c r="H2" s="1178" t="s">
        <v>627</v>
      </c>
      <c r="I2" s="454"/>
      <c r="J2" s="454"/>
      <c r="K2" s="454"/>
      <c r="L2" s="454"/>
      <c r="M2" s="454"/>
      <c r="N2" s="454"/>
      <c r="O2" s="454"/>
      <c r="P2" s="454"/>
      <c r="Q2" s="454"/>
      <c r="R2" s="1416"/>
    </row>
    <row r="3" spans="1:18" ht="26.25" thickBot="1">
      <c r="A3" s="1702" t="s">
        <v>484</v>
      </c>
      <c r="B3" s="1372"/>
      <c r="C3" s="2086"/>
      <c r="D3" s="2086"/>
      <c r="E3" s="454"/>
      <c r="F3" s="454"/>
      <c r="G3" s="454"/>
      <c r="H3" s="1181" t="s">
        <v>7</v>
      </c>
      <c r="I3" s="2642" t="s">
        <v>8</v>
      </c>
      <c r="J3" s="2642" t="s">
        <v>9</v>
      </c>
      <c r="K3" s="2642" t="s">
        <v>10</v>
      </c>
      <c r="L3" s="2643" t="s">
        <v>482</v>
      </c>
      <c r="M3" s="2642" t="s">
        <v>11</v>
      </c>
      <c r="N3" s="2642" t="s">
        <v>12</v>
      </c>
      <c r="O3" s="2642" t="s">
        <v>13</v>
      </c>
      <c r="P3" s="2642" t="s">
        <v>35</v>
      </c>
      <c r="Q3" s="2642" t="s">
        <v>36</v>
      </c>
      <c r="R3" s="2642" t="s">
        <v>15</v>
      </c>
    </row>
    <row r="4" spans="1:18" ht="16.5" thickBot="1">
      <c r="A4" s="1663" t="s">
        <v>195</v>
      </c>
      <c r="B4" s="1372"/>
      <c r="C4" s="456"/>
      <c r="D4" s="454"/>
      <c r="E4" s="454"/>
      <c r="F4" s="454"/>
      <c r="G4" s="2946" t="s">
        <v>1726</v>
      </c>
      <c r="H4" s="2959">
        <f>D15</f>
        <v>0</v>
      </c>
      <c r="I4" s="2960">
        <f>D21</f>
        <v>0</v>
      </c>
      <c r="J4" s="2960">
        <f>D27</f>
        <v>0</v>
      </c>
      <c r="K4" s="2960">
        <f>D37</f>
        <v>0</v>
      </c>
      <c r="L4" s="2960">
        <f>D43</f>
        <v>0</v>
      </c>
      <c r="M4" s="2960">
        <f>D49</f>
        <v>975</v>
      </c>
      <c r="N4" s="2960">
        <f>D55</f>
        <v>0</v>
      </c>
      <c r="O4" s="2960">
        <f>D61</f>
        <v>0</v>
      </c>
      <c r="P4" s="2960">
        <v>0</v>
      </c>
      <c r="Q4" s="2960">
        <v>0</v>
      </c>
      <c r="R4" s="2961">
        <f>SUM(H4:Q4)</f>
        <v>975</v>
      </c>
    </row>
    <row r="5" spans="1:18" ht="15.75">
      <c r="A5" s="1392" t="s">
        <v>598</v>
      </c>
      <c r="C5" s="2087"/>
      <c r="D5" s="2087"/>
      <c r="E5" s="1084"/>
      <c r="F5" s="1084"/>
      <c r="G5" s="3205" t="s">
        <v>1753</v>
      </c>
      <c r="H5" s="2617">
        <v>0</v>
      </c>
      <c r="I5" s="2618">
        <v>0</v>
      </c>
      <c r="J5" s="2618">
        <v>0</v>
      </c>
      <c r="K5" s="2618">
        <v>0</v>
      </c>
      <c r="L5" s="2618">
        <v>0</v>
      </c>
      <c r="M5" s="2618">
        <v>975</v>
      </c>
      <c r="N5" s="2618">
        <v>0</v>
      </c>
      <c r="O5" s="2618">
        <v>0</v>
      </c>
      <c r="P5" s="2618">
        <v>0</v>
      </c>
      <c r="Q5" s="2618">
        <v>0</v>
      </c>
      <c r="R5" s="2619">
        <v>975</v>
      </c>
    </row>
    <row r="6" spans="1:18" ht="16.5" thickBot="1">
      <c r="A6" s="1372" t="s">
        <v>5</v>
      </c>
      <c r="B6" s="1372"/>
      <c r="C6" s="454"/>
      <c r="D6" s="456"/>
      <c r="E6" s="454"/>
      <c r="F6" s="454"/>
      <c r="G6" s="3206" t="s">
        <v>1754</v>
      </c>
      <c r="H6" s="2621">
        <f>E15</f>
        <v>0</v>
      </c>
      <c r="I6" s="2622">
        <f>E21</f>
        <v>0</v>
      </c>
      <c r="J6" s="2623">
        <f>E27</f>
        <v>0</v>
      </c>
      <c r="K6" s="2622">
        <f>E37</f>
        <v>0</v>
      </c>
      <c r="L6" s="2622">
        <f>E43</f>
        <v>0</v>
      </c>
      <c r="M6" s="2622">
        <f>E49</f>
        <v>975</v>
      </c>
      <c r="N6" s="2622">
        <f>E55</f>
        <v>0</v>
      </c>
      <c r="O6" s="2622">
        <f>E61</f>
        <v>0</v>
      </c>
      <c r="P6" s="2622">
        <v>0</v>
      </c>
      <c r="Q6" s="2622">
        <v>0</v>
      </c>
      <c r="R6" s="2624">
        <f>SUM(H6:Q6)</f>
        <v>975</v>
      </c>
    </row>
    <row r="7" spans="1:18" ht="15.75">
      <c r="A7" s="1372">
        <v>18230671</v>
      </c>
      <c r="B7" s="1372"/>
      <c r="C7" s="1354"/>
      <c r="D7" s="892"/>
      <c r="E7" s="1354"/>
      <c r="F7" s="1354"/>
      <c r="G7" s="2733"/>
      <c r="H7" s="2607"/>
      <c r="I7" s="2607"/>
      <c r="J7" s="2607"/>
      <c r="K7" s="2607"/>
      <c r="L7" s="2607"/>
      <c r="M7" s="2607"/>
      <c r="N7" s="2607"/>
      <c r="O7" s="2607"/>
      <c r="P7" s="2607"/>
      <c r="Q7" s="2607"/>
      <c r="R7" s="2607"/>
    </row>
    <row r="8" spans="1:18" ht="15.75">
      <c r="A8" s="1357" t="s">
        <v>28</v>
      </c>
      <c r="B8" s="1372"/>
      <c r="C8" s="1354"/>
      <c r="D8" s="892"/>
      <c r="E8" s="1354"/>
      <c r="F8" s="1354"/>
    </row>
    <row r="9" spans="1:18" ht="15.75">
      <c r="A9" s="1357"/>
      <c r="B9" s="1372"/>
      <c r="C9" s="1354"/>
      <c r="D9" s="892"/>
      <c r="E9" s="1354"/>
      <c r="F9" s="1354"/>
      <c r="H9" s="454"/>
      <c r="I9" s="454"/>
      <c r="J9" s="3610"/>
      <c r="K9" s="3610"/>
      <c r="L9" s="3610"/>
      <c r="M9" s="3610"/>
      <c r="N9" s="3611"/>
      <c r="O9" s="3611"/>
      <c r="P9" s="1331"/>
      <c r="Q9" s="1331"/>
      <c r="R9" s="1331"/>
    </row>
    <row r="10" spans="1:18" ht="15.75">
      <c r="A10" s="1357"/>
      <c r="B10" s="1357"/>
      <c r="C10" s="1454" t="s">
        <v>310</v>
      </c>
      <c r="D10" s="1454"/>
      <c r="E10" s="1454"/>
      <c r="F10" s="1454"/>
      <c r="H10" s="454"/>
      <c r="I10" s="454"/>
      <c r="J10" s="3609"/>
      <c r="K10" s="3609"/>
      <c r="L10" s="3609"/>
      <c r="M10" s="3609"/>
      <c r="N10" s="3609"/>
      <c r="O10" s="3609"/>
      <c r="P10" s="3609"/>
      <c r="Q10" s="3609"/>
      <c r="R10" s="3609"/>
    </row>
    <row r="11" spans="1:18" ht="15.75">
      <c r="A11" s="1357"/>
      <c r="B11" s="1357"/>
      <c r="C11" s="1413"/>
      <c r="D11" s="1413"/>
      <c r="E11" s="1414"/>
      <c r="F11" s="1413"/>
      <c r="H11" s="454"/>
      <c r="I11" s="457"/>
      <c r="J11" s="3609"/>
      <c r="K11" s="3609"/>
      <c r="L11" s="3609"/>
      <c r="M11" s="1332"/>
      <c r="N11" s="1333"/>
      <c r="O11" s="1333"/>
      <c r="P11" s="1333"/>
      <c r="Q11" s="1333"/>
      <c r="R11" s="1333"/>
    </row>
    <row r="12" spans="1:18">
      <c r="A12" s="1357"/>
      <c r="B12" s="1357"/>
      <c r="C12" s="1434" t="s">
        <v>298</v>
      </c>
      <c r="D12" s="2766">
        <f>D15+D21+D27+D37+D43+D49+D55+D61</f>
        <v>975</v>
      </c>
      <c r="E12" s="1484">
        <f>E15+E21+E27+E37+E43+E49+E55+E61</f>
        <v>975</v>
      </c>
      <c r="F12" s="1462">
        <f>D12+E12</f>
        <v>1950</v>
      </c>
      <c r="H12" s="454"/>
      <c r="I12" s="458"/>
      <c r="J12" s="1331"/>
      <c r="K12" s="1331"/>
      <c r="L12" s="1331"/>
      <c r="M12" s="1282"/>
      <c r="N12" s="1331"/>
      <c r="O12" s="1331"/>
      <c r="P12" s="1330"/>
      <c r="Q12" s="1261"/>
      <c r="R12" s="1261"/>
    </row>
    <row r="13" spans="1:18">
      <c r="B13" s="1357"/>
      <c r="C13" s="1483"/>
      <c r="D13" s="2767"/>
      <c r="E13" s="1336"/>
      <c r="F13" s="1413"/>
      <c r="H13" s="454"/>
      <c r="I13" s="458"/>
      <c r="J13" s="1331"/>
      <c r="K13" s="1331"/>
      <c r="L13" s="1331"/>
      <c r="M13" s="1282"/>
      <c r="N13" s="1331"/>
      <c r="O13" s="1331"/>
      <c r="P13" s="1330"/>
      <c r="Q13" s="1261"/>
      <c r="R13" s="1261"/>
    </row>
    <row r="14" spans="1:18" ht="15.75">
      <c r="B14" s="1357"/>
      <c r="C14" s="1435" t="s">
        <v>42</v>
      </c>
      <c r="D14" s="2768">
        <v>2016</v>
      </c>
      <c r="E14" s="1502">
        <v>2017</v>
      </c>
      <c r="F14" s="1486" t="s">
        <v>20</v>
      </c>
      <c r="H14" s="454"/>
      <c r="I14" s="458"/>
      <c r="J14" s="1331"/>
      <c r="K14" s="1331"/>
      <c r="L14" s="1331"/>
      <c r="M14" s="1282"/>
      <c r="N14" s="1331"/>
      <c r="O14" s="1331"/>
      <c r="P14" s="1330"/>
      <c r="Q14" s="1261"/>
      <c r="R14" s="1261"/>
    </row>
    <row r="15" spans="1:18">
      <c r="B15" s="1433" t="s">
        <v>296</v>
      </c>
      <c r="C15" s="1451" t="s">
        <v>43</v>
      </c>
      <c r="D15" s="2771">
        <f>SUM(D16:D19)</f>
        <v>0</v>
      </c>
      <c r="E15" s="1464">
        <f>SUM(E16:E19)</f>
        <v>0</v>
      </c>
      <c r="F15" s="1462">
        <f>SUM(F16:F19)</f>
        <v>0</v>
      </c>
      <c r="H15" s="454"/>
      <c r="I15" s="458"/>
      <c r="J15" s="1331"/>
      <c r="K15" s="1331"/>
      <c r="L15" s="1331"/>
      <c r="M15" s="1282"/>
      <c r="N15" s="1331"/>
      <c r="O15" s="1331"/>
      <c r="P15" s="1330"/>
      <c r="Q15" s="1261"/>
      <c r="R15" s="1261"/>
    </row>
    <row r="16" spans="1:18">
      <c r="B16" s="1982"/>
      <c r="C16" s="1667"/>
      <c r="D16" s="2772"/>
      <c r="E16" s="1669"/>
      <c r="F16" s="1426">
        <f>SUM(D16:E16)</f>
        <v>0</v>
      </c>
      <c r="H16" s="454"/>
      <c r="I16" s="458"/>
      <c r="J16" s="1331"/>
      <c r="K16" s="1331"/>
      <c r="L16" s="1331"/>
      <c r="M16" s="1282"/>
      <c r="N16" s="1331"/>
      <c r="O16" s="1331"/>
      <c r="P16" s="1330"/>
      <c r="Q16" s="1261"/>
      <c r="R16" s="1261"/>
    </row>
    <row r="17" spans="2:18">
      <c r="B17" s="1982"/>
      <c r="C17" s="1667"/>
      <c r="D17" s="2784"/>
      <c r="E17" s="1668"/>
      <c r="F17" s="1438">
        <f>SUM(D17:E17)</f>
        <v>0</v>
      </c>
      <c r="H17" s="454"/>
      <c r="I17" s="458"/>
      <c r="J17" s="1331"/>
      <c r="K17" s="1331"/>
      <c r="L17" s="1331"/>
      <c r="M17" s="1282"/>
      <c r="N17" s="1331"/>
      <c r="O17" s="1331"/>
      <c r="P17" s="1330"/>
      <c r="Q17" s="1261"/>
      <c r="R17" s="1261"/>
    </row>
    <row r="18" spans="2:18">
      <c r="B18" s="1982"/>
      <c r="C18" s="1667"/>
      <c r="D18" s="2784"/>
      <c r="E18" s="1668"/>
      <c r="F18" s="1438">
        <f>SUM(D18:E18)</f>
        <v>0</v>
      </c>
      <c r="H18" s="454"/>
      <c r="I18" s="458"/>
      <c r="J18" s="1331"/>
      <c r="K18" s="1331"/>
      <c r="L18" s="1331"/>
      <c r="M18" s="1282"/>
      <c r="N18" s="1331"/>
      <c r="O18" s="1331"/>
      <c r="P18" s="1330"/>
      <c r="Q18" s="1261"/>
      <c r="R18" s="1261"/>
    </row>
    <row r="19" spans="2:18">
      <c r="B19" s="1432"/>
      <c r="C19" s="1423"/>
      <c r="D19" s="2786"/>
      <c r="E19" s="1446"/>
      <c r="F19" s="1438">
        <f>SUM(D19:E19)</f>
        <v>0</v>
      </c>
      <c r="H19" s="454"/>
      <c r="I19" s="458"/>
      <c r="J19" s="1331"/>
      <c r="K19" s="1331"/>
      <c r="L19" s="1331"/>
      <c r="M19" s="1282"/>
      <c r="N19" s="1331"/>
      <c r="O19" s="1331"/>
      <c r="P19" s="1330"/>
      <c r="Q19" s="1261"/>
      <c r="R19" s="1261"/>
    </row>
    <row r="20" spans="2:18">
      <c r="B20" s="1449">
        <f>SUM(B16:B19)</f>
        <v>0</v>
      </c>
      <c r="C20" s="1488"/>
      <c r="D20" s="2770"/>
      <c r="E20" s="1490"/>
      <c r="F20" s="1492"/>
      <c r="H20" s="454"/>
      <c r="I20" s="458"/>
      <c r="J20" s="1331"/>
      <c r="K20" s="1331"/>
      <c r="L20" s="1331"/>
      <c r="M20" s="1282"/>
      <c r="N20" s="1331"/>
      <c r="O20" s="1331"/>
      <c r="P20" s="1330"/>
      <c r="Q20" s="1261"/>
      <c r="R20" s="1261"/>
    </row>
    <row r="21" spans="2:18">
      <c r="C21" s="1451" t="s">
        <v>44</v>
      </c>
      <c r="D21" s="2771">
        <f>SUM(D22:D25)</f>
        <v>0</v>
      </c>
      <c r="E21" s="1464">
        <f>SUM(E22:E25)</f>
        <v>0</v>
      </c>
      <c r="F21" s="1462">
        <f>SUM(F22:F25)</f>
        <v>0</v>
      </c>
      <c r="H21" s="454"/>
      <c r="I21" s="458"/>
      <c r="J21" s="1331"/>
      <c r="K21" s="1331"/>
      <c r="L21" s="1331"/>
      <c r="M21" s="1282"/>
      <c r="N21" s="1331"/>
      <c r="O21" s="1331"/>
      <c r="P21" s="1330"/>
      <c r="Q21" s="1261"/>
      <c r="R21" s="1261"/>
    </row>
    <row r="22" spans="2:18">
      <c r="C22" s="1667"/>
      <c r="D22" s="2772"/>
      <c r="E22" s="1669"/>
      <c r="F22" s="1426">
        <f>SUM(D22:E22)</f>
        <v>0</v>
      </c>
      <c r="H22" s="455"/>
      <c r="I22" s="458"/>
      <c r="J22" s="1331"/>
      <c r="K22" s="1331"/>
      <c r="L22" s="1331"/>
      <c r="M22" s="1282"/>
      <c r="N22" s="1331"/>
      <c r="O22" s="1331"/>
      <c r="P22" s="1330"/>
      <c r="Q22" s="1261"/>
      <c r="R22" s="1261"/>
    </row>
    <row r="23" spans="2:18">
      <c r="C23" s="1667"/>
      <c r="D23" s="2773"/>
      <c r="E23" s="1444"/>
      <c r="F23" s="1438">
        <f>SUM(D23:E23)</f>
        <v>0</v>
      </c>
      <c r="H23" s="454"/>
      <c r="I23" s="458"/>
      <c r="J23" s="1331"/>
      <c r="K23" s="1331"/>
      <c r="L23" s="1331"/>
      <c r="M23" s="1282"/>
      <c r="N23" s="1331"/>
      <c r="O23" s="1331"/>
      <c r="P23" s="1330"/>
      <c r="Q23" s="1261"/>
      <c r="R23" s="1261"/>
    </row>
    <row r="24" spans="2:18">
      <c r="C24" s="1423"/>
      <c r="D24" s="2774"/>
      <c r="E24" s="1443"/>
      <c r="F24" s="1438">
        <f>SUM(D24:E24)</f>
        <v>0</v>
      </c>
      <c r="H24" s="454"/>
      <c r="I24" s="458"/>
      <c r="J24" s="1331"/>
      <c r="K24" s="1331"/>
      <c r="L24" s="1331"/>
      <c r="M24" s="1282"/>
      <c r="N24" s="1331"/>
      <c r="O24" s="1331"/>
      <c r="P24" s="1330"/>
      <c r="Q24" s="1261"/>
      <c r="R24" s="1261"/>
    </row>
    <row r="25" spans="2:18">
      <c r="C25" s="1423"/>
      <c r="D25" s="2775"/>
      <c r="E25" s="1444"/>
      <c r="F25" s="1438">
        <f>SUM(D25:E25)</f>
        <v>0</v>
      </c>
      <c r="H25" s="454"/>
      <c r="I25" s="458"/>
      <c r="J25" s="1331"/>
      <c r="K25" s="1331"/>
      <c r="L25" s="1331"/>
      <c r="M25" s="1282"/>
      <c r="N25" s="1331"/>
      <c r="O25" s="1331"/>
      <c r="P25" s="1330"/>
      <c r="Q25" s="1261"/>
      <c r="R25" s="1261"/>
    </row>
    <row r="26" spans="2:18">
      <c r="C26" s="1424"/>
      <c r="D26" s="2776"/>
      <c r="E26" s="1431"/>
      <c r="F26" s="1439"/>
      <c r="H26" s="454"/>
      <c r="I26" s="458"/>
      <c r="J26" s="1331"/>
      <c r="K26" s="1331"/>
      <c r="L26" s="1331"/>
      <c r="M26" s="1282"/>
      <c r="N26" s="1331"/>
      <c r="O26" s="1331"/>
      <c r="P26" s="1330"/>
      <c r="Q26" s="1261"/>
      <c r="R26" s="1261"/>
    </row>
    <row r="27" spans="2:18">
      <c r="C27" s="1451" t="s">
        <v>45</v>
      </c>
      <c r="D27" s="2771">
        <f>SUM(D29:D35)</f>
        <v>0</v>
      </c>
      <c r="E27" s="1657">
        <f>SUM(E29:E31)+SUM(E33:E35)</f>
        <v>0</v>
      </c>
      <c r="F27" s="1462">
        <f>SUM(F29:F35)</f>
        <v>0</v>
      </c>
      <c r="H27" s="454"/>
      <c r="I27" s="458"/>
      <c r="J27" s="1331"/>
      <c r="K27" s="1331"/>
      <c r="L27" s="1331"/>
      <c r="M27" s="1282"/>
      <c r="N27" s="1331"/>
      <c r="O27" s="1331"/>
      <c r="P27" s="1330"/>
      <c r="Q27" s="1261"/>
      <c r="R27" s="1261"/>
    </row>
    <row r="28" spans="2:18">
      <c r="C28" s="1450" t="s">
        <v>1733</v>
      </c>
      <c r="D28" s="2777">
        <v>0.66700000000000004</v>
      </c>
      <c r="E28" s="1452">
        <v>0.68799999999999994</v>
      </c>
      <c r="F28" s="1485"/>
      <c r="H28" s="454"/>
      <c r="I28" s="458"/>
      <c r="J28" s="1331"/>
      <c r="K28" s="1331"/>
      <c r="L28" s="1331"/>
      <c r="M28" s="1282"/>
      <c r="N28" s="1331"/>
      <c r="O28" s="1331"/>
      <c r="P28" s="1330"/>
      <c r="Q28" s="1261"/>
      <c r="R28" s="1261"/>
    </row>
    <row r="29" spans="2:18">
      <c r="C29" s="1667" t="s">
        <v>719</v>
      </c>
      <c r="D29" s="2778">
        <f>D15*D28</f>
        <v>0</v>
      </c>
      <c r="E29" s="1504">
        <f>E15*E28</f>
        <v>0</v>
      </c>
      <c r="F29" s="1438">
        <f>SUM(D29:E29)</f>
        <v>0</v>
      </c>
      <c r="H29" s="454"/>
      <c r="I29" s="458"/>
      <c r="J29" s="1331"/>
      <c r="K29" s="1331"/>
      <c r="L29" s="1331"/>
      <c r="M29" s="1282"/>
      <c r="N29" s="1331"/>
      <c r="O29" s="1331"/>
      <c r="P29" s="1330"/>
      <c r="Q29" s="1261"/>
      <c r="R29" s="1261"/>
    </row>
    <row r="30" spans="2:18">
      <c r="C30" s="1667" t="s">
        <v>720</v>
      </c>
      <c r="D30" s="2785">
        <f>D21*D28</f>
        <v>0</v>
      </c>
      <c r="E30" s="1504">
        <f>E21*E28</f>
        <v>0</v>
      </c>
      <c r="F30" s="1661">
        <f>SUM(D30:E30)</f>
        <v>0</v>
      </c>
      <c r="H30" s="454"/>
      <c r="I30" s="458"/>
      <c r="J30" s="1331"/>
      <c r="K30" s="1331"/>
      <c r="L30" s="1331"/>
      <c r="M30" s="1282"/>
      <c r="N30" s="1331"/>
      <c r="O30" s="1331"/>
      <c r="P30" s="1330"/>
      <c r="Q30" s="1261"/>
      <c r="R30" s="1261"/>
    </row>
    <row r="31" spans="2:18">
      <c r="C31" s="1667"/>
      <c r="D31" s="2774"/>
      <c r="E31" s="1443"/>
      <c r="F31" s="1661">
        <f>SUM(D31:E31)</f>
        <v>0</v>
      </c>
      <c r="H31" s="454"/>
      <c r="I31" s="458"/>
      <c r="J31" s="1331"/>
      <c r="K31" s="1331"/>
      <c r="L31" s="1331"/>
      <c r="M31" s="1282"/>
      <c r="N31" s="1331"/>
      <c r="O31" s="1331"/>
      <c r="P31" s="1330"/>
      <c r="Q31" s="1261"/>
      <c r="R31" s="1261"/>
    </row>
    <row r="32" spans="2:18">
      <c r="C32" s="1450" t="s">
        <v>1734</v>
      </c>
      <c r="D32" s="2777"/>
      <c r="E32" s="1452">
        <v>0</v>
      </c>
      <c r="F32" s="1485"/>
      <c r="H32" s="454"/>
      <c r="I32" s="458"/>
      <c r="J32" s="1331"/>
      <c r="K32" s="1331"/>
      <c r="L32" s="1331"/>
      <c r="M32" s="1282"/>
      <c r="N32" s="1331"/>
      <c r="O32" s="1331"/>
      <c r="P32" s="1330"/>
      <c r="Q32" s="1261"/>
      <c r="R32" s="1261"/>
    </row>
    <row r="33" spans="1:18">
      <c r="C33" s="1667" t="s">
        <v>719</v>
      </c>
      <c r="D33" s="2778"/>
      <c r="E33" s="1641">
        <f>E15*E32</f>
        <v>0</v>
      </c>
      <c r="F33" s="1661">
        <f>SUM(D33:E33)</f>
        <v>0</v>
      </c>
      <c r="H33" s="454"/>
      <c r="I33" s="458"/>
      <c r="J33" s="1331"/>
      <c r="K33" s="1331"/>
      <c r="L33" s="1331"/>
      <c r="M33" s="1282"/>
      <c r="N33" s="1331"/>
      <c r="O33" s="1331"/>
      <c r="P33" s="1330"/>
      <c r="Q33" s="1261"/>
      <c r="R33" s="1261"/>
    </row>
    <row r="34" spans="1:18">
      <c r="C34" s="1667" t="s">
        <v>720</v>
      </c>
      <c r="D34" s="2785"/>
      <c r="E34" s="1641">
        <f>E21*E32</f>
        <v>0</v>
      </c>
      <c r="F34" s="1661">
        <f t="shared" ref="F34" si="0">SUM(D34:E34)</f>
        <v>0</v>
      </c>
      <c r="H34" s="454"/>
      <c r="I34" s="458"/>
      <c r="J34" s="1331"/>
      <c r="K34" s="1331"/>
      <c r="L34" s="1331"/>
      <c r="M34" s="1282"/>
      <c r="N34" s="1331"/>
      <c r="O34" s="1331"/>
      <c r="P34" s="1330"/>
      <c r="Q34" s="1261"/>
      <c r="R34" s="1261"/>
    </row>
    <row r="35" spans="1:18" ht="16.5" customHeight="1">
      <c r="A35" s="1702" t="s">
        <v>484</v>
      </c>
      <c r="C35" s="1445"/>
      <c r="D35" s="2775"/>
      <c r="E35" s="1444"/>
      <c r="F35" s="1661">
        <f>SUM(D35:E35)</f>
        <v>0</v>
      </c>
      <c r="H35" s="454"/>
      <c r="I35" s="458"/>
      <c r="J35" s="1331"/>
      <c r="K35" s="1331"/>
      <c r="L35" s="1331"/>
      <c r="M35" s="1282"/>
      <c r="N35" s="1331"/>
      <c r="O35" s="1331"/>
      <c r="P35" s="1330"/>
      <c r="Q35" s="1261"/>
      <c r="R35" s="1261"/>
    </row>
    <row r="36" spans="1:18">
      <c r="A36" s="1663" t="s">
        <v>195</v>
      </c>
      <c r="C36" s="1488"/>
      <c r="D36" s="2779"/>
      <c r="E36" s="1490"/>
      <c r="F36" s="1493"/>
      <c r="H36" s="454"/>
      <c r="I36" s="458"/>
      <c r="J36" s="1331"/>
      <c r="K36" s="1331"/>
      <c r="L36" s="1331"/>
      <c r="M36" s="1282"/>
      <c r="N36" s="1331"/>
      <c r="O36" s="1331"/>
      <c r="P36" s="1330"/>
      <c r="Q36" s="1261"/>
      <c r="R36" s="1261"/>
    </row>
    <row r="37" spans="1:18">
      <c r="A37" s="1392" t="s">
        <v>598</v>
      </c>
      <c r="C37" s="1451" t="s">
        <v>46</v>
      </c>
      <c r="D37" s="2780">
        <f>SUM(D38:D41)</f>
        <v>0</v>
      </c>
      <c r="E37" s="1657">
        <f>SUM(E38:E41)</f>
        <v>0</v>
      </c>
      <c r="F37" s="1462">
        <v>0</v>
      </c>
      <c r="H37" s="454"/>
      <c r="I37" s="458"/>
      <c r="J37" s="1331"/>
      <c r="K37" s="1331"/>
      <c r="L37" s="1331"/>
      <c r="M37" s="1282"/>
      <c r="N37" s="1331"/>
      <c r="O37" s="1331"/>
      <c r="P37" s="1330"/>
      <c r="Q37" s="1261"/>
      <c r="R37" s="1261"/>
    </row>
    <row r="38" spans="1:18">
      <c r="A38" s="1372" t="s">
        <v>5</v>
      </c>
      <c r="C38" s="1667"/>
      <c r="D38" s="2778"/>
      <c r="E38" s="1672"/>
      <c r="F38" s="1438">
        <v>0</v>
      </c>
      <c r="H38" s="454"/>
      <c r="I38" s="458"/>
      <c r="J38" s="1331"/>
      <c r="K38" s="1331"/>
      <c r="L38" s="1331"/>
      <c r="M38" s="1282"/>
      <c r="N38" s="1331"/>
      <c r="O38" s="1331"/>
      <c r="P38" s="1330"/>
      <c r="Q38" s="1261"/>
      <c r="R38" s="1261"/>
    </row>
    <row r="39" spans="1:18">
      <c r="A39" s="1372">
        <v>18230671</v>
      </c>
      <c r="C39" s="1667"/>
      <c r="D39" s="2778"/>
      <c r="E39" s="1672"/>
      <c r="F39" s="1438">
        <v>0</v>
      </c>
      <c r="H39" s="454"/>
      <c r="I39" s="458"/>
      <c r="J39" s="1331"/>
      <c r="K39" s="1331"/>
      <c r="L39" s="1331"/>
      <c r="M39" s="1282"/>
      <c r="N39" s="1331"/>
      <c r="O39" s="1331"/>
      <c r="P39" s="1330"/>
      <c r="Q39" s="1261"/>
      <c r="R39" s="1261"/>
    </row>
    <row r="40" spans="1:18">
      <c r="A40" s="1357" t="s">
        <v>28</v>
      </c>
      <c r="C40" s="1423"/>
      <c r="D40" s="2778"/>
      <c r="E40" s="1520"/>
      <c r="F40" s="1438">
        <v>0</v>
      </c>
      <c r="H40" s="454"/>
      <c r="I40" s="458"/>
      <c r="J40" s="1331"/>
      <c r="K40" s="1331"/>
      <c r="L40" s="1331"/>
      <c r="M40" s="1282"/>
      <c r="N40" s="1331"/>
      <c r="O40" s="1331"/>
      <c r="P40" s="1330"/>
      <c r="Q40" s="1261"/>
      <c r="R40" s="1261"/>
    </row>
    <row r="41" spans="1:18">
      <c r="C41" s="1423"/>
      <c r="D41" s="2778"/>
      <c r="E41" s="1520"/>
      <c r="F41" s="1438">
        <v>0</v>
      </c>
      <c r="H41" s="454"/>
      <c r="I41" s="458"/>
      <c r="J41" s="1331"/>
      <c r="K41" s="1331"/>
      <c r="L41" s="1331"/>
      <c r="M41" s="1282"/>
      <c r="N41" s="1331"/>
      <c r="O41" s="1331"/>
      <c r="P41" s="1330"/>
      <c r="Q41" s="1261"/>
      <c r="R41" s="1261"/>
    </row>
    <row r="42" spans="1:18">
      <c r="C42" s="1488"/>
      <c r="D42" s="2779"/>
      <c r="E42" s="1490"/>
      <c r="F42" s="1493"/>
      <c r="H42" s="454"/>
      <c r="I42" s="458"/>
      <c r="J42" s="1331"/>
      <c r="K42" s="1331"/>
      <c r="L42" s="1331"/>
      <c r="M42" s="1282"/>
      <c r="N42" s="1331"/>
      <c r="O42" s="1331"/>
      <c r="P42" s="1330"/>
      <c r="Q42" s="1261"/>
      <c r="R42" s="1261"/>
    </row>
    <row r="43" spans="1:18">
      <c r="C43" s="1597" t="s">
        <v>483</v>
      </c>
      <c r="D43" s="2771">
        <f>SUM(D44:D47)</f>
        <v>0</v>
      </c>
      <c r="E43" s="1464">
        <f>SUM(E44:E47)</f>
        <v>0</v>
      </c>
      <c r="F43" s="1462">
        <f t="shared" ref="F43:F59" si="1">SUM(D43:E43)</f>
        <v>0</v>
      </c>
      <c r="H43" s="454"/>
      <c r="I43" s="458"/>
      <c r="J43" s="1331"/>
      <c r="K43" s="1331"/>
      <c r="L43" s="1331"/>
      <c r="M43" s="1282"/>
      <c r="N43" s="1331"/>
      <c r="O43" s="1331"/>
      <c r="P43" s="1330"/>
      <c r="Q43" s="1261"/>
      <c r="R43" s="1261"/>
    </row>
    <row r="44" spans="1:18">
      <c r="C44" s="1667"/>
      <c r="D44" s="2778"/>
      <c r="E44" s="1672"/>
      <c r="F44" s="1438">
        <f t="shared" si="1"/>
        <v>0</v>
      </c>
      <c r="H44" s="454"/>
      <c r="I44" s="458"/>
      <c r="J44" s="1331"/>
      <c r="K44" s="1331"/>
      <c r="L44" s="1331"/>
      <c r="M44" s="1282"/>
      <c r="N44" s="1331"/>
      <c r="O44" s="1331"/>
      <c r="P44" s="1330"/>
      <c r="Q44" s="1261"/>
      <c r="R44" s="1261"/>
    </row>
    <row r="45" spans="1:18">
      <c r="C45" s="1667"/>
      <c r="D45" s="2778"/>
      <c r="E45" s="1672"/>
      <c r="F45" s="1438">
        <f t="shared" si="1"/>
        <v>0</v>
      </c>
      <c r="H45" s="454"/>
      <c r="I45" s="458"/>
      <c r="J45" s="1331"/>
      <c r="K45" s="1331"/>
      <c r="L45" s="1331"/>
      <c r="M45" s="1282"/>
      <c r="N45" s="1331"/>
      <c r="O45" s="1331"/>
      <c r="P45" s="1330"/>
      <c r="Q45" s="1261"/>
      <c r="R45" s="1261"/>
    </row>
    <row r="46" spans="1:18">
      <c r="C46" s="1667"/>
      <c r="D46" s="2778"/>
      <c r="E46" s="1672"/>
      <c r="F46" s="1438">
        <f t="shared" si="1"/>
        <v>0</v>
      </c>
      <c r="H46" s="454"/>
      <c r="I46" s="458"/>
      <c r="J46" s="1331"/>
      <c r="K46" s="1331"/>
      <c r="L46" s="1331"/>
      <c r="M46" s="1282"/>
      <c r="N46" s="1331"/>
      <c r="O46" s="1331"/>
      <c r="P46" s="1330"/>
      <c r="Q46" s="1261"/>
      <c r="R46" s="1261"/>
    </row>
    <row r="47" spans="1:18">
      <c r="C47" s="1667"/>
      <c r="D47" s="2778"/>
      <c r="E47" s="1672"/>
      <c r="F47" s="1438">
        <f t="shared" si="1"/>
        <v>0</v>
      </c>
      <c r="H47" s="454"/>
      <c r="I47" s="458"/>
      <c r="J47" s="1331"/>
      <c r="K47" s="1331"/>
      <c r="L47" s="1331"/>
      <c r="M47" s="1282"/>
      <c r="N47" s="1331"/>
      <c r="O47" s="1331"/>
      <c r="P47" s="1330"/>
      <c r="Q47" s="1261"/>
      <c r="R47" s="1261"/>
    </row>
    <row r="48" spans="1:18">
      <c r="C48" s="1488"/>
      <c r="D48" s="2779"/>
      <c r="E48" s="1490"/>
      <c r="F48" s="1493"/>
      <c r="H48" s="454"/>
      <c r="I48" s="458"/>
      <c r="J48" s="1331"/>
      <c r="K48" s="1331"/>
      <c r="L48" s="1331"/>
      <c r="M48" s="1282"/>
      <c r="N48" s="1331"/>
      <c r="O48" s="1331"/>
      <c r="P48" s="1330"/>
      <c r="Q48" s="1261"/>
      <c r="R48" s="1261"/>
    </row>
    <row r="49" spans="3:19">
      <c r="C49" s="1451" t="s">
        <v>47</v>
      </c>
      <c r="D49" s="2771">
        <f>SUM(D50:D53)</f>
        <v>975</v>
      </c>
      <c r="E49" s="1464">
        <f>SUM(E50:E53)</f>
        <v>975</v>
      </c>
      <c r="F49" s="1462">
        <f t="shared" si="1"/>
        <v>1950</v>
      </c>
      <c r="H49" s="454"/>
      <c r="I49" s="454"/>
      <c r="J49" s="1331"/>
      <c r="K49" s="1331"/>
      <c r="L49" s="1331"/>
      <c r="M49" s="1282"/>
      <c r="N49" s="1331"/>
      <c r="O49" s="1331"/>
      <c r="P49" s="1330"/>
      <c r="Q49" s="1261"/>
      <c r="R49" s="1261"/>
      <c r="S49" s="454"/>
    </row>
    <row r="50" spans="3:19">
      <c r="C50" s="1667" t="s">
        <v>812</v>
      </c>
      <c r="D50" s="2778">
        <v>975</v>
      </c>
      <c r="E50" s="1672">
        <v>975</v>
      </c>
      <c r="F50" s="1438">
        <f t="shared" si="1"/>
        <v>1950</v>
      </c>
      <c r="H50" s="454"/>
      <c r="I50" s="454"/>
      <c r="J50" s="1331"/>
      <c r="K50" s="1331"/>
      <c r="L50" s="1331"/>
      <c r="M50" s="1282"/>
      <c r="N50" s="1331"/>
      <c r="O50" s="1331"/>
      <c r="P50" s="1330"/>
      <c r="Q50" s="1261"/>
      <c r="R50" s="1261"/>
      <c r="S50" s="454"/>
    </row>
    <row r="51" spans="3:19">
      <c r="C51" s="1667"/>
      <c r="D51" s="2778"/>
      <c r="E51" s="1672"/>
      <c r="F51" s="1438">
        <f t="shared" si="1"/>
        <v>0</v>
      </c>
      <c r="H51" s="454"/>
      <c r="I51" s="454"/>
      <c r="J51" s="1331"/>
      <c r="K51" s="1331"/>
      <c r="L51" s="1331"/>
      <c r="M51" s="1282"/>
      <c r="N51" s="1331"/>
      <c r="O51" s="1331"/>
      <c r="P51" s="1330"/>
      <c r="Q51" s="1261"/>
      <c r="R51" s="1261"/>
      <c r="S51" s="454"/>
    </row>
    <row r="52" spans="3:19">
      <c r="C52" s="1423"/>
      <c r="D52" s="2778"/>
      <c r="E52" s="1520"/>
      <c r="F52" s="1438">
        <f t="shared" si="1"/>
        <v>0</v>
      </c>
      <c r="H52" s="1268"/>
      <c r="I52" s="1324"/>
      <c r="J52" s="1331"/>
      <c r="K52" s="1331"/>
      <c r="L52" s="1331"/>
      <c r="M52" s="1282"/>
      <c r="N52" s="1331"/>
      <c r="O52" s="1331"/>
      <c r="P52" s="1330"/>
      <c r="Q52" s="1261"/>
      <c r="R52" s="1261"/>
      <c r="S52" s="454"/>
    </row>
    <row r="53" spans="3:19">
      <c r="C53" s="1423"/>
      <c r="D53" s="2778"/>
      <c r="E53" s="1520"/>
      <c r="F53" s="1438">
        <f t="shared" si="1"/>
        <v>0</v>
      </c>
      <c r="H53" s="1324"/>
      <c r="I53" s="1324"/>
      <c r="J53" s="1331"/>
      <c r="K53" s="1331"/>
      <c r="L53" s="1331"/>
      <c r="M53" s="1282"/>
      <c r="N53" s="1331"/>
      <c r="O53" s="1331"/>
      <c r="P53" s="1330"/>
      <c r="Q53" s="1261"/>
      <c r="R53" s="1261"/>
      <c r="S53" s="454"/>
    </row>
    <row r="54" spans="3:19">
      <c r="C54" s="1488"/>
      <c r="D54" s="2779"/>
      <c r="E54" s="1490"/>
      <c r="F54" s="1493"/>
      <c r="H54" s="1324"/>
      <c r="I54" s="1324"/>
      <c r="J54" s="1331"/>
      <c r="K54" s="1331"/>
      <c r="L54" s="1331"/>
      <c r="M54" s="1331"/>
      <c r="N54" s="1331"/>
      <c r="O54" s="1331"/>
      <c r="P54" s="1331"/>
      <c r="Q54" s="1334"/>
      <c r="R54" s="1334"/>
      <c r="S54" s="454"/>
    </row>
    <row r="55" spans="3:19">
      <c r="C55" s="1451" t="s">
        <v>48</v>
      </c>
      <c r="D55" s="2771">
        <f>SUM(D56:D59)</f>
        <v>0</v>
      </c>
      <c r="E55" s="1464">
        <f>SUM(E56:E59)</f>
        <v>0</v>
      </c>
      <c r="F55" s="1462">
        <f t="shared" si="1"/>
        <v>0</v>
      </c>
      <c r="H55" s="1324"/>
      <c r="I55" s="1324"/>
      <c r="J55" s="454"/>
      <c r="K55" s="454"/>
      <c r="L55" s="454"/>
      <c r="M55" s="454"/>
      <c r="N55" s="454"/>
      <c r="O55" s="454"/>
      <c r="P55" s="454"/>
      <c r="Q55" s="454"/>
      <c r="R55" s="454"/>
      <c r="S55" s="454"/>
    </row>
    <row r="56" spans="3:19">
      <c r="C56" s="1667"/>
      <c r="D56" s="2778"/>
      <c r="E56" s="1641"/>
      <c r="F56" s="1438">
        <f t="shared" si="1"/>
        <v>0</v>
      </c>
      <c r="H56" s="1324"/>
      <c r="I56" s="1324"/>
      <c r="J56" s="454"/>
      <c r="K56" s="454"/>
      <c r="L56" s="454"/>
      <c r="M56" s="454"/>
      <c r="N56" s="454"/>
      <c r="O56" s="454"/>
      <c r="P56" s="454"/>
      <c r="Q56" s="454"/>
      <c r="R56" s="454"/>
      <c r="S56" s="454"/>
    </row>
    <row r="57" spans="3:19">
      <c r="C57" s="1667"/>
      <c r="D57" s="2778"/>
      <c r="E57" s="1641"/>
      <c r="F57" s="1438">
        <f t="shared" si="1"/>
        <v>0</v>
      </c>
      <c r="H57" s="1328"/>
      <c r="I57" s="1327"/>
      <c r="J57" s="454"/>
      <c r="K57" s="454"/>
      <c r="L57" s="454"/>
      <c r="M57" s="454"/>
      <c r="N57" s="454"/>
      <c r="O57" s="454"/>
      <c r="P57" s="454"/>
      <c r="Q57" s="454"/>
      <c r="R57" s="454"/>
      <c r="S57" s="454"/>
    </row>
    <row r="58" spans="3:19">
      <c r="C58" s="1667"/>
      <c r="D58" s="2778"/>
      <c r="E58" s="1641"/>
      <c r="F58" s="1438">
        <f t="shared" si="1"/>
        <v>0</v>
      </c>
      <c r="G58" s="454"/>
      <c r="H58" s="454"/>
      <c r="I58" s="454"/>
      <c r="J58" s="454"/>
      <c r="K58" s="454"/>
      <c r="L58" s="454"/>
      <c r="M58" s="454"/>
      <c r="N58" s="454"/>
      <c r="O58" s="454"/>
      <c r="P58" s="454"/>
      <c r="Q58" s="454"/>
      <c r="R58" s="454"/>
      <c r="S58" s="454"/>
    </row>
    <row r="59" spans="3:19">
      <c r="C59" s="1667"/>
      <c r="D59" s="2778"/>
      <c r="E59" s="1641"/>
      <c r="F59" s="1438">
        <f t="shared" si="1"/>
        <v>0</v>
      </c>
    </row>
    <row r="60" spans="3:19">
      <c r="C60" s="1488"/>
      <c r="D60" s="2779"/>
      <c r="E60" s="1490"/>
      <c r="F60" s="1493"/>
    </row>
    <row r="61" spans="3:19">
      <c r="C61" s="1451" t="s">
        <v>49</v>
      </c>
      <c r="D61" s="2771">
        <f>SUM(D62:D63)</f>
        <v>0</v>
      </c>
      <c r="E61" s="1464">
        <f>SUM(E62:E63)</f>
        <v>0</v>
      </c>
      <c r="F61" s="1462">
        <f>SUM(F62:F63)</f>
        <v>0</v>
      </c>
    </row>
    <row r="62" spans="3:19">
      <c r="C62" s="1423"/>
      <c r="D62" s="2778"/>
      <c r="E62" s="1520"/>
      <c r="F62" s="1438">
        <f>SUM(D62:E62)</f>
        <v>0</v>
      </c>
    </row>
    <row r="63" spans="3:19">
      <c r="C63" s="1423"/>
      <c r="D63" s="2778"/>
      <c r="E63" s="1520"/>
      <c r="F63" s="1438">
        <f>SUM(D63:E63)</f>
        <v>0</v>
      </c>
    </row>
    <row r="64" spans="3:19">
      <c r="C64" s="1423"/>
      <c r="D64" s="2778"/>
      <c r="E64" s="1520"/>
      <c r="F64" s="1437">
        <v>0</v>
      </c>
    </row>
    <row r="65" spans="3:6">
      <c r="C65" s="1423"/>
      <c r="D65" s="2778"/>
      <c r="E65" s="1520"/>
      <c r="F65" s="1438">
        <v>0</v>
      </c>
    </row>
    <row r="66" spans="3:6">
      <c r="C66" s="1488"/>
      <c r="D66" s="2779"/>
      <c r="E66" s="1490"/>
      <c r="F66" s="1493"/>
    </row>
    <row r="67" spans="3:6">
      <c r="C67" s="1451"/>
      <c r="D67" s="2771"/>
      <c r="E67" s="1464"/>
      <c r="F67" s="1462"/>
    </row>
    <row r="68" spans="3:6">
      <c r="C68" s="1500"/>
      <c r="D68" s="2781"/>
      <c r="E68" s="1496"/>
      <c r="F68" s="1499"/>
    </row>
    <row r="69" spans="3:6">
      <c r="C69" s="1501"/>
      <c r="D69" s="2782"/>
      <c r="E69" s="1497"/>
      <c r="F69" s="1498"/>
    </row>
    <row r="70" spans="3:6">
      <c r="C70" s="1494"/>
      <c r="D70" s="2778"/>
      <c r="E70" s="1503"/>
      <c r="F70" s="1491"/>
    </row>
  </sheetData>
  <customSheetViews>
    <customSheetView guid="{D9EFFE19-D14B-4C6F-BDF4-FF696F73968D}" showGridLines="0" fitToPage="1">
      <pane xSplit="1" ySplit="1" topLeftCell="B2" activePane="bottomRight" state="frozen"/>
      <selection pane="bottomRight" activeCell="G14" sqref="G14"/>
      <pageMargins left="0.17" right="0.22" top="0.28000000000000003" bottom="0.39" header="0.3" footer="0.3"/>
      <pageSetup paperSize="17" scale="75" orientation="landscape" r:id="rId1"/>
    </customSheetView>
    <customSheetView guid="{074EB09C-6289-46D7-9513-012B68BCA7BF}" showGridLines="0" fitToPage="1">
      <pane xSplit="1" ySplit="1" topLeftCell="B14" activePane="bottomRight" state="frozen"/>
      <selection pane="bottomRight" activeCell="E33" sqref="E33"/>
      <pageMargins left="0.17" right="0.22" top="0.28000000000000003" bottom="0.39" header="0.3" footer="0.3"/>
      <pageSetup paperSize="17" scale="75" orientation="landscape" r:id="rId2"/>
    </customSheetView>
  </customSheetViews>
  <mergeCells count="6">
    <mergeCell ref="J11:L11"/>
    <mergeCell ref="Q10:R10"/>
    <mergeCell ref="J10:M10"/>
    <mergeCell ref="J9:M9"/>
    <mergeCell ref="N9:O9"/>
    <mergeCell ref="N10:P10"/>
  </mergeCells>
  <pageMargins left="0.17" right="0.22" top="0.28000000000000003" bottom="0.39" header="0.3" footer="0.3"/>
  <pageSetup paperSize="3" scale="76" orientation="landscape" r:id="rId3"/>
  <drawing r:id="rId4"/>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249977111117893"/>
  </sheetPr>
  <dimension ref="A1:C18"/>
  <sheetViews>
    <sheetView showGridLines="0" workbookViewId="0">
      <selection activeCell="A14" sqref="A14"/>
    </sheetView>
  </sheetViews>
  <sheetFormatPr defaultRowHeight="12.75"/>
  <sheetData>
    <row r="1" spans="1:3">
      <c r="A1" t="s">
        <v>0</v>
      </c>
    </row>
    <row r="13" spans="1:3">
      <c r="A13" t="s">
        <v>2643</v>
      </c>
    </row>
    <row r="15" spans="1:3">
      <c r="B15" s="1652" t="s">
        <v>343</v>
      </c>
    </row>
    <row r="16" spans="1:3">
      <c r="B16" s="1652" t="s">
        <v>337</v>
      </c>
      <c r="C16" s="1652" t="s">
        <v>338</v>
      </c>
    </row>
    <row r="17" spans="2:3">
      <c r="B17" s="1652" t="s">
        <v>339</v>
      </c>
      <c r="C17" s="1652" t="s">
        <v>340</v>
      </c>
    </row>
    <row r="18" spans="2:3">
      <c r="B18" s="1652" t="s">
        <v>341</v>
      </c>
      <c r="C18" s="1652" t="s">
        <v>342</v>
      </c>
    </row>
  </sheetData>
  <customSheetViews>
    <customSheetView guid="{D9EFFE19-D14B-4C6F-BDF4-FF696F73968D}" showGridLines="0">
      <selection activeCell="D29" sqref="D29"/>
      <pageMargins left="0.7" right="0.7" top="0.75" bottom="0.75" header="0.3" footer="0.3"/>
      <pageSetup paperSize="3" orientation="landscape" r:id="rId1"/>
    </customSheetView>
    <customSheetView guid="{074EB09C-6289-46D7-9513-012B68BCA7BF}" showGridLines="0">
      <selection activeCell="H17" sqref="H17"/>
      <pageMargins left="0.7" right="0.7" top="0.75" bottom="0.75" header="0.3" footer="0.3"/>
      <pageSetup paperSize="3" orientation="landscape" r:id="rId2"/>
    </customSheetView>
  </customSheetViews>
  <pageMargins left="0.7" right="0.7" top="0.75" bottom="0.75" header="0.3" footer="0.3"/>
  <pageSetup paperSize="3" orientation="landscape"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5C7F0744981CE941B65864CB5F375530" ma:contentTypeVersion="119" ma:contentTypeDescription="" ma:contentTypeScope="" ma:versionID="c80177899861fd973723b07a0a49405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Plan</DocumentSetType>
    <IsConfidential xmlns="dc463f71-b30c-4ab2-9473-d307f9d35888">false</IsConfidential>
    <AgendaOrder xmlns="dc463f71-b30c-4ab2-9473-d307f9d35888">false</AgendaOrder>
    <CaseType xmlns="dc463f71-b30c-4ab2-9473-d307f9d35888">Staff Investigation</CaseType>
    <IndustryCode xmlns="dc463f71-b30c-4ab2-9473-d307f9d35888">150</IndustryCode>
    <CaseStatus xmlns="dc463f71-b30c-4ab2-9473-d307f9d35888">Closed</CaseStatus>
    <OpenedDate xmlns="dc463f71-b30c-4ab2-9473-d307f9d35888">2015-10-29T07:00:00+00:00</OpenedDate>
    <Date1 xmlns="dc463f71-b30c-4ab2-9473-d307f9d35888">2016-11-14T08:00:00+00:00</Date1>
    <IsDocumentOrder xmlns="dc463f71-b30c-4ab2-9473-d307f9d35888" xsi:nil="true"/>
    <IsHighlyConfidential xmlns="dc463f71-b30c-4ab2-9473-d307f9d35888">false</IsHighlyConfidential>
    <CaseCompanyNames xmlns="dc463f71-b30c-4ab2-9473-d307f9d35888">Puget Sound Energy</CaseCompanyNames>
    <DocketNumber xmlns="dc463f71-b30c-4ab2-9473-d307f9d35888">152075</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92FDA705-8D2A-4069-B84F-5CAE1DB060EB}"/>
</file>

<file path=customXml/itemProps2.xml><?xml version="1.0" encoding="utf-8"?>
<ds:datastoreItem xmlns:ds="http://schemas.openxmlformats.org/officeDocument/2006/customXml" ds:itemID="{A811213A-2E90-4CD3-B1E1-CE7A43AB403C}"/>
</file>

<file path=customXml/itemProps3.xml><?xml version="1.0" encoding="utf-8"?>
<ds:datastoreItem xmlns:ds="http://schemas.openxmlformats.org/officeDocument/2006/customXml" ds:itemID="{5FE67CA4-09B5-46BC-BE6C-2E1A324CDB51}"/>
</file>

<file path=customXml/itemProps4.xml><?xml version="1.0" encoding="utf-8"?>
<ds:datastoreItem xmlns:ds="http://schemas.openxmlformats.org/officeDocument/2006/customXml" ds:itemID="{A275889E-A148-446C-B06D-F6EEA096A1B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123</vt:i4>
      </vt:variant>
      <vt:variant>
        <vt:lpstr>Named Ranges</vt:lpstr>
      </vt:variant>
      <vt:variant>
        <vt:i4>10</vt:i4>
      </vt:variant>
    </vt:vector>
  </HeadingPairs>
  <TitlesOfParts>
    <vt:vector size="133" baseType="lpstr">
      <vt:lpstr>REMOVE!!-Revision history</vt:lpstr>
      <vt:lpstr>REMOVE!!-FTE Summaries</vt:lpstr>
      <vt:lpstr>RV--Compare to orig 2017 Plan</vt:lpstr>
      <vt:lpstr>Readme First</vt:lpstr>
      <vt:lpstr>Budget Category Descriptions</vt:lpstr>
      <vt:lpstr>Building the 2-yr elec target</vt:lpstr>
      <vt:lpstr>Building the 2-yr gas target</vt:lpstr>
      <vt:lpstr>Portfolio--2017</vt:lpstr>
      <vt:lpstr>2017 Sector View Elect</vt:lpstr>
      <vt:lpstr>2017 Sector View Gas</vt:lpstr>
      <vt:lpstr> LowIncWx Detail_REM E201_Elec</vt:lpstr>
      <vt:lpstr>REM E214 Title Tab </vt:lpstr>
      <vt:lpstr>HmEnrgAsmt Detail_REM_E214 Elec</vt:lpstr>
      <vt:lpstr>WaterHea_Detail_REM_E214 Elec</vt:lpstr>
      <vt:lpstr>Wx_Detail_REM E214 Elec</vt:lpstr>
      <vt:lpstr>SpcHeat Detail_REM_E214 Elec</vt:lpstr>
      <vt:lpstr>HmAppplc_Detail_REM_E214 Elec</vt:lpstr>
      <vt:lpstr>ShwrHead_Detail_REM_E214  Elec</vt:lpstr>
      <vt:lpstr>Web Tstat Detail_REM E214 Elec</vt:lpstr>
      <vt:lpstr>Lighting Detail_REM_E214 Elec</vt:lpstr>
      <vt:lpstr>MHDS Detail_REM_E214 Elec.</vt:lpstr>
      <vt:lpstr>ARRAWx Detail_REM_E214 Elec</vt:lpstr>
      <vt:lpstr>HER Detail_REM_E214 elec.</vt:lpstr>
      <vt:lpstr>SFNC Detail_REM E215 Elec</vt:lpstr>
      <vt:lpstr>NCMfgHome Detail_REM E215 Elec</vt:lpstr>
      <vt:lpstr>FuelConv Detail_REM E216 Elec</vt:lpstr>
      <vt:lpstr>MF Retr Detail_REM E217 Elec</vt:lpstr>
      <vt:lpstr>MFNC Detail_REM E218 Elec</vt:lpstr>
      <vt:lpstr>LowIncWx Detail_REM G201 Gas</vt:lpstr>
      <vt:lpstr>REM Gas Sch 214 Title</vt:lpstr>
      <vt:lpstr>HmEnrgyAsmt Detail_REM G214 Gas</vt:lpstr>
      <vt:lpstr>WtrHeat Detail_REM G214 Gas</vt:lpstr>
      <vt:lpstr>Wx Detail_REM G214 Gas</vt:lpstr>
      <vt:lpstr>SpHeat Detail_REM G214 Gas</vt:lpstr>
      <vt:lpstr>ShwrHead Detail_REM G214 Gas</vt:lpstr>
      <vt:lpstr>HmApplSvgs Detail_REM G214 Gas</vt:lpstr>
      <vt:lpstr>MHDS Detail_REM G214 Gas</vt:lpstr>
      <vt:lpstr>WebTstat Detail_REM G214 Gas</vt:lpstr>
      <vt:lpstr>HER Detail_REM G214 gas</vt:lpstr>
      <vt:lpstr>SFNC Detail_REM G215 Gas</vt:lpstr>
      <vt:lpstr>NCMfgHomes Detail_REM G215 Gas</vt:lpstr>
      <vt:lpstr>MF Retr Detail_REM G217 Gas</vt:lpstr>
      <vt:lpstr>MFNC Detail_REM G218 Gas</vt:lpstr>
      <vt:lpstr>CI Retr Detail_BEM E250 Elec</vt:lpstr>
      <vt:lpstr>BusLgtGrants_BEM E250 Elect</vt:lpstr>
      <vt:lpstr>CI NC Detail_BEM E251 Elec</vt:lpstr>
      <vt:lpstr>RCM Detail_BEM E253 Elec</vt:lpstr>
      <vt:lpstr>RCM U-S-B Detail_E253 Elec</vt:lpstr>
      <vt:lpstr>ResAcctSW Detail_PSWE_Elec</vt:lpstr>
      <vt:lpstr>LPSD_Detail_Non-449 Elec</vt:lpstr>
      <vt:lpstr>LPSD_Detail_449_Elec</vt:lpstr>
      <vt:lpstr>TechEval Detail_BEM E261 Elec</vt:lpstr>
      <vt:lpstr>Comm Lgt Mkdn_E262 Elect</vt:lpstr>
      <vt:lpstr>Comm Kit-Laund_E262 Elect</vt:lpstr>
      <vt:lpstr>Comm DI_E262 Elect</vt:lpstr>
      <vt:lpstr>Comm HVAC_E262 Elect</vt:lpstr>
      <vt:lpstr>Comm ExpLgt_E262 Elect</vt:lpstr>
      <vt:lpstr>Sm Agr DI_E262 Elect</vt:lpstr>
      <vt:lpstr>Lodging DI_E262 Elec</vt:lpstr>
      <vt:lpstr>Sm Bus DI_E262 Elect</vt:lpstr>
      <vt:lpstr>CI Retr Detail_BEM G250 Gas</vt:lpstr>
      <vt:lpstr>CI NC Detail_BEM G251 Gas</vt:lpstr>
      <vt:lpstr>RCM Detail_BEM 253 Gas</vt:lpstr>
      <vt:lpstr>ResAcctSW Detail_PSWE_Gas</vt:lpstr>
      <vt:lpstr>TechEval Detail_BEM G261 Gas</vt:lpstr>
      <vt:lpstr>Sm Agr DI_G262 Gas</vt:lpstr>
      <vt:lpstr>Lodging DI_G262_Gas</vt:lpstr>
      <vt:lpstr>Sm Bus DI_G262 Gas</vt:lpstr>
      <vt:lpstr>Comm Kit-Laund_G262 Gas</vt:lpstr>
      <vt:lpstr>Comm DI_G262 Gas</vt:lpstr>
      <vt:lpstr>Comm HVAC_G262 Gas</vt:lpstr>
      <vt:lpstr>REM Pilots E249 Elec</vt:lpstr>
      <vt:lpstr>BEM Pilots E249 Elec</vt:lpstr>
      <vt:lpstr>REM Pilots Detail G249 Gas</vt:lpstr>
      <vt:lpstr>BEM Pilots Detail G249 Gas</vt:lpstr>
      <vt:lpstr>NEEA Detail_E254 elec</vt:lpstr>
      <vt:lpstr>T&amp;D Detail_Reg E292 elec</vt:lpstr>
      <vt:lpstr>NEEA Gas MT_no Sched Gas</vt:lpstr>
      <vt:lpstr>Portf Suppt Cust Eng Elec Title</vt:lpstr>
      <vt:lpstr>Engy Adv Detail_PSCE  Elec</vt:lpstr>
      <vt:lpstr>Events Detail_PSCE Elec</vt:lpstr>
      <vt:lpstr>Brochures Detail_PSCE Elec</vt:lpstr>
      <vt:lpstr>Educatn Detail_PSCE E202 Elec</vt:lpstr>
      <vt:lpstr>Port Suppt_Web Exp Elec Title</vt:lpstr>
      <vt:lpstr>CustOnline Detail_PSWE_Elec</vt:lpstr>
      <vt:lpstr>Mkt Intgn Detail_PSWE_Elec</vt:lpstr>
      <vt:lpstr>ABS Detail_PSWE_Elec</vt:lpstr>
      <vt:lpstr>Rebt Procg Detail_Elect</vt:lpstr>
      <vt:lpstr>Progs Supp Detail_PS_ Elec</vt:lpstr>
      <vt:lpstr>Data &amp; Systm Svcs_Elect</vt:lpstr>
      <vt:lpstr>EEC Detail_PS_Elec</vt:lpstr>
      <vt:lpstr>TradeAlly Detail_PS_ Elec</vt:lpstr>
      <vt:lpstr>CAN_Elect</vt:lpstr>
      <vt:lpstr>Port Supp Cust Engage Gas Title</vt:lpstr>
      <vt:lpstr>Engy Adv Detail_PSCE_Gas</vt:lpstr>
      <vt:lpstr>Events Detail_PSCE_Gas</vt:lpstr>
      <vt:lpstr>Brochure Detail_PSCE_Gas</vt:lpstr>
      <vt:lpstr>Eductn Detail_PSCE_G207 Gas</vt:lpstr>
      <vt:lpstr>Port Supp_Web Exp Gas Title</vt:lpstr>
      <vt:lpstr>CustOnline Detail_PSWE_Gas</vt:lpstr>
      <vt:lpstr>Mkt Intg Detail_PSWE_Gas</vt:lpstr>
      <vt:lpstr>ABS Detail_PSWE_Gas</vt:lpstr>
      <vt:lpstr>Rebt Procg_Detail Gas</vt:lpstr>
      <vt:lpstr>Progs Supp Detail_PS_Gas</vt:lpstr>
      <vt:lpstr>Data &amp; Systm Svcs Detail Gas</vt:lpstr>
      <vt:lpstr>EEC Detail_PS_Gas</vt:lpstr>
      <vt:lpstr>TradeAlly Detail_PS_gas</vt:lpstr>
      <vt:lpstr>CAN_PS_Detail Gas</vt:lpstr>
      <vt:lpstr>SuppCrv Detail_R&amp;C_Elec</vt:lpstr>
      <vt:lpstr>Strat Plan Detail_R&amp;C_Elec</vt:lpstr>
      <vt:lpstr>Mktg Resch Detail_PS_ Elec</vt:lpstr>
      <vt:lpstr>Eval Detail_R&amp;C_Elec</vt:lpstr>
      <vt:lpstr>BECAR Detail_R&amp;C Elec</vt:lpstr>
      <vt:lpstr>Verifctn Team Detail Elec</vt:lpstr>
      <vt:lpstr>Supp Crv Detail_R&amp;C_gas</vt:lpstr>
      <vt:lpstr>Strat Pln Detail_R&amp;C_Gas</vt:lpstr>
      <vt:lpstr>Mktg Rsch Detail_PS_gas</vt:lpstr>
      <vt:lpstr>Eval Detail_R&amp;C_Gas</vt:lpstr>
      <vt:lpstr>Verifctn team Detail Gas</vt:lpstr>
      <vt:lpstr>Net Mtr Details_Oth Elec E150</vt:lpstr>
      <vt:lpstr>ElecVehcl Chg Inctv_E195 Elect</vt:lpstr>
      <vt:lpstr>Demnd Resp_Res_Exxx Elec</vt:lpstr>
      <vt:lpstr>Demnd Resp_Com_Exxx Elec</vt:lpstr>
      <vt:lpstr>'Building the 2-yr elec target'!Print_Area</vt:lpstr>
      <vt:lpstr>'Building the 2-yr gas target'!Print_Area</vt:lpstr>
      <vt:lpstr>'CI Retr Detail_BEM G250 Gas'!Print_Area</vt:lpstr>
      <vt:lpstr>'LowIncWx Detail_REM G201 Gas'!Print_Area</vt:lpstr>
      <vt:lpstr>'REM Pilots E249 Elec'!Print_Area</vt:lpstr>
      <vt:lpstr>'Comm DI_E262 Elect'!Print_Titles</vt:lpstr>
      <vt:lpstr>'Comm HVAC_E262 Elect'!Print_Titles</vt:lpstr>
      <vt:lpstr>'Lodging DI_E262 Elec'!Print_Titles</vt:lpstr>
      <vt:lpstr>'Lodging DI_G262_Gas'!Print_Titles</vt:lpstr>
      <vt:lpstr>'Sm Bus DI_E262 Elect'!Print_Titles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Andy Hemstreet</dc:creator>
  <cp:lastModifiedBy>Andy Hemstreet</cp:lastModifiedBy>
  <cp:lastPrinted>2016-11-11T15:23:29Z</cp:lastPrinted>
  <dcterms:created xsi:type="dcterms:W3CDTF">2011-07-20T22:26:18Z</dcterms:created>
  <dcterms:modified xsi:type="dcterms:W3CDTF">2016-11-11T17:38:25Z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0x0101006E56B4D1795A2E4DB2F0B01679ED314A005C7F0744981CE941B65864CB5F375530</vt:lpwstr>
  </property>
  <property fmtid="{D5CDD505-2E9C-101B-9397-08002B2CF9AE}" pid="3" name="_docset_NoMedatataSyncRequired">
    <vt:lpwstr>False</vt:lpwstr>
  </property>
</Properties>
</file>